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6.xml" ContentType="application/vnd.openxmlformats-officedocument.drawing+xml"/>
  <Override PartName="/xl/comments2.xml" ContentType="application/vnd.openxmlformats-officedocument.spreadsheetml.comments+xml"/>
  <Override PartName="/xl/drawings/drawing7.xml" ContentType="application/vnd.openxmlformats-officedocument.drawing+xml"/>
  <Override PartName="/xl/comments3.xml" ContentType="application/vnd.openxmlformats-officedocument.spreadsheetml.comments+xml"/>
  <Override PartName="/xl/threadedComments/threadedComment2.xml" ContentType="application/vnd.ms-excel.threadedcomments+xml"/>
  <Override PartName="/xl/drawings/drawing8.xml" ContentType="application/vnd.openxmlformats-officedocument.drawing+xml"/>
  <Override PartName="/xl/comments4.xml" ContentType="application/vnd.openxmlformats-officedocument.spreadsheetml.comments+xml"/>
  <Override PartName="/xl/drawings/drawing9.xml" ContentType="application/vnd.openxmlformats-officedocument.drawing+xml"/>
  <Override PartName="/xl/comments5.xml" ContentType="application/vnd.openxmlformats-officedocument.spreadsheetml.comments+xml"/>
  <Override PartName="/xl/comments6.xml" ContentType="application/vnd.openxmlformats-officedocument.spreadsheetml.comments+xml"/>
  <Override PartName="/xl/drawings/drawing10.xml" ContentType="application/vnd.openxmlformats-officedocument.drawing+xml"/>
  <Override PartName="/xl/drawings/drawing11.xml" ContentType="application/vnd.openxmlformats-officedocument.drawing+xml"/>
  <Override PartName="/xl/comments7.xml" ContentType="application/vnd.openxmlformats-officedocument.spreadsheetml.comments+xml"/>
  <Override PartName="/xl/drawings/drawing12.xml" ContentType="application/vnd.openxmlformats-officedocument.drawing+xml"/>
  <Override PartName="/xl/comments8.xml" ContentType="application/vnd.openxmlformats-officedocument.spreadsheetml.comments+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comments9.xml" ContentType="application/vnd.openxmlformats-officedocument.spreadsheetml.comments+xml"/>
  <Override PartName="/xl/threadedComments/threadedComment3.xml" ContentType="application/vnd.ms-excel.threadedcomments+xml"/>
  <Override PartName="/xl/drawings/drawing16.xml" ContentType="application/vnd.openxmlformats-officedocument.drawing+xml"/>
  <Override PartName="/xl/comments10.xml" ContentType="application/vnd.openxmlformats-officedocument.spreadsheetml.comments+xml"/>
  <Override PartName="/xl/drawings/drawing17.xml" ContentType="application/vnd.openxmlformats-officedocument.drawing+xml"/>
  <Override PartName="/xl/comments11.xml" ContentType="application/vnd.openxmlformats-officedocument.spreadsheetml.comments+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activeX/activeX1.xml" ContentType="application/vnd.ms-office.activeX+xml"/>
  <Override PartName="/xl/activeX/activeX1.bin" ContentType="application/vnd.ms-office.activeX"/>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omments12.xml" ContentType="application/vnd.openxmlformats-officedocument.spreadsheetml.comments+xml"/>
  <Override PartName="/xl/threadedComments/threadedComment4.xml" ContentType="application/vnd.ms-excel.threadedcomments+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22.xml" ContentType="application/vnd.openxmlformats-officedocument.drawing+xml"/>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ctrlProps/ctrlProp4.xml" ContentType="application/vnd.ms-excel.controlproperties+xml"/>
  <Override PartName="/xl/ctrlProps/ctrlProp5.xml" ContentType="application/vnd.ms-excel.controlproperties+xml"/>
  <Override PartName="/xl/comments13.xml" ContentType="application/vnd.openxmlformats-officedocument.spreadsheetml.comments+xml"/>
  <Override PartName="/xl/threadedComments/threadedComment5.xml" ContentType="application/vnd.ms-excel.threadedcomments+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drawings/drawing23.xml" ContentType="application/vnd.openxmlformats-officedocument.drawing+xml"/>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activeX/activeX11.xml" ContentType="application/vnd.ms-office.activeX+xml"/>
  <Override PartName="/xl/activeX/activeX11.bin" ContentType="application/vnd.ms-office.activeX"/>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harts/chart12.xml" ContentType="application/vnd.openxmlformats-officedocument.drawingml.chart+xml"/>
  <Override PartName="/xl/charts/style7.xml" ContentType="application/vnd.ms-office.chartstyle+xml"/>
  <Override PartName="/xl/charts/colors7.xml" ContentType="application/vnd.ms-office.chartcolorstyle+xml"/>
  <Override PartName="/xl/charts/chart13.xml" ContentType="application/vnd.openxmlformats-officedocument.drawingml.chart+xml"/>
  <Override PartName="/xl/charts/style8.xml" ContentType="application/vnd.ms-office.chartstyle+xml"/>
  <Override PartName="/xl/charts/colors8.xml" ContentType="application/vnd.ms-office.chartcolorstyle+xml"/>
  <Override PartName="/xl/charts/chart14.xml" ContentType="application/vnd.openxmlformats-officedocument.drawingml.chart+xml"/>
  <Override PartName="/xl/charts/style9.xml" ContentType="application/vnd.ms-office.chartstyle+xml"/>
  <Override PartName="/xl/charts/colors9.xml" ContentType="application/vnd.ms-office.chartcolorstyle+xml"/>
  <Override PartName="/xl/drawings/drawing24.xml" ContentType="application/vnd.openxmlformats-officedocument.drawing+xml"/>
  <Override PartName="/xl/activeX/activeX12.xml" ContentType="application/vnd.ms-office.activeX+xml"/>
  <Override PartName="/xl/activeX/activeX12.bin" ContentType="application/vnd.ms-office.activeX"/>
  <Override PartName="/xl/activeX/activeX13.xml" ContentType="application/vnd.ms-office.activeX+xml"/>
  <Override PartName="/xl/activeX/activeX13.bin" ContentType="application/vnd.ms-office.activeX"/>
  <Override PartName="/xl/activeX/activeX14.xml" ContentType="application/vnd.ms-office.activeX+xml"/>
  <Override PartName="/xl/activeX/activeX14.bin" ContentType="application/vnd.ms-office.activeX"/>
  <Override PartName="/xl/activeX/activeX15.xml" ContentType="application/vnd.ms-office.activeX+xml"/>
  <Override PartName="/xl/activeX/activeX15.bin" ContentType="application/vnd.ms-office.activeX"/>
  <Override PartName="/xl/activeX/activeX16.xml" ContentType="application/vnd.ms-office.activeX+xml"/>
  <Override PartName="/xl/activeX/activeX16.bin" ContentType="application/vnd.ms-office.activeX"/>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harts/chart15.xml" ContentType="application/vnd.openxmlformats-officedocument.drawingml.chart+xml"/>
  <Override PartName="/xl/charts/style10.xml" ContentType="application/vnd.ms-office.chartstyle+xml"/>
  <Override PartName="/xl/charts/colors10.xml" ContentType="application/vnd.ms-office.chartcolorstyle+xml"/>
  <Override PartName="/xl/charts/chart16.xml" ContentType="application/vnd.openxmlformats-officedocument.drawingml.chart+xml"/>
  <Override PartName="/xl/charts/style11.xml" ContentType="application/vnd.ms-office.chartstyle+xml"/>
  <Override PartName="/xl/charts/colors11.xml" ContentType="application/vnd.ms-office.chartcolorstyle+xml"/>
  <Override PartName="/xl/charts/chart17.xml" ContentType="application/vnd.openxmlformats-officedocument.drawingml.chart+xml"/>
  <Override PartName="/xl/charts/style12.xml" ContentType="application/vnd.ms-office.chartstyle+xml"/>
  <Override PartName="/xl/charts/colors12.xml" ContentType="application/vnd.ms-office.chartcolorstyle+xml"/>
  <Override PartName="/xl/charts/chart18.xml" ContentType="application/vnd.openxmlformats-officedocument.drawingml.chart+xml"/>
  <Override PartName="/xl/charts/style13.xml" ContentType="application/vnd.ms-office.chartstyle+xml"/>
  <Override PartName="/xl/charts/colors13.xml" ContentType="application/vnd.ms-office.chartcolorstyle+xml"/>
  <Override PartName="/xl/charts/chart19.xml" ContentType="application/vnd.openxmlformats-officedocument.drawingml.chart+xml"/>
  <Override PartName="/xl/charts/style14.xml" ContentType="application/vnd.ms-office.chartstyle+xml"/>
  <Override PartName="/xl/charts/colors14.xml" ContentType="application/vnd.ms-office.chartcolorstyle+xml"/>
  <Override PartName="/xl/charts/chart20.xml" ContentType="application/vnd.openxmlformats-officedocument.drawingml.chart+xml"/>
  <Override PartName="/xl/charts/style15.xml" ContentType="application/vnd.ms-office.chartstyle+xml"/>
  <Override PartName="/xl/charts/colors15.xml" ContentType="application/vnd.ms-office.chartcolorstyle+xml"/>
  <Override PartName="/xl/charts/chart21.xml" ContentType="application/vnd.openxmlformats-officedocument.drawingml.chart+xml"/>
  <Override PartName="/xl/charts/style16.xml" ContentType="application/vnd.ms-office.chartstyle+xml"/>
  <Override PartName="/xl/charts/colors16.xml" ContentType="application/vnd.ms-office.chartcolorstyle+xml"/>
  <Override PartName="/xl/charts/chart22.xml" ContentType="application/vnd.openxmlformats-officedocument.drawingml.chart+xml"/>
  <Override PartName="/xl/charts/style17.xml" ContentType="application/vnd.ms-office.chartstyle+xml"/>
  <Override PartName="/xl/charts/colors17.xml" ContentType="application/vnd.ms-office.chartcolorstyle+xml"/>
  <Override PartName="/xl/charts/chart23.xml" ContentType="application/vnd.openxmlformats-officedocument.drawingml.chart+xml"/>
  <Override PartName="/xl/charts/style18.xml" ContentType="application/vnd.ms-office.chartstyle+xml"/>
  <Override PartName="/xl/charts/colors18.xml" ContentType="application/vnd.ms-office.chartcolorstyle+xml"/>
  <Override PartName="/xl/charts/chart24.xml" ContentType="application/vnd.openxmlformats-officedocument.drawingml.chart+xml"/>
  <Override PartName="/xl/charts/style19.xml" ContentType="application/vnd.ms-office.chartstyle+xml"/>
  <Override PartName="/xl/charts/colors19.xml" ContentType="application/vnd.ms-office.chartcolorstyle+xml"/>
  <Override PartName="/xl/drawings/drawing25.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drawings/drawing26.xml" ContentType="application/vnd.openxmlformats-officedocument.drawing+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drawings/drawing27.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codeName="{26A90621-87C4-6C01-FD6A-EE6E7C140903}"/>
  <workbookPr codeName="ThisWorkbook"/>
  <mc:AlternateContent xmlns:mc="http://schemas.openxmlformats.org/markup-compatibility/2006">
    <mc:Choice Requires="x15">
      <x15ac:absPath xmlns:x15ac="http://schemas.microsoft.com/office/spreadsheetml/2010/11/ac" url="https://jernbanedirektoratet.sharepoint.com/sites/prosjekt-verktyogmetodeutviklingforsamfu/Delte dokumenter/General/1 SAGA-versjoner/v.3.0/"/>
    </mc:Choice>
  </mc:AlternateContent>
  <xr:revisionPtr revIDLastSave="17" documentId="8_{ACBCAAA3-3D3A-41B6-89AD-E8081CB114EE}" xr6:coauthVersionLast="47" xr6:coauthVersionMax="47" xr10:uidLastSave="{542E0E62-A51B-4CBC-99F5-C07AE0D1D53B}"/>
  <bookViews>
    <workbookView xWindow="28695" yWindow="-11055" windowWidth="29010" windowHeight="23385" tabRatio="846" xr2:uid="{A5CE0DF6-01ED-44F3-8C42-DF0983785347}"/>
  </bookViews>
  <sheets>
    <sheet name="0.1 Innhold" sheetId="2" r:id="rId1"/>
    <sheet name="0.2 Brukerveiledning" sheetId="1" r:id="rId2"/>
    <sheet name="0.3 Endringslogg" sheetId="19" r:id="rId3"/>
    <sheet name="0.4 Kilder" sheetId="18" r:id="rId4"/>
    <sheet name="Standardsatser-Forutsetninger" sheetId="24" state="hidden" r:id="rId5"/>
    <sheet name="1.1 Standardsatser" sheetId="3" r:id="rId6"/>
    <sheet name="1.2 Forutsetninger" sheetId="5" r:id="rId7"/>
    <sheet name="1.3 Persontransportmodell" sheetId="6" r:id="rId8"/>
    <sheet name="1.4 Godsmodell" sheetId="20" r:id="rId9"/>
    <sheet name="1.5 Prognoser og indekser" sheetId="25" r:id="rId10"/>
    <sheet name="2.1 Trafikanter" sheetId="13" r:id="rId11"/>
    <sheet name="2.2 Operatører" sheetId="14" r:id="rId12"/>
    <sheet name="2.3 Det Offentlige" sheetId="15" r:id="rId13"/>
    <sheet name="2.4 Samfunnet for øvrig" sheetId="16" r:id="rId14"/>
    <sheet name="2.5 Investeringer + vedlikehold" sheetId="8" r:id="rId15"/>
    <sheet name="3.1 Nyttestrøm" sheetId="17" r:id="rId16"/>
    <sheet name="3.2 Ikke-prissatte virkninger" sheetId="43" r:id="rId17"/>
    <sheet name="4.1 Resultatark" sheetId="4" r:id="rId18"/>
    <sheet name="4.1.2 Superside NTP 25-36" sheetId="44" r:id="rId19"/>
    <sheet name="4.1.3 Superside NTP 29-40" sheetId="48" state="hidden" r:id="rId20"/>
    <sheet name="4.1.3 Geofordelingsmodell" sheetId="46" r:id="rId21"/>
    <sheet name="4.2.1 Følsomhetsanalyse" sheetId="30" r:id="rId22"/>
    <sheet name="4.2.2 Monte Carlo-simulering" sheetId="39" r:id="rId23"/>
    <sheet name="4.2.3 Monte Carlo resultater" sheetId="41" state="hidden" r:id="rId24"/>
    <sheet name="4.3.1 Tverrsnittfigurer" sheetId="35" r:id="rId25"/>
    <sheet name="4.3.2 Tidsseriefigurer" sheetId="34" r:id="rId26"/>
    <sheet name="4.3.1 Data_Tverrsnittfigurer" sheetId="38" state="hidden" r:id="rId27"/>
    <sheet name="4.3.2 Data_Tidsseriefigurer" sheetId="37" state="hidden" r:id="rId28"/>
    <sheet name="Parametere" sheetId="32" state="hidden" r:id="rId29"/>
  </sheets>
  <functionGroups builtInGroupCount="19">
    <functionGroup name="Teknisk"/>
    <functionGroup name="Commands"/>
    <functionGroup name="Crystal Ball"/>
  </functionGroups>
  <externalReferences>
    <externalReference r:id="rId30"/>
    <externalReference r:id="rId31"/>
  </externalReferences>
  <definedNames>
    <definedName name="_xlnm._FilterDatabase" localSheetId="5" hidden="1">'1.1 Standardsatser'!$B$11:$H$430</definedName>
    <definedName name="_xlnm._FilterDatabase" localSheetId="6" hidden="1">'1.2 Forutsetninger'!$A$32:$F$100</definedName>
    <definedName name="_xlnm._FilterDatabase" localSheetId="9" hidden="1">'1.5 Prognoser og indekser'!$R$45:$CX$45</definedName>
    <definedName name="_Hlk109139482" localSheetId="18">'4.1.2 Superside NTP 25-36'!$B$4</definedName>
    <definedName name="_xlpm.andre" hidden="1" xlm="1">#NAME?</definedName>
    <definedName name="_xlpm.martin" hidden="1" xlm="1">#NAME?</definedName>
    <definedName name="∞">OFFSET('4.2.3 Monte Carlo resultater'!$BR$2,0,0,'4.2.3 Monte Carlo resultater'!$BU$2,1)</definedName>
    <definedName name="Admkostnader_TilleggDrift">'1.2 Forutsetninger'!$C$283</definedName>
    <definedName name="Admkostnader_TilleggInntekter">'1.2 Forutsetninger'!$C$284</definedName>
    <definedName name="Advarsel_følsomhet">'4.2.1 Følsomhetsanalyse'!$D$36</definedName>
    <definedName name="AnalyseperiodensLengde">'1.2 Forutsetninger'!$C$50</definedName>
    <definedName name="Andel_StoreTettsteder_Bil">'1.2 Forutsetninger'!$C$196</definedName>
    <definedName name="Andel_StoreTettsteder_Buss">'1.2 Forutsetninger'!$C$200</definedName>
    <definedName name="Andel_StoreTettsteder_Fly">'1.2 Forutsetninger'!$C$204</definedName>
    <definedName name="Andel_StoreTettsteder_Godstog_Diesel">'1.2 Forutsetninger'!$C$192</definedName>
    <definedName name="Andel_StoreTettsteder_LettLastebil">'1.2 Forutsetninger'!$C$208</definedName>
    <definedName name="Andel_StoreTettsteder_Modulvogntog">'1.2 Forutsetninger'!$C$216</definedName>
    <definedName name="Andel_StoreTettsteder_Persontog_Diesel">'1.2 Forutsetninger'!$C$185</definedName>
    <definedName name="Andel_StoreTettsteder_Skip">'1.2 Forutsetninger'!$C$220</definedName>
    <definedName name="Andel_StoreTettsteder_TungLastebil">'1.2 Forutsetninger'!$C$212</definedName>
    <definedName name="AndelArbeidsreiser">'1.2 Forutsetninger'!$C$106</definedName>
    <definedName name="AndelAvInvestering_Annen">'1.2 Forutsetninger'!$C$66</definedName>
    <definedName name="AndelAvinvestering_KLAnlegg">'1.2 Forutsetninger'!$C$63</definedName>
    <definedName name="AndelAvInvestering_Lavspenning">'1.2 Forutsetninger'!$C$64</definedName>
    <definedName name="AndelAvInvestering_Overbygning">'1.2 Forutsetninger'!$C$62</definedName>
    <definedName name="AndelAvInvestering_Signalanlegg">'1.2 Forutsetninger'!$C$65</definedName>
    <definedName name="AndelAvInvestering_Underbygning">'1.2 Forutsetninger'!$C$61</definedName>
    <definedName name="AndelAvInvestering_Øvrigekostnader">'1.2 Forutsetninger'!$C$66</definedName>
    <definedName name="AndelForretningsreiser">'1.2 Forutsetninger'!$C$108</definedName>
    <definedName name="AndelFritidsreiser">'1.2 Forutsetninger'!$C$107</definedName>
    <definedName name="AndelKmDiesel_ref">'1.2 Forutsetninger'!$C$78</definedName>
    <definedName name="AndelKmDiesel_tiltak">'1.2 Forutsetninger'!$D$78</definedName>
    <definedName name="AndelNyskaptTrafikk">'1.2 Forutsetninger'!$C$113</definedName>
    <definedName name="AndreBeregningsår">'1.2 Forutsetninger'!$C$38</definedName>
    <definedName name="Antall_Beregningsår">'1.2 Forutsetninger'!$C$34</definedName>
    <definedName name="Antall_mulige_verdier">Parametere!$I$2:$I$9</definedName>
    <definedName name="Antall_samtidige_liste">Parametere!$J$2:$J$4</definedName>
    <definedName name="Antall_samtidige_parametere">'4.2.1 Følsomhetsanalyse'!$F$12</definedName>
    <definedName name="Antall_verdier_parameter1">'4.2.1 Følsomhetsanalyse'!$F$14</definedName>
    <definedName name="Antall_verdier_parameter2">'4.2.1 Følsomhetsanalyse'!$I$14</definedName>
    <definedName name="AntallDøgn">'1.2 Forutsetninger'!$C$100</definedName>
    <definedName name="AntallDøgn_Materiell">'1.2 Forutsetninger'!$C$101</definedName>
    <definedName name="Ark_1.2_Forutsetninger">'0.1 Innhold'!$B$34</definedName>
    <definedName name="Ark_4.4.1_Data_Tverrsnittfigurer">'0.1 Innhold'!$B$54</definedName>
    <definedName name="Ark_4.5.1_Data_Tidsseriefigurer">'0.1 Innhold'!$B$56</definedName>
    <definedName name="Ark_4.5_Tidsseriefigurer">'0.1 Innhold'!$B$55</definedName>
    <definedName name="Ark_Data_Tidsseriefigurer">'0.1 Innhold'!$B$56</definedName>
    <definedName name="Ark_Data_Tverrsnittfigurer">'0.1 Innhold'!$B$54</definedName>
    <definedName name="Ark_Forutsetninger">'0.1 Innhold'!$B$34</definedName>
    <definedName name="Ark_Følsomhetsanalyse">'0.1 Innhold'!$B$50</definedName>
    <definedName name="Ark_MonteCarloResultater">'0.1 Innhold'!$B$52</definedName>
    <definedName name="Ark_MonteCarloSimulering">'0.1 Innhold'!$B$51</definedName>
    <definedName name="Ark_Parametere">'0.1 Innhold'!$B$49</definedName>
    <definedName name="Ark_Resultatark">'0.1 Innhold'!$B$45</definedName>
    <definedName name="Ark_Tidsseriefigurer">'0.1 Innhold'!$B$55</definedName>
    <definedName name="Avgift_BomFergeÅr1">'1.4 Godsmodell'!$E$16</definedName>
    <definedName name="Avgift_BomFergeÅr2">'1.4 Godsmodell'!$L$16</definedName>
    <definedName name="Avgift_BomFergeÅr3">'1.4 Godsmodell'!$R$16</definedName>
    <definedName name="Avgift_BussÅr1">'2.2 Operatører'!$K$61</definedName>
    <definedName name="Avgift_BussÅr2">'2.2 Operatører'!$L$61</definedName>
    <definedName name="Avgift_BussÅr3">'2.2 Operatører'!$M$61</definedName>
    <definedName name="Avgift_FlyÅr1">'2.2 Operatører'!#REF!</definedName>
    <definedName name="Avgift_FlyÅr2">'2.2 Operatører'!#REF!</definedName>
    <definedName name="Avgift_FlyÅr3">'2.2 Operatører'!#REF!</definedName>
    <definedName name="Avgift_PersontogD_År2">'2.2 Operatører'!$L$42</definedName>
    <definedName name="Avgift_PersontogD_År3">'2.2 Operatører'!$M$42</definedName>
    <definedName name="Avgift_PersontogEL_År2">'2.2 Operatører'!$L$41</definedName>
    <definedName name="Avgift_PersontogEL_År3">'2.2 Operatører'!$M$41</definedName>
    <definedName name="AvgifterTilStaten_Bil">'1.1 Standardsatser'!$D$144</definedName>
    <definedName name="AvgifterTilStaten_Buss">'1.1 Standardsatser'!$D$145</definedName>
    <definedName name="AvgifterTilStaten_Fly">'1.1 Standardsatser'!#REF!</definedName>
    <definedName name="AvgifterTilStaten_Godsfly">'1.1 Standardsatser'!#REF!</definedName>
    <definedName name="AvgifterTilStaten_GodstogD">'1.1 Standardsatser'!$D$142</definedName>
    <definedName name="AvgifterTilStaten_GodstogEL">'1.1 Standardsatser'!$D$141</definedName>
    <definedName name="AvgifterTilStaten_Lettlastebil">'1.1 Standardsatser'!$D$146</definedName>
    <definedName name="AvgifterTilStaten_Skip">'1.1 Standardsatser'!$D$148</definedName>
    <definedName name="AvgifterTilStaten_TogD">'1.1 Standardsatser'!$D$139</definedName>
    <definedName name="AvgifterTilStaten_TogEL">'1.1 Standardsatser'!$D$138</definedName>
    <definedName name="AvgifterTilStaten_Tunglastebil">'1.1 Standardsatser'!$D$147</definedName>
    <definedName name="Avinor_2024">'0.4 Kilder'!$B$90</definedName>
    <definedName name="BaneNOR_2017">'0.4 Kilder'!$B$7</definedName>
    <definedName name="BaneNOR_2017_1">'0.4 Kilder'!$B$8</definedName>
    <definedName name="BaneNOR_2017_2">'0.4 Kilder'!$B$9</definedName>
    <definedName name="BaneNOR_2017_5">'0.4 Kilder'!$B$10</definedName>
    <definedName name="BaneNOR_2018">'0.4 Kilder'!$B$11</definedName>
    <definedName name="BaneNOR_2022">'0.4 Kilder'!$B$12</definedName>
    <definedName name="BaneNOR_2023">'0.4 Kilder'!$B$13</definedName>
    <definedName name="Bilbelegg_Gjennomsnitt">'1.2 Forutsetninger'!$C$146</definedName>
    <definedName name="billettinnekter_døgn_endring_TogÅr1">'1.3 Persontransportmodell'!$E$23</definedName>
    <definedName name="billettinnekter_døgn_endring_TogÅr1_Togtype_2">'1.3 Persontransportmodell'!$K$23</definedName>
    <definedName name="billettinnt_døgn_endring_TogÅr2">'1.3 Persontransportmodell'!$E$55</definedName>
    <definedName name="billettinnt_døgn_endring_TogÅr2_Togtype_2">'1.3 Persontransportmodell'!$K$55</definedName>
    <definedName name="billettinnt_døgn_endring_TogÅr3">'1.3 Persontransportmodell'!$E$88</definedName>
    <definedName name="billettinnt_døgn_endring_TogÅr3_Togtype_2">'1.3 Persontransportmodell'!$K$88</definedName>
    <definedName name="Billettinntekt_RefÅr1">'1.3 Persontransportmodell'!$AG$23</definedName>
    <definedName name="Billettinntekt_RefÅr1_Togtype_2">'1.3 Persontransportmodell'!$AM$23</definedName>
    <definedName name="Billettinntekt_RefÅr2">'1.3 Persontransportmodell'!$AG$57</definedName>
    <definedName name="Billettinntekt_RefÅr2_Togtype_2">'1.3 Persontransportmodell'!$AM$57</definedName>
    <definedName name="Billettinntekt_RefÅr3">'1.3 Persontransportmodell'!$AG$90</definedName>
    <definedName name="Billettinntekt_RefÅr3_Togtype_2">'1.3 Persontransportmodell'!$AM$90</definedName>
    <definedName name="Billettinntekt_TiltakÅr1">'1.3 Persontransportmodell'!$AH$23</definedName>
    <definedName name="Billettinntekt_TiltakÅr1_Togtype_2">'1.3 Persontransportmodell'!$AN$23</definedName>
    <definedName name="Billettinntekt_TiltakÅr2">'1.3 Persontransportmodell'!$AH$57</definedName>
    <definedName name="Billettinntekt_TiltakÅr2_Togtype_2">'1.3 Persontransportmodell'!$AN$57</definedName>
    <definedName name="Billettinntekt_TiltakÅr3">'1.3 Persontransportmodell'!$AH$90</definedName>
    <definedName name="Billettinntekt_TiltakÅr3_Togtype_2">'1.3 Persontransportmodell'!$AN$90</definedName>
    <definedName name="Billettinntekt_År1">'1.3 Persontransportmodell'!$AI$23</definedName>
    <definedName name="Billettinntekt_År1_Togtype_2">'1.3 Persontransportmodell'!$AO$23</definedName>
    <definedName name="Billettinntekt_År2">'1.3 Persontransportmodell'!$AI$57</definedName>
    <definedName name="Billettinntekt_År2_Togtype_2">'1.3 Persontransportmodell'!$AO$57</definedName>
    <definedName name="Billettinntekt_År3">'1.3 Persontransportmodell'!$AI$90</definedName>
    <definedName name="Billettinntekt_År3_Togtype_2">'1.3 Persontransportmodell'!$AO$90</definedName>
    <definedName name="Bilparken_Bil_Bensin">'1.2 Forutsetninger'!$C$389</definedName>
    <definedName name="Bilparken_Bil_Diesel">'1.2 Forutsetninger'!$C$388</definedName>
    <definedName name="Bilreiser_over50km">'1.2 Forutsetninger'!$C$136</definedName>
    <definedName name="Bilreiser_under50km">'1.2 Forutsetninger'!$C$135</definedName>
    <definedName name="Bilreiser_År1">'1.3 Persontransportmodell'!$AU$20</definedName>
    <definedName name="Bilreiser_År2">'1.3 Persontransportmodell'!$AU$54</definedName>
    <definedName name="Bilreiser_År3">'1.3 Persontransportmodell'!$AU$87</definedName>
    <definedName name="BKIIndeks">'1.5 Prognoser og indekser'!$L$67:$EO$67</definedName>
    <definedName name="BKIIndeksDV">'1.5 Prognoser og indekser'!$L$68:$EO$68</definedName>
    <definedName name="BKIJustering_DV">'1.5 Prognoser og indekser'!$H$63</definedName>
    <definedName name="BNPIndeks">'1.5 Prognoser og indekser'!$L$66:$EO$66</definedName>
    <definedName name="BNPJustering">'1.5 Prognoser og indekser'!$H$59</definedName>
    <definedName name="break_even_parameter1">'4.2.1 Følsomhetsanalyse'!$D$64</definedName>
    <definedName name="break_even_parameter2">'4.2.1 Følsomhetsanalyse'!$D$88</definedName>
    <definedName name="break_even_value">'4.2.1 Følsomhetsanalyse'!$J$38</definedName>
    <definedName name="Brukm_Endring">'1.2 Forutsetninger'!$E$73</definedName>
    <definedName name="Brukm_Ref">'1.2 Forutsetninger'!$C$73</definedName>
    <definedName name="Brukm_Tiltak">'1.2 Forutsetninger'!$D$73</definedName>
    <definedName name="Bussbelegg">'1.2 Forutsetninger'!$C$148</definedName>
    <definedName name="Bussreiser_År1">'1.3 Persontransportmodell'!$BA$20</definedName>
    <definedName name="Bussreiser_År2">'1.3 Persontransportmodell'!$BA$54</definedName>
    <definedName name="Bussreiser_År3">'1.3 Persontransportmodell'!$BA$87</definedName>
    <definedName name="Civitas_2011">'0.4 Kilder'!$B$26</definedName>
    <definedName name="CO2.KvotePrisVekst">'1.2 Forutsetninger'!$C$28</definedName>
    <definedName name="CO2_avgift">'1.1 Standardsatser'!#REF!</definedName>
    <definedName name="CO2_KgPerLiter_Flydrivstoff">'1.2 Forutsetninger'!$C$362</definedName>
    <definedName name="CO2_KgPerLiter_Skip">'1.2 Forutsetninger'!$C$364</definedName>
    <definedName name="CO2_KgPerLiterDiesel">'1.2 Forutsetninger'!$C$361</definedName>
    <definedName name="CO2_KgPerTonn_Dieseltog">'1.2 Forutsetninger'!$C$363</definedName>
    <definedName name="CO2avg_2015">'1.1 Standardsatser'!#REF!</definedName>
    <definedName name="CO2KvotePris1">'1.1 Standardsatser'!#REF!</definedName>
    <definedName name="CO2KvotePris2">'1.1 Standardsatser'!#REF!</definedName>
    <definedName name="CO2KvotePris3">'1.1 Standardsatser'!#REF!</definedName>
    <definedName name="CO2KvotePris4">'1.1 Standardsatser'!#REF!</definedName>
    <definedName name="CO2KvotePris5">'1.1 Standardsatser'!#REF!</definedName>
    <definedName name="CO2KvotePriser">'1.1 Standardsatser'!#REF!</definedName>
    <definedName name="CO2KvotePriser_Opprinnelig">'1.1 Standardsatser'!#REF!</definedName>
    <definedName name="CO2KvotePrisStart">'1.1 Standardsatser'!#REF!</definedName>
    <definedName name="CO2KvoteÅr">'1.1 Standardsatser'!#REF!</definedName>
    <definedName name="CO2KvoteÅr1">'1.1 Standardsatser'!#REF!</definedName>
    <definedName name="CO2KvoteÅr2">'1.1 Standardsatser'!#REF!</definedName>
    <definedName name="CO2KvoteÅr3">'1.1 Standardsatser'!#REF!</definedName>
    <definedName name="CO2KvoteÅr4">'1.1 Standardsatser'!#REF!</definedName>
    <definedName name="CO2KvoteÅr5">'1.1 Standardsatser'!#REF!</definedName>
    <definedName name="CO2Utslipp_arealbeslag_tiltak">'1.2 Forutsetninger'!$C$59</definedName>
    <definedName name="CO2utslipp_Bil2022">'1.2 Forutsetninger'!$C$351</definedName>
    <definedName name="CO2Utslipp_Buss">'1.2 Forutsetninger'!$C$352</definedName>
    <definedName name="Co2Utslipp_byggefase_alleavgifter">'1.2 Forutsetninger'!$C$57</definedName>
    <definedName name="Co2Utslipp_byggefase_CO2avgift">'1.2 Forutsetninger'!$C$56</definedName>
    <definedName name="Co2utslipp_byggefase_sum">'1.2 Forutsetninger'!$C$58</definedName>
    <definedName name="CO2Utslipp_Fly">'1.2 Forutsetninger'!$C$353</definedName>
    <definedName name="CO2Utslipp_GodstogD">'1.2 Forutsetninger'!$C$349</definedName>
    <definedName name="CO2Utslipp_GodstogEL">'1.2 Forutsetninger'!$C$348</definedName>
    <definedName name="CO2Utslipp_Kostnader">'3.1 Nyttestrøm'!$D$76:$F$84</definedName>
    <definedName name="CO2Utslipp_LettLastebil">'1.2 Forutsetninger'!$C$354</definedName>
    <definedName name="CO2Utslipp_PersontogD">'1.2 Forutsetninger'!$C$346</definedName>
    <definedName name="CO2Utslipp_PersontogEL">'1.2 Forutsetninger'!$C$345</definedName>
    <definedName name="CO2Utslipp_Skip_2018">'1.2 Forutsetninger'!$C$357</definedName>
    <definedName name="CO2Utslipp_Skip_2030">'1.2 Forutsetninger'!$C$358</definedName>
    <definedName name="CO2Utslipp_Skip_2050">'1.2 Forutsetninger'!$C$359</definedName>
    <definedName name="CO2Utslipp_TungLastebil">'1.2 Forutsetninger'!$C$356</definedName>
    <definedName name="CO2År1_AndreTransportmidler">'2.4 Samfunnet for øvrig'!$C$76</definedName>
    <definedName name="CO2År1_Tog">'2.4 Samfunnet for øvrig'!$C$60</definedName>
    <definedName name="CRF_Faktor">'1.2 Forutsetninger'!$C$29</definedName>
    <definedName name="CUT_2012">'0.4 Kilder'!$B$14</definedName>
    <definedName name="Daglinje_Endring">'1.2 Forutsetninger'!$E$71</definedName>
    <definedName name="Daglinje_Ref">'1.2 Forutsetninger'!$C$71</definedName>
    <definedName name="Daglinje_Tiltak">'1.2 Forutsetninger'!$D$71</definedName>
    <definedName name="Diskonteringsår">'1.2 Forutsetninger'!$C$40</definedName>
    <definedName name="Distanseavhengig_Gjennomsnitt">'1.1 Standardsatser'!$D$22</definedName>
    <definedName name="Drivstofforbruk_75D_74BMU">'[1]1.2 Forutsetninger'!$C$334</definedName>
    <definedName name="Drivstofforbruk_76">'1.2 Forutsetninger'!$C$373</definedName>
    <definedName name="Drivstofforbruk_93">'1.2 Forutsetninger'!$C$371</definedName>
    <definedName name="Drivstofforbruk_Bil_Bensin">'1.2 Forutsetninger'!$C$378</definedName>
    <definedName name="Drivstofforbruk_Bil_Diesel">'1.2 Forutsetninger'!$C$379</definedName>
    <definedName name="Drivstofforbruk_Buss">'1.2 Forutsetninger'!$C$380</definedName>
    <definedName name="Drivstofforbruk_Fly">'1.2 Forutsetninger'!$C$385</definedName>
    <definedName name="Drivstofforbruk_GodstogD">'1.2 Forutsetninger'!$C$376</definedName>
    <definedName name="Drivstofforbruk_LettLastebil">'1.2 Forutsetninger'!$C$381</definedName>
    <definedName name="Drivstofforbruk_LokD">'1.2 Forutsetninger'!$C$372</definedName>
    <definedName name="Drivstofforbruk_PersontogD">'1.2 Forutsetninger'!$C$374</definedName>
    <definedName name="Drivstofforbruk_Skip">'1.2 Forutsetninger'!$C$384</definedName>
    <definedName name="Drivstofforbruk_TungLastebil">'1.2 Forutsetninger'!$C$382</definedName>
    <definedName name="EC_2014">'0.4 Kilder'!$B$16</definedName>
    <definedName name="ECON_054_2003">'0.4 Kilder'!$B$15</definedName>
    <definedName name="Energi_69">'1.1 Standardsatser'!$D$195</definedName>
    <definedName name="Energi_70">'1.1 Standardsatser'!$D$196</definedName>
    <definedName name="Energi_72">'1.1 Standardsatser'!$D$200</definedName>
    <definedName name="Energi_73">'1.1 Standardsatser'!$D$199</definedName>
    <definedName name="Energi_74">'1.1 Standardsatser'!$D$198</definedName>
    <definedName name="Energi_75">'1.1 Standardsatser'!$D$197</definedName>
    <definedName name="Energi_76">'1.1 Standardsatser'!$D$204</definedName>
    <definedName name="Energi_76el">'1.1 Standardsatser'!$D$205</definedName>
    <definedName name="Energi_77">'1.1 Standardsatser'!$D$202</definedName>
    <definedName name="Energi_78">'1.1 Standardsatser'!$D$201</definedName>
    <definedName name="Energi_93D">'1.1 Standardsatser'!$D$203</definedName>
    <definedName name="Energi_Di4">'1.1 Standardsatser'!$D$214</definedName>
    <definedName name="Energi_EL18">'1.1 Standardsatser'!$D$213</definedName>
    <definedName name="Energi_N05">'1.1 Standardsatser'!$D$206</definedName>
    <definedName name="Energi_N06">'1.1 Standardsatser'!$D$207</definedName>
    <definedName name="Energi_N10dag">'1.1 Standardsatser'!$D$208</definedName>
    <definedName name="Energi_N10natt">'1.1 Standardsatser'!$D$209</definedName>
    <definedName name="Energi_N11">'1.1 Standardsatser'!$D$210</definedName>
    <definedName name="Energi_N12">'1.1 Standardsatser'!$D$211</definedName>
    <definedName name="Energi_N13">'1.1 Standardsatser'!$D$212</definedName>
    <definedName name="Energi_Stog">'1.1 Standardsatser'!$D$194</definedName>
    <definedName name="Energikilde_Endring">'1.2 Forutsetninger'!$E$77</definedName>
    <definedName name="Energikilde_Ref">'1.2 Forutsetninger'!$C$77</definedName>
    <definedName name="Energikilde_Tiltak">'1.2 Forutsetninger'!$D$77</definedName>
    <definedName name="enkeltreiser_døgn_endring_TogÅr1">'1.3 Persontransportmodell'!$E$17:$E$21</definedName>
    <definedName name="enkeltreiser_døgn_endring_TogÅr2">'1.3 Persontransportmodell'!$E$49:$E$53</definedName>
    <definedName name="enkeltreiser_døgn_endring_TogÅr3">'1.3 Persontransportmodell'!$E$82:$E$86</definedName>
    <definedName name="FartøyMkm_InnlandSkip_År1">'1.4 Godsmodell'!$E$59</definedName>
    <definedName name="FartøyMkm_InnlandSkip_År2">'1.4 Godsmodell'!$L$59</definedName>
    <definedName name="FartøyMkm_InnlandSkip_År3">'1.4 Godsmodell'!$R$59</definedName>
    <definedName name="FartøyMkm_Skip_År1">'1.4 Godsmodell'!$E$53</definedName>
    <definedName name="FartøyMkm_Skip_År2">'1.4 Godsmodell'!$L$53</definedName>
    <definedName name="FartøyMkm_Skip_År3">'1.4 Godsmodell'!$R$53</definedName>
    <definedName name="Finansdepartementet_2016_2017">'0.4 Kilder'!$B$17</definedName>
    <definedName name="Flybelegg">'1.2 Forutsetninger'!$C$150</definedName>
    <definedName name="Flykm_År1">'2.2 Operatører'!$K$70</definedName>
    <definedName name="Flykm_År2">'2.2 Operatører'!$L$70</definedName>
    <definedName name="Flykm_År3">'2.2 Operatører'!$M$70</definedName>
    <definedName name="Flyreiser_År1">'1.3 Persontransportmodell'!$BG$20</definedName>
    <definedName name="Flyreiser_År2">'1.3 Persontransportmodell'!$BG$54</definedName>
    <definedName name="Flyreiser_År3">'1.3 Persontransportmodell'!$BG$87</definedName>
    <definedName name="Formater_begge">Parametere!$K$2:$K$4</definedName>
    <definedName name="Formater_prosent">Parametere!$L$2:$L$3</definedName>
    <definedName name="Formater_tallverdi">Parametere!$M$2:$M$3</definedName>
    <definedName name="Framskrivning">'1.2 Forutsetninger'!$C$48</definedName>
    <definedName name="Fremtidig_KPI">'1.2 Forutsetninger'!$C$27</definedName>
    <definedName name="Fremtidig_Reallønnsvekst">'1.2 Forutsetninger'!$C$25</definedName>
    <definedName name="FørsteBeregningsår">'1.2 Forutsetninger'!$C$37</definedName>
    <definedName name="Gods_Transportkostnader_og_Trafikkarbeid">'1.4 Godsmodell'!$E$56,'1.4 Godsmodell'!$L$56,'1.4 Godsmodell'!$R$56,Avgift_BomFergeÅr1,Logistikkostnad_År1,KjøretøyMkm_Lettlastebil_År1,KjøretøyMkm_Tunglastebil_År1,KjøretøyMkm_Modulvogntog_År1,FartøyMkm_Skip_År1,GodstogMkmEL_År1,GodstogMkmD_År1,GodsflyMkm_År1,Avgift_BomFergeÅr2,Logistikkostnad_År2,KjøretøyMkm_Lettlastebil_År2,KjøretøyMkm_Tunglastebil_År2,KjøretøyMkm_Modulvogntog_År2,FartøyMkm_Skip_År2,GodstogMkmEL_År2,GodstogMkmD_År2,GodsflyMkm_År2,Avgift_BomFergeÅr3,Logistikkostnad_År3,KjøretøyMkm_Lettlastebil_År3,KjøretøyMkm_Tunglastebil_År3,KjøretøyMkm_Modulvogntog_År3,FartøyMkm_Skip_År3,GodstogMkmEL_År3,GodstogMkmD_År3,GodsflyMkm_År3</definedName>
    <definedName name="GodsflyMkm_InnlandÅr1">'1.4 Godsmodell'!$E$60</definedName>
    <definedName name="GodsflyMkm_InnlandÅr2">'1.4 Godsmodell'!$L$60</definedName>
    <definedName name="GodsflyMkm_InnlandÅr3">'1.4 Godsmodell'!$R$60</definedName>
    <definedName name="GodsflyMkm_År1">'1.4 Godsmodell'!$E$57</definedName>
    <definedName name="GodsflyMkm_År2">'1.4 Godsmodell'!$L$57</definedName>
    <definedName name="GodsflyMkm_År3">'1.4 Godsmodell'!$R$57</definedName>
    <definedName name="GodstogMkmD_RefÅr1">'1.4 Godsmodell'!$C$55</definedName>
    <definedName name="GodstogMkmD_TiltakÅr1">'1.4 Godsmodell'!$D$55</definedName>
    <definedName name="GodstogMkmD_År1">'1.4 Godsmodell'!$E$55</definedName>
    <definedName name="GodstogMkmD_År2">'1.4 Godsmodell'!$L$55</definedName>
    <definedName name="GodstogMkmD_År3">'1.4 Godsmodell'!$R$55</definedName>
    <definedName name="GodstogMkmEL_RefÅr1">'1.4 Godsmodell'!$C$54</definedName>
    <definedName name="GodstogMkmEL_TiltakÅr1">'1.4 Godsmodell'!$D$54</definedName>
    <definedName name="GodstogMkmEL_År1">'1.4 Godsmodell'!$E$54</definedName>
    <definedName name="GodstogMkmEL_År2">'1.4 Godsmodell'!$L$54</definedName>
    <definedName name="GodstogMkmEL_År3">'1.4 Godsmodell'!$R$54</definedName>
    <definedName name="Grunntakst_Gjennomsnitt">'1.1 Standardsatser'!$D$18</definedName>
    <definedName name="Hastighet_Endring">'1.2 Forutsetninger'!$E$75</definedName>
    <definedName name="Hastighet_Ref">'1.2 Forutsetninger'!$C$75</definedName>
    <definedName name="Hastighet_Tiltak">'1.2 Forutsetninger'!$D$75</definedName>
    <definedName name="Helsedirektoratet_2014">'0.4 Kilder'!$B$20</definedName>
    <definedName name="Helsedirektoratet_2025">'0.4 Kilder'!$B$97</definedName>
    <definedName name="Helsegevinst">'1.1 Standardsatser'!$D$135</definedName>
    <definedName name="Helsegevinst_Km">'1.2 Forutsetninger'!$C$225</definedName>
    <definedName name="Helsegevinst_Sats">'1.1 Standardsatser'!$E$135</definedName>
    <definedName name="Hypotese_parameter1">'4.2.1 Følsomhetsanalyse'!$E$30</definedName>
    <definedName name="Hypotese_parameter2">'4.2.1 Følsomhetsanalyse'!$I$30</definedName>
    <definedName name="Høy_bane">'1.1 Standardsatser'!#REF!</definedName>
    <definedName name="Investering_AntallÅr">'1.2 Forutsetninger'!$C$55</definedName>
    <definedName name="Investering_Kroneår">'1.2 Forutsetninger'!$C$52</definedName>
    <definedName name="Investering_Referanse">'1.2 Forutsetninger'!$C$53</definedName>
    <definedName name="Investering_Tiltak">'1.2 Forutsetninger'!$C$54</definedName>
    <definedName name="JDIR_2017">'0.4 Kilder'!$B$22</definedName>
    <definedName name="JDIR_2017_1">'0.4 Kilder'!$B$23</definedName>
    <definedName name="JDIR_2019">'0.4 Kilder'!$B$25</definedName>
    <definedName name="JDIR_2026">'0.4 Kilder'!$B$24</definedName>
    <definedName name="JDIR_2026_1">'0.4 Kilder'!$B$24</definedName>
    <definedName name="Jernbaneverket_2015">'0.4 Kilder'!$B$27</definedName>
    <definedName name="Jernbaneverket_2016">'0.4 Kilder'!$B$28</definedName>
    <definedName name="Kalkulasjonsrente1">'1.2 Forutsetninger'!$C$18</definedName>
    <definedName name="Kalkulasjonsrente2">'1.2 Forutsetninger'!$D$18</definedName>
    <definedName name="Kalkulasjonsrente3">'1.2 Forutsetninger'!$E$18</definedName>
    <definedName name="Kjøretøykm_Bil_År1">'2.2 Operatører'!$K$53</definedName>
    <definedName name="Kjøretøykm_Bil_År2">'2.2 Operatører'!$L$53</definedName>
    <definedName name="Kjøretøykm_Bil_År3">'2.2 Operatører'!$M$53</definedName>
    <definedName name="Kjøretøykm_Buss_År1">'2.2 Operatører'!$K$59</definedName>
    <definedName name="Kjøretøykm_Buss_År2">'2.2 Operatører'!$L$59</definedName>
    <definedName name="Kjøretøykm_Buss_År3">'2.2 Operatører'!$M$59</definedName>
    <definedName name="KjøretøyMkm_Lettlastebil_År1">'1.4 Godsmodell'!$E$50</definedName>
    <definedName name="KjøretøyMkm_Lettlastebil_År2">'1.4 Godsmodell'!$L$50</definedName>
    <definedName name="KjøretøyMkm_Lettlastebil_År3">'1.4 Godsmodell'!$R$50</definedName>
    <definedName name="KjøretøyMkm_Modulvogntog_År1">'1.4 Godsmodell'!$E$52</definedName>
    <definedName name="KjøretøyMkm_Modulvogntog_År2">'1.4 Godsmodell'!$L$52</definedName>
    <definedName name="KjøretøyMkm_Modulvogntog_År3">'1.4 Godsmodell'!$R$52</definedName>
    <definedName name="KjøretøyMkm_Tunglastebil_År1">'1.4 Godsmodell'!$E$51</definedName>
    <definedName name="KjøretøyMkm_Tunglastebil_År2">'1.4 Godsmodell'!$L$51</definedName>
    <definedName name="KjøretøyMkm_Tunglastebil_År3">'1.4 Godsmodell'!$R$51</definedName>
    <definedName name="Klargjøring_69">'1.1 Standardsatser'!$D$240</definedName>
    <definedName name="Klargjøring_70">'1.1 Standardsatser'!$D$241</definedName>
    <definedName name="Klargjøring_72">'1.1 Standardsatser'!$D$245</definedName>
    <definedName name="Klargjøring_73">'1.1 Standardsatser'!$D$244</definedName>
    <definedName name="Klargjøring_74">'1.1 Standardsatser'!$D$243</definedName>
    <definedName name="Klargjøring_75">'1.1 Standardsatser'!$D$242</definedName>
    <definedName name="Klargjøring_76">'1.1 Standardsatser'!$D$249</definedName>
    <definedName name="Klargjøring_77">'1.1 Standardsatser'!$D$247</definedName>
    <definedName name="Klargjøring_78">'1.1 Standardsatser'!$D$246</definedName>
    <definedName name="Klargjøring_93D">'1.1 Standardsatser'!$D$248</definedName>
    <definedName name="Klargjøring_Di4">'1.1 Standardsatser'!$D$258</definedName>
    <definedName name="Klargjøring_EL18">'1.1 Standardsatser'!$D$257</definedName>
    <definedName name="Klargjøring_N05">'1.1 Standardsatser'!$D$250</definedName>
    <definedName name="Klargjøring_N06">'1.1 Standardsatser'!$D$251</definedName>
    <definedName name="Klargjøring_N10dag">'1.1 Standardsatser'!$D$252</definedName>
    <definedName name="Klargjøring_N10natt">'1.1 Standardsatser'!$D$253</definedName>
    <definedName name="Klargjøring_N11">'1.1 Standardsatser'!$D$254</definedName>
    <definedName name="Klargjøring_N12">'1.1 Standardsatser'!$D$255</definedName>
    <definedName name="Klargjøring_N13">'1.1 Standardsatser'!$D$256</definedName>
    <definedName name="Klargjøring_Sittevogn">'1.1 Standardsatser'!$D$259</definedName>
    <definedName name="Klargjøring_Sovevogn">'1.1 Standardsatser'!$D$260</definedName>
    <definedName name="Klargjøring_Stog">'1.1 Standardsatser'!$D$239</definedName>
    <definedName name="KLkm_Ref">'1.2 Forutsetninger'!$C$74</definedName>
    <definedName name="KLkm_Tiltak">'1.2 Forutsetninger'!$D$74</definedName>
    <definedName name="KostnaderCO2Utslipp_AlleTransportformer">'3.1 Nyttestrøm'!$DS$76:$DT$84</definedName>
    <definedName name="KostnadPrDødsfall">'1.1 Standardsatser'!$D$286</definedName>
    <definedName name="KostnadPrSett_69">'1.1 Standardsatser'!$D$172</definedName>
    <definedName name="KostnadPrSett_70">'1.1 Standardsatser'!$D$173</definedName>
    <definedName name="KostnadPrSett_72">'1.1 Standardsatser'!$D$177</definedName>
    <definedName name="KostnadPrSett_73">'1.1 Standardsatser'!$D$176</definedName>
    <definedName name="KostnadPrSett_74">'1.1 Standardsatser'!$D$175</definedName>
    <definedName name="KostnadPrSett_75">'1.1 Standardsatser'!$D$174</definedName>
    <definedName name="KostnadPrSett_76">'1.1 Standardsatser'!$D$181</definedName>
    <definedName name="KostnadPrSett_77">'1.1 Standardsatser'!$D$179</definedName>
    <definedName name="KostnadPrSett_78">'1.1 Standardsatser'!$D$178</definedName>
    <definedName name="KostnadPrSett_93D">'1.1 Standardsatser'!$D$180</definedName>
    <definedName name="KostnadPrSett_Di4">'1.1 Standardsatser'!$D$190</definedName>
    <definedName name="KostnadPrSett_EL18">'1.1 Standardsatser'!$D$189</definedName>
    <definedName name="KostnadPrSett_N05">'1.1 Standardsatser'!$D$182</definedName>
    <definedName name="KostnadPrSett_N06">'1.1 Standardsatser'!$D$183</definedName>
    <definedName name="KostnadPrSett_N10dag">'1.1 Standardsatser'!$D$184</definedName>
    <definedName name="KostnadPrSett_N10natt">'1.1 Standardsatser'!$D$185</definedName>
    <definedName name="KostnadPrSett_N11">'1.1 Standardsatser'!$D$186</definedName>
    <definedName name="KostnadPrSett_N12">'1.1 Standardsatser'!$D$187</definedName>
    <definedName name="KostnadPrSett_N13">'1.1 Standardsatser'!$D$188</definedName>
    <definedName name="KostnadPrSett_sittevogn">'1.1 Standardsatser'!$D$191</definedName>
    <definedName name="KostnadPrSett_Sovevogn">'1.1 Standardsatser'!$D$192</definedName>
    <definedName name="KostnadPrSett_Stog">'1.1 Standardsatser'!$D$171</definedName>
    <definedName name="KPIIndeks">'1.5 Prognoser og indekser'!$L$69:$EO$69</definedName>
    <definedName name="KPIJustering">'1.5 Prognoser og indekser'!$H$58</definedName>
    <definedName name="KPIJustering_Gods">'1.5 Prognoser og indekser'!$H$57</definedName>
    <definedName name="KPIJustering_Investering">'1.5 Prognoser og indekser'!$H$54</definedName>
    <definedName name="KPIJustering_Takster">'1.5 Prognoser og indekser'!$H$56</definedName>
    <definedName name="KPIJustering_Tid">'1.5 Prognoser og indekser'!$H$55</definedName>
    <definedName name="KroneårIBeregninger">'1.2 Forutsetninger'!$C$41</definedName>
    <definedName name="kWhSettkm_72">'1.2 Forutsetninger'!$C$232</definedName>
    <definedName name="KWhSettkm_73">'1.2 Forutsetninger'!$C$231</definedName>
    <definedName name="kWhSettkm_74">'1.2 Forutsetninger'!$C$230</definedName>
    <definedName name="kWhSettkm_75">'1.2 Forutsetninger'!$C$229</definedName>
    <definedName name="kWhSettkm_77">'1.2 Forutsetninger'!$C$233</definedName>
    <definedName name="kWhSettkm_78">'1.2 Forutsetninger'!$C$234</definedName>
    <definedName name="kWhSettkm_LokEL">'1.2 Forutsetninger'!$C$235</definedName>
    <definedName name="kWhSettkm_Oaris">'[1]1.2 Forutsetninger'!$C$215</definedName>
    <definedName name="kWhSettkm_Stog">'1.2 Forutsetninger'!$C$228</definedName>
    <definedName name="Kø_Bil">'1.1 Standardsatser'!$D$122</definedName>
    <definedName name="Kø_Buss">'1.1 Standardsatser'!$D$127</definedName>
    <definedName name="Kø_Lastebil">'1.1 Standardsatser'!$D$132</definedName>
    <definedName name="Lav_bane">'1.1 Standardsatser'!#REF!</definedName>
    <definedName name="Levetid_Annen">'1.2 Forutsetninger'!$C$131</definedName>
    <definedName name="Levetid_KLanlegg">'1.2 Forutsetninger'!$C$128</definedName>
    <definedName name="Levetid_Lavspenning">'1.2 Forutsetninger'!$C$129</definedName>
    <definedName name="Levetid_Overbygning">'1.2 Forutsetninger'!$C$127</definedName>
    <definedName name="Levetid_Signalanlegg">'1.2 Forutsetninger'!$C$130</definedName>
    <definedName name="Levetid_Togmateriell">'1.2 Forutsetninger'!$C$260</definedName>
    <definedName name="Levetid_Underbygning">'1.2 Forutsetninger'!$C$126</definedName>
    <definedName name="Logistikkostnad_År1">'1.4 Godsmodell'!$E$26</definedName>
    <definedName name="Logistikkostnad_År2">'1.4 Godsmodell'!$L$26</definedName>
    <definedName name="Logistikkostnad_År3">'1.4 Godsmodell'!$R$26</definedName>
    <definedName name="LokaleUtslipp_AlleTransportformer">LokaleUtslipp_PersontogEL,LokaleUtslipp_PersontogD,LokaleUtslipp_GodstogEL,LokaleUtslipp_GodstogD,LokaleUtslipp_Bil,LokaleUtslipp_Buss,LokaleUtslipp_Fly,LokaleUtslipp_LettLastebil,LokaleUtslipp_TungLastebil,LokaleUtslipp_Skip</definedName>
    <definedName name="LokaleUtslipp_Bil">'1.1 Standardsatser'!$D$400</definedName>
    <definedName name="LokaleUtslipp_Buss">'1.1 Standardsatser'!$D$405</definedName>
    <definedName name="LokaleUtslipp_Fly">'1.1 Standardsatser'!$D$410</definedName>
    <definedName name="LokaleUtslipp_GodstogD">'1.1 Standardsatser'!$D$395</definedName>
    <definedName name="LokaleUtslipp_GodstogEL">'1.1 Standardsatser'!$D$391</definedName>
    <definedName name="LokaleUtslipp_LettLastebil">'1.1 Standardsatser'!$D$420</definedName>
    <definedName name="LokaleUtslipp_Modulvogntog">'1.1 Standardsatser'!$D$430</definedName>
    <definedName name="LokaleUtslipp_PersontogD">'1.1 Standardsatser'!$D$386</definedName>
    <definedName name="LokaleUtslipp_PersontogEL">'1.1 Standardsatser'!$D$382</definedName>
    <definedName name="LokaleUtslipp_Skip">'1.1 Standardsatser'!$D$415</definedName>
    <definedName name="LokaleUtslipp_TungLastebil">'1.1 Standardsatser'!$D$425</definedName>
    <definedName name="LønnskostnadJustering">'1.5 Prognoser og indekser'!$H$60</definedName>
    <definedName name="Lønnskostnadsindeks">'1.5 Prognoser og indekser'!$L$70:$EO$70</definedName>
    <definedName name="Massetetthet_Diesel">'1.2 Forutsetninger'!$C$368</definedName>
    <definedName name="Merverdiavgift">'1.2 Forutsetninger'!$C$23</definedName>
    <definedName name="Modell_Gods">'1.2 Forutsetninger'!$C$12</definedName>
    <definedName name="Modell_Person">'1.2 Forutsetninger'!$C$11</definedName>
    <definedName name="Moms_Billett">'1.2 Forutsetninger'!$C$24</definedName>
    <definedName name="MonteCarlo_Benevning">'4.2.2 Monte Carlo-simulering'!$N$19</definedName>
    <definedName name="MonteCarlo_Figur_Benevning">IF(INDEX(MonteCarlo_Format,MATCH(MonteCarlo_Figur_Input_Valgt,MonteCarlo_Parametere,0))="Prosent endring fra basisverdi","Prosent endring fra basisverdi",INDEX(MonteCarlo_Benevning,MATCH(MonteCarlo_Figur_Input_Valgt,MonteCarlo_Parametere,0)))</definedName>
    <definedName name="MonteCarlo_Figur_Input_Fordeling">'4.2.2 Monte Carlo-simulering'!$R$16</definedName>
    <definedName name="MonteCarlo_Figur_Input_SerieX">IFERROR(OFFSET(MonteCarlo_Figur_SannsTetthet_Tabell,0,IF(MonteCarlo_Figur_Input_Fordeling="Sannsynlighetstetthet",1,1),,1),0)</definedName>
    <definedName name="MonteCarlo_Figur_Input_SerieY">IFERROR(OFFSET(MonteCarlo_Figur_SannsTetthet_Tabell,0,IF(MonteCarlo_Figur_Input_Fordeling="Sannsynlighetstetthet",2,0),,1),0)</definedName>
    <definedName name="MonteCarlo_Figur_Input_Valgt">'4.2.2 Monte Carlo-simulering'!$R$15</definedName>
    <definedName name="MonteCarlo_Figur_SannsTetthet_Tabell">Parametere!$Y$3:$AA$119</definedName>
    <definedName name="MonteCarlo_Figurer_AutoFormat">'4.2.2 Monte Carlo-simulering'!$AB$15</definedName>
    <definedName name="MonteCarlo_Figurer_Persentil1">MID('4.2.2 Monte Carlo-simulering'!$AE$14,2,LEN('4.2.2 Monte Carlo-simulering'!$AE$14)-1)/100</definedName>
    <definedName name="MonteCarlo_Figurer_Persentil2">MID('4.2.2 Monte Carlo-simulering'!$AE$15,2,LEN('4.2.2 Monte Carlo-simulering'!$AE$15)-1)/100</definedName>
    <definedName name="MonteCarlo_Figurer_Persentil3">MID('4.2.2 Monte Carlo-simulering'!$AE$16,2,LEN('4.2.2 Monte Carlo-simulering'!$AE$16)-1)/100</definedName>
    <definedName name="MonteCarlo_Figurer_Valgt">'4.2.2 Monte Carlo-simulering'!$AB$14</definedName>
    <definedName name="MonteCarlo_Figurer_Valgt_Serie">OFFSET('4.2.3 Monte Carlo resultater'!$A$2,0,'4.2.2 Monte Carlo-simulering'!$AB$16-1,'4.2.2 Monte Carlo-simulering'!$AB$17,1)</definedName>
    <definedName name="MonteCarlo_Figurer_Valgt_SerieSnitt">IFERROR(OFFSET('4.2.3 Monte Carlo resultater'!$A$2,0,'4.2.2 Monte Carlo-simulering'!$AB$16-1+COUNTA(MonteCarlo_Resultater_Forklaring_Mulige),'4.2.2 Monte Carlo-simulering'!$AB$17,1),0)</definedName>
    <definedName name="MonteCarlo_Forklaring">'4.2.2 Monte Carlo-simulering'!$O$19</definedName>
    <definedName name="MonteCarlo_Format">'4.2.2 Monte Carlo-simulering'!$C$19</definedName>
    <definedName name="MonteCarlo_Histogram_X">OFFSET('4.2.3 Monte Carlo resultater'!$BQ$2,0,0,'4.2.3 Monte Carlo resultater'!$BU$2,1)</definedName>
    <definedName name="MonteCarlo_Histogram_X_Dummy">OFFSET('4.2.3 Monte Carlo resultater'!$BQ$2,0,0,'4.2.3 Monte Carlo resultater'!$BU$2+1,1)</definedName>
    <definedName name="MonteCarlo_Histogram_Y">OFFSET('4.2.3 Monte Carlo resultater'!$BR$2,0,0,'4.2.3 Monte Carlo resultater'!$BU$2,1)</definedName>
    <definedName name="MonteCarlo_Histogram_Y_Dummy">OFFSET('4.2.3 Monte Carlo resultater'!$BR$2,0,0,'4.2.3 Monte Carlo resultater'!$BU$2+1,1)</definedName>
    <definedName name="MonteCarlo_Parameter_TrukkedeVerdier">Parametere!$G$2:$G$25</definedName>
    <definedName name="MonteCarlo_Parametere">'4.2.2 Monte Carlo-simulering'!$B$19</definedName>
    <definedName name="MonteCarlo_Parametere_Antall">'4.2.2 Monte Carlo-simulering'!$C$16</definedName>
    <definedName name="MonteCarlo_ParametereInkludert">'4.2.2 Monte Carlo-simulering'!#REF!</definedName>
    <definedName name="MonteCarlo_Persentil3">'4.2.2 Monte Carlo-simulering'!$I$19</definedName>
    <definedName name="MonteCarlo_Resultater_Antall">'4.2.2 Monte Carlo-simulering'!$X$16</definedName>
    <definedName name="MonteCarlo_Resultater_Basisverdier">'4.2.2 Monte Carlo-simulering'!$Y$19:$Y$20</definedName>
    <definedName name="MonteCarlo_Resultater_Forklaring_Mulige">Parametere!$U$3:$U$33</definedName>
    <definedName name="MonteCarlo_Resultater_Mulige_Benevning">Parametere!$W$3:$W$33</definedName>
    <definedName name="MonteCarlo_Resultater_Omraader_Mulige">Parametere!$V$3:$V$33</definedName>
    <definedName name="MonteCarlo_Resultater_Tabell">'4.2.2 Monte Carlo-simulering'!$X$19:$Y$19</definedName>
    <definedName name="MonteCarlo_Resultater_Valgt">'4.2.2 Monte Carlo-simulering'!$W$19</definedName>
    <definedName name="MonteCarlo_Sannsynlighetsfordeling">'4.2.2 Monte Carlo-simulering'!$D$19</definedName>
    <definedName name="MonteCarlo_Sentralitet">'4.2.2 Monte Carlo-simulering'!$G$19</definedName>
    <definedName name="MonteCarlo_Snitt">'4.2.2 Monte Carlo-simulering'!#REF!</definedName>
    <definedName name="MonteCarlo_Spredning">'4.2.2 Monte Carlo-simulering'!$E$19</definedName>
    <definedName name="MonteCarlo_Stdavvik">'4.2.2 Monte Carlo-simulering'!#REF!</definedName>
    <definedName name="MonteCarlo_Tabell">'4.2.2 Monte Carlo-simulering'!$B$19:$O$19</definedName>
    <definedName name="MonteCarlo_Trekninger_Antall">'4.2.2 Monte Carlo-simulering'!$C$15</definedName>
    <definedName name="MonteCarlo_Verdi1">'4.2.2 Monte Carlo-simulering'!$F$19</definedName>
    <definedName name="MonteCarlo_Verdi1_Mulige">Parametere!$Q$2:$Q$102</definedName>
    <definedName name="MonteCarlo_Verdi2">'4.2.2 Monte Carlo-simulering'!$H$19</definedName>
    <definedName name="MonteCarlo_Verdi2_Mulige">Parametere!$R$2:$R$3</definedName>
    <definedName name="MonteCarlo_Verdi3">'4.2.2 Monte Carlo-simulering'!$J$19</definedName>
    <definedName name="MonteCarlo_Verdi3_Mulige">Parametere!$S$2:$S$103</definedName>
    <definedName name="Nattogandel_Gods">'1.2 Forutsetninger'!$C$98</definedName>
    <definedName name="Nattogandel_Godstog">'1.2 Forutsetninger'!$C$98</definedName>
    <definedName name="NLF_2017">'0.4 Kilder'!$B$29</definedName>
    <definedName name="NNV_benevning_parameter1">'4.2.1 Følsomhetsanalyse'!$D$53</definedName>
    <definedName name="NNV_benevning_parameter2">'4.2.1 Følsomhetsanalyse'!$D$77</definedName>
    <definedName name="NorgesBank_2018">'0.4 Kilder'!$B$30</definedName>
    <definedName name="NOU_2012_16">'0.4 Kilder'!$B$31</definedName>
    <definedName name="NOx_KgPerTonn_Diesel">'1.2 Forutsetninger'!$C$365</definedName>
    <definedName name="NOxUtslipp_Bil">'1.2 Forutsetninger'!$C$322</definedName>
    <definedName name="NOxUtslipp_Buss">'1.2 Forutsetninger'!$C$323</definedName>
    <definedName name="NOxUtslipp_Fly">'1.2 Forutsetninger'!$C$324</definedName>
    <definedName name="NOxUtslipp_GodstogD">'1.2 Forutsetninger'!$C$320</definedName>
    <definedName name="NOxUtslipp_GodstogEL">'1.2 Forutsetninger'!$C$319</definedName>
    <definedName name="NOxUtslipp_LettLastebil">'1.2 Forutsetninger'!$C$325</definedName>
    <definedName name="NOxUtslipp_Modulvogntog">'1.2 Forutsetninger'!$C$327</definedName>
    <definedName name="NOxUtslipp_PersontogD">'1.2 Forutsetninger'!$C$317</definedName>
    <definedName name="NOxUtslipp_PersontogEL">'1.2 Forutsetninger'!$C$316</definedName>
    <definedName name="NOxUtslipp_Skip">'1.2 Forutsetninger'!$C$328</definedName>
    <definedName name="NOxUtslipp_TungLastebil">'1.2 Forutsetninger'!$C$326</definedName>
    <definedName name="NOxÅr1_AndreTransportmidler">'2.4 Samfunnet for øvrig'!$C$52</definedName>
    <definedName name="NOxÅr1_Bil">'2.4 Samfunnet for øvrig'!$C$47</definedName>
    <definedName name="NOxÅr1_Buss">'2.4 Samfunnet for øvrig'!$C$48</definedName>
    <definedName name="NOxÅr1_Fly">'2.4 Samfunnet for øvrig'!$C$49</definedName>
    <definedName name="NOxÅr1_Godstog">'2.4 Samfunnet for øvrig'!$C$38</definedName>
    <definedName name="NOxÅr1_Lastebil">'2.4 Samfunnet for øvrig'!$C$50</definedName>
    <definedName name="NOxÅr1_Persontog">'2.4 Samfunnet for øvrig'!$C$37</definedName>
    <definedName name="NOxÅr1_Skip">'2.4 Samfunnet for øvrig'!$C$51</definedName>
    <definedName name="NOxÅr1_Tog">'2.4 Samfunnet for øvrig'!$C$39</definedName>
    <definedName name="NSB_2015">'0.4 Kilder'!$B$32</definedName>
    <definedName name="NTP_2014_2023">'0.4 Kilder'!$B$33</definedName>
    <definedName name="NyskapteReiser_År1">'2.1 Trafikanter'!$C$19</definedName>
    <definedName name="NyskapteReiser_År2">'2.1 Trafikanter'!$D$19</definedName>
    <definedName name="NyskapteReiser_År3">'2.1 Trafikanter'!$E$19</definedName>
    <definedName name="OffentligkjøpBuss_År1">'2.2 Operatører'!$K$64</definedName>
    <definedName name="OffentligkjøpBuss_År2">'2.2 Operatører'!$L$64</definedName>
    <definedName name="OffentligkjøpBuss_År3">'2.2 Operatører'!$M$64</definedName>
    <definedName name="OffentligkjøpÅr1">'2.2 Operatører'!$K$18</definedName>
    <definedName name="OffentligkjøpÅr2">'2.2 Operatører'!$L$18</definedName>
    <definedName name="OffentligkjøpÅr3">'2.2 Operatører'!$M$18</definedName>
    <definedName name="Opprinnelig_NNB_parameter1">'4.2.1 Følsomhetsanalyse'!$D$60</definedName>
    <definedName name="Opprinnelig_NNB_parameter2">'4.2.1 Følsomhetsanalyse'!$D$84</definedName>
    <definedName name="Opprinnelig_NNV_parameter1">'4.2.1 Følsomhetsanalyse'!$D$55</definedName>
    <definedName name="Opprinnelig_NNV_parameter2">'4.2.1 Følsomhetsanalyse'!$D$79</definedName>
    <definedName name="Opprinnelig_verdi_parameter1">'4.2.1 Følsomhetsanalyse'!$F$18</definedName>
    <definedName name="Opprinnelig_verdi_parameter2">'4.2.1 Følsomhetsanalyse'!$I$18</definedName>
    <definedName name="Oppslagsliste_parametere">Parametere!$A$2:$E$23</definedName>
    <definedName name="Oppstartsår_FørsteÅrMedInvestering">'1.2 Forutsetninger'!$C$35</definedName>
    <definedName name="OsloEconomics_2017">'0.4 Kilder'!$B$34</definedName>
    <definedName name="Output_NNB_begge">'4.2.1 Følsomhetsanalyse'!$E$113:$K$119</definedName>
    <definedName name="Output_NNB_parameter1">'4.2.1 Følsomhetsanalyse'!$E$60:$K$60</definedName>
    <definedName name="Output_NNB_parameter2">'4.2.1 Følsomhetsanalyse'!$E$84:$K$84</definedName>
    <definedName name="Output_NNV_begge">'4.2.1 Følsomhetsanalyse'!$E$103:$K$109</definedName>
    <definedName name="Output_NNV_parameter1">'4.2.1 Følsomhetsanalyse'!$E$55:$K$55</definedName>
    <definedName name="Output_NNV_parameter2">'4.2.1 Følsomhetsanalyse'!$E$79:$K$79</definedName>
    <definedName name="Output_xvals_NNB_parameter1">'4.2.1 Følsomhetsanalyse'!$E$59:$K$59</definedName>
    <definedName name="Output_xvals_NNB_parameter2">'4.2.1 Følsomhetsanalyse'!$E$83:$K$83</definedName>
    <definedName name="Output_xvals_NNB_simul_parameter1">'4.2.1 Følsomhetsanalyse'!$D$113:$D$119</definedName>
    <definedName name="Output_xvals_NNB_simul_parameter2">'4.2.1 Følsomhetsanalyse'!$E$112:$K$112</definedName>
    <definedName name="Output_xvals_parameter1">'4.2.1 Følsomhetsanalyse'!$E$54:$K$54</definedName>
    <definedName name="Output_xvals_parameter2">'4.2.1 Følsomhetsanalyse'!$E$78:$K$78</definedName>
    <definedName name="Output_xvals_simul_parameter1">'4.2.1 Følsomhetsanalyse'!$D$103:$D$109</definedName>
    <definedName name="Output_xvals_simul_parameter2">'4.2.1 Følsomhetsanalyse'!$E$102:$K$102</definedName>
    <definedName name="OverførtTrafikk_Bil">'1.2 Forutsetninger'!$C$110</definedName>
    <definedName name="OverførtTrafikk_Buss">'1.2 Forutsetninger'!$C$111</definedName>
    <definedName name="OverførtTrafikk_Fly">'1.2 Forutsetninger'!$C$112</definedName>
    <definedName name="parameter_names">Parametere!$C$2:$C$23</definedName>
    <definedName name="parameter_sheets">Parametere!$D$2:$D$23</definedName>
    <definedName name="parameter_units">Parametere!$F$2:$F$23</definedName>
    <definedName name="parameter1_format">'4.2.1 Følsomhetsanalyse'!$F$17</definedName>
    <definedName name="parameter1_sens">'4.2.1 Følsomhetsanalyse'!$F$16</definedName>
    <definedName name="parameter1_verdier">'4.2.1 Følsomhetsanalyse'!$F$20:$H$26</definedName>
    <definedName name="parameter2_benevning">INDEX(parameter_units,MATCH(parameter2_sens,parameters,0))</definedName>
    <definedName name="parameter2_format">'4.2.1 Følsomhetsanalyse'!$I$17</definedName>
    <definedName name="parameter2_sens">'4.2.1 Følsomhetsanalyse'!$I$16</definedName>
    <definedName name="parameter2_verdier">'4.2.1 Følsomhetsanalyse'!$I$20:$K$26</definedName>
    <definedName name="parameters">Parametere!$A$2:$A$23</definedName>
    <definedName name="parameters_forklaring">Parametere!$B$2:$B$23</definedName>
    <definedName name="Passasjerkm_BussÅr1">'1.3 Persontransportmodell'!$BA$29</definedName>
    <definedName name="Passasjerkm_BussÅr2">'1.3 Persontransportmodell'!$BA$63</definedName>
    <definedName name="Passasjerkm_BussÅr3">'1.3 Persontransportmodell'!$BA$96</definedName>
    <definedName name="passasjerkm_døgn_endring_TogÅr1">'1.3 Persontransportmodell'!$E$26:$E$30</definedName>
    <definedName name="passasjerkm_døgn_endring_TogÅr2">'1.3 Persontransportmodell'!$E$58:$E$62</definedName>
    <definedName name="passasjerkm_døgn_endring_TogÅr3">'1.3 Persontransportmodell'!$E$91:$E$95</definedName>
    <definedName name="Passasjerkm_EndringTogÅr2">'1.3 Persontransportmodell'!$AI$63</definedName>
    <definedName name="Passasjerkm_EndringTogÅr2_Togtype_2">'1.3 Persontransportmodell'!$AO$63</definedName>
    <definedName name="Passasjerkm_EndringTogÅr3">'1.3 Persontransportmodell'!$AI$96</definedName>
    <definedName name="Passasjerkm_EndringTogÅr3_Togtype_2">'1.3 Persontransportmodell'!$AO$96</definedName>
    <definedName name="Passasjerkm_FlyÅr1">'1.3 Persontransportmodell'!$BG$29</definedName>
    <definedName name="Passasjerkm_FlyÅr2">'1.3 Persontransportmodell'!$BG$63</definedName>
    <definedName name="Passasjerkm_FlyÅr3">'1.3 Persontransportmodell'!$BG$96</definedName>
    <definedName name="Passasjerkm_RefÅr1">'1.3 Persontransportmodell'!$AG$29</definedName>
    <definedName name="Passasjerkm_RefÅr1_Togtype_2">'1.3 Persontransportmodell'!$AM$29</definedName>
    <definedName name="Passasjerkm_RefÅr2">'1.3 Persontransportmodell'!$AG$63</definedName>
    <definedName name="Passasjerkm_RefÅr2_Togtype_2">'1.3 Persontransportmodell'!$AM$63</definedName>
    <definedName name="Passasjerkm_RefÅr3">'1.3 Persontransportmodell'!$AG$96</definedName>
    <definedName name="Passasjerkm_RefÅr3_Togtype_2">'1.3 Persontransportmodell'!$AM$96</definedName>
    <definedName name="Passasjerkm_TiltakÅr1">'1.3 Persontransportmodell'!$AH$29</definedName>
    <definedName name="Passasjerkm_TiltakÅr1_Togtype_2">'1.3 Persontransportmodell'!$AN$29</definedName>
    <definedName name="Passasjerkm_TiltakÅr2">'1.3 Persontransportmodell'!$AH$63</definedName>
    <definedName name="Passasjerkm_TiltakÅr2_Togtype_2">'1.3 Persontransportmodell'!$AN$63</definedName>
    <definedName name="Passasjerkm_TiltakÅr3">'1.3 Persontransportmodell'!$AH$96</definedName>
    <definedName name="Passasjerkm_TiltakÅr3_Togtype_2">'1.3 Persontransportmodell'!$AN$96</definedName>
    <definedName name="Passasjerkm_TogÅr1">'1.3 Persontransportmodell'!$AI$29</definedName>
    <definedName name="Passasjerkm_TogÅr1_Togtype_2">'1.3 Persontransportmodell'!$AO$29</definedName>
    <definedName name="Persentiler">Parametere!$Q$2:$Q$21</definedName>
    <definedName name="PersonbilKm_År1">'1.3 Persontransportmodell'!$AU$29</definedName>
    <definedName name="PersonbilKm_År2">'1.3 Persontransportmodell'!$AU$63</definedName>
    <definedName name="PersonbilKm_År3">'1.3 Persontransportmodell'!$AU$96</definedName>
    <definedName name="PM10_KgPerTonn_Dieseltog">'1.2 Forutsetninger'!$C$366</definedName>
    <definedName name="Prognose_Lønnskostnad">'1.5 Prognoser og indekser'!$L$81:$EO$81</definedName>
    <definedName name="PrognoseBefolkning">'1.5 Prognoser og indekser'!$L$83:$EO$83</definedName>
    <definedName name="PrognoseBKI">'1.5 Prognoser og indekser'!$L$77:$EO$77</definedName>
    <definedName name="PrognoseBKI_DV">'1.5 Prognoser og indekser'!$L$79:$EO$79</definedName>
    <definedName name="PrognoseBNP">'1.5 Prognoser og indekser'!$L$75:$EO$75</definedName>
    <definedName name="PrognoseCO2utslippBil">'1.5 Prognoser og indekser'!$L$88:$EO$88</definedName>
    <definedName name="PrognoseCo2UtslippBuss">'1.5 Prognoser og indekser'!$L$94:$EO$94</definedName>
    <definedName name="PrognoseCo2UtslippLastebil">'1.5 Prognoser og indekser'!$L$90:$EO$90</definedName>
    <definedName name="PrognoseCO2UtslippLettLastebil">'1.5 Prognoser og indekser'!$L$92:$EO$92</definedName>
    <definedName name="PrognoseGods">'1.5 Prognoser og indekser'!$L$85:$EO$85</definedName>
    <definedName name="PrognoseKjKmBuss">'1.5 Prognoser og indekser'!$L$93:$EO$93</definedName>
    <definedName name="PrognoseKjKmLastebil">'1.5 Prognoser og indekser'!$L$89:$EO$89</definedName>
    <definedName name="PrognoseKjKmLettLastebil">'1.5 Prognoser og indekser'!$L$91:$EO$91</definedName>
    <definedName name="PrognosekjøretøykmBil">'1.5 Prognoser og indekser'!$L$87:$EO$87</definedName>
    <definedName name="PrognoseKPI">'1.5 Prognoser og indekser'!$L$73:$EO$73</definedName>
    <definedName name="PrognosePerson">'1.5 Prognoser og indekser'!$L$86:$EO$86</definedName>
    <definedName name="PrognoseReallønn">'1.5 Prognoser og indekser'!#REF!</definedName>
    <definedName name="PrognoseRealpris">'1.5 Prognoser og indekser'!$L$84:$EO$84</definedName>
    <definedName name="ProsjektetsLevetid">'1.2 Forutsetninger'!$C$49</definedName>
    <definedName name="Punktlighetkostnader_TilleggDrift">'1.2 Forutsetninger'!$C$281</definedName>
    <definedName name="PunktlighetRef">'1.2 Forutsetninger'!$C$93</definedName>
    <definedName name="PunktlighetTiltak">'1.2 Forutsetninger'!$D$93</definedName>
    <definedName name="Rabattfaktor">'1.2 Forutsetninger'!#REF!</definedName>
    <definedName name="RabattfaktorSporavgift">'Standardsatser-Forutsetninger'!$F$26</definedName>
    <definedName name="RabattfaktorSporavgiftGods">'Standardsatser-Forutsetninger'!$F$26</definedName>
    <definedName name="RabattSporavgift">'1.2 Forutsetninger'!$C$95</definedName>
    <definedName name="ReallønnIndeks">'1.5 Prognoser og indekser'!#REF!</definedName>
    <definedName name="Realprisjustering_ettersisteprognoseår">'1.5 Prognoser og indekser'!$H$61</definedName>
    <definedName name="Realprisjustering_tilsisteprognoseår">'1.5 Prognoser og indekser'!$H$62</definedName>
    <definedName name="Regjeringen_20_21">'0.4 Kilder'!$B$92</definedName>
    <definedName name="Regjeringen_20_22">'0.4 Kilder'!$B$93</definedName>
    <definedName name="Regjeringen_2010">'0.4 Kilder'!$B$35</definedName>
    <definedName name="Regjeringen_2014">'0.4 Kilder'!$B$36</definedName>
    <definedName name="Regjeringen_2014_avgifter">'0.4 Kilder'!$B$37</definedName>
    <definedName name="Regjeringen_2015_avgifter">'0.4 Kilder'!$B$38</definedName>
    <definedName name="Regjeringen_2016">'0.4 Kilder'!$B$40</definedName>
    <definedName name="Regjeringen_2016_1">'0.4 Kilder'!#REF!</definedName>
    <definedName name="Regjeringen_2016_avgifter">'0.4 Kilder'!$B$39</definedName>
    <definedName name="Regjeringen_2017">'0.4 Kilder'!$B$42</definedName>
    <definedName name="Regjeringen_2017_avgifter">'0.4 Kilder'!$B$41</definedName>
    <definedName name="Regjeringen_2018_avgifter">'0.4 Kilder'!$B$43</definedName>
    <definedName name="Regjeringen_2019_avgifter">'0.4 Kilder'!$B$44</definedName>
    <definedName name="Regjeringen_2020">'0.4 Kilder'!$B$91</definedName>
    <definedName name="Regjeringen_2021">'0.4 Kilder'!$B$88</definedName>
    <definedName name="Regjeringen_2022">'0.4 Kilder'!$B$94</definedName>
    <definedName name="Regjeringen_2023_avgifter">'0.4 Kilder'!$B$45</definedName>
    <definedName name="Regjeringen2021">'0.4 Kilder'!#REF!</definedName>
    <definedName name="Rengjøring_69">'1.1 Standardsatser'!$D$263</definedName>
    <definedName name="Rengjøring_70">'1.1 Standardsatser'!$D$264</definedName>
    <definedName name="Rengjøring_72">'1.1 Standardsatser'!$D$268</definedName>
    <definedName name="Rengjøring_73">'1.1 Standardsatser'!$D$267</definedName>
    <definedName name="Rengjøring_74">'1.1 Standardsatser'!$D$266</definedName>
    <definedName name="Rengjøring_75">'1.1 Standardsatser'!$D$265</definedName>
    <definedName name="Rengjøring_76">'1.1 Standardsatser'!$D$272</definedName>
    <definedName name="Rengjøring_77">'1.1 Standardsatser'!$D$270</definedName>
    <definedName name="Rengjøring_78">'1.1 Standardsatser'!$D$269</definedName>
    <definedName name="Rengjøring_93D">'1.1 Standardsatser'!$D$271</definedName>
    <definedName name="Rengjøring_Di4">'1.1 Standardsatser'!$D$281</definedName>
    <definedName name="Rengjøring_EL18">'1.1 Standardsatser'!$D$280</definedName>
    <definedName name="Rengjøring_N05">'1.1 Standardsatser'!$D$273</definedName>
    <definedName name="Rengjøring_N06">'1.1 Standardsatser'!$D$274</definedName>
    <definedName name="Rengjøring_N10dag">'1.1 Standardsatser'!$D$275</definedName>
    <definedName name="Rengjøring_N10natt">'1.1 Standardsatser'!$D$276</definedName>
    <definedName name="Rengjøring_N11">'1.1 Standardsatser'!$D$277</definedName>
    <definedName name="Rengjøring_N12">'1.1 Standardsatser'!$D$278</definedName>
    <definedName name="Rengjøring_N13">'1.1 Standardsatser'!$D$279</definedName>
    <definedName name="Rengjøring_Sittevogn">'1.1 Standardsatser'!$D$282</definedName>
    <definedName name="Rengjøring_Sovevogn">'1.1 Standardsatser'!$D$283</definedName>
    <definedName name="Rengjøring_Stog">'1.1 Standardsatser'!$D$262</definedName>
    <definedName name="RES_Andre_transportmidler__bil__buss__fly">'4.1 Resultatark'!$C$11</definedName>
    <definedName name="RES_Endring_for_det_offentlige">'4.1 Resultatark'!$C$28</definedName>
    <definedName name="RES_Endring_for_operatører">'4.1 Resultatark'!$C$21</definedName>
    <definedName name="RES_Endring_for_samfunnet_for_øvrig">'4.1 Resultatark'!$C$38</definedName>
    <definedName name="RES_Endring_for_trafikanter">'4.1 Resultatark'!$C$14</definedName>
    <definedName name="RES_Endring_i_avgifter__herunder_bom__og_fergeavgifter">'4.1 Resultatark'!$C$23</definedName>
    <definedName name="RES_Endring_i_avgifter_og_offentlig_kjøp__buss_og_fly">'4.1 Resultatark'!$C$20</definedName>
    <definedName name="RES_Endring_i_CO2_utslipp">'4.1 Resultatark'!$C$33</definedName>
    <definedName name="RES_Endring_i_CO2_utslipp_areal">'4.1 Resultatark'!$C$35</definedName>
    <definedName name="RES_Endring_i_CO2_utslipp_byggefasen">'4.1 Resultatark'!$C$34</definedName>
    <definedName name="RES_Endring_i_drift_og_avgifter__persontog">'4.1 Resultatark'!$C$18</definedName>
    <definedName name="RES_Endring_i_lokale_utslipp">'4.1 Resultatark'!$C$32</definedName>
    <definedName name="RES_Endring_i_materiell__persontog">'4.1 Resultatark'!$C$19</definedName>
    <definedName name="RES_Endring_i_skattefinansiering">'4.1 Resultatark'!$C$37</definedName>
    <definedName name="RES_Endring_i_støy">'4.1 Resultatark'!$C$31</definedName>
    <definedName name="RES_Endring_i_ulykker">'4.1 Resultatark'!$C$30</definedName>
    <definedName name="RES_Endring_i_vedlikehold_av_infrastruktur">'4.1 Resultatark'!$C$24</definedName>
    <definedName name="RES_Godskunder">'4.1 Resultatark'!$C$12</definedName>
    <definedName name="RES_Helsevirkninger_for_gående_og_syklende__overført_fra_bil">'4.1 Resultatark'!$C$13</definedName>
    <definedName name="RES_Investering">'4.1 Resultatark'!$C$26</definedName>
    <definedName name="RES_Markedsinntekter__persontog">'4.1 Resultatark'!$C$16</definedName>
    <definedName name="RES_Netto_nåverdi_per_investerte_krone">'4.1 Resultatark'!#REF!</definedName>
    <definedName name="RES_Offentlig_kjøp_av_persontransport__persontog">'4.1 Resultatark'!$C$17</definedName>
    <definedName name="RES_Offentlig_kjøp_av_persontransport_på_tog_og_buss">'4.1 Resultatark'!$C$25</definedName>
    <definedName name="RES_Reinvestering">'4.1 Resultatark'!$C$27</definedName>
    <definedName name="RES_Restverdi_av_tiltak">'4.1 Resultatark'!$C$36</definedName>
    <definedName name="RES_Samfunnsøkonomisk_brutto_nåverdi">'4.1 Resultatark'!$C$39</definedName>
    <definedName name="RES_Trafikantnytte__overført_og_nyskapt">'4.1 Resultatark'!$C$10</definedName>
    <definedName name="RES_Trafikantnytte__referanse">'4.1 Resultatark'!$C$9</definedName>
    <definedName name="Resultat_NNB">'4.1 Resultatark'!$C$41</definedName>
    <definedName name="Resultat_NNV">'4.1 Resultatark'!$C$40</definedName>
    <definedName name="Resultater_begge_parametere">'4.2.1 Følsomhetsanalyse'!$C$42:$Q$120</definedName>
    <definedName name="Resultater_parameter2">'4.2.1 Følsomhetsanalyse'!$C$67:$Q$89</definedName>
    <definedName name="RVU_2005">'0.4 Kilder'!$B$46</definedName>
    <definedName name="RVU_2013_2014">'0.4 Kilder'!$B$48</definedName>
    <definedName name="Samferdselsdepartementet_2020">'0.4 Kilder'!$B$49</definedName>
    <definedName name="SamfunnetForØvrig_Kostnader">'3.1 Nyttestrøm'!$DS$69:$DT$71,'3.1 Nyttestrøm'!$DS$76:$DT$84</definedName>
    <definedName name="Sannsynlighetsfordelinger">Parametere!$P$2:$P$5</definedName>
    <definedName name="Serie_Dieselforbruk_byggefase">'1.5 Prognoser og indekser'!$R$35:$DW$35</definedName>
    <definedName name="Serie_kmMassetransportiByggefase">'1.5 Prognoser og indekser'!$R$36:$DW$36</definedName>
    <definedName name="Serie_Utslipparealbeslag">'1.5 Prognoser og indekser'!$R$37:$DW$37</definedName>
    <definedName name="Serie_UtslippibyggefasenCO2">'1.5 Prognoser og indekser'!$R$34:$DW$34</definedName>
    <definedName name="Serie_Veibruksavgift_byggefase">'1.5 Prognoser og indekser'!$R$20:$DW$20</definedName>
    <definedName name="SerieCO2avgift_Bil">'1.5 Prognoser og indekser'!$R$46:$DW$46</definedName>
    <definedName name="SerieCO2avgift_Buss">'1.5 Prognoser og indekser'!$R$49:$DW$49</definedName>
    <definedName name="SerieCO2avgift_Fly">'1.5 Prognoser og indekser'!$R$52:$DW$52</definedName>
    <definedName name="SerieCO2avgift_GodstogD">'1.5 Prognoser og indekser'!$R$51:$DW$51</definedName>
    <definedName name="SerieCO2avgift_Lastebil">'1.5 Prognoser og indekser'!$R$47:$DW$47</definedName>
    <definedName name="serieCO2avgift_LettLastebil">'1.5 Prognoser og indekser'!$R$48:$DW$48</definedName>
    <definedName name="SerieCO2avgift_PersontogD">'1.5 Prognoser og indekser'!$R$50:$DW$50</definedName>
    <definedName name="SerieCO2avgift_Skip">'1.5 Prognoser og indekser'!$R$53:$DW$53</definedName>
    <definedName name="SerieCO2avgiftsbane">'1.5 Prognoser og indekser'!$R$19:$DW$19</definedName>
    <definedName name="SerieCO2avgiftsbane1">'1.5 Prognoser og indekser'!$L$99:$EO$99</definedName>
    <definedName name="SerieCO2krkm_Bil">'1.5 Prognoser og indekser'!$R$38:$DW$38</definedName>
    <definedName name="SerieCO2krkm_Buss">'1.5 Prognoser og indekser'!$R$41:$DW$41</definedName>
    <definedName name="SerieCO2krkm_Fly">'1.5 Prognoser og indekser'!$R$44:$DW$44</definedName>
    <definedName name="SerieCO2krkm_GodstogD">'1.5 Prognoser og indekser'!$R$43:$DW$43</definedName>
    <definedName name="SerieCO2krkm_Lastebil">'1.5 Prognoser og indekser'!$R$39:$DW$39</definedName>
    <definedName name="serieCO2krkm_LettLastebil">'1.5 Prognoser og indekser'!$R$40:$DW$40</definedName>
    <definedName name="SerieCO2krkm_PersontogD">'1.5 Prognoser og indekser'!$R$42:$DW$42</definedName>
    <definedName name="SerieCO2krkm_Skip">'1.5 Prognoser og indekser'!$R$45:$DW$45</definedName>
    <definedName name="SerieCO2LastebilprKMflat">'1.5 Prognoser og indekser'!#REF!</definedName>
    <definedName name="SerieCO2utslipp_Bil">'1.5 Prognoser og indekser'!$R$26:$DW$26</definedName>
    <definedName name="SerieCO2Utslipp_Buss">'1.5 Prognoser og indekser'!$R$29:$DW$29</definedName>
    <definedName name="SerieCO2Utslipp_Fly">'1.5 Prognoser og indekser'!$R$32:$DW$32</definedName>
    <definedName name="SerieCO2Utslipp_GodstogD">'1.5 Prognoser og indekser'!$R$31:$DW$31</definedName>
    <definedName name="SerieCO2Utslipp_Lastebil">'1.5 Prognoser og indekser'!$R$27:$DW$27</definedName>
    <definedName name="SerieCO2utslipp_LettLastebil">'1.5 Prognoser og indekser'!$R$28:$DW$28</definedName>
    <definedName name="SerieCO2Utslipp_PersontogD">'1.5 Prognoser og indekser'!$R$30:$DW$30</definedName>
    <definedName name="SerieCO2Utslipp_Skip">'1.5 Prognoser og indekser'!$R$33:$DW$33</definedName>
    <definedName name="SerieDiskontering">'1.5 Prognoser og indekser'!$R$12:$DW$12</definedName>
    <definedName name="SerieKarbonpris">'1.5 Prognoser og indekser'!$R$15:$DW$15</definedName>
    <definedName name="SerieKarbonprisbane_Hovedalternativ">'1.5 Prognoser og indekser'!$L$95:$EO$95</definedName>
    <definedName name="SerieKarbonprisbane_Hovedalternativhoy">'1.5 Prognoser og indekser'!$L$97:$EO$97</definedName>
    <definedName name="Seriekarbonprisbane_Hovedalternativlav">'1.5 Prognoser og indekser'!$L$96:$EO$96</definedName>
    <definedName name="Seriekarbonprisbane_skogogarealbruk">'1.5 Prognoser og indekser'!$L$98:$EO$98</definedName>
    <definedName name="Seriekarbonprisbaneskogogarealbruk">'1.5 Prognoser og indekser'!$R$18:$DW$18</definedName>
    <definedName name="Seriekarbonprishøy">'1.5 Prognoser og indekser'!$R$17:$DW$17</definedName>
    <definedName name="Seriekarbonprislav">'1.5 Prognoser og indekser'!$R$16:$DW$16</definedName>
    <definedName name="SerieRealprisjustering">'1.5 Prognoser og indekser'!$R$13:$DW$13</definedName>
    <definedName name="SerieRealprisjustering_Tid">'1.5 Prognoser og indekser'!$R$14:$DW$14</definedName>
    <definedName name="SerieVolumvekstGods">'1.5 Prognoser og indekser'!$R$22:$DW$22</definedName>
    <definedName name="SerieVolumvekstperson">'1.5 Prognoser og indekser'!$R$21:$DW$21</definedName>
    <definedName name="SerieÅR">'1.5 Prognoser og indekser'!$R$10:$DW$10</definedName>
    <definedName name="SerieÅrligBefolkningsvekst">'1.5 Prognoser og indekser'!$AB$23:$DW$23</definedName>
    <definedName name="SerieÅrligGodsVekst">'1.5 Prognoser og indekser'!$AB$25:$DW$25</definedName>
    <definedName name="SerieÅrligPersonvekst">'1.5 Prognoser og indekser'!$AB$24:$DW$24</definedName>
    <definedName name="Seter_69">'1.2 Forutsetninger'!$C$238</definedName>
    <definedName name="Seter_70">'1.2 Forutsetninger'!$C$239</definedName>
    <definedName name="Seter_72">'1.2 Forutsetninger'!$C$243</definedName>
    <definedName name="Seter_73">'1.2 Forutsetninger'!$C$242</definedName>
    <definedName name="Seter_74">'1.2 Forutsetninger'!$C$241</definedName>
    <definedName name="Seter_75">'1.2 Forutsetninger'!$C$240</definedName>
    <definedName name="Seter_76">'1.2 Forutsetninger'!$C$247</definedName>
    <definedName name="Seter_77">'1.2 Forutsetninger'!$C$245</definedName>
    <definedName name="Seter_78">'1.2 Forutsetninger'!$C$244</definedName>
    <definedName name="Seter_93D">'1.2 Forutsetninger'!$C$246</definedName>
    <definedName name="Seter_Di4">'1.2 Forutsetninger'!$C$256</definedName>
    <definedName name="Seter_EL18">'1.2 Forutsetninger'!$C$255</definedName>
    <definedName name="Seter_N05">'1.2 Forutsetninger'!$C$248</definedName>
    <definedName name="Seter_N06">'1.2 Forutsetninger'!$C$249</definedName>
    <definedName name="Seter_N10dag">'1.2 Forutsetninger'!$C$250</definedName>
    <definedName name="Seter_N10natt">'1.2 Forutsetninger'!$C$251</definedName>
    <definedName name="Seter_N11">'1.2 Forutsetninger'!$C$252</definedName>
    <definedName name="Seter_N12">'1.2 Forutsetninger'!$C$253</definedName>
    <definedName name="Seter_N13">'1.2 Forutsetninger'!$C$254</definedName>
    <definedName name="Seter_sittevogn">'1.2 Forutsetninger'!$C$257</definedName>
    <definedName name="Seter_Sovevogn">'1.2 Forutsetninger'!$C$258</definedName>
    <definedName name="Seter_Stog">'1.2 Forutsetninger'!$C$237</definedName>
    <definedName name="Settimer_RefÅr1">'1.3 Persontransportmodell'!$AG$38</definedName>
    <definedName name="Settimer_RefÅr1_Togtype_2">'1.3 Persontransportmodell'!$AM$38</definedName>
    <definedName name="Settimer_RefÅr2">'1.3 Persontransportmodell'!$AG$72</definedName>
    <definedName name="Settimer_RefÅr2_Togtype_2">'1.3 Persontransportmodell'!$AM$72</definedName>
    <definedName name="Settimer_RefÅr3">'1.3 Persontransportmodell'!$AG$105</definedName>
    <definedName name="Settimer_RefÅr3_Togtype_2">'1.3 Persontransportmodell'!$AM$105</definedName>
    <definedName name="Settimer_TiltakÅr1">'1.3 Persontransportmodell'!$AH$38</definedName>
    <definedName name="Settimer_TiltakÅr1_Togtype_2">'1.3 Persontransportmodell'!$AN$38</definedName>
    <definedName name="Settimer_TiltakÅr2">'1.3 Persontransportmodell'!$AH$72</definedName>
    <definedName name="Settimer_TiltakÅr2_Togtype_2">'1.3 Persontransportmodell'!$AN$72</definedName>
    <definedName name="Settimer_TiltakÅr3">'1.3 Persontransportmodell'!$AH$105</definedName>
    <definedName name="Settimer_TiltakÅr3_Togtype_2">'1.3 Persontransportmodell'!$AN$105</definedName>
    <definedName name="Settimer_År1">'1.3 Persontransportmodell'!$AI$38</definedName>
    <definedName name="Settimer_År1_Togtype_2">'1.3 Persontransportmodell'!$AO$38</definedName>
    <definedName name="Settimer_År2">'1.3 Persontransportmodell'!$AI$72</definedName>
    <definedName name="Settimer_År2_Togtype_2">'1.3 Persontransportmodell'!$AO$72</definedName>
    <definedName name="Settimer_År3">'1.3 Persontransportmodell'!$AI$105</definedName>
    <definedName name="Settimer_År3_Togtype_2">'1.3 Persontransportmodell'!$AO$105</definedName>
    <definedName name="Settkm_RefÅr1">'1.3 Persontransportmodell'!$AG$32</definedName>
    <definedName name="Settkm_RefÅr1_Togtype_2">'1.3 Persontransportmodell'!$AM$32</definedName>
    <definedName name="Settkm_RefÅr2">'1.3 Persontransportmodell'!$AG$66</definedName>
    <definedName name="Settkm_RefÅr2_Togtype_2">'1.3 Persontransportmodell'!$AM$66</definedName>
    <definedName name="Settkm_RefÅr3">'1.3 Persontransportmodell'!$AG$99</definedName>
    <definedName name="Settkm_RefÅr3_Togtype_2">'1.3 Persontransportmodell'!$AM$99</definedName>
    <definedName name="Settkm_TiltakÅr1">'1.3 Persontransportmodell'!$AH$32</definedName>
    <definedName name="Settkm_TiltakÅr1_Togtype_2">'1.3 Persontransportmodell'!$AN$32</definedName>
    <definedName name="Settkm_TiltakÅr2">'1.3 Persontransportmodell'!$AH$66</definedName>
    <definedName name="Settkm_TiltakÅr2_Togtype_2">'1.3 Persontransportmodell'!$AN$66</definedName>
    <definedName name="Settkm_TiltakÅr3">'1.3 Persontransportmodell'!$AH$99</definedName>
    <definedName name="Settkm_TiltakÅr3_Togtype_2">'1.3 Persontransportmodell'!$AN$99</definedName>
    <definedName name="Settkm_År1">'1.3 Persontransportmodell'!$AI$32</definedName>
    <definedName name="Settkm_År1_Togtype_2">'1.3 Persontransportmodell'!$AO$32</definedName>
    <definedName name="Settkm_År2">'1.3 Persontransportmodell'!$AI$66</definedName>
    <definedName name="Settkm_År2_Togtype_2">'1.3 Persontransportmodell'!$AO$66</definedName>
    <definedName name="Settkm_År3">'1.3 Persontransportmodell'!$AI$99</definedName>
    <definedName name="Settkm_År3_Togtype_2">'1.3 Persontransportmodell'!$AO$99</definedName>
    <definedName name="Simulering_AntallTrekninger">'[2]Spesielle forutsetninger KS1'!$C$63</definedName>
    <definedName name="SINTEF_2003">'0.4 Kilder'!$B$50</definedName>
    <definedName name="SistePrognoseÅr">'1.2 Forutsetninger'!$C$46</definedName>
    <definedName name="SisteStatistikkÅr">'1.2 Forutsetninger'!$C$45</definedName>
    <definedName name="SisteÅrMedRealprisvekst">'1.2 Forutsetninger'!$C$26</definedName>
    <definedName name="SisteÅrMedVolumvekst">'1.2 Forutsetninger'!$C$47</definedName>
    <definedName name="Skatteetaten_2018">'0.4 Kilder'!$B$53</definedName>
    <definedName name="Skattefinansieringseffekt">'[1]1.2 Forutsetninger'!$C$22</definedName>
    <definedName name="Skattefinansieringsfaktor">'1.2 Forutsetninger'!$C$20</definedName>
    <definedName name="Skattefinansieringsfaktor_utbytte">'1.2 Forutsetninger'!$C$22</definedName>
    <definedName name="Skattesats">'1.2 Forutsetninger'!$C$21</definedName>
    <definedName name="Skogogarealbruk_bane">'1.1 Standardsatser'!#REF!</definedName>
    <definedName name="Slitasje_Bil">'1.1 Standardsatser'!$D$160</definedName>
    <definedName name="Slitasje_Buss">'1.1 Standardsatser'!$D$161</definedName>
    <definedName name="Slitasje_Godstog">'1.1 Standardsatser'!$D$158</definedName>
    <definedName name="Slitasje_LettLastebil">'1.1 Standardsatser'!$D$162</definedName>
    <definedName name="Slitasje_Modulvogntog">'1.1 Standardsatser'!$D$164</definedName>
    <definedName name="Slitasje_Persontog">'1.1 Standardsatser'!$D$157</definedName>
    <definedName name="Slitasje_TungLastebil">'1.1 Standardsatser'!$D$163</definedName>
    <definedName name="SO2_KgPerTonn_Dieseltog">'1.2 Forutsetninger'!$C$367</definedName>
    <definedName name="Sporveksel_Endring">'1.2 Forutsetninger'!$E$69</definedName>
    <definedName name="Sporveksel_Ref">'1.2 Forutsetninger'!$C$69</definedName>
    <definedName name="Sporveksel_Tiltak">'1.2 Forutsetninger'!$D$69</definedName>
    <definedName name="SSB_2001">'0.4 Kilder'!$B$54</definedName>
    <definedName name="SSB_2017_1">'0.4 Kilder'!$B$55</definedName>
    <definedName name="SSB_2017_5">'0.4 Kilder'!$B$56</definedName>
    <definedName name="SSB_2018_4">'0.4 Kilder'!$B$61</definedName>
    <definedName name="SSB_2019">'0.4 Kilder'!$B$57</definedName>
    <definedName name="SSB_2019_1">'0.4 Kilder'!$B$58</definedName>
    <definedName name="SSB_2019_2">'0.4 Kilder'!$B$59</definedName>
    <definedName name="SSB_2019_3">'0.4 Kilder'!$B$60</definedName>
    <definedName name="SSB_2022">'0.4 Kilder'!$B$62</definedName>
    <definedName name="SSB_2025">'0.4 Kilder'!$B$89</definedName>
    <definedName name="Stasjon_Endring">'1.2 Forutsetninger'!$E$70</definedName>
    <definedName name="Stasjon_Ref">'1.2 Forutsetninger'!$C$70</definedName>
    <definedName name="Stasjon_Tiltak">'1.2 Forutsetninger'!$D$70</definedName>
    <definedName name="StatensVegvesen_2007">'0.4 Kilder'!$B$66</definedName>
    <definedName name="Statistikk_Lønnskostnad">'1.5 Prognoser og indekser'!$L$82:$EO$82</definedName>
    <definedName name="StatistikkBKI">'1.5 Prognoser og indekser'!$L$78:$EO$78</definedName>
    <definedName name="StatistikkBKI_DV">'1.5 Prognoser og indekser'!$L$80:$EO$80</definedName>
    <definedName name="StatistikkBNP">'1.5 Prognoser og indekser'!$L$76:$EO$76</definedName>
    <definedName name="StatistikkKPI">'1.5 Prognoser og indekser'!$L$74:$EO$74</definedName>
    <definedName name="StatistikkOgPrognoseÅr">'1.5 Prognoser og indekser'!$L$65:$EO$65</definedName>
    <definedName name="StatistikkReallønn">'1.5 Prognoser og indekser'!#REF!</definedName>
    <definedName name="Støy_AlleTransportformer">Støy_PersontogEL,Støy_PersontogD,Støy_GodstogEL,Støy_GodstogEL,Støy_GodstogD,Støy_Bil,Støy_Buss,Støy_LettLastebil,Støy_TungLastebil</definedName>
    <definedName name="Støy_Bil">'1.1 Standardsatser'!$D$356</definedName>
    <definedName name="Støy_Buss">'1.1 Standardsatser'!$D$361</definedName>
    <definedName name="Støy_GodstogD">'1.1 Standardsatser'!$D$343</definedName>
    <definedName name="Støy_GodstogDNatt">'1.1 Standardsatser'!$D$351</definedName>
    <definedName name="Støy_GodstogEL">'1.1 Standardsatser'!$D$331</definedName>
    <definedName name="Støy_GodstogElNatt">'1.1 Standardsatser'!$D$347</definedName>
    <definedName name="Støy_LettLastebil">'1.1 Standardsatser'!$D$366</definedName>
    <definedName name="Støy_Modulvogntog">'1.1 Standardsatser'!$D$376</definedName>
    <definedName name="Støy_PersontogD">'1.1 Standardsatser'!$D$310</definedName>
    <definedName name="Støy_PersontogEL">'1.1 Standardsatser'!$D$306</definedName>
    <definedName name="Støy_TungLastebil">'1.1 Standardsatser'!$D$371</definedName>
    <definedName name="Takster_Kroneår">'1.2 Forutsetninger'!$C$43</definedName>
    <definedName name="Tidskostnader_Kroneår">'1.2 Forutsetninger'!$C$42</definedName>
    <definedName name="TimeLønnLokfører">'1.1 Standardsatser'!$D$167</definedName>
    <definedName name="TimeLønnTogfører">'1.1 Standardsatser'!$D$168</definedName>
    <definedName name="togkm_døgn_endring_TogÅr1">'1.3 Persontransportmodell'!$E$32:$E$36</definedName>
    <definedName name="togkm_døgn_endring_TogÅr2">'1.3 Persontransportmodell'!$E$64:$E$68</definedName>
    <definedName name="togkm_døgn_endring_TogÅr3">'1.3 Persontransportmodell'!$E$97:$E$101</definedName>
    <definedName name="TogkmBiDi_RefÅr1">'1.3 Persontransportmodell'!$AG$36</definedName>
    <definedName name="TogkmBiDi_RefÅr1_Togtype_2">'1.3 Persontransportmodell'!$AM$36</definedName>
    <definedName name="TogkmBiDi_RefÅr2">'1.3 Persontransportmodell'!$AG$70</definedName>
    <definedName name="TogkmBiDi_RefÅr2_Togtype_2">'1.3 Persontransportmodell'!$AM$70</definedName>
    <definedName name="TogkmBiDi_RefÅr3">'1.3 Persontransportmodell'!$AG$103</definedName>
    <definedName name="TogkmBiDi_RefÅr3_Togtype_2">'1.3 Persontransportmodell'!$AM$103</definedName>
    <definedName name="TogkmBiDi_TiltakÅr1">'1.3 Persontransportmodell'!$AH$36</definedName>
    <definedName name="TogkmBiDi_TiltakÅr1_Togtype_2">'1.3 Persontransportmodell'!$AN$36</definedName>
    <definedName name="TogkmBiDi_TiltakÅr2">'1.3 Persontransportmodell'!$AH$70</definedName>
    <definedName name="TogkmBiDi_TiltakÅr2_Togtype_2">'1.3 Persontransportmodell'!$AN$70</definedName>
    <definedName name="TogkmBiDi_TiltakÅr3">'1.3 Persontransportmodell'!$AH$103</definedName>
    <definedName name="TogkmBiDi_TiltakÅr3_Togtype_2">'1.3 Persontransportmodell'!$AN$103</definedName>
    <definedName name="TogkmBiDi_År1">'1.3 Persontransportmodell'!$AI$36</definedName>
    <definedName name="TogkmBiDi_År1_Togtype_2">'1.3 Persontransportmodell'!$AO$36</definedName>
    <definedName name="TogkmBiDi_År2">'1.3 Persontransportmodell'!$AI$70</definedName>
    <definedName name="TogkmBiDi_År2_Togtype_2">'1.3 Persontransportmodell'!$AO$70</definedName>
    <definedName name="TogkmBiDi_År3">'1.3 Persontransportmodell'!$AI$103</definedName>
    <definedName name="TogkmBiDi_År3_Togtype_2">'1.3 Persontransportmodell'!$AO$103</definedName>
    <definedName name="TogkmBiEl_RefÅr1">'1.3 Persontransportmodell'!$AG$35</definedName>
    <definedName name="TogkmBiEl_RefÅr1_Togtype_2">'1.3 Persontransportmodell'!$AM$35</definedName>
    <definedName name="TogkmBiEl_RefÅr2">'1.3 Persontransportmodell'!$AG$69</definedName>
    <definedName name="TogkmBiEl_RefÅr2_Togtype_2">'1.3 Persontransportmodell'!$AM$69</definedName>
    <definedName name="TogkmBiEL_RefÅr3">'1.3 Persontransportmodell'!$AG$102</definedName>
    <definedName name="TogkmBiEL_RefÅr3_Togtype_2">'1.3 Persontransportmodell'!$AM$102</definedName>
    <definedName name="TogkmBiEl_TiltakÅr1">'1.3 Persontransportmodell'!$AH$35</definedName>
    <definedName name="TogkmBiEl_TiltakÅr1_Togtype_2">'1.3 Persontransportmodell'!$AN$35</definedName>
    <definedName name="TogkmBiEl_TiltakÅr2">'1.3 Persontransportmodell'!$AH$69</definedName>
    <definedName name="TogkmBiEl_TiltakÅr2_Togtype_2">'1.3 Persontransportmodell'!$AN$69</definedName>
    <definedName name="TogkmBiEl_TiltakÅr3">'1.3 Persontransportmodell'!$AH$102</definedName>
    <definedName name="TogkmBiEl_TiltakÅr3_Togtype_2">'1.3 Persontransportmodell'!$AN$102</definedName>
    <definedName name="TogkmBiEl_År1">'1.3 Persontransportmodell'!$AI$35</definedName>
    <definedName name="TogkmBiEl_År1_Togtype_2">'1.3 Persontransportmodell'!$AO$35</definedName>
    <definedName name="TogkmBiEl_År2">'1.3 Persontransportmodell'!$AI$69</definedName>
    <definedName name="TogkmBiEl_År2_Togtype_2">'1.3 Persontransportmodell'!$AO$69</definedName>
    <definedName name="TogkmBiEl_År3">'1.3 Persontransportmodell'!$AI$102</definedName>
    <definedName name="TogkmBiEl_År3_Togtype_2">'1.3 Persontransportmodell'!$AO$102</definedName>
    <definedName name="TogkmD_RefÅr1">'1.3 Persontransportmodell'!$AG$34</definedName>
    <definedName name="TogkmD_RefÅr1_Togtype_2">'1.3 Persontransportmodell'!$AM$34</definedName>
    <definedName name="TogkmD_RefÅr2">'1.3 Persontransportmodell'!$AG$68</definedName>
    <definedName name="TogkmD_RefÅr2_Togtype_2">'1.3 Persontransportmodell'!$AM$68</definedName>
    <definedName name="TogkmD_RefÅr3">'1.3 Persontransportmodell'!$AG$101</definedName>
    <definedName name="TogkmD_RefÅr3_Togtype_2">'1.3 Persontransportmodell'!$AM$101</definedName>
    <definedName name="TogkmD_TiltakÅr1">'1.3 Persontransportmodell'!$AH$34</definedName>
    <definedName name="TogkmD_TiltakÅr1_Togtype_2">'1.3 Persontransportmodell'!$AN$34</definedName>
    <definedName name="TogkmD_TiltakÅr2">'1.3 Persontransportmodell'!$AH$68</definedName>
    <definedName name="TogkmD_TiltakÅr2_Togtype_2">'1.3 Persontransportmodell'!$AN$68</definedName>
    <definedName name="TogkmD_TiltakÅr3">'1.3 Persontransportmodell'!$AH$101</definedName>
    <definedName name="TogkmD_TiltakÅr3_Togtype_2">'1.3 Persontransportmodell'!$AN$101</definedName>
    <definedName name="TogkmD_År1">'1.3 Persontransportmodell'!$AI$34</definedName>
    <definedName name="TogkmD_År1_Togtype_2">'1.3 Persontransportmodell'!$AO$34</definedName>
    <definedName name="TogkmD_År2">'1.3 Persontransportmodell'!$AI$68</definedName>
    <definedName name="TogkmD_År2_Togtype_2">'1.3 Persontransportmodell'!$AO$68</definedName>
    <definedName name="TogkmD_År3">'1.3 Persontransportmodell'!$AI$101</definedName>
    <definedName name="TogkmD_År3_Togtype_2">'1.3 Persontransportmodell'!$AO$101</definedName>
    <definedName name="TogkmEL_RefÅr1">'1.3 Persontransportmodell'!$AG$33</definedName>
    <definedName name="TogkmEL_RefÅr1_Togtype_2">'1.3 Persontransportmodell'!$AM$33</definedName>
    <definedName name="TogkmEL_RefÅr2">'1.3 Persontransportmodell'!$AG$67</definedName>
    <definedName name="TogkmEL_RefÅr2_Togtype_2">'1.3 Persontransportmodell'!$AM$67</definedName>
    <definedName name="TogkmEL_RefÅr3">'1.3 Persontransportmodell'!$AG$100</definedName>
    <definedName name="TogkmEL_RefÅr3_Togtype_2">'1.3 Persontransportmodell'!$AM$100</definedName>
    <definedName name="TogkmEL_TiltakÅr1">'1.3 Persontransportmodell'!$AH$33</definedName>
    <definedName name="TogkmEL_TiltakÅr1_Togtype_2">'1.3 Persontransportmodell'!$AN$33</definedName>
    <definedName name="TogkmEL_TiltakÅr2">'1.3 Persontransportmodell'!$AH$67</definedName>
    <definedName name="TogkmEL_TiltakÅr2_Togtype_2">'1.3 Persontransportmodell'!$AN$67</definedName>
    <definedName name="TogkmEL_TiltakÅr3">'1.3 Persontransportmodell'!$AH$100</definedName>
    <definedName name="TogkmEL_TiltakÅr3_Togtype_2">'1.3 Persontransportmodell'!$AN$100</definedName>
    <definedName name="TogkmEL_År1">'1.3 Persontransportmodell'!$AI$33</definedName>
    <definedName name="TogkmEL_År1_Togtype_2">'1.3 Persontransportmodell'!$AO$33</definedName>
    <definedName name="TogkmEL_År2">'1.3 Persontransportmodell'!$AI$67</definedName>
    <definedName name="TogkmEL_År2_Togtype_2">'1.3 Persontransportmodell'!$AO$67</definedName>
    <definedName name="TogkmEL_År3">'1.3 Persontransportmodell'!$AI$100</definedName>
    <definedName name="TogkmEL_År3_Togtype_2">'1.3 Persontransportmodell'!$AO$100</definedName>
    <definedName name="Togreiser_RefÅr1">'1.3 Persontransportmodell'!$AG$20</definedName>
    <definedName name="Togreiser_RefÅr1_Togtype_2">'1.3 Persontransportmodell'!$AM$20</definedName>
    <definedName name="Togreiser_RefÅr2">'1.3 Persontransportmodell'!$AG$54</definedName>
    <definedName name="Togreiser_RefÅr2_Togtype_2">'1.3 Persontransportmodell'!$AM$54</definedName>
    <definedName name="Togreiser_RefÅr3">'1.3 Persontransportmodell'!$AG$87</definedName>
    <definedName name="Togreiser_RefÅr3_Togtype_2">'1.3 Persontransportmodell'!$AM$87</definedName>
    <definedName name="Togreiser_TiltakÅr1">'1.3 Persontransportmodell'!$AH$20</definedName>
    <definedName name="Togreiser_TiltakÅr1_Togtype_2">'1.3 Persontransportmodell'!$AN$20</definedName>
    <definedName name="Togreiser_TiltakÅr2">'1.3 Persontransportmodell'!$AH$54</definedName>
    <definedName name="Togreiser_TiltakÅr2_Togtype_2">'1.3 Persontransportmodell'!$AN$54</definedName>
    <definedName name="Togreiser_TiltakÅr3">'1.3 Persontransportmodell'!$AH$87</definedName>
    <definedName name="Togreiser_TiltakÅr3_Togtype_2">'1.3 Persontransportmodell'!$AN$87</definedName>
    <definedName name="Togreiser_År1">'1.3 Persontransportmodell'!$AI$20</definedName>
    <definedName name="Togreiser_År1_Togtype_2">'1.3 Persontransportmodell'!$AO$20</definedName>
    <definedName name="Togreiser_År2">'1.3 Persontransportmodell'!$AI$54</definedName>
    <definedName name="Togreiser_År2_Togtype_2">'1.3 Persontransportmodell'!$AO$54</definedName>
    <definedName name="Togreiser_År3">'1.3 Persontransportmodell'!$AI$87</definedName>
    <definedName name="Togreiser_År3_Togtype_2">'1.3 Persontransportmodell'!$AO$87</definedName>
    <definedName name="Togsett_Ref">'1.2 Forutsetninger'!$C$85</definedName>
    <definedName name="Togsett_Ref_2">'1.2 Forutsetninger'!$C$91</definedName>
    <definedName name="Togsett_Tiltak">'1.2 Forutsetninger'!$D$85</definedName>
    <definedName name="Togsett_Tiltak_2">'1.2 Forutsetninger'!$D$91</definedName>
    <definedName name="Togtimer_RefÅr1">'1.3 Persontransportmodell'!$AG$37</definedName>
    <definedName name="Togtimer_RefÅr1_Togtype_2">'1.3 Persontransportmodell'!$AM$37</definedName>
    <definedName name="Togtimer_RefÅr2">'1.3 Persontransportmodell'!$AG$71</definedName>
    <definedName name="Togtimer_RefÅr2_Togtype_2">'1.3 Persontransportmodell'!$AM$71</definedName>
    <definedName name="Togtimer_RefÅr3">'1.3 Persontransportmodell'!$AG$104</definedName>
    <definedName name="Togtimer_RefÅr3_Togtype_2">'1.3 Persontransportmodell'!$AM$104</definedName>
    <definedName name="Togtimer_TiltakÅr1">'1.3 Persontransportmodell'!$AH$37</definedName>
    <definedName name="Togtimer_TiltakÅr1_Togtype_2">'1.3 Persontransportmodell'!$AN$37</definedName>
    <definedName name="Togtimer_TiltakÅr2">'1.3 Persontransportmodell'!$AH$71</definedName>
    <definedName name="Togtimer_TiltakÅr2_Togtype_2">'1.3 Persontransportmodell'!$AN$71</definedName>
    <definedName name="Togtimer_TiltakÅr3">'1.3 Persontransportmodell'!$AH$104</definedName>
    <definedName name="Togtimer_TiltakÅr3_Togtype_2">'1.3 Persontransportmodell'!$AN$104</definedName>
    <definedName name="Togtimer_År1">'1.3 Persontransportmodell'!$AI$37</definedName>
    <definedName name="Togtimer_År1_Togtype_2">'1.3 Persontransportmodell'!$AO$37</definedName>
    <definedName name="Togtimer_År2">'1.3 Persontransportmodell'!$AI$71</definedName>
    <definedName name="Togtimer_År2_Togtype_2">'1.3 Persontransportmodell'!$AO$71</definedName>
    <definedName name="Togtimer_År3">'1.3 Persontransportmodell'!$AI$104</definedName>
    <definedName name="Togtimer_År3_Togtype_2">'1.3 Persontransportmodell'!$AO$104</definedName>
    <definedName name="Togtype_Ref">'1.2 Forutsetninger'!$C$81</definedName>
    <definedName name="Togtype_Ref_2">'1.2 Forutsetninger'!$C$87</definedName>
    <definedName name="Togtype_Tiltak">'1.2 Forutsetninger'!$D$81</definedName>
    <definedName name="Togtype_Tiltak_2">'1.2 Forutsetninger'!$D$87</definedName>
    <definedName name="TogtypeVogn_Ref">'1.2 Forutsetninger'!$C$82</definedName>
    <definedName name="TogtypeVogn_Ref_2">'1.2 Forutsetninger'!$C$88</definedName>
    <definedName name="TogTypeVogn_Tiltak">'1.2 Forutsetninger'!$D$82</definedName>
    <definedName name="TogTypeVogn_Tiltak_2">'1.2 Forutsetninger'!$D$88</definedName>
    <definedName name="Togvekt_Godstog">'1.2 Forutsetninger'!$C$262</definedName>
    <definedName name="Togvekt_Persontog">'1.2 Forutsetninger'!$C$263</definedName>
    <definedName name="Tomtogkjøring">'1.2 Forutsetninger'!$C$94</definedName>
    <definedName name="Tomtogkjøring_Referanse">'1.2 Forutsetninger'!$C$94</definedName>
    <definedName name="Tomtogkjøring_Tiltak">'1.2 Forutsetninger'!$D$94</definedName>
    <definedName name="TonnM_GodstogD_RefÅr1">'1.4 Godsmodell'!$C$33</definedName>
    <definedName name="TonnM_GodstogD_TiltakÅr1">'1.4 Godsmodell'!$D$33</definedName>
    <definedName name="TonnM_GodsTogD_År1">'1.4 Godsmodell'!$E$33</definedName>
    <definedName name="TonnM_GodstogEL_RefÅr1">'1.4 Godsmodell'!$C$32</definedName>
    <definedName name="TonnM_GodstogEL_TiltakÅr1">'1.4 Godsmodell'!$D$32</definedName>
    <definedName name="TonnM_GodstogEL_År1">'1.4 Godsmodell'!$E$32</definedName>
    <definedName name="TonnM_Lettlastebil_År1">'1.4 Godsmodell'!$E$28</definedName>
    <definedName name="TonnM_Modullastebil_År1">'1.4 Godsmodell'!$E$30</definedName>
    <definedName name="TonnM_Tunglastebil_År1">'1.4 Godsmodell'!$E$29</definedName>
    <definedName name="TonnMkm_GodstogD_RefÅr1">'1.4 Godsmodell'!$C$44</definedName>
    <definedName name="TonnMkm_GodstogD_TiltakÅr1">'1.4 Godsmodell'!$D$44</definedName>
    <definedName name="TonnMkm_GodstogD_År1">'1.4 Godsmodell'!$E$44</definedName>
    <definedName name="TonnMkm_GodstogEL_RefÅr1">'1.4 Godsmodell'!$C$43</definedName>
    <definedName name="TonnMkm_GodstogEL_TiltakÅr1">'1.4 Godsmodell'!$D$43</definedName>
    <definedName name="TonnMkm_GodstogEL_År1">'1.4 Godsmodell'!$E$43</definedName>
    <definedName name="TonnMkm_LettlastebilÅr1">'1.4 Godsmodell'!$E$39</definedName>
    <definedName name="TonnMkm_LettlastebilÅr2">'1.4 Godsmodell'!$L$39</definedName>
    <definedName name="TonnMkm_LettlastebilÅr3">'1.4 Godsmodell'!$R$39</definedName>
    <definedName name="TonnMkm_ModulvogntogÅr1">'1.4 Godsmodell'!$E$41</definedName>
    <definedName name="TonnMkm_ModulvogntogÅr2">'1.4 Godsmodell'!$L$41</definedName>
    <definedName name="TonnMkm_ModulvogntogÅr3">'1.4 Godsmodell'!$R$41</definedName>
    <definedName name="TonnMkm_SkipÅr1">'1.4 Godsmodell'!$E$42</definedName>
    <definedName name="TonnMkm_SkipÅr2">'1.4 Godsmodell'!$L$42</definedName>
    <definedName name="TonnMkm_SkipÅr3">'1.4 Godsmodell'!$R$42</definedName>
    <definedName name="TonnMkm_TunglastebilÅr1">'1.4 Godsmodell'!$E$40</definedName>
    <definedName name="TonnMkm_TunglastebilÅr2">'1.4 Godsmodell'!$L$40</definedName>
    <definedName name="TonnMkm_TunglastebilÅr3">'1.4 Godsmodell'!$R$40</definedName>
    <definedName name="Totale_Driftskostnader">'2.2 Operatører'!$K$40:$M$40</definedName>
    <definedName name="Trafikantnytte_Alt">Trafikantnytte_TogÅr1,TrafikantnytteNy_TogÅr1,Trafikantnytte_TogÅr2,TrafikantnytteNy_TogÅr2,Trafikantnytte_TogÅr3,TrafikantnytteNy_TogÅr3,Trafikantnytte_BilÅr1,Trafikantnytte_BilÅr2,Trafikantnytte_BilÅr3,Trafikantnytte_BussÅr1,Trafikantnytte_BussÅr2,Trafikantnytte_BussÅr3,Trafikantnytte_FlyÅr1,Trafikantnytte_FlyÅr2,Trafikantnytte_FlyÅr3</definedName>
    <definedName name="Trafikantnytte_BilÅr1">'1.3 Persontransportmodell'!$AU$15</definedName>
    <definedName name="Trafikantnytte_BilÅr2">'1.3 Persontransportmodell'!$AU$49</definedName>
    <definedName name="Trafikantnytte_BilÅr3">'1.3 Persontransportmodell'!$AU$82</definedName>
    <definedName name="Trafikantnytte_BussÅr1">'1.3 Persontransportmodell'!$BA$15</definedName>
    <definedName name="Trafikantnytte_BussÅr2">'1.3 Persontransportmodell'!$BA$49</definedName>
    <definedName name="Trafikantnytte_BussÅr3">'1.3 Persontransportmodell'!$BA$82</definedName>
    <definedName name="trafikantnytte_døgn_endring_TogÅr1">'1.3 Persontransportmodell'!$E$13:$E$15</definedName>
    <definedName name="trafikantnytte_døgn_endring_TogÅr2">'1.3 Persontransportmodell'!$E$45:$E$47</definedName>
    <definedName name="trafikantnytte_døgn_endring_TogÅr3">'1.3 Persontransportmodell'!$E$78:$E$80</definedName>
    <definedName name="Trafikantnytte_FlyÅr1">'1.3 Persontransportmodell'!$BG$15</definedName>
    <definedName name="Trafikantnytte_FlyÅr2">'1.3 Persontransportmodell'!$BG$49</definedName>
    <definedName name="Trafikantnytte_FlyÅr3">'1.3 Persontransportmodell'!$BG$82</definedName>
    <definedName name="Trafikantnytte_TogÅr1">'1.3 Persontransportmodell'!$AI$13</definedName>
    <definedName name="Trafikantnytte_TogÅr1_Togtype_2">'1.3 Persontransportmodell'!$AO$13</definedName>
    <definedName name="Trafikantnytte_TogÅr2">'1.3 Persontransportmodell'!$AI$47</definedName>
    <definedName name="Trafikantnytte_TogÅr2_Togtype_2">'1.3 Persontransportmodell'!$AO$47</definedName>
    <definedName name="Trafikantnytte_TogÅr3">'1.3 Persontransportmodell'!$AI$80</definedName>
    <definedName name="Trafikantnytte_TogÅr3_Togtype_2">'1.3 Persontransportmodell'!$AO$80</definedName>
    <definedName name="TrafikantnytteNy_TogÅr1">'1.3 Persontransportmodell'!$AI$14</definedName>
    <definedName name="TrafikantnytteNy_TogÅr1_Togtype_2">'1.3 Persontransportmodell'!$AO$14</definedName>
    <definedName name="TrafikantnytteNy_TogÅr2">'1.3 Persontransportmodell'!$AI$48</definedName>
    <definedName name="TrafikantnytteNy_TogÅr2_Togtype_2">'1.3 Persontransportmodell'!$AO$48</definedName>
    <definedName name="TrafikantnytteNy_TogÅr3">'1.3 Persontransportmodell'!$AI$81</definedName>
    <definedName name="TrafikantnytteNy_TogÅr3_Togtype_2">'1.3 Persontransportmodell'!$AO$81</definedName>
    <definedName name="Trafikkvekst_Endring_AlleÅr">'1.3 Persontransportmodell'!$E$13:$E$15,'1.3 Persontransportmodell'!$E$17:$E$21,'1.3 Persontransportmodell'!$E$23,'1.3 Persontransportmodell'!#REF!,'1.3 Persontransportmodell'!$E$26:$E$30,'1.3 Persontransportmodell'!$E$45:$E$47,'1.3 Persontransportmodell'!$E$49:$E$53,'1.3 Persontransportmodell'!$E$55,'1.3 Persontransportmodell'!#REF!,'1.3 Persontransportmodell'!$E$58:$E$62,'1.3 Persontransportmodell'!$E$78:$E$80,'1.3 Persontransportmodell'!$E$82:$E$86,'1.3 Persontransportmodell'!$E$88,'1.3 Persontransportmodell'!#REF!,'1.3 Persontransportmodell'!$E$91:$E$95</definedName>
    <definedName name="Transportarbeid_Gods">TonnMkm_LettlastebilÅr1,TonnMkm_TunglastebilÅr1,TonnMkm_ModulvogntogÅr1,TonnMkm_SkipÅr1,TonnMkm_GodstogEL_År1,TonnMkm_GodstogEL_År1,TonnMkm_GodstogD_År1</definedName>
    <definedName name="TransportkostnaderGods_Kroneår">'1.2 Forutsetninger'!$C$44</definedName>
    <definedName name="TredjeBeregningsår">'1.2 Forutsetninger'!$C$39</definedName>
    <definedName name="trengsel_døgn_endring_TogÅr1">'1.3 Persontransportmodell'!#REF!</definedName>
    <definedName name="trengsel_døgn_endring_TogÅr2">'1.3 Persontransportmodell'!#REF!</definedName>
    <definedName name="trengsel_døgn_endring_TogÅr3">'1.3 Persontransportmodell'!#REF!</definedName>
    <definedName name="TriangInput">Parametere!$T$3:$T$4</definedName>
    <definedName name="TS_Breakeven">'4.3.2 Tidsseriefigurer'!$A$40:$T$78</definedName>
    <definedName name="TS_Budsjettvirkninger">'4.3.2 Tidsseriefigurer'!$AO$1:$BH$38</definedName>
    <definedName name="TS_CO2Nytte">'4.3.2 Tidsseriefigurer'!$U$1:$AN$37</definedName>
    <definedName name="TS_CO2Utslipp">'4.3.2 Tidsseriefigurer'!$U$40:$AN$78</definedName>
    <definedName name="TS_Eksterne">'4.3.2 Tidsseriefigurer'!$AO$40:$BH$78</definedName>
    <definedName name="TS_Hovedfigur">'4.3.1 Tverrsnittfigurer'!$A$36:$T$70</definedName>
    <definedName name="TS_KakeTrafikant">'4.3.1 Tverrsnittfigurer'!$U$71:$AN$106</definedName>
    <definedName name="TS_Offentlige">'4.3.1 Tverrsnittfigurer'!$AO$1:$BH$34</definedName>
    <definedName name="TS_Operatørnytte">'4.3.1 Tverrsnittfigurer'!$U$36:$AN$70</definedName>
    <definedName name="TS_Samfunnet">'4.3.1 Tverrsnittfigurer'!$AO$37:$BH$70</definedName>
    <definedName name="TS_Stolpediagram">'4.3.1 Tverrsnittfigurer'!$A$72:$T$106</definedName>
    <definedName name="TS_TrafikantKakeProsent">'4.3.1 Tverrsnittfigurer'!$AO$71:$BH$106</definedName>
    <definedName name="TS_Trafikantnytte">'4.3.1 Tverrsnittfigurer'!$U$1:$AN$34</definedName>
    <definedName name="Tunnelkm_Endring">'1.2 Forutsetninger'!$E$72</definedName>
    <definedName name="Tunnelkm_Ref">'1.2 Forutsetninger'!$C$72</definedName>
    <definedName name="Tunnelkm_Tiltak">'1.2 Forutsetninger'!$D$72</definedName>
    <definedName name="TØI_1050_2009">'0.4 Kilder'!$B$71</definedName>
    <definedName name="TØI_1053_2010">'0.4 Kilder'!$B$72</definedName>
    <definedName name="TØI_1053B_2010">'0.4 Kilder'!$B$73</definedName>
    <definedName name="TØI_1081_1997">'0.4 Kilder'!$B$67</definedName>
    <definedName name="TØI_1307_2014">'0.4 Kilder'!$B$74</definedName>
    <definedName name="TØI_1313_2014">'0.4 Kilder'!$B$75</definedName>
    <definedName name="TØI_1446_2015">'0.4 Kilder'!$B$76</definedName>
    <definedName name="TØI_1555_2017">'0.4 Kilder'!#REF!</definedName>
    <definedName name="TØI_1558_2017">'0.4 Kilder'!$B$80</definedName>
    <definedName name="TØI_1689_2019">'0.4 Kilder'!$B$82</definedName>
    <definedName name="TØI_1704_2019">'0.4 Kilder'!$B$83</definedName>
    <definedName name="TØI_1718_2019">'0.4 Kilder'!$B$79</definedName>
    <definedName name="TØI_2023">'0.4 Kilder'!$B$99</definedName>
    <definedName name="TØI_2025">'0.4 Kilder'!$B$98</definedName>
    <definedName name="TØI_464_1999">'0.4 Kilder'!$B$68</definedName>
    <definedName name="TØI_51445_2019">'0.4 Kilder'!$B$81</definedName>
    <definedName name="TØI_567_2002">'0.4 Kilder'!$B$70</definedName>
    <definedName name="Ulykke_AlleTransportformer">Ulykke_Persontog,Ulykke_Godstog,Ulykke_Bil,Ulykke_Buss,Ulykke_Fly,Ulykke_Lettlastebil,Ulykke_Tunglastebil,Ulykke_Skip</definedName>
    <definedName name="Ulykke_Bil">'1.1 Standardsatser'!$D$292</definedName>
    <definedName name="Ulykke_Buss">'1.1 Standardsatser'!$D$293</definedName>
    <definedName name="Ulykke_Fly">'1.1 Standardsatser'!$D$294</definedName>
    <definedName name="Ulykke_Godstog">'1.1 Standardsatser'!$D$291</definedName>
    <definedName name="Ulykke_Lettlastebil">'1.1 Standardsatser'!$D$296</definedName>
    <definedName name="Ulykke_Modulvogntog">'1.1 Standardsatser'!$D$298</definedName>
    <definedName name="Ulykke_Persontog">'1.1 Standardsatser'!$D$290</definedName>
    <definedName name="Ulykke_Skip">'1.1 Standardsatser'!$D$295</definedName>
    <definedName name="Ulykke_Tunglastebil">'1.1 Standardsatser'!$D$297</definedName>
    <definedName name="UlykkesfrekvensBil_Død">'1.2 Forutsetninger'!$C$297</definedName>
    <definedName name="UlykkesfrekvensBil_HardtSkadet">'1.2 Forutsetninger'!$C$296</definedName>
    <definedName name="UlykkesfrekvensBil_LettereSkadet">'1.2 Forutsetninger'!$C$295</definedName>
    <definedName name="UlykkesfrekvensBuss_Død">'1.2 Forutsetninger'!$C$301</definedName>
    <definedName name="UlykkesfrekvensBuss_HardtSkadet">'1.2 Forutsetninger'!$C$300</definedName>
    <definedName name="UlykkesfrekvensBuss_LettereSkadet">'1.2 Forutsetninger'!$C$299</definedName>
    <definedName name="UlykkesfrekvensGodstog_Død">'1.2 Forutsetninger'!$C$293</definedName>
    <definedName name="UlykkesfrekvensGodstog_HardtSkadet">'1.2 Forutsetninger'!$C$292</definedName>
    <definedName name="UlykkesfrekvensGodstog_LettereSkadet">'1.2 Forutsetninger'!$C$291</definedName>
    <definedName name="UlykkesfrekvensLettLastebil_Død">'1.2 Forutsetninger'!$C$309</definedName>
    <definedName name="UlykkesfrekvensLettLastebil_HardtSkadet">'1.2 Forutsetninger'!$C$308</definedName>
    <definedName name="UlykkesfrekvensLettLastebil_LettereSkadet">'1.2 Forutsetninger'!$C$307</definedName>
    <definedName name="UlykkesfrekvensPersontog_Død">'1.2 Forutsetninger'!$C$289</definedName>
    <definedName name="UlykkesfrekvensPersontog_HardtSkadet">'1.2 Forutsetninger'!$C$288</definedName>
    <definedName name="UlykkesfrekvensPersontog_LettereSkadet">'1.2 Forutsetninger'!$C$287</definedName>
    <definedName name="UlykkesfrekvensSkip_Død">'1.2 Forutsetninger'!$C$305</definedName>
    <definedName name="UlykkesfrekvensSkip_HardtSkadet">'1.2 Forutsetninger'!$C$304</definedName>
    <definedName name="UlykkesfrekvensSkip_LettereSkadet">'1.2 Forutsetninger'!$C$303</definedName>
    <definedName name="UlykkesfrekvensTungLasetbil_HardtSkadet">'1.2 Forutsetninger'!$C$312</definedName>
    <definedName name="UlykkesfrekvensTungLastebil_Død">'1.2 Forutsetninger'!$C$313</definedName>
    <definedName name="UlykkesfrekvensTungLastebil_LettereSkadet">'1.2 Forutsetninger'!$C$311</definedName>
    <definedName name="Utdanning_Lønnkonduktører">'0.4 Kilder'!$B$101</definedName>
    <definedName name="Utdanning_Lønnlokomotivførere">'0.4 Kilder'!$B$100</definedName>
    <definedName name="Utslipp_byggefase_nytte_toggle">'4.3.2 Data_Tidsseriefigurer'!$A$37</definedName>
    <definedName name="Utslipp_byggefase_toggle">'4.3.2 Data_Tidsseriefigurer'!$A$151</definedName>
    <definedName name="Utslippibyggefasen">'3.1 Nyttestrøm'!$U$49</definedName>
    <definedName name="valuevx">42.314159</definedName>
    <definedName name="Vedlikehold_69">'1.1 Standardsatser'!$D$217</definedName>
    <definedName name="Vedlikehold_70">'1.1 Standardsatser'!$D$218</definedName>
    <definedName name="Vedlikehold_72">'1.1 Standardsatser'!$D$222</definedName>
    <definedName name="Vedlikehold_73">'1.1 Standardsatser'!$D$221</definedName>
    <definedName name="Vedlikehold_74">'1.1 Standardsatser'!$D$220</definedName>
    <definedName name="Vedlikehold_75">'1.1 Standardsatser'!$D$219</definedName>
    <definedName name="Vedlikehold_76">'1.1 Standardsatser'!$D$226</definedName>
    <definedName name="Vedlikehold_77">'1.1 Standardsatser'!$D$224</definedName>
    <definedName name="Vedlikehold_78">'1.1 Standardsatser'!$D$223</definedName>
    <definedName name="Vedlikehold_93D">'1.1 Standardsatser'!$D$225</definedName>
    <definedName name="Vedlikehold_bru">'1.1 Standardsatser'!$D$155</definedName>
    <definedName name="Vedlikehold_Daglinje">'1.1 Standardsatser'!$D$153</definedName>
    <definedName name="Vedlikehold_Di4">'1.1 Standardsatser'!$D$235</definedName>
    <definedName name="Vedlikehold_EL18">'1.1 Standardsatser'!$D$234</definedName>
    <definedName name="Vedlikehold_HastighetPåslag">'1.2 Forutsetninger'!$C$76</definedName>
    <definedName name="Vedlikehold_KL">'1.1 Standardsatser'!$D$156</definedName>
    <definedName name="Vedlikehold_N05">'1.1 Standardsatser'!$D$227</definedName>
    <definedName name="Vedlikehold_N06">'1.1 Standardsatser'!$D$228</definedName>
    <definedName name="Vedlikehold_N10dag">'1.1 Standardsatser'!$D$229</definedName>
    <definedName name="Vedlikehold_N10natt">'1.1 Standardsatser'!$D$230</definedName>
    <definedName name="Vedlikehold_N11">'1.1 Standardsatser'!$D$231</definedName>
    <definedName name="Vedlikehold_N12">'1.1 Standardsatser'!$D$232</definedName>
    <definedName name="Vedlikehold_N13">'1.1 Standardsatser'!$D$233</definedName>
    <definedName name="Vedlikehold_Sittevogn">'1.1 Standardsatser'!$D$236</definedName>
    <definedName name="Vedlikehold_Sovevogn">'1.1 Standardsatser'!$D$237</definedName>
    <definedName name="Vedlikehold_Sporveksel">'1.1 Standardsatser'!$D$151</definedName>
    <definedName name="Vedlikehold_Stasjon">'1.1 Standardsatser'!$D$152</definedName>
    <definedName name="Vedlikehold_Stog">'1.1 Standardsatser'!$D$216</definedName>
    <definedName name="Vedlikehold_Tunnel">'1.1 Standardsatser'!$D$154</definedName>
    <definedName name="Veibruksavgift_byggefase">'Standardsatser-Forutsetninger'!$H$21</definedName>
    <definedName name="Veibruksavgift_krprliter_diesel">'Standardsatser-Forutsetninger'!$C$21</definedName>
    <definedName name="vertex42_copyright" hidden="1">"© 2015 Vertex42 LLC"</definedName>
    <definedName name="vertex42_id" hidden="1">"waterfall-chart.xlsx"</definedName>
    <definedName name="vertex42_title" hidden="1">"Waterfall Chart Template"</definedName>
    <definedName name="Vista_Analyse_2015">'0.4 Kilder'!$B$84</definedName>
    <definedName name="Vista_Analyse_2020">'0.4 Kilder'!$B$86</definedName>
    <definedName name="Vogner_72">'1.2 Forutsetninger'!$C$270</definedName>
    <definedName name="Vogner_74">'1.2 Forutsetninger'!$C$269</definedName>
    <definedName name="Vogner_74BMU">'[1]1.2 Forutsetninger'!$C$245</definedName>
    <definedName name="Vogner_75">'1.2 Forutsetninger'!$C$268</definedName>
    <definedName name="Vogner_75D">'[1]1.2 Forutsetninger'!$C$243</definedName>
    <definedName name="Vogner_76">'1.2 Forutsetninger'!$C$274</definedName>
    <definedName name="Vogner_77">'1.2 Forutsetninger'!$C$272</definedName>
    <definedName name="Vogner_78">'1.2 Forutsetninger'!$C$271</definedName>
    <definedName name="Vogner_93D">'1.2 Forutsetninger'!$C$273</definedName>
    <definedName name="Vogner_LokD">'1.2 Forutsetninger'!$C$276</definedName>
    <definedName name="Vogner_LokEL">'1.2 Forutsetninger'!$C$275</definedName>
    <definedName name="Vogner_Oaris">'[1]1.2 Forutsetninger'!$C$242</definedName>
    <definedName name="Vogner_Ref">'1.2 Forutsetninger'!$C$83</definedName>
    <definedName name="Vogner_Ref_2">'1.2 Forutsetninger'!$C$89</definedName>
    <definedName name="Vogner_Sittevogn">'1.2 Forutsetninger'!$C$277</definedName>
    <definedName name="Vogner_Sovevogn">'1.2 Forutsetninger'!$C$278</definedName>
    <definedName name="Vogner_Stog">'1.2 Forutsetninger'!$C$267</definedName>
    <definedName name="Vogner_Tiltak">'1.2 Forutsetninger'!$D$83</definedName>
    <definedName name="Vogner_Tiltak_2">'1.2 Forutsetninger'!$D$89</definedName>
    <definedName name="Wikipedia_2017">'0.4 Kilder'!$B$87</definedName>
    <definedName name="Åpningsår">'1.2 Forutsetninger'!$C$36</definedName>
    <definedName name="År1">'1.2 Forutsetninger'!$C$17</definedName>
    <definedName name="År2">'1.2 Forutsetninger'!$D$17</definedName>
    <definedName name="År3">'1.2 Forutsetninger'!$E$17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37" i="24" l="1"/>
  <c r="C35" i="24"/>
  <c r="C34" i="24"/>
  <c r="C233" i="5"/>
  <c r="E263" i="3" l="1"/>
  <c r="E264" i="3"/>
  <c r="B59" i="24"/>
  <c r="B60" i="24"/>
  <c r="G264" i="3"/>
  <c r="G263" i="3"/>
  <c r="B38" i="24"/>
  <c r="B39" i="24"/>
  <c r="I38" i="24"/>
  <c r="I39" i="24"/>
  <c r="G195" i="3"/>
  <c r="G196" i="3"/>
  <c r="E276" i="3" l="1"/>
  <c r="E277" i="3"/>
  <c r="E278" i="3"/>
  <c r="E279" i="3"/>
  <c r="E275" i="3"/>
  <c r="B70" i="24"/>
  <c r="B71" i="24"/>
  <c r="B72" i="24"/>
  <c r="B73" i="24"/>
  <c r="B74" i="24"/>
  <c r="G279" i="3"/>
  <c r="G278" i="3"/>
  <c r="G277" i="3"/>
  <c r="G276" i="3"/>
  <c r="G275" i="3"/>
  <c r="B51" i="24"/>
  <c r="B52" i="24"/>
  <c r="B53" i="24"/>
  <c r="B54" i="24"/>
  <c r="B55" i="24"/>
  <c r="G209" i="3"/>
  <c r="G208" i="3"/>
  <c r="C69" i="24" l="1"/>
  <c r="E274" i="3" s="1"/>
  <c r="C68" i="24"/>
  <c r="E273" i="3" s="1"/>
  <c r="B68" i="24"/>
  <c r="B69" i="24"/>
  <c r="G274" i="3"/>
  <c r="G273" i="3"/>
  <c r="B49" i="24"/>
  <c r="B50" i="24"/>
  <c r="G206" i="3"/>
  <c r="G267" i="3"/>
  <c r="B42" i="24"/>
  <c r="F42" i="24"/>
  <c r="I42" i="24"/>
  <c r="E42" i="24"/>
  <c r="C233" i="24" l="1"/>
  <c r="E158" i="3" l="1"/>
  <c r="E74" i="5" l="1"/>
  <c r="J355" i="5" l="1"/>
  <c r="J356" i="5"/>
  <c r="J354" i="5"/>
  <c r="C258" i="24"/>
  <c r="C383" i="5" s="1"/>
  <c r="C257" i="24"/>
  <c r="C382" i="5" s="1"/>
  <c r="H250" i="24"/>
  <c r="B250" i="24"/>
  <c r="D355" i="5"/>
  <c r="C235" i="24"/>
  <c r="C326" i="5" s="1"/>
  <c r="F250" i="24" l="1"/>
  <c r="C250" i="24" s="1"/>
  <c r="C355" i="5" s="1"/>
  <c r="C236" i="24"/>
  <c r="C327" i="5" s="1"/>
  <c r="C234" i="24"/>
  <c r="C325" i="5" s="1"/>
  <c r="C114" i="24"/>
  <c r="C113" i="24"/>
  <c r="C112" i="24"/>
  <c r="E163" i="3"/>
  <c r="B31" i="24"/>
  <c r="E298" i="3"/>
  <c r="C95" i="24"/>
  <c r="C96" i="24"/>
  <c r="C97" i="24"/>
  <c r="C98" i="24"/>
  <c r="C99" i="24"/>
  <c r="C101" i="24"/>
  <c r="C100" i="24" l="1"/>
  <c r="E297" i="3" s="1"/>
  <c r="C94" i="24" l="1"/>
  <c r="E296" i="3" s="1"/>
  <c r="H202" i="3" l="1"/>
  <c r="H205" i="3"/>
  <c r="C86" i="24" l="1"/>
  <c r="E300" i="3" s="1"/>
  <c r="F80" i="24"/>
  <c r="D138" i="3"/>
  <c r="D380" i="3" l="1"/>
  <c r="D381" i="3"/>
  <c r="D379" i="3"/>
  <c r="N322" i="3"/>
  <c r="N314" i="3"/>
  <c r="AL80" i="25" l="1"/>
  <c r="AL78" i="25"/>
  <c r="R103" i="24"/>
  <c r="L103" i="24"/>
  <c r="AM77" i="25" l="1"/>
  <c r="AM79" i="25"/>
  <c r="AM68" i="25"/>
  <c r="F156" i="3" s="1"/>
  <c r="D156" i="3" s="1"/>
  <c r="AM67" i="25"/>
  <c r="C24" i="24"/>
  <c r="N68" i="25"/>
  <c r="O68" i="25"/>
  <c r="P68" i="25"/>
  <c r="Q68" i="25"/>
  <c r="R68" i="25"/>
  <c r="S68" i="25"/>
  <c r="T68" i="25"/>
  <c r="U68" i="25"/>
  <c r="V68" i="25"/>
  <c r="W68" i="25"/>
  <c r="X68" i="25"/>
  <c r="Y68" i="25"/>
  <c r="Z68" i="25"/>
  <c r="AA68" i="25"/>
  <c r="AB68" i="25"/>
  <c r="AC68" i="25"/>
  <c r="AD68" i="25"/>
  <c r="AE68" i="25"/>
  <c r="AF68" i="25"/>
  <c r="AG68" i="25"/>
  <c r="AH68" i="25"/>
  <c r="AI68" i="25"/>
  <c r="F163" i="3" s="1"/>
  <c r="D163" i="3" s="1"/>
  <c r="AJ68" i="25"/>
  <c r="AK68" i="25"/>
  <c r="AL68" i="25"/>
  <c r="M68" i="25"/>
  <c r="N67" i="25"/>
  <c r="O67" i="25"/>
  <c r="P67" i="25"/>
  <c r="Q67" i="25"/>
  <c r="R67" i="25"/>
  <c r="S67" i="25"/>
  <c r="T67" i="25"/>
  <c r="U67" i="25"/>
  <c r="V67" i="25"/>
  <c r="W67" i="25"/>
  <c r="X67" i="25"/>
  <c r="Y67" i="25"/>
  <c r="Z67" i="25"/>
  <c r="AA67" i="25"/>
  <c r="AB67" i="25"/>
  <c r="AC67" i="25"/>
  <c r="AD67" i="25"/>
  <c r="AE67" i="25"/>
  <c r="AF67" i="25"/>
  <c r="AG67" i="25"/>
  <c r="AH67" i="25"/>
  <c r="AI67" i="25"/>
  <c r="AJ67" i="25"/>
  <c r="AK67" i="25"/>
  <c r="AL67" i="25"/>
  <c r="M67" i="25"/>
  <c r="AM99" i="25"/>
  <c r="AM73" i="25"/>
  <c r="AN79" i="25" l="1"/>
  <c r="AN73" i="25"/>
  <c r="AN77" i="25"/>
  <c r="E73" i="5"/>
  <c r="AO73" i="25" l="1"/>
  <c r="AN68" i="25"/>
  <c r="AO68" i="25" s="1"/>
  <c r="AP68" i="25" s="1"/>
  <c r="AQ68" i="25" s="1"/>
  <c r="AR68" i="25" s="1"/>
  <c r="AS68" i="25" s="1"/>
  <c r="AT68" i="25" s="1"/>
  <c r="AU68" i="25" s="1"/>
  <c r="AV68" i="25" s="1"/>
  <c r="AW68" i="25" s="1"/>
  <c r="AX68" i="25" s="1"/>
  <c r="AY68" i="25" s="1"/>
  <c r="AZ68" i="25" s="1"/>
  <c r="BA68" i="25" s="1"/>
  <c r="BB68" i="25" s="1"/>
  <c r="BC68" i="25" s="1"/>
  <c r="BD68" i="25" s="1"/>
  <c r="BE68" i="25" s="1"/>
  <c r="BF68" i="25" s="1"/>
  <c r="BG68" i="25" s="1"/>
  <c r="BH68" i="25" s="1"/>
  <c r="BI68" i="25" s="1"/>
  <c r="BJ68" i="25" s="1"/>
  <c r="BK68" i="25" s="1"/>
  <c r="BL68" i="25" s="1"/>
  <c r="BM68" i="25" s="1"/>
  <c r="BN68" i="25" s="1"/>
  <c r="BO68" i="25" s="1"/>
  <c r="BP68" i="25" s="1"/>
  <c r="BQ68" i="25" s="1"/>
  <c r="BR68" i="25" s="1"/>
  <c r="BS68" i="25" s="1"/>
  <c r="BT68" i="25" s="1"/>
  <c r="BU68" i="25" s="1"/>
  <c r="BV68" i="25" s="1"/>
  <c r="BW68" i="25" s="1"/>
  <c r="BX68" i="25" s="1"/>
  <c r="BY68" i="25" s="1"/>
  <c r="BZ68" i="25" s="1"/>
  <c r="CA68" i="25" s="1"/>
  <c r="CB68" i="25" s="1"/>
  <c r="CC68" i="25" s="1"/>
  <c r="CD68" i="25" s="1"/>
  <c r="CE68" i="25" s="1"/>
  <c r="CF68" i="25" s="1"/>
  <c r="CG68" i="25" s="1"/>
  <c r="CH68" i="25" s="1"/>
  <c r="CI68" i="25" s="1"/>
  <c r="CJ68" i="25" s="1"/>
  <c r="CK68" i="25" s="1"/>
  <c r="CL68" i="25" s="1"/>
  <c r="CM68" i="25" s="1"/>
  <c r="CN68" i="25" s="1"/>
  <c r="CO68" i="25" s="1"/>
  <c r="CP68" i="25" s="1"/>
  <c r="CQ68" i="25" s="1"/>
  <c r="CR68" i="25" s="1"/>
  <c r="CS68" i="25" s="1"/>
  <c r="CT68" i="25" s="1"/>
  <c r="CU68" i="25" s="1"/>
  <c r="CV68" i="25" s="1"/>
  <c r="CW68" i="25" s="1"/>
  <c r="CX68" i="25" s="1"/>
  <c r="CY68" i="25" s="1"/>
  <c r="CZ68" i="25" s="1"/>
  <c r="DA68" i="25" s="1"/>
  <c r="DB68" i="25" s="1"/>
  <c r="DC68" i="25" s="1"/>
  <c r="DD68" i="25" s="1"/>
  <c r="DE68" i="25" s="1"/>
  <c r="DF68" i="25" s="1"/>
  <c r="DG68" i="25" s="1"/>
  <c r="DH68" i="25" s="1"/>
  <c r="DI68" i="25" s="1"/>
  <c r="DJ68" i="25" s="1"/>
  <c r="DK68" i="25" s="1"/>
  <c r="DL68" i="25" s="1"/>
  <c r="DM68" i="25" s="1"/>
  <c r="DN68" i="25" s="1"/>
  <c r="DO68" i="25" s="1"/>
  <c r="DP68" i="25" s="1"/>
  <c r="DQ68" i="25" s="1"/>
  <c r="DR68" i="25" s="1"/>
  <c r="DS68" i="25" s="1"/>
  <c r="DT68" i="25" s="1"/>
  <c r="DU68" i="25" s="1"/>
  <c r="DV68" i="25" s="1"/>
  <c r="DW68" i="25" s="1"/>
  <c r="DX68" i="25" s="1"/>
  <c r="DY68" i="25" s="1"/>
  <c r="DZ68" i="25" s="1"/>
  <c r="EA68" i="25" s="1"/>
  <c r="EB68" i="25" s="1"/>
  <c r="EC68" i="25" s="1"/>
  <c r="ED68" i="25" s="1"/>
  <c r="EE68" i="25" s="1"/>
  <c r="EF68" i="25" s="1"/>
  <c r="EG68" i="25" s="1"/>
  <c r="EH68" i="25" s="1"/>
  <c r="EI68" i="25" s="1"/>
  <c r="EJ68" i="25" s="1"/>
  <c r="EK68" i="25" s="1"/>
  <c r="EL68" i="25" s="1"/>
  <c r="EM68" i="25" s="1"/>
  <c r="EN68" i="25" s="1"/>
  <c r="EO68" i="25" s="1"/>
  <c r="AN67" i="25"/>
  <c r="AO67" i="25" s="1"/>
  <c r="AP67" i="25" s="1"/>
  <c r="AQ67" i="25" s="1"/>
  <c r="AR67" i="25" s="1"/>
  <c r="AS67" i="25" s="1"/>
  <c r="AT67" i="25" s="1"/>
  <c r="AU67" i="25" s="1"/>
  <c r="AV67" i="25" s="1"/>
  <c r="AW67" i="25" s="1"/>
  <c r="AX67" i="25" s="1"/>
  <c r="AY67" i="25" s="1"/>
  <c r="AZ67" i="25" s="1"/>
  <c r="BA67" i="25" s="1"/>
  <c r="BB67" i="25" s="1"/>
  <c r="BC67" i="25" s="1"/>
  <c r="BD67" i="25" s="1"/>
  <c r="BE67" i="25" s="1"/>
  <c r="BF67" i="25" s="1"/>
  <c r="BG67" i="25" s="1"/>
  <c r="BH67" i="25" s="1"/>
  <c r="BI67" i="25" s="1"/>
  <c r="BJ67" i="25" s="1"/>
  <c r="BK67" i="25" s="1"/>
  <c r="BL67" i="25" s="1"/>
  <c r="BM67" i="25" s="1"/>
  <c r="BN67" i="25" s="1"/>
  <c r="BO67" i="25" s="1"/>
  <c r="BP67" i="25" s="1"/>
  <c r="BQ67" i="25" s="1"/>
  <c r="BR67" i="25" s="1"/>
  <c r="BS67" i="25" s="1"/>
  <c r="BT67" i="25" s="1"/>
  <c r="BU67" i="25" s="1"/>
  <c r="BV67" i="25" s="1"/>
  <c r="BW67" i="25" s="1"/>
  <c r="BX67" i="25" s="1"/>
  <c r="BY67" i="25" s="1"/>
  <c r="BZ67" i="25" s="1"/>
  <c r="CA67" i="25" s="1"/>
  <c r="CB67" i="25" s="1"/>
  <c r="CC67" i="25" s="1"/>
  <c r="CD67" i="25" s="1"/>
  <c r="CE67" i="25" s="1"/>
  <c r="CF67" i="25" s="1"/>
  <c r="CG67" i="25" s="1"/>
  <c r="CH67" i="25" s="1"/>
  <c r="CI67" i="25" s="1"/>
  <c r="CJ67" i="25" s="1"/>
  <c r="CK67" i="25" s="1"/>
  <c r="CL67" i="25" s="1"/>
  <c r="CM67" i="25" s="1"/>
  <c r="CN67" i="25" s="1"/>
  <c r="CO67" i="25" s="1"/>
  <c r="CP67" i="25" s="1"/>
  <c r="CQ67" i="25" s="1"/>
  <c r="CR67" i="25" s="1"/>
  <c r="CS67" i="25" s="1"/>
  <c r="CT67" i="25" s="1"/>
  <c r="CU67" i="25" s="1"/>
  <c r="CV67" i="25" s="1"/>
  <c r="CW67" i="25" s="1"/>
  <c r="CX67" i="25" s="1"/>
  <c r="CY67" i="25" s="1"/>
  <c r="CZ67" i="25" s="1"/>
  <c r="DA67" i="25" s="1"/>
  <c r="DB67" i="25" s="1"/>
  <c r="DC67" i="25" s="1"/>
  <c r="DD67" i="25" s="1"/>
  <c r="DE67" i="25" s="1"/>
  <c r="DF67" i="25" s="1"/>
  <c r="DG67" i="25" s="1"/>
  <c r="DH67" i="25" s="1"/>
  <c r="DI67" i="25" s="1"/>
  <c r="DJ67" i="25" s="1"/>
  <c r="DK67" i="25" s="1"/>
  <c r="DL67" i="25" s="1"/>
  <c r="DM67" i="25" s="1"/>
  <c r="DN67" i="25" s="1"/>
  <c r="DO67" i="25" s="1"/>
  <c r="DP67" i="25" s="1"/>
  <c r="DQ67" i="25" s="1"/>
  <c r="DR67" i="25" s="1"/>
  <c r="DS67" i="25" s="1"/>
  <c r="DT67" i="25" s="1"/>
  <c r="DU67" i="25" s="1"/>
  <c r="DV67" i="25" s="1"/>
  <c r="DW67" i="25" s="1"/>
  <c r="DX67" i="25" s="1"/>
  <c r="DY67" i="25" s="1"/>
  <c r="DZ67" i="25" s="1"/>
  <c r="EA67" i="25" s="1"/>
  <c r="EB67" i="25" s="1"/>
  <c r="EC67" i="25" s="1"/>
  <c r="ED67" i="25" s="1"/>
  <c r="EE67" i="25" s="1"/>
  <c r="EF67" i="25" s="1"/>
  <c r="EG67" i="25" s="1"/>
  <c r="EH67" i="25" s="1"/>
  <c r="EI67" i="25" s="1"/>
  <c r="EJ67" i="25" s="1"/>
  <c r="EK67" i="25" s="1"/>
  <c r="EL67" i="25" s="1"/>
  <c r="EM67" i="25" s="1"/>
  <c r="EN67" i="25" s="1"/>
  <c r="EO67" i="25" s="1"/>
  <c r="C10" i="24"/>
  <c r="J135" i="3"/>
  <c r="I81" i="17" l="1"/>
  <c r="AE26" i="14" l="1"/>
  <c r="E19" i="24"/>
  <c r="E18" i="24"/>
  <c r="E17" i="24"/>
  <c r="E16" i="24"/>
  <c r="E15" i="24"/>
  <c r="E14" i="24"/>
  <c r="E13" i="24"/>
  <c r="H13" i="24"/>
  <c r="J13" i="24" s="1"/>
  <c r="T14" i="24"/>
  <c r="V14" i="24" s="1"/>
  <c r="E12" i="24"/>
  <c r="D95" i="5"/>
  <c r="F26" i="24" s="1"/>
  <c r="I39" i="14"/>
  <c r="H39" i="14"/>
  <c r="G39" i="14"/>
  <c r="D39" i="14"/>
  <c r="E39" i="14"/>
  <c r="C39" i="14"/>
  <c r="AA45" i="14"/>
  <c r="Z45" i="14"/>
  <c r="Y45" i="14"/>
  <c r="AA39" i="14"/>
  <c r="Z39" i="14"/>
  <c r="Y39" i="14"/>
  <c r="AA26" i="14"/>
  <c r="Z26" i="14"/>
  <c r="Y26" i="14"/>
  <c r="W26" i="14"/>
  <c r="V26" i="14"/>
  <c r="U26" i="14"/>
  <c r="S26" i="14"/>
  <c r="R26" i="14"/>
  <c r="Q26" i="14"/>
  <c r="AA12" i="14"/>
  <c r="Z12" i="14"/>
  <c r="Y12" i="14"/>
  <c r="W12" i="14"/>
  <c r="V12" i="14"/>
  <c r="U12" i="14"/>
  <c r="S12" i="14"/>
  <c r="R12" i="14"/>
  <c r="Q12" i="14"/>
  <c r="AO26" i="14"/>
  <c r="AN26" i="14"/>
  <c r="AM26" i="14"/>
  <c r="AK26" i="14"/>
  <c r="AJ26" i="14"/>
  <c r="AI26" i="14"/>
  <c r="AG26" i="14"/>
  <c r="AF26" i="14"/>
  <c r="AK35" i="14"/>
  <c r="AK36" i="14"/>
  <c r="AJ35" i="14"/>
  <c r="AF36" i="14"/>
  <c r="AG36" i="14"/>
  <c r="AF35" i="14"/>
  <c r="AG44" i="14"/>
  <c r="AF44" i="14"/>
  <c r="AI36" i="14"/>
  <c r="AJ36" i="14"/>
  <c r="AI44" i="14"/>
  <c r="AJ44" i="14"/>
  <c r="AG35" i="14"/>
  <c r="AI35" i="14"/>
  <c r="AK44" i="14"/>
  <c r="I26" i="14" l="1"/>
  <c r="E26" i="14"/>
  <c r="G26" i="14"/>
  <c r="H26" i="14"/>
  <c r="K26" i="14"/>
  <c r="L26" i="14"/>
  <c r="M26" i="14"/>
  <c r="D26" i="14"/>
  <c r="K45" i="14"/>
  <c r="L39" i="14"/>
  <c r="M39" i="14"/>
  <c r="C26" i="14"/>
  <c r="AO45" i="14"/>
  <c r="M45" i="14" s="1"/>
  <c r="AN45" i="14"/>
  <c r="L45" i="14" s="1"/>
  <c r="AM45" i="14"/>
  <c r="AJ46" i="14"/>
  <c r="AI46" i="14"/>
  <c r="AO39" i="14"/>
  <c r="AN39" i="14"/>
  <c r="AM39" i="14"/>
  <c r="K39" i="14" s="1"/>
  <c r="AO12" i="14"/>
  <c r="AN12" i="14"/>
  <c r="AM12" i="14"/>
  <c r="AK12" i="14"/>
  <c r="AJ12" i="14"/>
  <c r="AI12" i="14"/>
  <c r="AG12" i="14"/>
  <c r="AF12" i="14"/>
  <c r="AE12" i="14"/>
  <c r="AL78" i="6"/>
  <c r="AL45" i="6"/>
  <c r="AL11" i="6"/>
  <c r="AN105" i="6"/>
  <c r="AM105" i="6"/>
  <c r="AN104" i="6"/>
  <c r="AK28" i="14" s="1"/>
  <c r="AM104" i="6"/>
  <c r="AG28" i="14" s="1"/>
  <c r="AN103" i="6"/>
  <c r="AM103" i="6"/>
  <c r="AN102" i="6"/>
  <c r="AM102" i="6"/>
  <c r="AN101" i="6"/>
  <c r="AM101" i="6"/>
  <c r="AN100" i="6"/>
  <c r="AM100" i="6"/>
  <c r="AN99" i="6"/>
  <c r="AM99" i="6"/>
  <c r="AO96" i="6"/>
  <c r="AN96" i="6"/>
  <c r="AM96" i="6"/>
  <c r="AO95" i="6"/>
  <c r="AN95" i="6"/>
  <c r="AM95" i="6"/>
  <c r="AO94" i="6"/>
  <c r="AN94" i="6"/>
  <c r="AM94" i="6"/>
  <c r="AO93" i="6"/>
  <c r="AN93" i="6"/>
  <c r="AM93" i="6"/>
  <c r="AO90" i="6"/>
  <c r="AO17" i="14" s="1"/>
  <c r="AN90" i="6"/>
  <c r="AK17" i="14" s="1"/>
  <c r="AM90" i="6"/>
  <c r="AG17" i="14" s="1"/>
  <c r="AO88" i="6"/>
  <c r="AN88" i="6"/>
  <c r="AM88" i="6"/>
  <c r="AO87" i="6"/>
  <c r="AN87" i="6"/>
  <c r="AM87" i="6"/>
  <c r="AO86" i="6"/>
  <c r="AN86" i="6"/>
  <c r="AM86" i="6"/>
  <c r="AO85" i="6"/>
  <c r="AN85" i="6"/>
  <c r="AM85" i="6"/>
  <c r="AO84" i="6"/>
  <c r="AN84" i="6"/>
  <c r="AM84" i="6"/>
  <c r="AO82" i="6"/>
  <c r="AO81" i="6"/>
  <c r="AO80" i="6"/>
  <c r="AN72" i="6"/>
  <c r="AM72" i="6"/>
  <c r="AN71" i="6"/>
  <c r="AJ28" i="14" s="1"/>
  <c r="AM71" i="6"/>
  <c r="AF28" i="14" s="1"/>
  <c r="AN70" i="6"/>
  <c r="AM70" i="6"/>
  <c r="AN69" i="6"/>
  <c r="AM69" i="6"/>
  <c r="AN68" i="6"/>
  <c r="AM68" i="6"/>
  <c r="AN67" i="6"/>
  <c r="AM67" i="6"/>
  <c r="AN66" i="6"/>
  <c r="AM66" i="6"/>
  <c r="AO63" i="6"/>
  <c r="AN63" i="6"/>
  <c r="AM63" i="6"/>
  <c r="AO62" i="6"/>
  <c r="AN62" i="6"/>
  <c r="AM62" i="6"/>
  <c r="AO61" i="6"/>
  <c r="AN61" i="6"/>
  <c r="AM61" i="6"/>
  <c r="AO60" i="6"/>
  <c r="AN60" i="6"/>
  <c r="AM60" i="6"/>
  <c r="AO57" i="6"/>
  <c r="AN57" i="6"/>
  <c r="AJ17" i="14" s="1"/>
  <c r="AM57" i="6"/>
  <c r="AF17" i="14" s="1"/>
  <c r="AO55" i="6"/>
  <c r="AN55" i="6"/>
  <c r="AM55" i="6"/>
  <c r="AO54" i="6"/>
  <c r="AN13" i="14" s="1"/>
  <c r="AN54" i="6"/>
  <c r="AM54" i="6"/>
  <c r="AO53" i="6"/>
  <c r="AN53" i="6"/>
  <c r="AM53" i="6"/>
  <c r="AO52" i="6"/>
  <c r="AN52" i="6"/>
  <c r="AM52" i="6"/>
  <c r="AO51" i="6"/>
  <c r="AN51" i="6"/>
  <c r="AM51" i="6"/>
  <c r="AO49" i="6"/>
  <c r="AO48" i="6"/>
  <c r="AO47" i="6"/>
  <c r="AN38" i="6"/>
  <c r="AM38" i="6"/>
  <c r="AE29" i="14" s="1"/>
  <c r="AN37" i="6"/>
  <c r="AI28" i="14" s="1"/>
  <c r="AM37" i="6"/>
  <c r="AE28" i="14" s="1"/>
  <c r="AN36" i="6"/>
  <c r="AM36" i="6"/>
  <c r="AN35" i="6"/>
  <c r="AM35" i="6"/>
  <c r="AN34" i="6"/>
  <c r="AM34" i="6"/>
  <c r="AN33" i="6"/>
  <c r="AM33" i="6"/>
  <c r="AN32" i="6"/>
  <c r="AM32" i="6"/>
  <c r="AO29" i="6"/>
  <c r="AN29" i="6"/>
  <c r="AM29" i="6"/>
  <c r="AO28" i="6"/>
  <c r="AN28" i="6"/>
  <c r="AM28" i="6"/>
  <c r="AO27" i="6"/>
  <c r="AN27" i="6"/>
  <c r="AM27" i="6"/>
  <c r="AO26" i="6"/>
  <c r="AN26" i="6"/>
  <c r="AM26" i="6"/>
  <c r="AO23" i="6"/>
  <c r="AN23" i="6"/>
  <c r="AI17" i="14" s="1"/>
  <c r="AM23" i="6"/>
  <c r="AE17" i="14" s="1"/>
  <c r="AO21" i="6"/>
  <c r="AN21" i="6"/>
  <c r="AM21" i="6"/>
  <c r="AO20" i="6"/>
  <c r="AN20" i="6"/>
  <c r="AM20" i="6"/>
  <c r="AO19" i="6"/>
  <c r="AN19" i="6"/>
  <c r="AM19" i="6"/>
  <c r="AO18" i="6"/>
  <c r="AN18" i="6"/>
  <c r="AM18" i="6"/>
  <c r="AO17" i="6"/>
  <c r="AN17" i="6"/>
  <c r="AM17" i="6"/>
  <c r="AO15" i="6"/>
  <c r="AO14" i="6"/>
  <c r="AO13" i="6"/>
  <c r="H76" i="6"/>
  <c r="H43" i="6"/>
  <c r="H11" i="6"/>
  <c r="E91" i="5"/>
  <c r="E89" i="5"/>
  <c r="E88" i="5"/>
  <c r="E87" i="5"/>
  <c r="AK27" i="14"/>
  <c r="AG27" i="14"/>
  <c r="AJ27" i="14"/>
  <c r="AE27" i="14"/>
  <c r="AI27" i="14"/>
  <c r="AE44" i="14"/>
  <c r="AE35" i="14"/>
  <c r="AE36" i="14"/>
  <c r="AF27" i="14"/>
  <c r="AP95" i="6" l="1"/>
  <c r="AP86" i="6"/>
  <c r="AP85" i="6"/>
  <c r="AP102" i="6" a="1"/>
  <c r="AP102" i="6" s="1"/>
  <c r="AP103" i="6" a="1"/>
  <c r="AP103" i="6" s="1"/>
  <c r="AP55" i="6"/>
  <c r="AP69" i="6" a="1"/>
  <c r="AP69" i="6" s="1"/>
  <c r="AO72" i="6"/>
  <c r="AN29" i="14" s="1"/>
  <c r="AO70" i="6"/>
  <c r="AP63" i="6"/>
  <c r="AP60" i="6"/>
  <c r="AP35" i="6" a="1"/>
  <c r="AP35" i="6" s="1"/>
  <c r="AP18" i="6"/>
  <c r="AP21" i="6"/>
  <c r="AF24" i="14"/>
  <c r="AI24" i="14"/>
  <c r="AJ24" i="14"/>
  <c r="AG24" i="14"/>
  <c r="AE21" i="14"/>
  <c r="AE41" i="14" s="1"/>
  <c r="AF21" i="14"/>
  <c r="AF41" i="14" s="1"/>
  <c r="AK24" i="14"/>
  <c r="AO104" i="6"/>
  <c r="AP104" i="6" s="1"/>
  <c r="AO33" i="6"/>
  <c r="AP33" i="6" s="1" a="1"/>
  <c r="AP33" i="6" s="1"/>
  <c r="AP51" i="6"/>
  <c r="AP17" i="6"/>
  <c r="AK21" i="14"/>
  <c r="AK41" i="14" s="1"/>
  <c r="AI22" i="14"/>
  <c r="AJ22" i="14"/>
  <c r="AP101" i="6" a="1"/>
  <c r="AP101" i="6" s="1"/>
  <c r="AP70" i="6" a="1"/>
  <c r="AP70" i="6" s="1"/>
  <c r="AP19" i="6"/>
  <c r="AP94" i="6"/>
  <c r="AP27" i="6"/>
  <c r="AP62" i="6"/>
  <c r="AO15" i="14"/>
  <c r="AO14" i="14"/>
  <c r="AP96" i="6"/>
  <c r="AP26" i="6"/>
  <c r="AP84" i="6"/>
  <c r="AP52" i="6"/>
  <c r="AF22" i="14"/>
  <c r="AP90" i="6"/>
  <c r="AG21" i="14"/>
  <c r="AG41" i="14" s="1"/>
  <c r="AP23" i="6"/>
  <c r="AM17" i="14"/>
  <c r="AP53" i="6"/>
  <c r="AO69" i="6"/>
  <c r="AP93" i="6"/>
  <c r="AO101" i="6"/>
  <c r="AE22" i="14"/>
  <c r="AP61" i="6"/>
  <c r="AP28" i="6"/>
  <c r="AM15" i="14"/>
  <c r="AM14" i="14"/>
  <c r="AP54" i="6"/>
  <c r="AE25" i="14"/>
  <c r="AP88" i="6"/>
  <c r="AP57" i="6"/>
  <c r="AN17" i="14"/>
  <c r="AP29" i="6"/>
  <c r="AO36" i="6"/>
  <c r="AP20" i="6"/>
  <c r="AM13" i="14"/>
  <c r="AN14" i="14"/>
  <c r="AN15" i="14"/>
  <c r="AP87" i="6"/>
  <c r="AO13" i="14"/>
  <c r="AO66" i="6"/>
  <c r="AI29" i="14"/>
  <c r="AI25" i="14"/>
  <c r="AO32" i="6"/>
  <c r="AP32" i="6" s="1"/>
  <c r="AK22" i="14"/>
  <c r="AO103" i="6"/>
  <c r="AI21" i="14"/>
  <c r="AI41" i="14" s="1"/>
  <c r="AJ25" i="14"/>
  <c r="AJ29" i="14"/>
  <c r="AK29" i="14"/>
  <c r="AK25" i="14"/>
  <c r="AJ21" i="14"/>
  <c r="AJ41" i="14" s="1"/>
  <c r="AO38" i="6"/>
  <c r="AP38" i="6" s="1"/>
  <c r="AP68" i="6" a="1"/>
  <c r="AP68" i="6" s="1"/>
  <c r="AO37" i="6"/>
  <c r="AF25" i="14"/>
  <c r="AF29" i="14"/>
  <c r="AP34" i="6" a="1"/>
  <c r="AP34" i="6" s="1"/>
  <c r="AO99" i="6"/>
  <c r="AO100" i="6"/>
  <c r="AG29" i="14"/>
  <c r="AG25" i="14"/>
  <c r="AP36" i="6" a="1"/>
  <c r="AP36" i="6" s="1"/>
  <c r="AO102" i="6"/>
  <c r="AE24" i="14"/>
  <c r="AO67" i="6"/>
  <c r="AP67" i="6" s="1" a="1"/>
  <c r="AP67" i="6" s="1"/>
  <c r="AO68" i="6"/>
  <c r="AO105" i="6"/>
  <c r="AP100" i="6" a="1"/>
  <c r="AP100" i="6" s="1"/>
  <c r="AO71" i="6"/>
  <c r="AO34" i="6"/>
  <c r="AG22" i="14"/>
  <c r="AO35" i="6"/>
  <c r="AN35" i="14"/>
  <c r="AG46" i="14"/>
  <c r="AM27" i="14"/>
  <c r="AM36" i="14"/>
  <c r="AN27" i="14"/>
  <c r="AN36" i="14"/>
  <c r="AE46" i="14"/>
  <c r="AM44" i="14"/>
  <c r="AM46" i="14" s="1"/>
  <c r="AF46" i="14"/>
  <c r="AO44" i="14"/>
  <c r="AO46" i="14" s="1"/>
  <c r="AO27" i="14"/>
  <c r="AM35" i="14"/>
  <c r="AN44" i="14"/>
  <c r="AN46" i="14" s="1"/>
  <c r="AK46" i="14"/>
  <c r="G59" i="25"/>
  <c r="B28" i="5"/>
  <c r="AI33" i="14"/>
  <c r="AK33" i="14"/>
  <c r="AE33" i="14"/>
  <c r="AF34" i="14"/>
  <c r="AI34" i="14"/>
  <c r="AG33" i="14"/>
  <c r="AK34" i="14"/>
  <c r="AF33" i="14"/>
  <c r="AJ34" i="14"/>
  <c r="AJ33" i="14"/>
  <c r="AG34" i="14"/>
  <c r="AE34" i="14"/>
  <c r="AN22" i="14" l="1"/>
  <c r="AO28" i="14"/>
  <c r="AN25" i="14"/>
  <c r="AP72" i="6"/>
  <c r="AK23" i="14"/>
  <c r="AM22" i="14"/>
  <c r="AE23" i="14"/>
  <c r="AF23" i="14"/>
  <c r="AG23" i="14"/>
  <c r="AM21" i="14"/>
  <c r="AO22" i="14"/>
  <c r="AO21" i="14"/>
  <c r="AI23" i="14"/>
  <c r="AJ23" i="14"/>
  <c r="AM29" i="14"/>
  <c r="AM25" i="14"/>
  <c r="AN21" i="14"/>
  <c r="AM24" i="14"/>
  <c r="AN24" i="14"/>
  <c r="AP66" i="6"/>
  <c r="AO24" i="14"/>
  <c r="AP99" i="6"/>
  <c r="AN28" i="14"/>
  <c r="AP71" i="6"/>
  <c r="AP105" i="6"/>
  <c r="AO29" i="14"/>
  <c r="AO25" i="14"/>
  <c r="AP37" i="6"/>
  <c r="AM28" i="14"/>
  <c r="AM34" i="14"/>
  <c r="AO36" i="14"/>
  <c r="AO33" i="14"/>
  <c r="AM33" i="14"/>
  <c r="AO34" i="14"/>
  <c r="AO35" i="14"/>
  <c r="AN99" i="25"/>
  <c r="AO99" i="25" s="1"/>
  <c r="AP99" i="25" s="1"/>
  <c r="AQ99" i="25" s="1"/>
  <c r="AR99" i="25" s="1"/>
  <c r="AS99" i="25" s="1"/>
  <c r="AT99" i="25" s="1"/>
  <c r="AU99" i="25" s="1"/>
  <c r="AV99" i="25" s="1"/>
  <c r="AW99" i="25" s="1"/>
  <c r="AX99" i="25" s="1"/>
  <c r="AY99" i="25" s="1"/>
  <c r="AZ99" i="25" s="1"/>
  <c r="BA99" i="25" s="1"/>
  <c r="BB99" i="25" s="1"/>
  <c r="BC99" i="25" s="1"/>
  <c r="BD99" i="25" s="1"/>
  <c r="BE99" i="25" s="1"/>
  <c r="BF99" i="25" s="1"/>
  <c r="BG99" i="25" s="1"/>
  <c r="BH99" i="25" s="1"/>
  <c r="BI99" i="25" s="1"/>
  <c r="BJ99" i="25" s="1"/>
  <c r="BK99" i="25" s="1"/>
  <c r="BL99" i="25" s="1"/>
  <c r="BM99" i="25" s="1"/>
  <c r="BN99" i="25" s="1"/>
  <c r="BO99" i="25" s="1"/>
  <c r="BP99" i="25" s="1"/>
  <c r="BQ99" i="25" s="1"/>
  <c r="BR99" i="25" s="1"/>
  <c r="BS99" i="25" s="1"/>
  <c r="BT99" i="25" s="1"/>
  <c r="BU99" i="25" s="1"/>
  <c r="BV99" i="25" s="1"/>
  <c r="BW99" i="25" s="1"/>
  <c r="BX99" i="25" s="1"/>
  <c r="BY99" i="25" s="1"/>
  <c r="BZ99" i="25" s="1"/>
  <c r="CA99" i="25" s="1"/>
  <c r="CB99" i="25" s="1"/>
  <c r="CC99" i="25" s="1"/>
  <c r="CD99" i="25" s="1"/>
  <c r="CE99" i="25" s="1"/>
  <c r="CF99" i="25" s="1"/>
  <c r="CG99" i="25" s="1"/>
  <c r="CH99" i="25" s="1"/>
  <c r="CI99" i="25" s="1"/>
  <c r="CJ99" i="25" s="1"/>
  <c r="CK99" i="25" s="1"/>
  <c r="CL99" i="25" s="1"/>
  <c r="CM99" i="25" s="1"/>
  <c r="CN99" i="25" s="1"/>
  <c r="CO99" i="25" s="1"/>
  <c r="CP99" i="25" s="1"/>
  <c r="CQ99" i="25" s="1"/>
  <c r="CR99" i="25" s="1"/>
  <c r="CS99" i="25" s="1"/>
  <c r="CT99" i="25" s="1"/>
  <c r="CU99" i="25" s="1"/>
  <c r="CV99" i="25" s="1"/>
  <c r="CW99" i="25" s="1"/>
  <c r="CX99" i="25" s="1"/>
  <c r="CY99" i="25" s="1"/>
  <c r="CZ99" i="25" s="1"/>
  <c r="DA99" i="25" s="1"/>
  <c r="DB99" i="25" s="1"/>
  <c r="DC99" i="25" s="1"/>
  <c r="DD99" i="25" s="1"/>
  <c r="DE99" i="25" s="1"/>
  <c r="DF99" i="25" s="1"/>
  <c r="DG99" i="25" s="1"/>
  <c r="DH99" i="25" s="1"/>
  <c r="DI99" i="25" s="1"/>
  <c r="DJ99" i="25" s="1"/>
  <c r="DK99" i="25" s="1"/>
  <c r="DL99" i="25" s="1"/>
  <c r="DM99" i="25" s="1"/>
  <c r="DN99" i="25" s="1"/>
  <c r="DO99" i="25" s="1"/>
  <c r="DP99" i="25" s="1"/>
  <c r="DQ99" i="25" s="1"/>
  <c r="DR99" i="25" s="1"/>
  <c r="DS99" i="25" s="1"/>
  <c r="DT99" i="25" s="1"/>
  <c r="DU99" i="25" s="1"/>
  <c r="DV99" i="25" s="1"/>
  <c r="DW99" i="25" s="1"/>
  <c r="DX99" i="25" s="1"/>
  <c r="DY99" i="25" s="1"/>
  <c r="DZ99" i="25" s="1"/>
  <c r="EA99" i="25" s="1"/>
  <c r="EB99" i="25" s="1"/>
  <c r="EC99" i="25" s="1"/>
  <c r="ED99" i="25" s="1"/>
  <c r="EE99" i="25" s="1"/>
  <c r="EF99" i="25" s="1"/>
  <c r="EG99" i="25" s="1"/>
  <c r="EH99" i="25" s="1"/>
  <c r="EI99" i="25" s="1"/>
  <c r="EJ99" i="25" s="1"/>
  <c r="EK99" i="25" s="1"/>
  <c r="EL99" i="25" s="1"/>
  <c r="EM99" i="25" s="1"/>
  <c r="EN99" i="25" s="1"/>
  <c r="EO99" i="25" s="1"/>
  <c r="AA21" i="25"/>
  <c r="DT98" i="25"/>
  <c r="DU98" i="25" s="1"/>
  <c r="DV98" i="25" s="1"/>
  <c r="DW98" i="25" s="1"/>
  <c r="DX98" i="25" s="1"/>
  <c r="DY98" i="25" s="1"/>
  <c r="DZ98" i="25" s="1"/>
  <c r="EA98" i="25" s="1"/>
  <c r="EB98" i="25" s="1"/>
  <c r="EC98" i="25" s="1"/>
  <c r="ED98" i="25" s="1"/>
  <c r="EE98" i="25" s="1"/>
  <c r="EF98" i="25" s="1"/>
  <c r="EG98" i="25" s="1"/>
  <c r="EH98" i="25" s="1"/>
  <c r="EI98" i="25" s="1"/>
  <c r="EJ98" i="25" s="1"/>
  <c r="EK98" i="25" s="1"/>
  <c r="EL98" i="25" s="1"/>
  <c r="EM98" i="25" s="1"/>
  <c r="EN98" i="25" s="1"/>
  <c r="EO98" i="25" s="1"/>
  <c r="DT97" i="25"/>
  <c r="DU97" i="25" s="1"/>
  <c r="DV97" i="25" s="1"/>
  <c r="DW97" i="25" s="1"/>
  <c r="DX97" i="25" s="1"/>
  <c r="DY97" i="25" s="1"/>
  <c r="DZ97" i="25" s="1"/>
  <c r="EA97" i="25" s="1"/>
  <c r="EB97" i="25" s="1"/>
  <c r="EC97" i="25" s="1"/>
  <c r="ED97" i="25" s="1"/>
  <c r="EE97" i="25" s="1"/>
  <c r="EF97" i="25" s="1"/>
  <c r="EG97" i="25" s="1"/>
  <c r="EH97" i="25" s="1"/>
  <c r="EI97" i="25" s="1"/>
  <c r="EJ97" i="25" s="1"/>
  <c r="EK97" i="25" s="1"/>
  <c r="EL97" i="25" s="1"/>
  <c r="EM97" i="25" s="1"/>
  <c r="EN97" i="25" s="1"/>
  <c r="EO97" i="25" s="1"/>
  <c r="DT96" i="25"/>
  <c r="DU96" i="25" s="1"/>
  <c r="DV96" i="25" s="1"/>
  <c r="DW96" i="25" s="1"/>
  <c r="DX96" i="25" s="1"/>
  <c r="DY96" i="25" s="1"/>
  <c r="DZ96" i="25" s="1"/>
  <c r="EA96" i="25" s="1"/>
  <c r="EB96" i="25" s="1"/>
  <c r="EC96" i="25" s="1"/>
  <c r="ED96" i="25" s="1"/>
  <c r="EE96" i="25" s="1"/>
  <c r="EF96" i="25" s="1"/>
  <c r="EG96" i="25" s="1"/>
  <c r="EH96" i="25" s="1"/>
  <c r="EI96" i="25" s="1"/>
  <c r="EJ96" i="25" s="1"/>
  <c r="EK96" i="25" s="1"/>
  <c r="EL96" i="25" s="1"/>
  <c r="EM96" i="25" s="1"/>
  <c r="EN96" i="25" s="1"/>
  <c r="EO96" i="25" s="1"/>
  <c r="DT95" i="25"/>
  <c r="DU95" i="25" s="1"/>
  <c r="DV95" i="25" s="1"/>
  <c r="DW95" i="25" s="1"/>
  <c r="DX95" i="25" s="1"/>
  <c r="DY95" i="25" s="1"/>
  <c r="DZ95" i="25" s="1"/>
  <c r="EA95" i="25" s="1"/>
  <c r="EB95" i="25" s="1"/>
  <c r="EC95" i="25" s="1"/>
  <c r="ED95" i="25" s="1"/>
  <c r="EE95" i="25" s="1"/>
  <c r="EF95" i="25" s="1"/>
  <c r="EG95" i="25" s="1"/>
  <c r="EH95" i="25" s="1"/>
  <c r="EI95" i="25" s="1"/>
  <c r="EJ95" i="25" s="1"/>
  <c r="EK95" i="25" s="1"/>
  <c r="EL95" i="25" s="1"/>
  <c r="EM95" i="25" s="1"/>
  <c r="EN95" i="25" s="1"/>
  <c r="EO95" i="25" s="1"/>
  <c r="AN23" i="14" l="1"/>
  <c r="AO23" i="14"/>
  <c r="AM23" i="14"/>
  <c r="AM41" i="14"/>
  <c r="AO41" i="14"/>
  <c r="AN41" i="14"/>
  <c r="AN33" i="14"/>
  <c r="AN34" i="14"/>
  <c r="C58" i="5" l="1"/>
  <c r="DJ83" i="25" l="1"/>
  <c r="DK83" i="25" s="1"/>
  <c r="DL83" i="25" s="1"/>
  <c r="DM83" i="25" s="1"/>
  <c r="DN83" i="25" s="1"/>
  <c r="DO83" i="25" s="1"/>
  <c r="DP83" i="25" s="1"/>
  <c r="DQ83" i="25" s="1"/>
  <c r="DR83" i="25" s="1"/>
  <c r="DS83" i="25" s="1"/>
  <c r="DT83" i="25" s="1"/>
  <c r="DU83" i="25" s="1"/>
  <c r="DV83" i="25" s="1"/>
  <c r="DW83" i="25" s="1"/>
  <c r="DX83" i="25" s="1"/>
  <c r="DY83" i="25" s="1"/>
  <c r="DZ83" i="25" s="1"/>
  <c r="EA83" i="25" s="1"/>
  <c r="EB83" i="25" s="1"/>
  <c r="EC83" i="25" s="1"/>
  <c r="ED83" i="25" s="1"/>
  <c r="EE83" i="25" s="1"/>
  <c r="EF83" i="25" s="1"/>
  <c r="EG83" i="25" s="1"/>
  <c r="EH83" i="25" s="1"/>
  <c r="EI83" i="25" s="1"/>
  <c r="EJ83" i="25" s="1"/>
  <c r="EK83" i="25" s="1"/>
  <c r="EL83" i="25" s="1"/>
  <c r="EM83" i="25" s="1"/>
  <c r="EN83" i="25" s="1"/>
  <c r="EO83" i="25" s="1"/>
  <c r="L72" i="25" a="1"/>
  <c r="G63" i="25"/>
  <c r="DR84" i="25"/>
  <c r="DS84" i="25"/>
  <c r="DT84" i="25"/>
  <c r="DU84" i="25"/>
  <c r="DV84" i="25"/>
  <c r="DW84" i="25"/>
  <c r="DX84" i="25"/>
  <c r="DY84" i="25"/>
  <c r="DZ84" i="25"/>
  <c r="EA84" i="25"/>
  <c r="EB84" i="25"/>
  <c r="EC84" i="25"/>
  <c r="ED84" i="25"/>
  <c r="EE84" i="25"/>
  <c r="EF84" i="25"/>
  <c r="EG84" i="25"/>
  <c r="EH84" i="25"/>
  <c r="EI84" i="25"/>
  <c r="EJ84" i="25"/>
  <c r="EK84" i="25"/>
  <c r="EL84" i="25"/>
  <c r="EM84" i="25"/>
  <c r="EN84" i="25"/>
  <c r="EO84" i="25"/>
  <c r="L72" i="25" l="1"/>
  <c r="G62" i="25"/>
  <c r="G61" i="25"/>
  <c r="G70" i="25" l="1"/>
  <c r="AD70" i="25"/>
  <c r="AE70" i="25"/>
  <c r="AF70" i="25"/>
  <c r="AG70" i="25"/>
  <c r="AH70" i="25"/>
  <c r="AI70" i="25"/>
  <c r="AC70" i="25"/>
  <c r="F160" i="3" l="1"/>
  <c r="F162" i="3"/>
  <c r="F164" i="3"/>
  <c r="F161" i="3"/>
  <c r="N69" i="25" l="1"/>
  <c r="O69" i="25"/>
  <c r="P69" i="25"/>
  <c r="Q69" i="25"/>
  <c r="R69" i="25"/>
  <c r="S69" i="25"/>
  <c r="T69" i="25"/>
  <c r="U69" i="25"/>
  <c r="V69" i="25"/>
  <c r="W69" i="25"/>
  <c r="X69" i="25"/>
  <c r="Y69" i="25"/>
  <c r="Z69" i="25"/>
  <c r="AA69" i="25"/>
  <c r="AB69" i="25"/>
  <c r="AC69" i="25"/>
  <c r="AD69" i="25"/>
  <c r="AE69" i="25"/>
  <c r="M69" i="25"/>
  <c r="F155" i="3"/>
  <c r="D155" i="3" s="1"/>
  <c r="H113" i="37"/>
  <c r="G113" i="37"/>
  <c r="H112" i="37"/>
  <c r="G112" i="37"/>
  <c r="F112" i="37"/>
  <c r="F113" i="37"/>
  <c r="G60" i="25"/>
  <c r="F240" i="3" l="1"/>
  <c r="D240" i="3" s="1"/>
  <c r="F241" i="3"/>
  <c r="D241" i="3" s="1"/>
  <c r="F244" i="3"/>
  <c r="D244" i="3" s="1"/>
  <c r="F250" i="3"/>
  <c r="D250" i="3" s="1"/>
  <c r="F251" i="3"/>
  <c r="D251" i="3" s="1"/>
  <c r="AF69" i="25"/>
  <c r="D3" i="46"/>
  <c r="D4" i="46"/>
  <c r="D5" i="46"/>
  <c r="D6" i="46"/>
  <c r="D7" i="46"/>
  <c r="D8" i="46"/>
  <c r="D9" i="46"/>
  <c r="D10" i="46"/>
  <c r="D11" i="46"/>
  <c r="D12" i="46"/>
  <c r="D13" i="46"/>
  <c r="D16" i="46"/>
  <c r="D17" i="46"/>
  <c r="D18" i="46"/>
  <c r="D19" i="46"/>
  <c r="D21" i="46"/>
  <c r="O23" i="43"/>
  <c r="O22" i="43"/>
  <c r="N23" i="43"/>
  <c r="N22" i="43"/>
  <c r="G54" i="25"/>
  <c r="G20" i="25"/>
  <c r="N132" i="37"/>
  <c r="O132" i="37"/>
  <c r="P132" i="37"/>
  <c r="M132" i="37"/>
  <c r="F112" i="4"/>
  <c r="F115" i="4"/>
  <c r="F116" i="4"/>
  <c r="F104" i="4"/>
  <c r="K36" i="44"/>
  <c r="H60" i="44"/>
  <c r="D62" i="44"/>
  <c r="D61" i="44"/>
  <c r="D60" i="44"/>
  <c r="H63" i="25" l="1"/>
  <c r="AG69" i="25"/>
  <c r="F151" i="3"/>
  <c r="F47" i="3"/>
  <c r="F87" i="3"/>
  <c r="F157" i="3"/>
  <c r="D2" i="46"/>
  <c r="C163" i="3" l="1"/>
  <c r="C156" i="3"/>
  <c r="C155" i="3"/>
  <c r="AH69" i="25"/>
  <c r="F152" i="3"/>
  <c r="F154" i="3"/>
  <c r="F57" i="3"/>
  <c r="F116" i="3"/>
  <c r="F153" i="3"/>
  <c r="F98" i="3"/>
  <c r="F55" i="3"/>
  <c r="F77" i="3"/>
  <c r="F35" i="3"/>
  <c r="F105" i="3"/>
  <c r="F92" i="3"/>
  <c r="F43" i="3"/>
  <c r="F106" i="3"/>
  <c r="F97" i="3"/>
  <c r="F99" i="3"/>
  <c r="F104" i="3"/>
  <c r="F50" i="3"/>
  <c r="F28" i="3"/>
  <c r="F27" i="3"/>
  <c r="F107" i="3"/>
  <c r="F85" i="3"/>
  <c r="F78" i="3"/>
  <c r="F36" i="3"/>
  <c r="F69" i="3"/>
  <c r="F25" i="3"/>
  <c r="F31" i="3"/>
  <c r="F79" i="3"/>
  <c r="F39" i="3"/>
  <c r="F34" i="3"/>
  <c r="F72" i="3"/>
  <c r="F66" i="3"/>
  <c r="F113" i="3"/>
  <c r="F115" i="3"/>
  <c r="F44" i="3"/>
  <c r="F112" i="3"/>
  <c r="F29" i="3"/>
  <c r="F101" i="3"/>
  <c r="F86" i="3"/>
  <c r="F71" i="3"/>
  <c r="F49" i="3"/>
  <c r="F63" i="3"/>
  <c r="F103" i="3"/>
  <c r="F53" i="3"/>
  <c r="F110" i="3"/>
  <c r="F56" i="3"/>
  <c r="F114" i="3"/>
  <c r="F94" i="3"/>
  <c r="F40" i="3"/>
  <c r="F46" i="3"/>
  <c r="F48" i="3"/>
  <c r="F84" i="3"/>
  <c r="F61" i="3"/>
  <c r="F75" i="3"/>
  <c r="F52" i="3"/>
  <c r="F93" i="3"/>
  <c r="F102" i="3"/>
  <c r="F100" i="3"/>
  <c r="F60" i="3"/>
  <c r="F30" i="3"/>
  <c r="F76" i="3"/>
  <c r="F82" i="3"/>
  <c r="F37" i="3"/>
  <c r="F96" i="3"/>
  <c r="F68" i="3"/>
  <c r="F89" i="3"/>
  <c r="F90" i="3"/>
  <c r="F73" i="3"/>
  <c r="F33" i="3"/>
  <c r="F109" i="3"/>
  <c r="F125" i="3"/>
  <c r="F129" i="3"/>
  <c r="F131" i="3"/>
  <c r="F119" i="3"/>
  <c r="F121" i="3"/>
  <c r="F120" i="3"/>
  <c r="F124" i="3"/>
  <c r="F126" i="3"/>
  <c r="F130" i="3"/>
  <c r="F45" i="3"/>
  <c r="F42" i="3"/>
  <c r="F51" i="3"/>
  <c r="F70" i="3"/>
  <c r="F58" i="3"/>
  <c r="F81" i="3"/>
  <c r="F54" i="3"/>
  <c r="F91" i="3"/>
  <c r="F111" i="3"/>
  <c r="F83" i="3"/>
  <c r="F62" i="3"/>
  <c r="F64" i="3"/>
  <c r="F38" i="3"/>
  <c r="F65" i="3"/>
  <c r="F95" i="3"/>
  <c r="F67" i="3"/>
  <c r="F41" i="3"/>
  <c r="F26" i="3"/>
  <c r="F74" i="3"/>
  <c r="F80" i="3"/>
  <c r="F32" i="3"/>
  <c r="F108" i="3"/>
  <c r="F2" i="46"/>
  <c r="AI69" i="25" l="1"/>
  <c r="J28" i="24"/>
  <c r="AJ69" i="25" l="1"/>
  <c r="F183" i="3"/>
  <c r="D183" i="3" s="1"/>
  <c r="F227" i="3"/>
  <c r="D227" i="3" s="1"/>
  <c r="F228" i="3"/>
  <c r="D228" i="3" s="1"/>
  <c r="F182" i="3"/>
  <c r="D182" i="3" s="1"/>
  <c r="AK69" i="25"/>
  <c r="N45" i="6"/>
  <c r="T45" i="6"/>
  <c r="AU49" i="6"/>
  <c r="AU15" i="6"/>
  <c r="C34" i="5"/>
  <c r="F172" i="3" l="1"/>
  <c r="D172" i="3" s="1"/>
  <c r="F264" i="3"/>
  <c r="D264" i="3" s="1"/>
  <c r="F217" i="3"/>
  <c r="D217" i="3" s="1"/>
  <c r="F263" i="3"/>
  <c r="D263" i="3" s="1"/>
  <c r="F173" i="3"/>
  <c r="D173" i="3" s="1"/>
  <c r="F218" i="3"/>
  <c r="D218" i="3" s="1"/>
  <c r="F254" i="3"/>
  <c r="D254" i="3" s="1"/>
  <c r="F278" i="3"/>
  <c r="D278" i="3" s="1"/>
  <c r="F185" i="3"/>
  <c r="D185" i="3" s="1"/>
  <c r="F279" i="3"/>
  <c r="D279" i="3" s="1"/>
  <c r="F184" i="3"/>
  <c r="D184" i="3" s="1"/>
  <c r="F256" i="3"/>
  <c r="D256" i="3" s="1"/>
  <c r="F187" i="3"/>
  <c r="D187" i="3" s="1"/>
  <c r="F208" i="3"/>
  <c r="F230" i="3"/>
  <c r="D230" i="3" s="1"/>
  <c r="F255" i="3"/>
  <c r="D255" i="3" s="1"/>
  <c r="F252" i="3"/>
  <c r="D252" i="3" s="1"/>
  <c r="F276" i="3"/>
  <c r="D276" i="3" s="1"/>
  <c r="F232" i="3"/>
  <c r="D232" i="3" s="1"/>
  <c r="F253" i="3"/>
  <c r="D253" i="3" s="1"/>
  <c r="F277" i="3"/>
  <c r="D277" i="3" s="1"/>
  <c r="F233" i="3"/>
  <c r="D233" i="3" s="1"/>
  <c r="F186" i="3"/>
  <c r="D186" i="3" s="1"/>
  <c r="F229" i="3"/>
  <c r="D229" i="3" s="1"/>
  <c r="F188" i="3"/>
  <c r="D188" i="3" s="1"/>
  <c r="F275" i="3"/>
  <c r="D275" i="3" s="1"/>
  <c r="F231" i="3"/>
  <c r="D231" i="3" s="1"/>
  <c r="F273" i="3"/>
  <c r="D273" i="3" s="1"/>
  <c r="F274" i="3"/>
  <c r="D274" i="3" s="1"/>
  <c r="F176" i="3"/>
  <c r="D176" i="3" s="1"/>
  <c r="F267" i="3"/>
  <c r="D267" i="3" s="1"/>
  <c r="F221" i="3"/>
  <c r="D221" i="3" s="1"/>
  <c r="AL69" i="25"/>
  <c r="AM69" i="25"/>
  <c r="E224" i="3"/>
  <c r="H47" i="24"/>
  <c r="N19" i="24"/>
  <c r="F195" i="3" l="1"/>
  <c r="F196" i="3"/>
  <c r="F210" i="3"/>
  <c r="F211" i="3"/>
  <c r="F209" i="3"/>
  <c r="F212" i="3"/>
  <c r="F199" i="3"/>
  <c r="F206" i="3"/>
  <c r="F207" i="3"/>
  <c r="AL76" i="25"/>
  <c r="F205" i="3"/>
  <c r="H80" i="24"/>
  <c r="AM81" i="25"/>
  <c r="AN69" i="25"/>
  <c r="AO69" i="25" s="1"/>
  <c r="AP69" i="25" s="1"/>
  <c r="AN81" i="25" l="1"/>
  <c r="AQ69" i="25"/>
  <c r="B47" i="24"/>
  <c r="G15" i="25"/>
  <c r="G16" i="25"/>
  <c r="G17" i="25"/>
  <c r="G18" i="25"/>
  <c r="AR69" i="25" l="1"/>
  <c r="AS69" i="25" s="1"/>
  <c r="AT69" i="25" s="1"/>
  <c r="AU69" i="25" s="1"/>
  <c r="AV69" i="25" s="1"/>
  <c r="AW69" i="25" s="1"/>
  <c r="AX69" i="25" s="1"/>
  <c r="AY69" i="25" s="1"/>
  <c r="AZ69" i="25" s="1"/>
  <c r="BA69" i="25" s="1"/>
  <c r="BB69" i="25" s="1"/>
  <c r="BC69" i="25" s="1"/>
  <c r="BD69" i="25" s="1"/>
  <c r="BE69" i="25" s="1"/>
  <c r="BF69" i="25" s="1"/>
  <c r="BG69" i="25" s="1"/>
  <c r="BH69" i="25" s="1"/>
  <c r="BI69" i="25" s="1"/>
  <c r="BJ69" i="25" s="1"/>
  <c r="BK69" i="25" s="1"/>
  <c r="BL69" i="25" s="1"/>
  <c r="BM69" i="25" s="1"/>
  <c r="BN69" i="25" s="1"/>
  <c r="BO69" i="25" s="1"/>
  <c r="BP69" i="25" s="1"/>
  <c r="BQ69" i="25" s="1"/>
  <c r="BR69" i="25" s="1"/>
  <c r="BS69" i="25" s="1"/>
  <c r="BT69" i="25" s="1"/>
  <c r="BU69" i="25" s="1"/>
  <c r="BV69" i="25" s="1"/>
  <c r="BW69" i="25" s="1"/>
  <c r="BX69" i="25" s="1"/>
  <c r="BY69" i="25" s="1"/>
  <c r="BZ69" i="25" s="1"/>
  <c r="CA69" i="25" s="1"/>
  <c r="CB69" i="25" s="1"/>
  <c r="CC69" i="25" s="1"/>
  <c r="CD69" i="25" s="1"/>
  <c r="CE69" i="25" s="1"/>
  <c r="CF69" i="25" s="1"/>
  <c r="CG69" i="25" s="1"/>
  <c r="CH69" i="25" s="1"/>
  <c r="CI69" i="25" s="1"/>
  <c r="CJ69" i="25" s="1"/>
  <c r="CK69" i="25" s="1"/>
  <c r="CL69" i="25" s="1"/>
  <c r="CM69" i="25" s="1"/>
  <c r="CN69" i="25" s="1"/>
  <c r="CO69" i="25" s="1"/>
  <c r="CP69" i="25" s="1"/>
  <c r="CQ69" i="25" s="1"/>
  <c r="CR69" i="25" s="1"/>
  <c r="CS69" i="25" s="1"/>
  <c r="CT69" i="25" s="1"/>
  <c r="CU69" i="25" s="1"/>
  <c r="CV69" i="25" s="1"/>
  <c r="CW69" i="25" s="1"/>
  <c r="CX69" i="25" s="1"/>
  <c r="CY69" i="25" s="1"/>
  <c r="CZ69" i="25" s="1"/>
  <c r="DA69" i="25" s="1"/>
  <c r="DB69" i="25" s="1"/>
  <c r="DC69" i="25" s="1"/>
  <c r="DD69" i="25" s="1"/>
  <c r="DE69" i="25" s="1"/>
  <c r="DF69" i="25" s="1"/>
  <c r="DG69" i="25" s="1"/>
  <c r="DH69" i="25" s="1"/>
  <c r="DI69" i="25" s="1"/>
  <c r="DJ69" i="25" s="1"/>
  <c r="DK69" i="25" s="1"/>
  <c r="DL69" i="25" s="1"/>
  <c r="DM69" i="25" s="1"/>
  <c r="DN69" i="25" s="1"/>
  <c r="DO69" i="25" s="1"/>
  <c r="DP69" i="25" s="1"/>
  <c r="DQ69" i="25" s="1"/>
  <c r="DR69" i="25" s="1"/>
  <c r="DS69" i="25" s="1"/>
  <c r="DT69" i="25" s="1"/>
  <c r="DU69" i="25" s="1"/>
  <c r="DV69" i="25" s="1"/>
  <c r="DW69" i="25" s="1"/>
  <c r="DX69" i="25" s="1"/>
  <c r="DY69" i="25" s="1"/>
  <c r="DZ69" i="25" s="1"/>
  <c r="EA69" i="25" s="1"/>
  <c r="EB69" i="25" s="1"/>
  <c r="EC69" i="25" s="1"/>
  <c r="ED69" i="25" s="1"/>
  <c r="EE69" i="25" s="1"/>
  <c r="EF69" i="25" s="1"/>
  <c r="EG69" i="25" s="1"/>
  <c r="EH69" i="25" s="1"/>
  <c r="EI69" i="25" s="1"/>
  <c r="EJ69" i="25" s="1"/>
  <c r="EK69" i="25" s="1"/>
  <c r="EL69" i="25" s="1"/>
  <c r="EM69" i="25" s="1"/>
  <c r="EN69" i="25" s="1"/>
  <c r="EO69" i="25" s="1"/>
  <c r="AH103" i="6"/>
  <c r="AG103" i="6"/>
  <c r="AH102" i="6"/>
  <c r="AG102" i="6"/>
  <c r="AH101" i="6"/>
  <c r="AG101" i="6"/>
  <c r="AH70" i="6"/>
  <c r="AG70" i="6"/>
  <c r="AH69" i="6"/>
  <c r="AG69" i="6"/>
  <c r="AH68" i="6"/>
  <c r="AG68" i="6"/>
  <c r="AH33" i="6"/>
  <c r="AG33" i="6"/>
  <c r="AG36" i="6"/>
  <c r="AG35" i="6"/>
  <c r="AH35" i="6"/>
  <c r="AG34" i="6"/>
  <c r="AH34" i="6"/>
  <c r="AG32" i="6"/>
  <c r="AG37" i="6"/>
  <c r="Q28" i="14" s="1"/>
  <c r="C28" i="14" s="1"/>
  <c r="AG38" i="6"/>
  <c r="AH36" i="6"/>
  <c r="Q27" i="14"/>
  <c r="S22" i="14" l="1"/>
  <c r="E22" i="14" s="1"/>
  <c r="R22" i="14"/>
  <c r="D22" i="14" s="1"/>
  <c r="V22" i="14"/>
  <c r="H22" i="14" s="1"/>
  <c r="Q21" i="14"/>
  <c r="Q41" i="14" s="1"/>
  <c r="C41" i="14" s="1"/>
  <c r="U21" i="14"/>
  <c r="W22" i="14"/>
  <c r="I22" i="14" s="1"/>
  <c r="C27" i="14"/>
  <c r="U22" i="14"/>
  <c r="Q29" i="14"/>
  <c r="C29" i="14" s="1"/>
  <c r="Q25" i="14"/>
  <c r="C25" i="14" s="1"/>
  <c r="Q24" i="14"/>
  <c r="Q22" i="14"/>
  <c r="C22" i="14" s="1"/>
  <c r="AJ70" i="6" a="1"/>
  <c r="AJ70" i="6" s="1"/>
  <c r="AJ101" i="6" a="1"/>
  <c r="AJ101" i="6" s="1"/>
  <c r="AJ68" i="6" a="1"/>
  <c r="AJ68" i="6" s="1"/>
  <c r="AJ102" i="6" a="1"/>
  <c r="AJ102" i="6" s="1"/>
  <c r="AJ69" i="6" a="1"/>
  <c r="AJ69" i="6" s="1"/>
  <c r="AJ103" i="6" a="1"/>
  <c r="AJ103" i="6" s="1"/>
  <c r="AJ36" i="6" a="1"/>
  <c r="AJ36" i="6" s="1"/>
  <c r="AJ35" i="6" a="1"/>
  <c r="AJ35" i="6" s="1"/>
  <c r="AI101" i="6"/>
  <c r="AI33" i="6"/>
  <c r="AI68" i="6"/>
  <c r="Z22" i="14" l="1"/>
  <c r="Y21" i="14"/>
  <c r="Y41" i="14" s="1"/>
  <c r="K41" i="14" s="1"/>
  <c r="U41" i="14"/>
  <c r="G41" i="14" s="1"/>
  <c r="G21" i="14"/>
  <c r="C21" i="14"/>
  <c r="AA22" i="14"/>
  <c r="C24" i="14"/>
  <c r="Y22" i="14"/>
  <c r="G22" i="14"/>
  <c r="Q23" i="14"/>
  <c r="U23" i="14"/>
  <c r="AJ33" i="6" a="1"/>
  <c r="AJ33" i="6" s="1"/>
  <c r="Y23" i="14" l="1"/>
  <c r="B48" i="24"/>
  <c r="F76" i="4"/>
  <c r="F21" i="24" l="1"/>
  <c r="H21" i="24" s="1"/>
  <c r="E78" i="5" l="1"/>
  <c r="D46" i="4"/>
  <c r="D47" i="4"/>
  <c r="D48" i="4"/>
  <c r="D49" i="4"/>
  <c r="D50" i="4"/>
  <c r="D51" i="4"/>
  <c r="D52" i="4"/>
  <c r="D53" i="4"/>
  <c r="D54" i="4"/>
  <c r="D55" i="4"/>
  <c r="D45" i="4"/>
  <c r="B55" i="4"/>
  <c r="B52" i="4"/>
  <c r="B53" i="4"/>
  <c r="B54" i="4"/>
  <c r="B46" i="4"/>
  <c r="B47" i="4"/>
  <c r="B48" i="4"/>
  <c r="B49" i="4"/>
  <c r="B50" i="4"/>
  <c r="B51" i="4"/>
  <c r="B45" i="4"/>
  <c r="G43" i="43" a="1"/>
  <c r="G43" i="43" s="1"/>
  <c r="G44" i="43" a="1"/>
  <c r="G44" i="43" s="1"/>
  <c r="G42" i="43" a="1"/>
  <c r="G42" i="43" s="1"/>
  <c r="G41" i="43" a="1"/>
  <c r="G41" i="43" s="1"/>
  <c r="G40" i="43" a="1"/>
  <c r="G40" i="43" s="1"/>
  <c r="G39" i="43" a="1"/>
  <c r="G39" i="43" s="1"/>
  <c r="G36" i="43" a="1"/>
  <c r="G36" i="43" s="1"/>
  <c r="G37" i="43" a="1"/>
  <c r="G37" i="43" s="1"/>
  <c r="G38" i="43" a="1"/>
  <c r="G38" i="43" s="1"/>
  <c r="G35" i="43" a="1"/>
  <c r="G35" i="43" s="1"/>
  <c r="G34" i="43" a="1"/>
  <c r="G34" i="43" s="1"/>
  <c r="H54" i="25" l="1"/>
  <c r="H55" i="25"/>
  <c r="O19" i="43"/>
  <c r="O18" i="43"/>
  <c r="O17" i="43"/>
  <c r="O16" i="43"/>
  <c r="O15" i="43"/>
  <c r="O14" i="43"/>
  <c r="O31" i="43"/>
  <c r="O30" i="43"/>
  <c r="O29" i="43"/>
  <c r="O28" i="43"/>
  <c r="O24" i="43"/>
  <c r="O25" i="43"/>
  <c r="O26" i="43"/>
  <c r="O27" i="43"/>
  <c r="N27" i="43"/>
  <c r="F44" i="43" a="1"/>
  <c r="F44" i="43" s="1"/>
  <c r="F43" i="43" a="1"/>
  <c r="F43" i="43" s="1"/>
  <c r="F42" i="43" a="1"/>
  <c r="F42" i="43" s="1"/>
  <c r="F41" i="43" a="1"/>
  <c r="F41" i="43" s="1"/>
  <c r="F40" i="43" a="1"/>
  <c r="F40" i="43" s="1"/>
  <c r="F39" i="43" a="1"/>
  <c r="F39" i="43" s="1"/>
  <c r="F36" i="43" a="1"/>
  <c r="F36" i="43" s="1"/>
  <c r="F37" i="43" a="1"/>
  <c r="F37" i="43" s="1"/>
  <c r="F38" i="43" a="1"/>
  <c r="F38" i="43" s="1"/>
  <c r="F35" i="43" a="1"/>
  <c r="F35" i="43" s="1"/>
  <c r="F34" i="43" a="1"/>
  <c r="F34" i="43" s="1"/>
  <c r="N19" i="43"/>
  <c r="N17" i="43"/>
  <c r="N18" i="43"/>
  <c r="N26" i="43"/>
  <c r="N16" i="43"/>
  <c r="N15" i="43"/>
  <c r="N14" i="43"/>
  <c r="N31" i="43"/>
  <c r="N30" i="43"/>
  <c r="N29" i="43"/>
  <c r="N25" i="43"/>
  <c r="N24" i="43"/>
  <c r="N28" i="43"/>
  <c r="C29" i="5"/>
  <c r="D44" i="43" l="1" a="1"/>
  <c r="D44" i="43" s="1"/>
  <c r="C55" i="4" s="1"/>
  <c r="D41" i="43" a="1"/>
  <c r="D41" i="43" s="1"/>
  <c r="C52" i="4" s="1"/>
  <c r="D40" i="43" a="1"/>
  <c r="D40" i="43" s="1"/>
  <c r="C51" i="4" s="1"/>
  <c r="D35" i="43"/>
  <c r="C46" i="4" s="1"/>
  <c r="D39" i="43" a="1"/>
  <c r="D39" i="43" s="1"/>
  <c r="C50" i="4" s="1"/>
  <c r="D36" i="43"/>
  <c r="C47" i="4" s="1"/>
  <c r="D42" i="43"/>
  <c r="C53" i="4" s="1"/>
  <c r="D37" i="43"/>
  <c r="C48" i="4" s="1"/>
  <c r="D43" i="43"/>
  <c r="C54" i="4" s="1"/>
  <c r="D38" i="43"/>
  <c r="C49" i="4" s="1"/>
  <c r="D34" i="43" a="1"/>
  <c r="D34" i="43" s="1"/>
  <c r="C45" i="4" s="1"/>
  <c r="L20" i="17"/>
  <c r="L18" i="17"/>
  <c r="L19" i="17"/>
  <c r="AH100" i="6" l="1"/>
  <c r="W21" i="14" s="1"/>
  <c r="AH104" i="6"/>
  <c r="W28" i="14" s="1"/>
  <c r="I28" i="14" s="1"/>
  <c r="AH105" i="6"/>
  <c r="AH99" i="6"/>
  <c r="AH67" i="6"/>
  <c r="V21" i="14" s="1"/>
  <c r="AH71" i="6"/>
  <c r="V28" i="14" s="1"/>
  <c r="H28" i="14" s="1"/>
  <c r="AH72" i="6"/>
  <c r="AH66" i="6"/>
  <c r="AH38" i="6"/>
  <c r="AH37" i="6"/>
  <c r="AH32" i="6"/>
  <c r="W27" i="14"/>
  <c r="V27" i="14"/>
  <c r="U27" i="14"/>
  <c r="G27" i="14" l="1"/>
  <c r="Y27" i="14"/>
  <c r="K27" i="14" s="1"/>
  <c r="H27" i="14"/>
  <c r="I27" i="14"/>
  <c r="AI32" i="6"/>
  <c r="Y24" i="14" s="1"/>
  <c r="K24" i="14" s="1"/>
  <c r="U24" i="14"/>
  <c r="AI37" i="6"/>
  <c r="Y28" i="14" s="1"/>
  <c r="K28" i="14" s="1"/>
  <c r="U28" i="14"/>
  <c r="G28" i="14" s="1"/>
  <c r="AI38" i="6"/>
  <c r="Y29" i="14" s="1"/>
  <c r="K29" i="14" s="1"/>
  <c r="U25" i="14"/>
  <c r="G25" i="14" s="1"/>
  <c r="U29" i="14"/>
  <c r="G29" i="14" s="1"/>
  <c r="V24" i="14"/>
  <c r="V25" i="14"/>
  <c r="H25" i="14" s="1"/>
  <c r="V29" i="14"/>
  <c r="H29" i="14" s="1"/>
  <c r="V23" i="14"/>
  <c r="V41" i="14"/>
  <c r="H41" i="14" s="1"/>
  <c r="H21" i="14"/>
  <c r="W24" i="14"/>
  <c r="W29" i="14"/>
  <c r="I29" i="14" s="1"/>
  <c r="W25" i="14"/>
  <c r="I25" i="14" s="1"/>
  <c r="W41" i="14"/>
  <c r="I41" i="14" s="1"/>
  <c r="I21" i="14"/>
  <c r="W23" i="14"/>
  <c r="J66" i="5"/>
  <c r="C67" i="5"/>
  <c r="Y25" i="14" l="1"/>
  <c r="K25" i="14" s="1"/>
  <c r="AJ37" i="6"/>
  <c r="H24" i="14"/>
  <c r="G24" i="14"/>
  <c r="I24" i="14"/>
  <c r="E53" i="38"/>
  <c r="M53" i="38"/>
  <c r="B152" i="37"/>
  <c r="B16" i="37"/>
  <c r="B38" i="37" s="1"/>
  <c r="F102" i="4"/>
  <c r="B155" i="37"/>
  <c r="AG84" i="25" l="1"/>
  <c r="AH84" i="25"/>
  <c r="AI84" i="25"/>
  <c r="AJ84" i="25"/>
  <c r="AK84" i="25"/>
  <c r="AL84" i="25"/>
  <c r="AM84" i="25"/>
  <c r="AN84" i="25"/>
  <c r="AO84" i="25"/>
  <c r="AP84" i="25"/>
  <c r="AQ84" i="25"/>
  <c r="AR84" i="25"/>
  <c r="AS84" i="25"/>
  <c r="AT84" i="25"/>
  <c r="AU84" i="25"/>
  <c r="AV84" i="25"/>
  <c r="AW84" i="25"/>
  <c r="AX84" i="25"/>
  <c r="AY84" i="25"/>
  <c r="AZ84" i="25"/>
  <c r="BA84" i="25"/>
  <c r="BB84" i="25"/>
  <c r="BC84" i="25"/>
  <c r="BD84" i="25"/>
  <c r="BE84" i="25"/>
  <c r="BF84" i="25"/>
  <c r="BG84" i="25"/>
  <c r="BH84" i="25"/>
  <c r="BI84" i="25"/>
  <c r="BJ84" i="25"/>
  <c r="BK84" i="25"/>
  <c r="BL84" i="25"/>
  <c r="BM84" i="25"/>
  <c r="BN84" i="25"/>
  <c r="BO84" i="25"/>
  <c r="BP84" i="25"/>
  <c r="BQ84" i="25"/>
  <c r="BR84" i="25"/>
  <c r="BS84" i="25"/>
  <c r="BT84" i="25"/>
  <c r="BU84" i="25"/>
  <c r="BV84" i="25"/>
  <c r="BW84" i="25"/>
  <c r="BX84" i="25"/>
  <c r="BY84" i="25"/>
  <c r="BZ84" i="25"/>
  <c r="CA84" i="25"/>
  <c r="CB84" i="25"/>
  <c r="CC84" i="25"/>
  <c r="CD84" i="25"/>
  <c r="CE84" i="25"/>
  <c r="CF84" i="25"/>
  <c r="CG84" i="25"/>
  <c r="CH84" i="25"/>
  <c r="CI84" i="25"/>
  <c r="CJ84" i="25"/>
  <c r="CK84" i="25"/>
  <c r="CL84" i="25"/>
  <c r="CM84" i="25"/>
  <c r="CN84" i="25"/>
  <c r="CO84" i="25"/>
  <c r="CP84" i="25"/>
  <c r="CQ84" i="25"/>
  <c r="CR84" i="25"/>
  <c r="CS84" i="25"/>
  <c r="CT84" i="25"/>
  <c r="CU84" i="25"/>
  <c r="CV84" i="25"/>
  <c r="CW84" i="25"/>
  <c r="CX84" i="25"/>
  <c r="CY84" i="25"/>
  <c r="CZ84" i="25"/>
  <c r="DA84" i="25"/>
  <c r="DB84" i="25"/>
  <c r="DC84" i="25"/>
  <c r="DD84" i="25"/>
  <c r="DE84" i="25"/>
  <c r="DF84" i="25"/>
  <c r="DG84" i="25"/>
  <c r="DH84" i="25"/>
  <c r="DI84" i="25"/>
  <c r="DJ84" i="25"/>
  <c r="DK84" i="25"/>
  <c r="DL84" i="25"/>
  <c r="DM84" i="25"/>
  <c r="DN84" i="25"/>
  <c r="DO84" i="25"/>
  <c r="DP84" i="25"/>
  <c r="DQ84" i="25"/>
  <c r="AF84" i="25"/>
  <c r="C36" i="37" l="1"/>
  <c r="C35" i="37"/>
  <c r="C34" i="37"/>
  <c r="C32" i="37"/>
  <c r="C31" i="37"/>
  <c r="C29" i="37"/>
  <c r="C28" i="37"/>
  <c r="D28" i="37"/>
  <c r="E28" i="37"/>
  <c r="F28" i="37"/>
  <c r="G28" i="37"/>
  <c r="H28" i="37"/>
  <c r="I28" i="37"/>
  <c r="J28" i="37"/>
  <c r="K28" i="37"/>
  <c r="D29" i="37"/>
  <c r="E29" i="37"/>
  <c r="F29" i="37"/>
  <c r="G29" i="37"/>
  <c r="H29" i="37"/>
  <c r="I29" i="37"/>
  <c r="J29" i="37"/>
  <c r="K29" i="37"/>
  <c r="C30" i="37"/>
  <c r="D30" i="37"/>
  <c r="E30" i="37"/>
  <c r="F30" i="37"/>
  <c r="G30" i="37"/>
  <c r="H30" i="37"/>
  <c r="I30" i="37"/>
  <c r="J30" i="37"/>
  <c r="K30" i="37"/>
  <c r="D31" i="37"/>
  <c r="E31" i="37"/>
  <c r="F31" i="37"/>
  <c r="G31" i="37"/>
  <c r="H31" i="37"/>
  <c r="I31" i="37"/>
  <c r="J31" i="37"/>
  <c r="K31" i="37"/>
  <c r="D32" i="37"/>
  <c r="E32" i="37"/>
  <c r="F32" i="37"/>
  <c r="G32" i="37"/>
  <c r="H32" i="37"/>
  <c r="I32" i="37"/>
  <c r="J32" i="37"/>
  <c r="K32" i="37"/>
  <c r="C33" i="37"/>
  <c r="D33" i="37"/>
  <c r="E33" i="37"/>
  <c r="F33" i="37"/>
  <c r="G33" i="37"/>
  <c r="H33" i="37"/>
  <c r="I33" i="37"/>
  <c r="J33" i="37"/>
  <c r="K33" i="37"/>
  <c r="D34" i="37"/>
  <c r="E34" i="37"/>
  <c r="F34" i="37"/>
  <c r="G34" i="37"/>
  <c r="H34" i="37"/>
  <c r="I34" i="37"/>
  <c r="J34" i="37"/>
  <c r="K34" i="37"/>
  <c r="D35" i="37"/>
  <c r="E35" i="37"/>
  <c r="F35" i="37"/>
  <c r="G35" i="37"/>
  <c r="H35" i="37"/>
  <c r="I35" i="37"/>
  <c r="J35" i="37"/>
  <c r="K35" i="37"/>
  <c r="D36" i="37"/>
  <c r="E36" i="37"/>
  <c r="F36" i="37"/>
  <c r="G36" i="37"/>
  <c r="H36" i="37"/>
  <c r="I36" i="37"/>
  <c r="J36" i="37"/>
  <c r="K36" i="37"/>
  <c r="E52" i="38"/>
  <c r="M52" i="38"/>
  <c r="E42" i="38"/>
  <c r="M42" i="38"/>
  <c r="E30" i="38"/>
  <c r="E31" i="38"/>
  <c r="M31" i="38"/>
  <c r="B56" i="37"/>
  <c r="B67" i="37" s="1"/>
  <c r="B55" i="37"/>
  <c r="B148" i="37"/>
  <c r="B151" i="37"/>
  <c r="B133" i="37"/>
  <c r="B130" i="37"/>
  <c r="M130" i="37"/>
  <c r="N130" i="37"/>
  <c r="O130" i="37"/>
  <c r="P130" i="37"/>
  <c r="B118" i="37"/>
  <c r="K113" i="37"/>
  <c r="F114" i="37"/>
  <c r="G114" i="37"/>
  <c r="H114" i="37"/>
  <c r="K114" i="37"/>
  <c r="F115" i="37"/>
  <c r="G115" i="37"/>
  <c r="H115" i="37"/>
  <c r="K115" i="37"/>
  <c r="B113" i="37"/>
  <c r="L35" i="37"/>
  <c r="L36" i="37"/>
  <c r="B15" i="37"/>
  <c r="B37" i="37" s="1"/>
  <c r="B12" i="37"/>
  <c r="B34" i="37" s="1"/>
  <c r="L34" i="37"/>
  <c r="W29" i="32" l="1"/>
  <c r="W5" i="32"/>
  <c r="W6" i="32"/>
  <c r="W7" i="32"/>
  <c r="W8" i="32"/>
  <c r="W9" i="32"/>
  <c r="W10" i="32"/>
  <c r="W11" i="32"/>
  <c r="W12" i="32"/>
  <c r="W13" i="32"/>
  <c r="W14" i="32"/>
  <c r="W15" i="32"/>
  <c r="W16" i="32"/>
  <c r="W17" i="32"/>
  <c r="W18" i="32"/>
  <c r="W19" i="32"/>
  <c r="W20" i="32"/>
  <c r="W21" i="32"/>
  <c r="W22" i="32"/>
  <c r="W23" i="32"/>
  <c r="W24" i="32"/>
  <c r="W25" i="32"/>
  <c r="W26" i="32"/>
  <c r="W27" i="32"/>
  <c r="W28" i="32"/>
  <c r="W31" i="32"/>
  <c r="W30" i="32"/>
  <c r="L82" i="17" l="1"/>
  <c r="I82" i="17"/>
  <c r="H82" i="17"/>
  <c r="H81" i="17"/>
  <c r="G81" i="17"/>
  <c r="G82" i="17"/>
  <c r="L57" i="17"/>
  <c r="I57" i="17"/>
  <c r="I56" i="17"/>
  <c r="H57" i="17"/>
  <c r="H56" i="17"/>
  <c r="G57" i="17"/>
  <c r="G56" i="17"/>
  <c r="AB18" i="39" l="1"/>
  <c r="AB17" i="39"/>
  <c r="M19" i="39" a="1"/>
  <c r="M19" i="39" l="1"/>
  <c r="O19" i="39" l="1"/>
  <c r="N19" i="39"/>
  <c r="I113" i="37" l="1"/>
  <c r="J115" i="37"/>
  <c r="I115" i="37"/>
  <c r="J113" i="37"/>
  <c r="I114" i="37"/>
  <c r="J114" i="37"/>
  <c r="K82" i="17"/>
  <c r="K57" i="17"/>
  <c r="J82" i="17"/>
  <c r="J57" i="17"/>
  <c r="W4" i="32"/>
  <c r="AD17" i="39"/>
  <c r="BQ1" i="41" l="1"/>
  <c r="BL1" i="41"/>
  <c r="BU2" i="41"/>
  <c r="BL3" i="41"/>
  <c r="BL4" i="41" s="1"/>
  <c r="BL5" i="41" s="1"/>
  <c r="BL6" i="41" s="1"/>
  <c r="BL7" i="41" s="1"/>
  <c r="BL8" i="41" s="1"/>
  <c r="BL9" i="41" s="1"/>
  <c r="BL10" i="41" s="1"/>
  <c r="BL11" i="41" s="1"/>
  <c r="BL12" i="41" s="1"/>
  <c r="BL13" i="41" s="1"/>
  <c r="BL14" i="41" s="1"/>
  <c r="BL15" i="41" s="1"/>
  <c r="BL16" i="41" s="1"/>
  <c r="BL17" i="41" s="1"/>
  <c r="BL18" i="41" s="1"/>
  <c r="BL19" i="41" s="1"/>
  <c r="BL20" i="41" s="1"/>
  <c r="BL21" i="41" s="1"/>
  <c r="BL22" i="41" s="1"/>
  <c r="BL23" i="41" s="1"/>
  <c r="BL24" i="41" s="1"/>
  <c r="BL25" i="41" s="1"/>
  <c r="BL26" i="41" s="1"/>
  <c r="BL27" i="41" s="1"/>
  <c r="BL28" i="41" s="1"/>
  <c r="BL29" i="41" s="1"/>
  <c r="BL30" i="41" s="1"/>
  <c r="BL31" i="41" s="1"/>
  <c r="BL32" i="41" s="1"/>
  <c r="BL33" i="41" s="1"/>
  <c r="BL34" i="41" s="1"/>
  <c r="BL35" i="41" s="1"/>
  <c r="BL36" i="41" s="1"/>
  <c r="BL37" i="41" s="1"/>
  <c r="BL38" i="41" s="1"/>
  <c r="BL39" i="41" s="1"/>
  <c r="BL40" i="41" s="1"/>
  <c r="BL41" i="41" s="1"/>
  <c r="BL42" i="41" s="1"/>
  <c r="BL43" i="41" s="1"/>
  <c r="BL44" i="41" s="1"/>
  <c r="BL45" i="41" s="1"/>
  <c r="BL46" i="41" s="1"/>
  <c r="BL47" i="41" s="1"/>
  <c r="BL48" i="41" s="1"/>
  <c r="BL49" i="41" s="1"/>
  <c r="BL50" i="41" s="1"/>
  <c r="BL51" i="41" s="1"/>
  <c r="BL52" i="41" s="1"/>
  <c r="BL53" i="41" s="1"/>
  <c r="BL54" i="41" s="1"/>
  <c r="BL55" i="41" s="1"/>
  <c r="BL56" i="41" s="1"/>
  <c r="BL57" i="41" s="1"/>
  <c r="BL58" i="41" s="1"/>
  <c r="BL59" i="41" s="1"/>
  <c r="BL60" i="41" s="1"/>
  <c r="BL61" i="41" s="1"/>
  <c r="BL62" i="41" s="1"/>
  <c r="BL63" i="41" s="1"/>
  <c r="BL64" i="41" s="1"/>
  <c r="BL65" i="41" s="1"/>
  <c r="BL66" i="41" s="1"/>
  <c r="BL67" i="41" s="1"/>
  <c r="BL68" i="41" s="1"/>
  <c r="BL69" i="41" s="1"/>
  <c r="BL70" i="41" s="1"/>
  <c r="BL71" i="41" s="1"/>
  <c r="BL72" i="41" s="1"/>
  <c r="BL73" i="41" s="1"/>
  <c r="BL74" i="41" s="1"/>
  <c r="BL75" i="41" s="1"/>
  <c r="BL76" i="41" s="1"/>
  <c r="BL77" i="41" s="1"/>
  <c r="BL78" i="41" s="1"/>
  <c r="BL79" i="41" s="1"/>
  <c r="BL80" i="41" s="1"/>
  <c r="BL81" i="41" s="1"/>
  <c r="BL82" i="41" s="1"/>
  <c r="BL83" i="41" s="1"/>
  <c r="BL84" i="41" s="1"/>
  <c r="BL85" i="41" s="1"/>
  <c r="BL86" i="41" s="1"/>
  <c r="BL87" i="41" s="1"/>
  <c r="BL88" i="41" s="1"/>
  <c r="BL89" i="41" s="1"/>
  <c r="BL90" i="41" s="1"/>
  <c r="BL91" i="41" s="1"/>
  <c r="BL92" i="41" s="1"/>
  <c r="BL93" i="41" s="1"/>
  <c r="BL94" i="41" s="1"/>
  <c r="BL95" i="41" s="1"/>
  <c r="BL96" i="41" s="1"/>
  <c r="BL97" i="41" s="1"/>
  <c r="BL98" i="41" s="1"/>
  <c r="BL99" i="41" s="1"/>
  <c r="BL100" i="41" s="1"/>
  <c r="BQ2" i="41"/>
  <c r="AD12" i="39"/>
  <c r="AI17" i="39"/>
  <c r="AB16" i="39" l="1"/>
  <c r="AF14" i="39" s="1" a="1"/>
  <c r="AF14" i="39" s="1"/>
  <c r="X19" i="39"/>
  <c r="AB21" i="39" l="1"/>
  <c r="AB23" i="39"/>
  <c r="AB20" i="39"/>
  <c r="AF15" i="39" a="1"/>
  <c r="AF15" i="39" s="1"/>
  <c r="AB22" i="39"/>
  <c r="AB19" i="39"/>
  <c r="AF16" i="39" a="1"/>
  <c r="AF16" i="39" s="1"/>
  <c r="BM5" i="41"/>
  <c r="BM14" i="41"/>
  <c r="BM65" i="41"/>
  <c r="BM97" i="41"/>
  <c r="BM36" i="41"/>
  <c r="BM76" i="41"/>
  <c r="BM15" i="41"/>
  <c r="BM45" i="41"/>
  <c r="BM46" i="41"/>
  <c r="BM81" i="41"/>
  <c r="BM51" i="41"/>
  <c r="BM60" i="41"/>
  <c r="BM92" i="41"/>
  <c r="BM33" i="41"/>
  <c r="BM4" i="41"/>
  <c r="BM57" i="41"/>
  <c r="BM89" i="41"/>
  <c r="BM20" i="41"/>
  <c r="BM68" i="41"/>
  <c r="BM100" i="41"/>
  <c r="BM30" i="41"/>
  <c r="BM73" i="41"/>
  <c r="BM35" i="41"/>
  <c r="BM52" i="41"/>
  <c r="BM84" i="41"/>
  <c r="BM21" i="41"/>
  <c r="BM29" i="41"/>
  <c r="BU3" i="41"/>
  <c r="BM18" i="41"/>
  <c r="BM34" i="41"/>
  <c r="BM50" i="41"/>
  <c r="BM59" i="41"/>
  <c r="BM67" i="41"/>
  <c r="BM75" i="41"/>
  <c r="BM83" i="41"/>
  <c r="BM91" i="41"/>
  <c r="BM99" i="41"/>
  <c r="BM39" i="41"/>
  <c r="BM8" i="41"/>
  <c r="BM24" i="41"/>
  <c r="BM40" i="41"/>
  <c r="BM54" i="41"/>
  <c r="BM62" i="41"/>
  <c r="BM70" i="41"/>
  <c r="BM78" i="41"/>
  <c r="BM86" i="41"/>
  <c r="BM94" i="41"/>
  <c r="BM41" i="41"/>
  <c r="BM7" i="41"/>
  <c r="BM13" i="41"/>
  <c r="BM19" i="41"/>
  <c r="BM17" i="41"/>
  <c r="BM6" i="41"/>
  <c r="BM22" i="41"/>
  <c r="BM38" i="41"/>
  <c r="BM53" i="41"/>
  <c r="BM61" i="41"/>
  <c r="BM69" i="41"/>
  <c r="BM77" i="41"/>
  <c r="BM85" i="41"/>
  <c r="BM93" i="41"/>
  <c r="BM27" i="41"/>
  <c r="BM43" i="41"/>
  <c r="BM12" i="41"/>
  <c r="BM28" i="41"/>
  <c r="BM44" i="41"/>
  <c r="BM56" i="41"/>
  <c r="BM64" i="41"/>
  <c r="BM72" i="41"/>
  <c r="BM80" i="41"/>
  <c r="BM88" i="41"/>
  <c r="BM96" i="41"/>
  <c r="BM25" i="41"/>
  <c r="BM3" i="41"/>
  <c r="BM2" i="41"/>
  <c r="BM11" i="41"/>
  <c r="BM9" i="41"/>
  <c r="BM10" i="41"/>
  <c r="BM26" i="41"/>
  <c r="BM42" i="41"/>
  <c r="BM55" i="41"/>
  <c r="BM63" i="41"/>
  <c r="BM71" i="41"/>
  <c r="BM79" i="41"/>
  <c r="BM87" i="41"/>
  <c r="BM95" i="41"/>
  <c r="BM31" i="41"/>
  <c r="BM47" i="41"/>
  <c r="BM16" i="41"/>
  <c r="BM32" i="41"/>
  <c r="BM48" i="41"/>
  <c r="BM58" i="41"/>
  <c r="BM66" i="41"/>
  <c r="BM74" i="41"/>
  <c r="BM82" i="41"/>
  <c r="BM90" i="41"/>
  <c r="BM98" i="41"/>
  <c r="BM23" i="41"/>
  <c r="BM37" i="41"/>
  <c r="BM49" i="41"/>
  <c r="BU4" i="41" l="1"/>
  <c r="BQ3" i="41" s="1"/>
  <c r="BQ4" i="41" s="1"/>
  <c r="BR3" i="41" s="1" a="1"/>
  <c r="BR3" i="41" s="1"/>
  <c r="AP15" i="39"/>
  <c r="AP16" i="39" s="1"/>
  <c r="BO2" i="41"/>
  <c r="AP17" i="39" l="1"/>
  <c r="BN2" i="41" a="1"/>
  <c r="BN2" i="41" s="1"/>
  <c r="AF17" i="39" s="1"/>
  <c r="BR2" i="41" a="1"/>
  <c r="BR2" i="41" s="1"/>
  <c r="BQ5" i="41"/>
  <c r="BR4" i="41" s="1" a="1"/>
  <c r="BR4" i="41" s="1"/>
  <c r="C109" i="24"/>
  <c r="F18" i="30"/>
  <c r="D54" i="30" l="1"/>
  <c r="BQ6" i="41"/>
  <c r="BQ7" i="41" s="1"/>
  <c r="BQ8" i="41" l="1"/>
  <c r="BR7" i="41" s="1" a="1"/>
  <c r="BR7" i="41" s="1"/>
  <c r="BR5" i="41" a="1"/>
  <c r="BR5" i="41" s="1"/>
  <c r="BR6" i="41" a="1"/>
  <c r="BR6" i="41" s="1"/>
  <c r="B72" i="38"/>
  <c r="BQ9" i="41" l="1"/>
  <c r="BQ10" i="41" s="1"/>
  <c r="E17" i="5"/>
  <c r="D17" i="5"/>
  <c r="C17" i="5"/>
  <c r="BR9" i="41" l="1" a="1"/>
  <c r="BR9" i="41" s="1"/>
  <c r="BQ11" i="41"/>
  <c r="BR10" i="41" s="1" a="1"/>
  <c r="BR10" i="41" s="1"/>
  <c r="BR8" i="41" a="1"/>
  <c r="BR8" i="41" s="1"/>
  <c r="B57" i="38"/>
  <c r="B5" i="38"/>
  <c r="B16" i="38"/>
  <c r="B26" i="38"/>
  <c r="B36" i="38"/>
  <c r="B46" i="38"/>
  <c r="BQ12" i="41" l="1"/>
  <c r="BQ13" i="41" s="1"/>
  <c r="BR12" i="41" s="1" a="1"/>
  <c r="BR12" i="41" s="1"/>
  <c r="BR11" i="41" l="1" a="1"/>
  <c r="BR11" i="41" s="1"/>
  <c r="BQ14" i="41"/>
  <c r="BQ15" i="41" s="1"/>
  <c r="C171" i="37"/>
  <c r="C88" i="37"/>
  <c r="L25" i="37"/>
  <c r="C62" i="37"/>
  <c r="C139" i="37"/>
  <c r="BR13" i="41" l="1" a="1"/>
  <c r="BR13" i="41" s="1"/>
  <c r="BR14" i="41" a="1"/>
  <c r="BR14" i="41" s="1"/>
  <c r="BQ16" i="41"/>
  <c r="B79" i="38"/>
  <c r="B78" i="38"/>
  <c r="B77" i="38"/>
  <c r="B76" i="38"/>
  <c r="B75" i="38"/>
  <c r="B74" i="38"/>
  <c r="BR15" i="41" l="1" a="1"/>
  <c r="BR15" i="41" s="1"/>
  <c r="BQ17" i="41"/>
  <c r="C55" i="5"/>
  <c r="D138" i="5"/>
  <c r="D139" i="5"/>
  <c r="D140" i="5"/>
  <c r="D160" i="5"/>
  <c r="D161" i="5"/>
  <c r="C189" i="5"/>
  <c r="C190" i="5"/>
  <c r="C191" i="5"/>
  <c r="C192" i="5"/>
  <c r="C193" i="5"/>
  <c r="C194" i="5"/>
  <c r="D317" i="5"/>
  <c r="D320" i="5"/>
  <c r="D322" i="5"/>
  <c r="D328" i="5"/>
  <c r="D332" i="5"/>
  <c r="D335" i="5"/>
  <c r="D339" i="5"/>
  <c r="D342" i="5"/>
  <c r="D346" i="5"/>
  <c r="D349" i="5"/>
  <c r="D352" i="5"/>
  <c r="D353" i="5"/>
  <c r="D354" i="5"/>
  <c r="D356" i="5"/>
  <c r="D357" i="5"/>
  <c r="D358" i="5"/>
  <c r="D359" i="5"/>
  <c r="D382" i="5"/>
  <c r="D384" i="5"/>
  <c r="D385" i="5"/>
  <c r="BR16" i="41" l="1" a="1"/>
  <c r="BR16" i="41" s="1"/>
  <c r="BQ18" i="41"/>
  <c r="BQ19" i="41" s="1"/>
  <c r="L83" i="17"/>
  <c r="L76" i="17"/>
  <c r="K108" i="37"/>
  <c r="H108" i="37"/>
  <c r="G108" i="37"/>
  <c r="F108" i="37"/>
  <c r="K107" i="37"/>
  <c r="K109" i="37"/>
  <c r="K110" i="37"/>
  <c r="K111" i="37"/>
  <c r="K112" i="37"/>
  <c r="BR17" i="41" l="1" a="1"/>
  <c r="BR17" i="41" s="1"/>
  <c r="BQ20" i="41"/>
  <c r="BQ21" i="41" s="1"/>
  <c r="BR20" i="41" s="1" a="1"/>
  <c r="BR20" i="41" s="1"/>
  <c r="BR18" i="41" a="1"/>
  <c r="BR18" i="41" s="1"/>
  <c r="D52" i="37"/>
  <c r="E52" i="37"/>
  <c r="F52" i="37"/>
  <c r="G52" i="37"/>
  <c r="H52" i="37"/>
  <c r="I52" i="37"/>
  <c r="J52" i="37"/>
  <c r="K52" i="37"/>
  <c r="L52" i="37"/>
  <c r="C52" i="37"/>
  <c r="C51" i="37"/>
  <c r="BR19" i="41" l="1" a="1"/>
  <c r="BR19" i="41" s="1"/>
  <c r="BQ22" i="41"/>
  <c r="BR21" i="41" s="1" a="1"/>
  <c r="BR21" i="41" s="1"/>
  <c r="M131" i="37"/>
  <c r="C7" i="4"/>
  <c r="BQ23" i="41" l="1"/>
  <c r="BR22" i="41" s="1" a="1"/>
  <c r="BR22" i="41" s="1"/>
  <c r="G170" i="37"/>
  <c r="G171" i="37"/>
  <c r="F170" i="37"/>
  <c r="B173" i="37"/>
  <c r="B141" i="37"/>
  <c r="BQ24" i="41" l="1"/>
  <c r="BR23" i="41" s="1" a="1"/>
  <c r="BR23" i="41" s="1"/>
  <c r="D138" i="37"/>
  <c r="C138" i="37"/>
  <c r="L24" i="37"/>
  <c r="BQ25" i="41" l="1"/>
  <c r="BR24" i="41" s="1" a="1"/>
  <c r="BR24" i="41" s="1"/>
  <c r="B117" i="37"/>
  <c r="B119" i="37"/>
  <c r="B120" i="37"/>
  <c r="B121" i="37"/>
  <c r="B122" i="37"/>
  <c r="B123" i="37"/>
  <c r="B116" i="37"/>
  <c r="M124" i="37"/>
  <c r="BQ26" i="41" l="1"/>
  <c r="BR25" i="41" s="1" a="1"/>
  <c r="BR25" i="41" s="1"/>
  <c r="C105" i="37"/>
  <c r="G84" i="17"/>
  <c r="G83" i="17"/>
  <c r="L69" i="17"/>
  <c r="K105" i="37"/>
  <c r="I105" i="37"/>
  <c r="J67" i="17"/>
  <c r="F105" i="37"/>
  <c r="BQ27" i="41" l="1"/>
  <c r="BR26" i="41" s="1" a="1"/>
  <c r="BR26" i="41" s="1"/>
  <c r="O128" i="37"/>
  <c r="O125" i="37"/>
  <c r="C54" i="37"/>
  <c r="BQ28" i="41" l="1"/>
  <c r="BR27" i="41" s="1" a="1"/>
  <c r="BR27" i="41" s="1"/>
  <c r="N125" i="37"/>
  <c r="P125" i="37"/>
  <c r="P126" i="37"/>
  <c r="O129" i="37"/>
  <c r="O126" i="37"/>
  <c r="P131" i="37"/>
  <c r="N131" i="37"/>
  <c r="N129" i="37"/>
  <c r="P129" i="37"/>
  <c r="P128" i="37"/>
  <c r="P124" i="37"/>
  <c r="M125" i="37"/>
  <c r="O127" i="37"/>
  <c r="O131" i="37"/>
  <c r="M128" i="37"/>
  <c r="N128" i="37"/>
  <c r="M127" i="37"/>
  <c r="N126" i="37"/>
  <c r="O124" i="37"/>
  <c r="M126" i="37"/>
  <c r="N124" i="37"/>
  <c r="M129" i="37"/>
  <c r="P127" i="37"/>
  <c r="BQ29" i="41" l="1"/>
  <c r="BR28" i="41" s="1" a="1"/>
  <c r="BR28" i="41" s="1"/>
  <c r="B68" i="37"/>
  <c r="B65" i="37"/>
  <c r="D51" i="37"/>
  <c r="E51" i="37"/>
  <c r="F51" i="37"/>
  <c r="G51" i="37"/>
  <c r="H51" i="37"/>
  <c r="I51" i="37"/>
  <c r="J51" i="37"/>
  <c r="K51" i="37"/>
  <c r="D54" i="37"/>
  <c r="E54" i="37"/>
  <c r="F54" i="37"/>
  <c r="G54" i="37"/>
  <c r="H54" i="37"/>
  <c r="I54" i="37"/>
  <c r="J54" i="37"/>
  <c r="K54" i="37"/>
  <c r="L51" i="37"/>
  <c r="L54" i="37"/>
  <c r="M24" i="37"/>
  <c r="O25" i="37" s="1"/>
  <c r="BQ30" i="41" l="1"/>
  <c r="BR29" i="41" s="1" a="1"/>
  <c r="BR29" i="41" s="1"/>
  <c r="B66" i="37"/>
  <c r="BQ31" i="41" l="1"/>
  <c r="BR30" i="41" s="1" a="1"/>
  <c r="BR30" i="41" s="1"/>
  <c r="L28" i="37"/>
  <c r="L29" i="37"/>
  <c r="L30" i="37"/>
  <c r="L31" i="37"/>
  <c r="L32" i="37"/>
  <c r="L33" i="37"/>
  <c r="BQ32" i="41" l="1"/>
  <c r="BR31" i="41" s="1" a="1"/>
  <c r="BR31" i="41" s="1"/>
  <c r="N7" i="38"/>
  <c r="N8" i="38" s="1"/>
  <c r="N9" i="38" s="1"/>
  <c r="N10" i="38" s="1"/>
  <c r="N11" i="38" s="1"/>
  <c r="N12" i="38" s="1"/>
  <c r="N13" i="38" s="1"/>
  <c r="N28" i="38"/>
  <c r="N29" i="38" s="1"/>
  <c r="N30" i="38" s="1"/>
  <c r="L43" i="38"/>
  <c r="M43" i="38"/>
  <c r="L54" i="38"/>
  <c r="M54" i="38"/>
  <c r="N43" i="38"/>
  <c r="K43" i="38"/>
  <c r="J43" i="38"/>
  <c r="I43" i="38"/>
  <c r="H43" i="38"/>
  <c r="M41" i="38"/>
  <c r="E41" i="38"/>
  <c r="M40" i="38"/>
  <c r="E40" i="38"/>
  <c r="M39" i="38"/>
  <c r="E39" i="38"/>
  <c r="N38" i="38"/>
  <c r="N39" i="38" s="1"/>
  <c r="N40" i="38" s="1"/>
  <c r="N41" i="38" s="1"/>
  <c r="N42" i="38" s="1"/>
  <c r="M38" i="38"/>
  <c r="E38" i="38"/>
  <c r="N33" i="38"/>
  <c r="M33" i="38"/>
  <c r="L33" i="38"/>
  <c r="K33" i="38"/>
  <c r="J33" i="38"/>
  <c r="I33" i="38"/>
  <c r="H33" i="38"/>
  <c r="M32" i="38"/>
  <c r="E32" i="38"/>
  <c r="M30" i="38"/>
  <c r="M29" i="38"/>
  <c r="E29" i="38"/>
  <c r="M28" i="38"/>
  <c r="E28" i="38"/>
  <c r="N23" i="38"/>
  <c r="M23" i="38"/>
  <c r="L23" i="38"/>
  <c r="K23" i="38"/>
  <c r="J23" i="38"/>
  <c r="I23" i="38"/>
  <c r="H23" i="38"/>
  <c r="M22" i="38"/>
  <c r="E22" i="38"/>
  <c r="M21" i="38"/>
  <c r="E21" i="38"/>
  <c r="M20" i="38"/>
  <c r="E20" i="38"/>
  <c r="M19" i="38"/>
  <c r="E19" i="38"/>
  <c r="N18" i="38"/>
  <c r="N19" i="38" s="1"/>
  <c r="N20" i="38" s="1"/>
  <c r="N21" i="38" s="1"/>
  <c r="N22" i="38" s="1"/>
  <c r="M18" i="38"/>
  <c r="E18" i="38"/>
  <c r="N54" i="38"/>
  <c r="K54" i="38"/>
  <c r="J54" i="38"/>
  <c r="I54" i="38"/>
  <c r="H54" i="38"/>
  <c r="M51" i="38"/>
  <c r="E51" i="38"/>
  <c r="M50" i="38"/>
  <c r="E50" i="38"/>
  <c r="M49" i="38"/>
  <c r="E49" i="38"/>
  <c r="N48" i="38"/>
  <c r="N49" i="38" s="1"/>
  <c r="N50" i="38" s="1"/>
  <c r="N51" i="38" s="1"/>
  <c r="N52" i="38" s="1"/>
  <c r="N53" i="38" s="1"/>
  <c r="M48" i="38"/>
  <c r="E48" i="38"/>
  <c r="M13" i="38"/>
  <c r="L13" i="38"/>
  <c r="K13" i="38"/>
  <c r="J13" i="38"/>
  <c r="I13" i="38"/>
  <c r="H13" i="38"/>
  <c r="M12" i="38"/>
  <c r="E12" i="38"/>
  <c r="M11" i="38"/>
  <c r="E11" i="38"/>
  <c r="M10" i="38"/>
  <c r="E10" i="38"/>
  <c r="M9" i="38"/>
  <c r="E9" i="38"/>
  <c r="M8" i="38"/>
  <c r="E8" i="38"/>
  <c r="M7" i="38"/>
  <c r="E7" i="38"/>
  <c r="N31" i="38" l="1"/>
  <c r="N32" i="38" s="1"/>
  <c r="BQ33" i="41"/>
  <c r="BR32" i="41" s="1" a="1"/>
  <c r="BR32" i="41" s="1"/>
  <c r="I58" i="17"/>
  <c r="H58" i="17"/>
  <c r="G58" i="17"/>
  <c r="I83" i="17"/>
  <c r="H83" i="17"/>
  <c r="BQ34" i="41" l="1"/>
  <c r="BR33" i="41" s="1" a="1"/>
  <c r="BR33" i="41" s="1"/>
  <c r="C63" i="17"/>
  <c r="C62" i="17"/>
  <c r="BQ35" i="41" l="1"/>
  <c r="BR34" i="41" s="1" a="1"/>
  <c r="BR34" i="41" s="1"/>
  <c r="H53" i="4"/>
  <c r="H20" i="4"/>
  <c r="BQ36" i="41" l="1"/>
  <c r="BR35" i="41" s="1" a="1"/>
  <c r="BR35" i="41" s="1"/>
  <c r="K11" i="8"/>
  <c r="F11" i="8"/>
  <c r="B11" i="8"/>
  <c r="BQ37" i="41" l="1"/>
  <c r="I52" i="17"/>
  <c r="H52" i="17"/>
  <c r="G52" i="17"/>
  <c r="C50" i="17"/>
  <c r="L58" i="17"/>
  <c r="L56" i="17"/>
  <c r="L55" i="17"/>
  <c r="L54" i="17"/>
  <c r="L53" i="17"/>
  <c r="L52" i="17"/>
  <c r="L51" i="17"/>
  <c r="E18" i="15"/>
  <c r="D18" i="15"/>
  <c r="C18" i="15"/>
  <c r="BQ38" i="41" l="1"/>
  <c r="BR37" i="41" s="1" a="1"/>
  <c r="BR37" i="41" s="1"/>
  <c r="BR36" i="41" a="1"/>
  <c r="BR36" i="41" s="1"/>
  <c r="G19" i="25"/>
  <c r="BQ39" i="41" l="1"/>
  <c r="BR38" i="41" s="1" a="1"/>
  <c r="BR38" i="41" s="1"/>
  <c r="B154" i="37"/>
  <c r="BQ40" i="41" l="1"/>
  <c r="BR39" i="41" s="1" a="1"/>
  <c r="BR39" i="41" s="1"/>
  <c r="BQ41" i="41" l="1"/>
  <c r="BR40" i="41" s="1" a="1"/>
  <c r="BR40" i="41" s="1"/>
  <c r="C287" i="5"/>
  <c r="E224" i="24"/>
  <c r="E223" i="24"/>
  <c r="E222" i="24"/>
  <c r="E220" i="24"/>
  <c r="E219" i="24"/>
  <c r="E218" i="24"/>
  <c r="E216" i="24"/>
  <c r="E215" i="24"/>
  <c r="E214" i="24"/>
  <c r="E208" i="24"/>
  <c r="E207" i="24"/>
  <c r="E206" i="24"/>
  <c r="E204" i="24"/>
  <c r="E203" i="24"/>
  <c r="E202" i="24"/>
  <c r="E200" i="24"/>
  <c r="E199" i="24"/>
  <c r="E198" i="24"/>
  <c r="E196" i="24"/>
  <c r="C196" i="24" s="1"/>
  <c r="C305" i="5" s="1"/>
  <c r="E195" i="24"/>
  <c r="C195" i="24" s="1"/>
  <c r="C304" i="5" s="1"/>
  <c r="E194" i="24"/>
  <c r="C194" i="24" s="1"/>
  <c r="C303" i="5" s="1"/>
  <c r="E192" i="24"/>
  <c r="C192" i="24" s="1"/>
  <c r="C301" i="5" s="1"/>
  <c r="E191" i="24"/>
  <c r="C191" i="24" s="1"/>
  <c r="C300" i="5" s="1"/>
  <c r="E190" i="24"/>
  <c r="C190" i="24" s="1"/>
  <c r="C299" i="5" s="1"/>
  <c r="E184" i="24"/>
  <c r="E183" i="24"/>
  <c r="E182" i="24"/>
  <c r="E180" i="24"/>
  <c r="E179" i="24"/>
  <c r="E178" i="24"/>
  <c r="E176" i="24"/>
  <c r="E175" i="24"/>
  <c r="E174" i="24"/>
  <c r="E172" i="24"/>
  <c r="E171" i="24"/>
  <c r="E170" i="24"/>
  <c r="C293" i="5"/>
  <c r="C292" i="5"/>
  <c r="C291" i="5"/>
  <c r="C288" i="5"/>
  <c r="C289" i="5"/>
  <c r="C85" i="24"/>
  <c r="E291" i="3" s="1"/>
  <c r="J87" i="24"/>
  <c r="J88" i="24"/>
  <c r="C88" i="24" s="1"/>
  <c r="J89" i="24"/>
  <c r="C89" i="24" s="1"/>
  <c r="J90" i="24"/>
  <c r="C90" i="24" s="1"/>
  <c r="J92" i="24"/>
  <c r="C92" i="24" s="1"/>
  <c r="E293" i="3" s="1"/>
  <c r="C93" i="24"/>
  <c r="E295" i="3" s="1"/>
  <c r="M294" i="3"/>
  <c r="C84" i="24" l="1"/>
  <c r="E290" i="3" s="1"/>
  <c r="BQ42" i="41"/>
  <c r="BR41" i="41" s="1" a="1"/>
  <c r="BR41" i="41" s="1"/>
  <c r="C187" i="24"/>
  <c r="C296" i="5" s="1"/>
  <c r="C188" i="24"/>
  <c r="C297" i="5" s="1"/>
  <c r="C228" i="24"/>
  <c r="C313" i="5" s="1"/>
  <c r="C211" i="24"/>
  <c r="C308" i="5" s="1"/>
  <c r="C226" i="24"/>
  <c r="C311" i="5" s="1"/>
  <c r="C227" i="24"/>
  <c r="C312" i="5" s="1"/>
  <c r="C186" i="24"/>
  <c r="C295" i="5" s="1"/>
  <c r="C212" i="24"/>
  <c r="C309" i="5" s="1"/>
  <c r="C210" i="24"/>
  <c r="C307" i="5" s="1"/>
  <c r="C91" i="24"/>
  <c r="E292" i="3" s="1"/>
  <c r="C87" i="24"/>
  <c r="I84" i="17"/>
  <c r="H84" i="17"/>
  <c r="BQ43" i="41" l="1"/>
  <c r="BR42" i="41" s="1" a="1"/>
  <c r="BR42" i="41" s="1"/>
  <c r="G67" i="4"/>
  <c r="G68" i="4"/>
  <c r="G69" i="4"/>
  <c r="BQ44" i="41" l="1"/>
  <c r="BR43" i="41" s="1" a="1"/>
  <c r="BR43" i="41" s="1"/>
  <c r="J108" i="37"/>
  <c r="J112" i="37"/>
  <c r="K84" i="17"/>
  <c r="K83" i="17"/>
  <c r="I108" i="37"/>
  <c r="I112" i="37"/>
  <c r="J83" i="17"/>
  <c r="K56" i="17"/>
  <c r="J58" i="17"/>
  <c r="K58" i="17"/>
  <c r="J52" i="17"/>
  <c r="K52" i="17"/>
  <c r="J56" i="17"/>
  <c r="L135" i="24"/>
  <c r="H135" i="24"/>
  <c r="BQ45" i="41" l="1"/>
  <c r="BR44" i="41" s="1" a="1"/>
  <c r="BR44" i="41" s="1"/>
  <c r="C135" i="24"/>
  <c r="C21" i="5" s="1"/>
  <c r="C22" i="5" s="1"/>
  <c r="E44" i="18"/>
  <c r="BQ46" i="41" l="1"/>
  <c r="BR45" i="41" s="1" a="1"/>
  <c r="BR45" i="41" s="1"/>
  <c r="BQ47" i="41" l="1"/>
  <c r="BR46" i="41" s="1" a="1"/>
  <c r="BR46" i="41" s="1"/>
  <c r="G66" i="25"/>
  <c r="G69" i="25"/>
  <c r="BQ48" i="41" l="1"/>
  <c r="BR47" i="41" s="1" a="1"/>
  <c r="BR47" i="41" s="1"/>
  <c r="D116" i="3"/>
  <c r="D87" i="3"/>
  <c r="D57" i="3"/>
  <c r="D56" i="3"/>
  <c r="D55" i="3"/>
  <c r="D85" i="3"/>
  <c r="D90" i="3"/>
  <c r="D98" i="3"/>
  <c r="D106" i="3"/>
  <c r="D114" i="3"/>
  <c r="D66" i="3"/>
  <c r="D74" i="3"/>
  <c r="D82" i="3"/>
  <c r="D37" i="3"/>
  <c r="D46" i="3"/>
  <c r="D112" i="3"/>
  <c r="D65" i="3"/>
  <c r="D91" i="3"/>
  <c r="D99" i="3"/>
  <c r="D107" i="3"/>
  <c r="D115" i="3"/>
  <c r="D67" i="3"/>
  <c r="D75" i="3"/>
  <c r="D83" i="3"/>
  <c r="D80" i="3"/>
  <c r="D105" i="3"/>
  <c r="D92" i="3"/>
  <c r="D100" i="3"/>
  <c r="D108" i="3"/>
  <c r="D68" i="3"/>
  <c r="D76" i="3"/>
  <c r="D84" i="3"/>
  <c r="D104" i="3"/>
  <c r="D35" i="3"/>
  <c r="D73" i="3"/>
  <c r="D53" i="3"/>
  <c r="D93" i="3"/>
  <c r="D101" i="3"/>
  <c r="D109" i="3"/>
  <c r="D61" i="3"/>
  <c r="D69" i="3"/>
  <c r="D77" i="3"/>
  <c r="D86" i="3"/>
  <c r="D64" i="3"/>
  <c r="D81" i="3"/>
  <c r="D94" i="3"/>
  <c r="D102" i="3"/>
  <c r="D110" i="3"/>
  <c r="D62" i="3"/>
  <c r="D70" i="3"/>
  <c r="D78" i="3"/>
  <c r="D51" i="3"/>
  <c r="D96" i="3"/>
  <c r="D97" i="3"/>
  <c r="D28" i="3"/>
  <c r="D95" i="3"/>
  <c r="D103" i="3"/>
  <c r="D111" i="3"/>
  <c r="D63" i="3"/>
  <c r="D71" i="3"/>
  <c r="D79" i="3"/>
  <c r="D26" i="3"/>
  <c r="D72" i="3"/>
  <c r="D113" i="3"/>
  <c r="D44" i="3"/>
  <c r="BQ49" i="41" l="1"/>
  <c r="BR48" i="41" s="1" a="1"/>
  <c r="BR48" i="41" s="1"/>
  <c r="BQ50" i="41" l="1"/>
  <c r="BR49" i="41" s="1" a="1"/>
  <c r="BR49" i="41" s="1"/>
  <c r="BQ51" i="41" l="1"/>
  <c r="BR51" i="41" s="1" a="1"/>
  <c r="BR51" i="41" s="1"/>
  <c r="J84" i="17"/>
  <c r="K93" i="17"/>
  <c r="J93" i="17"/>
  <c r="BR50" i="41" l="1" a="1"/>
  <c r="BR50" i="41" s="1"/>
  <c r="H65" i="24"/>
  <c r="E247" i="3"/>
  <c r="F44" i="24" l="1"/>
  <c r="F46" i="24"/>
  <c r="F45" i="24"/>
  <c r="F47" i="24"/>
  <c r="F64" i="24"/>
  <c r="F65" i="24"/>
  <c r="K81" i="17" l="1"/>
  <c r="J81" i="17"/>
  <c r="G87" i="17"/>
  <c r="L79" i="17"/>
  <c r="L77" i="17"/>
  <c r="L78" i="17"/>
  <c r="L80" i="17"/>
  <c r="L84" i="17"/>
  <c r="L48" i="17"/>
  <c r="C75" i="17"/>
  <c r="G77" i="17" l="1"/>
  <c r="I77" i="17" l="1"/>
  <c r="H77" i="17"/>
  <c r="G67" i="17"/>
  <c r="G43" i="17"/>
  <c r="G29" i="17"/>
  <c r="G11" i="17"/>
  <c r="L12" i="17"/>
  <c r="K77" i="17" l="1"/>
  <c r="G88" i="17"/>
  <c r="F106" i="37"/>
  <c r="J77" i="17"/>
  <c r="G68" i="17"/>
  <c r="G44" i="17"/>
  <c r="G30" i="17"/>
  <c r="F259" i="24" l="1"/>
  <c r="F260" i="24"/>
  <c r="J19" i="24" l="1"/>
  <c r="K19" i="24"/>
  <c r="C237" i="24"/>
  <c r="C328" i="5" s="1"/>
  <c r="C252" i="24"/>
  <c r="C357" i="5" s="1"/>
  <c r="H260" i="24"/>
  <c r="F266" i="24"/>
  <c r="F265" i="24"/>
  <c r="F264" i="24"/>
  <c r="F263" i="24"/>
  <c r="F262" i="24"/>
  <c r="F261" i="24"/>
  <c r="L259" i="24"/>
  <c r="F382" i="5" l="1"/>
  <c r="B256" i="24"/>
  <c r="H242" i="24" l="1"/>
  <c r="C323" i="5"/>
  <c r="C142" i="24"/>
  <c r="F104" i="24"/>
  <c r="C185" i="5" l="1"/>
  <c r="C182" i="5"/>
  <c r="E422" i="3"/>
  <c r="H245" i="24" l="1"/>
  <c r="C254" i="24"/>
  <c r="C359" i="5" s="1"/>
  <c r="C253" i="24"/>
  <c r="C358" i="5" s="1"/>
  <c r="D67" i="17" l="1"/>
  <c r="C84" i="17" l="1"/>
  <c r="F114" i="4" s="1"/>
  <c r="B115" i="37" l="1"/>
  <c r="B132" i="37"/>
  <c r="B14" i="37"/>
  <c r="B36" i="37" s="1"/>
  <c r="B150" i="37"/>
  <c r="B231" i="24" l="1"/>
  <c r="B142" i="24"/>
  <c r="B160" i="24"/>
  <c r="B141" i="24"/>
  <c r="E164" i="3" l="1"/>
  <c r="G413" i="3" l="1"/>
  <c r="G414" i="3"/>
  <c r="G412" i="3"/>
  <c r="H413" i="3"/>
  <c r="H414" i="3"/>
  <c r="H412" i="3"/>
  <c r="F230" i="24"/>
  <c r="E412" i="3" l="1"/>
  <c r="E414" i="3"/>
  <c r="E413" i="3"/>
  <c r="C202" i="20" l="1"/>
  <c r="C110" i="24" l="1"/>
  <c r="N331" i="3"/>
  <c r="B252" i="24" l="1"/>
  <c r="L260" i="24" l="1"/>
  <c r="L261" i="24"/>
  <c r="L262" i="24"/>
  <c r="L263" i="24"/>
  <c r="L264" i="24"/>
  <c r="L265" i="24"/>
  <c r="L266" i="24"/>
  <c r="B254" i="24"/>
  <c r="B253" i="24"/>
  <c r="C77" i="17" l="1"/>
  <c r="C76" i="17"/>
  <c r="F106" i="4" s="1"/>
  <c r="B7" i="37" l="1"/>
  <c r="B29" i="37" s="1"/>
  <c r="F107" i="4"/>
  <c r="B6" i="37"/>
  <c r="B28" i="37" s="1"/>
  <c r="B142" i="37"/>
  <c r="B124" i="37"/>
  <c r="B125" i="37"/>
  <c r="B143" i="37"/>
  <c r="B107" i="37"/>
  <c r="B108" i="37"/>
  <c r="G67" i="25" l="1"/>
  <c r="H106" i="24" l="1"/>
  <c r="R106" i="24"/>
  <c r="B32" i="24"/>
  <c r="B30" i="24"/>
  <c r="B83" i="24"/>
  <c r="AK83" i="24"/>
  <c r="F247" i="24" l="1"/>
  <c r="C79" i="17"/>
  <c r="C80" i="17"/>
  <c r="C81" i="17"/>
  <c r="C83" i="17"/>
  <c r="F113" i="4" s="1"/>
  <c r="C78" i="17"/>
  <c r="B8" i="37" l="1"/>
  <c r="B30" i="37" s="1"/>
  <c r="F108" i="4"/>
  <c r="B10" i="37"/>
  <c r="B32" i="37" s="1"/>
  <c r="F110" i="4"/>
  <c r="B11" i="37"/>
  <c r="B33" i="37" s="1"/>
  <c r="F111" i="4"/>
  <c r="B9" i="37"/>
  <c r="B31" i="37" s="1"/>
  <c r="F109" i="4"/>
  <c r="B149" i="37"/>
  <c r="B13" i="37"/>
  <c r="B35" i="37" s="1"/>
  <c r="B126" i="37"/>
  <c r="B144" i="37"/>
  <c r="B129" i="37"/>
  <c r="B147" i="37"/>
  <c r="B128" i="37"/>
  <c r="B146" i="37"/>
  <c r="B131" i="37"/>
  <c r="B127" i="37"/>
  <c r="B145" i="37"/>
  <c r="B109" i="37"/>
  <c r="B114" i="37"/>
  <c r="B112" i="37"/>
  <c r="B111" i="37"/>
  <c r="B110" i="37"/>
  <c r="G55" i="25" l="1"/>
  <c r="E424" i="3" l="1"/>
  <c r="E423" i="3"/>
  <c r="B114" i="24"/>
  <c r="B113" i="24"/>
  <c r="B112" i="24"/>
  <c r="B234" i="24"/>
  <c r="B233" i="24"/>
  <c r="B237" i="24"/>
  <c r="L108" i="24"/>
  <c r="L107" i="24"/>
  <c r="L106" i="24"/>
  <c r="L105" i="24"/>
  <c r="L104" i="24"/>
  <c r="R108" i="24"/>
  <c r="P108" i="24"/>
  <c r="N108" i="24"/>
  <c r="J243" i="24"/>
  <c r="K243" i="24"/>
  <c r="K242" i="24"/>
  <c r="J242" i="24"/>
  <c r="I243" i="24"/>
  <c r="I242" i="24"/>
  <c r="H243" i="24"/>
  <c r="G243" i="24"/>
  <c r="G242" i="24"/>
  <c r="F243" i="24"/>
  <c r="F242" i="24"/>
  <c r="B243" i="24"/>
  <c r="B242" i="24"/>
  <c r="B241" i="24"/>
  <c r="V103" i="24"/>
  <c r="J240" i="24"/>
  <c r="K240" i="24"/>
  <c r="K239" i="24"/>
  <c r="J239" i="24"/>
  <c r="I240" i="24"/>
  <c r="I239" i="24"/>
  <c r="H240" i="24"/>
  <c r="H239" i="24"/>
  <c r="G240" i="24"/>
  <c r="F240" i="24"/>
  <c r="G239" i="24"/>
  <c r="F239" i="24"/>
  <c r="B240" i="24"/>
  <c r="B239" i="24"/>
  <c r="B238" i="24"/>
  <c r="L239" i="24" l="1"/>
  <c r="N239" i="24" s="1"/>
  <c r="C239" i="24" s="1"/>
  <c r="C332" i="5" s="1"/>
  <c r="L240" i="24"/>
  <c r="N240" i="24" s="1"/>
  <c r="L243" i="24"/>
  <c r="C243" i="24" s="1"/>
  <c r="C342" i="5" s="1"/>
  <c r="L242" i="24"/>
  <c r="C242" i="24" s="1"/>
  <c r="C339" i="5" s="1"/>
  <c r="C240" i="24" l="1"/>
  <c r="C335" i="5" s="1"/>
  <c r="N371" i="3" l="1"/>
  <c r="N310" i="3"/>
  <c r="D13" i="24"/>
  <c r="B9" i="24" l="1"/>
  <c r="G57" i="25" l="1"/>
  <c r="G56" i="25" l="1"/>
  <c r="G58" i="25"/>
  <c r="H57" i="25" l="1"/>
  <c r="H56" i="25"/>
  <c r="H58" i="25"/>
  <c r="D125" i="3"/>
  <c r="D121" i="3"/>
  <c r="D126" i="3"/>
  <c r="D130" i="3"/>
  <c r="D120" i="3"/>
  <c r="D131" i="3"/>
  <c r="C241" i="3" l="1"/>
  <c r="C240" i="3"/>
  <c r="C172" i="3"/>
  <c r="C218" i="3"/>
  <c r="C173" i="3"/>
  <c r="C217" i="3"/>
  <c r="C264" i="3"/>
  <c r="C263" i="3"/>
  <c r="C187" i="3"/>
  <c r="C255" i="3"/>
  <c r="C230" i="3"/>
  <c r="C254" i="3"/>
  <c r="C185" i="3"/>
  <c r="C253" i="3"/>
  <c r="C256" i="3"/>
  <c r="C278" i="3"/>
  <c r="C276" i="3"/>
  <c r="C279" i="3"/>
  <c r="C252" i="3"/>
  <c r="C233" i="3"/>
  <c r="C184" i="3"/>
  <c r="C275" i="3"/>
  <c r="C232" i="3"/>
  <c r="C186" i="3"/>
  <c r="C231" i="3"/>
  <c r="C188" i="3"/>
  <c r="C277" i="3"/>
  <c r="C229" i="3"/>
  <c r="C250" i="3"/>
  <c r="C251" i="3"/>
  <c r="C182" i="3"/>
  <c r="C228" i="3"/>
  <c r="C183" i="3"/>
  <c r="C227" i="3"/>
  <c r="C274" i="3"/>
  <c r="C273" i="3"/>
  <c r="C244" i="3"/>
  <c r="C221" i="3"/>
  <c r="C267" i="3"/>
  <c r="C176" i="3"/>
  <c r="F100" i="4"/>
  <c r="E61" i="30" l="1"/>
  <c r="F61" i="30"/>
  <c r="G61" i="30"/>
  <c r="H61" i="30"/>
  <c r="I61" i="30"/>
  <c r="J61" i="30"/>
  <c r="K61" i="30"/>
  <c r="J91" i="30" l="1"/>
  <c r="AB10" i="25"/>
  <c r="AB27" i="25" s="1"/>
  <c r="E75" i="5"/>
  <c r="F23" i="8"/>
  <c r="F80" i="30"/>
  <c r="G80" i="30"/>
  <c r="H80" i="30"/>
  <c r="I80" i="30"/>
  <c r="J80" i="30"/>
  <c r="K80" i="30"/>
  <c r="E67" i="30"/>
  <c r="E43" i="30"/>
  <c r="D96" i="30"/>
  <c r="F96" i="30"/>
  <c r="D72" i="30"/>
  <c r="D48" i="30"/>
  <c r="F85" i="30"/>
  <c r="G85" i="30"/>
  <c r="H85" i="30"/>
  <c r="I85" i="30"/>
  <c r="J85" i="30"/>
  <c r="K85" i="30"/>
  <c r="E85" i="30"/>
  <c r="E80" i="30"/>
  <c r="F56" i="30"/>
  <c r="G56" i="30"/>
  <c r="H56" i="30"/>
  <c r="I56" i="30"/>
  <c r="J56" i="30"/>
  <c r="K56" i="30"/>
  <c r="E56" i="30"/>
  <c r="F95" i="30"/>
  <c r="I29" i="30"/>
  <c r="D95" i="30"/>
  <c r="D71" i="30"/>
  <c r="D47" i="30"/>
  <c r="M70" i="30"/>
  <c r="E29" i="30"/>
  <c r="M46" i="30"/>
  <c r="E58" i="30"/>
  <c r="E53" i="30"/>
  <c r="E82" i="30"/>
  <c r="E77" i="30"/>
  <c r="E111" i="30"/>
  <c r="D112" i="30"/>
  <c r="D102" i="30"/>
  <c r="E101" i="30"/>
  <c r="D152" i="3"/>
  <c r="C152" i="3" s="1"/>
  <c r="G28" i="24"/>
  <c r="F28" i="24"/>
  <c r="H141" i="3"/>
  <c r="F177" i="3"/>
  <c r="D177" i="3" s="1"/>
  <c r="C177" i="3" s="1"/>
  <c r="F179" i="3"/>
  <c r="D179" i="3" s="1"/>
  <c r="F189" i="3"/>
  <c r="D189" i="3" s="1"/>
  <c r="F171" i="3"/>
  <c r="D171" i="3" s="1"/>
  <c r="F180" i="3"/>
  <c r="D180" i="3" s="1"/>
  <c r="F191" i="3"/>
  <c r="D191" i="3" s="1"/>
  <c r="F190" i="3"/>
  <c r="D190" i="3" s="1"/>
  <c r="F178" i="3"/>
  <c r="D178" i="3" s="1"/>
  <c r="C178" i="3" s="1"/>
  <c r="F175" i="3"/>
  <c r="D175" i="3" s="1"/>
  <c r="F174" i="3"/>
  <c r="D174" i="3" s="1"/>
  <c r="F192" i="3"/>
  <c r="D192" i="3" s="1"/>
  <c r="F181" i="3"/>
  <c r="D181" i="3" s="1"/>
  <c r="J14" i="24"/>
  <c r="F16" i="24"/>
  <c r="AA22" i="25"/>
  <c r="D161" i="3"/>
  <c r="C161" i="3" s="1"/>
  <c r="F236" i="3"/>
  <c r="D236" i="3" s="1"/>
  <c r="F17" i="3"/>
  <c r="D17" i="3" s="1"/>
  <c r="F257" i="3"/>
  <c r="D257" i="3" s="1"/>
  <c r="G13" i="24"/>
  <c r="F13" i="24"/>
  <c r="N14" i="24"/>
  <c r="B13" i="24"/>
  <c r="C80" i="24"/>
  <c r="F15" i="4"/>
  <c r="F14" i="4"/>
  <c r="F13" i="4"/>
  <c r="F12" i="4"/>
  <c r="F11" i="4"/>
  <c r="F10" i="4"/>
  <c r="F9" i="4"/>
  <c r="F43" i="24"/>
  <c r="O65" i="20"/>
  <c r="O80" i="20"/>
  <c r="B80" i="20"/>
  <c r="B65" i="20"/>
  <c r="O10" i="20"/>
  <c r="B10" i="20"/>
  <c r="I10" i="20"/>
  <c r="F103" i="4"/>
  <c r="F99" i="4"/>
  <c r="F55" i="4"/>
  <c r="F42" i="4"/>
  <c r="F28" i="4"/>
  <c r="F27" i="4"/>
  <c r="G10" i="4"/>
  <c r="D11" i="17"/>
  <c r="C106" i="37" s="1"/>
  <c r="C11" i="16"/>
  <c r="C11" i="15"/>
  <c r="K12" i="14"/>
  <c r="G12" i="14"/>
  <c r="C12" i="14"/>
  <c r="C10" i="13"/>
  <c r="BD11" i="6"/>
  <c r="AX11" i="6"/>
  <c r="AR11" i="6"/>
  <c r="AF11" i="6"/>
  <c r="Z11" i="6"/>
  <c r="T11" i="6"/>
  <c r="N11" i="6"/>
  <c r="B11" i="6"/>
  <c r="BF96" i="6"/>
  <c r="BE96" i="6"/>
  <c r="BG95" i="6"/>
  <c r="BF95" i="6"/>
  <c r="BE95" i="6"/>
  <c r="BG94" i="6"/>
  <c r="BF94" i="6"/>
  <c r="BE94" i="6"/>
  <c r="BG93" i="6"/>
  <c r="BF93" i="6"/>
  <c r="BE93" i="6"/>
  <c r="BF87" i="6"/>
  <c r="BE87" i="6"/>
  <c r="BF86" i="6"/>
  <c r="BE86" i="6"/>
  <c r="BF85" i="6"/>
  <c r="BE85" i="6"/>
  <c r="BF84" i="6"/>
  <c r="BE84" i="6"/>
  <c r="BG82" i="6"/>
  <c r="E29" i="13" s="1"/>
  <c r="F24" i="17" s="1"/>
  <c r="L24" i="17" s="1"/>
  <c r="BG81" i="6"/>
  <c r="BG80" i="6"/>
  <c r="BF63" i="6"/>
  <c r="BE63" i="6"/>
  <c r="BG62" i="6"/>
  <c r="BF62" i="6"/>
  <c r="BE62" i="6"/>
  <c r="BG61" i="6"/>
  <c r="BF61" i="6"/>
  <c r="BE61" i="6"/>
  <c r="BG60" i="6"/>
  <c r="BF60" i="6"/>
  <c r="BE60" i="6"/>
  <c r="BF54" i="6"/>
  <c r="BE54" i="6"/>
  <c r="BF53" i="6"/>
  <c r="BE53" i="6"/>
  <c r="BF52" i="6"/>
  <c r="BE52" i="6"/>
  <c r="BF51" i="6"/>
  <c r="BE51" i="6"/>
  <c r="BG49" i="6"/>
  <c r="D29" i="13" s="1"/>
  <c r="E24" i="17" s="1"/>
  <c r="BG48" i="6"/>
  <c r="BG47" i="6"/>
  <c r="BF29" i="6"/>
  <c r="BE29" i="6"/>
  <c r="BE27" i="6"/>
  <c r="BF27" i="6"/>
  <c r="BG27" i="6"/>
  <c r="BE28" i="6"/>
  <c r="BF28" i="6"/>
  <c r="BG28" i="6"/>
  <c r="BF26" i="6"/>
  <c r="BG26" i="6"/>
  <c r="BE26" i="6"/>
  <c r="BE18" i="6"/>
  <c r="BF18" i="6"/>
  <c r="BE19" i="6"/>
  <c r="BF19" i="6"/>
  <c r="BE20" i="6"/>
  <c r="BF20" i="6"/>
  <c r="BF17" i="6"/>
  <c r="BE17" i="6"/>
  <c r="BG14" i="6"/>
  <c r="BG15" i="6"/>
  <c r="C29" i="13" s="1"/>
  <c r="D24" i="17" s="1"/>
  <c r="BG13" i="6"/>
  <c r="AZ96" i="6"/>
  <c r="AY96" i="6"/>
  <c r="BA95" i="6"/>
  <c r="AZ95" i="6"/>
  <c r="AY95" i="6"/>
  <c r="BA94" i="6"/>
  <c r="AZ94" i="6"/>
  <c r="AY94" i="6"/>
  <c r="BA93" i="6"/>
  <c r="AZ93" i="6"/>
  <c r="AY93" i="6"/>
  <c r="BA90" i="6"/>
  <c r="AZ90" i="6"/>
  <c r="AY90" i="6"/>
  <c r="AZ88" i="6"/>
  <c r="AY88" i="6"/>
  <c r="AZ87" i="6"/>
  <c r="AY87" i="6"/>
  <c r="AZ86" i="6"/>
  <c r="AY86" i="6"/>
  <c r="AZ85" i="6"/>
  <c r="AY85" i="6"/>
  <c r="AZ84" i="6"/>
  <c r="AY84" i="6"/>
  <c r="BA82" i="6"/>
  <c r="E28" i="13" s="1"/>
  <c r="F23" i="17" s="1"/>
  <c r="BA81" i="6"/>
  <c r="BA80" i="6"/>
  <c r="AZ51" i="6"/>
  <c r="AZ63" i="6"/>
  <c r="AY63" i="6"/>
  <c r="BA62" i="6"/>
  <c r="AZ62" i="6"/>
  <c r="AY62" i="6"/>
  <c r="BA61" i="6"/>
  <c r="AZ61" i="6"/>
  <c r="AY61" i="6"/>
  <c r="BA60" i="6"/>
  <c r="AZ60" i="6"/>
  <c r="AY60" i="6"/>
  <c r="BA57" i="6"/>
  <c r="AZ57" i="6"/>
  <c r="AY57" i="6"/>
  <c r="AZ55" i="6"/>
  <c r="AY55" i="6"/>
  <c r="AZ54" i="6"/>
  <c r="AY54" i="6"/>
  <c r="AZ53" i="6"/>
  <c r="AY53" i="6"/>
  <c r="AZ52" i="6"/>
  <c r="AY52" i="6"/>
  <c r="AY51" i="6"/>
  <c r="BA49" i="6"/>
  <c r="D28" i="13" s="1"/>
  <c r="E23" i="17" s="1"/>
  <c r="BA48" i="6"/>
  <c r="BA47" i="6"/>
  <c r="AZ29" i="6"/>
  <c r="AY29" i="6"/>
  <c r="AY27" i="6"/>
  <c r="AZ27" i="6"/>
  <c r="BA27" i="6"/>
  <c r="AY28" i="6"/>
  <c r="AZ28" i="6"/>
  <c r="BA28" i="6"/>
  <c r="AZ26" i="6"/>
  <c r="BA26" i="6"/>
  <c r="AY26" i="6"/>
  <c r="AZ23" i="6"/>
  <c r="BA23" i="6"/>
  <c r="AY23" i="6"/>
  <c r="AY18" i="6"/>
  <c r="AZ18" i="6"/>
  <c r="AY19" i="6"/>
  <c r="AZ19" i="6"/>
  <c r="AY20" i="6"/>
  <c r="AZ20" i="6"/>
  <c r="AY21" i="6"/>
  <c r="AZ21" i="6"/>
  <c r="AZ17" i="6"/>
  <c r="AY17" i="6"/>
  <c r="BA14" i="6"/>
  <c r="BA15" i="6"/>
  <c r="C28" i="13" s="1"/>
  <c r="D23" i="17" s="1"/>
  <c r="BA13" i="6"/>
  <c r="AG105" i="6"/>
  <c r="AG104" i="6"/>
  <c r="S28" i="14" s="1"/>
  <c r="E28" i="14" s="1"/>
  <c r="AG100" i="6"/>
  <c r="S21" i="14" s="1"/>
  <c r="AG99" i="6"/>
  <c r="AI96" i="6"/>
  <c r="AH96" i="6"/>
  <c r="AG96" i="6"/>
  <c r="AI95" i="6"/>
  <c r="AH95" i="6"/>
  <c r="AG95" i="6"/>
  <c r="AI94" i="6"/>
  <c r="AH94" i="6"/>
  <c r="AG94" i="6"/>
  <c r="AI93" i="6"/>
  <c r="AH93" i="6"/>
  <c r="AG93" i="6"/>
  <c r="AI90" i="6"/>
  <c r="AA17" i="14" s="1"/>
  <c r="M17" i="14" s="1"/>
  <c r="AH90" i="6"/>
  <c r="W17" i="14" s="1"/>
  <c r="I17" i="14" s="1"/>
  <c r="AG90" i="6"/>
  <c r="S17" i="14" s="1"/>
  <c r="E17" i="14" s="1"/>
  <c r="AI88" i="6"/>
  <c r="BA88" i="6" s="1"/>
  <c r="AH88" i="6"/>
  <c r="AG88" i="6"/>
  <c r="AI87" i="6"/>
  <c r="AH87" i="6"/>
  <c r="AG87" i="6"/>
  <c r="AI86" i="6"/>
  <c r="AH86" i="6"/>
  <c r="AG86" i="6"/>
  <c r="AI85" i="6"/>
  <c r="AH85" i="6"/>
  <c r="AG85" i="6"/>
  <c r="AI84" i="6"/>
  <c r="AH84" i="6"/>
  <c r="AG84" i="6"/>
  <c r="AI82" i="6"/>
  <c r="AI81" i="6"/>
  <c r="AI80" i="6"/>
  <c r="AG72" i="6"/>
  <c r="AG71" i="6"/>
  <c r="R28" i="14" s="1"/>
  <c r="D28" i="14" s="1"/>
  <c r="AG67" i="6"/>
  <c r="R21" i="14" s="1"/>
  <c r="AG66" i="6"/>
  <c r="AI63" i="6"/>
  <c r="AH63" i="6"/>
  <c r="AG63" i="6"/>
  <c r="AI62" i="6"/>
  <c r="AH62" i="6"/>
  <c r="AG62" i="6"/>
  <c r="AI61" i="6"/>
  <c r="AH61" i="6"/>
  <c r="AG61" i="6"/>
  <c r="AI60" i="6"/>
  <c r="AH60" i="6"/>
  <c r="AG60" i="6"/>
  <c r="AI57" i="6"/>
  <c r="AH57" i="6"/>
  <c r="V17" i="14" s="1"/>
  <c r="H17" i="14" s="1"/>
  <c r="AG57" i="6"/>
  <c r="R17" i="14" s="1"/>
  <c r="D17" i="14" s="1"/>
  <c r="AI55" i="6"/>
  <c r="BA55" i="6" s="1"/>
  <c r="AH55" i="6"/>
  <c r="AG55" i="6"/>
  <c r="AI54" i="6"/>
  <c r="AH54" i="6"/>
  <c r="AG54" i="6"/>
  <c r="AI53" i="6"/>
  <c r="AH53" i="6"/>
  <c r="AG53" i="6"/>
  <c r="AI52" i="6"/>
  <c r="AH52" i="6"/>
  <c r="AG52" i="6"/>
  <c r="AI51" i="6"/>
  <c r="AH51" i="6"/>
  <c r="AG51" i="6"/>
  <c r="AI49" i="6"/>
  <c r="AI48" i="6"/>
  <c r="AI47" i="6"/>
  <c r="AI34" i="6"/>
  <c r="AG27" i="6"/>
  <c r="AH27" i="6"/>
  <c r="AI27" i="6"/>
  <c r="AG28" i="6"/>
  <c r="AH28" i="6"/>
  <c r="AI28" i="6"/>
  <c r="AG29" i="6"/>
  <c r="AH29" i="6"/>
  <c r="AI29" i="6"/>
  <c r="AH26" i="6"/>
  <c r="AI26" i="6"/>
  <c r="AG26" i="6"/>
  <c r="AH23" i="6"/>
  <c r="U17" i="14" s="1"/>
  <c r="G17" i="14" s="1"/>
  <c r="AI23" i="6"/>
  <c r="Y17" i="14" s="1"/>
  <c r="K17" i="14" s="1"/>
  <c r="AG23" i="6"/>
  <c r="Q17" i="14" s="1"/>
  <c r="C17" i="14" s="1"/>
  <c r="AG18" i="6"/>
  <c r="AH18" i="6"/>
  <c r="AI18" i="6"/>
  <c r="AG19" i="6"/>
  <c r="AH19" i="6"/>
  <c r="AI19" i="6"/>
  <c r="AG20" i="6"/>
  <c r="G30" i="4" s="1"/>
  <c r="AH20" i="6"/>
  <c r="AI20" i="6"/>
  <c r="AG21" i="6"/>
  <c r="AH21" i="6"/>
  <c r="AI21" i="6"/>
  <c r="BA21" i="6" s="1"/>
  <c r="AS96" i="6"/>
  <c r="AT96" i="6"/>
  <c r="AS94" i="6"/>
  <c r="AT94" i="6"/>
  <c r="AU94" i="6"/>
  <c r="AS95" i="6"/>
  <c r="AT95" i="6"/>
  <c r="AU95" i="6"/>
  <c r="AT93" i="6"/>
  <c r="AU93" i="6"/>
  <c r="AS93" i="6"/>
  <c r="AT84" i="6"/>
  <c r="AT85" i="6"/>
  <c r="AT86" i="6"/>
  <c r="AT87" i="6"/>
  <c r="AS85" i="6"/>
  <c r="AS86" i="6"/>
  <c r="AS87" i="6"/>
  <c r="AS84" i="6"/>
  <c r="AU81" i="6"/>
  <c r="AU82" i="6"/>
  <c r="E27" i="13" s="1"/>
  <c r="F22" i="17" s="1"/>
  <c r="AU80" i="6"/>
  <c r="AT63" i="6"/>
  <c r="AS63" i="6"/>
  <c r="AS61" i="6"/>
  <c r="AT61" i="6"/>
  <c r="AU61" i="6"/>
  <c r="AS62" i="6"/>
  <c r="AT62" i="6"/>
  <c r="AU62" i="6"/>
  <c r="AT60" i="6"/>
  <c r="AU60" i="6"/>
  <c r="AS60" i="6"/>
  <c r="AS52" i="6"/>
  <c r="AT52" i="6"/>
  <c r="AS53" i="6"/>
  <c r="AT53" i="6"/>
  <c r="AS54" i="6"/>
  <c r="AT54" i="6"/>
  <c r="AT51" i="6"/>
  <c r="AS51" i="6"/>
  <c r="AU48" i="6"/>
  <c r="D27" i="13"/>
  <c r="E22" i="17" s="1"/>
  <c r="AU47" i="6"/>
  <c r="AT29" i="6"/>
  <c r="AS29" i="6"/>
  <c r="AS27" i="6"/>
  <c r="AT27" i="6"/>
  <c r="AU27" i="6"/>
  <c r="AS28" i="6"/>
  <c r="AT28" i="6"/>
  <c r="AU28" i="6"/>
  <c r="AT26" i="6"/>
  <c r="AU26" i="6"/>
  <c r="AS26" i="6"/>
  <c r="C27" i="13"/>
  <c r="D22" i="17" s="1"/>
  <c r="AU14" i="6"/>
  <c r="AU13" i="6"/>
  <c r="AS18" i="6"/>
  <c r="AT18" i="6"/>
  <c r="AS19" i="6"/>
  <c r="AT19" i="6"/>
  <c r="AS20" i="6"/>
  <c r="AT20" i="6"/>
  <c r="AT17" i="6"/>
  <c r="AS17" i="6"/>
  <c r="AH17" i="6"/>
  <c r="AI17" i="6"/>
  <c r="AG17" i="6"/>
  <c r="AI14" i="6"/>
  <c r="AI15" i="6"/>
  <c r="AI13" i="6"/>
  <c r="C11" i="13" s="1"/>
  <c r="G44" i="4"/>
  <c r="B159" i="24"/>
  <c r="B158" i="24"/>
  <c r="B157" i="24"/>
  <c r="B156" i="24"/>
  <c r="B155" i="24"/>
  <c r="B154" i="24"/>
  <c r="B153" i="24"/>
  <c r="B152" i="24"/>
  <c r="B151" i="24"/>
  <c r="B150" i="24"/>
  <c r="B149" i="24"/>
  <c r="B148" i="24"/>
  <c r="B147" i="24"/>
  <c r="B146" i="24"/>
  <c r="B145" i="24"/>
  <c r="B144" i="24"/>
  <c r="B143" i="24"/>
  <c r="B111" i="24"/>
  <c r="B110" i="24"/>
  <c r="B109" i="24"/>
  <c r="B108" i="24"/>
  <c r="B107" i="24"/>
  <c r="B106" i="24"/>
  <c r="B105" i="24"/>
  <c r="B104" i="24"/>
  <c r="B103" i="24"/>
  <c r="B78" i="24"/>
  <c r="B77" i="24"/>
  <c r="B76" i="24"/>
  <c r="B75" i="24"/>
  <c r="B67" i="24"/>
  <c r="B66" i="24"/>
  <c r="B65" i="24"/>
  <c r="B64" i="24"/>
  <c r="B63" i="24"/>
  <c r="B62" i="24"/>
  <c r="B61" i="24"/>
  <c r="B58" i="24"/>
  <c r="B35" i="24"/>
  <c r="B34" i="24"/>
  <c r="B14" i="24"/>
  <c r="B12" i="24"/>
  <c r="E12" i="3"/>
  <c r="BD78" i="6"/>
  <c r="AX78" i="6"/>
  <c r="AR78" i="6"/>
  <c r="AF78" i="6"/>
  <c r="Z78" i="6"/>
  <c r="T78" i="6"/>
  <c r="N78" i="6"/>
  <c r="B76" i="6"/>
  <c r="BD45" i="6"/>
  <c r="AX45" i="6"/>
  <c r="AR45" i="6"/>
  <c r="AF45" i="6"/>
  <c r="Z45" i="6"/>
  <c r="B43" i="6"/>
  <c r="H15" i="24"/>
  <c r="F15" i="24"/>
  <c r="E135" i="3"/>
  <c r="C140" i="24"/>
  <c r="F217" i="5"/>
  <c r="F218" i="5"/>
  <c r="F216" i="5"/>
  <c r="C157" i="24"/>
  <c r="C216" i="5" s="1"/>
  <c r="C158" i="24"/>
  <c r="C217" i="5" s="1"/>
  <c r="C159" i="24"/>
  <c r="C218" i="5" s="1"/>
  <c r="F213" i="5"/>
  <c r="F214" i="5"/>
  <c r="F212" i="5"/>
  <c r="C155" i="24"/>
  <c r="C213" i="5" s="1"/>
  <c r="C156" i="24"/>
  <c r="C214" i="5" s="1"/>
  <c r="C154" i="24"/>
  <c r="C212" i="5" s="1"/>
  <c r="F209" i="5"/>
  <c r="F210" i="5"/>
  <c r="F208" i="5"/>
  <c r="F201" i="5"/>
  <c r="F202" i="5"/>
  <c r="F200" i="5"/>
  <c r="C152" i="24"/>
  <c r="C209" i="5" s="1"/>
  <c r="C153" i="24"/>
  <c r="C210" i="5" s="1"/>
  <c r="C151" i="24"/>
  <c r="C208" i="5" s="1"/>
  <c r="C149" i="24"/>
  <c r="C201" i="5" s="1"/>
  <c r="C150" i="24"/>
  <c r="C202" i="5" s="1"/>
  <c r="C148" i="24"/>
  <c r="C200" i="5" s="1"/>
  <c r="F197" i="5"/>
  <c r="F198" i="5"/>
  <c r="F196" i="5"/>
  <c r="C147" i="24"/>
  <c r="C198" i="5" s="1"/>
  <c r="C146" i="24"/>
  <c r="C197" i="5" s="1"/>
  <c r="C145" i="24"/>
  <c r="C196" i="5" s="1"/>
  <c r="E77" i="5"/>
  <c r="G19" i="24"/>
  <c r="I260" i="24"/>
  <c r="I261" i="24"/>
  <c r="I262" i="24"/>
  <c r="I263" i="24"/>
  <c r="I264" i="24"/>
  <c r="I265" i="24"/>
  <c r="I266" i="24"/>
  <c r="I259" i="24"/>
  <c r="J260" i="24"/>
  <c r="H261" i="24"/>
  <c r="J261" i="24" s="1"/>
  <c r="H262" i="24"/>
  <c r="J262" i="24" s="1"/>
  <c r="H263" i="24"/>
  <c r="J263" i="24" s="1"/>
  <c r="H264" i="24"/>
  <c r="J264" i="24" s="1"/>
  <c r="H265" i="24"/>
  <c r="J265" i="24" s="1"/>
  <c r="H266" i="24"/>
  <c r="J266" i="24" s="1"/>
  <c r="H259" i="24"/>
  <c r="J259" i="24" s="1"/>
  <c r="B259" i="24"/>
  <c r="G157" i="3"/>
  <c r="G54" i="4"/>
  <c r="G53" i="4"/>
  <c r="G46" i="24"/>
  <c r="I19" i="24"/>
  <c r="G248" i="24"/>
  <c r="B140" i="24"/>
  <c r="B139" i="24"/>
  <c r="E167" i="3"/>
  <c r="G70" i="4"/>
  <c r="E85" i="5"/>
  <c r="E83" i="5"/>
  <c r="E82" i="5"/>
  <c r="E81" i="5"/>
  <c r="G265" i="3"/>
  <c r="G266" i="3"/>
  <c r="G268" i="3"/>
  <c r="G269" i="3"/>
  <c r="G270" i="3"/>
  <c r="G271" i="3"/>
  <c r="G272" i="3"/>
  <c r="G280" i="3"/>
  <c r="G281" i="3"/>
  <c r="G282" i="3"/>
  <c r="G283" i="3"/>
  <c r="G262" i="3"/>
  <c r="F265" i="3"/>
  <c r="E64" i="24"/>
  <c r="H269" i="3" s="1"/>
  <c r="F269" i="3" s="1"/>
  <c r="E65" i="24"/>
  <c r="H270" i="3" s="1"/>
  <c r="F271" i="3"/>
  <c r="F281" i="3"/>
  <c r="E77" i="24"/>
  <c r="H282" i="3" s="1"/>
  <c r="E78" i="24"/>
  <c r="H283" i="3" s="1"/>
  <c r="E58" i="24"/>
  <c r="H262" i="3" s="1"/>
  <c r="F262" i="3" s="1"/>
  <c r="I64" i="24"/>
  <c r="I65" i="24"/>
  <c r="I77" i="24"/>
  <c r="I78" i="24"/>
  <c r="I58" i="24"/>
  <c r="H64" i="24"/>
  <c r="C64" i="24" s="1"/>
  <c r="E269" i="3" s="1"/>
  <c r="H77" i="24"/>
  <c r="H78" i="24"/>
  <c r="H58" i="24"/>
  <c r="G64" i="24"/>
  <c r="G65" i="24"/>
  <c r="G77" i="24"/>
  <c r="G78" i="24"/>
  <c r="G58" i="24"/>
  <c r="F78" i="24"/>
  <c r="F77" i="24"/>
  <c r="F58" i="24"/>
  <c r="B40" i="24"/>
  <c r="B41" i="24"/>
  <c r="B44" i="24"/>
  <c r="B43" i="24"/>
  <c r="B45" i="24"/>
  <c r="B46" i="24"/>
  <c r="B56" i="24"/>
  <c r="B57" i="24"/>
  <c r="B37" i="24"/>
  <c r="G214" i="3"/>
  <c r="G213" i="3"/>
  <c r="G204" i="3"/>
  <c r="G203" i="3"/>
  <c r="G202" i="3"/>
  <c r="I57" i="24"/>
  <c r="H57" i="24"/>
  <c r="G57" i="24"/>
  <c r="F57" i="24"/>
  <c r="E57" i="24"/>
  <c r="H214" i="3" s="1"/>
  <c r="I47" i="24"/>
  <c r="G47" i="24"/>
  <c r="E47" i="24"/>
  <c r="H204" i="3" s="1"/>
  <c r="H46" i="24"/>
  <c r="I46" i="24"/>
  <c r="E46" i="24"/>
  <c r="H203" i="3" s="1"/>
  <c r="G201" i="3"/>
  <c r="G200" i="3"/>
  <c r="G198" i="3"/>
  <c r="G197" i="3"/>
  <c r="E56" i="24"/>
  <c r="E43" i="24"/>
  <c r="H200" i="3" s="1"/>
  <c r="E44" i="24"/>
  <c r="H201" i="3" s="1"/>
  <c r="E41" i="24"/>
  <c r="E40" i="24"/>
  <c r="H197" i="3" s="1"/>
  <c r="E37" i="24"/>
  <c r="G194" i="3"/>
  <c r="F56" i="24"/>
  <c r="I56" i="24"/>
  <c r="I43" i="24"/>
  <c r="I44" i="24"/>
  <c r="I41" i="24"/>
  <c r="I40" i="24"/>
  <c r="I37" i="24"/>
  <c r="F41" i="24"/>
  <c r="F40" i="24"/>
  <c r="F37" i="24"/>
  <c r="B36" i="24"/>
  <c r="E168" i="3"/>
  <c r="D12" i="3"/>
  <c r="C12" i="3"/>
  <c r="E93" i="5"/>
  <c r="E70" i="5"/>
  <c r="I248" i="24"/>
  <c r="H248" i="24"/>
  <c r="B248" i="24"/>
  <c r="B138" i="24"/>
  <c r="B137" i="24"/>
  <c r="M232" i="24"/>
  <c r="K232" i="24"/>
  <c r="L232" i="24"/>
  <c r="J232" i="24"/>
  <c r="B232" i="24"/>
  <c r="I231" i="24"/>
  <c r="I230" i="24"/>
  <c r="H249" i="24"/>
  <c r="I249" i="24"/>
  <c r="H251" i="24"/>
  <c r="I251" i="24"/>
  <c r="G251" i="24"/>
  <c r="G249" i="24"/>
  <c r="F249" i="24"/>
  <c r="B251" i="24"/>
  <c r="B249" i="24"/>
  <c r="I247" i="24"/>
  <c r="H247" i="24"/>
  <c r="C247" i="24" s="1"/>
  <c r="C352" i="5" s="1"/>
  <c r="G247" i="24"/>
  <c r="B247" i="24"/>
  <c r="C267" i="24"/>
  <c r="C385" i="5" s="1"/>
  <c r="F385" i="5"/>
  <c r="B267" i="24"/>
  <c r="B255" i="24"/>
  <c r="H144" i="3"/>
  <c r="G144" i="3"/>
  <c r="P15" i="24"/>
  <c r="N15" i="24"/>
  <c r="J15" i="24"/>
  <c r="M15" i="24"/>
  <c r="L15" i="24"/>
  <c r="K15" i="24"/>
  <c r="I15" i="24"/>
  <c r="G15" i="24"/>
  <c r="B15" i="24"/>
  <c r="B230" i="24"/>
  <c r="G50" i="4"/>
  <c r="G49" i="4"/>
  <c r="G48" i="4"/>
  <c r="G46" i="4"/>
  <c r="G45" i="4"/>
  <c r="G17" i="4"/>
  <c r="G16" i="4"/>
  <c r="E32" i="13"/>
  <c r="F26" i="17" s="1"/>
  <c r="F92" i="17" s="1"/>
  <c r="D32" i="13"/>
  <c r="E26" i="17" s="1"/>
  <c r="E92" i="17" s="1"/>
  <c r="C32" i="13"/>
  <c r="D26" i="17" s="1"/>
  <c r="D92" i="17" s="1"/>
  <c r="J246" i="24"/>
  <c r="J245" i="24"/>
  <c r="L245" i="24" s="1"/>
  <c r="H246" i="24"/>
  <c r="B229" i="24"/>
  <c r="G21" i="4"/>
  <c r="V104" i="24"/>
  <c r="V105" i="24"/>
  <c r="V106" i="24"/>
  <c r="V107" i="24"/>
  <c r="V108" i="24"/>
  <c r="T103" i="24"/>
  <c r="R104" i="24"/>
  <c r="R105" i="24"/>
  <c r="R107" i="24"/>
  <c r="P103" i="24"/>
  <c r="N104" i="24"/>
  <c r="N105" i="24"/>
  <c r="N106" i="24"/>
  <c r="N107" i="24"/>
  <c r="N103" i="24"/>
  <c r="F108" i="24"/>
  <c r="F105" i="24"/>
  <c r="F106" i="24"/>
  <c r="F107" i="24"/>
  <c r="F103" i="24"/>
  <c r="O19" i="24"/>
  <c r="N12" i="24"/>
  <c r="J12" i="24"/>
  <c r="H14" i="24"/>
  <c r="H12" i="24"/>
  <c r="J231" i="24"/>
  <c r="J230" i="24"/>
  <c r="H231" i="24"/>
  <c r="H230" i="24"/>
  <c r="F231" i="24"/>
  <c r="E397" i="3"/>
  <c r="B136" i="24"/>
  <c r="G158" i="3"/>
  <c r="H158" i="3"/>
  <c r="F158" i="3" s="1"/>
  <c r="C60" i="17"/>
  <c r="B53" i="37" s="1"/>
  <c r="W105" i="24"/>
  <c r="W104" i="24"/>
  <c r="W103" i="24"/>
  <c r="U105" i="24"/>
  <c r="T105" i="24"/>
  <c r="U104" i="24"/>
  <c r="T104" i="24"/>
  <c r="U103" i="24"/>
  <c r="U108" i="24"/>
  <c r="U107" i="24"/>
  <c r="U106" i="24"/>
  <c r="T108" i="24"/>
  <c r="T107" i="24"/>
  <c r="T106" i="24"/>
  <c r="S105" i="24"/>
  <c r="S104" i="24"/>
  <c r="S103" i="24"/>
  <c r="S107" i="24"/>
  <c r="S108" i="24"/>
  <c r="S106" i="24"/>
  <c r="Q105" i="24"/>
  <c r="P105" i="24"/>
  <c r="Q104" i="24"/>
  <c r="P104" i="24"/>
  <c r="Q103" i="24"/>
  <c r="Q108" i="24"/>
  <c r="Q107" i="24"/>
  <c r="Q106" i="24"/>
  <c r="P107" i="24"/>
  <c r="P106" i="24"/>
  <c r="O105" i="24"/>
  <c r="O104" i="24"/>
  <c r="O103" i="24"/>
  <c r="M105" i="24"/>
  <c r="M104" i="24"/>
  <c r="M103" i="24"/>
  <c r="M108" i="24"/>
  <c r="M107" i="24"/>
  <c r="M106" i="24"/>
  <c r="I104" i="24"/>
  <c r="I105" i="24"/>
  <c r="I103" i="24"/>
  <c r="H104" i="24"/>
  <c r="J104" i="24" s="1"/>
  <c r="H105" i="24"/>
  <c r="H103" i="24"/>
  <c r="G103" i="24"/>
  <c r="G104" i="24"/>
  <c r="G105" i="24"/>
  <c r="O107" i="24"/>
  <c r="O108" i="24"/>
  <c r="O106" i="24"/>
  <c r="W107" i="24"/>
  <c r="W108" i="24"/>
  <c r="W106" i="24"/>
  <c r="I107" i="24"/>
  <c r="I108" i="24"/>
  <c r="I106" i="24"/>
  <c r="H107" i="24"/>
  <c r="H108" i="24"/>
  <c r="G107" i="24"/>
  <c r="G108" i="24"/>
  <c r="G106" i="24"/>
  <c r="K246" i="24"/>
  <c r="K245" i="24"/>
  <c r="I246" i="24"/>
  <c r="I245" i="24"/>
  <c r="G246" i="24"/>
  <c r="F246" i="24"/>
  <c r="G231" i="24"/>
  <c r="G230" i="24"/>
  <c r="G245" i="24"/>
  <c r="F245" i="24"/>
  <c r="K231" i="24"/>
  <c r="K230" i="24"/>
  <c r="I14" i="24"/>
  <c r="I12" i="24"/>
  <c r="K14" i="24"/>
  <c r="K12" i="24"/>
  <c r="B246" i="24"/>
  <c r="B245" i="24"/>
  <c r="B244" i="24"/>
  <c r="O12" i="24"/>
  <c r="F14" i="24"/>
  <c r="F12" i="24"/>
  <c r="I18" i="24"/>
  <c r="H18" i="24"/>
  <c r="I17" i="24"/>
  <c r="H17" i="24"/>
  <c r="I16" i="24"/>
  <c r="H16" i="24"/>
  <c r="H148" i="3"/>
  <c r="G148" i="3"/>
  <c r="C47" i="17"/>
  <c r="G18" i="24"/>
  <c r="G17" i="24"/>
  <c r="F17" i="24"/>
  <c r="G16" i="24"/>
  <c r="G12" i="24"/>
  <c r="F18" i="24"/>
  <c r="B19" i="24"/>
  <c r="H142" i="3"/>
  <c r="AK18" i="24"/>
  <c r="AK16" i="24"/>
  <c r="AK17" i="24"/>
  <c r="H146" i="3"/>
  <c r="H147" i="3"/>
  <c r="G146" i="3"/>
  <c r="H145" i="3"/>
  <c r="G147" i="3"/>
  <c r="B18" i="24"/>
  <c r="E32" i="18"/>
  <c r="G168" i="3"/>
  <c r="G167" i="3"/>
  <c r="T231" i="24"/>
  <c r="T230" i="24"/>
  <c r="AK35" i="24"/>
  <c r="AK34" i="24"/>
  <c r="AK33" i="24"/>
  <c r="B33" i="24"/>
  <c r="B28" i="24"/>
  <c r="B29" i="24"/>
  <c r="E52" i="18"/>
  <c r="E17" i="18"/>
  <c r="H135" i="3"/>
  <c r="G135" i="3"/>
  <c r="H399" i="3"/>
  <c r="G399" i="3"/>
  <c r="H398" i="3"/>
  <c r="G398" i="3"/>
  <c r="H397" i="3"/>
  <c r="G397" i="3"/>
  <c r="H394" i="3"/>
  <c r="G394" i="3"/>
  <c r="H393" i="3"/>
  <c r="G393" i="3"/>
  <c r="H392" i="3"/>
  <c r="G392" i="3"/>
  <c r="H385" i="3"/>
  <c r="G385" i="3"/>
  <c r="H384" i="3"/>
  <c r="G384" i="3"/>
  <c r="H383" i="3"/>
  <c r="G383" i="3"/>
  <c r="G142" i="3"/>
  <c r="G145" i="3"/>
  <c r="H139" i="3"/>
  <c r="H138" i="3" s="1"/>
  <c r="G139" i="3"/>
  <c r="B10" i="24"/>
  <c r="B16" i="24"/>
  <c r="B17" i="24"/>
  <c r="M138" i="3"/>
  <c r="B135" i="24"/>
  <c r="B27" i="24"/>
  <c r="B11" i="24"/>
  <c r="B102" i="24"/>
  <c r="C28" i="17"/>
  <c r="C71" i="17"/>
  <c r="B167" i="37" s="1"/>
  <c r="B176" i="37" s="1"/>
  <c r="E170" i="37" s="1"/>
  <c r="C70" i="17"/>
  <c r="B166" i="37" s="1"/>
  <c r="B175" i="37" s="1"/>
  <c r="D170" i="37" s="1"/>
  <c r="C69" i="17"/>
  <c r="B165" i="37" s="1"/>
  <c r="B174" i="37" s="1"/>
  <c r="C170" i="37" s="1"/>
  <c r="C31" i="17"/>
  <c r="C26" i="17"/>
  <c r="C65" i="17"/>
  <c r="C48" i="17"/>
  <c r="C45" i="17"/>
  <c r="C44" i="17"/>
  <c r="B51" i="37" s="1"/>
  <c r="C32" i="17"/>
  <c r="C23" i="17"/>
  <c r="C24" i="17"/>
  <c r="C22" i="17"/>
  <c r="C16" i="17"/>
  <c r="C15" i="17"/>
  <c r="C14" i="17"/>
  <c r="C13" i="17"/>
  <c r="I12" i="14"/>
  <c r="H12" i="14"/>
  <c r="E12" i="14"/>
  <c r="D12" i="14"/>
  <c r="C67" i="17"/>
  <c r="B29" i="4" s="1"/>
  <c r="C43" i="17"/>
  <c r="C29" i="17"/>
  <c r="B15" i="4" s="1"/>
  <c r="C10" i="17"/>
  <c r="B8" i="4" s="1"/>
  <c r="J144" i="5"/>
  <c r="J142" i="5"/>
  <c r="AL27" i="24"/>
  <c r="J143" i="24"/>
  <c r="J144" i="24"/>
  <c r="J142" i="24"/>
  <c r="E87" i="18"/>
  <c r="E74" i="18"/>
  <c r="E398" i="3"/>
  <c r="C111" i="24"/>
  <c r="E399" i="3" s="1"/>
  <c r="AK102" i="24"/>
  <c r="AK103" i="24"/>
  <c r="AK104" i="24"/>
  <c r="AK105" i="24"/>
  <c r="AK106" i="24"/>
  <c r="AK107" i="24"/>
  <c r="AK108" i="24"/>
  <c r="AK109" i="24"/>
  <c r="AK110" i="24"/>
  <c r="AK111" i="24"/>
  <c r="AK11" i="24"/>
  <c r="AK12" i="24"/>
  <c r="AK14" i="24"/>
  <c r="AK21" i="24"/>
  <c r="AK9" i="24"/>
  <c r="AK10" i="24"/>
  <c r="AK27" i="24"/>
  <c r="AK134" i="24"/>
  <c r="AK135" i="24"/>
  <c r="AK142" i="24"/>
  <c r="AK143" i="24"/>
  <c r="AK144" i="24"/>
  <c r="AK145" i="24"/>
  <c r="AK146" i="24"/>
  <c r="AK147" i="24"/>
  <c r="AK148" i="24"/>
  <c r="AK149" i="24"/>
  <c r="AK150" i="24"/>
  <c r="AK151" i="24"/>
  <c r="AK152" i="24"/>
  <c r="AK153" i="24"/>
  <c r="AK140" i="24"/>
  <c r="AK137" i="24"/>
  <c r="AK138" i="24"/>
  <c r="AK161" i="24"/>
  <c r="AK162" i="24"/>
  <c r="AK242" i="24"/>
  <c r="AK244" i="24"/>
  <c r="AK245" i="24"/>
  <c r="AK246" i="24"/>
  <c r="AK247" i="24"/>
  <c r="AK248" i="24"/>
  <c r="AK249" i="24"/>
  <c r="AK251" i="24"/>
  <c r="AK252" i="24"/>
  <c r="AK253" i="24"/>
  <c r="AK254" i="24"/>
  <c r="AK255" i="24"/>
  <c r="AK259" i="24"/>
  <c r="AK260" i="24"/>
  <c r="AK261" i="24"/>
  <c r="AK262" i="24"/>
  <c r="AK263" i="24"/>
  <c r="AK264" i="24"/>
  <c r="AK265" i="24"/>
  <c r="AK266" i="24"/>
  <c r="AK267" i="24"/>
  <c r="AK268" i="24"/>
  <c r="AK269" i="24"/>
  <c r="AK270" i="24"/>
  <c r="AK271" i="24"/>
  <c r="AK272" i="24"/>
  <c r="AK273" i="24"/>
  <c r="AK274" i="24"/>
  <c r="AK275" i="24"/>
  <c r="AK276" i="24"/>
  <c r="AK277" i="24"/>
  <c r="D134" i="24"/>
  <c r="E134" i="24"/>
  <c r="C143" i="24"/>
  <c r="C144" i="24"/>
  <c r="E42" i="18"/>
  <c r="E40" i="18"/>
  <c r="E36" i="18"/>
  <c r="E9" i="18"/>
  <c r="E8" i="18"/>
  <c r="K22" i="3"/>
  <c r="K18" i="3"/>
  <c r="N400" i="3"/>
  <c r="N405" i="3"/>
  <c r="J93" i="5"/>
  <c r="J81" i="5"/>
  <c r="J77" i="5"/>
  <c r="J75" i="5"/>
  <c r="J71" i="5"/>
  <c r="K50" i="5"/>
  <c r="K49" i="5"/>
  <c r="K20" i="5"/>
  <c r="J52" i="5"/>
  <c r="J41" i="5"/>
  <c r="J22" i="5"/>
  <c r="J47" i="5"/>
  <c r="J48" i="5"/>
  <c r="J39" i="5"/>
  <c r="J40" i="5"/>
  <c r="J38" i="5"/>
  <c r="J36" i="5"/>
  <c r="J34" i="5"/>
  <c r="J55" i="5"/>
  <c r="K54" i="5"/>
  <c r="K53" i="5"/>
  <c r="K71" i="5"/>
  <c r="K93" i="5"/>
  <c r="K81" i="5"/>
  <c r="J65" i="5"/>
  <c r="J64" i="5"/>
  <c r="J63" i="5"/>
  <c r="J62" i="5"/>
  <c r="J61" i="5"/>
  <c r="J225" i="5"/>
  <c r="N366" i="3"/>
  <c r="N343" i="3"/>
  <c r="N361" i="3"/>
  <c r="N306" i="3"/>
  <c r="C64" i="17"/>
  <c r="B54" i="37" s="1"/>
  <c r="C41" i="17"/>
  <c r="C37" i="17"/>
  <c r="C30" i="17"/>
  <c r="C25" i="17"/>
  <c r="B12" i="4" s="1"/>
  <c r="B64" i="38" s="1"/>
  <c r="C21" i="17"/>
  <c r="B11" i="4" s="1"/>
  <c r="C12" i="17"/>
  <c r="B9" i="4" s="1"/>
  <c r="C11" i="17"/>
  <c r="G19" i="4"/>
  <c r="L87" i="17"/>
  <c r="J87" i="17"/>
  <c r="D87" i="17"/>
  <c r="L67" i="17"/>
  <c r="L43" i="17"/>
  <c r="J43" i="17"/>
  <c r="D43" i="17"/>
  <c r="L29" i="17"/>
  <c r="J29" i="17"/>
  <c r="D29" i="17"/>
  <c r="G13" i="4"/>
  <c r="G15" i="4"/>
  <c r="G14" i="4"/>
  <c r="G12" i="4"/>
  <c r="G11" i="4"/>
  <c r="G9" i="4"/>
  <c r="E72" i="5"/>
  <c r="E71" i="5"/>
  <c r="E69" i="5"/>
  <c r="K23" i="8"/>
  <c r="E11" i="16"/>
  <c r="D11" i="16"/>
  <c r="E11" i="15"/>
  <c r="D11" i="15"/>
  <c r="M12" i="14"/>
  <c r="L12" i="14"/>
  <c r="E10" i="13"/>
  <c r="D10" i="13"/>
  <c r="B23" i="8"/>
  <c r="C138" i="3"/>
  <c r="I18" i="30"/>
  <c r="U44" i="14"/>
  <c r="R44" i="14"/>
  <c r="S44" i="14"/>
  <c r="W44" i="14"/>
  <c r="Q44" i="14"/>
  <c r="S27" i="14"/>
  <c r="V44" i="14"/>
  <c r="R27" i="14"/>
  <c r="H38" i="24" l="1"/>
  <c r="C38" i="24" s="1"/>
  <c r="E195" i="3" s="1"/>
  <c r="D195" i="3" s="1"/>
  <c r="C195" i="3" s="1"/>
  <c r="H39" i="24"/>
  <c r="C39" i="24" s="1"/>
  <c r="E196" i="3" s="1"/>
  <c r="D196" i="3" s="1"/>
  <c r="C196" i="3" s="1"/>
  <c r="H51" i="24"/>
  <c r="C51" i="24" s="1"/>
  <c r="E208" i="3" s="1"/>
  <c r="D208" i="3" s="1"/>
  <c r="C208" i="3" s="1"/>
  <c r="H52" i="24"/>
  <c r="C52" i="24" s="1"/>
  <c r="E209" i="3" s="1"/>
  <c r="D209" i="3" s="1"/>
  <c r="C209" i="3" s="1"/>
  <c r="H53" i="24"/>
  <c r="C53" i="24" s="1"/>
  <c r="E210" i="3" s="1"/>
  <c r="D210" i="3" s="1"/>
  <c r="C210" i="3" s="1"/>
  <c r="H54" i="24"/>
  <c r="C54" i="24" s="1"/>
  <c r="E211" i="3" s="1"/>
  <c r="D211" i="3" s="1"/>
  <c r="C211" i="3" s="1"/>
  <c r="H55" i="24"/>
  <c r="C55" i="24" s="1"/>
  <c r="E212" i="3" s="1"/>
  <c r="D212" i="3" s="1"/>
  <c r="C212" i="3" s="1"/>
  <c r="H49" i="24"/>
  <c r="C49" i="24" s="1"/>
  <c r="E206" i="3" s="1"/>
  <c r="D206" i="3" s="1"/>
  <c r="C206" i="3" s="1"/>
  <c r="H48" i="24"/>
  <c r="C48" i="24" s="1"/>
  <c r="E205" i="3" s="1"/>
  <c r="D205" i="3" s="1"/>
  <c r="C205" i="3" s="1"/>
  <c r="H50" i="24"/>
  <c r="C50" i="24" s="1"/>
  <c r="E207" i="3" s="1"/>
  <c r="D207" i="3" s="1"/>
  <c r="C207" i="3" s="1"/>
  <c r="H56" i="24"/>
  <c r="C56" i="24" s="1"/>
  <c r="H42" i="24"/>
  <c r="C42" i="24" s="1"/>
  <c r="E199" i="3" s="1"/>
  <c r="D199" i="3" s="1"/>
  <c r="C199" i="3" s="1"/>
  <c r="E50" i="16"/>
  <c r="D50" i="16"/>
  <c r="C50" i="16"/>
  <c r="H194" i="3"/>
  <c r="F194" i="3" s="1"/>
  <c r="H198" i="3"/>
  <c r="F198" i="3" s="1"/>
  <c r="H213" i="3"/>
  <c r="F213" i="3" s="1"/>
  <c r="Q46" i="14"/>
  <c r="C44" i="14"/>
  <c r="S46" i="14"/>
  <c r="E44" i="14"/>
  <c r="I44" i="14"/>
  <c r="AA44" i="14"/>
  <c r="W46" i="14"/>
  <c r="H44" i="14"/>
  <c r="Z44" i="14"/>
  <c r="V46" i="14"/>
  <c r="R46" i="14"/>
  <c r="D44" i="14"/>
  <c r="G44" i="14"/>
  <c r="Y44" i="14"/>
  <c r="U46" i="14"/>
  <c r="BA20" i="6"/>
  <c r="K56" i="14" s="1"/>
  <c r="AU20" i="6"/>
  <c r="AV20" i="6" s="1"/>
  <c r="BG20" i="6"/>
  <c r="C19" i="13"/>
  <c r="G40" i="4" s="1"/>
  <c r="BA17" i="6"/>
  <c r="BB17" i="6" s="1"/>
  <c r="AU17" i="6"/>
  <c r="AV17" i="6" s="1"/>
  <c r="BG17" i="6"/>
  <c r="BH17" i="6" s="1"/>
  <c r="E16" i="13"/>
  <c r="F16" i="17" s="1"/>
  <c r="L16" i="17" s="1"/>
  <c r="E15" i="13"/>
  <c r="F15" i="17" s="1"/>
  <c r="L15" i="17" s="1"/>
  <c r="E14" i="13"/>
  <c r="F14" i="17" s="1"/>
  <c r="E13" i="13"/>
  <c r="AU52" i="6"/>
  <c r="AV52" i="6" s="1"/>
  <c r="BG52" i="6"/>
  <c r="BH52" i="6" s="1"/>
  <c r="BA52" i="6"/>
  <c r="BB52" i="6" s="1"/>
  <c r="BA29" i="6"/>
  <c r="BB29" i="6" s="1"/>
  <c r="BG29" i="6"/>
  <c r="K68" i="14" s="1"/>
  <c r="K70" i="14" s="1"/>
  <c r="F111" i="37" s="1"/>
  <c r="AU29" i="6"/>
  <c r="C20" i="13"/>
  <c r="BA19" i="6"/>
  <c r="BB19" i="6" s="1"/>
  <c r="AU19" i="6"/>
  <c r="AV19" i="6" s="1"/>
  <c r="BG19" i="6"/>
  <c r="BH19" i="6" s="1"/>
  <c r="BG84" i="6"/>
  <c r="BH84" i="6" s="1"/>
  <c r="BA84" i="6"/>
  <c r="BB84" i="6" s="1"/>
  <c r="AU84" i="6"/>
  <c r="AV84" i="6" s="1"/>
  <c r="AU53" i="6"/>
  <c r="AV53" i="6" s="1"/>
  <c r="BA53" i="6"/>
  <c r="BB53" i="6" s="1"/>
  <c r="BG53" i="6"/>
  <c r="BH53" i="6" s="1"/>
  <c r="AU18" i="6"/>
  <c r="AV18" i="6" s="1"/>
  <c r="BA18" i="6"/>
  <c r="BB18" i="6" s="1"/>
  <c r="BG18" i="6"/>
  <c r="BH18" i="6" s="1"/>
  <c r="BA85" i="6"/>
  <c r="BB85" i="6" s="1"/>
  <c r="BG85" i="6"/>
  <c r="BH85" i="6" s="1"/>
  <c r="AU85" i="6"/>
  <c r="AV85" i="6" s="1"/>
  <c r="C16" i="13"/>
  <c r="D16" i="17" s="1"/>
  <c r="C15" i="13"/>
  <c r="D15" i="17" s="1"/>
  <c r="C14" i="13"/>
  <c r="D14" i="17" s="1"/>
  <c r="C13" i="13"/>
  <c r="D13" i="17" s="1"/>
  <c r="Z13" i="14"/>
  <c r="L13" i="14" s="1"/>
  <c r="BA54" i="6"/>
  <c r="AU54" i="6"/>
  <c r="BG54" i="6"/>
  <c r="D19" i="13"/>
  <c r="D11" i="13"/>
  <c r="E12" i="17" s="1"/>
  <c r="AU63" i="6"/>
  <c r="L51" i="14" s="1"/>
  <c r="BA63" i="6"/>
  <c r="L57" i="14" s="1"/>
  <c r="L59" i="14" s="1"/>
  <c r="G110" i="37" s="1"/>
  <c r="BG63" i="6"/>
  <c r="D20" i="13"/>
  <c r="BG86" i="6"/>
  <c r="BH86" i="6" s="1"/>
  <c r="BA86" i="6"/>
  <c r="BB86" i="6" s="1"/>
  <c r="AU86" i="6"/>
  <c r="AV86" i="6" s="1"/>
  <c r="D16" i="13"/>
  <c r="E16" i="17" s="1"/>
  <c r="D15" i="13"/>
  <c r="E15" i="17" s="1"/>
  <c r="D14" i="13"/>
  <c r="E14" i="17" s="1"/>
  <c r="D13" i="13"/>
  <c r="BG87" i="6"/>
  <c r="BH87" i="6" s="1"/>
  <c r="BA87" i="6"/>
  <c r="AU87" i="6"/>
  <c r="AV87" i="6" s="1"/>
  <c r="E19" i="13"/>
  <c r="BG51" i="6"/>
  <c r="BH51" i="6" s="1"/>
  <c r="BA51" i="6"/>
  <c r="BB51" i="6" s="1"/>
  <c r="AU51" i="6"/>
  <c r="AV51" i="6" s="1"/>
  <c r="E11" i="13"/>
  <c r="F12" i="17" s="1"/>
  <c r="BG96" i="6"/>
  <c r="M68" i="14" s="1"/>
  <c r="M70" i="14" s="1"/>
  <c r="BA96" i="6"/>
  <c r="AU96" i="6"/>
  <c r="E20" i="13"/>
  <c r="F24" i="8"/>
  <c r="C106" i="5"/>
  <c r="Z17" i="14"/>
  <c r="L17" i="14" s="1"/>
  <c r="E31" i="17" s="1"/>
  <c r="AA15" i="14"/>
  <c r="M15" i="14" s="1"/>
  <c r="AA14" i="14"/>
  <c r="M14" i="14" s="1"/>
  <c r="Y13" i="14"/>
  <c r="K13" i="14" s="1"/>
  <c r="Y15" i="14"/>
  <c r="K15" i="14" s="1"/>
  <c r="Y14" i="14"/>
  <c r="K14" i="14" s="1"/>
  <c r="AA13" i="14"/>
  <c r="M13" i="14" s="1"/>
  <c r="Z15" i="14"/>
  <c r="L15" i="14" s="1"/>
  <c r="Z14" i="14"/>
  <c r="L14" i="14" s="1"/>
  <c r="D27" i="14"/>
  <c r="Z27" i="14"/>
  <c r="L27" i="14" s="1"/>
  <c r="E27" i="14"/>
  <c r="AA27" i="14"/>
  <c r="M27" i="14" s="1"/>
  <c r="AI66" i="6"/>
  <c r="Z24" i="14" s="1"/>
  <c r="L24" i="14" s="1"/>
  <c r="R24" i="14"/>
  <c r="R41" i="14"/>
  <c r="D41" i="14" s="1"/>
  <c r="D21" i="14"/>
  <c r="Z21" i="14"/>
  <c r="R23" i="14"/>
  <c r="R25" i="14"/>
  <c r="D25" i="14" s="1"/>
  <c r="R29" i="14"/>
  <c r="D29" i="14" s="1"/>
  <c r="AI99" i="6"/>
  <c r="AA24" i="14" s="1"/>
  <c r="M24" i="14" s="1"/>
  <c r="S24" i="14"/>
  <c r="S41" i="14"/>
  <c r="E41" i="14" s="1"/>
  <c r="E21" i="14"/>
  <c r="AA21" i="14"/>
  <c r="S23" i="14"/>
  <c r="S29" i="14"/>
  <c r="E29" i="14" s="1"/>
  <c r="S25" i="14"/>
  <c r="E25" i="14" s="1"/>
  <c r="AB15" i="25"/>
  <c r="AB19" i="25"/>
  <c r="AB18" i="25"/>
  <c r="AB16" i="25"/>
  <c r="AB17" i="25"/>
  <c r="D23" i="8"/>
  <c r="C23" i="8"/>
  <c r="K92" i="17"/>
  <c r="C17" i="24"/>
  <c r="E146" i="3" s="1"/>
  <c r="AB25" i="25"/>
  <c r="AB28" i="25"/>
  <c r="W118" i="37" s="1"/>
  <c r="AB35" i="25"/>
  <c r="AB36" i="25" s="1"/>
  <c r="AJ34" i="6" a="1"/>
  <c r="AJ34" i="6" s="1"/>
  <c r="L23" i="8"/>
  <c r="M23" i="8"/>
  <c r="AB34" i="25"/>
  <c r="AB37" i="25"/>
  <c r="J92" i="17"/>
  <c r="C15" i="24"/>
  <c r="E144" i="3" s="1"/>
  <c r="C108" i="5"/>
  <c r="AI72" i="6"/>
  <c r="AI105" i="6"/>
  <c r="AI104" i="6"/>
  <c r="AI67" i="6"/>
  <c r="AJ100" i="6" a="1"/>
  <c r="AJ100" i="6" s="1"/>
  <c r="AI100" i="6"/>
  <c r="AI71" i="6"/>
  <c r="G35" i="4"/>
  <c r="G36" i="4"/>
  <c r="C107" i="5"/>
  <c r="C77" i="24"/>
  <c r="E282" i="3" s="1"/>
  <c r="C16" i="24"/>
  <c r="E145" i="3" s="1"/>
  <c r="C184" i="5"/>
  <c r="C187" i="5"/>
  <c r="C183" i="5"/>
  <c r="C186" i="5"/>
  <c r="G51" i="4"/>
  <c r="C138" i="5"/>
  <c r="H51" i="17"/>
  <c r="B22" i="4"/>
  <c r="C18" i="24"/>
  <c r="E147" i="3" s="1"/>
  <c r="K24" i="17"/>
  <c r="E157" i="3"/>
  <c r="J24" i="17"/>
  <c r="J26" i="17"/>
  <c r="K26" i="17"/>
  <c r="C58" i="24"/>
  <c r="E262" i="3" s="1"/>
  <c r="D262" i="3" s="1"/>
  <c r="C262" i="3" s="1"/>
  <c r="H45" i="24"/>
  <c r="H44" i="24"/>
  <c r="C44" i="24" s="1"/>
  <c r="E201" i="3" s="1"/>
  <c r="H41" i="24"/>
  <c r="C41" i="24" s="1"/>
  <c r="H40" i="24"/>
  <c r="C40" i="24" s="1"/>
  <c r="E197" i="3" s="1"/>
  <c r="H43" i="24"/>
  <c r="C43" i="24" s="1"/>
  <c r="E200" i="3" s="1"/>
  <c r="C37" i="24"/>
  <c r="E194" i="3" s="1"/>
  <c r="C245" i="24"/>
  <c r="C13" i="24"/>
  <c r="E141" i="3" s="1"/>
  <c r="L94" i="17"/>
  <c r="I11" i="17"/>
  <c r="H106" i="37" s="1"/>
  <c r="K11" i="17"/>
  <c r="H11" i="17"/>
  <c r="G106" i="37" s="1"/>
  <c r="J11" i="17"/>
  <c r="L11" i="17"/>
  <c r="C259" i="24"/>
  <c r="L230" i="24"/>
  <c r="N230" i="24" s="1"/>
  <c r="C230" i="24" s="1"/>
  <c r="C317" i="5" s="1"/>
  <c r="L246" i="24"/>
  <c r="C249" i="24"/>
  <c r="C354" i="5" s="1"/>
  <c r="C232" i="24"/>
  <c r="C322" i="5" s="1"/>
  <c r="C104" i="24"/>
  <c r="E384" i="3" s="1"/>
  <c r="L93" i="17"/>
  <c r="L92" i="17"/>
  <c r="L26" i="17"/>
  <c r="AB26" i="25"/>
  <c r="W116" i="37" s="1"/>
  <c r="F11" i="17"/>
  <c r="D31" i="17"/>
  <c r="AB29" i="25"/>
  <c r="W119" i="37" s="1"/>
  <c r="AB23" i="25"/>
  <c r="AB24" i="25" s="1"/>
  <c r="AB12" i="25"/>
  <c r="J108" i="24"/>
  <c r="BB88" i="6"/>
  <c r="AJ90" i="6"/>
  <c r="C78" i="24"/>
  <c r="E283" i="3" s="1"/>
  <c r="C47" i="24"/>
  <c r="E204" i="3" s="1"/>
  <c r="AV26" i="6"/>
  <c r="AV93" i="6"/>
  <c r="BB23" i="6"/>
  <c r="AJ96" i="6"/>
  <c r="BB60" i="6"/>
  <c r="D49" i="3"/>
  <c r="D48" i="3"/>
  <c r="D41" i="3"/>
  <c r="D31" i="3"/>
  <c r="D58" i="3"/>
  <c r="D40" i="3"/>
  <c r="D42" i="3"/>
  <c r="D50" i="3"/>
  <c r="D33" i="3"/>
  <c r="D32" i="3"/>
  <c r="D30" i="3"/>
  <c r="D52" i="3"/>
  <c r="D89" i="3"/>
  <c r="D54" i="3"/>
  <c r="D25" i="3"/>
  <c r="F31" i="17"/>
  <c r="AJ84" i="6"/>
  <c r="AJ86" i="6"/>
  <c r="AJ87" i="6"/>
  <c r="AJ88" i="6"/>
  <c r="AV28" i="6"/>
  <c r="AV62" i="6"/>
  <c r="AV95" i="6"/>
  <c r="BB21" i="6"/>
  <c r="BB27" i="6"/>
  <c r="D27" i="3"/>
  <c r="L12" i="24"/>
  <c r="P12" i="24" s="1"/>
  <c r="C12" i="24" s="1"/>
  <c r="D158" i="3"/>
  <c r="C251" i="24"/>
  <c r="C356" i="5" s="1"/>
  <c r="D265" i="3"/>
  <c r="C65" i="24"/>
  <c r="E270" i="3" s="1"/>
  <c r="D281" i="3"/>
  <c r="C281" i="3" s="1"/>
  <c r="J103" i="24"/>
  <c r="C103" i="24" s="1"/>
  <c r="D78" i="30"/>
  <c r="AJ26" i="6"/>
  <c r="AJ19" i="6"/>
  <c r="AJ28" i="6"/>
  <c r="AV27" i="6"/>
  <c r="AV61" i="6"/>
  <c r="AV94" i="6"/>
  <c r="AJ18" i="6"/>
  <c r="AJ27" i="6"/>
  <c r="AJ52" i="6"/>
  <c r="AJ54" i="6"/>
  <c r="AJ57" i="6"/>
  <c r="AJ62" i="6"/>
  <c r="AJ93" i="6"/>
  <c r="BH28" i="6"/>
  <c r="I23" i="14"/>
  <c r="E11" i="17"/>
  <c r="J106" i="24"/>
  <c r="L231" i="24"/>
  <c r="J105" i="24"/>
  <c r="C105" i="24" s="1"/>
  <c r="E385" i="3" s="1"/>
  <c r="D269" i="3"/>
  <c r="C269" i="3" s="1"/>
  <c r="D39" i="3"/>
  <c r="L14" i="24"/>
  <c r="P14" i="24" s="1"/>
  <c r="C14" i="24" s="1"/>
  <c r="AJ61" i="6"/>
  <c r="AJ51" i="6"/>
  <c r="AJ55" i="6"/>
  <c r="BB93" i="6"/>
  <c r="BB95" i="6"/>
  <c r="BH27" i="6"/>
  <c r="BH95" i="6"/>
  <c r="AJ29" i="6"/>
  <c r="AV60" i="6"/>
  <c r="AJ20" i="6"/>
  <c r="AJ60" i="6"/>
  <c r="AJ95" i="6"/>
  <c r="BB28" i="6"/>
  <c r="BB57" i="6"/>
  <c r="BB61" i="6"/>
  <c r="BB90" i="6"/>
  <c r="BB94" i="6"/>
  <c r="BH61" i="6"/>
  <c r="BH94" i="6"/>
  <c r="G32" i="4"/>
  <c r="G33" i="4" s="1"/>
  <c r="AJ38" i="6"/>
  <c r="C192" i="3"/>
  <c r="C189" i="3"/>
  <c r="F235" i="3"/>
  <c r="D235" i="3" s="1"/>
  <c r="C235" i="3" s="1"/>
  <c r="AJ53" i="6"/>
  <c r="BB26" i="6"/>
  <c r="BH26" i="6"/>
  <c r="D43" i="3"/>
  <c r="K24" i="8"/>
  <c r="F248" i="24"/>
  <c r="C248" i="24" s="1"/>
  <c r="C353" i="5" s="1"/>
  <c r="AJ63" i="6"/>
  <c r="AJ94" i="6"/>
  <c r="D29" i="3"/>
  <c r="F260" i="3"/>
  <c r="D260" i="3" s="1"/>
  <c r="C260" i="3" s="1"/>
  <c r="K22" i="8"/>
  <c r="AJ21" i="6"/>
  <c r="D44" i="17"/>
  <c r="D68" i="17"/>
  <c r="C257" i="3"/>
  <c r="G31" i="4"/>
  <c r="AJ23" i="6"/>
  <c r="C181" i="3"/>
  <c r="C46" i="24"/>
  <c r="E203" i="3" s="1"/>
  <c r="C17" i="3"/>
  <c r="C174" i="3"/>
  <c r="C191" i="3"/>
  <c r="C179" i="3"/>
  <c r="H23" i="14"/>
  <c r="AJ32" i="6"/>
  <c r="D34" i="3"/>
  <c r="F248" i="3"/>
  <c r="D248" i="3" s="1"/>
  <c r="C248" i="3" s="1"/>
  <c r="F20" i="3"/>
  <c r="D20" i="3" s="1"/>
  <c r="C20" i="3" s="1"/>
  <c r="C57" i="24"/>
  <c r="E214" i="3" s="1"/>
  <c r="BB62" i="6"/>
  <c r="BH60" i="6"/>
  <c r="BH62" i="6"/>
  <c r="BH93" i="6"/>
  <c r="F247" i="3"/>
  <c r="D247" i="3" s="1"/>
  <c r="C247" i="3" s="1"/>
  <c r="D151" i="3"/>
  <c r="D153" i="3"/>
  <c r="C153" i="3" s="1"/>
  <c r="D154" i="3"/>
  <c r="C154" i="3" s="1"/>
  <c r="F200" i="3"/>
  <c r="F204" i="3"/>
  <c r="F283" i="3"/>
  <c r="F268" i="3"/>
  <c r="F243" i="3"/>
  <c r="D243" i="3" s="1"/>
  <c r="F242" i="3"/>
  <c r="D242" i="3" s="1"/>
  <c r="F246" i="3"/>
  <c r="D246" i="3" s="1"/>
  <c r="C246" i="3" s="1"/>
  <c r="F249" i="3"/>
  <c r="D249" i="3" s="1"/>
  <c r="C249" i="3" s="1"/>
  <c r="C236" i="3"/>
  <c r="C175" i="3"/>
  <c r="C180" i="3"/>
  <c r="F197" i="3"/>
  <c r="F201" i="3"/>
  <c r="F203" i="3"/>
  <c r="F214" i="3"/>
  <c r="F282" i="3"/>
  <c r="F280" i="3"/>
  <c r="F270" i="3"/>
  <c r="F266" i="3"/>
  <c r="F202" i="3"/>
  <c r="F16" i="3"/>
  <c r="D16" i="3" s="1"/>
  <c r="C16" i="3" s="1"/>
  <c r="F19" i="3"/>
  <c r="D19" i="3" s="1"/>
  <c r="C19" i="3" s="1"/>
  <c r="F15" i="3"/>
  <c r="D15" i="3" s="1"/>
  <c r="F245" i="3"/>
  <c r="D245" i="3" s="1"/>
  <c r="C171" i="3"/>
  <c r="F272" i="3"/>
  <c r="F259" i="3"/>
  <c r="D259" i="3" s="1"/>
  <c r="C259" i="3" s="1"/>
  <c r="F258" i="3"/>
  <c r="D258" i="3" s="1"/>
  <c r="C258" i="3" s="1"/>
  <c r="F239" i="3"/>
  <c r="D239" i="3" s="1"/>
  <c r="C239" i="3" s="1"/>
  <c r="F21" i="3"/>
  <c r="D21" i="3" s="1"/>
  <c r="C21" i="3" s="1"/>
  <c r="C190" i="3"/>
  <c r="F225" i="3"/>
  <c r="D225" i="3" s="1"/>
  <c r="C225" i="3" s="1"/>
  <c r="G23" i="14"/>
  <c r="B24" i="8"/>
  <c r="B22" i="8"/>
  <c r="D119" i="3"/>
  <c r="D129" i="3"/>
  <c r="D124" i="3"/>
  <c r="AC10" i="25"/>
  <c r="AC27" i="25" s="1"/>
  <c r="AJ17" i="6"/>
  <c r="J107" i="24"/>
  <c r="BB55" i="6"/>
  <c r="AJ85" i="6"/>
  <c r="D164" i="3"/>
  <c r="C164" i="3" s="1"/>
  <c r="D162" i="3"/>
  <c r="D160" i="3"/>
  <c r="C160" i="3" s="1"/>
  <c r="D271" i="3"/>
  <c r="C271" i="3" s="1"/>
  <c r="C139" i="5"/>
  <c r="F237" i="3"/>
  <c r="F223" i="3"/>
  <c r="D223" i="3" s="1"/>
  <c r="C223" i="3" s="1"/>
  <c r="F219" i="3"/>
  <c r="D219" i="3" s="1"/>
  <c r="F222" i="3"/>
  <c r="D222" i="3" s="1"/>
  <c r="F234" i="3"/>
  <c r="D234" i="3" s="1"/>
  <c r="C234" i="3" s="1"/>
  <c r="F224" i="3"/>
  <c r="D224" i="3" s="1"/>
  <c r="C224" i="3" s="1"/>
  <c r="F220" i="3"/>
  <c r="D220" i="3" s="1"/>
  <c r="F226" i="3"/>
  <c r="D226" i="3" s="1"/>
  <c r="C226" i="3" s="1"/>
  <c r="D60" i="3"/>
  <c r="D45" i="3"/>
  <c r="D38" i="3"/>
  <c r="D36" i="3"/>
  <c r="D47" i="3"/>
  <c r="F216" i="3"/>
  <c r="D216" i="3" s="1"/>
  <c r="C216" i="3" s="1"/>
  <c r="D391" i="3"/>
  <c r="AA10" i="25"/>
  <c r="AA27" i="25" s="1"/>
  <c r="G47" i="4"/>
  <c r="F22" i="8"/>
  <c r="H22" i="8" s="1"/>
  <c r="D59" i="30"/>
  <c r="D83" i="30"/>
  <c r="D30" i="17"/>
  <c r="D88" i="17"/>
  <c r="W34" i="14"/>
  <c r="S34" i="14"/>
  <c r="V35" i="14"/>
  <c r="R33" i="14"/>
  <c r="Q35" i="14"/>
  <c r="S33" i="14"/>
  <c r="U35" i="14"/>
  <c r="R34" i="14"/>
  <c r="U33" i="14"/>
  <c r="V33" i="14"/>
  <c r="W33" i="14"/>
  <c r="V34" i="14"/>
  <c r="U34" i="14"/>
  <c r="R35" i="14"/>
  <c r="W35" i="14"/>
  <c r="Q33" i="14"/>
  <c r="Q34" i="14"/>
  <c r="S35" i="14"/>
  <c r="G22" i="8" l="1"/>
  <c r="F25" i="8"/>
  <c r="C162" i="3"/>
  <c r="D36" i="15"/>
  <c r="C36" i="15"/>
  <c r="E36" i="15"/>
  <c r="K50" i="14"/>
  <c r="G38" i="4"/>
  <c r="D194" i="3"/>
  <c r="C194" i="3" s="1"/>
  <c r="E213" i="3"/>
  <c r="D213" i="3" s="1"/>
  <c r="C213" i="3" s="1"/>
  <c r="E198" i="3"/>
  <c r="D198" i="3" s="1"/>
  <c r="C198" i="3" s="1"/>
  <c r="BH96" i="6"/>
  <c r="E17" i="13"/>
  <c r="D17" i="13"/>
  <c r="C17" i="13"/>
  <c r="C151" i="3"/>
  <c r="E35" i="14"/>
  <c r="AA35" i="14"/>
  <c r="M35" i="14" s="1"/>
  <c r="I35" i="14"/>
  <c r="Y35" i="14"/>
  <c r="K35" i="14" s="1"/>
  <c r="G35" i="14"/>
  <c r="C35" i="14"/>
  <c r="D35" i="14"/>
  <c r="H35" i="14"/>
  <c r="Z35" i="14"/>
  <c r="L35" i="14" s="1"/>
  <c r="C34" i="14"/>
  <c r="I34" i="14"/>
  <c r="G34" i="14"/>
  <c r="Y34" i="14"/>
  <c r="K34" i="14" s="1"/>
  <c r="H34" i="14"/>
  <c r="C33" i="14"/>
  <c r="I33" i="14"/>
  <c r="G33" i="14"/>
  <c r="Y33" i="14"/>
  <c r="K33" i="14" s="1"/>
  <c r="H33" i="14"/>
  <c r="C243" i="3"/>
  <c r="Z46" i="14"/>
  <c r="L44" i="14"/>
  <c r="L46" i="14" s="1"/>
  <c r="E36" i="17" s="1"/>
  <c r="C220" i="3"/>
  <c r="AA46" i="14"/>
  <c r="M44" i="14"/>
  <c r="M46" i="14" s="1"/>
  <c r="F36" i="17" s="1"/>
  <c r="Y46" i="14"/>
  <c r="K44" i="14"/>
  <c r="K46" i="14" s="1"/>
  <c r="D36" i="17" s="1"/>
  <c r="BB63" i="6"/>
  <c r="K12" i="17"/>
  <c r="I55" i="17"/>
  <c r="I80" i="17"/>
  <c r="E43" i="16"/>
  <c r="E49" i="16"/>
  <c r="H111" i="37"/>
  <c r="F13" i="17"/>
  <c r="K14" i="17"/>
  <c r="M50" i="14"/>
  <c r="K31" i="17"/>
  <c r="AJ67" i="6" a="1"/>
  <c r="AJ67" i="6" s="1"/>
  <c r="J31" i="17"/>
  <c r="D34" i="14"/>
  <c r="Z34" i="14"/>
  <c r="L34" i="14" s="1"/>
  <c r="Z33" i="14"/>
  <c r="L33" i="14" s="1"/>
  <c r="D33" i="14"/>
  <c r="AA33" i="14"/>
  <c r="M33" i="14" s="1"/>
  <c r="E33" i="14"/>
  <c r="AA34" i="14"/>
  <c r="M34" i="14" s="1"/>
  <c r="E34" i="14"/>
  <c r="AJ104" i="6"/>
  <c r="AA28" i="14"/>
  <c r="M28" i="14" s="1"/>
  <c r="AA29" i="14"/>
  <c r="M29" i="14" s="1"/>
  <c r="AA25" i="14"/>
  <c r="M25" i="14" s="1"/>
  <c r="Z29" i="14"/>
  <c r="L29" i="14" s="1"/>
  <c r="Z25" i="14"/>
  <c r="L25" i="14" s="1"/>
  <c r="Z41" i="14"/>
  <c r="L41" i="14" s="1"/>
  <c r="Z23" i="14"/>
  <c r="D24" i="14"/>
  <c r="AJ71" i="6"/>
  <c r="Z28" i="14"/>
  <c r="L28" i="14" s="1"/>
  <c r="E24" i="14"/>
  <c r="AJ66" i="6"/>
  <c r="AA23" i="14"/>
  <c r="AA41" i="14"/>
  <c r="M41" i="14" s="1"/>
  <c r="AC19" i="25"/>
  <c r="AC15" i="25"/>
  <c r="AC18" i="25"/>
  <c r="AA15" i="25"/>
  <c r="AA18" i="25"/>
  <c r="AA19" i="25"/>
  <c r="AC17" i="25"/>
  <c r="AC16" i="25"/>
  <c r="AA16" i="25"/>
  <c r="AA17" i="25"/>
  <c r="D24" i="8"/>
  <c r="C24" i="8"/>
  <c r="D22" i="8"/>
  <c r="C22" i="8"/>
  <c r="AA28" i="25"/>
  <c r="V118" i="37" s="1"/>
  <c r="V130" i="37" s="1"/>
  <c r="V148" i="37" s="1"/>
  <c r="AC28" i="25"/>
  <c r="X118" i="37" s="1"/>
  <c r="AC25" i="25"/>
  <c r="C158" i="3"/>
  <c r="J14" i="17"/>
  <c r="DW32" i="25"/>
  <c r="DR122" i="37" s="1"/>
  <c r="DH32" i="25"/>
  <c r="DC122" i="37" s="1"/>
  <c r="DI32" i="25"/>
  <c r="DD122" i="37" s="1"/>
  <c r="DJ32" i="25"/>
  <c r="DE122" i="37" s="1"/>
  <c r="DK32" i="25"/>
  <c r="DF122" i="37" s="1"/>
  <c r="DA32" i="25"/>
  <c r="CV122" i="37" s="1"/>
  <c r="DQ32" i="25"/>
  <c r="DL122" i="37" s="1"/>
  <c r="DC32" i="25"/>
  <c r="CX122" i="37" s="1"/>
  <c r="DD32" i="25"/>
  <c r="CY122" i="37" s="1"/>
  <c r="DE32" i="25"/>
  <c r="CZ122" i="37" s="1"/>
  <c r="DF32" i="25"/>
  <c r="DA122" i="37" s="1"/>
  <c r="DV32" i="25"/>
  <c r="DQ122" i="37" s="1"/>
  <c r="DB32" i="25"/>
  <c r="CW122" i="37" s="1"/>
  <c r="DR32" i="25"/>
  <c r="DM122" i="37" s="1"/>
  <c r="DS32" i="25"/>
  <c r="DN122" i="37" s="1"/>
  <c r="DT32" i="25"/>
  <c r="DO122" i="37" s="1"/>
  <c r="DU32" i="25"/>
  <c r="DP122" i="37" s="1"/>
  <c r="DG32" i="25"/>
  <c r="DB122" i="37" s="1"/>
  <c r="CY32" i="25"/>
  <c r="CT122" i="37" s="1"/>
  <c r="CZ32" i="25"/>
  <c r="CU122" i="37" s="1"/>
  <c r="DL32" i="25"/>
  <c r="DG122" i="37" s="1"/>
  <c r="DP32" i="25"/>
  <c r="DK122" i="37" s="1"/>
  <c r="DM32" i="25"/>
  <c r="DH122" i="37" s="1"/>
  <c r="DN32" i="25"/>
  <c r="DI122" i="37" s="1"/>
  <c r="DO32" i="25"/>
  <c r="DJ122" i="37" s="1"/>
  <c r="D122" i="3"/>
  <c r="AA35" i="25"/>
  <c r="AA36" i="25" s="1"/>
  <c r="AC35" i="25"/>
  <c r="AC36" i="25" s="1"/>
  <c r="L24" i="8"/>
  <c r="M24" i="8"/>
  <c r="L22" i="8"/>
  <c r="M22" i="8"/>
  <c r="AB20" i="25"/>
  <c r="AA34" i="25"/>
  <c r="AC34" i="25"/>
  <c r="AA37" i="25"/>
  <c r="AC37" i="25"/>
  <c r="K57" i="14"/>
  <c r="K59" i="14" s="1"/>
  <c r="F110" i="37" s="1"/>
  <c r="I110" i="37" s="1"/>
  <c r="N127" i="37" s="1"/>
  <c r="AJ72" i="6"/>
  <c r="D237" i="3"/>
  <c r="C237" i="3" s="1"/>
  <c r="L21" i="14"/>
  <c r="C45" i="24"/>
  <c r="AI70" i="6"/>
  <c r="L22" i="14"/>
  <c r="AI69" i="6"/>
  <c r="AI103" i="6"/>
  <c r="M21" i="14"/>
  <c r="AI102" i="6"/>
  <c r="K21" i="14"/>
  <c r="AJ99" i="6"/>
  <c r="AI36" i="6"/>
  <c r="AI35" i="6"/>
  <c r="I51" i="17"/>
  <c r="K51" i="17" s="1"/>
  <c r="G51" i="17"/>
  <c r="J51" i="17" s="1"/>
  <c r="AJ105" i="6"/>
  <c r="AB40" i="25"/>
  <c r="C222" i="3"/>
  <c r="C245" i="3"/>
  <c r="AB48" i="25"/>
  <c r="D282" i="3"/>
  <c r="C282" i="3" s="1"/>
  <c r="D157" i="3"/>
  <c r="C157" i="3" s="1"/>
  <c r="W117" i="37"/>
  <c r="C146" i="5"/>
  <c r="C384" i="5"/>
  <c r="F19" i="24" s="1"/>
  <c r="C346" i="5"/>
  <c r="AB30" i="25" s="1"/>
  <c r="W120" i="37" s="1"/>
  <c r="G55" i="17"/>
  <c r="G80" i="17"/>
  <c r="E68" i="17"/>
  <c r="D106" i="37"/>
  <c r="L44" i="17"/>
  <c r="K106" i="37"/>
  <c r="J68" i="17"/>
  <c r="I106" i="37"/>
  <c r="F88" i="17"/>
  <c r="E106" i="37"/>
  <c r="K44" i="17"/>
  <c r="J106" i="37"/>
  <c r="H54" i="17"/>
  <c r="D46" i="14"/>
  <c r="AB47" i="25"/>
  <c r="E142" i="3"/>
  <c r="E139" i="3"/>
  <c r="C46" i="14"/>
  <c r="H79" i="17"/>
  <c r="AB49" i="25"/>
  <c r="AB46" i="25"/>
  <c r="E46" i="14"/>
  <c r="D280" i="3"/>
  <c r="C280" i="3" s="1"/>
  <c r="G46" i="14"/>
  <c r="H46" i="14"/>
  <c r="I46" i="14"/>
  <c r="K16" i="17"/>
  <c r="K15" i="17"/>
  <c r="J16" i="17"/>
  <c r="J15" i="17"/>
  <c r="D197" i="3"/>
  <c r="K88" i="17"/>
  <c r="K30" i="17"/>
  <c r="K68" i="17"/>
  <c r="H88" i="17"/>
  <c r="H68" i="17"/>
  <c r="H44" i="17"/>
  <c r="H30" i="17"/>
  <c r="I88" i="17"/>
  <c r="I44" i="17"/>
  <c r="I68" i="17"/>
  <c r="I30" i="17"/>
  <c r="V32" i="25"/>
  <c r="Q122" i="37" s="1"/>
  <c r="C246" i="24"/>
  <c r="C108" i="24"/>
  <c r="E394" i="3" s="1"/>
  <c r="L14" i="17"/>
  <c r="L31" i="17"/>
  <c r="L88" i="17"/>
  <c r="L68" i="17"/>
  <c r="L30" i="17"/>
  <c r="F44" i="17"/>
  <c r="F68" i="17"/>
  <c r="F30" i="17"/>
  <c r="W32" i="25"/>
  <c r="R122" i="37" s="1"/>
  <c r="AA32" i="25"/>
  <c r="V122" i="37" s="1"/>
  <c r="AE32" i="25"/>
  <c r="Z122" i="37" s="1"/>
  <c r="AI32" i="25"/>
  <c r="AD122" i="37" s="1"/>
  <c r="AM32" i="25"/>
  <c r="AH122" i="37" s="1"/>
  <c r="AQ32" i="25"/>
  <c r="AL122" i="37" s="1"/>
  <c r="AU32" i="25"/>
  <c r="AP122" i="37" s="1"/>
  <c r="AY32" i="25"/>
  <c r="AT122" i="37" s="1"/>
  <c r="BC32" i="25"/>
  <c r="AX122" i="37" s="1"/>
  <c r="BG32" i="25"/>
  <c r="BB122" i="37" s="1"/>
  <c r="BK32" i="25"/>
  <c r="BF122" i="37" s="1"/>
  <c r="BO32" i="25"/>
  <c r="BJ122" i="37" s="1"/>
  <c r="BS32" i="25"/>
  <c r="BN122" i="37" s="1"/>
  <c r="BW32" i="25"/>
  <c r="BR122" i="37" s="1"/>
  <c r="CA32" i="25"/>
  <c r="BV122" i="37" s="1"/>
  <c r="CE32" i="25"/>
  <c r="BZ122" i="37" s="1"/>
  <c r="CI32" i="25"/>
  <c r="CD122" i="37" s="1"/>
  <c r="CM32" i="25"/>
  <c r="CH122" i="37" s="1"/>
  <c r="CQ32" i="25"/>
  <c r="CL122" i="37" s="1"/>
  <c r="CU32" i="25"/>
  <c r="CP122" i="37" s="1"/>
  <c r="AL32" i="25"/>
  <c r="AG122" i="37" s="1"/>
  <c r="BB32" i="25"/>
  <c r="AW122" i="37" s="1"/>
  <c r="BN32" i="25"/>
  <c r="BI122" i="37" s="1"/>
  <c r="BZ32" i="25"/>
  <c r="BU122" i="37" s="1"/>
  <c r="CL32" i="25"/>
  <c r="CG122" i="37" s="1"/>
  <c r="CX32" i="25"/>
  <c r="CS122" i="37" s="1"/>
  <c r="X32" i="25"/>
  <c r="S122" i="37" s="1"/>
  <c r="AB32" i="25"/>
  <c r="AF32" i="25"/>
  <c r="AA122" i="37" s="1"/>
  <c r="AJ32" i="25"/>
  <c r="AE122" i="37" s="1"/>
  <c r="AN32" i="25"/>
  <c r="AI122" i="37" s="1"/>
  <c r="AR32" i="25"/>
  <c r="AM122" i="37" s="1"/>
  <c r="AV32" i="25"/>
  <c r="AQ122" i="37" s="1"/>
  <c r="AZ32" i="25"/>
  <c r="AU122" i="37" s="1"/>
  <c r="BD32" i="25"/>
  <c r="AY122" i="37" s="1"/>
  <c r="BH32" i="25"/>
  <c r="BC122" i="37" s="1"/>
  <c r="BL32" i="25"/>
  <c r="BG122" i="37" s="1"/>
  <c r="BP32" i="25"/>
  <c r="BK122" i="37" s="1"/>
  <c r="BT32" i="25"/>
  <c r="BO122" i="37" s="1"/>
  <c r="BX32" i="25"/>
  <c r="BS122" i="37" s="1"/>
  <c r="CB32" i="25"/>
  <c r="BW122" i="37" s="1"/>
  <c r="CF32" i="25"/>
  <c r="CA122" i="37" s="1"/>
  <c r="CJ32" i="25"/>
  <c r="CE122" i="37" s="1"/>
  <c r="CN32" i="25"/>
  <c r="CI122" i="37" s="1"/>
  <c r="CR32" i="25"/>
  <c r="CM122" i="37" s="1"/>
  <c r="CV32" i="25"/>
  <c r="CQ122" i="37" s="1"/>
  <c r="Z32" i="25"/>
  <c r="U122" i="37" s="1"/>
  <c r="AH32" i="25"/>
  <c r="AC122" i="37" s="1"/>
  <c r="AP32" i="25"/>
  <c r="AK122" i="37" s="1"/>
  <c r="AX32" i="25"/>
  <c r="AS122" i="37" s="1"/>
  <c r="BJ32" i="25"/>
  <c r="BE122" i="37" s="1"/>
  <c r="BR32" i="25"/>
  <c r="BM122" i="37" s="1"/>
  <c r="CD32" i="25"/>
  <c r="BY122" i="37" s="1"/>
  <c r="CP32" i="25"/>
  <c r="CK122" i="37" s="1"/>
  <c r="Y32" i="25"/>
  <c r="T122" i="37" s="1"/>
  <c r="AC32" i="25"/>
  <c r="X122" i="37" s="1"/>
  <c r="AG32" i="25"/>
  <c r="AB122" i="37" s="1"/>
  <c r="AK32" i="25"/>
  <c r="AF122" i="37" s="1"/>
  <c r="AO32" i="25"/>
  <c r="AJ122" i="37" s="1"/>
  <c r="AS32" i="25"/>
  <c r="AN122" i="37" s="1"/>
  <c r="AW32" i="25"/>
  <c r="AR122" i="37" s="1"/>
  <c r="BA32" i="25"/>
  <c r="AV122" i="37" s="1"/>
  <c r="BE32" i="25"/>
  <c r="AZ122" i="37" s="1"/>
  <c r="BI32" i="25"/>
  <c r="BD122" i="37" s="1"/>
  <c r="BM32" i="25"/>
  <c r="BH122" i="37" s="1"/>
  <c r="BQ32" i="25"/>
  <c r="BL122" i="37" s="1"/>
  <c r="BU32" i="25"/>
  <c r="BP122" i="37" s="1"/>
  <c r="BY32" i="25"/>
  <c r="BT122" i="37" s="1"/>
  <c r="CC32" i="25"/>
  <c r="BX122" i="37" s="1"/>
  <c r="CG32" i="25"/>
  <c r="CB122" i="37" s="1"/>
  <c r="CK32" i="25"/>
  <c r="CF122" i="37" s="1"/>
  <c r="CO32" i="25"/>
  <c r="CJ122" i="37" s="1"/>
  <c r="CS32" i="25"/>
  <c r="CN122" i="37" s="1"/>
  <c r="CW32" i="25"/>
  <c r="CR122" i="37" s="1"/>
  <c r="AD32" i="25"/>
  <c r="Y122" i="37" s="1"/>
  <c r="AT32" i="25"/>
  <c r="AO122" i="37" s="1"/>
  <c r="BF32" i="25"/>
  <c r="BA122" i="37" s="1"/>
  <c r="BV32" i="25"/>
  <c r="BQ122" i="37" s="1"/>
  <c r="CH32" i="25"/>
  <c r="CC122" i="37" s="1"/>
  <c r="CT32" i="25"/>
  <c r="CO122" i="37" s="1"/>
  <c r="AA26" i="25"/>
  <c r="AC26" i="25"/>
  <c r="X116" i="37" s="1"/>
  <c r="C43" i="16"/>
  <c r="C106" i="24"/>
  <c r="AA29" i="25"/>
  <c r="AC29" i="25"/>
  <c r="X119" i="37" s="1"/>
  <c r="AD10" i="25"/>
  <c r="AD27" i="25" s="1"/>
  <c r="C107" i="24"/>
  <c r="E393" i="3" s="1"/>
  <c r="J44" i="17"/>
  <c r="J88" i="17"/>
  <c r="D268" i="3"/>
  <c r="M67" i="14"/>
  <c r="N231" i="24"/>
  <c r="C231" i="24" s="1"/>
  <c r="C320" i="5" s="1"/>
  <c r="E383" i="3"/>
  <c r="D283" i="3"/>
  <c r="C283" i="3" s="1"/>
  <c r="D272" i="3"/>
  <c r="C272" i="3" s="1"/>
  <c r="D204" i="3"/>
  <c r="AB33" i="25"/>
  <c r="E30" i="17"/>
  <c r="E44" i="17"/>
  <c r="C49" i="16"/>
  <c r="J30" i="17"/>
  <c r="D382" i="3"/>
  <c r="E88" i="17"/>
  <c r="D200" i="3"/>
  <c r="D270" i="3"/>
  <c r="C270" i="3" s="1"/>
  <c r="D214" i="3"/>
  <c r="C214" i="3" s="1"/>
  <c r="BB20" i="6"/>
  <c r="AV29" i="6"/>
  <c r="K51" i="14"/>
  <c r="G39" i="4"/>
  <c r="C242" i="3"/>
  <c r="C265" i="3"/>
  <c r="C219" i="3"/>
  <c r="L50" i="14"/>
  <c r="AV54" i="6"/>
  <c r="BH29" i="6"/>
  <c r="K25" i="8"/>
  <c r="M51" i="14"/>
  <c r="AV96" i="6"/>
  <c r="D37" i="15"/>
  <c r="E63" i="17" s="1"/>
  <c r="D18" i="3"/>
  <c r="C18" i="3" s="1"/>
  <c r="K21" i="8"/>
  <c r="BH63" i="6"/>
  <c r="L68" i="14"/>
  <c r="L70" i="14" s="1"/>
  <c r="AV63" i="6"/>
  <c r="BB96" i="6"/>
  <c r="M57" i="14"/>
  <c r="M59" i="14" s="1"/>
  <c r="H110" i="37" s="1"/>
  <c r="J110" i="37" s="1"/>
  <c r="D201" i="3"/>
  <c r="C201" i="3" s="1"/>
  <c r="D266" i="3"/>
  <c r="D203" i="3"/>
  <c r="C203" i="3" s="1"/>
  <c r="C15" i="3"/>
  <c r="D22" i="3"/>
  <c r="C22" i="3" s="1"/>
  <c r="B21" i="8"/>
  <c r="AC23" i="25"/>
  <c r="AC24" i="25" s="1"/>
  <c r="AC12" i="25"/>
  <c r="D127" i="3"/>
  <c r="B25" i="8"/>
  <c r="E13" i="17"/>
  <c r="K13" i="17" s="1"/>
  <c r="D48" i="16"/>
  <c r="L56" i="14"/>
  <c r="BB54" i="6"/>
  <c r="D132" i="3"/>
  <c r="BH20" i="6"/>
  <c r="K67" i="14"/>
  <c r="BH54" i="6"/>
  <c r="L67" i="14"/>
  <c r="BB87" i="6"/>
  <c r="M56" i="14"/>
  <c r="Z10" i="25"/>
  <c r="Z27" i="25" s="1"/>
  <c r="AA12" i="25"/>
  <c r="F26" i="8"/>
  <c r="F21" i="8"/>
  <c r="H21" i="8" s="1"/>
  <c r="V36" i="14"/>
  <c r="R36" i="14"/>
  <c r="S36" i="14"/>
  <c r="U36" i="14"/>
  <c r="Q36" i="14"/>
  <c r="W36" i="14"/>
  <c r="G41" i="4" l="1"/>
  <c r="G24" i="8"/>
  <c r="H25" i="8"/>
  <c r="H26" i="8"/>
  <c r="H24" i="8"/>
  <c r="G23" i="8"/>
  <c r="H23" i="8"/>
  <c r="G26" i="8"/>
  <c r="G25" i="8"/>
  <c r="G21" i="8"/>
  <c r="E202" i="3"/>
  <c r="D202" i="3" s="1"/>
  <c r="C202" i="3" s="1"/>
  <c r="I22" i="8" a="1"/>
  <c r="I22" i="8" s="1"/>
  <c r="C36" i="14"/>
  <c r="D36" i="14"/>
  <c r="H36" i="14"/>
  <c r="Z36" i="14"/>
  <c r="L36" i="14" s="1"/>
  <c r="G36" i="14"/>
  <c r="Y36" i="14"/>
  <c r="K36" i="14" s="1"/>
  <c r="AA36" i="14"/>
  <c r="M36" i="14" s="1"/>
  <c r="I36" i="14"/>
  <c r="E36" i="14"/>
  <c r="C266" i="3"/>
  <c r="C37" i="16"/>
  <c r="D37" i="16"/>
  <c r="E37" i="16"/>
  <c r="AG37" i="14"/>
  <c r="V37" i="14"/>
  <c r="AO37" i="14"/>
  <c r="AK37" i="14"/>
  <c r="AI37" i="14"/>
  <c r="AJ37" i="14"/>
  <c r="Z37" i="14"/>
  <c r="AE37" i="14"/>
  <c r="AM37" i="14"/>
  <c r="AF37" i="14"/>
  <c r="AA37" i="14"/>
  <c r="Q37" i="14"/>
  <c r="AN37" i="14"/>
  <c r="AD19" i="25"/>
  <c r="AD18" i="25"/>
  <c r="AD15" i="25"/>
  <c r="Z15" i="25"/>
  <c r="Z18" i="25"/>
  <c r="Z19" i="25"/>
  <c r="AD17" i="25"/>
  <c r="AD16" i="25"/>
  <c r="Z17" i="25"/>
  <c r="Z16" i="25"/>
  <c r="D21" i="8"/>
  <c r="C21" i="8"/>
  <c r="D25" i="8"/>
  <c r="C25" i="8"/>
  <c r="Z28" i="25"/>
  <c r="U118" i="37" s="1"/>
  <c r="U130" i="37" s="1"/>
  <c r="AD28" i="25"/>
  <c r="Y118" i="37" s="1"/>
  <c r="AD25" i="25"/>
  <c r="AD35" i="25"/>
  <c r="AD36" i="25" s="1"/>
  <c r="Z35" i="25"/>
  <c r="Z36" i="25" s="1"/>
  <c r="C25" i="13"/>
  <c r="D20" i="17" s="1"/>
  <c r="G76" i="17"/>
  <c r="F107" i="37"/>
  <c r="C37" i="15"/>
  <c r="D63" i="17" s="1"/>
  <c r="J63" i="17" s="1"/>
  <c r="I76" i="17"/>
  <c r="H107" i="37"/>
  <c r="G54" i="17"/>
  <c r="J54" i="17" s="1"/>
  <c r="G107" i="37"/>
  <c r="H76" i="17"/>
  <c r="G34" i="4"/>
  <c r="G57" i="4"/>
  <c r="G58" i="4"/>
  <c r="G59" i="4"/>
  <c r="C48" i="16"/>
  <c r="L21" i="8"/>
  <c r="M21" i="8"/>
  <c r="M25" i="8"/>
  <c r="L25" i="8"/>
  <c r="S128" i="37"/>
  <c r="S132" i="37"/>
  <c r="V128" i="37"/>
  <c r="V146" i="37" s="1"/>
  <c r="V132" i="37"/>
  <c r="Q128" i="37"/>
  <c r="Q132" i="37"/>
  <c r="R128" i="37"/>
  <c r="R132" i="37"/>
  <c r="T128" i="37"/>
  <c r="T132" i="37"/>
  <c r="U128" i="37"/>
  <c r="U132" i="37"/>
  <c r="G79" i="17"/>
  <c r="J79" i="17" s="1"/>
  <c r="AC20" i="25"/>
  <c r="AA20" i="25"/>
  <c r="Z34" i="25"/>
  <c r="AD34" i="25"/>
  <c r="Z37" i="25"/>
  <c r="AD37" i="25"/>
  <c r="D12" i="15"/>
  <c r="D23" i="14"/>
  <c r="L23" i="14"/>
  <c r="E12" i="15"/>
  <c r="C12" i="15"/>
  <c r="C204" i="3"/>
  <c r="C23" i="14"/>
  <c r="K22" i="14"/>
  <c r="K23" i="14" s="1"/>
  <c r="M22" i="14"/>
  <c r="M23" i="14" s="1"/>
  <c r="E23" i="14"/>
  <c r="C268" i="3"/>
  <c r="C200" i="3"/>
  <c r="D38" i="16"/>
  <c r="C38" i="16"/>
  <c r="AC40" i="25"/>
  <c r="AA40" i="25"/>
  <c r="AC48" i="25"/>
  <c r="AA48" i="25"/>
  <c r="X117" i="37"/>
  <c r="AC30" i="25"/>
  <c r="X120" i="37" s="1"/>
  <c r="AA30" i="25"/>
  <c r="AA42" i="25" s="1"/>
  <c r="C24" i="13"/>
  <c r="D19" i="17" s="1"/>
  <c r="E24" i="13"/>
  <c r="F19" i="17" s="1"/>
  <c r="D24" i="13"/>
  <c r="E19" i="17" s="1"/>
  <c r="AB50" i="25"/>
  <c r="C349" i="5"/>
  <c r="AB31" i="25" s="1"/>
  <c r="AB52" i="25"/>
  <c r="W122" i="37"/>
  <c r="AA52" i="25"/>
  <c r="D25" i="13"/>
  <c r="E20" i="17" s="1"/>
  <c r="H55" i="17"/>
  <c r="K55" i="17" s="1"/>
  <c r="G111" i="37"/>
  <c r="J111" i="37" s="1"/>
  <c r="AB53" i="25"/>
  <c r="W123" i="37"/>
  <c r="AA49" i="25"/>
  <c r="V119" i="37"/>
  <c r="V127" i="37" s="1"/>
  <c r="V145" i="37" s="1"/>
  <c r="AA46" i="25"/>
  <c r="V116" i="37"/>
  <c r="V126" i="37" s="1"/>
  <c r="V144" i="37" s="1"/>
  <c r="AA47" i="25"/>
  <c r="V117" i="37"/>
  <c r="V129" i="37" s="1"/>
  <c r="V147" i="37" s="1"/>
  <c r="L36" i="17"/>
  <c r="C197" i="3"/>
  <c r="I54" i="17"/>
  <c r="K54" i="17" s="1"/>
  <c r="E25" i="13"/>
  <c r="F20" i="17" s="1"/>
  <c r="AC47" i="25"/>
  <c r="AC52" i="25"/>
  <c r="AC49" i="25"/>
  <c r="AC46" i="25"/>
  <c r="I79" i="17"/>
  <c r="K79" i="17" s="1"/>
  <c r="H80" i="17"/>
  <c r="AB39" i="25"/>
  <c r="K36" i="17"/>
  <c r="J36" i="17"/>
  <c r="J13" i="17"/>
  <c r="AD30" i="25"/>
  <c r="Z30" i="25"/>
  <c r="AB38" i="25"/>
  <c r="L13" i="17"/>
  <c r="Z33" i="25"/>
  <c r="AB41" i="25"/>
  <c r="AB44" i="25"/>
  <c r="AB42" i="25"/>
  <c r="E392" i="3"/>
  <c r="AD33" i="25"/>
  <c r="AC33" i="25"/>
  <c r="X123" i="37" s="1"/>
  <c r="AA33" i="25"/>
  <c r="V123" i="37" s="1"/>
  <c r="V131" i="37" s="1"/>
  <c r="V149" i="37" s="1"/>
  <c r="AB45" i="25"/>
  <c r="AC41" i="25"/>
  <c r="AC38" i="25"/>
  <c r="AA38" i="25"/>
  <c r="AC39" i="25"/>
  <c r="AA41" i="25"/>
  <c r="AD26" i="25"/>
  <c r="AA39" i="25"/>
  <c r="AC44" i="25"/>
  <c r="Z26" i="25"/>
  <c r="AA44" i="25"/>
  <c r="K53" i="14"/>
  <c r="E48" i="16"/>
  <c r="AE10" i="25"/>
  <c r="AE27" i="25" s="1"/>
  <c r="AD29" i="25"/>
  <c r="AD12" i="25"/>
  <c r="AD23" i="25"/>
  <c r="Z29" i="25"/>
  <c r="AD24" i="25"/>
  <c r="E38" i="16"/>
  <c r="E37" i="15"/>
  <c r="F63" i="17" s="1"/>
  <c r="K63" i="17" s="1"/>
  <c r="D43" i="16"/>
  <c r="D49" i="16"/>
  <c r="K20" i="8"/>
  <c r="K26" i="8"/>
  <c r="B20" i="8"/>
  <c r="M53" i="14"/>
  <c r="L53" i="14"/>
  <c r="B26" i="8"/>
  <c r="Y10" i="25"/>
  <c r="Y27" i="25" s="1"/>
  <c r="Z12" i="25"/>
  <c r="F27" i="8"/>
  <c r="H27" i="8" s="1"/>
  <c r="F20" i="8"/>
  <c r="H20" i="8" s="1"/>
  <c r="G20" i="8" l="1"/>
  <c r="G27" i="8"/>
  <c r="I25" i="8" a="1"/>
  <c r="I25" i="8" s="1"/>
  <c r="I21" i="8" a="1"/>
  <c r="I21" i="8" s="1"/>
  <c r="I24" i="8" a="1"/>
  <c r="I24" i="8" s="1"/>
  <c r="I26" i="8" a="1"/>
  <c r="I26" i="8" s="1"/>
  <c r="I23" i="8" a="1"/>
  <c r="I23" i="8" s="1"/>
  <c r="H37" i="14"/>
  <c r="L37" i="14"/>
  <c r="M37" i="14"/>
  <c r="C37" i="14"/>
  <c r="AE19" i="25"/>
  <c r="AE18" i="25"/>
  <c r="AE15" i="25"/>
  <c r="Y15" i="25"/>
  <c r="Y18" i="25"/>
  <c r="Y19" i="25"/>
  <c r="Y17" i="25"/>
  <c r="Y16" i="25"/>
  <c r="AE16" i="25"/>
  <c r="AE17" i="25"/>
  <c r="D20" i="8"/>
  <c r="C20" i="8"/>
  <c r="D26" i="8"/>
  <c r="C26" i="8"/>
  <c r="G60" i="4"/>
  <c r="J107" i="37"/>
  <c r="K76" i="17"/>
  <c r="I107" i="37"/>
  <c r="J76" i="17"/>
  <c r="Y28" i="25"/>
  <c r="T118" i="37" s="1"/>
  <c r="T130" i="37" s="1"/>
  <c r="AE25" i="25"/>
  <c r="AE28" i="25"/>
  <c r="Z118" i="37" s="1"/>
  <c r="AE35" i="25"/>
  <c r="AE36" i="25" s="1"/>
  <c r="Y35" i="25"/>
  <c r="Y36" i="25" s="1"/>
  <c r="M20" i="8"/>
  <c r="L20" i="8"/>
  <c r="M26" i="8"/>
  <c r="L26" i="8"/>
  <c r="AD20" i="25"/>
  <c r="Z20" i="25"/>
  <c r="Y34" i="25"/>
  <c r="AE34" i="25"/>
  <c r="AE37" i="25"/>
  <c r="Y37" i="25"/>
  <c r="K19" i="17"/>
  <c r="J20" i="17"/>
  <c r="K20" i="17"/>
  <c r="J19" i="17"/>
  <c r="AD40" i="25"/>
  <c r="Z40" i="25"/>
  <c r="Z52" i="25"/>
  <c r="Z48" i="25"/>
  <c r="AD52" i="25"/>
  <c r="AD48" i="25"/>
  <c r="Y26" i="25"/>
  <c r="V120" i="37"/>
  <c r="V124" i="37" s="1"/>
  <c r="AA50" i="25"/>
  <c r="AC50" i="25"/>
  <c r="AC42" i="25"/>
  <c r="AC31" i="25"/>
  <c r="X121" i="37" s="1"/>
  <c r="Z31" i="25"/>
  <c r="Z51" i="25" s="1"/>
  <c r="AD31" i="25"/>
  <c r="AD51" i="25" s="1"/>
  <c r="AA31" i="25"/>
  <c r="V121" i="37" s="1"/>
  <c r="V125" i="37" s="1"/>
  <c r="V143" i="37" s="1"/>
  <c r="W121" i="37"/>
  <c r="AB51" i="25"/>
  <c r="G109" i="37"/>
  <c r="D23" i="13"/>
  <c r="E18" i="17" s="1"/>
  <c r="H109" i="37"/>
  <c r="E23" i="13"/>
  <c r="F18" i="17" s="1"/>
  <c r="F109" i="37"/>
  <c r="C23" i="13"/>
  <c r="D18" i="17" s="1"/>
  <c r="AB43" i="25"/>
  <c r="I111" i="37"/>
  <c r="J55" i="17"/>
  <c r="AD47" i="25"/>
  <c r="Y117" i="37"/>
  <c r="AD49" i="25"/>
  <c r="Y119" i="37"/>
  <c r="Z46" i="25"/>
  <c r="U116" i="37"/>
  <c r="U126" i="37" s="1"/>
  <c r="AD53" i="25"/>
  <c r="Y123" i="37"/>
  <c r="Z50" i="25"/>
  <c r="U120" i="37"/>
  <c r="U124" i="37" s="1"/>
  <c r="Z47" i="25"/>
  <c r="U117" i="37"/>
  <c r="U129" i="37" s="1"/>
  <c r="AD50" i="25"/>
  <c r="Y120" i="37"/>
  <c r="Z49" i="25"/>
  <c r="U119" i="37"/>
  <c r="U127" i="37" s="1"/>
  <c r="AD46" i="25"/>
  <c r="Y116" i="37"/>
  <c r="Z53" i="25"/>
  <c r="U123" i="37"/>
  <c r="U131" i="37" s="1"/>
  <c r="K80" i="17"/>
  <c r="J80" i="17"/>
  <c r="G53" i="17"/>
  <c r="H53" i="17"/>
  <c r="I53" i="17"/>
  <c r="I78" i="17"/>
  <c r="H78" i="17"/>
  <c r="AA45" i="25"/>
  <c r="AA53" i="25"/>
  <c r="AC45" i="25"/>
  <c r="AC53" i="25"/>
  <c r="G78" i="17"/>
  <c r="G64" i="4"/>
  <c r="G74" i="4" s="1"/>
  <c r="G63" i="4"/>
  <c r="G73" i="4" s="1"/>
  <c r="G62" i="4"/>
  <c r="J23" i="17"/>
  <c r="K23" i="17"/>
  <c r="Y33" i="25"/>
  <c r="Y31" i="25"/>
  <c r="Y30" i="25"/>
  <c r="AE33" i="25"/>
  <c r="AE31" i="25"/>
  <c r="AE30" i="25"/>
  <c r="H19" i="24"/>
  <c r="L19" i="24" s="1"/>
  <c r="C51" i="16"/>
  <c r="L23" i="17"/>
  <c r="L34" i="17"/>
  <c r="L47" i="17"/>
  <c r="L63" i="17"/>
  <c r="Z39" i="25"/>
  <c r="D51" i="16"/>
  <c r="E51" i="16"/>
  <c r="Z38" i="25"/>
  <c r="Z41" i="25"/>
  <c r="Z45" i="25"/>
  <c r="Z42" i="25"/>
  <c r="Z44" i="25"/>
  <c r="AD45" i="25"/>
  <c r="AD42" i="25"/>
  <c r="AD44" i="25"/>
  <c r="AE26" i="25"/>
  <c r="AE12" i="25"/>
  <c r="AE29" i="25"/>
  <c r="AF10" i="25"/>
  <c r="AF27" i="25" s="1"/>
  <c r="AE23" i="25"/>
  <c r="AE24" i="25"/>
  <c r="AD41" i="25"/>
  <c r="AD39" i="25"/>
  <c r="AD38" i="25"/>
  <c r="Y29" i="25"/>
  <c r="C39" i="16"/>
  <c r="D39" i="16"/>
  <c r="E39" i="16"/>
  <c r="K27" i="8"/>
  <c r="K19" i="8"/>
  <c r="B27" i="8"/>
  <c r="E47" i="16"/>
  <c r="E35" i="15"/>
  <c r="F62" i="17" s="1"/>
  <c r="C47" i="16"/>
  <c r="C35" i="15"/>
  <c r="D62" i="17" s="1"/>
  <c r="B19" i="8"/>
  <c r="D35" i="15"/>
  <c r="E62" i="17" s="1"/>
  <c r="D47" i="16"/>
  <c r="X10" i="25"/>
  <c r="X27" i="25" s="1"/>
  <c r="Y12" i="25"/>
  <c r="F28" i="8"/>
  <c r="H28" i="8" s="1"/>
  <c r="F19" i="8"/>
  <c r="H19" i="8" s="1"/>
  <c r="G19" i="8" l="1"/>
  <c r="G28" i="8"/>
  <c r="I27" i="8" a="1"/>
  <c r="I27" i="8" s="1"/>
  <c r="I20" i="8" a="1"/>
  <c r="I20" i="8" s="1"/>
  <c r="AF19" i="25"/>
  <c r="AF18" i="25"/>
  <c r="AF15" i="25"/>
  <c r="X15" i="25"/>
  <c r="X18" i="25"/>
  <c r="X19" i="25"/>
  <c r="X16" i="25"/>
  <c r="X17" i="25"/>
  <c r="AF17" i="25"/>
  <c r="AF16" i="25"/>
  <c r="C19" i="8"/>
  <c r="D19" i="8"/>
  <c r="C27" i="8"/>
  <c r="D27" i="8"/>
  <c r="AF25" i="25"/>
  <c r="AF28" i="25"/>
  <c r="AA118" i="37" s="1"/>
  <c r="X28" i="25"/>
  <c r="S118" i="37" s="1"/>
  <c r="S130" i="37" s="1"/>
  <c r="G99" i="4"/>
  <c r="X35" i="25"/>
  <c r="X36" i="25" s="1"/>
  <c r="AF35" i="25"/>
  <c r="AF36" i="25" s="1"/>
  <c r="M19" i="8"/>
  <c r="L19" i="8"/>
  <c r="L27" i="8"/>
  <c r="M27" i="8"/>
  <c r="AE20" i="25"/>
  <c r="Y20" i="25"/>
  <c r="AF34" i="25"/>
  <c r="X34" i="25"/>
  <c r="AF37" i="25"/>
  <c r="X37" i="25"/>
  <c r="K18" i="17"/>
  <c r="J18" i="17"/>
  <c r="Y40" i="25"/>
  <c r="AE40" i="25"/>
  <c r="V142" i="37"/>
  <c r="V150" i="37"/>
  <c r="AE52" i="25"/>
  <c r="AE48" i="25"/>
  <c r="Y52" i="25"/>
  <c r="Y48" i="25"/>
  <c r="J109" i="37"/>
  <c r="AC43" i="25"/>
  <c r="Z43" i="25"/>
  <c r="AC51" i="25"/>
  <c r="U121" i="37"/>
  <c r="U125" i="37" s="1"/>
  <c r="AA51" i="25"/>
  <c r="AA43" i="25"/>
  <c r="I109" i="37"/>
  <c r="Y121" i="37"/>
  <c r="AD43" i="25"/>
  <c r="K78" i="17"/>
  <c r="Y46" i="25"/>
  <c r="T116" i="37"/>
  <c r="T126" i="37" s="1"/>
  <c r="Y53" i="25"/>
  <c r="T123" i="37"/>
  <c r="T131" i="37" s="1"/>
  <c r="AE46" i="25"/>
  <c r="Z116" i="37"/>
  <c r="AE50" i="25"/>
  <c r="Z120" i="37"/>
  <c r="AE51" i="25"/>
  <c r="Z121" i="37"/>
  <c r="AE49" i="25"/>
  <c r="Z119" i="37"/>
  <c r="AE53" i="25"/>
  <c r="Z123" i="37"/>
  <c r="Y50" i="25"/>
  <c r="T120" i="37"/>
  <c r="T124" i="37" s="1"/>
  <c r="Y49" i="25"/>
  <c r="T119" i="37"/>
  <c r="T127" i="37" s="1"/>
  <c r="Y47" i="25"/>
  <c r="T117" i="37"/>
  <c r="T129" i="37" s="1"/>
  <c r="AE47" i="25"/>
  <c r="Z117" i="37"/>
  <c r="Y51" i="25"/>
  <c r="T121" i="37"/>
  <c r="T125" i="37" s="1"/>
  <c r="J78" i="17"/>
  <c r="J53" i="17"/>
  <c r="C19" i="24"/>
  <c r="E148" i="3" s="1"/>
  <c r="K53" i="17"/>
  <c r="G72" i="4"/>
  <c r="G65" i="4"/>
  <c r="G75" i="4" s="1"/>
  <c r="K62" i="17"/>
  <c r="K22" i="17"/>
  <c r="J22" i="17"/>
  <c r="J62" i="17"/>
  <c r="AF33" i="25"/>
  <c r="AF30" i="25"/>
  <c r="AF31" i="25"/>
  <c r="X33" i="25"/>
  <c r="X30" i="25"/>
  <c r="X31" i="25"/>
  <c r="L62" i="17"/>
  <c r="L22" i="17"/>
  <c r="L38" i="17"/>
  <c r="E52" i="16"/>
  <c r="AE41" i="25"/>
  <c r="AE39" i="25"/>
  <c r="D52" i="16"/>
  <c r="Y38" i="25"/>
  <c r="AE38" i="25"/>
  <c r="Y41" i="25"/>
  <c r="Y39" i="25"/>
  <c r="AF26" i="25"/>
  <c r="Y45" i="25"/>
  <c r="Y44" i="25"/>
  <c r="Y43" i="25"/>
  <c r="Y42" i="25"/>
  <c r="X26" i="25"/>
  <c r="AE44" i="25"/>
  <c r="AE43" i="25"/>
  <c r="AE42" i="25"/>
  <c r="AE45" i="25"/>
  <c r="AF23" i="25"/>
  <c r="AF24" i="25"/>
  <c r="AF12" i="25"/>
  <c r="AG10" i="25"/>
  <c r="AG27" i="25" s="1"/>
  <c r="AF29" i="25"/>
  <c r="X29" i="25"/>
  <c r="K18" i="8"/>
  <c r="K28" i="8"/>
  <c r="B18" i="8"/>
  <c r="C52" i="16"/>
  <c r="B28" i="8"/>
  <c r="W10" i="25"/>
  <c r="W27" i="25" s="1"/>
  <c r="X12" i="25"/>
  <c r="F29" i="8"/>
  <c r="H29" i="8" s="1"/>
  <c r="F18" i="8"/>
  <c r="H18" i="8" s="1"/>
  <c r="G29" i="8" l="1"/>
  <c r="G18" i="8"/>
  <c r="I28" i="8" a="1"/>
  <c r="I28" i="8" s="1"/>
  <c r="I19" i="8" a="1"/>
  <c r="I19" i="8" s="1"/>
  <c r="AG15" i="25"/>
  <c r="AG18" i="25"/>
  <c r="AG19" i="25"/>
  <c r="W15" i="25"/>
  <c r="W18" i="25"/>
  <c r="W19" i="25"/>
  <c r="AG17" i="25"/>
  <c r="AG16" i="25"/>
  <c r="W16" i="25"/>
  <c r="W17" i="25"/>
  <c r="C28" i="8"/>
  <c r="D28" i="8"/>
  <c r="D18" i="8"/>
  <c r="C18" i="8"/>
  <c r="AG25" i="25"/>
  <c r="AG28" i="25"/>
  <c r="AB118" i="37" s="1"/>
  <c r="W28" i="25"/>
  <c r="R118" i="37" s="1"/>
  <c r="R130" i="37" s="1"/>
  <c r="W35" i="25"/>
  <c r="W36" i="25" s="1"/>
  <c r="AG35" i="25"/>
  <c r="AG36" i="25" s="1"/>
  <c r="M28" i="8"/>
  <c r="L28" i="8"/>
  <c r="M18" i="8"/>
  <c r="L18" i="8"/>
  <c r="X20" i="25"/>
  <c r="AF20" i="25"/>
  <c r="AG34" i="25"/>
  <c r="W34" i="25"/>
  <c r="AG37" i="25"/>
  <c r="W37" i="25"/>
  <c r="X40" i="25"/>
  <c r="AF40" i="25"/>
  <c r="X52" i="25"/>
  <c r="X48" i="25"/>
  <c r="AF52" i="25"/>
  <c r="AF48" i="25"/>
  <c r="X50" i="25"/>
  <c r="S120" i="37"/>
  <c r="S124" i="37" s="1"/>
  <c r="X53" i="25"/>
  <c r="S123" i="37"/>
  <c r="S131" i="37" s="1"/>
  <c r="AF51" i="25"/>
  <c r="AA121" i="37"/>
  <c r="AF46" i="25"/>
  <c r="AA116" i="37"/>
  <c r="AF50" i="25"/>
  <c r="AA120" i="37"/>
  <c r="X49" i="25"/>
  <c r="S119" i="37"/>
  <c r="S127" i="37" s="1"/>
  <c r="AF47" i="25"/>
  <c r="AA117" i="37"/>
  <c r="X47" i="25"/>
  <c r="S117" i="37"/>
  <c r="S129" i="37" s="1"/>
  <c r="X46" i="25"/>
  <c r="S116" i="37"/>
  <c r="S126" i="37" s="1"/>
  <c r="AF53" i="25"/>
  <c r="AA123" i="37"/>
  <c r="AF49" i="25"/>
  <c r="AA119" i="37"/>
  <c r="X51" i="25"/>
  <c r="S121" i="37"/>
  <c r="S125" i="37" s="1"/>
  <c r="L33" i="17"/>
  <c r="AG33" i="25"/>
  <c r="AB123" i="37" s="1"/>
  <c r="AG31" i="25"/>
  <c r="AB121" i="37" s="1"/>
  <c r="AG30" i="25"/>
  <c r="AB120" i="37" s="1"/>
  <c r="W33" i="25"/>
  <c r="W31" i="25"/>
  <c r="W30" i="25"/>
  <c r="L70" i="17"/>
  <c r="L46" i="17"/>
  <c r="X38" i="25"/>
  <c r="AF41" i="25"/>
  <c r="AF38" i="25"/>
  <c r="X41" i="25"/>
  <c r="AF39" i="25"/>
  <c r="X39" i="25"/>
  <c r="AG26" i="25"/>
  <c r="AB116" i="37" s="1"/>
  <c r="X45" i="25"/>
  <c r="X42" i="25"/>
  <c r="X44" i="25"/>
  <c r="X43" i="25"/>
  <c r="W26" i="25"/>
  <c r="AF45" i="25"/>
  <c r="AF42" i="25"/>
  <c r="AF44" i="25"/>
  <c r="AF43" i="25"/>
  <c r="AG24" i="25"/>
  <c r="AH10" i="25"/>
  <c r="AH27" i="25" s="1"/>
  <c r="AG29" i="25"/>
  <c r="AB119" i="37" s="1"/>
  <c r="AG23" i="25"/>
  <c r="AG12" i="25"/>
  <c r="W29" i="25"/>
  <c r="K29" i="8"/>
  <c r="K17" i="8"/>
  <c r="B17" i="8"/>
  <c r="B29" i="8"/>
  <c r="V10" i="25"/>
  <c r="V27" i="25" s="1"/>
  <c r="W12" i="25"/>
  <c r="F17" i="8"/>
  <c r="H17" i="8" s="1"/>
  <c r="F30" i="8"/>
  <c r="H30" i="8" s="1"/>
  <c r="G30" i="8" l="1"/>
  <c r="G17" i="8"/>
  <c r="I29" i="8" a="1"/>
  <c r="I29" i="8" s="1"/>
  <c r="I18" i="8" a="1"/>
  <c r="I18" i="8" s="1"/>
  <c r="AH19" i="25"/>
  <c r="AH18" i="25"/>
  <c r="AH15" i="25"/>
  <c r="V18" i="25"/>
  <c r="V15" i="25"/>
  <c r="V19" i="25"/>
  <c r="AH16" i="25"/>
  <c r="AH17" i="25"/>
  <c r="V16" i="25"/>
  <c r="V17" i="25"/>
  <c r="D29" i="8"/>
  <c r="C29" i="8"/>
  <c r="D17" i="8"/>
  <c r="C17" i="8"/>
  <c r="AH25" i="25"/>
  <c r="AH28" i="25"/>
  <c r="AC118" i="37" s="1"/>
  <c r="V28" i="25"/>
  <c r="Q118" i="37" s="1"/>
  <c r="Q130" i="37" s="1"/>
  <c r="V35" i="25"/>
  <c r="V36" i="25" s="1"/>
  <c r="AH35" i="25"/>
  <c r="AH36" i="25" s="1"/>
  <c r="M17" i="8"/>
  <c r="L17" i="8"/>
  <c r="L29" i="8"/>
  <c r="M29" i="8"/>
  <c r="AG20" i="25"/>
  <c r="W20" i="25"/>
  <c r="V34" i="25"/>
  <c r="AH34" i="25"/>
  <c r="V37" i="25"/>
  <c r="AH37" i="25"/>
  <c r="W42" i="25"/>
  <c r="W50" i="25"/>
  <c r="AG40" i="25"/>
  <c r="W40" i="25"/>
  <c r="AG52" i="25"/>
  <c r="AG48" i="25"/>
  <c r="W52" i="25"/>
  <c r="W48" i="25"/>
  <c r="AB117" i="37"/>
  <c r="W47" i="25"/>
  <c r="R117" i="37"/>
  <c r="R129" i="37" s="1"/>
  <c r="R120" i="37"/>
  <c r="R124" i="37" s="1"/>
  <c r="W49" i="25"/>
  <c r="R119" i="37"/>
  <c r="R127" i="37" s="1"/>
  <c r="W51" i="25"/>
  <c r="R121" i="37"/>
  <c r="R125" i="37" s="1"/>
  <c r="W53" i="25"/>
  <c r="R123" i="37"/>
  <c r="R131" i="37" s="1"/>
  <c r="W46" i="25"/>
  <c r="R116" i="37"/>
  <c r="R126" i="37" s="1"/>
  <c r="AG46" i="25"/>
  <c r="AG49" i="25"/>
  <c r="AG53" i="25"/>
  <c r="AG51" i="25"/>
  <c r="AG47" i="25"/>
  <c r="AG50" i="25"/>
  <c r="AG41" i="25"/>
  <c r="V33" i="25"/>
  <c r="V31" i="25"/>
  <c r="V30" i="25"/>
  <c r="AH31" i="25"/>
  <c r="AH30" i="25"/>
  <c r="AG39" i="25"/>
  <c r="W39" i="25"/>
  <c r="AI10" i="25"/>
  <c r="AI27" i="25" s="1"/>
  <c r="AH33" i="25"/>
  <c r="V26" i="25"/>
  <c r="W41" i="25"/>
  <c r="AG38" i="25"/>
  <c r="W38" i="25"/>
  <c r="AH26" i="25"/>
  <c r="W44" i="25"/>
  <c r="W43" i="25"/>
  <c r="W45" i="25"/>
  <c r="AG45" i="25"/>
  <c r="AG44" i="25"/>
  <c r="AG42" i="25"/>
  <c r="AG43" i="25"/>
  <c r="AH23" i="25"/>
  <c r="AH24" i="25"/>
  <c r="AH12" i="25"/>
  <c r="AH29" i="25"/>
  <c r="V29" i="25"/>
  <c r="V12" i="25"/>
  <c r="K30" i="8"/>
  <c r="K16" i="8"/>
  <c r="B30" i="8"/>
  <c r="B16" i="8"/>
  <c r="U10" i="25"/>
  <c r="F31" i="8"/>
  <c r="H31" i="8" s="1"/>
  <c r="F16" i="8"/>
  <c r="H16" i="8" s="1"/>
  <c r="G16" i="8" l="1"/>
  <c r="G31" i="8"/>
  <c r="I17" i="8" a="1"/>
  <c r="I17" i="8" s="1"/>
  <c r="I30" i="8" a="1"/>
  <c r="I30" i="8" s="1"/>
  <c r="AI19" i="25"/>
  <c r="AI15" i="25"/>
  <c r="AI18" i="25"/>
  <c r="U18" i="25"/>
  <c r="U19" i="25"/>
  <c r="U15" i="25"/>
  <c r="AI17" i="25"/>
  <c r="AI16" i="25"/>
  <c r="U16" i="25"/>
  <c r="U17" i="25"/>
  <c r="C16" i="8"/>
  <c r="D16" i="8"/>
  <c r="D30" i="8"/>
  <c r="C30" i="8"/>
  <c r="AI25" i="25"/>
  <c r="AI28" i="25"/>
  <c r="AD118" i="37" s="1"/>
  <c r="AI35" i="25"/>
  <c r="AI36" i="25" s="1"/>
  <c r="U35" i="25"/>
  <c r="U36" i="25" s="1"/>
  <c r="L30" i="8"/>
  <c r="M30" i="8"/>
  <c r="M16" i="8"/>
  <c r="L16" i="8"/>
  <c r="AH20" i="25"/>
  <c r="V20" i="25"/>
  <c r="U34" i="25"/>
  <c r="AI34" i="25"/>
  <c r="AI37" i="25"/>
  <c r="U37" i="25"/>
  <c r="V40" i="25"/>
  <c r="AH40" i="25"/>
  <c r="V48" i="25"/>
  <c r="AH52" i="25"/>
  <c r="AH48" i="25"/>
  <c r="V52" i="25"/>
  <c r="V47" i="25"/>
  <c r="AH51" i="25"/>
  <c r="AC121" i="37"/>
  <c r="Q117" i="37"/>
  <c r="Q129" i="37" s="1"/>
  <c r="AH47" i="25"/>
  <c r="AC117" i="37"/>
  <c r="V46" i="25"/>
  <c r="Q116" i="37"/>
  <c r="Q126" i="37" s="1"/>
  <c r="V49" i="25"/>
  <c r="Q119" i="37"/>
  <c r="Q127" i="37" s="1"/>
  <c r="AH53" i="25"/>
  <c r="AC123" i="37"/>
  <c r="V50" i="25"/>
  <c r="Q120" i="37"/>
  <c r="Q124" i="37" s="1"/>
  <c r="V51" i="25"/>
  <c r="Q121" i="37"/>
  <c r="Q125" i="37" s="1"/>
  <c r="AH46" i="25"/>
  <c r="AC116" i="37"/>
  <c r="AH49" i="25"/>
  <c r="AC119" i="37"/>
  <c r="V53" i="25"/>
  <c r="Q123" i="37"/>
  <c r="Q131" i="37" s="1"/>
  <c r="AH50" i="25"/>
  <c r="AC120" i="37"/>
  <c r="V42" i="25"/>
  <c r="AI23" i="25"/>
  <c r="AI29" i="25"/>
  <c r="AD119" i="37" s="1"/>
  <c r="AI12" i="25"/>
  <c r="AJ10" i="25"/>
  <c r="AJ27" i="25" s="1"/>
  <c r="AI24" i="25"/>
  <c r="AI33" i="25"/>
  <c r="AD123" i="37" s="1"/>
  <c r="AI30" i="25"/>
  <c r="AD120" i="37" s="1"/>
  <c r="AI31" i="25"/>
  <c r="AD121" i="37" s="1"/>
  <c r="V45" i="25"/>
  <c r="V38" i="25"/>
  <c r="V44" i="25"/>
  <c r="AI26" i="25"/>
  <c r="AD116" i="37" s="1"/>
  <c r="V43" i="25"/>
  <c r="AH41" i="25"/>
  <c r="AH39" i="25"/>
  <c r="V41" i="25"/>
  <c r="AH43" i="25"/>
  <c r="AH45" i="25"/>
  <c r="AH42" i="25"/>
  <c r="AH44" i="25"/>
  <c r="AH38" i="25"/>
  <c r="V39" i="25"/>
  <c r="U12" i="25"/>
  <c r="K31" i="8"/>
  <c r="K15" i="8"/>
  <c r="B31" i="8"/>
  <c r="B15" i="8"/>
  <c r="T10" i="25"/>
  <c r="F15" i="8"/>
  <c r="H15" i="8" s="1"/>
  <c r="F32" i="8"/>
  <c r="H32" i="8" s="1"/>
  <c r="G32" i="8" l="1"/>
  <c r="G15" i="8"/>
  <c r="I31" i="8" a="1"/>
  <c r="I31" i="8" s="1"/>
  <c r="I16" i="8" a="1"/>
  <c r="I16" i="8" s="1"/>
  <c r="AJ19" i="25"/>
  <c r="AJ18" i="25"/>
  <c r="AJ15" i="25"/>
  <c r="T19" i="25"/>
  <c r="T18" i="25"/>
  <c r="T15" i="25"/>
  <c r="T17" i="25"/>
  <c r="T16" i="25"/>
  <c r="AJ17" i="25"/>
  <c r="AJ16" i="25"/>
  <c r="D31" i="8"/>
  <c r="C31" i="8"/>
  <c r="C15" i="8"/>
  <c r="D15" i="8"/>
  <c r="AJ25" i="25"/>
  <c r="AJ28" i="25"/>
  <c r="AE118" i="37" s="1"/>
  <c r="AJ35" i="25"/>
  <c r="AJ36" i="25" s="1"/>
  <c r="T35" i="25"/>
  <c r="T36" i="25" s="1"/>
  <c r="M15" i="8"/>
  <c r="L15" i="8"/>
  <c r="M31" i="8"/>
  <c r="L31" i="8"/>
  <c r="AI20" i="25"/>
  <c r="U20" i="25"/>
  <c r="AJ34" i="25"/>
  <c r="T34" i="25"/>
  <c r="T37" i="25"/>
  <c r="AJ37" i="25"/>
  <c r="AI40" i="25"/>
  <c r="AI52" i="25"/>
  <c r="AI48" i="25"/>
  <c r="AD117" i="37"/>
  <c r="AI50" i="25"/>
  <c r="AI47" i="25"/>
  <c r="AI49" i="25"/>
  <c r="AI46" i="25"/>
  <c r="AI53" i="25"/>
  <c r="AJ12" i="25"/>
  <c r="AI51" i="25"/>
  <c r="AI44" i="25"/>
  <c r="AI39" i="25"/>
  <c r="AI42" i="25"/>
  <c r="AI45" i="25"/>
  <c r="AI38" i="25"/>
  <c r="AI41" i="25"/>
  <c r="AJ24" i="25"/>
  <c r="AJ23" i="25"/>
  <c r="AJ29" i="25"/>
  <c r="AE119" i="37" s="1"/>
  <c r="AJ26" i="25"/>
  <c r="AE116" i="37" s="1"/>
  <c r="AI43" i="25"/>
  <c r="AJ31" i="25"/>
  <c r="AE121" i="37" s="1"/>
  <c r="AK10" i="25"/>
  <c r="AK27" i="25" s="1"/>
  <c r="AJ30" i="25"/>
  <c r="AE120" i="37" s="1"/>
  <c r="AJ33" i="25"/>
  <c r="AE123" i="37" s="1"/>
  <c r="K14" i="8"/>
  <c r="K32" i="8"/>
  <c r="B14" i="8"/>
  <c r="B32" i="8"/>
  <c r="S10" i="25"/>
  <c r="T12" i="25"/>
  <c r="F33" i="8"/>
  <c r="H33" i="8" s="1"/>
  <c r="F14" i="8"/>
  <c r="H14" i="8" s="1"/>
  <c r="G33" i="8" l="1"/>
  <c r="G14" i="8"/>
  <c r="I15" i="8" a="1"/>
  <c r="I15" i="8" s="1"/>
  <c r="I32" i="8" a="1"/>
  <c r="I32" i="8" s="1"/>
  <c r="S19" i="25"/>
  <c r="S15" i="25"/>
  <c r="S18" i="25"/>
  <c r="AK18" i="25"/>
  <c r="AK19" i="25"/>
  <c r="AK15" i="25"/>
  <c r="S17" i="25"/>
  <c r="S16" i="25"/>
  <c r="AK16" i="25"/>
  <c r="AK17" i="25"/>
  <c r="D32" i="8"/>
  <c r="C32" i="8"/>
  <c r="D14" i="8"/>
  <c r="C14" i="8"/>
  <c r="AK25" i="25"/>
  <c r="AK28" i="25"/>
  <c r="AF118" i="37" s="1"/>
  <c r="AK35" i="25"/>
  <c r="AK36" i="25" s="1"/>
  <c r="S35" i="25"/>
  <c r="S36" i="25" s="1"/>
  <c r="M14" i="8"/>
  <c r="L14" i="8"/>
  <c r="M32" i="8"/>
  <c r="L32" i="8"/>
  <c r="AJ20" i="25"/>
  <c r="T20" i="25"/>
  <c r="AK34" i="25"/>
  <c r="S34" i="25"/>
  <c r="AK37" i="25"/>
  <c r="S37" i="25"/>
  <c r="AJ40" i="25"/>
  <c r="AJ52" i="25"/>
  <c r="AJ48" i="25"/>
  <c r="AE117" i="37"/>
  <c r="AJ53" i="25"/>
  <c r="AJ51" i="25"/>
  <c r="AJ49" i="25"/>
  <c r="AJ50" i="25"/>
  <c r="AJ46" i="25"/>
  <c r="AJ47" i="25"/>
  <c r="AK33" i="25"/>
  <c r="AF123" i="37" s="1"/>
  <c r="AL10" i="25"/>
  <c r="AL27" i="25" s="1"/>
  <c r="AK26" i="25"/>
  <c r="AF116" i="37" s="1"/>
  <c r="AK23" i="25"/>
  <c r="AK29" i="25"/>
  <c r="AF119" i="37" s="1"/>
  <c r="AJ38" i="25"/>
  <c r="AK31" i="25"/>
  <c r="AF121" i="37" s="1"/>
  <c r="AK30" i="25"/>
  <c r="AF120" i="37" s="1"/>
  <c r="AJ41" i="25"/>
  <c r="AJ39" i="25"/>
  <c r="AJ45" i="25"/>
  <c r="AJ43" i="25"/>
  <c r="AK24" i="25"/>
  <c r="AJ44" i="25"/>
  <c r="AK12" i="25"/>
  <c r="AJ42" i="25"/>
  <c r="K13" i="8"/>
  <c r="K33" i="8"/>
  <c r="B13" i="8"/>
  <c r="B33" i="8"/>
  <c r="R10" i="25"/>
  <c r="S12" i="25"/>
  <c r="F13" i="8"/>
  <c r="H13" i="8" s="1"/>
  <c r="F34" i="8"/>
  <c r="H34" i="8" s="1"/>
  <c r="G13" i="8" l="1"/>
  <c r="G34" i="8"/>
  <c r="I14" i="8" a="1"/>
  <c r="I14" i="8" s="1"/>
  <c r="I33" i="8" a="1"/>
  <c r="I33" i="8" s="1"/>
  <c r="AL18" i="25"/>
  <c r="AL19" i="25"/>
  <c r="AL15" i="25"/>
  <c r="R18" i="25"/>
  <c r="R19" i="25"/>
  <c r="R15" i="25"/>
  <c r="AL17" i="25"/>
  <c r="AL16" i="25"/>
  <c r="R17" i="25"/>
  <c r="R16" i="25"/>
  <c r="D33" i="8"/>
  <c r="C33" i="8"/>
  <c r="D13" i="8"/>
  <c r="C13" i="8"/>
  <c r="AL25" i="25"/>
  <c r="AL28" i="25"/>
  <c r="AG118" i="37" s="1"/>
  <c r="AL35" i="25"/>
  <c r="AL36" i="25" s="1"/>
  <c r="R35" i="25"/>
  <c r="M33" i="8"/>
  <c r="L33" i="8"/>
  <c r="L13" i="8"/>
  <c r="M13" i="8"/>
  <c r="S20" i="25"/>
  <c r="AK20" i="25"/>
  <c r="R34" i="25"/>
  <c r="AL34" i="25"/>
  <c r="AL37" i="25"/>
  <c r="R37" i="25"/>
  <c r="AK40" i="25"/>
  <c r="AK52" i="25"/>
  <c r="AK48" i="25"/>
  <c r="AF117" i="37"/>
  <c r="DS9" i="17"/>
  <c r="AK49" i="25"/>
  <c r="AK50" i="25"/>
  <c r="AK46" i="25"/>
  <c r="AK51" i="25"/>
  <c r="AK47" i="25"/>
  <c r="AK53" i="25"/>
  <c r="AL26" i="25"/>
  <c r="AG116" i="37" s="1"/>
  <c r="AL31" i="25"/>
  <c r="AG121" i="37" s="1"/>
  <c r="AL24" i="25"/>
  <c r="AL12" i="25"/>
  <c r="AL23" i="25"/>
  <c r="AM10" i="25"/>
  <c r="AM27" i="25" s="1"/>
  <c r="AL30" i="25"/>
  <c r="AG120" i="37" s="1"/>
  <c r="AL29" i="25"/>
  <c r="AG119" i="37" s="1"/>
  <c r="AL33" i="25"/>
  <c r="AG123" i="37" s="1"/>
  <c r="AK39" i="25"/>
  <c r="AK41" i="25"/>
  <c r="AK43" i="25"/>
  <c r="AK44" i="25"/>
  <c r="AK45" i="25"/>
  <c r="AK42" i="25"/>
  <c r="AK38" i="25"/>
  <c r="R12" i="25"/>
  <c r="K34" i="8"/>
  <c r="B34" i="8"/>
  <c r="F35" i="8"/>
  <c r="H35" i="8" s="1"/>
  <c r="G35" i="8" l="1"/>
  <c r="I13" i="8" a="1"/>
  <c r="I13" i="8" s="1"/>
  <c r="I34" i="8" a="1"/>
  <c r="I34" i="8" s="1"/>
  <c r="AM15" i="25"/>
  <c r="AM18" i="25"/>
  <c r="AM19" i="25"/>
  <c r="AM17" i="25"/>
  <c r="AM16" i="25"/>
  <c r="D34" i="8"/>
  <c r="C34" i="8"/>
  <c r="AM28" i="25"/>
  <c r="AH118" i="37" s="1"/>
  <c r="AM25" i="25"/>
  <c r="CY90" i="17" a="1"/>
  <c r="CY90" i="17" s="1"/>
  <c r="CO56" i="37" s="1"/>
  <c r="CO67" i="37" s="1"/>
  <c r="DE90" i="17" a="1"/>
  <c r="DE90" i="17" s="1"/>
  <c r="CU56" i="37" s="1"/>
  <c r="CU67" i="37" s="1"/>
  <c r="DJ90" i="17" a="1"/>
  <c r="DJ90" i="17" s="1"/>
  <c r="CZ56" i="37" s="1"/>
  <c r="CZ67" i="37" s="1"/>
  <c r="CV90" i="17" a="1"/>
  <c r="CV90" i="17" s="1"/>
  <c r="CL56" i="37" s="1"/>
  <c r="CL67" i="37" s="1"/>
  <c r="DK90" i="17" a="1"/>
  <c r="DK90" i="17" s="1"/>
  <c r="DA56" i="37" s="1"/>
  <c r="DA67" i="37" s="1"/>
  <c r="DQ90" i="17" a="1"/>
  <c r="DQ90" i="17" s="1"/>
  <c r="DG56" i="37" s="1"/>
  <c r="DG67" i="37" s="1"/>
  <c r="DR90" i="17" a="1"/>
  <c r="DR90" i="17" s="1"/>
  <c r="DH56" i="37" s="1"/>
  <c r="DH67" i="37" s="1"/>
  <c r="CW90" i="17" a="1"/>
  <c r="CW90" i="17" s="1"/>
  <c r="CM56" i="37" s="1"/>
  <c r="CM67" i="37" s="1"/>
  <c r="CZ90" i="17" a="1"/>
  <c r="CZ90" i="17" s="1"/>
  <c r="CP56" i="37" s="1"/>
  <c r="CP67" i="37" s="1"/>
  <c r="CT90" i="17" a="1"/>
  <c r="CT90" i="17" s="1"/>
  <c r="CJ56" i="37" s="1"/>
  <c r="CJ67" i="37" s="1"/>
  <c r="DI90" i="17" a="1"/>
  <c r="DI90" i="17" s="1"/>
  <c r="CY56" i="37" s="1"/>
  <c r="CY67" i="37" s="1"/>
  <c r="DL90" i="17" a="1"/>
  <c r="DL90" i="17" s="1"/>
  <c r="DB56" i="37" s="1"/>
  <c r="DB67" i="37" s="1"/>
  <c r="DF90" i="17" a="1"/>
  <c r="DF90" i="17" s="1"/>
  <c r="CV56" i="37" s="1"/>
  <c r="CV67" i="37" s="1"/>
  <c r="CX90" i="17" a="1"/>
  <c r="CX90" i="17" s="1"/>
  <c r="CN56" i="37" s="1"/>
  <c r="CN67" i="37" s="1"/>
  <c r="DA90" i="17" a="1"/>
  <c r="DA90" i="17" s="1"/>
  <c r="CQ56" i="37" s="1"/>
  <c r="CQ67" i="37" s="1"/>
  <c r="CU90" i="17" a="1"/>
  <c r="CU90" i="17" s="1"/>
  <c r="CK56" i="37" s="1"/>
  <c r="CK67" i="37" s="1"/>
  <c r="DM90" i="17" a="1"/>
  <c r="DM90" i="17" s="1"/>
  <c r="DC56" i="37" s="1"/>
  <c r="DC67" i="37" s="1"/>
  <c r="DG90" i="17" a="1"/>
  <c r="DG90" i="17" s="1"/>
  <c r="CW56" i="37" s="1"/>
  <c r="CW67" i="37" s="1"/>
  <c r="DB90" i="17" a="1"/>
  <c r="DB90" i="17" s="1"/>
  <c r="CR56" i="37" s="1"/>
  <c r="CR67" i="37" s="1"/>
  <c r="DH90" i="17" a="1"/>
  <c r="DH90" i="17" s="1"/>
  <c r="CX56" i="37" s="1"/>
  <c r="CX67" i="37" s="1"/>
  <c r="DN90" i="17" a="1"/>
  <c r="DN90" i="17" s="1"/>
  <c r="DD56" i="37" s="1"/>
  <c r="DD67" i="37" s="1"/>
  <c r="DC90" i="17" a="1"/>
  <c r="DC90" i="17" s="1"/>
  <c r="CS56" i="37" s="1"/>
  <c r="CS67" i="37" s="1"/>
  <c r="DO90" i="17" a="1"/>
  <c r="DO90" i="17" s="1"/>
  <c r="DE56" i="37" s="1"/>
  <c r="DE67" i="37" s="1"/>
  <c r="DD90" i="17" a="1"/>
  <c r="DD90" i="17" s="1"/>
  <c r="CT56" i="37" s="1"/>
  <c r="CT67" i="37" s="1"/>
  <c r="DP90" i="17" a="1"/>
  <c r="DP90" i="17" s="1"/>
  <c r="DF56" i="37" s="1"/>
  <c r="DF67" i="37" s="1"/>
  <c r="CZ89" i="17" a="1"/>
  <c r="CZ89" i="17" s="1"/>
  <c r="CP55" i="37" s="1"/>
  <c r="CP66" i="37" s="1"/>
  <c r="DJ89" i="17" a="1"/>
  <c r="DJ89" i="17" s="1"/>
  <c r="CZ55" i="37" s="1"/>
  <c r="CZ66" i="37" s="1"/>
  <c r="CY89" i="17" a="1"/>
  <c r="CY89" i="17" s="1"/>
  <c r="CO55" i="37" s="1"/>
  <c r="CO66" i="37" s="1"/>
  <c r="DH89" i="17" a="1"/>
  <c r="DH89" i="17" s="1"/>
  <c r="CX55" i="37" s="1"/>
  <c r="CX66" i="37" s="1"/>
  <c r="DC89" i="17" a="1"/>
  <c r="DC89" i="17" s="1"/>
  <c r="CS55" i="37" s="1"/>
  <c r="CS66" i="37" s="1"/>
  <c r="DO89" i="17" a="1"/>
  <c r="DO89" i="17" s="1"/>
  <c r="DE55" i="37" s="1"/>
  <c r="DE66" i="37" s="1"/>
  <c r="CW89" i="17" a="1"/>
  <c r="CW89" i="17" s="1"/>
  <c r="CM55" i="37" s="1"/>
  <c r="CM66" i="37" s="1"/>
  <c r="DA89" i="17" a="1"/>
  <c r="DA89" i="17" s="1"/>
  <c r="CQ55" i="37" s="1"/>
  <c r="CQ66" i="37" s="1"/>
  <c r="DE89" i="17" a="1"/>
  <c r="DE89" i="17" s="1"/>
  <c r="CU55" i="37" s="1"/>
  <c r="CU66" i="37" s="1"/>
  <c r="DI89" i="17" a="1"/>
  <c r="DI89" i="17" s="1"/>
  <c r="CY55" i="37" s="1"/>
  <c r="CY66" i="37" s="1"/>
  <c r="DR89" i="17" a="1"/>
  <c r="DR89" i="17" s="1"/>
  <c r="DH55" i="37" s="1"/>
  <c r="DH66" i="37" s="1"/>
  <c r="CU89" i="17" a="1"/>
  <c r="CU89" i="17" s="1"/>
  <c r="CK55" i="37" s="1"/>
  <c r="CK66" i="37" s="1"/>
  <c r="DD89" i="17" a="1"/>
  <c r="DD89" i="17" s="1"/>
  <c r="CT55" i="37" s="1"/>
  <c r="CT66" i="37" s="1"/>
  <c r="DB89" i="17" a="1"/>
  <c r="DB89" i="17" s="1"/>
  <c r="CR55" i="37" s="1"/>
  <c r="CR66" i="37" s="1"/>
  <c r="DL89" i="17" a="1"/>
  <c r="DL89" i="17" s="1"/>
  <c r="DB55" i="37" s="1"/>
  <c r="DB66" i="37" s="1"/>
  <c r="DG89" i="17" a="1"/>
  <c r="DG89" i="17" s="1"/>
  <c r="CW55" i="37" s="1"/>
  <c r="CW66" i="37" s="1"/>
  <c r="DQ89" i="17" a="1"/>
  <c r="DQ89" i="17" s="1"/>
  <c r="DG55" i="37" s="1"/>
  <c r="DG66" i="37" s="1"/>
  <c r="CV89" i="17" a="1"/>
  <c r="CV89" i="17" s="1"/>
  <c r="CL55" i="37" s="1"/>
  <c r="CL66" i="37" s="1"/>
  <c r="DM89" i="17" a="1"/>
  <c r="DM89" i="17" s="1"/>
  <c r="DC55" i="37" s="1"/>
  <c r="DC66" i="37" s="1"/>
  <c r="CX89" i="17" a="1"/>
  <c r="CX89" i="17" s="1"/>
  <c r="CN55" i="37" s="1"/>
  <c r="CN66" i="37" s="1"/>
  <c r="CT89" i="17" a="1"/>
  <c r="CT89" i="17" s="1"/>
  <c r="CJ55" i="37" s="1"/>
  <c r="CJ66" i="37" s="1"/>
  <c r="DN89" i="17" a="1"/>
  <c r="DN89" i="17" s="1"/>
  <c r="DD55" i="37" s="1"/>
  <c r="DD66" i="37" s="1"/>
  <c r="DP89" i="17" a="1"/>
  <c r="DP89" i="17" s="1"/>
  <c r="DF55" i="37" s="1"/>
  <c r="DF66" i="37" s="1"/>
  <c r="DF89" i="17" a="1"/>
  <c r="DF89" i="17" s="1"/>
  <c r="CV55" i="37" s="1"/>
  <c r="CV66" i="37" s="1"/>
  <c r="DK89" i="17" a="1"/>
  <c r="DK89" i="17" s="1"/>
  <c r="DA55" i="37" s="1"/>
  <c r="DA66" i="37" s="1"/>
  <c r="AM35" i="25"/>
  <c r="AM36" i="25" s="1"/>
  <c r="M34" i="8"/>
  <c r="L34" i="8"/>
  <c r="R36" i="25"/>
  <c r="R20" i="25"/>
  <c r="AL20" i="25"/>
  <c r="AM34" i="25"/>
  <c r="AM37" i="25"/>
  <c r="AL40" i="25"/>
  <c r="AL52" i="25"/>
  <c r="AL48" i="25"/>
  <c r="AG117" i="37"/>
  <c r="AL50" i="25"/>
  <c r="AL47" i="25"/>
  <c r="AL51" i="25"/>
  <c r="AL53" i="25"/>
  <c r="AL49" i="25"/>
  <c r="AM33" i="25"/>
  <c r="AH123" i="37" s="1"/>
  <c r="AL46" i="25"/>
  <c r="AL43" i="25"/>
  <c r="AL41" i="25"/>
  <c r="AL45" i="25"/>
  <c r="AN10" i="25"/>
  <c r="AN27" i="25" s="1"/>
  <c r="AL42" i="25"/>
  <c r="AL38" i="25"/>
  <c r="AM26" i="25"/>
  <c r="AH116" i="37" s="1"/>
  <c r="AM24" i="25"/>
  <c r="AM23" i="25"/>
  <c r="AL39" i="25"/>
  <c r="AM29" i="25"/>
  <c r="AH119" i="37" s="1"/>
  <c r="AM30" i="25"/>
  <c r="AH120" i="37" s="1"/>
  <c r="AL44" i="25"/>
  <c r="AM31" i="25"/>
  <c r="AH121" i="37" s="1"/>
  <c r="AM12" i="25"/>
  <c r="DT9" i="17"/>
  <c r="K35" i="8"/>
  <c r="B35" i="8"/>
  <c r="F36" i="8"/>
  <c r="H36" i="8" s="1"/>
  <c r="G36" i="8" l="1"/>
  <c r="I35" i="8" a="1"/>
  <c r="I35" i="8" s="1"/>
  <c r="AN15" i="25"/>
  <c r="AN19" i="25"/>
  <c r="AN18" i="25"/>
  <c r="AN17" i="25"/>
  <c r="AN16" i="25"/>
  <c r="D35" i="8"/>
  <c r="C35" i="8"/>
  <c r="AN28" i="25"/>
  <c r="AI118" i="37" s="1"/>
  <c r="AN25" i="25"/>
  <c r="AN35" i="25"/>
  <c r="AN36" i="25" s="1"/>
  <c r="M35" i="8"/>
  <c r="L35" i="8"/>
  <c r="AM20" i="25"/>
  <c r="AN34" i="25"/>
  <c r="DT72" i="17"/>
  <c r="DT73" i="17"/>
  <c r="DT74" i="17"/>
  <c r="AN37" i="25"/>
  <c r="AM40" i="25"/>
  <c r="AM52" i="25"/>
  <c r="AM48" i="25"/>
  <c r="AN23" i="25"/>
  <c r="AH117" i="37"/>
  <c r="AM51" i="25"/>
  <c r="AM47" i="25"/>
  <c r="AM50" i="25"/>
  <c r="AM46" i="25"/>
  <c r="AM49" i="25"/>
  <c r="AN30" i="25"/>
  <c r="AI120" i="37" s="1"/>
  <c r="AM53" i="25"/>
  <c r="AM44" i="25"/>
  <c r="AN24" i="25"/>
  <c r="AN31" i="25"/>
  <c r="AI121" i="37" s="1"/>
  <c r="AN29" i="25"/>
  <c r="AI119" i="37" s="1"/>
  <c r="AN33" i="25"/>
  <c r="AI123" i="37" s="1"/>
  <c r="AN12" i="25"/>
  <c r="AO10" i="25"/>
  <c r="AO27" i="25" s="1"/>
  <c r="AN26" i="25"/>
  <c r="AI116" i="37" s="1"/>
  <c r="AM41" i="25"/>
  <c r="AM39" i="25"/>
  <c r="AM43" i="25"/>
  <c r="AM42" i="25"/>
  <c r="AM38" i="25"/>
  <c r="AM45" i="25"/>
  <c r="K36" i="8"/>
  <c r="B36" i="8"/>
  <c r="F37" i="8"/>
  <c r="H37" i="8" s="1"/>
  <c r="G37" i="8" l="1"/>
  <c r="I36" i="8" a="1"/>
  <c r="I36" i="8" s="1"/>
  <c r="AO15" i="25"/>
  <c r="AO18" i="25"/>
  <c r="AO19" i="25"/>
  <c r="AO17" i="25"/>
  <c r="AO16" i="25"/>
  <c r="D36" i="8"/>
  <c r="C36" i="8"/>
  <c r="AO28" i="25"/>
  <c r="AJ118" i="37" s="1"/>
  <c r="AO25" i="25"/>
  <c r="AO35" i="25"/>
  <c r="AO36" i="25" s="1"/>
  <c r="M36" i="8"/>
  <c r="L36" i="8"/>
  <c r="AN20" i="25"/>
  <c r="AO34" i="25"/>
  <c r="AO37" i="25"/>
  <c r="AN40" i="25"/>
  <c r="AN52" i="25"/>
  <c r="AN48" i="25"/>
  <c r="AI117" i="37"/>
  <c r="AN47" i="25"/>
  <c r="AN46" i="25"/>
  <c r="AN49" i="25"/>
  <c r="AN51" i="25"/>
  <c r="AN53" i="25"/>
  <c r="AO30" i="25"/>
  <c r="AJ120" i="37" s="1"/>
  <c r="AN50" i="25"/>
  <c r="AN42" i="25"/>
  <c r="AN39" i="25"/>
  <c r="AO12" i="25"/>
  <c r="AN44" i="25"/>
  <c r="AN45" i="25"/>
  <c r="AO31" i="25"/>
  <c r="AJ121" i="37" s="1"/>
  <c r="AN38" i="25"/>
  <c r="AO24" i="25"/>
  <c r="AN43" i="25"/>
  <c r="AO29" i="25"/>
  <c r="AJ119" i="37" s="1"/>
  <c r="AN41" i="25"/>
  <c r="AO26" i="25"/>
  <c r="AJ116" i="37" s="1"/>
  <c r="AO33" i="25"/>
  <c r="AJ123" i="37" s="1"/>
  <c r="AO23" i="25"/>
  <c r="AP10" i="25"/>
  <c r="AP27" i="25" s="1"/>
  <c r="K37" i="8"/>
  <c r="B37" i="8"/>
  <c r="F38" i="8"/>
  <c r="H38" i="8" s="1"/>
  <c r="G38" i="8" l="1"/>
  <c r="I37" i="8" a="1"/>
  <c r="I37" i="8" s="1"/>
  <c r="AP18" i="25"/>
  <c r="AP15" i="25"/>
  <c r="AP19" i="25"/>
  <c r="AP16" i="25"/>
  <c r="AP17" i="25"/>
  <c r="D37" i="8"/>
  <c r="C37" i="8"/>
  <c r="AP28" i="25"/>
  <c r="AK118" i="37" s="1"/>
  <c r="AP25" i="25"/>
  <c r="AP35" i="25"/>
  <c r="AP36" i="25" s="1"/>
  <c r="L37" i="8"/>
  <c r="M37" i="8"/>
  <c r="AO20" i="25"/>
  <c r="AP34" i="25"/>
  <c r="AP37" i="25"/>
  <c r="AO40" i="25"/>
  <c r="AO52" i="25"/>
  <c r="AO48" i="25"/>
  <c r="AJ117" i="37"/>
  <c r="AO53" i="25"/>
  <c r="AO46" i="25"/>
  <c r="AO51" i="25"/>
  <c r="AO47" i="25"/>
  <c r="AO49" i="25"/>
  <c r="AP31" i="25"/>
  <c r="AK121" i="37" s="1"/>
  <c r="AO50" i="25"/>
  <c r="AP24" i="25"/>
  <c r="AO38" i="25"/>
  <c r="AP12" i="25"/>
  <c r="AP29" i="25"/>
  <c r="AK119" i="37" s="1"/>
  <c r="AO43" i="25"/>
  <c r="AP33" i="25"/>
  <c r="AK123" i="37" s="1"/>
  <c r="AP23" i="25"/>
  <c r="AO42" i="25"/>
  <c r="AO45" i="25"/>
  <c r="AO39" i="25"/>
  <c r="AO44" i="25"/>
  <c r="AP30" i="25"/>
  <c r="AK120" i="37" s="1"/>
  <c r="AP26" i="25"/>
  <c r="AK116" i="37" s="1"/>
  <c r="AO41" i="25"/>
  <c r="AQ10" i="25"/>
  <c r="AQ27" i="25" s="1"/>
  <c r="K38" i="8"/>
  <c r="B38" i="8"/>
  <c r="F39" i="8"/>
  <c r="H39" i="8" s="1"/>
  <c r="G39" i="8" l="1"/>
  <c r="I38" i="8" a="1"/>
  <c r="I38" i="8" s="1"/>
  <c r="AQ15" i="25"/>
  <c r="AQ18" i="25"/>
  <c r="AQ19" i="25"/>
  <c r="AQ16" i="25"/>
  <c r="AQ17" i="25"/>
  <c r="D38" i="8"/>
  <c r="C38" i="8"/>
  <c r="AQ28" i="25"/>
  <c r="AL118" i="37" s="1"/>
  <c r="AQ25" i="25"/>
  <c r="AQ35" i="25"/>
  <c r="AQ36" i="25" s="1"/>
  <c r="L38" i="8"/>
  <c r="M38" i="8"/>
  <c r="AP20" i="25"/>
  <c r="AQ34" i="25"/>
  <c r="AQ37" i="25"/>
  <c r="AP40" i="25"/>
  <c r="AP52" i="25"/>
  <c r="AP48" i="25"/>
  <c r="AL117" i="37"/>
  <c r="AK117" i="37"/>
  <c r="AP46" i="25"/>
  <c r="AP50" i="25"/>
  <c r="AP53" i="25"/>
  <c r="AP47" i="25"/>
  <c r="AP49" i="25"/>
  <c r="AP51" i="25"/>
  <c r="AP41" i="25"/>
  <c r="AQ24" i="25"/>
  <c r="AQ12" i="25"/>
  <c r="AQ23" i="25"/>
  <c r="AP43" i="25"/>
  <c r="AP44" i="25"/>
  <c r="AP38" i="25"/>
  <c r="AR10" i="25"/>
  <c r="AR27" i="25" s="1"/>
  <c r="AQ26" i="25"/>
  <c r="AL116" i="37" s="1"/>
  <c r="AP42" i="25"/>
  <c r="AP45" i="25"/>
  <c r="AP39" i="25"/>
  <c r="AQ31" i="25"/>
  <c r="AL121" i="37" s="1"/>
  <c r="AQ33" i="25"/>
  <c r="AL123" i="37" s="1"/>
  <c r="AQ29" i="25"/>
  <c r="AL119" i="37" s="1"/>
  <c r="AQ30" i="25"/>
  <c r="AL120" i="37" s="1"/>
  <c r="K39" i="8"/>
  <c r="B39" i="8"/>
  <c r="F40" i="8"/>
  <c r="H40" i="8" s="1"/>
  <c r="G40" i="8" l="1"/>
  <c r="I39" i="8" a="1"/>
  <c r="I39" i="8" s="1"/>
  <c r="AR15" i="25"/>
  <c r="AR19" i="25"/>
  <c r="AR18" i="25"/>
  <c r="AR17" i="25"/>
  <c r="AR16" i="25"/>
  <c r="C39" i="8"/>
  <c r="D39" i="8"/>
  <c r="AR28" i="25"/>
  <c r="AM118" i="37" s="1"/>
  <c r="AR25" i="25"/>
  <c r="AR35" i="25"/>
  <c r="AR36" i="25" s="1"/>
  <c r="L39" i="8"/>
  <c r="M39" i="8"/>
  <c r="AQ20" i="25"/>
  <c r="AR34" i="25"/>
  <c r="AR37" i="25"/>
  <c r="AQ40" i="25"/>
  <c r="AQ52" i="25"/>
  <c r="AQ48" i="25"/>
  <c r="AM117" i="37"/>
  <c r="AR33" i="25"/>
  <c r="AM123" i="37" s="1"/>
  <c r="AQ47" i="25"/>
  <c r="AQ50" i="25"/>
  <c r="AQ51" i="25"/>
  <c r="AQ53" i="25"/>
  <c r="AQ46" i="25"/>
  <c r="AR29" i="25"/>
  <c r="AM119" i="37" s="1"/>
  <c r="AQ49" i="25"/>
  <c r="AR12" i="25"/>
  <c r="AR24" i="25"/>
  <c r="AR31" i="25"/>
  <c r="AM121" i="37" s="1"/>
  <c r="AR23" i="25"/>
  <c r="AR30" i="25"/>
  <c r="AM120" i="37" s="1"/>
  <c r="AQ45" i="25"/>
  <c r="AS10" i="25"/>
  <c r="AS27" i="25" s="1"/>
  <c r="AR26" i="25"/>
  <c r="AM116" i="37" s="1"/>
  <c r="AQ44" i="25"/>
  <c r="AQ41" i="25"/>
  <c r="AQ43" i="25"/>
  <c r="AQ38" i="25"/>
  <c r="AQ42" i="25"/>
  <c r="AQ39" i="25"/>
  <c r="K40" i="8"/>
  <c r="B40" i="8"/>
  <c r="F41" i="8"/>
  <c r="H41" i="8" s="1"/>
  <c r="G41" i="8" l="1"/>
  <c r="I40" i="8" a="1"/>
  <c r="I40" i="8" s="1"/>
  <c r="AS15" i="25"/>
  <c r="AS18" i="25"/>
  <c r="AS19" i="25"/>
  <c r="AS17" i="25"/>
  <c r="AS16" i="25"/>
  <c r="D40" i="8"/>
  <c r="C40" i="8"/>
  <c r="AS28" i="25"/>
  <c r="AN118" i="37" s="1"/>
  <c r="AS25" i="25"/>
  <c r="AS35" i="25"/>
  <c r="AS36" i="25" s="1"/>
  <c r="L40" i="8"/>
  <c r="M40" i="8"/>
  <c r="AR20" i="25"/>
  <c r="AS34" i="25"/>
  <c r="AS37" i="25"/>
  <c r="AR40" i="25"/>
  <c r="AR52" i="25"/>
  <c r="AR48" i="25"/>
  <c r="AN117" i="37"/>
  <c r="AR44" i="25"/>
  <c r="AR45" i="25"/>
  <c r="AR47" i="25"/>
  <c r="AR46" i="25"/>
  <c r="AR50" i="25"/>
  <c r="AR51" i="25"/>
  <c r="AR49" i="25"/>
  <c r="AR53" i="25"/>
  <c r="AR41" i="25"/>
  <c r="AR38" i="25"/>
  <c r="AS24" i="25"/>
  <c r="AS31" i="25"/>
  <c r="AN121" i="37" s="1"/>
  <c r="AS30" i="25"/>
  <c r="AN120" i="37" s="1"/>
  <c r="AT10" i="25"/>
  <c r="AT27" i="25" s="1"/>
  <c r="AS33" i="25"/>
  <c r="AN123" i="37" s="1"/>
  <c r="AS23" i="25"/>
  <c r="AS29" i="25"/>
  <c r="AN119" i="37" s="1"/>
  <c r="AS26" i="25"/>
  <c r="AN116" i="37" s="1"/>
  <c r="AS12" i="25"/>
  <c r="AR42" i="25"/>
  <c r="AR39" i="25"/>
  <c r="AR43" i="25"/>
  <c r="K41" i="8"/>
  <c r="B41" i="8"/>
  <c r="F42" i="8"/>
  <c r="H42" i="8" s="1"/>
  <c r="G42" i="8" l="1"/>
  <c r="I41" i="8" a="1"/>
  <c r="I41" i="8" s="1"/>
  <c r="AT19" i="25"/>
  <c r="AT18" i="25"/>
  <c r="AT15" i="25"/>
  <c r="AT16" i="25"/>
  <c r="AT17" i="25"/>
  <c r="D41" i="8"/>
  <c r="C41" i="8"/>
  <c r="AT28" i="25"/>
  <c r="AO118" i="37" s="1"/>
  <c r="AT25" i="25"/>
  <c r="AT35" i="25"/>
  <c r="AT36" i="25" s="1"/>
  <c r="L41" i="8"/>
  <c r="M41" i="8"/>
  <c r="AS20" i="25"/>
  <c r="AT34" i="25"/>
  <c r="AT37" i="25"/>
  <c r="AS40" i="25"/>
  <c r="AS52" i="25"/>
  <c r="AS48" i="25"/>
  <c r="AO117" i="37"/>
  <c r="AS44" i="25"/>
  <c r="AU10" i="25"/>
  <c r="AU27" i="25" s="1"/>
  <c r="AS46" i="25"/>
  <c r="AT29" i="25"/>
  <c r="AO119" i="37" s="1"/>
  <c r="AT12" i="25"/>
  <c r="AS38" i="25"/>
  <c r="AS41" i="25"/>
  <c r="AS49" i="25"/>
  <c r="AS39" i="25"/>
  <c r="AS47" i="25"/>
  <c r="AS42" i="25"/>
  <c r="AS50" i="25"/>
  <c r="AS43" i="25"/>
  <c r="AS51" i="25"/>
  <c r="AS45" i="25"/>
  <c r="AS53" i="25"/>
  <c r="AT23" i="25"/>
  <c r="AT33" i="25"/>
  <c r="AO123" i="37" s="1"/>
  <c r="AT24" i="25"/>
  <c r="AT26" i="25"/>
  <c r="AO116" i="37" s="1"/>
  <c r="AT30" i="25"/>
  <c r="AO120" i="37" s="1"/>
  <c r="AT31" i="25"/>
  <c r="AO121" i="37" s="1"/>
  <c r="K42" i="8"/>
  <c r="B42" i="8"/>
  <c r="F43" i="8"/>
  <c r="H43" i="8" s="1"/>
  <c r="G43" i="8" l="1"/>
  <c r="I42" i="8" a="1"/>
  <c r="I42" i="8" s="1"/>
  <c r="AU15" i="25"/>
  <c r="AU18" i="25"/>
  <c r="AU19" i="25"/>
  <c r="AU17" i="25"/>
  <c r="AU16" i="25"/>
  <c r="D42" i="8"/>
  <c r="C42" i="8"/>
  <c r="AU25" i="25"/>
  <c r="AU28" i="25"/>
  <c r="AP118" i="37" s="1"/>
  <c r="AU35" i="25"/>
  <c r="AU36" i="25" s="1"/>
  <c r="L42" i="8"/>
  <c r="M42" i="8"/>
  <c r="AT20" i="25"/>
  <c r="AU34" i="25"/>
  <c r="AU37" i="25"/>
  <c r="AT40" i="25"/>
  <c r="AT52" i="25"/>
  <c r="AT48" i="25"/>
  <c r="AT44" i="25"/>
  <c r="AU23" i="25"/>
  <c r="AU24" i="25"/>
  <c r="AU31" i="25"/>
  <c r="AU26" i="25"/>
  <c r="AV10" i="25"/>
  <c r="AV27" i="25" s="1"/>
  <c r="AU33" i="25"/>
  <c r="AU12" i="25"/>
  <c r="AU29" i="25"/>
  <c r="AU30" i="25"/>
  <c r="AT53" i="25"/>
  <c r="AT49" i="25"/>
  <c r="AT39" i="25"/>
  <c r="AT47" i="25"/>
  <c r="AT43" i="25"/>
  <c r="AT51" i="25"/>
  <c r="AT42" i="25"/>
  <c r="AT50" i="25"/>
  <c r="AT45" i="25"/>
  <c r="AT41" i="25"/>
  <c r="AT38" i="25"/>
  <c r="AT46" i="25"/>
  <c r="K43" i="8"/>
  <c r="B43" i="8"/>
  <c r="F44" i="8"/>
  <c r="H44" i="8" s="1"/>
  <c r="G44" i="8" l="1"/>
  <c r="I43" i="8" a="1"/>
  <c r="I43" i="8" s="1"/>
  <c r="AV18" i="25"/>
  <c r="AV19" i="25"/>
  <c r="AV15" i="25"/>
  <c r="AV16" i="25"/>
  <c r="AV17" i="25"/>
  <c r="D43" i="8"/>
  <c r="C43" i="8"/>
  <c r="AV25" i="25"/>
  <c r="AV28" i="25"/>
  <c r="AQ118" i="37" s="1"/>
  <c r="AV35" i="25"/>
  <c r="AV36" i="25" s="1"/>
  <c r="M43" i="8"/>
  <c r="L43" i="8"/>
  <c r="AU20" i="25"/>
  <c r="AV34" i="25"/>
  <c r="AV37" i="25"/>
  <c r="AU40" i="25"/>
  <c r="AU52" i="25"/>
  <c r="AU48" i="25"/>
  <c r="AV31" i="25"/>
  <c r="AQ121" i="37" s="1"/>
  <c r="AV12" i="25"/>
  <c r="AV23" i="25"/>
  <c r="AW10" i="25"/>
  <c r="AW27" i="25" s="1"/>
  <c r="AU44" i="25"/>
  <c r="AV29" i="25"/>
  <c r="AQ119" i="37" s="1"/>
  <c r="AV30" i="25"/>
  <c r="AQ120" i="37" s="1"/>
  <c r="AV24" i="25"/>
  <c r="AV26" i="25"/>
  <c r="AQ116" i="37" s="1"/>
  <c r="AV33" i="25"/>
  <c r="AQ123" i="37" s="1"/>
  <c r="AU43" i="25"/>
  <c r="AU53" i="25"/>
  <c r="AP123" i="37"/>
  <c r="AU46" i="25"/>
  <c r="AP116" i="37"/>
  <c r="AU51" i="25"/>
  <c r="AP121" i="37"/>
  <c r="AU47" i="25"/>
  <c r="AP117" i="37"/>
  <c r="AU50" i="25"/>
  <c r="AP120" i="37"/>
  <c r="AU49" i="25"/>
  <c r="AP119" i="37"/>
  <c r="AU42" i="25"/>
  <c r="AU41" i="25"/>
  <c r="AU39" i="25"/>
  <c r="AU38" i="25"/>
  <c r="AU45" i="25"/>
  <c r="K44" i="8"/>
  <c r="B44" i="8"/>
  <c r="F45" i="8"/>
  <c r="H45" i="8" s="1"/>
  <c r="G45" i="8" l="1"/>
  <c r="I44" i="8" a="1"/>
  <c r="I44" i="8" s="1"/>
  <c r="AW15" i="25"/>
  <c r="AW18" i="25"/>
  <c r="AW19" i="25"/>
  <c r="AW16" i="25"/>
  <c r="AW17" i="25"/>
  <c r="D44" i="8"/>
  <c r="C44" i="8"/>
  <c r="AW25" i="25"/>
  <c r="AW28" i="25"/>
  <c r="AR118" i="37" s="1"/>
  <c r="AW35" i="25"/>
  <c r="AW36" i="25" s="1"/>
  <c r="M44" i="8"/>
  <c r="L44" i="8"/>
  <c r="AV20" i="25"/>
  <c r="AW34" i="25"/>
  <c r="AW31" i="25"/>
  <c r="AW37" i="25"/>
  <c r="AV40" i="25"/>
  <c r="AV52" i="25"/>
  <c r="AV48" i="25"/>
  <c r="AR117" i="37"/>
  <c r="AX10" i="25"/>
  <c r="AX27" i="25" s="1"/>
  <c r="AW24" i="25"/>
  <c r="AW26" i="25"/>
  <c r="AR116" i="37" s="1"/>
  <c r="AV45" i="25"/>
  <c r="AW23" i="25"/>
  <c r="AW30" i="25"/>
  <c r="AW12" i="25"/>
  <c r="AW29" i="25"/>
  <c r="AW33" i="25"/>
  <c r="AR123" i="37" s="1"/>
  <c r="AV42" i="25"/>
  <c r="AV43" i="25"/>
  <c r="AV41" i="25"/>
  <c r="AV38" i="25"/>
  <c r="AV44" i="25"/>
  <c r="AV46" i="25"/>
  <c r="AV50" i="25"/>
  <c r="AV49" i="25"/>
  <c r="AV53" i="25"/>
  <c r="AV51" i="25"/>
  <c r="AV47" i="25"/>
  <c r="AQ117" i="37"/>
  <c r="AV39" i="25"/>
  <c r="K45" i="8"/>
  <c r="B45" i="8"/>
  <c r="F46" i="8"/>
  <c r="H46" i="8" s="1"/>
  <c r="G46" i="8" l="1"/>
  <c r="I45" i="8" a="1"/>
  <c r="I45" i="8" s="1"/>
  <c r="AX19" i="25"/>
  <c r="AX18" i="25"/>
  <c r="AX15" i="25"/>
  <c r="AX16" i="25"/>
  <c r="AX17" i="25"/>
  <c r="D45" i="8"/>
  <c r="C45" i="8"/>
  <c r="AX25" i="25"/>
  <c r="AX28" i="25"/>
  <c r="AS118" i="37" s="1"/>
  <c r="AX35" i="25"/>
  <c r="AX36" i="25" s="1"/>
  <c r="M45" i="8"/>
  <c r="L45" i="8"/>
  <c r="AW20" i="25"/>
  <c r="AX34" i="25"/>
  <c r="AX31" i="25"/>
  <c r="AS121" i="37" s="1"/>
  <c r="AX37" i="25"/>
  <c r="AW40" i="25"/>
  <c r="AW52" i="25"/>
  <c r="AW48" i="25"/>
  <c r="AW39" i="25"/>
  <c r="AW47" i="25"/>
  <c r="AW50" i="25"/>
  <c r="AW49" i="25"/>
  <c r="AW51" i="25"/>
  <c r="AX30" i="25"/>
  <c r="AS120" i="37" s="1"/>
  <c r="AY10" i="25"/>
  <c r="AY27" i="25" s="1"/>
  <c r="AX12" i="25"/>
  <c r="AX29" i="25"/>
  <c r="AX24" i="25"/>
  <c r="AX26" i="25"/>
  <c r="AS116" i="37" s="1"/>
  <c r="AX23" i="25"/>
  <c r="AW44" i="25"/>
  <c r="AX33" i="25"/>
  <c r="AS123" i="37" s="1"/>
  <c r="AW45" i="25"/>
  <c r="AW38" i="25"/>
  <c r="AW46" i="25"/>
  <c r="AR119" i="37"/>
  <c r="AW53" i="25"/>
  <c r="AR121" i="37"/>
  <c r="AW43" i="25"/>
  <c r="AW42" i="25"/>
  <c r="AW41" i="25"/>
  <c r="AR120" i="37"/>
  <c r="K46" i="8"/>
  <c r="B46" i="8"/>
  <c r="F47" i="8"/>
  <c r="H47" i="8" s="1"/>
  <c r="G47" i="8" l="1"/>
  <c r="I46" i="8" a="1"/>
  <c r="I46" i="8" s="1"/>
  <c r="AY19" i="25"/>
  <c r="AY18" i="25"/>
  <c r="AY15" i="25"/>
  <c r="AY16" i="25"/>
  <c r="AY17" i="25"/>
  <c r="C46" i="8"/>
  <c r="D46" i="8"/>
  <c r="AY25" i="25"/>
  <c r="AY28" i="25"/>
  <c r="AT118" i="37" s="1"/>
  <c r="AY35" i="25"/>
  <c r="AY36" i="25" s="1"/>
  <c r="M46" i="8"/>
  <c r="L46" i="8"/>
  <c r="AX20" i="25"/>
  <c r="AY34" i="25"/>
  <c r="AY31" i="25"/>
  <c r="AY37" i="25"/>
  <c r="AX44" i="25"/>
  <c r="AX40" i="25"/>
  <c r="AX52" i="25"/>
  <c r="AX48" i="25"/>
  <c r="AT117" i="37"/>
  <c r="AX42" i="25"/>
  <c r="AY12" i="25"/>
  <c r="AY30" i="25"/>
  <c r="AT120" i="37" s="1"/>
  <c r="AX39" i="25"/>
  <c r="AY24" i="25"/>
  <c r="AY23" i="25"/>
  <c r="AZ10" i="25"/>
  <c r="AZ27" i="25" s="1"/>
  <c r="AX41" i="25"/>
  <c r="AY33" i="25"/>
  <c r="AT123" i="37" s="1"/>
  <c r="AY26" i="25"/>
  <c r="AT116" i="37" s="1"/>
  <c r="AY29" i="25"/>
  <c r="AT119" i="37" s="1"/>
  <c r="AS117" i="37"/>
  <c r="AX43" i="25"/>
  <c r="AX38" i="25"/>
  <c r="AS119" i="37"/>
  <c r="AX45" i="25"/>
  <c r="AX46" i="25"/>
  <c r="AX49" i="25"/>
  <c r="AX50" i="25"/>
  <c r="AX47" i="25"/>
  <c r="AX53" i="25"/>
  <c r="AX51" i="25"/>
  <c r="K47" i="8"/>
  <c r="B47" i="8"/>
  <c r="F48" i="8"/>
  <c r="H48" i="8" s="1"/>
  <c r="G48" i="8" l="1"/>
  <c r="I47" i="8" a="1"/>
  <c r="I47" i="8" s="1"/>
  <c r="AZ19" i="25"/>
  <c r="AZ52" i="25" s="1"/>
  <c r="AZ18" i="25"/>
  <c r="AZ15" i="25"/>
  <c r="AZ16" i="25"/>
  <c r="AZ17" i="25"/>
  <c r="D47" i="8"/>
  <c r="C47" i="8"/>
  <c r="AZ25" i="25"/>
  <c r="AZ28" i="25"/>
  <c r="AU118" i="37" s="1"/>
  <c r="AZ35" i="25"/>
  <c r="AZ36" i="25" s="1"/>
  <c r="M47" i="8"/>
  <c r="L47" i="8"/>
  <c r="AY20" i="25"/>
  <c r="AZ34" i="25"/>
  <c r="AZ31" i="25"/>
  <c r="AU121" i="37" s="1"/>
  <c r="AZ37" i="25"/>
  <c r="AY40" i="25"/>
  <c r="AY52" i="25"/>
  <c r="AY48" i="25"/>
  <c r="AZ23" i="25"/>
  <c r="AY39" i="25"/>
  <c r="BA10" i="25"/>
  <c r="BA27" i="25" s="1"/>
  <c r="AZ29" i="25"/>
  <c r="AZ24" i="25"/>
  <c r="AZ12" i="25"/>
  <c r="AZ30" i="25"/>
  <c r="AU120" i="37" s="1"/>
  <c r="AZ26" i="25"/>
  <c r="AZ33" i="25"/>
  <c r="AY43" i="25"/>
  <c r="AY44" i="25"/>
  <c r="AY45" i="25"/>
  <c r="AY42" i="25"/>
  <c r="AY41" i="25"/>
  <c r="AY46" i="25"/>
  <c r="AY49" i="25"/>
  <c r="AY53" i="25"/>
  <c r="AY38" i="25"/>
  <c r="AY47" i="25"/>
  <c r="AY51" i="25"/>
  <c r="AY50" i="25"/>
  <c r="AT121" i="37"/>
  <c r="K48" i="8"/>
  <c r="B48" i="8"/>
  <c r="F49" i="8"/>
  <c r="H49" i="8" s="1"/>
  <c r="G49" i="8" l="1"/>
  <c r="I48" i="8" a="1"/>
  <c r="I48" i="8" s="1"/>
  <c r="BA18" i="25"/>
  <c r="BA19" i="25"/>
  <c r="BA15" i="25"/>
  <c r="BA16" i="25"/>
  <c r="BA17" i="25"/>
  <c r="D48" i="8"/>
  <c r="C48" i="8"/>
  <c r="BA25" i="25"/>
  <c r="BA28" i="25"/>
  <c r="AV118" i="37" s="1"/>
  <c r="BA35" i="25"/>
  <c r="BA36" i="25" s="1"/>
  <c r="M48" i="8"/>
  <c r="L48" i="8"/>
  <c r="AZ20" i="25"/>
  <c r="BA34" i="25"/>
  <c r="BA31" i="25"/>
  <c r="BA37" i="25"/>
  <c r="AZ53" i="25"/>
  <c r="AZ47" i="25"/>
  <c r="AZ46" i="25"/>
  <c r="AZ49" i="25"/>
  <c r="AZ48" i="25"/>
  <c r="AZ44" i="25"/>
  <c r="AZ40" i="25"/>
  <c r="BA12" i="25"/>
  <c r="BA24" i="25"/>
  <c r="AU123" i="37"/>
  <c r="BA29" i="25"/>
  <c r="AV119" i="37" s="1"/>
  <c r="BA30" i="25"/>
  <c r="AZ43" i="25"/>
  <c r="BA33" i="25"/>
  <c r="AV123" i="37" s="1"/>
  <c r="AZ45" i="25"/>
  <c r="BB10" i="25"/>
  <c r="BB27" i="25" s="1"/>
  <c r="BA23" i="25"/>
  <c r="BA26" i="25"/>
  <c r="AZ42" i="25"/>
  <c r="AZ39" i="25"/>
  <c r="AU117" i="37"/>
  <c r="AZ41" i="25"/>
  <c r="AZ50" i="25"/>
  <c r="AU119" i="37"/>
  <c r="AU116" i="37"/>
  <c r="AZ38" i="25"/>
  <c r="AZ51" i="25"/>
  <c r="K49" i="8"/>
  <c r="B49" i="8"/>
  <c r="F50" i="8"/>
  <c r="H50" i="8" s="1"/>
  <c r="G50" i="8" l="1"/>
  <c r="I49" i="8" a="1"/>
  <c r="I49" i="8" s="1"/>
  <c r="BB18" i="25"/>
  <c r="BB15" i="25"/>
  <c r="BB19" i="25"/>
  <c r="BB17" i="25"/>
  <c r="BB16" i="25"/>
  <c r="D49" i="8"/>
  <c r="C49" i="8"/>
  <c r="BB28" i="25"/>
  <c r="AW118" i="37" s="1"/>
  <c r="BB25" i="25"/>
  <c r="BA44" i="25"/>
  <c r="BB35" i="25"/>
  <c r="BB36" i="25" s="1"/>
  <c r="M49" i="8"/>
  <c r="L49" i="8"/>
  <c r="BA20" i="25"/>
  <c r="BB34" i="25"/>
  <c r="BB31" i="25"/>
  <c r="BB37" i="25"/>
  <c r="BA39" i="25"/>
  <c r="BA38" i="25"/>
  <c r="BA42" i="25"/>
  <c r="BA40" i="25"/>
  <c r="BA52" i="25"/>
  <c r="BA48" i="25"/>
  <c r="BC10" i="25"/>
  <c r="BC27" i="25" s="1"/>
  <c r="BA41" i="25"/>
  <c r="BA51" i="25"/>
  <c r="BA49" i="25"/>
  <c r="BB29" i="25"/>
  <c r="AW119" i="37" s="1"/>
  <c r="BB33" i="25"/>
  <c r="AW123" i="37" s="1"/>
  <c r="BB26" i="25"/>
  <c r="AW116" i="37" s="1"/>
  <c r="AV121" i="37"/>
  <c r="BA43" i="25"/>
  <c r="BA53" i="25"/>
  <c r="BB30" i="25"/>
  <c r="AW120" i="37" s="1"/>
  <c r="BB24" i="25"/>
  <c r="BA45" i="25"/>
  <c r="BB12" i="25"/>
  <c r="AV117" i="37"/>
  <c r="BA47" i="25"/>
  <c r="BB23" i="25"/>
  <c r="BA50" i="25"/>
  <c r="AV120" i="37"/>
  <c r="AV116" i="37"/>
  <c r="BA46" i="25"/>
  <c r="K50" i="8"/>
  <c r="B50" i="8"/>
  <c r="F51" i="8"/>
  <c r="H51" i="8" s="1"/>
  <c r="G51" i="8" l="1"/>
  <c r="I50" i="8" a="1"/>
  <c r="I50" i="8" s="1"/>
  <c r="BC15" i="25"/>
  <c r="BC18" i="25"/>
  <c r="BC19" i="25"/>
  <c r="BC52" i="25" s="1"/>
  <c r="BC16" i="25"/>
  <c r="BC17" i="25"/>
  <c r="D50" i="8"/>
  <c r="C50" i="8"/>
  <c r="BC28" i="25"/>
  <c r="AX118" i="37" s="1"/>
  <c r="BC25" i="25"/>
  <c r="BC35" i="25"/>
  <c r="BC36" i="25" s="1"/>
  <c r="M50" i="8"/>
  <c r="L50" i="8"/>
  <c r="BB20" i="25"/>
  <c r="BC34" i="25"/>
  <c r="BC31" i="25"/>
  <c r="AX121" i="37" s="1"/>
  <c r="BC37" i="25"/>
  <c r="BD10" i="25"/>
  <c r="BD27" i="25" s="1"/>
  <c r="BC33" i="25"/>
  <c r="AX123" i="37" s="1"/>
  <c r="BC29" i="25"/>
  <c r="BB40" i="25"/>
  <c r="BC24" i="25"/>
  <c r="BC23" i="25"/>
  <c r="BC26" i="25"/>
  <c r="BC12" i="25"/>
  <c r="BB52" i="25"/>
  <c r="BB48" i="25"/>
  <c r="BC30" i="25"/>
  <c r="AX120" i="37" s="1"/>
  <c r="BB51" i="25"/>
  <c r="BB41" i="25"/>
  <c r="BB50" i="25"/>
  <c r="BB49" i="25"/>
  <c r="BB46" i="25"/>
  <c r="BB53" i="25"/>
  <c r="BB47" i="25"/>
  <c r="BB39" i="25"/>
  <c r="BB42" i="25"/>
  <c r="BB45" i="25"/>
  <c r="BB44" i="25"/>
  <c r="BB43" i="25"/>
  <c r="BB38" i="25"/>
  <c r="AW121" i="37"/>
  <c r="AW117" i="37"/>
  <c r="K51" i="8"/>
  <c r="B51" i="8"/>
  <c r="F52" i="8"/>
  <c r="H52" i="8" s="1"/>
  <c r="G52" i="8" l="1"/>
  <c r="I51" i="8" a="1"/>
  <c r="I51" i="8" s="1"/>
  <c r="BD15" i="25"/>
  <c r="BD19" i="25"/>
  <c r="BD18" i="25"/>
  <c r="BD16" i="25"/>
  <c r="BD17" i="25"/>
  <c r="D51" i="8"/>
  <c r="C51" i="8"/>
  <c r="BD28" i="25"/>
  <c r="AY118" i="37" s="1"/>
  <c r="BD25" i="25"/>
  <c r="BD35" i="25"/>
  <c r="BD36" i="25" s="1"/>
  <c r="L51" i="8"/>
  <c r="M51" i="8"/>
  <c r="BC46" i="25"/>
  <c r="BC49" i="25"/>
  <c r="BC47" i="25"/>
  <c r="BC20" i="25"/>
  <c r="BD34" i="25"/>
  <c r="BD31" i="25"/>
  <c r="AY121" i="37" s="1"/>
  <c r="BD37" i="25"/>
  <c r="BD23" i="25"/>
  <c r="BD30" i="25"/>
  <c r="AY120" i="37" s="1"/>
  <c r="BC53" i="25"/>
  <c r="BE10" i="25"/>
  <c r="BE27" i="25" s="1"/>
  <c r="BD33" i="25"/>
  <c r="AY123" i="37" s="1"/>
  <c r="BD29" i="25"/>
  <c r="AY119" i="37" s="1"/>
  <c r="BD12" i="25"/>
  <c r="BD26" i="25"/>
  <c r="AY116" i="37" s="1"/>
  <c r="BD24" i="25"/>
  <c r="BC43" i="25"/>
  <c r="BC51" i="25"/>
  <c r="AX119" i="37"/>
  <c r="BC48" i="25"/>
  <c r="AX117" i="37"/>
  <c r="AX116" i="37"/>
  <c r="BC38" i="25"/>
  <c r="BC42" i="25"/>
  <c r="BC40" i="25"/>
  <c r="BC44" i="25"/>
  <c r="BC41" i="25"/>
  <c r="BC50" i="25"/>
  <c r="BC45" i="25"/>
  <c r="BC39" i="25"/>
  <c r="K52" i="8"/>
  <c r="B52" i="8"/>
  <c r="F53" i="8"/>
  <c r="H53" i="8" s="1"/>
  <c r="G53" i="8" l="1"/>
  <c r="I52" i="8" a="1"/>
  <c r="I52" i="8" s="1"/>
  <c r="BE15" i="25"/>
  <c r="BE18" i="25"/>
  <c r="BE19" i="25"/>
  <c r="BE17" i="25"/>
  <c r="BE16" i="25"/>
  <c r="D52" i="8"/>
  <c r="C52" i="8"/>
  <c r="BE28" i="25"/>
  <c r="AZ118" i="37" s="1"/>
  <c r="BE25" i="25"/>
  <c r="BD44" i="25"/>
  <c r="L52" i="8"/>
  <c r="M52" i="8"/>
  <c r="AZ117" i="37"/>
  <c r="BE35" i="25"/>
  <c r="BE36" i="25" s="1"/>
  <c r="BD50" i="25"/>
  <c r="BD20" i="25"/>
  <c r="BE34" i="25"/>
  <c r="BE31" i="25"/>
  <c r="AZ121" i="37" s="1"/>
  <c r="BE37" i="25"/>
  <c r="BE12" i="25"/>
  <c r="BE23" i="25"/>
  <c r="BE33" i="25"/>
  <c r="AZ123" i="37" s="1"/>
  <c r="BF10" i="25"/>
  <c r="BF27" i="25" s="1"/>
  <c r="BD51" i="25"/>
  <c r="BD49" i="25"/>
  <c r="BD47" i="25"/>
  <c r="BD52" i="25"/>
  <c r="BD53" i="25"/>
  <c r="BD46" i="25"/>
  <c r="BE24" i="25"/>
  <c r="BE29" i="25"/>
  <c r="BE26" i="25"/>
  <c r="AZ116" i="37" s="1"/>
  <c r="AY117" i="37"/>
  <c r="BE30" i="25"/>
  <c r="AZ120" i="37" s="1"/>
  <c r="BD48" i="25"/>
  <c r="BD43" i="25"/>
  <c r="BD41" i="25"/>
  <c r="BD40" i="25"/>
  <c r="BD45" i="25"/>
  <c r="BD38" i="25"/>
  <c r="BD39" i="25"/>
  <c r="BD42" i="25"/>
  <c r="K53" i="8"/>
  <c r="B53" i="8"/>
  <c r="F54" i="8"/>
  <c r="H54" i="8" s="1"/>
  <c r="G54" i="8" l="1"/>
  <c r="I53" i="8" a="1"/>
  <c r="I53" i="8" s="1"/>
  <c r="BF15" i="25"/>
  <c r="BF18" i="25"/>
  <c r="BF19" i="25"/>
  <c r="BF52" i="25" s="1"/>
  <c r="BF17" i="25"/>
  <c r="BF16" i="25"/>
  <c r="D53" i="8"/>
  <c r="C53" i="8"/>
  <c r="BF28" i="25"/>
  <c r="BA118" i="37" s="1"/>
  <c r="BF25" i="25"/>
  <c r="BF35" i="25"/>
  <c r="BF36" i="25" s="1"/>
  <c r="BE39" i="25"/>
  <c r="L53" i="8"/>
  <c r="M53" i="8"/>
  <c r="BE20" i="25"/>
  <c r="BF34" i="25"/>
  <c r="BF31" i="25"/>
  <c r="BA121" i="37" s="1"/>
  <c r="BF37" i="25"/>
  <c r="BE43" i="25"/>
  <c r="BE44" i="25"/>
  <c r="BE41" i="25"/>
  <c r="BA117" i="37"/>
  <c r="BE42" i="25"/>
  <c r="BF24" i="25"/>
  <c r="BF29" i="25"/>
  <c r="BA119" i="37" s="1"/>
  <c r="BF12" i="25"/>
  <c r="BF33" i="25"/>
  <c r="BA123" i="37" s="1"/>
  <c r="BF23" i="25"/>
  <c r="BE45" i="25"/>
  <c r="BG10" i="25"/>
  <c r="BG27" i="25" s="1"/>
  <c r="BF26" i="25"/>
  <c r="BA116" i="37" s="1"/>
  <c r="BF30" i="25"/>
  <c r="BA120" i="37" s="1"/>
  <c r="BE40" i="25"/>
  <c r="BE48" i="25"/>
  <c r="BE46" i="25"/>
  <c r="BE50" i="25"/>
  <c r="BE47" i="25"/>
  <c r="BE52" i="25"/>
  <c r="BE53" i="25"/>
  <c r="BE49" i="25"/>
  <c r="AZ119" i="37"/>
  <c r="BE38" i="25"/>
  <c r="BE51" i="25"/>
  <c r="K54" i="8"/>
  <c r="B54" i="8"/>
  <c r="F55" i="8"/>
  <c r="H55" i="8" s="1"/>
  <c r="G55" i="8" l="1"/>
  <c r="I54" i="8" a="1"/>
  <c r="I54" i="8" s="1"/>
  <c r="BG15" i="25"/>
  <c r="BG18" i="25"/>
  <c r="BG19" i="25"/>
  <c r="BG52" i="25" s="1"/>
  <c r="BG17" i="25"/>
  <c r="BG16" i="25"/>
  <c r="D54" i="8"/>
  <c r="C54" i="8"/>
  <c r="BG28" i="25"/>
  <c r="BB118" i="37" s="1"/>
  <c r="BG25" i="25"/>
  <c r="L54" i="8"/>
  <c r="M54" i="8"/>
  <c r="BF41" i="25"/>
  <c r="BG35" i="25"/>
  <c r="BG36" i="25" s="1"/>
  <c r="BF20" i="25"/>
  <c r="BG34" i="25"/>
  <c r="BG31" i="25"/>
  <c r="BB121" i="37" s="1"/>
  <c r="BG37" i="25"/>
  <c r="BG33" i="25"/>
  <c r="BB123" i="37" s="1"/>
  <c r="BF48" i="25"/>
  <c r="BF43" i="25"/>
  <c r="BF51" i="25"/>
  <c r="BF49" i="25"/>
  <c r="BF46" i="25"/>
  <c r="BF47" i="25"/>
  <c r="BF53" i="25"/>
  <c r="BF39" i="25"/>
  <c r="BG12" i="25"/>
  <c r="BG26" i="25"/>
  <c r="BB116" i="37" s="1"/>
  <c r="BF50" i="25"/>
  <c r="BF38" i="25"/>
  <c r="BH10" i="25"/>
  <c r="BH27" i="25" s="1"/>
  <c r="BG29" i="25"/>
  <c r="BG24" i="25"/>
  <c r="BF44" i="25"/>
  <c r="BG30" i="25"/>
  <c r="BB120" i="37" s="1"/>
  <c r="BG23" i="25"/>
  <c r="BF45" i="25"/>
  <c r="BF42" i="25"/>
  <c r="BF40" i="25"/>
  <c r="K55" i="8"/>
  <c r="B55" i="8"/>
  <c r="F56" i="8"/>
  <c r="H56" i="8" s="1"/>
  <c r="G56" i="8" l="1"/>
  <c r="I55" i="8" a="1"/>
  <c r="I55" i="8" s="1"/>
  <c r="BH15" i="25"/>
  <c r="BH19" i="25"/>
  <c r="BH52" i="25" s="1"/>
  <c r="BH18" i="25"/>
  <c r="BH17" i="25"/>
  <c r="BH16" i="25"/>
  <c r="D55" i="8"/>
  <c r="C55" i="8"/>
  <c r="BH28" i="25"/>
  <c r="BC118" i="37" s="1"/>
  <c r="BH25" i="25"/>
  <c r="BG48" i="25"/>
  <c r="BG51" i="25"/>
  <c r="L55" i="8"/>
  <c r="M55" i="8"/>
  <c r="BH35" i="25"/>
  <c r="BH36" i="25" s="1"/>
  <c r="BG46" i="25"/>
  <c r="BG53" i="25"/>
  <c r="BG49" i="25"/>
  <c r="BG47" i="25"/>
  <c r="BG50" i="25"/>
  <c r="BB119" i="37"/>
  <c r="BG20" i="25"/>
  <c r="BB117" i="37"/>
  <c r="BH34" i="25"/>
  <c r="BH33" i="25"/>
  <c r="BC123" i="37" s="1"/>
  <c r="BH23" i="25"/>
  <c r="BH30" i="25"/>
  <c r="BC120" i="37" s="1"/>
  <c r="BH31" i="25"/>
  <c r="BC121" i="37" s="1"/>
  <c r="BH37" i="25"/>
  <c r="BI10" i="25"/>
  <c r="BI27" i="25" s="1"/>
  <c r="BH12" i="25"/>
  <c r="BH29" i="25"/>
  <c r="BC119" i="37" s="1"/>
  <c r="BC117" i="37"/>
  <c r="BG42" i="25"/>
  <c r="BH24" i="25"/>
  <c r="BH26" i="25"/>
  <c r="BC116" i="37" s="1"/>
  <c r="BG44" i="25"/>
  <c r="BG39" i="25"/>
  <c r="BG45" i="25"/>
  <c r="BG40" i="25"/>
  <c r="BG43" i="25"/>
  <c r="BG38" i="25"/>
  <c r="BG41" i="25"/>
  <c r="K56" i="8"/>
  <c r="B56" i="8"/>
  <c r="F57" i="8"/>
  <c r="H57" i="8" s="1"/>
  <c r="G57" i="8" l="1"/>
  <c r="I56" i="8" a="1"/>
  <c r="I56" i="8" s="1"/>
  <c r="BI19" i="25"/>
  <c r="BI15" i="25"/>
  <c r="BI18" i="25"/>
  <c r="BI16" i="25"/>
  <c r="BI17" i="25"/>
  <c r="D56" i="8"/>
  <c r="C56" i="8"/>
  <c r="BI28" i="25"/>
  <c r="BD118" i="37" s="1"/>
  <c r="BI25" i="25"/>
  <c r="BH44" i="25"/>
  <c r="BI35" i="25"/>
  <c r="BI36" i="25" s="1"/>
  <c r="L56" i="8"/>
  <c r="M56" i="8"/>
  <c r="BJ10" i="25"/>
  <c r="BJ27" i="25" s="1"/>
  <c r="BI23" i="25"/>
  <c r="BH45" i="25"/>
  <c r="BH20" i="25"/>
  <c r="BH39" i="25"/>
  <c r="BH38" i="25"/>
  <c r="BH41" i="25"/>
  <c r="BH40" i="25"/>
  <c r="BH42" i="25"/>
  <c r="BH43" i="25"/>
  <c r="BI34" i="25"/>
  <c r="BH51" i="25"/>
  <c r="BH53" i="25"/>
  <c r="BI31" i="25"/>
  <c r="BD121" i="37" s="1"/>
  <c r="BI37" i="25"/>
  <c r="BI29" i="25"/>
  <c r="BH46" i="25"/>
  <c r="BI30" i="25"/>
  <c r="BD120" i="37" s="1"/>
  <c r="BI12" i="25"/>
  <c r="BI24" i="25"/>
  <c r="BH50" i="25"/>
  <c r="BH48" i="25"/>
  <c r="BH49" i="25"/>
  <c r="BD117" i="37"/>
  <c r="BI33" i="25"/>
  <c r="BD123" i="37" s="1"/>
  <c r="BI26" i="25"/>
  <c r="BH47" i="25"/>
  <c r="L81" i="17"/>
  <c r="K57" i="8"/>
  <c r="B57" i="8"/>
  <c r="F58" i="8"/>
  <c r="H58" i="8" s="1"/>
  <c r="G58" i="8" l="1"/>
  <c r="I57" i="8" a="1"/>
  <c r="I57" i="8" s="1"/>
  <c r="BJ18" i="25"/>
  <c r="BJ15" i="25"/>
  <c r="BJ19" i="25"/>
  <c r="BJ52" i="25" s="1"/>
  <c r="BJ16" i="25"/>
  <c r="BJ17" i="25"/>
  <c r="D57" i="8"/>
  <c r="C57" i="8"/>
  <c r="BJ28" i="25"/>
  <c r="BE118" i="37" s="1"/>
  <c r="BJ25" i="25"/>
  <c r="BJ35" i="25"/>
  <c r="BJ36" i="25" s="1"/>
  <c r="L57" i="8"/>
  <c r="M57" i="8"/>
  <c r="BE117" i="37"/>
  <c r="BJ37" i="25"/>
  <c r="BJ34" i="25"/>
  <c r="BJ31" i="25"/>
  <c r="BJ26" i="25"/>
  <c r="BJ30" i="25"/>
  <c r="BJ29" i="25"/>
  <c r="BE119" i="37" s="1"/>
  <c r="BJ24" i="25"/>
  <c r="BJ33" i="25"/>
  <c r="BJ12" i="25"/>
  <c r="BI48" i="25"/>
  <c r="BJ23" i="25"/>
  <c r="BI53" i="25"/>
  <c r="BK10" i="25"/>
  <c r="BK27" i="25" s="1"/>
  <c r="BI20" i="25"/>
  <c r="BI49" i="25"/>
  <c r="BI41" i="25"/>
  <c r="BI52" i="25"/>
  <c r="BI46" i="25"/>
  <c r="BI51" i="25"/>
  <c r="BI39" i="25"/>
  <c r="BI44" i="25"/>
  <c r="BI47" i="25"/>
  <c r="BI40" i="25"/>
  <c r="BI42" i="25"/>
  <c r="BI50" i="25"/>
  <c r="BI43" i="25"/>
  <c r="BI45" i="25"/>
  <c r="BI38" i="25"/>
  <c r="BD119" i="37"/>
  <c r="BD116" i="37"/>
  <c r="K58" i="8"/>
  <c r="B58" i="8"/>
  <c r="F59" i="8"/>
  <c r="H59" i="8" s="1"/>
  <c r="G59" i="8" l="1"/>
  <c r="I58" i="8" a="1"/>
  <c r="I58" i="8" s="1"/>
  <c r="BK19" i="25"/>
  <c r="BK52" i="25" s="1"/>
  <c r="BK18" i="25"/>
  <c r="BK15" i="25"/>
  <c r="BK17" i="25"/>
  <c r="BK16" i="25"/>
  <c r="C58" i="8"/>
  <c r="D58" i="8"/>
  <c r="BK28" i="25"/>
  <c r="BF118" i="37" s="1"/>
  <c r="BK25" i="25"/>
  <c r="BJ20" i="25"/>
  <c r="BK35" i="25"/>
  <c r="BK36" i="25" s="1"/>
  <c r="BJ48" i="25"/>
  <c r="BJ49" i="25"/>
  <c r="BJ47" i="25"/>
  <c r="BJ51" i="25"/>
  <c r="BJ50" i="25"/>
  <c r="BJ43" i="25"/>
  <c r="M58" i="8"/>
  <c r="L58" i="8"/>
  <c r="BJ46" i="25"/>
  <c r="BK12" i="25"/>
  <c r="BE120" i="37"/>
  <c r="BJ45" i="25"/>
  <c r="BE121" i="37"/>
  <c r="BJ42" i="25"/>
  <c r="BK26" i="25"/>
  <c r="BF116" i="37" s="1"/>
  <c r="BK23" i="25"/>
  <c r="BJ39" i="25"/>
  <c r="BJ41" i="25"/>
  <c r="BJ38" i="25"/>
  <c r="BK33" i="25"/>
  <c r="BK30" i="25"/>
  <c r="BF120" i="37" s="1"/>
  <c r="BJ40" i="25"/>
  <c r="BE123" i="37"/>
  <c r="BE116" i="37"/>
  <c r="BK29" i="25"/>
  <c r="BF119" i="37" s="1"/>
  <c r="BJ53" i="25"/>
  <c r="BK24" i="25"/>
  <c r="BJ44" i="25"/>
  <c r="BL10" i="25"/>
  <c r="BL27" i="25" s="1"/>
  <c r="BK37" i="25"/>
  <c r="BK31" i="25"/>
  <c r="BK34" i="25"/>
  <c r="K59" i="8"/>
  <c r="B59" i="8"/>
  <c r="F60" i="8"/>
  <c r="H60" i="8" s="1"/>
  <c r="G60" i="8" l="1"/>
  <c r="I59" i="8" a="1"/>
  <c r="I59" i="8" s="1"/>
  <c r="BL19" i="25"/>
  <c r="BL15" i="25"/>
  <c r="BL18" i="25"/>
  <c r="BL16" i="25"/>
  <c r="BL17" i="25"/>
  <c r="D59" i="8"/>
  <c r="C59" i="8"/>
  <c r="BL25" i="25"/>
  <c r="BL28" i="25"/>
  <c r="BG118" i="37" s="1"/>
  <c r="BK20" i="25"/>
  <c r="BL35" i="25"/>
  <c r="BL36" i="25" s="1"/>
  <c r="L59" i="8"/>
  <c r="M59" i="8"/>
  <c r="BK45" i="25"/>
  <c r="BK38" i="25"/>
  <c r="BK46" i="25"/>
  <c r="BK39" i="25"/>
  <c r="BK51" i="25"/>
  <c r="BK44" i="25"/>
  <c r="BK53" i="25"/>
  <c r="BK47" i="25"/>
  <c r="BF117" i="37"/>
  <c r="BF123" i="37"/>
  <c r="BK41" i="25"/>
  <c r="BK40" i="25"/>
  <c r="BK42" i="25"/>
  <c r="BL29" i="25"/>
  <c r="BL26" i="25"/>
  <c r="BG116" i="37" s="1"/>
  <c r="BL24" i="25"/>
  <c r="BL12" i="25"/>
  <c r="BL34" i="25"/>
  <c r="BK50" i="25"/>
  <c r="BK49" i="25"/>
  <c r="BL30" i="25"/>
  <c r="BM10" i="25"/>
  <c r="BM27" i="25" s="1"/>
  <c r="BK48" i="25"/>
  <c r="BL33" i="25"/>
  <c r="BL37" i="25"/>
  <c r="BL23" i="25"/>
  <c r="BL31" i="25"/>
  <c r="BG121" i="37" s="1"/>
  <c r="BF121" i="37"/>
  <c r="BK43" i="25"/>
  <c r="K60" i="8"/>
  <c r="B60" i="8"/>
  <c r="F61" i="8"/>
  <c r="H61" i="8" s="1"/>
  <c r="G61" i="8" l="1"/>
  <c r="I60" i="8" a="1"/>
  <c r="I60" i="8" s="1"/>
  <c r="BM18" i="25"/>
  <c r="BM15" i="25"/>
  <c r="BM19" i="25"/>
  <c r="BM16" i="25"/>
  <c r="BM17" i="25"/>
  <c r="D60" i="8"/>
  <c r="C60" i="8"/>
  <c r="BM25" i="25"/>
  <c r="BM28" i="25"/>
  <c r="BH118" i="37" s="1"/>
  <c r="BL20" i="25"/>
  <c r="BL44" i="25"/>
  <c r="BM35" i="25"/>
  <c r="BM36" i="25" s="1"/>
  <c r="BM29" i="25"/>
  <c r="BH119" i="37" s="1"/>
  <c r="BL41" i="25"/>
  <c r="BL42" i="25"/>
  <c r="BL39" i="25"/>
  <c r="BL45" i="25"/>
  <c r="BM12" i="25"/>
  <c r="M60" i="8"/>
  <c r="L60" i="8"/>
  <c r="BL53" i="25"/>
  <c r="BM37" i="25"/>
  <c r="BG119" i="37"/>
  <c r="BL48" i="25"/>
  <c r="BL52" i="25"/>
  <c r="BL49" i="25"/>
  <c r="BL40" i="25"/>
  <c r="BM31" i="25"/>
  <c r="BH117" i="37"/>
  <c r="BL38" i="25"/>
  <c r="BM23" i="25"/>
  <c r="BM26" i="25"/>
  <c r="BH116" i="37" s="1"/>
  <c r="BM30" i="25"/>
  <c r="BM34" i="25"/>
  <c r="BM33" i="25"/>
  <c r="BN10" i="25"/>
  <c r="BN27" i="25" s="1"/>
  <c r="BM24" i="25"/>
  <c r="BG123" i="37"/>
  <c r="BL51" i="25"/>
  <c r="BL50" i="25"/>
  <c r="BG120" i="37"/>
  <c r="BG117" i="37"/>
  <c r="BL46" i="25"/>
  <c r="BL47" i="25"/>
  <c r="BL43" i="25"/>
  <c r="K61" i="8"/>
  <c r="B61" i="8"/>
  <c r="F62" i="8"/>
  <c r="H62" i="8" s="1"/>
  <c r="G62" i="8" l="1"/>
  <c r="I61" i="8" a="1"/>
  <c r="I61" i="8" s="1"/>
  <c r="BN18" i="25"/>
  <c r="BN15" i="25"/>
  <c r="BN19" i="25"/>
  <c r="BN17" i="25"/>
  <c r="BN16" i="25"/>
  <c r="D61" i="8"/>
  <c r="C61" i="8"/>
  <c r="BN25" i="25"/>
  <c r="BN28" i="25"/>
  <c r="BI118" i="37" s="1"/>
  <c r="BM20" i="25"/>
  <c r="BN35" i="25"/>
  <c r="BN36" i="25" s="1"/>
  <c r="BN12" i="25"/>
  <c r="BM49" i="25"/>
  <c r="BN26" i="25"/>
  <c r="BI116" i="37" s="1"/>
  <c r="BM45" i="25"/>
  <c r="BN24" i="25"/>
  <c r="BN29" i="25"/>
  <c r="BI119" i="37" s="1"/>
  <c r="BM53" i="25"/>
  <c r="BM51" i="25"/>
  <c r="BM52" i="25"/>
  <c r="L61" i="8"/>
  <c r="M61" i="8"/>
  <c r="BN33" i="25"/>
  <c r="BM50" i="25"/>
  <c r="BN23" i="25"/>
  <c r="BH121" i="37"/>
  <c r="BM47" i="25"/>
  <c r="BM41" i="25"/>
  <c r="BM40" i="25"/>
  <c r="BH120" i="37"/>
  <c r="BM46" i="25"/>
  <c r="BM38" i="25"/>
  <c r="BM39" i="25"/>
  <c r="BM42" i="25"/>
  <c r="BM48" i="25"/>
  <c r="BM43" i="25"/>
  <c r="BO10" i="25"/>
  <c r="BO27" i="25" s="1"/>
  <c r="BM44" i="25"/>
  <c r="BN37" i="25"/>
  <c r="BN31" i="25"/>
  <c r="BI121" i="37" s="1"/>
  <c r="BN34" i="25"/>
  <c r="BN30" i="25"/>
  <c r="BH123" i="37"/>
  <c r="K62" i="8"/>
  <c r="B62" i="8"/>
  <c r="F63" i="8"/>
  <c r="H63" i="8" s="1"/>
  <c r="G63" i="8" l="1"/>
  <c r="I62" i="8" a="1"/>
  <c r="I62" i="8" s="1"/>
  <c r="BO19" i="25"/>
  <c r="BO15" i="25"/>
  <c r="BO18" i="25"/>
  <c r="BO16" i="25"/>
  <c r="BO17" i="25"/>
  <c r="D62" i="8"/>
  <c r="C62" i="8"/>
  <c r="BO25" i="25"/>
  <c r="BO28" i="25"/>
  <c r="BJ118" i="37" s="1"/>
  <c r="BN20" i="25"/>
  <c r="BN38" i="25"/>
  <c r="BO35" i="25"/>
  <c r="BO36" i="25" s="1"/>
  <c r="BN45" i="25"/>
  <c r="BN44" i="25"/>
  <c r="BN41" i="25"/>
  <c r="BN42" i="25"/>
  <c r="BN53" i="25"/>
  <c r="BN49" i="25"/>
  <c r="BN46" i="25"/>
  <c r="BN52" i="25"/>
  <c r="BI123" i="37"/>
  <c r="BN47" i="25"/>
  <c r="BO23" i="25"/>
  <c r="M62" i="8"/>
  <c r="L62" i="8"/>
  <c r="BN51" i="25"/>
  <c r="BI120" i="37"/>
  <c r="BN50" i="25"/>
  <c r="BN48" i="25"/>
  <c r="BN40" i="25"/>
  <c r="BO37" i="25"/>
  <c r="BO24" i="25"/>
  <c r="BP10" i="25"/>
  <c r="BP27" i="25" s="1"/>
  <c r="BO29" i="25"/>
  <c r="BJ119" i="37" s="1"/>
  <c r="BO31" i="25"/>
  <c r="BN39" i="25"/>
  <c r="BO26" i="25"/>
  <c r="BJ116" i="37" s="1"/>
  <c r="BO33" i="25"/>
  <c r="BO30" i="25"/>
  <c r="BO12" i="25"/>
  <c r="BN43" i="25"/>
  <c r="BI117" i="37"/>
  <c r="BO34" i="25"/>
  <c r="K63" i="8"/>
  <c r="B63" i="8"/>
  <c r="F64" i="8"/>
  <c r="H64" i="8" s="1"/>
  <c r="G64" i="8" l="1"/>
  <c r="I63" i="8" a="1"/>
  <c r="I63" i="8" s="1"/>
  <c r="BP19" i="25"/>
  <c r="BP15" i="25"/>
  <c r="BP18" i="25"/>
  <c r="BP16" i="25"/>
  <c r="BP17" i="25"/>
  <c r="D63" i="8"/>
  <c r="C63" i="8"/>
  <c r="BP25" i="25"/>
  <c r="BP28" i="25"/>
  <c r="BK118" i="37" s="1"/>
  <c r="BP23" i="25"/>
  <c r="BO20" i="25"/>
  <c r="BO44" i="25"/>
  <c r="BP35" i="25"/>
  <c r="BP36" i="25" s="1"/>
  <c r="BP12" i="25"/>
  <c r="BK117" i="37"/>
  <c r="BO43" i="25"/>
  <c r="BP24" i="25"/>
  <c r="M63" i="8"/>
  <c r="L63" i="8"/>
  <c r="BP30" i="25"/>
  <c r="BK120" i="37" s="1"/>
  <c r="BP33" i="25"/>
  <c r="BP37" i="25"/>
  <c r="BP31" i="25"/>
  <c r="BP29" i="25"/>
  <c r="BK119" i="37" s="1"/>
  <c r="BP26" i="25"/>
  <c r="BK116" i="37" s="1"/>
  <c r="BO39" i="25"/>
  <c r="BQ10" i="25"/>
  <c r="BQ27" i="25" s="1"/>
  <c r="BO41" i="25"/>
  <c r="BO46" i="25"/>
  <c r="BO38" i="25"/>
  <c r="BJ121" i="37"/>
  <c r="BP34" i="25"/>
  <c r="BJ117" i="37"/>
  <c r="BO50" i="25"/>
  <c r="BO45" i="25"/>
  <c r="BO47" i="25"/>
  <c r="BO51" i="25"/>
  <c r="BJ123" i="37"/>
  <c r="BO42" i="25"/>
  <c r="BO53" i="25"/>
  <c r="BO49" i="25"/>
  <c r="BO52" i="25"/>
  <c r="BO48" i="25"/>
  <c r="BJ120" i="37"/>
  <c r="BO40" i="25"/>
  <c r="K64" i="8"/>
  <c r="B64" i="8"/>
  <c r="F65" i="8"/>
  <c r="H65" i="8" s="1"/>
  <c r="G65" i="8" l="1"/>
  <c r="I64" i="8" a="1"/>
  <c r="I64" i="8" s="1"/>
  <c r="BQ18" i="25"/>
  <c r="BQ19" i="25"/>
  <c r="BQ52" i="25" s="1"/>
  <c r="BQ15" i="25"/>
  <c r="BQ16" i="25"/>
  <c r="BQ17" i="25"/>
  <c r="D64" i="8"/>
  <c r="C64" i="8"/>
  <c r="BQ28" i="25"/>
  <c r="BL118" i="37" s="1"/>
  <c r="BQ25" i="25"/>
  <c r="BP20" i="25"/>
  <c r="BQ35" i="25"/>
  <c r="BQ36" i="25" s="1"/>
  <c r="BP40" i="25"/>
  <c r="BP42" i="25"/>
  <c r="BP44" i="25"/>
  <c r="BP39" i="25"/>
  <c r="BP43" i="25"/>
  <c r="BP41" i="25"/>
  <c r="BQ12" i="25"/>
  <c r="BP45" i="25"/>
  <c r="BQ29" i="25"/>
  <c r="BL119" i="37" s="1"/>
  <c r="BP38" i="25"/>
  <c r="BR10" i="25"/>
  <c r="BR27" i="25" s="1"/>
  <c r="M64" i="8"/>
  <c r="L64" i="8"/>
  <c r="BK123" i="37"/>
  <c r="BK121" i="37"/>
  <c r="BP53" i="25"/>
  <c r="BQ30" i="25"/>
  <c r="BQ33" i="25"/>
  <c r="BQ31" i="25"/>
  <c r="BQ26" i="25"/>
  <c r="BQ37" i="25"/>
  <c r="BQ23" i="25"/>
  <c r="BQ34" i="25"/>
  <c r="BQ24" i="25"/>
  <c r="BP50" i="25"/>
  <c r="BP47" i="25"/>
  <c r="BP51" i="25"/>
  <c r="BP48" i="25"/>
  <c r="BP52" i="25"/>
  <c r="BP49" i="25"/>
  <c r="BP46" i="25"/>
  <c r="K65" i="8"/>
  <c r="B65" i="8"/>
  <c r="F66" i="8"/>
  <c r="H66" i="8" s="1"/>
  <c r="G66" i="8" l="1"/>
  <c r="I65" i="8" a="1"/>
  <c r="I65" i="8" s="1"/>
  <c r="BR18" i="25"/>
  <c r="BR19" i="25"/>
  <c r="BR52" i="25" s="1"/>
  <c r="BR15" i="25"/>
  <c r="BR16" i="25"/>
  <c r="BR17" i="25"/>
  <c r="D65" i="8"/>
  <c r="C65" i="8"/>
  <c r="BR25" i="25"/>
  <c r="BR28" i="25"/>
  <c r="BM118" i="37" s="1"/>
  <c r="BQ20" i="25"/>
  <c r="BQ44" i="25"/>
  <c r="BR35" i="25"/>
  <c r="BR36" i="25" s="1"/>
  <c r="BQ45" i="25"/>
  <c r="BQ41" i="25"/>
  <c r="BQ39" i="25"/>
  <c r="BQ49" i="25"/>
  <c r="BQ46" i="25"/>
  <c r="BR12" i="25"/>
  <c r="BR29" i="25"/>
  <c r="BM119" i="37" s="1"/>
  <c r="BR26" i="25"/>
  <c r="BM116" i="37" s="1"/>
  <c r="BR30" i="25"/>
  <c r="BM120" i="37" s="1"/>
  <c r="BR31" i="25"/>
  <c r="BR23" i="25"/>
  <c r="BR34" i="25"/>
  <c r="BS10" i="25"/>
  <c r="BS27" i="25" s="1"/>
  <c r="BR24" i="25"/>
  <c r="BR33" i="25"/>
  <c r="BM123" i="37" s="1"/>
  <c r="BR37" i="25"/>
  <c r="BQ51" i="25"/>
  <c r="BQ42" i="25"/>
  <c r="BL123" i="37"/>
  <c r="BQ53" i="25"/>
  <c r="BL120" i="37"/>
  <c r="BQ43" i="25"/>
  <c r="BQ50" i="25"/>
  <c r="BL121" i="37"/>
  <c r="M65" i="8"/>
  <c r="L65" i="8"/>
  <c r="BQ38" i="25"/>
  <c r="BL116" i="37"/>
  <c r="BQ48" i="25"/>
  <c r="BL117" i="37"/>
  <c r="BQ47" i="25"/>
  <c r="BQ40" i="25"/>
  <c r="K66" i="8"/>
  <c r="B66" i="8"/>
  <c r="F67" i="8"/>
  <c r="H67" i="8" s="1"/>
  <c r="G67" i="8" l="1"/>
  <c r="I66" i="8" a="1"/>
  <c r="I66" i="8" s="1"/>
  <c r="BS15" i="25"/>
  <c r="BS18" i="25"/>
  <c r="BS19" i="25"/>
  <c r="BS16" i="25"/>
  <c r="BS17" i="25"/>
  <c r="D66" i="8"/>
  <c r="C66" i="8"/>
  <c r="BS28" i="25"/>
  <c r="BN118" i="37" s="1"/>
  <c r="BS25" i="25"/>
  <c r="BR20" i="25"/>
  <c r="BS35" i="25"/>
  <c r="BS36" i="25" s="1"/>
  <c r="BR38" i="25"/>
  <c r="BR47" i="25"/>
  <c r="BR46" i="25"/>
  <c r="BR50" i="25"/>
  <c r="BR41" i="25"/>
  <c r="BR49" i="25"/>
  <c r="BS37" i="25"/>
  <c r="BS24" i="25"/>
  <c r="BS30" i="25"/>
  <c r="BN120" i="37" s="1"/>
  <c r="BR39" i="25"/>
  <c r="BM117" i="37"/>
  <c r="BS31" i="25"/>
  <c r="BN121" i="37" s="1"/>
  <c r="BR51" i="25"/>
  <c r="BS12" i="25"/>
  <c r="BR53" i="25"/>
  <c r="BT10" i="25"/>
  <c r="BR44" i="25"/>
  <c r="BS33" i="25"/>
  <c r="BS29" i="25"/>
  <c r="BN119" i="37" s="1"/>
  <c r="BN117" i="37"/>
  <c r="BR42" i="25"/>
  <c r="BR40" i="25"/>
  <c r="BR45" i="25"/>
  <c r="BS23" i="25"/>
  <c r="BS26" i="25"/>
  <c r="BN116" i="37" s="1"/>
  <c r="BR43" i="25"/>
  <c r="BR48" i="25"/>
  <c r="BM121" i="37"/>
  <c r="BS34" i="25"/>
  <c r="M66" i="8"/>
  <c r="L66" i="8"/>
  <c r="K67" i="8"/>
  <c r="B67" i="8"/>
  <c r="F68" i="8"/>
  <c r="H68" i="8" s="1"/>
  <c r="G68" i="8" l="1"/>
  <c r="E66" i="16"/>
  <c r="D65" i="16"/>
  <c r="D66" i="16"/>
  <c r="BT27" i="25"/>
  <c r="BO117" i="37" s="1"/>
  <c r="I67" i="8" a="1"/>
  <c r="I67" i="8" s="1"/>
  <c r="BT19" i="25"/>
  <c r="BT15" i="25"/>
  <c r="BT18" i="25"/>
  <c r="BT17" i="25"/>
  <c r="BT16" i="25"/>
  <c r="D67" i="8"/>
  <c r="C67" i="8"/>
  <c r="BT28" i="25"/>
  <c r="BO118" i="37" s="1"/>
  <c r="BT25" i="25"/>
  <c r="BS20" i="25"/>
  <c r="BT35" i="25"/>
  <c r="BT36" i="25" s="1"/>
  <c r="BS48" i="25"/>
  <c r="BS42" i="25"/>
  <c r="BS44" i="25"/>
  <c r="BS39" i="25"/>
  <c r="BS46" i="25"/>
  <c r="BS50" i="25"/>
  <c r="BS47" i="25"/>
  <c r="BT12" i="25"/>
  <c r="BS53" i="25"/>
  <c r="BS52" i="25"/>
  <c r="BS43" i="25"/>
  <c r="BS51" i="25"/>
  <c r="BS45" i="25"/>
  <c r="BS41" i="25"/>
  <c r="BS49" i="25"/>
  <c r="BN123" i="37"/>
  <c r="BS38" i="25"/>
  <c r="BT24" i="25"/>
  <c r="BT37" i="25"/>
  <c r="BT34" i="25"/>
  <c r="BT26" i="25"/>
  <c r="BT31" i="25"/>
  <c r="BO121" i="37" s="1"/>
  <c r="BS40" i="25"/>
  <c r="BT23" i="25"/>
  <c r="BT30" i="25"/>
  <c r="BO120" i="37" s="1"/>
  <c r="BT33" i="25"/>
  <c r="BU10" i="25"/>
  <c r="BU27" i="25" s="1"/>
  <c r="BT29" i="25"/>
  <c r="BO119" i="37" s="1"/>
  <c r="M67" i="8"/>
  <c r="L67" i="8"/>
  <c r="K68" i="8"/>
  <c r="B68" i="8"/>
  <c r="F69" i="8"/>
  <c r="H69" i="8" s="1"/>
  <c r="G69" i="8" l="1"/>
  <c r="E113" i="37"/>
  <c r="F82" i="17"/>
  <c r="I68" i="8" a="1"/>
  <c r="I68" i="8" s="1"/>
  <c r="BU15" i="25"/>
  <c r="BU18" i="25"/>
  <c r="BU19" i="25"/>
  <c r="BU52" i="25" s="1"/>
  <c r="BU17" i="25"/>
  <c r="BU16" i="25"/>
  <c r="D68" i="8"/>
  <c r="C68" i="8"/>
  <c r="BU28" i="25"/>
  <c r="BP118" i="37" s="1"/>
  <c r="BU25" i="25"/>
  <c r="BT20" i="25"/>
  <c r="BU35" i="25"/>
  <c r="BU36" i="25" s="1"/>
  <c r="BT41" i="25"/>
  <c r="BT49" i="25"/>
  <c r="BT48" i="25"/>
  <c r="BT51" i="25"/>
  <c r="BT52" i="25"/>
  <c r="BT42" i="25"/>
  <c r="BT47" i="25"/>
  <c r="BT43" i="25"/>
  <c r="BT45" i="25"/>
  <c r="BT39" i="25"/>
  <c r="BT46" i="25"/>
  <c r="BT44" i="25"/>
  <c r="BT38" i="25"/>
  <c r="BT50" i="25"/>
  <c r="BU23" i="25"/>
  <c r="BU30" i="25"/>
  <c r="BP120" i="37" s="1"/>
  <c r="BT40" i="25"/>
  <c r="BV10" i="25"/>
  <c r="BV27" i="25" s="1"/>
  <c r="BU34" i="25"/>
  <c r="BU12" i="25"/>
  <c r="BT53" i="25"/>
  <c r="BO116" i="37"/>
  <c r="BU37" i="25"/>
  <c r="BU24" i="25"/>
  <c r="BU31" i="25"/>
  <c r="BP121" i="37" s="1"/>
  <c r="BP117" i="37"/>
  <c r="BU33" i="25"/>
  <c r="BP123" i="37" s="1"/>
  <c r="BU29" i="25"/>
  <c r="BP119" i="37" s="1"/>
  <c r="BO123" i="37"/>
  <c r="BU26" i="25"/>
  <c r="BP116" i="37" s="1"/>
  <c r="M68" i="8"/>
  <c r="L68" i="8"/>
  <c r="K69" i="8"/>
  <c r="B69" i="8"/>
  <c r="F70" i="8"/>
  <c r="H70" i="8" s="1"/>
  <c r="G70" i="8" l="1"/>
  <c r="I69" i="8" a="1"/>
  <c r="I69" i="8" s="1"/>
  <c r="BV18" i="25"/>
  <c r="BV15" i="25"/>
  <c r="BV19" i="25"/>
  <c r="BV16" i="25"/>
  <c r="BV17" i="25"/>
  <c r="D69" i="8"/>
  <c r="C69" i="8"/>
  <c r="BV28" i="25"/>
  <c r="BQ118" i="37" s="1"/>
  <c r="BV25" i="25"/>
  <c r="BV23" i="25"/>
  <c r="BU20" i="25"/>
  <c r="BU42" i="25"/>
  <c r="BV35" i="25"/>
  <c r="BV36" i="25" s="1"/>
  <c r="BV37" i="25"/>
  <c r="BV31" i="25"/>
  <c r="BV26" i="25"/>
  <c r="BQ116" i="37" s="1"/>
  <c r="BV24" i="25"/>
  <c r="BV30" i="25"/>
  <c r="BQ120" i="37" s="1"/>
  <c r="BW10" i="25"/>
  <c r="BW27" i="25" s="1"/>
  <c r="BV33" i="25"/>
  <c r="BQ123" i="37" s="1"/>
  <c r="BU46" i="25"/>
  <c r="BV34" i="25"/>
  <c r="BU51" i="25"/>
  <c r="BU39" i="25"/>
  <c r="BU47" i="25"/>
  <c r="BU43" i="25"/>
  <c r="BU45" i="25"/>
  <c r="BU49" i="25"/>
  <c r="BQ117" i="37"/>
  <c r="BU53" i="25"/>
  <c r="BU48" i="25"/>
  <c r="BU44" i="25"/>
  <c r="BU38" i="25"/>
  <c r="BU41" i="25"/>
  <c r="BU40" i="25"/>
  <c r="BU50" i="25"/>
  <c r="BV12" i="25"/>
  <c r="BV29" i="25"/>
  <c r="L69" i="8"/>
  <c r="M69" i="8"/>
  <c r="K70" i="8"/>
  <c r="B70" i="8"/>
  <c r="F71" i="8"/>
  <c r="H71" i="8" s="1"/>
  <c r="G71" i="8" l="1"/>
  <c r="I70" i="8" a="1"/>
  <c r="I70" i="8" s="1"/>
  <c r="BW15" i="25"/>
  <c r="BW18" i="25"/>
  <c r="BW19" i="25"/>
  <c r="BW17" i="25"/>
  <c r="BW16" i="25"/>
  <c r="D70" i="8"/>
  <c r="C70" i="8"/>
  <c r="BW28" i="25"/>
  <c r="BR118" i="37" s="1"/>
  <c r="BW25" i="25"/>
  <c r="BV41" i="25"/>
  <c r="BV43" i="25"/>
  <c r="BV20" i="25"/>
  <c r="BV44" i="25"/>
  <c r="BV40" i="25"/>
  <c r="BQ121" i="37"/>
  <c r="BW35" i="25"/>
  <c r="BW36" i="25" s="1"/>
  <c r="BR117" i="37"/>
  <c r="BV38" i="25"/>
  <c r="BV42" i="25"/>
  <c r="BV51" i="25"/>
  <c r="BV50" i="25"/>
  <c r="BW26" i="25"/>
  <c r="BR116" i="37" s="1"/>
  <c r="BW30" i="25"/>
  <c r="BR120" i="37" s="1"/>
  <c r="BW24" i="25"/>
  <c r="BW23" i="25"/>
  <c r="BW33" i="25"/>
  <c r="BR123" i="37" s="1"/>
  <c r="BW37" i="25"/>
  <c r="BW31" i="25"/>
  <c r="BR121" i="37" s="1"/>
  <c r="BX10" i="25"/>
  <c r="BX27" i="25" s="1"/>
  <c r="BW12" i="25"/>
  <c r="BV45" i="25"/>
  <c r="BW34" i="25"/>
  <c r="BW29" i="25"/>
  <c r="BR119" i="37" s="1"/>
  <c r="BV49" i="25"/>
  <c r="BV48" i="25"/>
  <c r="BV52" i="25"/>
  <c r="BV46" i="25"/>
  <c r="BV47" i="25"/>
  <c r="BV53" i="25"/>
  <c r="BV39" i="25"/>
  <c r="BQ119" i="37"/>
  <c r="L70" i="8"/>
  <c r="M70" i="8"/>
  <c r="K71" i="8"/>
  <c r="B71" i="8"/>
  <c r="F72" i="8"/>
  <c r="H72" i="8" s="1"/>
  <c r="G72" i="8" l="1"/>
  <c r="I71" i="8" a="1"/>
  <c r="I71" i="8" s="1"/>
  <c r="BX15" i="25"/>
  <c r="BX19" i="25"/>
  <c r="BX18" i="25"/>
  <c r="BX17" i="25"/>
  <c r="BX16" i="25"/>
  <c r="BW48" i="25"/>
  <c r="D71" i="8"/>
  <c r="C71" i="8"/>
  <c r="BX28" i="25"/>
  <c r="BS118" i="37" s="1"/>
  <c r="BX25" i="25"/>
  <c r="BW20" i="25"/>
  <c r="BW44" i="25"/>
  <c r="BX35" i="25"/>
  <c r="BX36" i="25" s="1"/>
  <c r="BW42" i="25"/>
  <c r="BW40" i="25"/>
  <c r="BX12" i="25"/>
  <c r="BX26" i="25"/>
  <c r="BS116" i="37" s="1"/>
  <c r="BW39" i="25"/>
  <c r="BX29" i="25"/>
  <c r="BS119" i="37" s="1"/>
  <c r="BW51" i="25"/>
  <c r="BX24" i="25"/>
  <c r="BS117" i="37"/>
  <c r="BY10" i="25"/>
  <c r="BY27" i="25" s="1"/>
  <c r="BW52" i="25"/>
  <c r="BX34" i="25"/>
  <c r="BX31" i="25"/>
  <c r="BS121" i="37" s="1"/>
  <c r="BX23" i="25"/>
  <c r="BX37" i="25"/>
  <c r="BX30" i="25"/>
  <c r="BS120" i="37" s="1"/>
  <c r="BX33" i="25"/>
  <c r="BS123" i="37" s="1"/>
  <c r="BW47" i="25"/>
  <c r="BW49" i="25"/>
  <c r="BW53" i="25"/>
  <c r="BW46" i="25"/>
  <c r="BW50" i="25"/>
  <c r="BW41" i="25"/>
  <c r="BW38" i="25"/>
  <c r="BW43" i="25"/>
  <c r="BW45" i="25"/>
  <c r="L71" i="8"/>
  <c r="M71" i="8"/>
  <c r="K72" i="8"/>
  <c r="B72" i="8"/>
  <c r="F73" i="8"/>
  <c r="H73" i="8" s="1"/>
  <c r="G73" i="8" l="1"/>
  <c r="I72" i="8" a="1"/>
  <c r="I72" i="8" s="1"/>
  <c r="BY19" i="25"/>
  <c r="BY52" i="25" s="1"/>
  <c r="BY15" i="25"/>
  <c r="BY18" i="25"/>
  <c r="BY17" i="25"/>
  <c r="BY16" i="25"/>
  <c r="D72" i="8"/>
  <c r="C72" i="8"/>
  <c r="BY28" i="25"/>
  <c r="BT118" i="37" s="1"/>
  <c r="BY25" i="25"/>
  <c r="BX20" i="25"/>
  <c r="BY35" i="25"/>
  <c r="BY36" i="25" s="1"/>
  <c r="BX40" i="25"/>
  <c r="BX44" i="25"/>
  <c r="BY26" i="25"/>
  <c r="BT116" i="37" s="1"/>
  <c r="BY34" i="25"/>
  <c r="BX39" i="25"/>
  <c r="BT117" i="37"/>
  <c r="BX38" i="25"/>
  <c r="BX45" i="25"/>
  <c r="BY24" i="25"/>
  <c r="BX42" i="25"/>
  <c r="BX43" i="25"/>
  <c r="BX49" i="25"/>
  <c r="BX53" i="25"/>
  <c r="BX47" i="25"/>
  <c r="BY31" i="25"/>
  <c r="BT121" i="37" s="1"/>
  <c r="BX51" i="25"/>
  <c r="BX48" i="25"/>
  <c r="BX50" i="25"/>
  <c r="BZ10" i="25"/>
  <c r="BZ27" i="25" s="1"/>
  <c r="BX41" i="25"/>
  <c r="BY30" i="25"/>
  <c r="BT120" i="37" s="1"/>
  <c r="BY23" i="25"/>
  <c r="BY33" i="25"/>
  <c r="BT123" i="37" s="1"/>
  <c r="BX52" i="25"/>
  <c r="BY29" i="25"/>
  <c r="BT119" i="37" s="1"/>
  <c r="BY12" i="25"/>
  <c r="BX46" i="25"/>
  <c r="BY37" i="25"/>
  <c r="L72" i="8"/>
  <c r="M72" i="8"/>
  <c r="K73" i="8"/>
  <c r="B73" i="8"/>
  <c r="F74" i="8"/>
  <c r="H74" i="8" s="1"/>
  <c r="G74" i="8" l="1"/>
  <c r="I73" i="8" a="1"/>
  <c r="I73" i="8" s="1"/>
  <c r="BZ18" i="25"/>
  <c r="BZ19" i="25"/>
  <c r="BZ15" i="25"/>
  <c r="BZ17" i="25"/>
  <c r="BZ16" i="25"/>
  <c r="D73" i="8"/>
  <c r="C73" i="8"/>
  <c r="BZ28" i="25"/>
  <c r="BU118" i="37" s="1"/>
  <c r="BZ25" i="25"/>
  <c r="BY20" i="25"/>
  <c r="BZ35" i="25"/>
  <c r="BZ36" i="25" s="1"/>
  <c r="BY41" i="25"/>
  <c r="BY38" i="25"/>
  <c r="BY46" i="25"/>
  <c r="BY50" i="25"/>
  <c r="BY49" i="25"/>
  <c r="BY39" i="25"/>
  <c r="BY51" i="25"/>
  <c r="BY42" i="25"/>
  <c r="BY43" i="25"/>
  <c r="BY44" i="25"/>
  <c r="BZ12" i="25"/>
  <c r="BY47" i="25"/>
  <c r="CA10" i="25"/>
  <c r="CA27" i="25" s="1"/>
  <c r="BZ23" i="25"/>
  <c r="BZ33" i="25"/>
  <c r="BU123" i="37" s="1"/>
  <c r="BZ29" i="25"/>
  <c r="BU119" i="37" s="1"/>
  <c r="BZ30" i="25"/>
  <c r="BU120" i="37" s="1"/>
  <c r="BZ37" i="25"/>
  <c r="BZ31" i="25"/>
  <c r="BU121" i="37" s="1"/>
  <c r="BU117" i="37"/>
  <c r="BY53" i="25"/>
  <c r="BY45" i="25"/>
  <c r="BZ26" i="25"/>
  <c r="BU116" i="37" s="1"/>
  <c r="BY48" i="25"/>
  <c r="BZ34" i="25"/>
  <c r="BZ24" i="25"/>
  <c r="BY40" i="25"/>
  <c r="L73" i="8"/>
  <c r="M73" i="8"/>
  <c r="K74" i="8"/>
  <c r="B74" i="8"/>
  <c r="F75" i="8"/>
  <c r="H75" i="8" s="1"/>
  <c r="G75" i="8" l="1"/>
  <c r="I74" i="8" a="1"/>
  <c r="I74" i="8" s="1"/>
  <c r="CA18" i="25"/>
  <c r="CA15" i="25"/>
  <c r="CA19" i="25"/>
  <c r="CA52" i="25" s="1"/>
  <c r="CA16" i="25"/>
  <c r="CA17" i="25"/>
  <c r="C74" i="8"/>
  <c r="D74" i="8"/>
  <c r="CA25" i="25"/>
  <c r="CA28" i="25"/>
  <c r="BV118" i="37" s="1"/>
  <c r="BZ20" i="25"/>
  <c r="CA35" i="25"/>
  <c r="CA36" i="25" s="1"/>
  <c r="CA30" i="25"/>
  <c r="BV120" i="37" s="1"/>
  <c r="BZ42" i="25"/>
  <c r="CA34" i="25"/>
  <c r="BV117" i="37"/>
  <c r="CB10" i="25"/>
  <c r="CB27" i="25" s="1"/>
  <c r="BZ51" i="25"/>
  <c r="CA33" i="25"/>
  <c r="BV123" i="37" s="1"/>
  <c r="CA24" i="25"/>
  <c r="CA23" i="25"/>
  <c r="CA37" i="25"/>
  <c r="CA31" i="25"/>
  <c r="BV121" i="37" s="1"/>
  <c r="BZ48" i="25"/>
  <c r="CA29" i="25"/>
  <c r="CA12" i="25"/>
  <c r="CA26" i="25"/>
  <c r="BZ45" i="25"/>
  <c r="BZ52" i="25"/>
  <c r="BZ44" i="25"/>
  <c r="BZ43" i="25"/>
  <c r="BZ39" i="25"/>
  <c r="BZ41" i="25"/>
  <c r="BZ47" i="25"/>
  <c r="BZ53" i="25"/>
  <c r="BZ40" i="25"/>
  <c r="BZ50" i="25"/>
  <c r="BZ49" i="25"/>
  <c r="BZ38" i="25"/>
  <c r="BZ46" i="25"/>
  <c r="L74" i="8"/>
  <c r="M74" i="8"/>
  <c r="K75" i="8"/>
  <c r="B75" i="8"/>
  <c r="F76" i="8"/>
  <c r="H76" i="8" s="1"/>
  <c r="G76" i="8" l="1"/>
  <c r="I75" i="8" a="1"/>
  <c r="I75" i="8" s="1"/>
  <c r="CB15" i="25"/>
  <c r="CB18" i="25"/>
  <c r="CB19" i="25"/>
  <c r="CB52" i="25" s="1"/>
  <c r="CB17" i="25"/>
  <c r="CB16" i="25"/>
  <c r="C75" i="8"/>
  <c r="D75" i="8"/>
  <c r="CB25" i="25"/>
  <c r="CB28" i="25"/>
  <c r="BW118" i="37" s="1"/>
  <c r="CA20" i="25"/>
  <c r="CB35" i="25"/>
  <c r="CB36" i="25" s="1"/>
  <c r="CA39" i="25"/>
  <c r="CA46" i="25"/>
  <c r="CA48" i="25"/>
  <c r="CB23" i="25"/>
  <c r="CB12" i="25"/>
  <c r="CC10" i="25"/>
  <c r="CC27" i="25" s="1"/>
  <c r="CB37" i="25"/>
  <c r="CA47" i="25"/>
  <c r="CB29" i="25"/>
  <c r="BW119" i="37" s="1"/>
  <c r="CB26" i="25"/>
  <c r="CB34" i="25"/>
  <c r="CB30" i="25"/>
  <c r="BW120" i="37" s="1"/>
  <c r="CB33" i="25"/>
  <c r="CB31" i="25"/>
  <c r="CB24" i="25"/>
  <c r="CA53" i="25"/>
  <c r="CA49" i="25"/>
  <c r="CA51" i="25"/>
  <c r="CA50" i="25"/>
  <c r="CA43" i="25"/>
  <c r="CA42" i="25"/>
  <c r="CA38" i="25"/>
  <c r="CA44" i="25"/>
  <c r="CA41" i="25"/>
  <c r="CA45" i="25"/>
  <c r="CA40" i="25"/>
  <c r="BV119" i="37"/>
  <c r="BV116" i="37"/>
  <c r="M75" i="8"/>
  <c r="L75" i="8"/>
  <c r="K76" i="8"/>
  <c r="B76" i="8"/>
  <c r="F77" i="8"/>
  <c r="H77" i="8" s="1"/>
  <c r="G77" i="8" l="1"/>
  <c r="I76" i="8" a="1"/>
  <c r="I76" i="8" s="1"/>
  <c r="CC18" i="25"/>
  <c r="CC15" i="25"/>
  <c r="CC19" i="25"/>
  <c r="CC17" i="25"/>
  <c r="CC16" i="25"/>
  <c r="C76" i="8"/>
  <c r="D76" i="8"/>
  <c r="CC25" i="25"/>
  <c r="CC28" i="25"/>
  <c r="BX118" i="37" s="1"/>
  <c r="CB51" i="25"/>
  <c r="CB53" i="25"/>
  <c r="CB20" i="25"/>
  <c r="CB49" i="25"/>
  <c r="CB46" i="25"/>
  <c r="CB48" i="25"/>
  <c r="CB39" i="25"/>
  <c r="CB50" i="25"/>
  <c r="CD10" i="25"/>
  <c r="CD27" i="25" s="1"/>
  <c r="CC12" i="25"/>
  <c r="CC29" i="25"/>
  <c r="BX119" i="37" s="1"/>
  <c r="BW123" i="37"/>
  <c r="CB41" i="25"/>
  <c r="CB47" i="25"/>
  <c r="CC33" i="25"/>
  <c r="CB44" i="25"/>
  <c r="CB42" i="25"/>
  <c r="BW117" i="37"/>
  <c r="CC23" i="25"/>
  <c r="CB45" i="25"/>
  <c r="CC34" i="25"/>
  <c r="CC26" i="25"/>
  <c r="BX116" i="37" s="1"/>
  <c r="CC30" i="25"/>
  <c r="CC35" i="25"/>
  <c r="CC36" i="25" s="1"/>
  <c r="CB40" i="25"/>
  <c r="CC24" i="25"/>
  <c r="CC37" i="25"/>
  <c r="CC31" i="25"/>
  <c r="BX121" i="37" s="1"/>
  <c r="CB38" i="25"/>
  <c r="BW116" i="37"/>
  <c r="BW121" i="37"/>
  <c r="CB43" i="25"/>
  <c r="M76" i="8"/>
  <c r="L76" i="8"/>
  <c r="K77" i="8"/>
  <c r="B77" i="8"/>
  <c r="F78" i="8"/>
  <c r="H78" i="8" s="1"/>
  <c r="G78" i="8" l="1"/>
  <c r="I77" i="8" a="1"/>
  <c r="I77" i="8" s="1"/>
  <c r="CD19" i="25"/>
  <c r="CD15" i="25"/>
  <c r="CD18" i="25"/>
  <c r="BY117" i="37"/>
  <c r="CD16" i="25"/>
  <c r="CD17" i="25"/>
  <c r="D77" i="8"/>
  <c r="C77" i="8"/>
  <c r="CD25" i="25"/>
  <c r="CD28" i="25"/>
  <c r="BY118" i="37" s="1"/>
  <c r="CC49" i="25"/>
  <c r="CD34" i="25"/>
  <c r="CC52" i="25"/>
  <c r="CD26" i="25"/>
  <c r="BY116" i="37" s="1"/>
  <c r="CE10" i="25"/>
  <c r="CE27" i="25" s="1"/>
  <c r="CD30" i="25"/>
  <c r="BY120" i="37" s="1"/>
  <c r="CD35" i="25"/>
  <c r="CD36" i="25" s="1"/>
  <c r="CD12" i="25"/>
  <c r="CD37" i="25"/>
  <c r="CD31" i="25"/>
  <c r="BY121" i="37" s="1"/>
  <c r="CD33" i="25"/>
  <c r="CD23" i="25"/>
  <c r="CD29" i="25"/>
  <c r="CD24" i="25"/>
  <c r="CC47" i="25"/>
  <c r="CC53" i="25"/>
  <c r="BX123" i="37"/>
  <c r="CC42" i="25"/>
  <c r="CC44" i="25"/>
  <c r="CC41" i="25"/>
  <c r="CC45" i="25"/>
  <c r="CC43" i="25"/>
  <c r="CC51" i="25"/>
  <c r="BX117" i="37"/>
  <c r="CC46" i="25"/>
  <c r="CC40" i="25"/>
  <c r="CC38" i="25"/>
  <c r="CC50" i="25"/>
  <c r="BX120" i="37"/>
  <c r="CC39" i="25"/>
  <c r="CC48" i="25"/>
  <c r="CC20" i="25"/>
  <c r="L77" i="8"/>
  <c r="M77" i="8"/>
  <c r="K78" i="8"/>
  <c r="B78" i="8"/>
  <c r="F79" i="8"/>
  <c r="H79" i="8" s="1"/>
  <c r="G79" i="8" l="1"/>
  <c r="I78" i="8" a="1"/>
  <c r="I78" i="8" s="1"/>
  <c r="CE19" i="25"/>
  <c r="CE52" i="25" s="1"/>
  <c r="CE18" i="25"/>
  <c r="CE15" i="25"/>
  <c r="CD40" i="25"/>
  <c r="CE16" i="25"/>
  <c r="CE17" i="25"/>
  <c r="D78" i="8"/>
  <c r="C78" i="8"/>
  <c r="CE25" i="25"/>
  <c r="CE28" i="25"/>
  <c r="BZ118" i="37" s="1"/>
  <c r="BZ117" i="37"/>
  <c r="CD46" i="25"/>
  <c r="CE23" i="25"/>
  <c r="CD20" i="25"/>
  <c r="CE29" i="25"/>
  <c r="BZ119" i="37" s="1"/>
  <c r="CE26" i="25"/>
  <c r="BZ116" i="37" s="1"/>
  <c r="CE30" i="25"/>
  <c r="BZ120" i="37" s="1"/>
  <c r="CE12" i="25"/>
  <c r="CE37" i="25"/>
  <c r="CE33" i="25"/>
  <c r="BZ123" i="37" s="1"/>
  <c r="CE35" i="25"/>
  <c r="CE36" i="25" s="1"/>
  <c r="CE34" i="25"/>
  <c r="CE24" i="25"/>
  <c r="CE31" i="25"/>
  <c r="CF10" i="25"/>
  <c r="CF27" i="25" s="1"/>
  <c r="CD52" i="25"/>
  <c r="CD48" i="25"/>
  <c r="CD38" i="25"/>
  <c r="CD45" i="25"/>
  <c r="CD47" i="25"/>
  <c r="CD51" i="25"/>
  <c r="CD50" i="25"/>
  <c r="CD44" i="25"/>
  <c r="CD42" i="25"/>
  <c r="CD43" i="25"/>
  <c r="CD39" i="25"/>
  <c r="CD53" i="25"/>
  <c r="BY123" i="37"/>
  <c r="CD41" i="25"/>
  <c r="BY119" i="37"/>
  <c r="CD49" i="25"/>
  <c r="L78" i="8"/>
  <c r="M78" i="8"/>
  <c r="K79" i="8"/>
  <c r="B79" i="8"/>
  <c r="F80" i="8"/>
  <c r="H80" i="8" s="1"/>
  <c r="G80" i="8" l="1"/>
  <c r="I79" i="8" a="1"/>
  <c r="I79" i="8" s="1"/>
  <c r="CF19" i="25"/>
  <c r="CF15" i="25"/>
  <c r="CF18" i="25"/>
  <c r="CF17" i="25"/>
  <c r="CF16" i="25"/>
  <c r="D79" i="8"/>
  <c r="C79" i="8"/>
  <c r="CF28" i="25"/>
  <c r="CA118" i="37" s="1"/>
  <c r="CF25" i="25"/>
  <c r="CG10" i="25"/>
  <c r="CG27" i="25" s="1"/>
  <c r="CF23" i="25"/>
  <c r="CF12" i="25"/>
  <c r="CF35" i="25"/>
  <c r="CF36" i="25" s="1"/>
  <c r="CA117" i="37"/>
  <c r="CF24" i="25"/>
  <c r="CF29" i="25"/>
  <c r="CF26" i="25"/>
  <c r="CA116" i="37" s="1"/>
  <c r="CF37" i="25"/>
  <c r="CF31" i="25"/>
  <c r="CA121" i="37" s="1"/>
  <c r="CF30" i="25"/>
  <c r="CA120" i="37" s="1"/>
  <c r="CF33" i="25"/>
  <c r="CA123" i="37" s="1"/>
  <c r="CF34" i="25"/>
  <c r="CE43" i="25"/>
  <c r="CE46" i="25"/>
  <c r="CE53" i="25"/>
  <c r="CE50" i="25"/>
  <c r="CE49" i="25"/>
  <c r="CE47" i="25"/>
  <c r="CE51" i="25"/>
  <c r="CE41" i="25"/>
  <c r="CE39" i="25"/>
  <c r="CE48" i="25"/>
  <c r="CE20" i="25"/>
  <c r="CE38" i="25"/>
  <c r="CE40" i="25"/>
  <c r="CE45" i="25"/>
  <c r="CE42" i="25"/>
  <c r="BZ121" i="37"/>
  <c r="CE44" i="25"/>
  <c r="M79" i="8"/>
  <c r="L79" i="8"/>
  <c r="K80" i="8"/>
  <c r="B80" i="8"/>
  <c r="F81" i="8"/>
  <c r="H81" i="8" s="1"/>
  <c r="G81" i="8" l="1"/>
  <c r="I80" i="8" a="1"/>
  <c r="I80" i="8" s="1"/>
  <c r="CG33" i="25"/>
  <c r="CB123" i="37" s="1"/>
  <c r="CG34" i="25"/>
  <c r="CG26" i="25"/>
  <c r="CB116" i="37" s="1"/>
  <c r="CG18" i="25"/>
  <c r="CG15" i="25"/>
  <c r="CG19" i="25"/>
  <c r="CG12" i="25"/>
  <c r="CG24" i="25"/>
  <c r="CG35" i="25"/>
  <c r="CG36" i="25" s="1"/>
  <c r="CG17" i="25"/>
  <c r="CG16" i="25"/>
  <c r="CG29" i="25"/>
  <c r="CB119" i="37" s="1"/>
  <c r="CG30" i="25"/>
  <c r="CB120" i="37" s="1"/>
  <c r="CG37" i="25"/>
  <c r="CB117" i="37"/>
  <c r="CG31" i="25"/>
  <c r="CB121" i="37" s="1"/>
  <c r="D80" i="8"/>
  <c r="C80" i="8"/>
  <c r="CG28" i="25"/>
  <c r="CB118" i="37" s="1"/>
  <c r="CG25" i="25"/>
  <c r="CG23" i="25"/>
  <c r="CH10" i="25"/>
  <c r="CH27" i="25" s="1"/>
  <c r="CF39" i="25"/>
  <c r="CF41" i="25"/>
  <c r="CF44" i="25"/>
  <c r="CF42" i="25"/>
  <c r="CF43" i="25"/>
  <c r="CF38" i="25"/>
  <c r="CF45" i="25"/>
  <c r="CF49" i="25"/>
  <c r="CF20" i="25"/>
  <c r="CF46" i="25"/>
  <c r="CF47" i="25"/>
  <c r="CF52" i="25"/>
  <c r="CF40" i="25"/>
  <c r="CF51" i="25"/>
  <c r="CF50" i="25"/>
  <c r="CF48" i="25"/>
  <c r="CF53" i="25"/>
  <c r="CA119" i="37"/>
  <c r="M80" i="8"/>
  <c r="L80" i="8"/>
  <c r="K81" i="8"/>
  <c r="B81" i="8"/>
  <c r="F82" i="8"/>
  <c r="H82" i="8" s="1"/>
  <c r="G82" i="8" l="1"/>
  <c r="I81" i="8" a="1"/>
  <c r="I81" i="8" s="1"/>
  <c r="CG49" i="25"/>
  <c r="CG20" i="25"/>
  <c r="CH30" i="25"/>
  <c r="CC120" i="37" s="1"/>
  <c r="CH15" i="25"/>
  <c r="CH44" i="25" s="1"/>
  <c r="CH18" i="25"/>
  <c r="CH19" i="25"/>
  <c r="CG39" i="25"/>
  <c r="CH37" i="25"/>
  <c r="CH16" i="25"/>
  <c r="CH17" i="25"/>
  <c r="CH33" i="25"/>
  <c r="CC123" i="37" s="1"/>
  <c r="CG40" i="25"/>
  <c r="CH12" i="25"/>
  <c r="CH23" i="25"/>
  <c r="CH34" i="25"/>
  <c r="CH24" i="25"/>
  <c r="CG38" i="25"/>
  <c r="CG41" i="25"/>
  <c r="CG42" i="25"/>
  <c r="CG43" i="25"/>
  <c r="CH31" i="25"/>
  <c r="CC121" i="37" s="1"/>
  <c r="D81" i="8"/>
  <c r="C81" i="8"/>
  <c r="CG44" i="25"/>
  <c r="CG45" i="25"/>
  <c r="CH26" i="25"/>
  <c r="CC116" i="37" s="1"/>
  <c r="CG48" i="25"/>
  <c r="CG52" i="25"/>
  <c r="CG47" i="25"/>
  <c r="CG46" i="25"/>
  <c r="CG53" i="25"/>
  <c r="CG50" i="25"/>
  <c r="CG51" i="25"/>
  <c r="CH35" i="25"/>
  <c r="CH36" i="25" s="1"/>
  <c r="CC117" i="37"/>
  <c r="CH29" i="25"/>
  <c r="CI10" i="25"/>
  <c r="CI27" i="25" s="1"/>
  <c r="CH25" i="25"/>
  <c r="CH28" i="25"/>
  <c r="CC118" i="37" s="1"/>
  <c r="M81" i="8"/>
  <c r="L81" i="8"/>
  <c r="K82" i="8"/>
  <c r="B82" i="8"/>
  <c r="F83" i="8"/>
  <c r="H83" i="8" s="1"/>
  <c r="G83" i="8" l="1"/>
  <c r="I82" i="8" a="1"/>
  <c r="I82" i="8" s="1"/>
  <c r="CI25" i="25"/>
  <c r="CI28" i="25"/>
  <c r="CD118" i="37" s="1"/>
  <c r="CH51" i="25"/>
  <c r="CI26" i="25"/>
  <c r="CD116" i="37" s="1"/>
  <c r="CI15" i="25"/>
  <c r="CI18" i="25"/>
  <c r="CI19" i="25"/>
  <c r="CI16" i="25"/>
  <c r="CI17" i="25"/>
  <c r="CH39" i="25"/>
  <c r="CH38" i="25"/>
  <c r="CI23" i="25"/>
  <c r="CI12" i="25"/>
  <c r="CH45" i="25"/>
  <c r="CI34" i="25"/>
  <c r="CH42" i="25"/>
  <c r="CH43" i="25"/>
  <c r="CH20" i="25"/>
  <c r="CH41" i="25"/>
  <c r="CJ10" i="25"/>
  <c r="CJ12" i="25" s="1"/>
  <c r="CI24" i="25"/>
  <c r="CD117" i="37"/>
  <c r="CI35" i="25"/>
  <c r="CI36" i="25" s="1"/>
  <c r="C82" i="8"/>
  <c r="D82" i="8"/>
  <c r="CH50" i="25"/>
  <c r="CC119" i="37"/>
  <c r="CH47" i="25"/>
  <c r="CI30" i="25"/>
  <c r="CD120" i="37" s="1"/>
  <c r="CI37" i="25"/>
  <c r="CI33" i="25"/>
  <c r="CI31" i="25"/>
  <c r="CI29" i="25"/>
  <c r="CH49" i="25"/>
  <c r="CH48" i="25"/>
  <c r="CH46" i="25"/>
  <c r="CH52" i="25"/>
  <c r="CH53" i="25"/>
  <c r="CH40" i="25"/>
  <c r="M82" i="8"/>
  <c r="L82" i="8"/>
  <c r="K83" i="8"/>
  <c r="B83" i="8"/>
  <c r="F84" i="8"/>
  <c r="H84" i="8" s="1"/>
  <c r="G84" i="8" l="1"/>
  <c r="CI38" i="25"/>
  <c r="I83" i="8" a="1"/>
  <c r="I83" i="8" s="1"/>
  <c r="CJ34" i="25"/>
  <c r="CI46" i="25"/>
  <c r="CI48" i="25"/>
  <c r="CI52" i="25"/>
  <c r="CJ24" i="25"/>
  <c r="CI50" i="25"/>
  <c r="CK10" i="25"/>
  <c r="CK27" i="25" s="1"/>
  <c r="CJ33" i="25"/>
  <c r="CE123" i="37" s="1"/>
  <c r="CJ27" i="25"/>
  <c r="CE117" i="37" s="1"/>
  <c r="CI53" i="25"/>
  <c r="CJ30" i="25"/>
  <c r="CE120" i="37" s="1"/>
  <c r="CI49" i="25"/>
  <c r="CI51" i="25"/>
  <c r="CJ15" i="25"/>
  <c r="CJ18" i="25"/>
  <c r="CJ19" i="25"/>
  <c r="CD121" i="37"/>
  <c r="CJ31" i="25"/>
  <c r="CE121" i="37" s="1"/>
  <c r="CJ16" i="25"/>
  <c r="CJ17" i="25"/>
  <c r="CJ35" i="25"/>
  <c r="CJ36" i="25" s="1"/>
  <c r="CI47" i="25"/>
  <c r="CJ25" i="25"/>
  <c r="CJ23" i="25"/>
  <c r="CJ28" i="25"/>
  <c r="CE118" i="37" s="1"/>
  <c r="CI45" i="25"/>
  <c r="CI44" i="25"/>
  <c r="CJ37" i="25"/>
  <c r="CI42" i="25"/>
  <c r="CJ29" i="25"/>
  <c r="CE119" i="37" s="1"/>
  <c r="CJ26" i="25"/>
  <c r="CI39" i="25"/>
  <c r="CI20" i="25"/>
  <c r="CI40" i="25"/>
  <c r="CD123" i="37"/>
  <c r="D83" i="8"/>
  <c r="C83" i="8"/>
  <c r="CI43" i="25"/>
  <c r="CI41" i="25"/>
  <c r="CD119" i="37"/>
  <c r="CK28" i="25"/>
  <c r="CF118" i="37" s="1"/>
  <c r="CK25" i="25"/>
  <c r="L83" i="8"/>
  <c r="M83" i="8"/>
  <c r="K84" i="8"/>
  <c r="B84" i="8"/>
  <c r="F85" i="8"/>
  <c r="H85" i="8" s="1"/>
  <c r="G85" i="8" l="1"/>
  <c r="CK19" i="25"/>
  <c r="CK52" i="25" s="1"/>
  <c r="CK18" i="25"/>
  <c r="CK15" i="25"/>
  <c r="CK40" i="25" s="1"/>
  <c r="I84" i="8" a="1"/>
  <c r="I84" i="8" s="1"/>
  <c r="CL10" i="25"/>
  <c r="CL27" i="25" s="1"/>
  <c r="CK24" i="25"/>
  <c r="CK29" i="25"/>
  <c r="CK26" i="25"/>
  <c r="CF116" i="37" s="1"/>
  <c r="CK30" i="25"/>
  <c r="CK50" i="25" s="1"/>
  <c r="CK33" i="25"/>
  <c r="CK31" i="25"/>
  <c r="CK34" i="25"/>
  <c r="CK37" i="25"/>
  <c r="CK16" i="25"/>
  <c r="CK17" i="25"/>
  <c r="CK12" i="25"/>
  <c r="CK23" i="25"/>
  <c r="CK35" i="25"/>
  <c r="CK36" i="25" s="1"/>
  <c r="CJ20" i="25"/>
  <c r="CJ47" i="25"/>
  <c r="CJ38" i="25"/>
  <c r="CJ52" i="25"/>
  <c r="CE116" i="37"/>
  <c r="CJ48" i="25"/>
  <c r="CJ40" i="25"/>
  <c r="CJ51" i="25"/>
  <c r="CJ41" i="25"/>
  <c r="CJ50" i="25"/>
  <c r="CJ46" i="25"/>
  <c r="CJ42" i="25"/>
  <c r="CJ43" i="25"/>
  <c r="CJ39" i="25"/>
  <c r="CJ53" i="25"/>
  <c r="CJ44" i="25"/>
  <c r="CJ45" i="25"/>
  <c r="CJ49" i="25"/>
  <c r="D84" i="8"/>
  <c r="C84" i="8"/>
  <c r="L84" i="8"/>
  <c r="M84" i="8"/>
  <c r="CF117" i="37"/>
  <c r="K85" i="8"/>
  <c r="B85" i="8"/>
  <c r="F86" i="8"/>
  <c r="H86" i="8" s="1"/>
  <c r="CL19" i="25" l="1"/>
  <c r="CL15" i="25"/>
  <c r="CL18" i="25"/>
  <c r="G86" i="8"/>
  <c r="CK47" i="25"/>
  <c r="CK48" i="25"/>
  <c r="CL35" i="25"/>
  <c r="CL36" i="25" s="1"/>
  <c r="CL29" i="25"/>
  <c r="CL41" i="25" s="1"/>
  <c r="CL26" i="25"/>
  <c r="CG116" i="37" s="1"/>
  <c r="CL25" i="25"/>
  <c r="CL28" i="25"/>
  <c r="CG118" i="37" s="1"/>
  <c r="CL23" i="25"/>
  <c r="CL16" i="25"/>
  <c r="CM10" i="25"/>
  <c r="CM27" i="25" s="1"/>
  <c r="CL12" i="25"/>
  <c r="CK43" i="25"/>
  <c r="CL37" i="25"/>
  <c r="CL34" i="25"/>
  <c r="CL30" i="25"/>
  <c r="CL50" i="25" s="1"/>
  <c r="CL17" i="25"/>
  <c r="CK45" i="25"/>
  <c r="CK42" i="25"/>
  <c r="CK44" i="25"/>
  <c r="CK41" i="25"/>
  <c r="CK39" i="25"/>
  <c r="CL24" i="25"/>
  <c r="CL33" i="25"/>
  <c r="CL53" i="25" s="1"/>
  <c r="CL31" i="25"/>
  <c r="CL43" i="25" s="1"/>
  <c r="CF120" i="37"/>
  <c r="CK49" i="25"/>
  <c r="CF121" i="37"/>
  <c r="CK51" i="25"/>
  <c r="CK53" i="25"/>
  <c r="CF123" i="37"/>
  <c r="I85" i="8" a="1"/>
  <c r="I85" i="8" s="1"/>
  <c r="CF119" i="37"/>
  <c r="CK38" i="25"/>
  <c r="CK46" i="25"/>
  <c r="CK20" i="25"/>
  <c r="D85" i="8"/>
  <c r="C85" i="8"/>
  <c r="L85" i="8"/>
  <c r="M85" i="8"/>
  <c r="CL52" i="25"/>
  <c r="CL47" i="25"/>
  <c r="CG117" i="37"/>
  <c r="CL46" i="25"/>
  <c r="CL39" i="25"/>
  <c r="CL44" i="25"/>
  <c r="K86" i="8"/>
  <c r="B86" i="8"/>
  <c r="F87" i="8"/>
  <c r="H87" i="8" s="1"/>
  <c r="G87" i="8" l="1"/>
  <c r="CG119" i="37"/>
  <c r="CL49" i="25"/>
  <c r="CL48" i="25"/>
  <c r="CL38" i="25"/>
  <c r="CL20" i="25"/>
  <c r="CN10" i="25"/>
  <c r="CN27" i="25" s="1"/>
  <c r="CM25" i="25"/>
  <c r="CL40" i="25"/>
  <c r="CM28" i="25"/>
  <c r="CH118" i="37" s="1"/>
  <c r="CM12" i="25"/>
  <c r="CM37" i="25"/>
  <c r="CM29" i="25"/>
  <c r="CH119" i="37" s="1"/>
  <c r="CM31" i="25"/>
  <c r="CM24" i="25"/>
  <c r="CM34" i="25"/>
  <c r="CM17" i="25"/>
  <c r="CM23" i="25"/>
  <c r="CM26" i="25"/>
  <c r="CM15" i="25"/>
  <c r="CM39" i="25" s="1"/>
  <c r="CM16" i="25"/>
  <c r="CM30" i="25"/>
  <c r="CH120" i="37" s="1"/>
  <c r="CM19" i="25"/>
  <c r="CM52" i="25" s="1"/>
  <c r="CM33" i="25"/>
  <c r="CM35" i="25"/>
  <c r="CM36" i="25" s="1"/>
  <c r="CM18" i="25"/>
  <c r="CL42" i="25"/>
  <c r="CG120" i="37"/>
  <c r="CG121" i="37"/>
  <c r="CL51" i="25"/>
  <c r="CL45" i="25"/>
  <c r="CG123" i="37"/>
  <c r="I86" i="8" a="1"/>
  <c r="I86" i="8" s="1"/>
  <c r="D86" i="8"/>
  <c r="C86" i="8"/>
  <c r="L86" i="8"/>
  <c r="M86" i="8"/>
  <c r="CH117" i="37"/>
  <c r="K87" i="8"/>
  <c r="B87" i="8"/>
  <c r="F88" i="8"/>
  <c r="H88" i="8" s="1"/>
  <c r="G88" i="8" l="1"/>
  <c r="CM53" i="25"/>
  <c r="CN12" i="25"/>
  <c r="CN25" i="25"/>
  <c r="CN28" i="25"/>
  <c r="CI118" i="37" s="1"/>
  <c r="CN37" i="25"/>
  <c r="CN24" i="25"/>
  <c r="CN31" i="25"/>
  <c r="CI121" i="37" s="1"/>
  <c r="CN16" i="25"/>
  <c r="CN35" i="25"/>
  <c r="CN36" i="25" s="1"/>
  <c r="CN17" i="25"/>
  <c r="CN29" i="25"/>
  <c r="CN19" i="25"/>
  <c r="CN34" i="25"/>
  <c r="CN26" i="25"/>
  <c r="CI116" i="37" s="1"/>
  <c r="CO10" i="25"/>
  <c r="CO27" i="25" s="1"/>
  <c r="CN30" i="25"/>
  <c r="CI120" i="37" s="1"/>
  <c r="CN18" i="25"/>
  <c r="CM43" i="25"/>
  <c r="CN23" i="25"/>
  <c r="CN33" i="25"/>
  <c r="CI123" i="37" s="1"/>
  <c r="CN15" i="25"/>
  <c r="CH121" i="37"/>
  <c r="CM40" i="25"/>
  <c r="CM38" i="25"/>
  <c r="CM44" i="25"/>
  <c r="CM42" i="25"/>
  <c r="CM51" i="25"/>
  <c r="CM41" i="25"/>
  <c r="CM49" i="25"/>
  <c r="CH116" i="37"/>
  <c r="CM45" i="25"/>
  <c r="CM46" i="25"/>
  <c r="CM47" i="25"/>
  <c r="CM48" i="25"/>
  <c r="CM50" i="25"/>
  <c r="CH123" i="37"/>
  <c r="CM20" i="25"/>
  <c r="I87" i="8" a="1"/>
  <c r="I87" i="8" s="1"/>
  <c r="D87" i="8"/>
  <c r="C87" i="8"/>
  <c r="L87" i="8"/>
  <c r="M87" i="8"/>
  <c r="CI117" i="37"/>
  <c r="K88" i="8"/>
  <c r="B88" i="8"/>
  <c r="F89" i="8"/>
  <c r="H89" i="8" s="1"/>
  <c r="CN45" i="25" l="1"/>
  <c r="CN48" i="25"/>
  <c r="CN51" i="25"/>
  <c r="CN52" i="25"/>
  <c r="G89" i="8"/>
  <c r="CN44" i="25"/>
  <c r="CN49" i="25"/>
  <c r="CI119" i="37"/>
  <c r="CN20" i="25"/>
  <c r="CN43" i="25"/>
  <c r="CN53" i="25"/>
  <c r="CN47" i="25"/>
  <c r="CN50" i="25"/>
  <c r="CO31" i="25"/>
  <c r="CJ121" i="37" s="1"/>
  <c r="CP10" i="25"/>
  <c r="CP27" i="25" s="1"/>
  <c r="CN46" i="25"/>
  <c r="CO23" i="25"/>
  <c r="CO34" i="25"/>
  <c r="CO12" i="25"/>
  <c r="CO26" i="25"/>
  <c r="CJ116" i="37" s="1"/>
  <c r="CO17" i="25"/>
  <c r="CN38" i="25"/>
  <c r="CO16" i="25"/>
  <c r="CN41" i="25"/>
  <c r="CO19" i="25"/>
  <c r="CO52" i="25" s="1"/>
  <c r="CO29" i="25"/>
  <c r="CJ119" i="37" s="1"/>
  <c r="CN39" i="25"/>
  <c r="CO35" i="25"/>
  <c r="CO36" i="25" s="1"/>
  <c r="CO18" i="25"/>
  <c r="CN42" i="25"/>
  <c r="CO30" i="25"/>
  <c r="CN40" i="25"/>
  <c r="CO25" i="25"/>
  <c r="CO15" i="25"/>
  <c r="CO39" i="25" s="1"/>
  <c r="CO24" i="25"/>
  <c r="CO33" i="25"/>
  <c r="CJ123" i="37" s="1"/>
  <c r="CO37" i="25"/>
  <c r="CO28" i="25"/>
  <c r="CJ118" i="37" s="1"/>
  <c r="I88" i="8" a="1"/>
  <c r="I88" i="8" s="1"/>
  <c r="C88" i="8"/>
  <c r="D88" i="8"/>
  <c r="L88" i="8"/>
  <c r="M88" i="8"/>
  <c r="CJ117" i="37"/>
  <c r="K89" i="8"/>
  <c r="B89" i="8"/>
  <c r="F90" i="8"/>
  <c r="H90" i="8" s="1"/>
  <c r="CP23" i="25" l="1"/>
  <c r="G90" i="8"/>
  <c r="CP25" i="25"/>
  <c r="CP29" i="25"/>
  <c r="CK119" i="37" s="1"/>
  <c r="CP31" i="25"/>
  <c r="CK121" i="37" s="1"/>
  <c r="CP34" i="25"/>
  <c r="CP18" i="25"/>
  <c r="CP28" i="25"/>
  <c r="CK118" i="37" s="1"/>
  <c r="CP37" i="25"/>
  <c r="CO38" i="25"/>
  <c r="CP30" i="25"/>
  <c r="CO20" i="25"/>
  <c r="CQ10" i="25"/>
  <c r="CQ27" i="25" s="1"/>
  <c r="CP33" i="25"/>
  <c r="CK123" i="37" s="1"/>
  <c r="CO44" i="25"/>
  <c r="CP24" i="25"/>
  <c r="CP17" i="25"/>
  <c r="CP12" i="25"/>
  <c r="CO41" i="25"/>
  <c r="CO51" i="25"/>
  <c r="CP15" i="25"/>
  <c r="CO43" i="25"/>
  <c r="CO42" i="25"/>
  <c r="CO45" i="25"/>
  <c r="CP26" i="25"/>
  <c r="CP16" i="25"/>
  <c r="CP35" i="25"/>
  <c r="CP36" i="25" s="1"/>
  <c r="CP19" i="25"/>
  <c r="CO46" i="25"/>
  <c r="CO49" i="25"/>
  <c r="CO53" i="25"/>
  <c r="CO47" i="25"/>
  <c r="CJ120" i="37"/>
  <c r="CO48" i="25"/>
  <c r="CO50" i="25"/>
  <c r="CO40" i="25"/>
  <c r="I89" i="8" a="1"/>
  <c r="I89" i="8" s="1"/>
  <c r="CQ19" i="25"/>
  <c r="D89" i="8"/>
  <c r="C89" i="8"/>
  <c r="M89" i="8"/>
  <c r="L89" i="8"/>
  <c r="CP20" i="25"/>
  <c r="CK117" i="37"/>
  <c r="CK120" i="37"/>
  <c r="CQ33" i="25"/>
  <c r="K90" i="8"/>
  <c r="B90" i="8"/>
  <c r="F91" i="8"/>
  <c r="H91" i="8" s="1"/>
  <c r="CP42" i="25" l="1"/>
  <c r="CQ37" i="25"/>
  <c r="CP50" i="25"/>
  <c r="CQ15" i="25"/>
  <c r="CP46" i="25"/>
  <c r="CQ29" i="25"/>
  <c r="CQ49" i="25" s="1"/>
  <c r="CQ35" i="25"/>
  <c r="CQ36" i="25" s="1"/>
  <c r="CQ18" i="25"/>
  <c r="CQ28" i="25"/>
  <c r="CL118" i="37" s="1"/>
  <c r="CQ25" i="25"/>
  <c r="CR10" i="25"/>
  <c r="CR27" i="25" s="1"/>
  <c r="CQ23" i="25"/>
  <c r="CP47" i="25"/>
  <c r="CQ12" i="25"/>
  <c r="G91" i="8"/>
  <c r="CQ26" i="25"/>
  <c r="CL116" i="37" s="1"/>
  <c r="CQ31" i="25"/>
  <c r="CQ51" i="25" s="1"/>
  <c r="CQ24" i="25"/>
  <c r="CQ30" i="25"/>
  <c r="CQ50" i="25" s="1"/>
  <c r="CQ34" i="25"/>
  <c r="CK116" i="37"/>
  <c r="CP45" i="25"/>
  <c r="CQ17" i="25"/>
  <c r="CP43" i="25"/>
  <c r="CQ16" i="25"/>
  <c r="CP49" i="25"/>
  <c r="CP41" i="25"/>
  <c r="CP48" i="25"/>
  <c r="CP38" i="25"/>
  <c r="CP51" i="25"/>
  <c r="CP52" i="25"/>
  <c r="CP44" i="25"/>
  <c r="CP40" i="25"/>
  <c r="CP39" i="25"/>
  <c r="CP53" i="25"/>
  <c r="I90" i="8" a="1"/>
  <c r="I90" i="8" s="1"/>
  <c r="D90" i="8"/>
  <c r="C90" i="8"/>
  <c r="L90" i="8"/>
  <c r="M90" i="8"/>
  <c r="CQ52" i="25"/>
  <c r="CQ47" i="25"/>
  <c r="CL117" i="37"/>
  <c r="CL119" i="37"/>
  <c r="CQ53" i="25"/>
  <c r="CL123" i="37"/>
  <c r="K91" i="8"/>
  <c r="B91" i="8"/>
  <c r="F92" i="8"/>
  <c r="H92" i="8" s="1"/>
  <c r="CQ40" i="25" l="1"/>
  <c r="CQ48" i="25"/>
  <c r="CQ41" i="25"/>
  <c r="CQ45" i="25"/>
  <c r="CQ39" i="25"/>
  <c r="CQ44" i="25"/>
  <c r="CQ46" i="25"/>
  <c r="CQ20" i="25"/>
  <c r="CL121" i="37"/>
  <c r="CR35" i="25"/>
  <c r="CR36" i="25" s="1"/>
  <c r="CR15" i="25"/>
  <c r="CR39" i="25" s="1"/>
  <c r="CR25" i="25"/>
  <c r="CS10" i="25"/>
  <c r="CS27" i="25" s="1"/>
  <c r="CQ42" i="25"/>
  <c r="CR37" i="25"/>
  <c r="CR24" i="25"/>
  <c r="CR23" i="25"/>
  <c r="CR19" i="25"/>
  <c r="CR52" i="25" s="1"/>
  <c r="CR28" i="25"/>
  <c r="CM118" i="37" s="1"/>
  <c r="CR31" i="25"/>
  <c r="CM121" i="37" s="1"/>
  <c r="CR12" i="25"/>
  <c r="CR26" i="25"/>
  <c r="CR18" i="25"/>
  <c r="CR34" i="25"/>
  <c r="CR30" i="25"/>
  <c r="CR17" i="25"/>
  <c r="CR29" i="25"/>
  <c r="CR33" i="25"/>
  <c r="CR16" i="25"/>
  <c r="CQ43" i="25"/>
  <c r="CQ38" i="25"/>
  <c r="G92" i="8"/>
  <c r="CL120" i="37"/>
  <c r="I91" i="8" a="1"/>
  <c r="I91" i="8" s="1"/>
  <c r="D91" i="8"/>
  <c r="C91" i="8"/>
  <c r="L91" i="8"/>
  <c r="M91" i="8"/>
  <c r="CM117" i="37"/>
  <c r="K92" i="8"/>
  <c r="B92" i="8"/>
  <c r="F93" i="8"/>
  <c r="H93" i="8" s="1"/>
  <c r="CS24" i="25"/>
  <c r="CR44" i="25" l="1"/>
  <c r="CS37" i="25"/>
  <c r="CS26" i="25"/>
  <c r="CN116" i="37" s="1"/>
  <c r="CS33" i="25"/>
  <c r="CR49" i="25"/>
  <c r="CR53" i="25"/>
  <c r="CR46" i="25"/>
  <c r="CS34" i="25"/>
  <c r="CR20" i="25"/>
  <c r="CS12" i="25"/>
  <c r="CT10" i="25"/>
  <c r="CT27" i="25" s="1"/>
  <c r="CR40" i="25"/>
  <c r="CS30" i="25"/>
  <c r="CS16" i="25"/>
  <c r="CS23" i="25"/>
  <c r="CS31" i="25"/>
  <c r="CS35" i="25"/>
  <c r="CS36" i="25" s="1"/>
  <c r="CS18" i="25"/>
  <c r="CR47" i="25"/>
  <c r="CS29" i="25"/>
  <c r="CN119" i="37" s="1"/>
  <c r="CR43" i="25"/>
  <c r="CR51" i="25"/>
  <c r="CM116" i="37"/>
  <c r="CR38" i="25"/>
  <c r="CR48" i="25"/>
  <c r="CS17" i="25"/>
  <c r="CS15" i="25"/>
  <c r="CS25" i="25"/>
  <c r="CR50" i="25"/>
  <c r="CS28" i="25"/>
  <c r="CN118" i="37" s="1"/>
  <c r="CS19" i="25"/>
  <c r="CS46" i="25" s="1"/>
  <c r="CR41" i="25"/>
  <c r="CM119" i="37"/>
  <c r="CR42" i="25"/>
  <c r="CM120" i="37"/>
  <c r="CM123" i="37"/>
  <c r="CR45" i="25"/>
  <c r="G93" i="8"/>
  <c r="I92" i="8" a="1"/>
  <c r="I92" i="8" s="1"/>
  <c r="CT16" i="25"/>
  <c r="D92" i="8"/>
  <c r="C92" i="8"/>
  <c r="L92" i="8"/>
  <c r="M92" i="8"/>
  <c r="CN117" i="37"/>
  <c r="CN120" i="37"/>
  <c r="CN121" i="37"/>
  <c r="CN123" i="37"/>
  <c r="K93" i="8"/>
  <c r="B93" i="8"/>
  <c r="CT24" i="25"/>
  <c r="F94" i="8"/>
  <c r="H94" i="8" s="1"/>
  <c r="CT23" i="25" l="1"/>
  <c r="CS42" i="25"/>
  <c r="CT17" i="25"/>
  <c r="CT34" i="25"/>
  <c r="CS44" i="25"/>
  <c r="CT19" i="25"/>
  <c r="CT26" i="25"/>
  <c r="CO116" i="37" s="1"/>
  <c r="CT29" i="25"/>
  <c r="CT15" i="25"/>
  <c r="CT35" i="25"/>
  <c r="CT36" i="25" s="1"/>
  <c r="CS45" i="25"/>
  <c r="CT28" i="25"/>
  <c r="CO118" i="37" s="1"/>
  <c r="CS38" i="25"/>
  <c r="CT18" i="25"/>
  <c r="CU10" i="25"/>
  <c r="CU27" i="25" s="1"/>
  <c r="CT25" i="25"/>
  <c r="CT12" i="25"/>
  <c r="CT30" i="25"/>
  <c r="CT37" i="25"/>
  <c r="CT33" i="25"/>
  <c r="CT53" i="25" s="1"/>
  <c r="CT31" i="25"/>
  <c r="CO121" i="37" s="1"/>
  <c r="CS43" i="25"/>
  <c r="CS39" i="25"/>
  <c r="CS49" i="25"/>
  <c r="CS53" i="25"/>
  <c r="CS52" i="25"/>
  <c r="CS47" i="25"/>
  <c r="CS20" i="25"/>
  <c r="CS40" i="25"/>
  <c r="CS48" i="25"/>
  <c r="CS41" i="25"/>
  <c r="CS50" i="25"/>
  <c r="CS51" i="25"/>
  <c r="G94" i="8"/>
  <c r="I93" i="8" a="1"/>
  <c r="I93" i="8" s="1"/>
  <c r="C93" i="8"/>
  <c r="D93" i="8"/>
  <c r="L93" i="8"/>
  <c r="M93" i="8"/>
  <c r="CT47" i="25"/>
  <c r="CO117" i="37"/>
  <c r="CT39" i="25"/>
  <c r="K94" i="8"/>
  <c r="B94" i="8"/>
  <c r="F95" i="8"/>
  <c r="H95" i="8" s="1"/>
  <c r="CT20" i="25" l="1"/>
  <c r="CT41" i="25"/>
  <c r="CT51" i="25"/>
  <c r="CT49" i="25"/>
  <c r="CT48" i="25"/>
  <c r="CT52" i="25"/>
  <c r="CT50" i="25"/>
  <c r="CO119" i="37"/>
  <c r="CT46" i="25"/>
  <c r="CU34" i="25"/>
  <c r="CT38" i="25"/>
  <c r="CO123" i="37"/>
  <c r="CT44" i="25"/>
  <c r="CT45" i="25"/>
  <c r="CU23" i="25"/>
  <c r="CU26" i="25"/>
  <c r="CP116" i="37" s="1"/>
  <c r="CT40" i="25"/>
  <c r="CU17" i="25"/>
  <c r="CT43" i="25"/>
  <c r="CU12" i="25"/>
  <c r="CU31" i="25"/>
  <c r="CP121" i="37" s="1"/>
  <c r="CU16" i="25"/>
  <c r="CU35" i="25"/>
  <c r="CU36" i="25" s="1"/>
  <c r="CU24" i="25"/>
  <c r="CU30" i="25"/>
  <c r="CO120" i="37"/>
  <c r="CU28" i="25"/>
  <c r="CP118" i="37" s="1"/>
  <c r="CU19" i="25"/>
  <c r="CU18" i="25"/>
  <c r="CU29" i="25"/>
  <c r="CU15" i="25"/>
  <c r="CU44" i="25" s="1"/>
  <c r="CV10" i="25"/>
  <c r="CV31" i="25" s="1"/>
  <c r="CT42" i="25"/>
  <c r="CU33" i="25"/>
  <c r="CU37" i="25"/>
  <c r="CU25" i="25"/>
  <c r="G95" i="8"/>
  <c r="I94" i="8" a="1"/>
  <c r="I94" i="8" s="1"/>
  <c r="CV18" i="25"/>
  <c r="D94" i="8"/>
  <c r="C94" i="8"/>
  <c r="M94" i="8"/>
  <c r="L94" i="8"/>
  <c r="CU47" i="25"/>
  <c r="CP117" i="37"/>
  <c r="CV33" i="25"/>
  <c r="CV26" i="25"/>
  <c r="K95" i="8"/>
  <c r="B95" i="8"/>
  <c r="CV12" i="25"/>
  <c r="CV23" i="25"/>
  <c r="F96" i="8"/>
  <c r="H96" i="8" s="1"/>
  <c r="CU20" i="25" l="1"/>
  <c r="CU53" i="25"/>
  <c r="CV16" i="25"/>
  <c r="CU42" i="25"/>
  <c r="CV19" i="25"/>
  <c r="CV52" i="25" s="1"/>
  <c r="CV35" i="25"/>
  <c r="CV36" i="25" s="1"/>
  <c r="CU38" i="25"/>
  <c r="CU51" i="25"/>
  <c r="CV30" i="25"/>
  <c r="CV15" i="25"/>
  <c r="CV29" i="25"/>
  <c r="CU43" i="25"/>
  <c r="CV28" i="25"/>
  <c r="CQ118" i="37" s="1"/>
  <c r="CU39" i="25"/>
  <c r="CV24" i="25"/>
  <c r="CV34" i="25"/>
  <c r="CV17" i="25"/>
  <c r="CP120" i="37"/>
  <c r="CU48" i="25"/>
  <c r="CW10" i="25"/>
  <c r="CW27" i="25" s="1"/>
  <c r="CU46" i="25"/>
  <c r="CV37" i="25"/>
  <c r="CV25" i="25"/>
  <c r="CV27" i="25"/>
  <c r="CV39" i="25" s="1"/>
  <c r="CP123" i="37"/>
  <c r="CU41" i="25"/>
  <c r="CU45" i="25"/>
  <c r="CP119" i="37"/>
  <c r="CU49" i="25"/>
  <c r="CU50" i="25"/>
  <c r="CU52" i="25"/>
  <c r="CU40" i="25"/>
  <c r="G96" i="8"/>
  <c r="I95" i="8" a="1"/>
  <c r="I95" i="8" s="1"/>
  <c r="CW19" i="25"/>
  <c r="CW15" i="25"/>
  <c r="CW17" i="25"/>
  <c r="D95" i="8"/>
  <c r="C95" i="8"/>
  <c r="CW25" i="25"/>
  <c r="CW35" i="25"/>
  <c r="CW36" i="25" s="1"/>
  <c r="M95" i="8"/>
  <c r="L95" i="8"/>
  <c r="CV20" i="25"/>
  <c r="CW34" i="25"/>
  <c r="CW31" i="25"/>
  <c r="CW37" i="25"/>
  <c r="CV48" i="25"/>
  <c r="CV49" i="25"/>
  <c r="CQ119" i="37"/>
  <c r="CQ117" i="37"/>
  <c r="CV46" i="25"/>
  <c r="CQ116" i="37"/>
  <c r="CV51" i="25"/>
  <c r="CQ121" i="37"/>
  <c r="CV53" i="25"/>
  <c r="CQ123" i="37"/>
  <c r="CW33" i="25"/>
  <c r="CW30" i="25"/>
  <c r="CV41" i="25"/>
  <c r="CV38" i="25"/>
  <c r="CW26" i="25"/>
  <c r="CV45" i="25"/>
  <c r="CV44" i="25"/>
  <c r="CV43" i="25"/>
  <c r="CV42" i="25"/>
  <c r="CW29" i="25"/>
  <c r="CW12" i="25"/>
  <c r="K96" i="8"/>
  <c r="B96" i="8"/>
  <c r="F97" i="8"/>
  <c r="H97" i="8" s="1"/>
  <c r="CW23" i="25"/>
  <c r="CX10" i="25"/>
  <c r="CX27" i="25" s="1"/>
  <c r="CW24" i="25"/>
  <c r="CW16" i="25" l="1"/>
  <c r="CW28" i="25"/>
  <c r="CR118" i="37" s="1"/>
  <c r="CW18" i="25"/>
  <c r="CV40" i="25"/>
  <c r="CV50" i="25"/>
  <c r="CV47" i="25"/>
  <c r="CQ120" i="37"/>
  <c r="G97" i="8"/>
  <c r="I96" i="8" a="1"/>
  <c r="I96" i="8" s="1"/>
  <c r="F98" i="8"/>
  <c r="H98" i="8" s="1"/>
  <c r="CX18" i="25"/>
  <c r="CX19" i="25"/>
  <c r="CX15" i="25"/>
  <c r="CX16" i="25"/>
  <c r="CX17" i="25"/>
  <c r="D96" i="8"/>
  <c r="C96" i="8"/>
  <c r="CX25" i="25"/>
  <c r="CX28" i="25"/>
  <c r="CS118" i="37" s="1"/>
  <c r="CX35" i="25"/>
  <c r="CX36" i="25" s="1"/>
  <c r="CY10" i="25"/>
  <c r="CY27" i="25" s="1"/>
  <c r="M96" i="8"/>
  <c r="L96" i="8"/>
  <c r="CW20" i="25"/>
  <c r="CX34" i="25"/>
  <c r="CX31" i="25"/>
  <c r="CX37" i="25"/>
  <c r="CW40" i="25"/>
  <c r="CW52" i="25"/>
  <c r="CW48" i="25"/>
  <c r="CW53" i="25"/>
  <c r="CR123" i="37"/>
  <c r="CW46" i="25"/>
  <c r="CR116" i="37"/>
  <c r="CW47" i="25"/>
  <c r="CR117" i="37"/>
  <c r="CW49" i="25"/>
  <c r="CR119" i="37"/>
  <c r="CW51" i="25"/>
  <c r="CR121" i="37"/>
  <c r="CW50" i="25"/>
  <c r="CR120" i="37"/>
  <c r="CX30" i="25"/>
  <c r="CX33" i="25"/>
  <c r="CW41" i="25"/>
  <c r="CX26" i="25"/>
  <c r="CW39" i="25"/>
  <c r="CW38" i="25"/>
  <c r="CW45" i="25"/>
  <c r="CW44" i="25"/>
  <c r="CW43" i="25"/>
  <c r="CW42" i="25"/>
  <c r="CX29" i="25"/>
  <c r="K97" i="8"/>
  <c r="K98" i="8" s="1"/>
  <c r="B97" i="8"/>
  <c r="CX24" i="25"/>
  <c r="CX23" i="25"/>
  <c r="CX12" i="25"/>
  <c r="F99" i="8" l="1"/>
  <c r="H99" i="8" s="1"/>
  <c r="G98" i="8"/>
  <c r="I97" i="8" a="1"/>
  <c r="I97" i="8" s="1"/>
  <c r="CY15" i="25"/>
  <c r="CY18" i="25"/>
  <c r="CY19" i="25"/>
  <c r="CY17" i="25"/>
  <c r="CY16" i="25"/>
  <c r="B98" i="8"/>
  <c r="B99" i="8" s="1"/>
  <c r="D97" i="8"/>
  <c r="C97" i="8"/>
  <c r="CY28" i="25"/>
  <c r="CT118" i="37" s="1"/>
  <c r="CY25" i="25"/>
  <c r="L98" i="8"/>
  <c r="M98" i="8"/>
  <c r="K99" i="8"/>
  <c r="CT117" i="37"/>
  <c r="CY30" i="25"/>
  <c r="CT120" i="37" s="1"/>
  <c r="CY34" i="25"/>
  <c r="CY23" i="25"/>
  <c r="CY26" i="25"/>
  <c r="CT116" i="37" s="1"/>
  <c r="CY24" i="25"/>
  <c r="CZ10" i="25"/>
  <c r="CZ27" i="25" s="1"/>
  <c r="CY29" i="25"/>
  <c r="CT119" i="37" s="1"/>
  <c r="CY33" i="25"/>
  <c r="CT123" i="37" s="1"/>
  <c r="CY35" i="25"/>
  <c r="CY31" i="25"/>
  <c r="CT121" i="37" s="1"/>
  <c r="CY37" i="25"/>
  <c r="CY12" i="25"/>
  <c r="M97" i="8"/>
  <c r="L97" i="8"/>
  <c r="CX20" i="25"/>
  <c r="CX40" i="25"/>
  <c r="CX52" i="25"/>
  <c r="CX48" i="25"/>
  <c r="CX50" i="25"/>
  <c r="CS120" i="37"/>
  <c r="CX51" i="25"/>
  <c r="CS121" i="37"/>
  <c r="CX49" i="25"/>
  <c r="CS119" i="37"/>
  <c r="CX47" i="25"/>
  <c r="CS117" i="37"/>
  <c r="CX46" i="25"/>
  <c r="CS116" i="37"/>
  <c r="CX53" i="25"/>
  <c r="CS123" i="37"/>
  <c r="CX43" i="25"/>
  <c r="CX45" i="25"/>
  <c r="CX42" i="25"/>
  <c r="CX44" i="25"/>
  <c r="CX38" i="25"/>
  <c r="CX41" i="25"/>
  <c r="CX39" i="25"/>
  <c r="F100" i="8" l="1"/>
  <c r="H100" i="8" s="1"/>
  <c r="G99" i="8"/>
  <c r="I99" i="8" s="1" a="1"/>
  <c r="I99" i="8" s="1"/>
  <c r="I98" i="8" a="1"/>
  <c r="I98" i="8" s="1"/>
  <c r="CZ15" i="25"/>
  <c r="CZ18" i="25"/>
  <c r="CZ19" i="25"/>
  <c r="CZ16" i="25"/>
  <c r="CZ17" i="25"/>
  <c r="D99" i="8"/>
  <c r="C99" i="8"/>
  <c r="D98" i="8"/>
  <c r="C98" i="8"/>
  <c r="CZ28" i="25"/>
  <c r="CU118" i="37" s="1"/>
  <c r="CZ25" i="25"/>
  <c r="B100" i="8"/>
  <c r="F101" i="8"/>
  <c r="H101" i="8" s="1"/>
  <c r="L99" i="8"/>
  <c r="K100" i="8"/>
  <c r="M99" i="8"/>
  <c r="DA10" i="25"/>
  <c r="DA27" i="25" s="1"/>
  <c r="CZ24" i="25"/>
  <c r="CU117" i="37"/>
  <c r="CZ37" i="25"/>
  <c r="CZ29" i="25"/>
  <c r="CU119" i="37" s="1"/>
  <c r="CZ23" i="25"/>
  <c r="CZ26" i="25"/>
  <c r="CU116" i="37" s="1"/>
  <c r="CZ33" i="25"/>
  <c r="CU123" i="37" s="1"/>
  <c r="CZ34" i="25"/>
  <c r="CZ30" i="25"/>
  <c r="CU120" i="37" s="1"/>
  <c r="CZ35" i="25"/>
  <c r="CZ31" i="25"/>
  <c r="CU121" i="37" s="1"/>
  <c r="CZ12" i="25"/>
  <c r="CY45" i="25"/>
  <c r="CY42" i="25"/>
  <c r="CY44" i="25"/>
  <c r="CY41" i="25"/>
  <c r="CY39" i="25"/>
  <c r="CY43" i="25"/>
  <c r="CY38" i="25"/>
  <c r="CY40" i="25"/>
  <c r="CY20" i="25"/>
  <c r="CY36" i="25"/>
  <c r="CY49" i="25"/>
  <c r="CY53" i="25"/>
  <c r="CY50" i="25"/>
  <c r="CY51" i="25"/>
  <c r="CY46" i="25"/>
  <c r="CY47" i="25"/>
  <c r="CY52" i="25"/>
  <c r="CY48" i="25"/>
  <c r="DT49" i="17"/>
  <c r="M90" i="17" a="1"/>
  <c r="BN90" i="17" s="1"/>
  <c r="BD56" i="37" s="1"/>
  <c r="BD67" i="37" s="1"/>
  <c r="M89" i="17" a="1"/>
  <c r="AY89" i="17" s="1"/>
  <c r="AO55" i="37" s="1"/>
  <c r="G100" i="8" l="1"/>
  <c r="I100" i="8" s="1" a="1"/>
  <c r="I100" i="8" s="1"/>
  <c r="G101" i="8"/>
  <c r="DA15" i="25"/>
  <c r="DA18" i="25"/>
  <c r="DA19" i="25"/>
  <c r="DA16" i="25"/>
  <c r="DA17" i="25"/>
  <c r="D100" i="8"/>
  <c r="C100" i="8"/>
  <c r="DA28" i="25"/>
  <c r="CV118" i="37" s="1"/>
  <c r="DA25" i="25"/>
  <c r="K101" i="8"/>
  <c r="M100" i="8"/>
  <c r="L100" i="8"/>
  <c r="F102" i="8"/>
  <c r="H102" i="8" s="1"/>
  <c r="B101" i="8"/>
  <c r="CZ43" i="25"/>
  <c r="CZ41" i="25"/>
  <c r="CZ38" i="25"/>
  <c r="CZ44" i="25"/>
  <c r="CZ45" i="25"/>
  <c r="CZ39" i="25"/>
  <c r="CZ40" i="25"/>
  <c r="CZ42" i="25"/>
  <c r="CZ50" i="25"/>
  <c r="CZ46" i="25"/>
  <c r="CZ53" i="25"/>
  <c r="CZ48" i="25"/>
  <c r="CZ49" i="25"/>
  <c r="CZ47" i="25"/>
  <c r="CZ52" i="25"/>
  <c r="CZ51" i="25"/>
  <c r="CZ36" i="25"/>
  <c r="CZ20" i="25"/>
  <c r="DA24" i="25"/>
  <c r="CV117" i="37"/>
  <c r="DA33" i="25"/>
  <c r="CV123" i="37" s="1"/>
  <c r="DA23" i="25"/>
  <c r="DA26" i="25"/>
  <c r="CV116" i="37" s="1"/>
  <c r="DA29" i="25"/>
  <c r="CV119" i="37" s="1"/>
  <c r="DA35" i="25"/>
  <c r="DB10" i="25"/>
  <c r="DB27" i="25" s="1"/>
  <c r="DA30" i="25"/>
  <c r="CV120" i="37" s="1"/>
  <c r="DA34" i="25"/>
  <c r="DA37" i="25"/>
  <c r="DA31" i="25"/>
  <c r="CV121" i="37" s="1"/>
  <c r="DA12" i="25"/>
  <c r="CB90" i="17"/>
  <c r="BR56" i="37" s="1"/>
  <c r="BR67" i="37" s="1"/>
  <c r="BT90" i="17"/>
  <c r="BJ56" i="37" s="1"/>
  <c r="BJ67" i="37" s="1"/>
  <c r="Y90" i="17"/>
  <c r="O56" i="37" s="1"/>
  <c r="O67" i="37" s="1"/>
  <c r="AL90" i="17"/>
  <c r="AB56" i="37" s="1"/>
  <c r="AB67" i="37" s="1"/>
  <c r="W90" i="17"/>
  <c r="M56" i="37" s="1"/>
  <c r="M67" i="37" s="1"/>
  <c r="BC90" i="17"/>
  <c r="AS56" i="37" s="1"/>
  <c r="AS67" i="37" s="1"/>
  <c r="CE90" i="17"/>
  <c r="BU56" i="37" s="1"/>
  <c r="BU67" i="37" s="1"/>
  <c r="N90" i="17"/>
  <c r="AK90" i="17"/>
  <c r="AA56" i="37" s="1"/>
  <c r="AA67" i="37" s="1"/>
  <c r="CK90" i="17"/>
  <c r="CA56" i="37" s="1"/>
  <c r="CA67" i="37" s="1"/>
  <c r="CQ90" i="17"/>
  <c r="CG56" i="37" s="1"/>
  <c r="CG67" i="37" s="1"/>
  <c r="AP90" i="17"/>
  <c r="AF56" i="37" s="1"/>
  <c r="AF67" i="37" s="1"/>
  <c r="Z90" i="17"/>
  <c r="P56" i="37" s="1"/>
  <c r="P67" i="37" s="1"/>
  <c r="BS90" i="17"/>
  <c r="BI56" i="37" s="1"/>
  <c r="BI67" i="37" s="1"/>
  <c r="AU90" i="17"/>
  <c r="AK56" i="37" s="1"/>
  <c r="AK67" i="37" s="1"/>
  <c r="CP90" i="17"/>
  <c r="CF56" i="37" s="1"/>
  <c r="CF67" i="37" s="1"/>
  <c r="X90" i="17"/>
  <c r="N56" i="37" s="1"/>
  <c r="N67" i="37" s="1"/>
  <c r="BF90" i="17"/>
  <c r="AV56" i="37" s="1"/>
  <c r="AV67" i="37" s="1"/>
  <c r="CS90" i="17"/>
  <c r="CI56" i="37" s="1"/>
  <c r="CI67" i="37" s="1"/>
  <c r="BM90" i="17"/>
  <c r="BC56" i="37" s="1"/>
  <c r="BC67" i="37" s="1"/>
  <c r="AY90" i="17"/>
  <c r="AO56" i="37" s="1"/>
  <c r="AO67" i="37" s="1"/>
  <c r="BP90" i="17"/>
  <c r="BF56" i="37" s="1"/>
  <c r="BF67" i="37" s="1"/>
  <c r="AN90" i="17"/>
  <c r="AD56" i="37" s="1"/>
  <c r="AD67" i="37" s="1"/>
  <c r="BL90" i="17"/>
  <c r="BB56" i="37" s="1"/>
  <c r="BB67" i="37" s="1"/>
  <c r="BI90" i="17"/>
  <c r="AY56" i="37" s="1"/>
  <c r="AY67" i="37" s="1"/>
  <c r="BA90" i="17"/>
  <c r="AQ56" i="37" s="1"/>
  <c r="AQ67" i="37" s="1"/>
  <c r="AE90" i="17"/>
  <c r="U56" i="37" s="1"/>
  <c r="U67" i="37" s="1"/>
  <c r="CR90" i="17"/>
  <c r="CH56" i="37" s="1"/>
  <c r="CH67" i="37" s="1"/>
  <c r="BB90" i="17"/>
  <c r="AR56" i="37" s="1"/>
  <c r="AR67" i="37" s="1"/>
  <c r="BX90" i="17"/>
  <c r="BN56" i="37" s="1"/>
  <c r="BN67" i="37" s="1"/>
  <c r="Q90" i="17"/>
  <c r="V90" i="17"/>
  <c r="BK90" i="17"/>
  <c r="BA56" i="37" s="1"/>
  <c r="BA67" i="37" s="1"/>
  <c r="CC90" i="17"/>
  <c r="BS56" i="37" s="1"/>
  <c r="BS67" i="37" s="1"/>
  <c r="CF90" i="17"/>
  <c r="BV56" i="37" s="1"/>
  <c r="BV67" i="37" s="1"/>
  <c r="CJ90" i="17"/>
  <c r="BZ56" i="37" s="1"/>
  <c r="BZ67" i="37" s="1"/>
  <c r="AR90" i="17"/>
  <c r="AH56" i="37" s="1"/>
  <c r="AH67" i="37" s="1"/>
  <c r="BZ90" i="17"/>
  <c r="BP56" i="37" s="1"/>
  <c r="BP67" i="37" s="1"/>
  <c r="AW90" i="17"/>
  <c r="AM56" i="37" s="1"/>
  <c r="AM67" i="37" s="1"/>
  <c r="AA90" i="17"/>
  <c r="Q56" i="37" s="1"/>
  <c r="Q67" i="37" s="1"/>
  <c r="U90" i="17"/>
  <c r="CM90" i="17"/>
  <c r="CC56" i="37" s="1"/>
  <c r="CC67" i="37" s="1"/>
  <c r="O90" i="17"/>
  <c r="CG90" i="17"/>
  <c r="BW56" i="37" s="1"/>
  <c r="BW67" i="37" s="1"/>
  <c r="CA90" i="17"/>
  <c r="BQ56" i="37" s="1"/>
  <c r="BQ67" i="37" s="1"/>
  <c r="BD90" i="17"/>
  <c r="AT56" i="37" s="1"/>
  <c r="AT67" i="37" s="1"/>
  <c r="AT90" i="17"/>
  <c r="AJ56" i="37" s="1"/>
  <c r="AJ67" i="37" s="1"/>
  <c r="BJ90" i="17"/>
  <c r="AZ56" i="37" s="1"/>
  <c r="AZ67" i="37" s="1"/>
  <c r="CH90" i="17"/>
  <c r="BX56" i="37" s="1"/>
  <c r="BX67" i="37" s="1"/>
  <c r="CD90" i="17"/>
  <c r="BT56" i="37" s="1"/>
  <c r="BT67" i="37" s="1"/>
  <c r="R90" i="17"/>
  <c r="BY90" i="17"/>
  <c r="BO56" i="37" s="1"/>
  <c r="BO67" i="37" s="1"/>
  <c r="M90" i="17"/>
  <c r="C56" i="37" s="1"/>
  <c r="C67" i="37" s="1"/>
  <c r="BE90" i="17"/>
  <c r="AU56" i="37" s="1"/>
  <c r="AU67" i="37" s="1"/>
  <c r="AQ90" i="17"/>
  <c r="AG56" i="37" s="1"/>
  <c r="AG67" i="37" s="1"/>
  <c r="T90" i="17"/>
  <c r="AG90" i="17"/>
  <c r="W56" i="37" s="1"/>
  <c r="W67" i="37" s="1"/>
  <c r="AB90" i="17"/>
  <c r="R56" i="37" s="1"/>
  <c r="R67" i="37" s="1"/>
  <c r="P90" i="17"/>
  <c r="BV90" i="17"/>
  <c r="BL56" i="37" s="1"/>
  <c r="BL67" i="37" s="1"/>
  <c r="AD90" i="17"/>
  <c r="T56" i="37" s="1"/>
  <c r="T67" i="37" s="1"/>
  <c r="AF90" i="17"/>
  <c r="V56" i="37" s="1"/>
  <c r="V67" i="37" s="1"/>
  <c r="AS90" i="17"/>
  <c r="AI56" i="37" s="1"/>
  <c r="AI67" i="37" s="1"/>
  <c r="S90" i="17"/>
  <c r="BR90" i="17"/>
  <c r="BH56" i="37" s="1"/>
  <c r="BH67" i="37" s="1"/>
  <c r="CL90" i="17"/>
  <c r="CB56" i="37" s="1"/>
  <c r="CB67" i="37" s="1"/>
  <c r="AC90" i="17"/>
  <c r="S56" i="37" s="1"/>
  <c r="S67" i="37" s="1"/>
  <c r="AI90" i="17"/>
  <c r="Y56" i="37" s="1"/>
  <c r="Y67" i="37" s="1"/>
  <c r="CI90" i="17"/>
  <c r="BY56" i="37" s="1"/>
  <c r="BY67" i="37" s="1"/>
  <c r="CN90" i="17"/>
  <c r="CD56" i="37" s="1"/>
  <c r="CD67" i="37" s="1"/>
  <c r="BU90" i="17"/>
  <c r="BK56" i="37" s="1"/>
  <c r="BK67" i="37" s="1"/>
  <c r="BW90" i="17"/>
  <c r="BM56" i="37" s="1"/>
  <c r="BM67" i="37" s="1"/>
  <c r="AM90" i="17"/>
  <c r="AC56" i="37" s="1"/>
  <c r="AC67" i="37" s="1"/>
  <c r="CO90" i="17"/>
  <c r="CE56" i="37" s="1"/>
  <c r="CE67" i="37" s="1"/>
  <c r="AZ90" i="17"/>
  <c r="AP56" i="37" s="1"/>
  <c r="AP67" i="37" s="1"/>
  <c r="BG90" i="17"/>
  <c r="AW56" i="37" s="1"/>
  <c r="AW67" i="37" s="1"/>
  <c r="AH90" i="17"/>
  <c r="X56" i="37" s="1"/>
  <c r="X67" i="37" s="1"/>
  <c r="BH90" i="17"/>
  <c r="AX56" i="37" s="1"/>
  <c r="AX67" i="37" s="1"/>
  <c r="AV90" i="17"/>
  <c r="AL56" i="37" s="1"/>
  <c r="AL67" i="37" s="1"/>
  <c r="AX90" i="17"/>
  <c r="AN56" i="37" s="1"/>
  <c r="AN67" i="37" s="1"/>
  <c r="BQ90" i="17"/>
  <c r="BG56" i="37" s="1"/>
  <c r="BG67" i="37" s="1"/>
  <c r="AO90" i="17"/>
  <c r="AE56" i="37" s="1"/>
  <c r="AE67" i="37" s="1"/>
  <c r="AJ90" i="17"/>
  <c r="Z56" i="37" s="1"/>
  <c r="Z67" i="37" s="1"/>
  <c r="BO90" i="17"/>
  <c r="BE56" i="37" s="1"/>
  <c r="BE67" i="37" s="1"/>
  <c r="CG89" i="17"/>
  <c r="BW55" i="37" s="1"/>
  <c r="CM89" i="17"/>
  <c r="CC55" i="37" s="1"/>
  <c r="CP89" i="17"/>
  <c r="CF55" i="37" s="1"/>
  <c r="CO89" i="17"/>
  <c r="CE55" i="37" s="1"/>
  <c r="BD89" i="17"/>
  <c r="AT55" i="37" s="1"/>
  <c r="BA89" i="17"/>
  <c r="AQ55" i="37" s="1"/>
  <c r="AA89" i="17"/>
  <c r="Q55" i="37" s="1"/>
  <c r="S89" i="17"/>
  <c r="I55" i="37" s="1"/>
  <c r="BZ89" i="17"/>
  <c r="BP55" i="37" s="1"/>
  <c r="CS89" i="17"/>
  <c r="CI55" i="37" s="1"/>
  <c r="BR89" i="17"/>
  <c r="BH55" i="37" s="1"/>
  <c r="Y89" i="17"/>
  <c r="O55" i="37" s="1"/>
  <c r="BQ89" i="17"/>
  <c r="BG55" i="37" s="1"/>
  <c r="T89" i="17"/>
  <c r="J55" i="37" s="1"/>
  <c r="AS89" i="17"/>
  <c r="AI55" i="37" s="1"/>
  <c r="CC89" i="17"/>
  <c r="BS55" i="37" s="1"/>
  <c r="Z89" i="17"/>
  <c r="P55" i="37" s="1"/>
  <c r="BF89" i="17"/>
  <c r="AV55" i="37" s="1"/>
  <c r="CE89" i="17"/>
  <c r="BU55" i="37" s="1"/>
  <c r="BY89" i="17"/>
  <c r="BO55" i="37" s="1"/>
  <c r="V89" i="17"/>
  <c r="L55" i="37" s="1"/>
  <c r="AK89" i="17"/>
  <c r="AA55" i="37" s="1"/>
  <c r="AH89" i="17"/>
  <c r="X55" i="37" s="1"/>
  <c r="BG89" i="17"/>
  <c r="AW55" i="37" s="1"/>
  <c r="AE89" i="17"/>
  <c r="U55" i="37" s="1"/>
  <c r="AD89" i="17"/>
  <c r="T55" i="37" s="1"/>
  <c r="CA89" i="17"/>
  <c r="BQ55" i="37" s="1"/>
  <c r="AC89" i="17"/>
  <c r="S55" i="37" s="1"/>
  <c r="BV89" i="17"/>
  <c r="BL55" i="37" s="1"/>
  <c r="AP89" i="17"/>
  <c r="AF55" i="37" s="1"/>
  <c r="BW89" i="17"/>
  <c r="BM55" i="37" s="1"/>
  <c r="BU89" i="17"/>
  <c r="BK55" i="37" s="1"/>
  <c r="AW89" i="17"/>
  <c r="AM55" i="37" s="1"/>
  <c r="CI89" i="17"/>
  <c r="BY55" i="37" s="1"/>
  <c r="BX89" i="17"/>
  <c r="BN55" i="37" s="1"/>
  <c r="CQ89" i="17"/>
  <c r="CG55" i="37" s="1"/>
  <c r="BJ89" i="17"/>
  <c r="AZ55" i="37" s="1"/>
  <c r="BT89" i="17"/>
  <c r="BJ55" i="37" s="1"/>
  <c r="CL89" i="17"/>
  <c r="CB55" i="37" s="1"/>
  <c r="AO89" i="17"/>
  <c r="AE55" i="37" s="1"/>
  <c r="BL89" i="17"/>
  <c r="BB55" i="37" s="1"/>
  <c r="X89" i="17"/>
  <c r="N55" i="37" s="1"/>
  <c r="BK89" i="17"/>
  <c r="BA55" i="37" s="1"/>
  <c r="AJ89" i="17"/>
  <c r="Z55" i="37" s="1"/>
  <c r="CH89" i="17"/>
  <c r="BX55" i="37" s="1"/>
  <c r="AZ89" i="17"/>
  <c r="AP55" i="37" s="1"/>
  <c r="CB89" i="17"/>
  <c r="BR55" i="37" s="1"/>
  <c r="BI89" i="17"/>
  <c r="AY55" i="37" s="1"/>
  <c r="O89" i="17"/>
  <c r="E55" i="37" s="1"/>
  <c r="CF89" i="17"/>
  <c r="BV55" i="37" s="1"/>
  <c r="BN89" i="17"/>
  <c r="AL89" i="17"/>
  <c r="AB55" i="37" s="1"/>
  <c r="CR89" i="17"/>
  <c r="CH55" i="37" s="1"/>
  <c r="AT89" i="17"/>
  <c r="AJ55" i="37" s="1"/>
  <c r="AQ89" i="17"/>
  <c r="AG55" i="37" s="1"/>
  <c r="W89" i="17"/>
  <c r="M55" i="37" s="1"/>
  <c r="AN89" i="17"/>
  <c r="AD55" i="37" s="1"/>
  <c r="BM89" i="17"/>
  <c r="BC55" i="37" s="1"/>
  <c r="AI89" i="17"/>
  <c r="Y55" i="37" s="1"/>
  <c r="CK89" i="17"/>
  <c r="CA55" i="37" s="1"/>
  <c r="BH89" i="17"/>
  <c r="AX55" i="37" s="1"/>
  <c r="CJ89" i="17"/>
  <c r="BZ55" i="37" s="1"/>
  <c r="P89" i="17"/>
  <c r="F55" i="37" s="1"/>
  <c r="CN89" i="17"/>
  <c r="CD55" i="37" s="1"/>
  <c r="BE89" i="17"/>
  <c r="AU55" i="37" s="1"/>
  <c r="AG89" i="17"/>
  <c r="W55" i="37" s="1"/>
  <c r="R89" i="17"/>
  <c r="H55" i="37" s="1"/>
  <c r="AU89" i="17"/>
  <c r="AK55" i="37" s="1"/>
  <c r="AM89" i="17"/>
  <c r="AC55" i="37" s="1"/>
  <c r="AF89" i="17"/>
  <c r="V55" i="37" s="1"/>
  <c r="AR89" i="17"/>
  <c r="AH55" i="37" s="1"/>
  <c r="U89" i="17"/>
  <c r="K55" i="37" s="1"/>
  <c r="BB89" i="17"/>
  <c r="AR55" i="37" s="1"/>
  <c r="Q89" i="17"/>
  <c r="G55" i="37" s="1"/>
  <c r="BS89" i="17"/>
  <c r="BI55" i="37" s="1"/>
  <c r="CD89" i="17"/>
  <c r="BT55" i="37" s="1"/>
  <c r="M89" i="17"/>
  <c r="C55" i="37" s="1"/>
  <c r="AX89" i="17"/>
  <c r="AN55" i="37" s="1"/>
  <c r="BC89" i="17"/>
  <c r="AS55" i="37" s="1"/>
  <c r="BP89" i="17"/>
  <c r="BF55" i="37" s="1"/>
  <c r="N89" i="17"/>
  <c r="D55" i="37" s="1"/>
  <c r="AV89" i="17"/>
  <c r="AL55" i="37" s="1"/>
  <c r="AB89" i="17"/>
  <c r="R55" i="37" s="1"/>
  <c r="BO89" i="17"/>
  <c r="BE55" i="37" s="1"/>
  <c r="G102" i="8" l="1"/>
  <c r="I101" i="8" a="1"/>
  <c r="I101" i="8" s="1"/>
  <c r="DB15" i="25"/>
  <c r="DB18" i="25"/>
  <c r="DB19" i="25"/>
  <c r="DB17" i="25"/>
  <c r="DB16" i="25"/>
  <c r="D101" i="8"/>
  <c r="C101" i="8"/>
  <c r="DB28" i="25"/>
  <c r="CW118" i="37" s="1"/>
  <c r="DB25" i="25"/>
  <c r="L101" i="8"/>
  <c r="M101" i="8"/>
  <c r="K102" i="8"/>
  <c r="B102" i="8"/>
  <c r="F103" i="8"/>
  <c r="H103" i="8" s="1"/>
  <c r="DB29" i="25"/>
  <c r="CW119" i="37" s="1"/>
  <c r="DB33" i="25"/>
  <c r="CW123" i="37" s="1"/>
  <c r="DB24" i="25"/>
  <c r="DB23" i="25"/>
  <c r="DB26" i="25"/>
  <c r="CW116" i="37" s="1"/>
  <c r="CW117" i="37"/>
  <c r="DB37" i="25"/>
  <c r="DB35" i="25"/>
  <c r="DC10" i="25"/>
  <c r="DC27" i="25" s="1"/>
  <c r="DB30" i="25"/>
  <c r="CW120" i="37" s="1"/>
  <c r="DB31" i="25"/>
  <c r="CW121" i="37" s="1"/>
  <c r="DB34" i="25"/>
  <c r="DB12" i="25"/>
  <c r="DA36" i="25"/>
  <c r="DA20" i="25"/>
  <c r="DA52" i="25"/>
  <c r="DA50" i="25"/>
  <c r="DA49" i="25"/>
  <c r="DA47" i="25"/>
  <c r="DA51" i="25"/>
  <c r="DA46" i="25"/>
  <c r="DA48" i="25"/>
  <c r="DA53" i="25"/>
  <c r="DA40" i="25"/>
  <c r="DA41" i="25"/>
  <c r="DA45" i="25"/>
  <c r="DA38" i="25"/>
  <c r="DA43" i="25"/>
  <c r="DA39" i="25"/>
  <c r="DA44" i="25"/>
  <c r="DA42" i="25"/>
  <c r="DT86" i="17"/>
  <c r="K56" i="37"/>
  <c r="K67" i="37" s="1"/>
  <c r="I56" i="37"/>
  <c r="I67" i="37" s="1"/>
  <c r="J56" i="37"/>
  <c r="J67" i="37" s="1"/>
  <c r="L56" i="37"/>
  <c r="L67" i="37" s="1"/>
  <c r="D56" i="37"/>
  <c r="D67" i="37" s="1"/>
  <c r="G56" i="37"/>
  <c r="G67" i="37" s="1"/>
  <c r="F56" i="37"/>
  <c r="F67" i="37" s="1"/>
  <c r="H56" i="37"/>
  <c r="H67" i="37" s="1"/>
  <c r="E56" i="37"/>
  <c r="E67" i="37" s="1"/>
  <c r="BD55" i="37"/>
  <c r="BD66" i="37" s="1"/>
  <c r="AX66" i="37"/>
  <c r="BH66" i="37"/>
  <c r="BN66" i="37"/>
  <c r="BQ66" i="37"/>
  <c r="BE66" i="37"/>
  <c r="V66" i="37"/>
  <c r="X66" i="37"/>
  <c r="Y66" i="37"/>
  <c r="CE66" i="37"/>
  <c r="R66" i="37"/>
  <c r="BY66" i="37"/>
  <c r="T66" i="37"/>
  <c r="CC66" i="37"/>
  <c r="CD66" i="37"/>
  <c r="AU66" i="37"/>
  <c r="AT66" i="37"/>
  <c r="BP66" i="37"/>
  <c r="BF66" i="37"/>
  <c r="BI66" i="37"/>
  <c r="AS66" i="37"/>
  <c r="AH66" i="37"/>
  <c r="AR66" i="37"/>
  <c r="P66" i="37"/>
  <c r="M66" i="37"/>
  <c r="AW66" i="37"/>
  <c r="BL66" i="37"/>
  <c r="BO66" i="37"/>
  <c r="BW66" i="37"/>
  <c r="BZ66" i="37"/>
  <c r="CH66" i="37"/>
  <c r="BC66" i="37"/>
  <c r="AF66" i="37"/>
  <c r="AB66" i="37"/>
  <c r="Z66" i="37"/>
  <c r="AP66" i="37"/>
  <c r="S66" i="37"/>
  <c r="BV66" i="37"/>
  <c r="U66" i="37"/>
  <c r="CI66" i="37"/>
  <c r="CG66" i="37"/>
  <c r="O66" i="37"/>
  <c r="CB66" i="37"/>
  <c r="BT66" i="37"/>
  <c r="BS66" i="37"/>
  <c r="AQ66" i="37"/>
  <c r="AV66" i="37"/>
  <c r="CA66" i="37"/>
  <c r="BJ66" i="37"/>
  <c r="AC66" i="37"/>
  <c r="W66" i="37"/>
  <c r="BX66" i="37"/>
  <c r="BA66" i="37"/>
  <c r="AY66" i="37"/>
  <c r="N66" i="37"/>
  <c r="AA66" i="37"/>
  <c r="BR66" i="37"/>
  <c r="AE66" i="37"/>
  <c r="AN66" i="37"/>
  <c r="BM66" i="37"/>
  <c r="AZ66" i="37"/>
  <c r="Q66" i="37"/>
  <c r="BB66" i="37"/>
  <c r="CF66" i="37"/>
  <c r="BG66" i="37"/>
  <c r="AL66" i="37"/>
  <c r="BK66" i="37"/>
  <c r="AI66" i="37"/>
  <c r="AG66" i="37"/>
  <c r="AJ66" i="37"/>
  <c r="AM66" i="37"/>
  <c r="AD66" i="37"/>
  <c r="AK66" i="37"/>
  <c r="BU66" i="37"/>
  <c r="G66" i="37"/>
  <c r="F66" i="37"/>
  <c r="H66" i="37"/>
  <c r="E66" i="37"/>
  <c r="C66" i="37"/>
  <c r="K66" i="37"/>
  <c r="I66" i="37"/>
  <c r="J66" i="37"/>
  <c r="L66" i="37"/>
  <c r="D66" i="37"/>
  <c r="AO66" i="37"/>
  <c r="DS90" i="17"/>
  <c r="DS89" i="17"/>
  <c r="D12" i="17"/>
  <c r="G103" i="8" l="1"/>
  <c r="I102" i="8" a="1"/>
  <c r="I102" i="8" s="1"/>
  <c r="DC15" i="25"/>
  <c r="DC18" i="25"/>
  <c r="DC19" i="25"/>
  <c r="DC17" i="25"/>
  <c r="DC16" i="25"/>
  <c r="D102" i="8"/>
  <c r="C102" i="8"/>
  <c r="DC28" i="25"/>
  <c r="CX118" i="37" s="1"/>
  <c r="DC25" i="25"/>
  <c r="B103" i="8"/>
  <c r="K103" i="8"/>
  <c r="L102" i="8"/>
  <c r="M102" i="8"/>
  <c r="F104" i="8"/>
  <c r="H104" i="8" s="1"/>
  <c r="DB36" i="25"/>
  <c r="DB20" i="25"/>
  <c r="DB50" i="25"/>
  <c r="DB51" i="25"/>
  <c r="DB53" i="25"/>
  <c r="DB47" i="25"/>
  <c r="DB49" i="25"/>
  <c r="DB48" i="25"/>
  <c r="DB52" i="25"/>
  <c r="DB46" i="25"/>
  <c r="DC29" i="25"/>
  <c r="CX119" i="37" s="1"/>
  <c r="DC33" i="25"/>
  <c r="CX123" i="37" s="1"/>
  <c r="DC24" i="25"/>
  <c r="DC23" i="25"/>
  <c r="DC26" i="25"/>
  <c r="CX116" i="37" s="1"/>
  <c r="CX117" i="37"/>
  <c r="DC37" i="25"/>
  <c r="DC34" i="25"/>
  <c r="DC30" i="25"/>
  <c r="CX120" i="37" s="1"/>
  <c r="DC31" i="25"/>
  <c r="CX121" i="37" s="1"/>
  <c r="DC35" i="25"/>
  <c r="DD10" i="25"/>
  <c r="DD27" i="25" s="1"/>
  <c r="DC12" i="25"/>
  <c r="DB40" i="25"/>
  <c r="DB38" i="25"/>
  <c r="DB39" i="25"/>
  <c r="DB42" i="25"/>
  <c r="DB44" i="25"/>
  <c r="DB43" i="25"/>
  <c r="DB41" i="25"/>
  <c r="DB45" i="25"/>
  <c r="C27" i="4"/>
  <c r="C26" i="4"/>
  <c r="DT59" i="17"/>
  <c r="DT85" i="17"/>
  <c r="J12" i="17"/>
  <c r="G104" i="8" l="1"/>
  <c r="I103" i="8" a="1"/>
  <c r="I103" i="8" s="1"/>
  <c r="DD19" i="25"/>
  <c r="DD15" i="25"/>
  <c r="DD18" i="25"/>
  <c r="DD17" i="25"/>
  <c r="DD16" i="25"/>
  <c r="C14" i="46"/>
  <c r="D103" i="8"/>
  <c r="C103" i="8"/>
  <c r="DD28" i="25"/>
  <c r="CY118" i="37" s="1"/>
  <c r="DD25" i="25"/>
  <c r="F105" i="8"/>
  <c r="H105" i="8" s="1"/>
  <c r="K104" i="8"/>
  <c r="L103" i="8"/>
  <c r="M103" i="8"/>
  <c r="B104" i="8"/>
  <c r="DD26" i="25"/>
  <c r="CY116" i="37" s="1"/>
  <c r="DD29" i="25"/>
  <c r="CY119" i="37" s="1"/>
  <c r="DD33" i="25"/>
  <c r="CY123" i="37" s="1"/>
  <c r="DD23" i="25"/>
  <c r="CY117" i="37"/>
  <c r="DD24" i="25"/>
  <c r="DD35" i="25"/>
  <c r="DE10" i="25"/>
  <c r="DE27" i="25" s="1"/>
  <c r="DD37" i="25"/>
  <c r="DD30" i="25"/>
  <c r="CY120" i="37" s="1"/>
  <c r="DD34" i="25"/>
  <c r="DD31" i="25"/>
  <c r="CY121" i="37" s="1"/>
  <c r="DD12" i="25"/>
  <c r="DC45" i="25"/>
  <c r="DC38" i="25"/>
  <c r="DC43" i="25"/>
  <c r="DC41" i="25"/>
  <c r="DC40" i="25"/>
  <c r="DC39" i="25"/>
  <c r="DC42" i="25"/>
  <c r="DC44" i="25"/>
  <c r="DC20" i="25"/>
  <c r="DC36" i="25"/>
  <c r="DC53" i="25"/>
  <c r="DC50" i="25"/>
  <c r="DC48" i="25"/>
  <c r="DC46" i="25"/>
  <c r="DC51" i="25"/>
  <c r="DC47" i="25"/>
  <c r="DC52" i="25"/>
  <c r="DC49" i="25"/>
  <c r="C42" i="38"/>
  <c r="H42" i="38" s="1"/>
  <c r="C15" i="46"/>
  <c r="C41" i="38"/>
  <c r="G105" i="8" l="1"/>
  <c r="I104" i="8" a="1"/>
  <c r="I104" i="8" s="1"/>
  <c r="DE18" i="25"/>
  <c r="DE19" i="25"/>
  <c r="DE15" i="25"/>
  <c r="DE16" i="25"/>
  <c r="DE17" i="25"/>
  <c r="D104" i="8"/>
  <c r="C104" i="8"/>
  <c r="DE28" i="25"/>
  <c r="CZ118" i="37" s="1"/>
  <c r="DE25" i="25"/>
  <c r="L104" i="8"/>
  <c r="M104" i="8"/>
  <c r="K105" i="8"/>
  <c r="B105" i="8"/>
  <c r="F106" i="8"/>
  <c r="H106" i="8" s="1"/>
  <c r="DD44" i="25"/>
  <c r="DD43" i="25"/>
  <c r="DD42" i="25"/>
  <c r="DD40" i="25"/>
  <c r="DD38" i="25"/>
  <c r="DD39" i="25"/>
  <c r="DD41" i="25"/>
  <c r="DD45" i="25"/>
  <c r="DD53" i="25"/>
  <c r="DD47" i="25"/>
  <c r="DD49" i="25"/>
  <c r="DD50" i="25"/>
  <c r="DD48" i="25"/>
  <c r="DD46" i="25"/>
  <c r="DD52" i="25"/>
  <c r="DD51" i="25"/>
  <c r="DE26" i="25"/>
  <c r="CZ116" i="37" s="1"/>
  <c r="DE29" i="25"/>
  <c r="CZ119" i="37" s="1"/>
  <c r="DE33" i="25"/>
  <c r="CZ123" i="37" s="1"/>
  <c r="DE23" i="25"/>
  <c r="CZ117" i="37"/>
  <c r="DE24" i="25"/>
  <c r="DF10" i="25"/>
  <c r="DF27" i="25" s="1"/>
  <c r="DE34" i="25"/>
  <c r="DE35" i="25"/>
  <c r="DE30" i="25"/>
  <c r="CZ120" i="37" s="1"/>
  <c r="DE37" i="25"/>
  <c r="DE31" i="25"/>
  <c r="CZ121" i="37" s="1"/>
  <c r="DE12" i="25"/>
  <c r="DD20" i="25"/>
  <c r="DD36" i="25"/>
  <c r="I42" i="38"/>
  <c r="H41" i="38"/>
  <c r="I41" i="38"/>
  <c r="G106" i="8" l="1"/>
  <c r="I105" i="8" a="1"/>
  <c r="I105" i="8" s="1"/>
  <c r="DF18" i="25"/>
  <c r="DF19" i="25"/>
  <c r="DF15" i="25"/>
  <c r="DF16" i="25"/>
  <c r="DF17" i="25"/>
  <c r="C105" i="8"/>
  <c r="D105" i="8"/>
  <c r="DF28" i="25"/>
  <c r="DA118" i="37" s="1"/>
  <c r="DF25" i="25"/>
  <c r="F107" i="8"/>
  <c r="H107" i="8" s="1"/>
  <c r="B106" i="8"/>
  <c r="K106" i="8"/>
  <c r="L105" i="8"/>
  <c r="M105" i="8"/>
  <c r="DE52" i="25"/>
  <c r="DE46" i="25"/>
  <c r="DE49" i="25"/>
  <c r="DE50" i="25"/>
  <c r="DE48" i="25"/>
  <c r="DE47" i="25"/>
  <c r="DE51" i="25"/>
  <c r="DE53" i="25"/>
  <c r="DF23" i="25"/>
  <c r="DF26" i="25"/>
  <c r="DA116" i="37" s="1"/>
  <c r="DA117" i="37"/>
  <c r="DF24" i="25"/>
  <c r="DF29" i="25"/>
  <c r="DA119" i="37" s="1"/>
  <c r="DF33" i="25"/>
  <c r="DA123" i="37" s="1"/>
  <c r="DF34" i="25"/>
  <c r="DF37" i="25"/>
  <c r="DF35" i="25"/>
  <c r="DG10" i="25"/>
  <c r="DG27" i="25" s="1"/>
  <c r="DF30" i="25"/>
  <c r="DA120" i="37" s="1"/>
  <c r="DF31" i="25"/>
  <c r="DA121" i="37" s="1"/>
  <c r="DF12" i="25"/>
  <c r="DE20" i="25"/>
  <c r="DE36" i="25"/>
  <c r="DE39" i="25"/>
  <c r="DE44" i="25"/>
  <c r="DE38" i="25"/>
  <c r="DE42" i="25"/>
  <c r="DE43" i="25"/>
  <c r="DE41" i="25"/>
  <c r="DE45" i="25"/>
  <c r="DE40" i="25"/>
  <c r="DT89" i="17"/>
  <c r="DT90" i="17"/>
  <c r="DT93" i="17"/>
  <c r="G107" i="8" l="1"/>
  <c r="I106" i="8" a="1"/>
  <c r="I106" i="8" s="1"/>
  <c r="DG18" i="25"/>
  <c r="DG15" i="25"/>
  <c r="DG19" i="25"/>
  <c r="DG16" i="25"/>
  <c r="DG17" i="25"/>
  <c r="D106" i="8"/>
  <c r="C106" i="8"/>
  <c r="DG25" i="25"/>
  <c r="DG28" i="25"/>
  <c r="DB118" i="37" s="1"/>
  <c r="L106" i="8"/>
  <c r="M106" i="8"/>
  <c r="K107" i="8"/>
  <c r="B107" i="8"/>
  <c r="F108" i="8"/>
  <c r="H108" i="8" s="1"/>
  <c r="DF39" i="25"/>
  <c r="DF45" i="25"/>
  <c r="DF42" i="25"/>
  <c r="DF43" i="25"/>
  <c r="DF38" i="25"/>
  <c r="DF44" i="25"/>
  <c r="DF41" i="25"/>
  <c r="DF40" i="25"/>
  <c r="DF51" i="25"/>
  <c r="DF48" i="25"/>
  <c r="DF53" i="25"/>
  <c r="DF46" i="25"/>
  <c r="DF47" i="25"/>
  <c r="DF52" i="25"/>
  <c r="DF49" i="25"/>
  <c r="DF50" i="25"/>
  <c r="DG23" i="25"/>
  <c r="DG26" i="25"/>
  <c r="DB116" i="37" s="1"/>
  <c r="DB117" i="37"/>
  <c r="DG24" i="25"/>
  <c r="DG29" i="25"/>
  <c r="DB119" i="37" s="1"/>
  <c r="DG33" i="25"/>
  <c r="DB123" i="37" s="1"/>
  <c r="DG31" i="25"/>
  <c r="DB121" i="37" s="1"/>
  <c r="DG35" i="25"/>
  <c r="DH10" i="25"/>
  <c r="DH27" i="25" s="1"/>
  <c r="DG34" i="25"/>
  <c r="DG37" i="25"/>
  <c r="DG30" i="25"/>
  <c r="DB120" i="37" s="1"/>
  <c r="DG12" i="25"/>
  <c r="DF36" i="25"/>
  <c r="DF20" i="25"/>
  <c r="G108" i="8" l="1"/>
  <c r="I107" i="8" a="1"/>
  <c r="I107" i="8" s="1"/>
  <c r="DH15" i="25"/>
  <c r="DH18" i="25"/>
  <c r="DH19" i="25"/>
  <c r="DH16" i="25"/>
  <c r="DH17" i="25"/>
  <c r="D107" i="8"/>
  <c r="C107" i="8"/>
  <c r="DH25" i="25"/>
  <c r="DH28" i="25"/>
  <c r="DC118" i="37" s="1"/>
  <c r="F109" i="8"/>
  <c r="H109" i="8" s="1"/>
  <c r="B108" i="8"/>
  <c r="M107" i="8"/>
  <c r="K108" i="8"/>
  <c r="L107" i="8"/>
  <c r="DH23" i="25"/>
  <c r="DC117" i="37"/>
  <c r="DH33" i="25"/>
  <c r="DC123" i="37" s="1"/>
  <c r="DH24" i="25"/>
  <c r="DH29" i="25"/>
  <c r="DC119" i="37" s="1"/>
  <c r="DH26" i="25"/>
  <c r="DC116" i="37" s="1"/>
  <c r="DH31" i="25"/>
  <c r="DC121" i="37" s="1"/>
  <c r="DI10" i="25"/>
  <c r="DI27" i="25" s="1"/>
  <c r="DH30" i="25"/>
  <c r="DC120" i="37" s="1"/>
  <c r="DH34" i="25"/>
  <c r="DH37" i="25"/>
  <c r="DH35" i="25"/>
  <c r="DH12" i="25"/>
  <c r="DG36" i="25"/>
  <c r="DG20" i="25"/>
  <c r="DG52" i="25"/>
  <c r="DG53" i="25"/>
  <c r="DG50" i="25"/>
  <c r="DG51" i="25"/>
  <c r="DG46" i="25"/>
  <c r="DG47" i="25"/>
  <c r="DG49" i="25"/>
  <c r="DG48" i="25"/>
  <c r="DG42" i="25"/>
  <c r="DG44" i="25"/>
  <c r="DG41" i="25"/>
  <c r="DG43" i="25"/>
  <c r="DG40" i="25"/>
  <c r="DG39" i="25"/>
  <c r="DG38" i="25"/>
  <c r="DG45" i="25"/>
  <c r="G109" i="8" l="1"/>
  <c r="I108" i="8" a="1"/>
  <c r="I108" i="8" s="1"/>
  <c r="DI15" i="25"/>
  <c r="DI18" i="25"/>
  <c r="DI19" i="25"/>
  <c r="DI16" i="25"/>
  <c r="DI17" i="25"/>
  <c r="D108" i="8"/>
  <c r="C108" i="8"/>
  <c r="DI25" i="25"/>
  <c r="DI28" i="25"/>
  <c r="DD118" i="37" s="1"/>
  <c r="B109" i="8"/>
  <c r="F110" i="8"/>
  <c r="H110" i="8" s="1"/>
  <c r="L108" i="8"/>
  <c r="M108" i="8"/>
  <c r="K109" i="8"/>
  <c r="DI23" i="25"/>
  <c r="DI24" i="25"/>
  <c r="DD117" i="37"/>
  <c r="DI33" i="25"/>
  <c r="DD123" i="37" s="1"/>
  <c r="DI29" i="25"/>
  <c r="DD119" i="37" s="1"/>
  <c r="DI26" i="25"/>
  <c r="DD116" i="37" s="1"/>
  <c r="DI31" i="25"/>
  <c r="DD121" i="37" s="1"/>
  <c r="DI34" i="25"/>
  <c r="DI35" i="25"/>
  <c r="DI30" i="25"/>
  <c r="DD120" i="37" s="1"/>
  <c r="DI37" i="25"/>
  <c r="DJ10" i="25"/>
  <c r="DI12" i="25"/>
  <c r="DH20" i="25"/>
  <c r="DH36" i="25"/>
  <c r="DH40" i="25"/>
  <c r="DH42" i="25"/>
  <c r="DH44" i="25"/>
  <c r="DH41" i="25"/>
  <c r="DH38" i="25"/>
  <c r="DH39" i="25"/>
  <c r="DH45" i="25"/>
  <c r="DH43" i="25"/>
  <c r="DH48" i="25"/>
  <c r="DH46" i="25"/>
  <c r="DH50" i="25"/>
  <c r="DH53" i="25"/>
  <c r="DH47" i="25"/>
  <c r="DH52" i="25"/>
  <c r="DH51" i="25"/>
  <c r="DH49" i="25"/>
  <c r="G110" i="8" l="1"/>
  <c r="I109" i="8" a="1"/>
  <c r="I109" i="8" s="1"/>
  <c r="DJ27" i="25"/>
  <c r="DE117" i="37" s="1"/>
  <c r="DJ15" i="25"/>
  <c r="DJ18" i="25"/>
  <c r="DJ19" i="25"/>
  <c r="DJ17" i="25"/>
  <c r="DJ16" i="25"/>
  <c r="D109" i="8"/>
  <c r="C109" i="8"/>
  <c r="DJ25" i="25"/>
  <c r="DJ28" i="25"/>
  <c r="DE118" i="37" s="1"/>
  <c r="B110" i="8"/>
  <c r="L109" i="8"/>
  <c r="M109" i="8"/>
  <c r="K110" i="8"/>
  <c r="F111" i="8"/>
  <c r="H111" i="8" s="1"/>
  <c r="DJ24" i="25"/>
  <c r="DJ23" i="25"/>
  <c r="DJ33" i="25"/>
  <c r="DE123" i="37" s="1"/>
  <c r="DJ29" i="25"/>
  <c r="DE119" i="37" s="1"/>
  <c r="DJ26" i="25"/>
  <c r="DE116" i="37" s="1"/>
  <c r="DJ30" i="25"/>
  <c r="DE120" i="37" s="1"/>
  <c r="DJ31" i="25"/>
  <c r="DE121" i="37" s="1"/>
  <c r="DJ37" i="25"/>
  <c r="DJ34" i="25"/>
  <c r="DJ35" i="25"/>
  <c r="DK10" i="25"/>
  <c r="DK27" i="25" s="1"/>
  <c r="DJ12" i="25"/>
  <c r="DI40" i="25"/>
  <c r="DI44" i="25"/>
  <c r="DI41" i="25"/>
  <c r="DI38" i="25"/>
  <c r="DI45" i="25"/>
  <c r="DI43" i="25"/>
  <c r="DI42" i="25"/>
  <c r="DI39" i="25"/>
  <c r="DI20" i="25"/>
  <c r="DI36" i="25"/>
  <c r="DI52" i="25"/>
  <c r="DI46" i="25"/>
  <c r="DI47" i="25"/>
  <c r="DI50" i="25"/>
  <c r="DI49" i="25"/>
  <c r="DI53" i="25"/>
  <c r="DI51" i="25"/>
  <c r="DI48" i="25"/>
  <c r="G111" i="8" l="1"/>
  <c r="I110" i="8" a="1"/>
  <c r="I110" i="8" s="1"/>
  <c r="DK19" i="25"/>
  <c r="DK15" i="25"/>
  <c r="DK18" i="25"/>
  <c r="DK16" i="25"/>
  <c r="DK17" i="25"/>
  <c r="D110" i="8"/>
  <c r="C110" i="8"/>
  <c r="DK25" i="25"/>
  <c r="DK28" i="25"/>
  <c r="DF118" i="37" s="1"/>
  <c r="B111" i="8"/>
  <c r="F112" i="8"/>
  <c r="H112" i="8" s="1"/>
  <c r="L110" i="8"/>
  <c r="M110" i="8"/>
  <c r="K111" i="8"/>
  <c r="DJ52" i="25"/>
  <c r="DJ50" i="25"/>
  <c r="DJ51" i="25"/>
  <c r="DJ46" i="25"/>
  <c r="DJ48" i="25"/>
  <c r="DJ49" i="25"/>
  <c r="DJ47" i="25"/>
  <c r="DJ53" i="25"/>
  <c r="DJ43" i="25"/>
  <c r="DJ40" i="25"/>
  <c r="DJ39" i="25"/>
  <c r="DJ42" i="25"/>
  <c r="DJ44" i="25"/>
  <c r="DJ38" i="25"/>
  <c r="DJ45" i="25"/>
  <c r="DJ41" i="25"/>
  <c r="DK29" i="25"/>
  <c r="DF119" i="37" s="1"/>
  <c r="DK33" i="25"/>
  <c r="DF123" i="37" s="1"/>
  <c r="DF117" i="37"/>
  <c r="DK24" i="25"/>
  <c r="DK23" i="25"/>
  <c r="DK26" i="25"/>
  <c r="DF116" i="37" s="1"/>
  <c r="DK35" i="25"/>
  <c r="DK31" i="25"/>
  <c r="DF121" i="37" s="1"/>
  <c r="DK34" i="25"/>
  <c r="DL10" i="25"/>
  <c r="DL27" i="25" s="1"/>
  <c r="DK30" i="25"/>
  <c r="DF120" i="37" s="1"/>
  <c r="DK37" i="25"/>
  <c r="DK12" i="25"/>
  <c r="DJ36" i="25"/>
  <c r="DJ20" i="25"/>
  <c r="G112" i="8" l="1"/>
  <c r="I111" i="8" a="1"/>
  <c r="I111" i="8" s="1"/>
  <c r="DL19" i="25"/>
  <c r="DL15" i="25"/>
  <c r="DL18" i="25"/>
  <c r="DL16" i="25"/>
  <c r="DL17" i="25"/>
  <c r="C111" i="8"/>
  <c r="D111" i="8"/>
  <c r="DL25" i="25"/>
  <c r="DL28" i="25"/>
  <c r="DG118" i="37" s="1"/>
  <c r="B112" i="8"/>
  <c r="L111" i="8"/>
  <c r="K112" i="8"/>
  <c r="M111" i="8"/>
  <c r="F113" i="8"/>
  <c r="H113" i="8" s="1"/>
  <c r="DL24" i="25"/>
  <c r="DG117" i="37"/>
  <c r="DL29" i="25"/>
  <c r="DG119" i="37" s="1"/>
  <c r="DL33" i="25"/>
  <c r="DG123" i="37" s="1"/>
  <c r="DL26" i="25"/>
  <c r="DG116" i="37" s="1"/>
  <c r="DL23" i="25"/>
  <c r="DL34" i="25"/>
  <c r="DL35" i="25"/>
  <c r="DL37" i="25"/>
  <c r="DM10" i="25"/>
  <c r="DM27" i="25" s="1"/>
  <c r="DL31" i="25"/>
  <c r="DG121" i="37" s="1"/>
  <c r="DL30" i="25"/>
  <c r="DG120" i="37" s="1"/>
  <c r="DL12" i="25"/>
  <c r="DK50" i="25"/>
  <c r="DK53" i="25"/>
  <c r="DK49" i="25"/>
  <c r="DK46" i="25"/>
  <c r="DK47" i="25"/>
  <c r="DK52" i="25"/>
  <c r="DK48" i="25"/>
  <c r="DK51" i="25"/>
  <c r="DK45" i="25"/>
  <c r="DK43" i="25"/>
  <c r="DK40" i="25"/>
  <c r="DK44" i="25"/>
  <c r="DK41" i="25"/>
  <c r="DK42" i="25"/>
  <c r="DK39" i="25"/>
  <c r="DK38" i="25"/>
  <c r="DK20" i="25"/>
  <c r="DK36" i="25"/>
  <c r="G113" i="8" l="1"/>
  <c r="I112" i="8" a="1"/>
  <c r="I112" i="8" s="1"/>
  <c r="DM18" i="25"/>
  <c r="DM15" i="25"/>
  <c r="DM19" i="25"/>
  <c r="DM17" i="25"/>
  <c r="DM16" i="25"/>
  <c r="C112" i="8"/>
  <c r="D112" i="8"/>
  <c r="DM25" i="25"/>
  <c r="DM28" i="25"/>
  <c r="DH118" i="37" s="1"/>
  <c r="L112" i="8"/>
  <c r="M112" i="8"/>
  <c r="K113" i="8"/>
  <c r="F114" i="8"/>
  <c r="H114" i="8" s="1"/>
  <c r="B113" i="8"/>
  <c r="DM26" i="25"/>
  <c r="DH116" i="37" s="1"/>
  <c r="DM33" i="25"/>
  <c r="DH123" i="37" s="1"/>
  <c r="DM29" i="25"/>
  <c r="DH119" i="37" s="1"/>
  <c r="DM24" i="25"/>
  <c r="DH117" i="37"/>
  <c r="DM23" i="25"/>
  <c r="DM30" i="25"/>
  <c r="DH120" i="37" s="1"/>
  <c r="DM37" i="25"/>
  <c r="DN10" i="25"/>
  <c r="DN27" i="25" s="1"/>
  <c r="DM31" i="25"/>
  <c r="DH121" i="37" s="1"/>
  <c r="DM35" i="25"/>
  <c r="DM34" i="25"/>
  <c r="DM12" i="25"/>
  <c r="DL49" i="25"/>
  <c r="DL48" i="25"/>
  <c r="DL47" i="25"/>
  <c r="DL50" i="25"/>
  <c r="DL46" i="25"/>
  <c r="DL52" i="25"/>
  <c r="DL53" i="25"/>
  <c r="DL51" i="25"/>
  <c r="DL20" i="25"/>
  <c r="DL36" i="25"/>
  <c r="DL38" i="25"/>
  <c r="DL45" i="25"/>
  <c r="DL41" i="25"/>
  <c r="DL40" i="25"/>
  <c r="DL42" i="25"/>
  <c r="DL44" i="25"/>
  <c r="DL43" i="25"/>
  <c r="DL39" i="25"/>
  <c r="G114" i="8" l="1"/>
  <c r="I113" i="8" a="1"/>
  <c r="I113" i="8" s="1"/>
  <c r="DN18" i="25"/>
  <c r="DN15" i="25"/>
  <c r="DN19" i="25"/>
  <c r="DN16" i="25"/>
  <c r="DN17" i="25"/>
  <c r="D113" i="8"/>
  <c r="C113" i="8"/>
  <c r="DN28" i="25"/>
  <c r="DI118" i="37" s="1"/>
  <c r="DN25" i="25"/>
  <c r="B114" i="8"/>
  <c r="F115" i="8"/>
  <c r="H115" i="8" s="1"/>
  <c r="DM48" i="25"/>
  <c r="L113" i="8"/>
  <c r="K114" i="8"/>
  <c r="M113" i="8"/>
  <c r="DM46" i="25"/>
  <c r="DM20" i="25"/>
  <c r="DM36" i="25"/>
  <c r="DM49" i="25"/>
  <c r="DM52" i="25"/>
  <c r="DM51" i="25"/>
  <c r="DM50" i="25"/>
  <c r="DM53" i="25"/>
  <c r="DM47" i="25"/>
  <c r="DI117" i="37"/>
  <c r="DN33" i="25"/>
  <c r="DI123" i="37" s="1"/>
  <c r="DN24" i="25"/>
  <c r="DN26" i="25"/>
  <c r="DI116" i="37" s="1"/>
  <c r="DN29" i="25"/>
  <c r="DI119" i="37" s="1"/>
  <c r="DN23" i="25"/>
  <c r="DO10" i="25"/>
  <c r="DO27" i="25" s="1"/>
  <c r="DN30" i="25"/>
  <c r="DI120" i="37" s="1"/>
  <c r="DN35" i="25"/>
  <c r="DN31" i="25"/>
  <c r="DI121" i="37" s="1"/>
  <c r="DN34" i="25"/>
  <c r="DN37" i="25"/>
  <c r="DN12" i="25"/>
  <c r="DM40" i="25"/>
  <c r="DM44" i="25"/>
  <c r="DM38" i="25"/>
  <c r="DM41" i="25"/>
  <c r="DM45" i="25"/>
  <c r="DM39" i="25"/>
  <c r="DM42" i="25"/>
  <c r="DM43" i="25"/>
  <c r="DT45" i="17"/>
  <c r="DT78" i="17"/>
  <c r="DT34" i="17"/>
  <c r="DT28" i="17"/>
  <c r="DT51" i="17"/>
  <c r="DT20" i="17"/>
  <c r="DT14" i="17"/>
  <c r="DT33" i="17"/>
  <c r="DT31" i="17"/>
  <c r="DT23" i="17"/>
  <c r="DT18" i="17"/>
  <c r="DT76" i="17"/>
  <c r="DT12" i="17"/>
  <c r="DT22" i="17"/>
  <c r="DT53" i="17"/>
  <c r="DT38" i="17"/>
  <c r="DT24" i="17"/>
  <c r="DT48" i="17"/>
  <c r="DT54" i="17"/>
  <c r="DT62" i="17"/>
  <c r="DT70" i="17"/>
  <c r="DT36" i="17"/>
  <c r="DT16" i="17"/>
  <c r="DT71" i="17"/>
  <c r="DT55" i="17"/>
  <c r="DT15" i="17"/>
  <c r="DT46" i="17"/>
  <c r="DT80" i="17"/>
  <c r="DT13" i="17"/>
  <c r="DT63" i="17"/>
  <c r="DT79" i="17"/>
  <c r="DT69" i="17"/>
  <c r="G115" i="8" l="1"/>
  <c r="I114" i="8" a="1"/>
  <c r="I114" i="8" s="1"/>
  <c r="DO15" i="25"/>
  <c r="DO18" i="25"/>
  <c r="DO19" i="25"/>
  <c r="DO17" i="25"/>
  <c r="DO16" i="25"/>
  <c r="D114" i="8"/>
  <c r="C114" i="8"/>
  <c r="DO28" i="25"/>
  <c r="DJ118" i="37" s="1"/>
  <c r="DO25" i="25"/>
  <c r="F116" i="8"/>
  <c r="H116" i="8" s="1"/>
  <c r="K115" i="8"/>
  <c r="L114" i="8"/>
  <c r="M114" i="8"/>
  <c r="B115" i="8"/>
  <c r="DN46" i="25"/>
  <c r="DN39" i="25"/>
  <c r="DN43" i="25"/>
  <c r="DN41" i="25"/>
  <c r="DN44" i="25"/>
  <c r="DN42" i="25"/>
  <c r="DN40" i="25"/>
  <c r="DN45" i="25"/>
  <c r="DN38" i="25"/>
  <c r="DN49" i="25"/>
  <c r="DN52" i="25"/>
  <c r="DN50" i="25"/>
  <c r="DN51" i="25"/>
  <c r="DN47" i="25"/>
  <c r="DN53" i="25"/>
  <c r="DN20" i="25"/>
  <c r="DN36" i="25"/>
  <c r="DJ117" i="37"/>
  <c r="DO23" i="25"/>
  <c r="DO29" i="25"/>
  <c r="DJ119" i="37" s="1"/>
  <c r="DO33" i="25"/>
  <c r="DJ123" i="37" s="1"/>
  <c r="DO26" i="25"/>
  <c r="DJ116" i="37" s="1"/>
  <c r="DO24" i="25"/>
  <c r="DO35" i="25"/>
  <c r="DP10" i="25"/>
  <c r="DP27" i="25" s="1"/>
  <c r="DO31" i="25"/>
  <c r="DJ121" i="37" s="1"/>
  <c r="DO30" i="25"/>
  <c r="DJ120" i="37" s="1"/>
  <c r="DO37" i="25"/>
  <c r="DO34" i="25"/>
  <c r="DO12" i="25"/>
  <c r="DN48" i="25"/>
  <c r="DT40" i="17"/>
  <c r="DT65" i="17"/>
  <c r="DT66" i="17"/>
  <c r="DT61" i="17"/>
  <c r="G116" i="8" l="1"/>
  <c r="I115" i="8" a="1"/>
  <c r="I115" i="8" s="1"/>
  <c r="DP15" i="25"/>
  <c r="DP18" i="25"/>
  <c r="DP19" i="25"/>
  <c r="DP17" i="25"/>
  <c r="DP16" i="25"/>
  <c r="D115" i="8"/>
  <c r="C115" i="8"/>
  <c r="DP28" i="25"/>
  <c r="DK118" i="37" s="1"/>
  <c r="DP25" i="25"/>
  <c r="B116" i="8"/>
  <c r="L115" i="8"/>
  <c r="M115" i="8"/>
  <c r="K116" i="8"/>
  <c r="F117" i="8"/>
  <c r="H117" i="8" s="1"/>
  <c r="DO48" i="25"/>
  <c r="DO20" i="25"/>
  <c r="DO36" i="25"/>
  <c r="DP24" i="25"/>
  <c r="DK117" i="37"/>
  <c r="DP26" i="25"/>
  <c r="DK116" i="37" s="1"/>
  <c r="DP33" i="25"/>
  <c r="DK123" i="37" s="1"/>
  <c r="DP23" i="25"/>
  <c r="DP29" i="25"/>
  <c r="DK119" i="37" s="1"/>
  <c r="DP35" i="25"/>
  <c r="DQ10" i="25"/>
  <c r="DP31" i="25"/>
  <c r="DK121" i="37" s="1"/>
  <c r="DP37" i="25"/>
  <c r="DP34" i="25"/>
  <c r="DP30" i="25"/>
  <c r="DK120" i="37" s="1"/>
  <c r="DP12" i="25"/>
  <c r="DO52" i="25"/>
  <c r="DO49" i="25"/>
  <c r="DO46" i="25"/>
  <c r="DO51" i="25"/>
  <c r="DO47" i="25"/>
  <c r="DO53" i="25"/>
  <c r="DO50" i="25"/>
  <c r="DO43" i="25"/>
  <c r="DO44" i="25"/>
  <c r="DO41" i="25"/>
  <c r="DO38" i="25"/>
  <c r="DO40" i="25"/>
  <c r="DO42" i="25"/>
  <c r="DO39" i="25"/>
  <c r="DO45" i="25"/>
  <c r="DT77" i="17"/>
  <c r="DT58" i="17"/>
  <c r="DT83" i="17"/>
  <c r="DT56" i="17"/>
  <c r="DT84" i="17"/>
  <c r="DT81" i="17"/>
  <c r="DT57" i="17"/>
  <c r="G117" i="8" l="1"/>
  <c r="I116" i="8" a="1"/>
  <c r="I116" i="8" s="1"/>
  <c r="DQ27" i="25"/>
  <c r="DL117" i="37" s="1"/>
  <c r="DQ15" i="25"/>
  <c r="DQ18" i="25"/>
  <c r="DQ19" i="25"/>
  <c r="DQ17" i="25"/>
  <c r="DQ16" i="25"/>
  <c r="D116" i="8"/>
  <c r="C116" i="8"/>
  <c r="DQ28" i="25"/>
  <c r="DL118" i="37" s="1"/>
  <c r="DQ25" i="25"/>
  <c r="K117" i="8"/>
  <c r="L116" i="8"/>
  <c r="M116" i="8"/>
  <c r="F118" i="8"/>
  <c r="H118" i="8" s="1"/>
  <c r="B117" i="8"/>
  <c r="DP48" i="25"/>
  <c r="DQ24" i="25"/>
  <c r="DQ29" i="25"/>
  <c r="DL119" i="37" s="1"/>
  <c r="DQ23" i="25"/>
  <c r="DQ26" i="25"/>
  <c r="DL116" i="37" s="1"/>
  <c r="DQ33" i="25"/>
  <c r="DL123" i="37" s="1"/>
  <c r="DQ35" i="25"/>
  <c r="DQ37" i="25"/>
  <c r="DR10" i="25"/>
  <c r="DR27" i="25" s="1"/>
  <c r="DQ30" i="25"/>
  <c r="DL120" i="37" s="1"/>
  <c r="DQ34" i="25"/>
  <c r="DQ31" i="25"/>
  <c r="DL121" i="37" s="1"/>
  <c r="DQ12" i="25"/>
  <c r="DP20" i="25"/>
  <c r="DP36" i="25"/>
  <c r="DP43" i="25"/>
  <c r="DP44" i="25"/>
  <c r="DP41" i="25"/>
  <c r="DP40" i="25"/>
  <c r="DP39" i="25"/>
  <c r="DP42" i="25"/>
  <c r="DP38" i="25"/>
  <c r="DP45" i="25"/>
  <c r="DP52" i="25"/>
  <c r="DP47" i="25"/>
  <c r="DP51" i="25"/>
  <c r="DP49" i="25"/>
  <c r="DP50" i="25"/>
  <c r="DP53" i="25"/>
  <c r="DP46" i="25"/>
  <c r="DT94" i="17"/>
  <c r="DT92" i="17"/>
  <c r="G118" i="8" l="1"/>
  <c r="I117" i="8" a="1"/>
  <c r="I117" i="8" s="1"/>
  <c r="DR15" i="25"/>
  <c r="DR18" i="25"/>
  <c r="DR19" i="25"/>
  <c r="DR16" i="25"/>
  <c r="DR17" i="25"/>
  <c r="D117" i="8"/>
  <c r="C117" i="8"/>
  <c r="DR28" i="25"/>
  <c r="DM118" i="37" s="1"/>
  <c r="DR25" i="25"/>
  <c r="B118" i="8"/>
  <c r="F119" i="8"/>
  <c r="H119" i="8" s="1"/>
  <c r="L117" i="8"/>
  <c r="M117" i="8"/>
  <c r="K118" i="8"/>
  <c r="DQ36" i="25"/>
  <c r="DQ20" i="25"/>
  <c r="DR29" i="25"/>
  <c r="DM119" i="37" s="1"/>
  <c r="DR33" i="25"/>
  <c r="DM123" i="37" s="1"/>
  <c r="DR24" i="25"/>
  <c r="DR23" i="25"/>
  <c r="DR26" i="25"/>
  <c r="DM116" i="37" s="1"/>
  <c r="DM117" i="37"/>
  <c r="DR35" i="25"/>
  <c r="DS10" i="25"/>
  <c r="DS27" i="25" s="1"/>
  <c r="DR30" i="25"/>
  <c r="DM120" i="37" s="1"/>
  <c r="DR34" i="25"/>
  <c r="DR31" i="25"/>
  <c r="DM121" i="37" s="1"/>
  <c r="DR37" i="25"/>
  <c r="DR12" i="25"/>
  <c r="DQ52" i="25"/>
  <c r="DQ46" i="25"/>
  <c r="DQ51" i="25"/>
  <c r="DQ53" i="25"/>
  <c r="DQ47" i="25"/>
  <c r="DQ49" i="25"/>
  <c r="DQ50" i="25"/>
  <c r="DQ48" i="25"/>
  <c r="DQ40" i="25"/>
  <c r="DQ38" i="25"/>
  <c r="DQ39" i="25"/>
  <c r="DQ45" i="25"/>
  <c r="DQ44" i="25"/>
  <c r="DQ42" i="25"/>
  <c r="DQ43" i="25"/>
  <c r="DQ41" i="25"/>
  <c r="DT19" i="17"/>
  <c r="DT82" i="17"/>
  <c r="DT47" i="17"/>
  <c r="DT26" i="17"/>
  <c r="DT52" i="17"/>
  <c r="G119" i="8" l="1"/>
  <c r="I118" i="8" a="1"/>
  <c r="I118" i="8" s="1"/>
  <c r="DS15" i="25"/>
  <c r="DS18" i="25"/>
  <c r="DS19" i="25"/>
  <c r="DS16" i="25"/>
  <c r="DS17" i="25"/>
  <c r="C118" i="8"/>
  <c r="D118" i="8"/>
  <c r="DS28" i="25"/>
  <c r="DN118" i="37" s="1"/>
  <c r="DS25" i="25"/>
  <c r="L118" i="8"/>
  <c r="M118" i="8"/>
  <c r="K119" i="8"/>
  <c r="F120" i="8"/>
  <c r="H120" i="8" s="1"/>
  <c r="B119" i="8"/>
  <c r="DS29" i="25"/>
  <c r="DN119" i="37" s="1"/>
  <c r="DS33" i="25"/>
  <c r="DN123" i="37" s="1"/>
  <c r="DS24" i="25"/>
  <c r="DS26" i="25"/>
  <c r="DN116" i="37" s="1"/>
  <c r="DS23" i="25"/>
  <c r="DN117" i="37"/>
  <c r="DS37" i="25"/>
  <c r="DT10" i="25"/>
  <c r="DS30" i="25"/>
  <c r="DN120" i="37" s="1"/>
  <c r="DS34" i="25"/>
  <c r="DS31" i="25"/>
  <c r="DN121" i="37" s="1"/>
  <c r="DS35" i="25"/>
  <c r="DS12" i="25"/>
  <c r="DR40" i="25"/>
  <c r="DR41" i="25"/>
  <c r="DR42" i="25"/>
  <c r="DR44" i="25"/>
  <c r="DR38" i="25"/>
  <c r="DR43" i="25"/>
  <c r="DR45" i="25"/>
  <c r="DR39" i="25"/>
  <c r="DR48" i="25"/>
  <c r="DR20" i="25"/>
  <c r="DR36" i="25"/>
  <c r="DR50" i="25"/>
  <c r="DR53" i="25"/>
  <c r="DR47" i="25"/>
  <c r="DR51" i="25"/>
  <c r="DR46" i="25"/>
  <c r="DR49" i="25"/>
  <c r="DR52" i="25"/>
  <c r="G120" i="8" l="1"/>
  <c r="I119" i="8" a="1"/>
  <c r="I119" i="8" s="1"/>
  <c r="DT27" i="25"/>
  <c r="DO117" i="37" s="1"/>
  <c r="DT15" i="25"/>
  <c r="DT18" i="25"/>
  <c r="DT19" i="25"/>
  <c r="DT16" i="25"/>
  <c r="DT17" i="25"/>
  <c r="D119" i="8"/>
  <c r="C119" i="8"/>
  <c r="DT28" i="25"/>
  <c r="DO118" i="37" s="1"/>
  <c r="DT25" i="25"/>
  <c r="B120" i="8"/>
  <c r="L119" i="8"/>
  <c r="K120" i="8"/>
  <c r="M119" i="8"/>
  <c r="F121" i="8"/>
  <c r="H121" i="8" s="1"/>
  <c r="DS20" i="25"/>
  <c r="DS36" i="25"/>
  <c r="DS53" i="25"/>
  <c r="DS51" i="25"/>
  <c r="DS50" i="25"/>
  <c r="DS48" i="25"/>
  <c r="DS46" i="25"/>
  <c r="DS52" i="25"/>
  <c r="DS49" i="25"/>
  <c r="DS47" i="25"/>
  <c r="DT26" i="25"/>
  <c r="DO116" i="37" s="1"/>
  <c r="DT29" i="25"/>
  <c r="DO119" i="37" s="1"/>
  <c r="DT33" i="25"/>
  <c r="DO123" i="37" s="1"/>
  <c r="DU10" i="25"/>
  <c r="DU27" i="25" s="1"/>
  <c r="DT23" i="25"/>
  <c r="DT24" i="25"/>
  <c r="DT37" i="25"/>
  <c r="DT31" i="25"/>
  <c r="DO121" i="37" s="1"/>
  <c r="DT35" i="25"/>
  <c r="DT30" i="25"/>
  <c r="DO120" i="37" s="1"/>
  <c r="DT34" i="25"/>
  <c r="DT12" i="25"/>
  <c r="DS44" i="25"/>
  <c r="DS41" i="25"/>
  <c r="DS39" i="25"/>
  <c r="DS40" i="25"/>
  <c r="DS42" i="25"/>
  <c r="DS45" i="25"/>
  <c r="DS38" i="25"/>
  <c r="DS43" i="25"/>
  <c r="Y19" i="39" a="1"/>
  <c r="G121" i="8" l="1"/>
  <c r="I120" i="8" a="1"/>
  <c r="I120" i="8" s="1"/>
  <c r="DU19" i="25"/>
  <c r="DU15" i="25"/>
  <c r="DU18" i="25"/>
  <c r="DU17" i="25"/>
  <c r="DU16" i="25"/>
  <c r="D120" i="8"/>
  <c r="C120" i="8"/>
  <c r="DU28" i="25"/>
  <c r="DP118" i="37" s="1"/>
  <c r="DU25" i="25"/>
  <c r="L120" i="8"/>
  <c r="M120" i="8"/>
  <c r="K121" i="8"/>
  <c r="B121" i="8"/>
  <c r="F122" i="8"/>
  <c r="H122" i="8" s="1"/>
  <c r="DT44" i="25"/>
  <c r="DT40" i="25"/>
  <c r="DT43" i="25"/>
  <c r="DT45" i="25"/>
  <c r="DT38" i="25"/>
  <c r="DT39" i="25"/>
  <c r="DT41" i="25"/>
  <c r="DT42" i="25"/>
  <c r="DT20" i="25"/>
  <c r="DT36" i="25"/>
  <c r="DT53" i="25"/>
  <c r="DT47" i="25"/>
  <c r="DT49" i="25"/>
  <c r="DT46" i="25"/>
  <c r="DT52" i="25"/>
  <c r="DT51" i="25"/>
  <c r="DT50" i="25"/>
  <c r="DT48" i="25"/>
  <c r="DU34" i="25"/>
  <c r="DV10" i="25"/>
  <c r="DU33" i="25"/>
  <c r="DP123" i="37" s="1"/>
  <c r="DU26" i="25"/>
  <c r="DP116" i="37" s="1"/>
  <c r="DU23" i="25"/>
  <c r="DU24" i="25"/>
  <c r="DU29" i="25"/>
  <c r="DP119" i="37" s="1"/>
  <c r="DP117" i="37"/>
  <c r="DU37" i="25"/>
  <c r="DU30" i="25"/>
  <c r="DP120" i="37" s="1"/>
  <c r="DU35" i="25"/>
  <c r="DU31" i="25"/>
  <c r="DP121" i="37" s="1"/>
  <c r="DU12" i="25"/>
  <c r="Y19" i="39"/>
  <c r="G122" i="8" l="1"/>
  <c r="I121" i="8" a="1"/>
  <c r="I121" i="8" s="1"/>
  <c r="DV27" i="25"/>
  <c r="E73" i="16"/>
  <c r="DV18" i="25"/>
  <c r="DV19" i="25"/>
  <c r="DV15" i="25"/>
  <c r="DV16" i="25"/>
  <c r="DV17" i="25"/>
  <c r="D72" i="16"/>
  <c r="D121" i="8"/>
  <c r="C121" i="8"/>
  <c r="DV28" i="25"/>
  <c r="DQ118" i="37" s="1"/>
  <c r="DV25" i="25"/>
  <c r="K122" i="8"/>
  <c r="L121" i="8"/>
  <c r="M121" i="8"/>
  <c r="F123" i="8"/>
  <c r="H123" i="8" s="1"/>
  <c r="B122" i="8"/>
  <c r="DU47" i="25"/>
  <c r="DU48" i="25"/>
  <c r="DU50" i="25"/>
  <c r="DU51" i="25"/>
  <c r="DU52" i="25"/>
  <c r="DU53" i="25"/>
  <c r="DU49" i="25"/>
  <c r="DU46" i="25"/>
  <c r="DU36" i="25"/>
  <c r="DU20" i="25"/>
  <c r="DU40" i="25"/>
  <c r="DU41" i="25"/>
  <c r="DU45" i="25"/>
  <c r="DU42" i="25"/>
  <c r="DU44" i="25"/>
  <c r="DU43" i="25"/>
  <c r="DU39" i="25"/>
  <c r="DU38" i="25"/>
  <c r="DV12" i="25"/>
  <c r="DW10" i="25"/>
  <c r="DW27" i="25" s="1"/>
  <c r="DV33" i="25"/>
  <c r="DQ123" i="37" s="1"/>
  <c r="DV26" i="25"/>
  <c r="DQ116" i="37" s="1"/>
  <c r="DV29" i="25"/>
  <c r="DQ119" i="37" s="1"/>
  <c r="DV23" i="25"/>
  <c r="DV24" i="25"/>
  <c r="DQ117" i="37"/>
  <c r="DV31" i="25"/>
  <c r="DQ121" i="37" s="1"/>
  <c r="DV34" i="25"/>
  <c r="DV37" i="25"/>
  <c r="DV30" i="25"/>
  <c r="DQ120" i="37" s="1"/>
  <c r="DV35" i="25"/>
  <c r="DT42" i="17"/>
  <c r="DT39" i="17"/>
  <c r="G123" i="8" l="1"/>
  <c r="I122" i="8" a="1"/>
  <c r="I122" i="8" s="1"/>
  <c r="E75" i="16"/>
  <c r="E72" i="16"/>
  <c r="C72" i="16"/>
  <c r="DW19" i="25"/>
  <c r="DW15" i="25"/>
  <c r="E64" i="16" s="1"/>
  <c r="DW18" i="25"/>
  <c r="C75" i="16"/>
  <c r="DW16" i="25"/>
  <c r="DW17" i="25"/>
  <c r="D75" i="16"/>
  <c r="C122" i="8"/>
  <c r="D122" i="8"/>
  <c r="DW25" i="25"/>
  <c r="DW28" i="25"/>
  <c r="DR118" i="37" s="1"/>
  <c r="M105" i="37" a="1"/>
  <c r="B123" i="8"/>
  <c r="F124" i="8"/>
  <c r="H124" i="8" s="1"/>
  <c r="K123" i="8"/>
  <c r="M122" i="8"/>
  <c r="L122" i="8"/>
  <c r="DV43" i="25"/>
  <c r="DV41" i="25"/>
  <c r="DV38" i="25"/>
  <c r="DV45" i="25"/>
  <c r="DV40" i="25"/>
  <c r="DV39" i="25"/>
  <c r="DV44" i="25"/>
  <c r="DV42" i="25"/>
  <c r="DV46" i="25"/>
  <c r="DV49" i="25"/>
  <c r="DV48" i="25"/>
  <c r="DV36" i="25"/>
  <c r="DV20" i="25"/>
  <c r="DV50" i="25"/>
  <c r="DV53" i="25"/>
  <c r="DV47" i="25"/>
  <c r="DV52" i="25"/>
  <c r="DV51" i="25"/>
  <c r="DW37" i="25"/>
  <c r="DW33" i="25"/>
  <c r="DW23" i="25"/>
  <c r="DW26" i="25"/>
  <c r="D70" i="16" s="1"/>
  <c r="DW29" i="25"/>
  <c r="DW24" i="25"/>
  <c r="DR117" i="37"/>
  <c r="DW31" i="25"/>
  <c r="DW35" i="25"/>
  <c r="DW34" i="25"/>
  <c r="DW30" i="25"/>
  <c r="D58" i="16" s="1"/>
  <c r="DW12" i="25"/>
  <c r="M10" i="17" a="1"/>
  <c r="M43" i="17" a="1"/>
  <c r="M87" i="17" a="1"/>
  <c r="M67" i="17" a="1"/>
  <c r="M29" i="17" a="1"/>
  <c r="M29" i="17" s="1"/>
  <c r="DT32" i="17"/>
  <c r="DT35" i="17"/>
  <c r="G124" i="8" l="1"/>
  <c r="I123" i="8" a="1"/>
  <c r="I123" i="8" s="1"/>
  <c r="E58" i="16"/>
  <c r="D74" i="16"/>
  <c r="E74" i="16"/>
  <c r="F80" i="17"/>
  <c r="E111" i="37"/>
  <c r="E68" i="16"/>
  <c r="E70" i="16"/>
  <c r="D71" i="16"/>
  <c r="E71" i="16"/>
  <c r="D59" i="16"/>
  <c r="D60" i="16" s="1"/>
  <c r="E59" i="16"/>
  <c r="C58" i="16"/>
  <c r="D73" i="16"/>
  <c r="D64" i="16"/>
  <c r="D68" i="16"/>
  <c r="C70" i="16"/>
  <c r="C123" i="8"/>
  <c r="D123" i="8"/>
  <c r="S86" i="17" a="1"/>
  <c r="S86" i="17" s="1"/>
  <c r="I16" i="37" s="1"/>
  <c r="I38" i="37" s="1"/>
  <c r="S85" i="17" a="1"/>
  <c r="S85" i="17" s="1"/>
  <c r="I15" i="37" s="1"/>
  <c r="I37" i="37" s="1"/>
  <c r="AN86" i="17" a="1"/>
  <c r="AN86" i="17" s="1"/>
  <c r="AD16" i="37" s="1"/>
  <c r="AD38" i="37" s="1"/>
  <c r="DA85" i="17" a="1"/>
  <c r="DA85" i="17" s="1"/>
  <c r="CQ15" i="37" s="1"/>
  <c r="CQ37" i="37" s="1"/>
  <c r="DL86" i="17" a="1"/>
  <c r="DL86" i="17" s="1"/>
  <c r="DB16" i="37" s="1"/>
  <c r="DB38" i="37" s="1"/>
  <c r="AT85" i="17" a="1"/>
  <c r="AT85" i="17" s="1"/>
  <c r="AJ15" i="37" s="1"/>
  <c r="AJ37" i="37" s="1"/>
  <c r="AB86" i="17" a="1"/>
  <c r="AB86" i="17" s="1"/>
  <c r="R16" i="37" s="1"/>
  <c r="R38" i="37" s="1"/>
  <c r="BA85" i="17" a="1"/>
  <c r="BA85" i="17" s="1"/>
  <c r="AQ15" i="37" s="1"/>
  <c r="AQ37" i="37" s="1"/>
  <c r="AB85" i="17" a="1"/>
  <c r="AB85" i="17" s="1"/>
  <c r="R15" i="37" s="1"/>
  <c r="R37" i="37" s="1"/>
  <c r="AC86" i="17" a="1"/>
  <c r="AC86" i="17" s="1"/>
  <c r="S16" i="37" s="1"/>
  <c r="S38" i="37" s="1"/>
  <c r="AO85" i="17" a="1"/>
  <c r="AO85" i="17" s="1"/>
  <c r="AE15" i="37" s="1"/>
  <c r="AE37" i="37" s="1"/>
  <c r="DH86" i="17" a="1"/>
  <c r="DH86" i="17" s="1"/>
  <c r="CX16" i="37" s="1"/>
  <c r="CX38" i="37" s="1"/>
  <c r="AY86" i="17" a="1"/>
  <c r="AY86" i="17" s="1"/>
  <c r="AO16" i="37" s="1"/>
  <c r="AO38" i="37" s="1"/>
  <c r="Q86" i="17" a="1"/>
  <c r="Q86" i="17" s="1"/>
  <c r="G16" i="37" s="1"/>
  <c r="G38" i="37" s="1"/>
  <c r="BJ85" i="17" a="1"/>
  <c r="BJ85" i="17" s="1"/>
  <c r="AZ15" i="37" s="1"/>
  <c r="AZ37" i="37" s="1"/>
  <c r="BN86" i="17" a="1"/>
  <c r="BN86" i="17" s="1"/>
  <c r="BD16" i="37" s="1"/>
  <c r="BD38" i="37" s="1"/>
  <c r="Y86" i="17" a="1"/>
  <c r="Y86" i="17" s="1"/>
  <c r="O16" i="37" s="1"/>
  <c r="O38" i="37" s="1"/>
  <c r="BX85" i="17" a="1"/>
  <c r="BX85" i="17" s="1"/>
  <c r="BN15" i="37" s="1"/>
  <c r="BN37" i="37" s="1"/>
  <c r="CN86" i="17" a="1"/>
  <c r="CN86" i="17" s="1"/>
  <c r="CD16" i="37" s="1"/>
  <c r="CD38" i="37" s="1"/>
  <c r="DB86" i="17" a="1"/>
  <c r="DB86" i="17" s="1"/>
  <c r="CR16" i="37" s="1"/>
  <c r="CR38" i="37" s="1"/>
  <c r="CO85" i="17" a="1"/>
  <c r="CO85" i="17" s="1"/>
  <c r="CE15" i="37" s="1"/>
  <c r="CE37" i="37" s="1"/>
  <c r="BD85" i="17" a="1"/>
  <c r="BD85" i="17" s="1"/>
  <c r="AT15" i="37" s="1"/>
  <c r="AT37" i="37" s="1"/>
  <c r="AP85" i="17" a="1"/>
  <c r="AP85" i="17" s="1"/>
  <c r="AF15" i="37" s="1"/>
  <c r="AF37" i="37" s="1"/>
  <c r="AQ85" i="17" a="1"/>
  <c r="AQ85" i="17" s="1"/>
  <c r="AG15" i="37" s="1"/>
  <c r="AG37" i="37" s="1"/>
  <c r="Z86" i="17" a="1"/>
  <c r="Z86" i="17" s="1"/>
  <c r="P16" i="37" s="1"/>
  <c r="P38" i="37" s="1"/>
  <c r="Y85" i="17" a="1"/>
  <c r="Y85" i="17" s="1"/>
  <c r="O15" i="37" s="1"/>
  <c r="O37" i="37" s="1"/>
  <c r="AU86" i="17" a="1"/>
  <c r="AU86" i="17" s="1"/>
  <c r="AK16" i="37" s="1"/>
  <c r="AK38" i="37" s="1"/>
  <c r="BV85" i="17" a="1"/>
  <c r="BV85" i="17" s="1"/>
  <c r="BL15" i="37" s="1"/>
  <c r="BL37" i="37" s="1"/>
  <c r="CU85" i="17" a="1"/>
  <c r="CU85" i="17" s="1"/>
  <c r="CK15" i="37" s="1"/>
  <c r="CK37" i="37" s="1"/>
  <c r="BG85" i="17" a="1"/>
  <c r="BG85" i="17" s="1"/>
  <c r="AW15" i="37" s="1"/>
  <c r="AW37" i="37" s="1"/>
  <c r="AI86" i="17" a="1"/>
  <c r="AI86" i="17" s="1"/>
  <c r="Y16" i="37" s="1"/>
  <c r="Y38" i="37" s="1"/>
  <c r="BT85" i="17" a="1"/>
  <c r="BT85" i="17" s="1"/>
  <c r="BJ15" i="37" s="1"/>
  <c r="BJ37" i="37" s="1"/>
  <c r="AH85" i="17" a="1"/>
  <c r="AH85" i="17" s="1"/>
  <c r="X15" i="37" s="1"/>
  <c r="X37" i="37" s="1"/>
  <c r="AJ86" i="17" a="1"/>
  <c r="AJ86" i="17" s="1"/>
  <c r="Z16" i="37" s="1"/>
  <c r="Z38" i="37" s="1"/>
  <c r="BB85" i="17" a="1"/>
  <c r="BB85" i="17" s="1"/>
  <c r="AR15" i="37" s="1"/>
  <c r="AR37" i="37" s="1"/>
  <c r="DO86" i="17" a="1"/>
  <c r="DO86" i="17" s="1"/>
  <c r="DE16" i="37" s="1"/>
  <c r="DE38" i="37" s="1"/>
  <c r="BF86" i="17" a="1"/>
  <c r="BF86" i="17" s="1"/>
  <c r="AV16" i="37" s="1"/>
  <c r="AV38" i="37" s="1"/>
  <c r="X86" i="17" a="1"/>
  <c r="X86" i="17" s="1"/>
  <c r="N16" i="37" s="1"/>
  <c r="N38" i="37" s="1"/>
  <c r="BW85" i="17" a="1"/>
  <c r="BW85" i="17" s="1"/>
  <c r="BM15" i="37" s="1"/>
  <c r="BM37" i="37" s="1"/>
  <c r="CH86" i="17" a="1"/>
  <c r="CH86" i="17" s="1"/>
  <c r="BX16" i="37" s="1"/>
  <c r="BX38" i="37" s="1"/>
  <c r="AF86" i="17" a="1"/>
  <c r="AF86" i="17" s="1"/>
  <c r="V16" i="37" s="1"/>
  <c r="V38" i="37" s="1"/>
  <c r="CD85" i="17" a="1"/>
  <c r="CD85" i="17" s="1"/>
  <c r="BT15" i="37" s="1"/>
  <c r="BT37" i="37" s="1"/>
  <c r="AV85" i="17" a="1"/>
  <c r="AV85" i="17" s="1"/>
  <c r="AL15" i="37" s="1"/>
  <c r="AL37" i="37" s="1"/>
  <c r="CB86" i="17" a="1"/>
  <c r="CB86" i="17" s="1"/>
  <c r="BR16" i="37" s="1"/>
  <c r="BR38" i="37" s="1"/>
  <c r="X85" i="17" a="1"/>
  <c r="X85" i="17" s="1"/>
  <c r="N15" i="37" s="1"/>
  <c r="N37" i="37" s="1"/>
  <c r="DP86" i="17" a="1"/>
  <c r="DP86" i="17" s="1"/>
  <c r="DF16" i="37" s="1"/>
  <c r="DF38" i="37" s="1"/>
  <c r="Q85" i="17" a="1"/>
  <c r="Q85" i="17" s="1"/>
  <c r="G15" i="37" s="1"/>
  <c r="G37" i="37" s="1"/>
  <c r="AD86" i="17" a="1"/>
  <c r="AD86" i="17" s="1"/>
  <c r="T16" i="37" s="1"/>
  <c r="T38" i="37" s="1"/>
  <c r="AX85" i="17" a="1"/>
  <c r="AX85" i="17" s="1"/>
  <c r="AN15" i="37" s="1"/>
  <c r="AN37" i="37" s="1"/>
  <c r="AT86" i="17" a="1"/>
  <c r="AT86" i="17" s="1"/>
  <c r="AJ16" i="37" s="1"/>
  <c r="AJ38" i="37" s="1"/>
  <c r="AL85" i="17" a="1"/>
  <c r="AL85" i="17" s="1"/>
  <c r="AB15" i="37" s="1"/>
  <c r="AB37" i="37" s="1"/>
  <c r="CC86" i="17" a="1"/>
  <c r="CC86" i="17" s="1"/>
  <c r="BS16" i="37" s="1"/>
  <c r="BS38" i="37" s="1"/>
  <c r="T86" i="17" a="1"/>
  <c r="T86" i="17" s="1"/>
  <c r="J16" i="37" s="1"/>
  <c r="J38" i="37" s="1"/>
  <c r="T85" i="17" a="1"/>
  <c r="T85" i="17" s="1"/>
  <c r="J15" i="37" s="1"/>
  <c r="J37" i="37" s="1"/>
  <c r="DO85" i="17" a="1"/>
  <c r="DO85" i="17" s="1"/>
  <c r="DE15" i="37" s="1"/>
  <c r="DE37" i="37" s="1"/>
  <c r="BM85" i="17" a="1"/>
  <c r="BM85" i="17" s="1"/>
  <c r="BC15" i="37" s="1"/>
  <c r="BC37" i="37" s="1"/>
  <c r="AP86" i="17" a="1"/>
  <c r="AP86" i="17" s="1"/>
  <c r="AF16" i="37" s="1"/>
  <c r="AF38" i="37" s="1"/>
  <c r="CG85" i="17" a="1"/>
  <c r="CG85" i="17" s="1"/>
  <c r="BW15" i="37" s="1"/>
  <c r="BW37" i="37" s="1"/>
  <c r="AU85" i="17" a="1"/>
  <c r="AU85" i="17" s="1"/>
  <c r="AK15" i="37" s="1"/>
  <c r="AK37" i="37" s="1"/>
  <c r="AQ86" i="17" a="1"/>
  <c r="AQ86" i="17" s="1"/>
  <c r="AG16" i="37" s="1"/>
  <c r="AG38" i="37" s="1"/>
  <c r="BO85" i="17" a="1"/>
  <c r="BO85" i="17" s="1"/>
  <c r="BE15" i="37" s="1"/>
  <c r="BE37" i="37" s="1"/>
  <c r="P85" i="17" a="1"/>
  <c r="P85" i="17" s="1"/>
  <c r="F15" i="37" s="1"/>
  <c r="F37" i="37" s="1"/>
  <c r="BZ86" i="17" a="1"/>
  <c r="BZ86" i="17" s="1"/>
  <c r="BP16" i="37" s="1"/>
  <c r="BP38" i="37" s="1"/>
  <c r="AE86" i="17" a="1"/>
  <c r="AE86" i="17" s="1"/>
  <c r="U16" i="37" s="1"/>
  <c r="U38" i="37" s="1"/>
  <c r="CC85" i="17" a="1"/>
  <c r="CC85" i="17" s="1"/>
  <c r="BS15" i="37" s="1"/>
  <c r="BS37" i="37" s="1"/>
  <c r="CO86" i="17" a="1"/>
  <c r="CO86" i="17" s="1"/>
  <c r="CE16" i="37" s="1"/>
  <c r="CE38" i="37" s="1"/>
  <c r="AM86" i="17" a="1"/>
  <c r="AM86" i="17" s="1"/>
  <c r="AC16" i="37" s="1"/>
  <c r="AC38" i="37" s="1"/>
  <c r="CQ85" i="17" a="1"/>
  <c r="CQ85" i="17" s="1"/>
  <c r="CG15" i="37" s="1"/>
  <c r="CG37" i="37" s="1"/>
  <c r="DC86" i="17" a="1"/>
  <c r="DC86" i="17" s="1"/>
  <c r="CS16" i="37" s="1"/>
  <c r="CS38" i="37" s="1"/>
  <c r="CI86" i="17" a="1"/>
  <c r="CI86" i="17" s="1"/>
  <c r="BY16" i="37" s="1"/>
  <c r="BY38" i="37" s="1"/>
  <c r="CM86" i="17" a="1"/>
  <c r="CM86" i="17" s="1"/>
  <c r="CC16" i="37" s="1"/>
  <c r="CC38" i="37" s="1"/>
  <c r="AE85" i="17" a="1"/>
  <c r="AE85" i="17" s="1"/>
  <c r="U15" i="37" s="1"/>
  <c r="U37" i="37" s="1"/>
  <c r="AR85" i="17" a="1"/>
  <c r="AR85" i="17" s="1"/>
  <c r="AH15" i="37" s="1"/>
  <c r="AH37" i="37" s="1"/>
  <c r="DA86" i="17" a="1"/>
  <c r="DA86" i="17" s="1"/>
  <c r="CQ16" i="37" s="1"/>
  <c r="CQ38" i="37" s="1"/>
  <c r="BA86" i="17" a="1"/>
  <c r="BA86" i="17" s="1"/>
  <c r="AQ16" i="37" s="1"/>
  <c r="AQ38" i="37" s="1"/>
  <c r="AY85" i="17" a="1"/>
  <c r="AY85" i="17" s="1"/>
  <c r="AO15" i="37" s="1"/>
  <c r="AO37" i="37" s="1"/>
  <c r="CJ86" i="17" a="1"/>
  <c r="CJ86" i="17" s="1"/>
  <c r="BZ16" i="37" s="1"/>
  <c r="BZ38" i="37" s="1"/>
  <c r="AA86" i="17" a="1"/>
  <c r="AA86" i="17" s="1"/>
  <c r="Q16" i="37" s="1"/>
  <c r="Q38" i="37" s="1"/>
  <c r="Z85" i="17" a="1"/>
  <c r="Z85" i="17" s="1"/>
  <c r="P15" i="37" s="1"/>
  <c r="P37" i="37" s="1"/>
  <c r="AO86" i="17" a="1"/>
  <c r="AO86" i="17" s="1"/>
  <c r="AE16" i="37" s="1"/>
  <c r="AE38" i="37" s="1"/>
  <c r="BZ85" i="17" a="1"/>
  <c r="BZ85" i="17" s="1"/>
  <c r="BP15" i="37" s="1"/>
  <c r="BP37" i="37" s="1"/>
  <c r="BJ86" i="17" a="1"/>
  <c r="BJ86" i="17" s="1"/>
  <c r="AZ16" i="37" s="1"/>
  <c r="AZ38" i="37" s="1"/>
  <c r="CZ85" i="17" a="1"/>
  <c r="CZ85" i="17" s="1"/>
  <c r="CP15" i="37" s="1"/>
  <c r="CP37" i="37" s="1"/>
  <c r="BH85" i="17" a="1"/>
  <c r="BH85" i="17" s="1"/>
  <c r="AX15" i="37" s="1"/>
  <c r="AX37" i="37" s="1"/>
  <c r="AX86" i="17" a="1"/>
  <c r="AX86" i="17" s="1"/>
  <c r="AN16" i="37" s="1"/>
  <c r="AN38" i="37" s="1"/>
  <c r="BU85" i="17" a="1"/>
  <c r="BU85" i="17" s="1"/>
  <c r="BK15" i="37" s="1"/>
  <c r="BK37" i="37" s="1"/>
  <c r="AC85" i="17" a="1"/>
  <c r="AC85" i="17" s="1"/>
  <c r="S15" i="37" s="1"/>
  <c r="S37" i="37" s="1"/>
  <c r="CG86" i="17" a="1"/>
  <c r="CG86" i="17" s="1"/>
  <c r="BW16" i="37" s="1"/>
  <c r="BW38" i="37" s="1"/>
  <c r="BM86" i="17" a="1"/>
  <c r="BM86" i="17" s="1"/>
  <c r="BC16" i="37" s="1"/>
  <c r="BC38" i="37" s="1"/>
  <c r="CP85" i="17" a="1"/>
  <c r="CP85" i="17" s="1"/>
  <c r="CF15" i="37" s="1"/>
  <c r="CF37" i="37" s="1"/>
  <c r="CV86" i="17" a="1"/>
  <c r="CV86" i="17" s="1"/>
  <c r="CL16" i="37" s="1"/>
  <c r="CL38" i="37" s="1"/>
  <c r="BU86" i="17" a="1"/>
  <c r="BU86" i="17" s="1"/>
  <c r="BK16" i="37" s="1"/>
  <c r="BK38" i="37" s="1"/>
  <c r="DJ85" i="17" a="1"/>
  <c r="DJ85" i="17" s="1"/>
  <c r="CZ15" i="37" s="1"/>
  <c r="CZ37" i="37" s="1"/>
  <c r="DC85" i="17" a="1"/>
  <c r="DC85" i="17" s="1"/>
  <c r="CS15" i="37" s="1"/>
  <c r="CS37" i="37" s="1"/>
  <c r="DJ86" i="17" a="1"/>
  <c r="DJ86" i="17" s="1"/>
  <c r="CZ16" i="37" s="1"/>
  <c r="CZ38" i="37" s="1"/>
  <c r="DI86" i="17" a="1"/>
  <c r="DI86" i="17" s="1"/>
  <c r="CY16" i="37" s="1"/>
  <c r="CY38" i="37" s="1"/>
  <c r="W85" i="17" a="1"/>
  <c r="W85" i="17" s="1"/>
  <c r="M15" i="37" s="1"/>
  <c r="M37" i="37" s="1"/>
  <c r="AJ85" i="17" a="1"/>
  <c r="AJ85" i="17" s="1"/>
  <c r="Z15" i="37" s="1"/>
  <c r="Z37" i="37" s="1"/>
  <c r="AK86" i="17" a="1"/>
  <c r="AK86" i="17" s="1"/>
  <c r="AA16" i="37" s="1"/>
  <c r="AA38" i="37" s="1"/>
  <c r="BG86" i="17" a="1"/>
  <c r="BG86" i="17" s="1"/>
  <c r="AW16" i="37" s="1"/>
  <c r="AW38" i="37" s="1"/>
  <c r="BH86" i="17" a="1"/>
  <c r="BH86" i="17" s="1"/>
  <c r="AX16" i="37" s="1"/>
  <c r="AX38" i="37" s="1"/>
  <c r="BE85" i="17" a="1"/>
  <c r="BE85" i="17" s="1"/>
  <c r="AU15" i="37" s="1"/>
  <c r="AU37" i="37" s="1"/>
  <c r="CQ86" i="17" a="1"/>
  <c r="CQ86" i="17" s="1"/>
  <c r="CG16" i="37" s="1"/>
  <c r="CG38" i="37" s="1"/>
  <c r="AH86" i="17" a="1"/>
  <c r="AH86" i="17" s="1"/>
  <c r="X16" i="37" s="1"/>
  <c r="X38" i="37" s="1"/>
  <c r="AM85" i="17" a="1"/>
  <c r="AM85" i="17" s="1"/>
  <c r="AC15" i="37" s="1"/>
  <c r="AC37" i="37" s="1"/>
  <c r="AV86" i="17" a="1"/>
  <c r="AV86" i="17" s="1"/>
  <c r="AL16" i="37" s="1"/>
  <c r="AL38" i="37" s="1"/>
  <c r="CM85" i="17" a="1"/>
  <c r="CM85" i="17" s="1"/>
  <c r="CC15" i="37" s="1"/>
  <c r="CC37" i="37" s="1"/>
  <c r="BQ86" i="17" a="1"/>
  <c r="BQ86" i="17" s="1"/>
  <c r="BG16" i="37" s="1"/>
  <c r="BG38" i="37" s="1"/>
  <c r="O86" i="17" a="1"/>
  <c r="O86" i="17" s="1"/>
  <c r="E16" i="37" s="1"/>
  <c r="E38" i="37" s="1"/>
  <c r="BN85" i="17" a="1"/>
  <c r="BN85" i="17" s="1"/>
  <c r="BD15" i="37" s="1"/>
  <c r="BD37" i="37" s="1"/>
  <c r="BR86" i="17" a="1"/>
  <c r="BR86" i="17" s="1"/>
  <c r="BH16" i="37" s="1"/>
  <c r="BH38" i="37" s="1"/>
  <c r="CH85" i="17" a="1"/>
  <c r="CH85" i="17" s="1"/>
  <c r="BX15" i="37" s="1"/>
  <c r="BX37" i="37" s="1"/>
  <c r="BT86" i="17" a="1"/>
  <c r="BT86" i="17" s="1"/>
  <c r="BJ16" i="37" s="1"/>
  <c r="BJ38" i="37" s="1"/>
  <c r="BK86" i="17" a="1"/>
  <c r="BK86" i="17" s="1"/>
  <c r="BA16" i="37" s="1"/>
  <c r="BA38" i="37" s="1"/>
  <c r="R85" i="17" a="1"/>
  <c r="R85" i="17" s="1"/>
  <c r="H15" i="37" s="1"/>
  <c r="H37" i="37" s="1"/>
  <c r="BL86" i="17" a="1"/>
  <c r="BL86" i="17" s="1"/>
  <c r="BB16" i="37" s="1"/>
  <c r="BB38" i="37" s="1"/>
  <c r="AI85" i="17" a="1"/>
  <c r="AI85" i="17" s="1"/>
  <c r="Y15" i="37" s="1"/>
  <c r="Y37" i="37" s="1"/>
  <c r="BO86" i="17" a="1"/>
  <c r="BO86" i="17" s="1"/>
  <c r="BE16" i="37" s="1"/>
  <c r="BE38" i="37" s="1"/>
  <c r="BR85" i="17" a="1"/>
  <c r="BR85" i="17" s="1"/>
  <c r="BH15" i="37" s="1"/>
  <c r="BH37" i="37" s="1"/>
  <c r="AF85" i="17" a="1"/>
  <c r="AF85" i="17" s="1"/>
  <c r="V15" i="37" s="1"/>
  <c r="V37" i="37" s="1"/>
  <c r="BB86" i="17" a="1"/>
  <c r="BB86" i="17" s="1"/>
  <c r="AR16" i="37" s="1"/>
  <c r="AR38" i="37" s="1"/>
  <c r="AZ85" i="17" a="1"/>
  <c r="AZ85" i="17" s="1"/>
  <c r="AP15" i="37" s="1"/>
  <c r="AP37" i="37" s="1"/>
  <c r="BC86" i="17" a="1"/>
  <c r="BC86" i="17" s="1"/>
  <c r="AS16" i="37" s="1"/>
  <c r="AS38" i="37" s="1"/>
  <c r="CS85" i="17" a="1"/>
  <c r="CS85" i="17" s="1"/>
  <c r="CI15" i="37" s="1"/>
  <c r="CI37" i="37" s="1"/>
  <c r="BX86" i="17" a="1"/>
  <c r="BX86" i="17" s="1"/>
  <c r="BN16" i="37" s="1"/>
  <c r="BN38" i="37" s="1"/>
  <c r="AW86" i="17" a="1"/>
  <c r="AW86" i="17" s="1"/>
  <c r="AM16" i="37" s="1"/>
  <c r="AM38" i="37" s="1"/>
  <c r="CA85" i="17" a="1"/>
  <c r="CA85" i="17" s="1"/>
  <c r="BQ15" i="37" s="1"/>
  <c r="BQ37" i="37" s="1"/>
  <c r="BY86" i="17" a="1"/>
  <c r="BY86" i="17" s="1"/>
  <c r="BO16" i="37" s="1"/>
  <c r="BO38" i="37" s="1"/>
  <c r="DB85" i="17" a="1"/>
  <c r="DB85" i="17" s="1"/>
  <c r="CR15" i="37" s="1"/>
  <c r="CR37" i="37" s="1"/>
  <c r="BI85" i="17" a="1"/>
  <c r="BI85" i="17" s="1"/>
  <c r="AY15" i="37" s="1"/>
  <c r="AY37" i="37" s="1"/>
  <c r="CU86" i="17" a="1"/>
  <c r="CU86" i="17" s="1"/>
  <c r="CK16" i="37" s="1"/>
  <c r="CK38" i="37" s="1"/>
  <c r="CA86" i="17" a="1"/>
  <c r="CA86" i="17" s="1"/>
  <c r="BQ16" i="37" s="1"/>
  <c r="BQ38" i="37" s="1"/>
  <c r="DI85" i="17" a="1"/>
  <c r="DI85" i="17" s="1"/>
  <c r="CY15" i="37" s="1"/>
  <c r="CY37" i="37" s="1"/>
  <c r="DQ86" i="17" a="1"/>
  <c r="DQ86" i="17" s="1"/>
  <c r="DG16" i="37" s="1"/>
  <c r="DG38" i="37" s="1"/>
  <c r="W86" i="17" a="1"/>
  <c r="W86" i="17" s="1"/>
  <c r="M16" i="37" s="1"/>
  <c r="M38" i="37" s="1"/>
  <c r="AL86" i="17" a="1"/>
  <c r="AL86" i="17" s="1"/>
  <c r="AB16" i="37" s="1"/>
  <c r="AB38" i="37" s="1"/>
  <c r="AD85" i="17" a="1"/>
  <c r="AD85" i="17" s="1"/>
  <c r="T15" i="37" s="1"/>
  <c r="T37" i="37" s="1"/>
  <c r="BC85" i="17" a="1"/>
  <c r="BC85" i="17" s="1"/>
  <c r="AS15" i="37" s="1"/>
  <c r="AS37" i="37" s="1"/>
  <c r="CW85" i="17" a="1"/>
  <c r="CW85" i="17" s="1"/>
  <c r="CM15" i="37" s="1"/>
  <c r="CM37" i="37" s="1"/>
  <c r="BV86" i="17" a="1"/>
  <c r="BV86" i="17" s="1"/>
  <c r="BL16" i="37" s="1"/>
  <c r="BL38" i="37" s="1"/>
  <c r="CE85" i="17" a="1"/>
  <c r="CE85" i="17" s="1"/>
  <c r="BU15" i="37" s="1"/>
  <c r="BU37" i="37" s="1"/>
  <c r="AS85" i="17" a="1"/>
  <c r="AS85" i="17" s="1"/>
  <c r="AI15" i="37" s="1"/>
  <c r="AI37" i="37" s="1"/>
  <c r="BI86" i="17" a="1"/>
  <c r="BI86" i="17" s="1"/>
  <c r="AY16" i="37" s="1"/>
  <c r="AY38" i="37" s="1"/>
  <c r="BF85" i="17" a="1"/>
  <c r="BF85" i="17" s="1"/>
  <c r="AV15" i="37" s="1"/>
  <c r="AV37" i="37" s="1"/>
  <c r="CK86" i="17" a="1"/>
  <c r="CK86" i="17" s="1"/>
  <c r="CA16" i="37" s="1"/>
  <c r="CA38" i="37" s="1"/>
  <c r="DF85" i="17" a="1"/>
  <c r="DF85" i="17" s="1"/>
  <c r="CV15" i="37" s="1"/>
  <c r="CV37" i="37" s="1"/>
  <c r="CE86" i="17" a="1"/>
  <c r="CE86" i="17" s="1"/>
  <c r="BU16" i="37" s="1"/>
  <c r="BU38" i="37" s="1"/>
  <c r="BD86" i="17" a="1"/>
  <c r="BD86" i="17" s="1"/>
  <c r="AT16" i="37" s="1"/>
  <c r="AT38" i="37" s="1"/>
  <c r="CN85" i="17" a="1"/>
  <c r="CN85" i="17" s="1"/>
  <c r="CD15" i="37" s="1"/>
  <c r="CD37" i="37" s="1"/>
  <c r="CF86" i="17" a="1"/>
  <c r="CF86" i="17" s="1"/>
  <c r="BV16" i="37" s="1"/>
  <c r="BV38" i="37" s="1"/>
  <c r="P86" i="17" a="1"/>
  <c r="P86" i="17" s="1"/>
  <c r="F16" i="37" s="1"/>
  <c r="F38" i="37" s="1"/>
  <c r="CB85" i="17" a="1"/>
  <c r="CB85" i="17" s="1"/>
  <c r="BR15" i="37" s="1"/>
  <c r="BR37" i="37" s="1"/>
  <c r="DP85" i="17" a="1"/>
  <c r="DP85" i="17" s="1"/>
  <c r="DF15" i="37" s="1"/>
  <c r="DF37" i="37" s="1"/>
  <c r="R86" i="17" a="1"/>
  <c r="R86" i="17" s="1"/>
  <c r="H16" i="37" s="1"/>
  <c r="H38" i="37" s="1"/>
  <c r="DN86" i="17" a="1"/>
  <c r="DN86" i="17" s="1"/>
  <c r="DD16" i="37" s="1"/>
  <c r="DD38" i="37" s="1"/>
  <c r="CJ85" i="17" a="1"/>
  <c r="CJ85" i="17" s="1"/>
  <c r="BZ15" i="37" s="1"/>
  <c r="BZ37" i="37" s="1"/>
  <c r="BK85" i="17" a="1"/>
  <c r="BK85" i="17" s="1"/>
  <c r="BA15" i="37" s="1"/>
  <c r="BA37" i="37" s="1"/>
  <c r="CP86" i="17" a="1"/>
  <c r="CP86" i="17" s="1"/>
  <c r="CF16" i="37" s="1"/>
  <c r="CF38" i="37" s="1"/>
  <c r="CK85" i="17" a="1"/>
  <c r="CK85" i="17" s="1"/>
  <c r="CA15" i="37" s="1"/>
  <c r="CA37" i="37" s="1"/>
  <c r="BL85" i="17" a="1"/>
  <c r="BL85" i="17" s="1"/>
  <c r="BB15" i="37" s="1"/>
  <c r="BB37" i="37" s="1"/>
  <c r="BP86" i="17" a="1"/>
  <c r="BP86" i="17" s="1"/>
  <c r="BF16" i="37" s="1"/>
  <c r="BF38" i="37" s="1"/>
  <c r="BS85" i="17" a="1"/>
  <c r="BS85" i="17" s="1"/>
  <c r="BI15" i="37" s="1"/>
  <c r="BI37" i="37" s="1"/>
  <c r="CR86" i="17" a="1"/>
  <c r="CR86" i="17" s="1"/>
  <c r="CH16" i="37" s="1"/>
  <c r="CH38" i="37" s="1"/>
  <c r="DM85" i="17" a="1"/>
  <c r="DM85" i="17" s="1"/>
  <c r="DC15" i="37" s="1"/>
  <c r="DC37" i="37" s="1"/>
  <c r="CL86" i="17" a="1"/>
  <c r="CL86" i="17" s="1"/>
  <c r="CB16" i="37" s="1"/>
  <c r="CB38" i="37" s="1"/>
  <c r="CT85" i="17" a="1"/>
  <c r="CT85" i="17" s="1"/>
  <c r="CJ15" i="37" s="1"/>
  <c r="CJ37" i="37" s="1"/>
  <c r="AK85" i="17" a="1"/>
  <c r="AK85" i="17" s="1"/>
  <c r="AA15" i="37" s="1"/>
  <c r="AA37" i="37" s="1"/>
  <c r="BQ85" i="17" a="1"/>
  <c r="BQ85" i="17" s="1"/>
  <c r="BG15" i="37" s="1"/>
  <c r="BG37" i="37" s="1"/>
  <c r="AR86" i="17" a="1"/>
  <c r="AR86" i="17" s="1"/>
  <c r="AH16" i="37" s="1"/>
  <c r="AH38" i="37" s="1"/>
  <c r="CW86" i="17" a="1"/>
  <c r="CW86" i="17" s="1"/>
  <c r="CM16" i="37" s="1"/>
  <c r="CM38" i="37" s="1"/>
  <c r="CX85" i="17" a="1"/>
  <c r="CX85" i="17" s="1"/>
  <c r="CN15" i="37" s="1"/>
  <c r="CN37" i="37" s="1"/>
  <c r="BY85" i="17" a="1"/>
  <c r="BY85" i="17" s="1"/>
  <c r="BO15" i="37" s="1"/>
  <c r="BO37" i="37" s="1"/>
  <c r="BW86" i="17" a="1"/>
  <c r="BW86" i="17" s="1"/>
  <c r="BM16" i="37" s="1"/>
  <c r="BM38" i="37" s="1"/>
  <c r="CF85" i="17" a="1"/>
  <c r="CF85" i="17" s="1"/>
  <c r="BV15" i="37" s="1"/>
  <c r="BV37" i="37" s="1"/>
  <c r="CY86" i="17" a="1"/>
  <c r="CY86" i="17" s="1"/>
  <c r="CO16" i="37" s="1"/>
  <c r="CO38" i="37" s="1"/>
  <c r="DH85" i="17" a="1"/>
  <c r="DH85" i="17" s="1"/>
  <c r="CX15" i="37" s="1"/>
  <c r="CX37" i="37" s="1"/>
  <c r="DF86" i="17" a="1"/>
  <c r="DF86" i="17" s="1"/>
  <c r="CV16" i="37" s="1"/>
  <c r="CV38" i="37" s="1"/>
  <c r="CS86" i="17" a="1"/>
  <c r="CS86" i="17" s="1"/>
  <c r="CI16" i="37" s="1"/>
  <c r="CI38" i="37" s="1"/>
  <c r="DG85" i="17" a="1"/>
  <c r="DG85" i="17" s="1"/>
  <c r="CW15" i="37" s="1"/>
  <c r="CW37" i="37" s="1"/>
  <c r="CT86" i="17" a="1"/>
  <c r="CT86" i="17" s="1"/>
  <c r="CJ16" i="37" s="1"/>
  <c r="CJ38" i="37" s="1"/>
  <c r="BE86" i="17" a="1"/>
  <c r="BE86" i="17" s="1"/>
  <c r="AU16" i="37" s="1"/>
  <c r="AU38" i="37" s="1"/>
  <c r="CV85" i="17" a="1"/>
  <c r="CV85" i="17" s="1"/>
  <c r="CL15" i="37" s="1"/>
  <c r="CL37" i="37" s="1"/>
  <c r="BP85" i="17" a="1"/>
  <c r="BP85" i="17" s="1"/>
  <c r="BF15" i="37" s="1"/>
  <c r="BF37" i="37" s="1"/>
  <c r="DD86" i="17" a="1"/>
  <c r="DD86" i="17" s="1"/>
  <c r="CT16" i="37" s="1"/>
  <c r="CT38" i="37" s="1"/>
  <c r="DK85" i="17" a="1"/>
  <c r="DK85" i="17" s="1"/>
  <c r="DA15" i="37" s="1"/>
  <c r="DA37" i="37" s="1"/>
  <c r="CR85" i="17" a="1"/>
  <c r="CR85" i="17" s="1"/>
  <c r="CH15" i="37" s="1"/>
  <c r="CH37" i="37" s="1"/>
  <c r="CD86" i="17" a="1"/>
  <c r="CD86" i="17" s="1"/>
  <c r="BT16" i="37" s="1"/>
  <c r="BT38" i="37" s="1"/>
  <c r="CL85" i="17" a="1"/>
  <c r="CL85" i="17" s="1"/>
  <c r="CB15" i="37" s="1"/>
  <c r="CB37" i="37" s="1"/>
  <c r="N85" i="17" a="1"/>
  <c r="N85" i="17" s="1"/>
  <c r="D15" i="37" s="1"/>
  <c r="D37" i="37" s="1"/>
  <c r="DD85" i="17" a="1"/>
  <c r="DD85" i="17" s="1"/>
  <c r="CT15" i="37" s="1"/>
  <c r="CT37" i="37" s="1"/>
  <c r="DM86" i="17" a="1"/>
  <c r="DM86" i="17" s="1"/>
  <c r="DC16" i="37" s="1"/>
  <c r="DC38" i="37" s="1"/>
  <c r="CZ86" i="17" a="1"/>
  <c r="CZ86" i="17" s="1"/>
  <c r="CP16" i="37" s="1"/>
  <c r="CP38" i="37" s="1"/>
  <c r="DN85" i="17" a="1"/>
  <c r="DN85" i="17" s="1"/>
  <c r="DD15" i="37" s="1"/>
  <c r="DD37" i="37" s="1"/>
  <c r="AS86" i="17" a="1"/>
  <c r="AS86" i="17" s="1"/>
  <c r="AI16" i="37" s="1"/>
  <c r="AI38" i="37" s="1"/>
  <c r="DK86" i="17" a="1"/>
  <c r="DK86" i="17" s="1"/>
  <c r="DA16" i="37" s="1"/>
  <c r="DA38" i="37" s="1"/>
  <c r="DQ85" i="17" a="1"/>
  <c r="DQ85" i="17" s="1"/>
  <c r="DG15" i="37" s="1"/>
  <c r="DG37" i="37" s="1"/>
  <c r="DE85" i="17" a="1"/>
  <c r="DE85" i="17" s="1"/>
  <c r="CU15" i="37" s="1"/>
  <c r="CU37" i="37" s="1"/>
  <c r="CX86" i="17" a="1"/>
  <c r="CX86" i="17" s="1"/>
  <c r="CN16" i="37" s="1"/>
  <c r="CN38" i="37" s="1"/>
  <c r="CY85" i="17" a="1"/>
  <c r="CY85" i="17" s="1"/>
  <c r="CO15" i="37" s="1"/>
  <c r="CO37" i="37" s="1"/>
  <c r="AA85" i="17" a="1"/>
  <c r="AA85" i="17" s="1"/>
  <c r="Q15" i="37" s="1"/>
  <c r="Q37" i="37" s="1"/>
  <c r="N86" i="17" a="1"/>
  <c r="N86" i="17" s="1"/>
  <c r="D16" i="37" s="1"/>
  <c r="D38" i="37" s="1"/>
  <c r="U85" i="17" a="1"/>
  <c r="U85" i="17" s="1"/>
  <c r="K15" i="37" s="1"/>
  <c r="K37" i="37" s="1"/>
  <c r="DG86" i="17" a="1"/>
  <c r="DG86" i="17" s="1"/>
  <c r="CW16" i="37" s="1"/>
  <c r="CW38" i="37" s="1"/>
  <c r="CI85" i="17" a="1"/>
  <c r="CI85" i="17" s="1"/>
  <c r="BY15" i="37" s="1"/>
  <c r="BY37" i="37" s="1"/>
  <c r="V85" i="17" a="1"/>
  <c r="V85" i="17" s="1"/>
  <c r="L15" i="37" s="1"/>
  <c r="L37" i="37" s="1"/>
  <c r="BS86" i="17" a="1"/>
  <c r="BS86" i="17" s="1"/>
  <c r="BI16" i="37" s="1"/>
  <c r="BI38" i="37" s="1"/>
  <c r="AZ86" i="17" a="1"/>
  <c r="AZ86" i="17" s="1"/>
  <c r="AP16" i="37" s="1"/>
  <c r="AP38" i="37" s="1"/>
  <c r="DR86" i="17" a="1"/>
  <c r="DR86" i="17" s="1"/>
  <c r="DH16" i="37" s="1"/>
  <c r="DH38" i="37" s="1"/>
  <c r="AG86" i="17" a="1"/>
  <c r="AG86" i="17" s="1"/>
  <c r="W16" i="37" s="1"/>
  <c r="W38" i="37" s="1"/>
  <c r="DL85" i="17" a="1"/>
  <c r="DL85" i="17" s="1"/>
  <c r="DB15" i="37" s="1"/>
  <c r="DB37" i="37" s="1"/>
  <c r="DE86" i="17" a="1"/>
  <c r="DE86" i="17" s="1"/>
  <c r="CU16" i="37" s="1"/>
  <c r="CU38" i="37" s="1"/>
  <c r="DR85" i="17" a="1"/>
  <c r="DR85" i="17" s="1"/>
  <c r="DH15" i="37" s="1"/>
  <c r="DH37" i="37" s="1"/>
  <c r="AG85" i="17" a="1"/>
  <c r="AG85" i="17" s="1"/>
  <c r="W15" i="37" s="1"/>
  <c r="W37" i="37" s="1"/>
  <c r="U86" i="17" a="1"/>
  <c r="U86" i="17" s="1"/>
  <c r="K16" i="37" s="1"/>
  <c r="K38" i="37" s="1"/>
  <c r="AN85" i="17" a="1"/>
  <c r="AN85" i="17" s="1"/>
  <c r="AD15" i="37" s="1"/>
  <c r="AD37" i="37" s="1"/>
  <c r="O85" i="17" a="1"/>
  <c r="O85" i="17" s="1"/>
  <c r="E15" i="37" s="1"/>
  <c r="E37" i="37" s="1"/>
  <c r="V86" i="17" a="1"/>
  <c r="V86" i="17" s="1"/>
  <c r="L16" i="37" s="1"/>
  <c r="L38" i="37" s="1"/>
  <c r="AW85" i="17" a="1"/>
  <c r="AW85" i="17" s="1"/>
  <c r="AM15" i="37" s="1"/>
  <c r="AM37" i="37" s="1"/>
  <c r="DR120" i="37"/>
  <c r="DR119" i="37"/>
  <c r="C71" i="16"/>
  <c r="DR116" i="37"/>
  <c r="C351" i="5"/>
  <c r="C68" i="16"/>
  <c r="C64" i="16"/>
  <c r="DR123" i="37"/>
  <c r="C74" i="16"/>
  <c r="DR121" i="37"/>
  <c r="C59" i="16"/>
  <c r="C73" i="16"/>
  <c r="M105" i="37"/>
  <c r="DB115" i="37"/>
  <c r="DB132" i="37" s="1"/>
  <c r="DB150" i="37" s="1"/>
  <c r="DN115" i="37"/>
  <c r="DN132" i="37" s="1"/>
  <c r="DN150" i="37" s="1"/>
  <c r="DA114" i="37"/>
  <c r="DA131" i="37" s="1"/>
  <c r="DA149" i="37" s="1"/>
  <c r="DM114" i="37"/>
  <c r="DM131" i="37" s="1"/>
  <c r="DM149" i="37" s="1"/>
  <c r="CZ113" i="37"/>
  <c r="CZ130" i="37" s="1"/>
  <c r="CZ148" i="37" s="1"/>
  <c r="DL113" i="37"/>
  <c r="DL130" i="37" s="1"/>
  <c r="DL148" i="37" s="1"/>
  <c r="CY112" i="37"/>
  <c r="CY129" i="37" s="1"/>
  <c r="CY147" i="37" s="1"/>
  <c r="DK112" i="37"/>
  <c r="DK129" i="37" s="1"/>
  <c r="DK147" i="37" s="1"/>
  <c r="CX111" i="37"/>
  <c r="CX128" i="37" s="1"/>
  <c r="CX146" i="37" s="1"/>
  <c r="DJ111" i="37"/>
  <c r="DJ128" i="37" s="1"/>
  <c r="DJ146" i="37" s="1"/>
  <c r="CW110" i="37"/>
  <c r="CW127" i="37" s="1"/>
  <c r="CW145" i="37" s="1"/>
  <c r="DI110" i="37"/>
  <c r="DI127" i="37" s="1"/>
  <c r="DI145" i="37" s="1"/>
  <c r="CV109" i="37"/>
  <c r="CV126" i="37" s="1"/>
  <c r="CV144" i="37" s="1"/>
  <c r="DH109" i="37"/>
  <c r="DH126" i="37" s="1"/>
  <c r="DH144" i="37" s="1"/>
  <c r="CU108" i="37"/>
  <c r="CU125" i="37" s="1"/>
  <c r="CU143" i="37" s="1"/>
  <c r="DG108" i="37"/>
  <c r="DG125" i="37" s="1"/>
  <c r="DG143" i="37" s="1"/>
  <c r="CT107" i="37"/>
  <c r="CT124" i="37" s="1"/>
  <c r="CT142" i="37" s="1"/>
  <c r="DF107" i="37"/>
  <c r="DF124" i="37" s="1"/>
  <c r="DF142" i="37" s="1"/>
  <c r="DR107" i="37"/>
  <c r="Y134" i="37"/>
  <c r="Y152" i="37" s="1"/>
  <c r="AK134" i="37"/>
  <c r="AK152" i="37" s="1"/>
  <c r="AW134" i="37"/>
  <c r="AW152" i="37" s="1"/>
  <c r="BI134" i="37"/>
  <c r="BI152" i="37" s="1"/>
  <c r="BU134" i="37"/>
  <c r="BU152" i="37" s="1"/>
  <c r="CG134" i="37"/>
  <c r="CG152" i="37" s="1"/>
  <c r="CS134" i="37"/>
  <c r="CS152" i="37" s="1"/>
  <c r="DE134" i="37"/>
  <c r="DE152" i="37" s="1"/>
  <c r="DQ134" i="37"/>
  <c r="DQ152" i="37" s="1"/>
  <c r="W133" i="37"/>
  <c r="W151" i="37" s="1"/>
  <c r="AI133" i="37"/>
  <c r="AI151" i="37" s="1"/>
  <c r="AU133" i="37"/>
  <c r="AU151" i="37" s="1"/>
  <c r="BG133" i="37"/>
  <c r="BG151" i="37" s="1"/>
  <c r="BS133" i="37"/>
  <c r="BS151" i="37" s="1"/>
  <c r="CE133" i="37"/>
  <c r="CE151" i="37" s="1"/>
  <c r="CQ133" i="37"/>
  <c r="CQ151" i="37" s="1"/>
  <c r="DC133" i="37"/>
  <c r="DC151" i="37" s="1"/>
  <c r="DO133" i="37"/>
  <c r="DO151" i="37" s="1"/>
  <c r="DC115" i="37"/>
  <c r="DC132" i="37" s="1"/>
  <c r="DC150" i="37" s="1"/>
  <c r="DO115" i="37"/>
  <c r="DO132" i="37" s="1"/>
  <c r="DO150" i="37" s="1"/>
  <c r="DB114" i="37"/>
  <c r="DB131" i="37" s="1"/>
  <c r="DB149" i="37" s="1"/>
  <c r="DN114" i="37"/>
  <c r="DN131" i="37" s="1"/>
  <c r="DN149" i="37" s="1"/>
  <c r="DA113" i="37"/>
  <c r="DA130" i="37" s="1"/>
  <c r="DA148" i="37" s="1"/>
  <c r="DM113" i="37"/>
  <c r="DM130" i="37" s="1"/>
  <c r="DM148" i="37" s="1"/>
  <c r="CZ112" i="37"/>
  <c r="CZ129" i="37" s="1"/>
  <c r="CZ147" i="37" s="1"/>
  <c r="DL112" i="37"/>
  <c r="DL129" i="37" s="1"/>
  <c r="DL147" i="37" s="1"/>
  <c r="CY111" i="37"/>
  <c r="CY128" i="37" s="1"/>
  <c r="CY146" i="37" s="1"/>
  <c r="DK111" i="37"/>
  <c r="DK128" i="37" s="1"/>
  <c r="DK146" i="37" s="1"/>
  <c r="CX110" i="37"/>
  <c r="CX127" i="37" s="1"/>
  <c r="CX145" i="37" s="1"/>
  <c r="DJ110" i="37"/>
  <c r="DJ127" i="37" s="1"/>
  <c r="DJ145" i="37" s="1"/>
  <c r="CW109" i="37"/>
  <c r="CW126" i="37" s="1"/>
  <c r="CW144" i="37" s="1"/>
  <c r="DI109" i="37"/>
  <c r="DI126" i="37" s="1"/>
  <c r="DI144" i="37" s="1"/>
  <c r="CV108" i="37"/>
  <c r="CV125" i="37" s="1"/>
  <c r="CV143" i="37" s="1"/>
  <c r="DH108" i="37"/>
  <c r="DH125" i="37" s="1"/>
  <c r="DH143" i="37" s="1"/>
  <c r="CU107" i="37"/>
  <c r="CU124" i="37" s="1"/>
  <c r="CU142" i="37" s="1"/>
  <c r="DG107" i="37"/>
  <c r="DG124" i="37" s="1"/>
  <c r="DG142" i="37" s="1"/>
  <c r="N134" i="37"/>
  <c r="N152" i="37" s="1"/>
  <c r="Z134" i="37"/>
  <c r="Z152" i="37" s="1"/>
  <c r="AL134" i="37"/>
  <c r="AL152" i="37" s="1"/>
  <c r="AX134" i="37"/>
  <c r="AX152" i="37" s="1"/>
  <c r="BJ134" i="37"/>
  <c r="BJ152" i="37" s="1"/>
  <c r="BV134" i="37"/>
  <c r="BV152" i="37" s="1"/>
  <c r="CH134" i="37"/>
  <c r="CH152" i="37" s="1"/>
  <c r="CT134" i="37"/>
  <c r="CT152" i="37" s="1"/>
  <c r="DF134" i="37"/>
  <c r="DF152" i="37" s="1"/>
  <c r="DR134" i="37"/>
  <c r="DR152" i="37" s="1"/>
  <c r="X133" i="37"/>
  <c r="X151" i="37" s="1"/>
  <c r="AJ133" i="37"/>
  <c r="AJ151" i="37" s="1"/>
  <c r="AV133" i="37"/>
  <c r="AV151" i="37" s="1"/>
  <c r="BH133" i="37"/>
  <c r="BH151" i="37" s="1"/>
  <c r="BT133" i="37"/>
  <c r="BT151" i="37" s="1"/>
  <c r="CF133" i="37"/>
  <c r="CF151" i="37" s="1"/>
  <c r="CR133" i="37"/>
  <c r="CR151" i="37" s="1"/>
  <c r="DD133" i="37"/>
  <c r="DD151" i="37" s="1"/>
  <c r="DP133" i="37"/>
  <c r="DP151" i="37" s="1"/>
  <c r="DD115" i="37"/>
  <c r="DD132" i="37" s="1"/>
  <c r="DD150" i="37" s="1"/>
  <c r="DP115" i="37"/>
  <c r="DP132" i="37" s="1"/>
  <c r="DP150" i="37" s="1"/>
  <c r="DC114" i="37"/>
  <c r="DC131" i="37" s="1"/>
  <c r="DC149" i="37" s="1"/>
  <c r="DO114" i="37"/>
  <c r="DO131" i="37" s="1"/>
  <c r="DO149" i="37" s="1"/>
  <c r="DB113" i="37"/>
  <c r="DB130" i="37" s="1"/>
  <c r="DB148" i="37" s="1"/>
  <c r="DN113" i="37"/>
  <c r="DN130" i="37" s="1"/>
  <c r="DN148" i="37" s="1"/>
  <c r="DA112" i="37"/>
  <c r="DA129" i="37" s="1"/>
  <c r="DA147" i="37" s="1"/>
  <c r="DM112" i="37"/>
  <c r="DM129" i="37" s="1"/>
  <c r="DM147" i="37" s="1"/>
  <c r="CZ111" i="37"/>
  <c r="CZ128" i="37" s="1"/>
  <c r="CZ146" i="37" s="1"/>
  <c r="DL111" i="37"/>
  <c r="DL128" i="37" s="1"/>
  <c r="DL146" i="37" s="1"/>
  <c r="CY110" i="37"/>
  <c r="CY127" i="37" s="1"/>
  <c r="CY145" i="37" s="1"/>
  <c r="DK110" i="37"/>
  <c r="DK127" i="37" s="1"/>
  <c r="DK145" i="37" s="1"/>
  <c r="CX109" i="37"/>
  <c r="CX126" i="37" s="1"/>
  <c r="CX144" i="37" s="1"/>
  <c r="DJ109" i="37"/>
  <c r="DJ126" i="37" s="1"/>
  <c r="DJ144" i="37" s="1"/>
  <c r="CW108" i="37"/>
  <c r="CW125" i="37" s="1"/>
  <c r="CW143" i="37" s="1"/>
  <c r="DI108" i="37"/>
  <c r="DI125" i="37" s="1"/>
  <c r="DI143" i="37" s="1"/>
  <c r="CV107" i="37"/>
  <c r="CV124" i="37" s="1"/>
  <c r="CV142" i="37" s="1"/>
  <c r="DH107" i="37"/>
  <c r="DH124" i="37" s="1"/>
  <c r="DH142" i="37" s="1"/>
  <c r="O134" i="37"/>
  <c r="O152" i="37" s="1"/>
  <c r="AA134" i="37"/>
  <c r="AA152" i="37" s="1"/>
  <c r="AM134" i="37"/>
  <c r="AM152" i="37" s="1"/>
  <c r="AY134" i="37"/>
  <c r="AY152" i="37" s="1"/>
  <c r="BK134" i="37"/>
  <c r="BK152" i="37" s="1"/>
  <c r="BW134" i="37"/>
  <c r="BW152" i="37" s="1"/>
  <c r="CI134" i="37"/>
  <c r="CI152" i="37" s="1"/>
  <c r="CU134" i="37"/>
  <c r="CU152" i="37" s="1"/>
  <c r="DG134" i="37"/>
  <c r="DG152" i="37" s="1"/>
  <c r="Y133" i="37"/>
  <c r="Y151" i="37" s="1"/>
  <c r="AK133" i="37"/>
  <c r="AK151" i="37" s="1"/>
  <c r="AW133" i="37"/>
  <c r="AW151" i="37" s="1"/>
  <c r="BI133" i="37"/>
  <c r="BI151" i="37" s="1"/>
  <c r="BU133" i="37"/>
  <c r="BU151" i="37" s="1"/>
  <c r="CG133" i="37"/>
  <c r="CG151" i="37" s="1"/>
  <c r="CS133" i="37"/>
  <c r="CS151" i="37" s="1"/>
  <c r="DE133" i="37"/>
  <c r="DE151" i="37" s="1"/>
  <c r="DQ133" i="37"/>
  <c r="DQ151" i="37" s="1"/>
  <c r="DE115" i="37"/>
  <c r="DE132" i="37" s="1"/>
  <c r="DE150" i="37" s="1"/>
  <c r="DQ115" i="37"/>
  <c r="DQ132" i="37" s="1"/>
  <c r="DQ150" i="37" s="1"/>
  <c r="DD114" i="37"/>
  <c r="DD131" i="37" s="1"/>
  <c r="DD149" i="37" s="1"/>
  <c r="DP114" i="37"/>
  <c r="DP131" i="37" s="1"/>
  <c r="DP149" i="37" s="1"/>
  <c r="DC113" i="37"/>
  <c r="DC130" i="37" s="1"/>
  <c r="DC148" i="37" s="1"/>
  <c r="DO113" i="37"/>
  <c r="DO130" i="37" s="1"/>
  <c r="DO148" i="37" s="1"/>
  <c r="DB112" i="37"/>
  <c r="DB129" i="37" s="1"/>
  <c r="DB147" i="37" s="1"/>
  <c r="DN112" i="37"/>
  <c r="DN129" i="37" s="1"/>
  <c r="DN147" i="37" s="1"/>
  <c r="DA111" i="37"/>
  <c r="DA128" i="37" s="1"/>
  <c r="DA146" i="37" s="1"/>
  <c r="DM111" i="37"/>
  <c r="DM128" i="37" s="1"/>
  <c r="DM146" i="37" s="1"/>
  <c r="CZ110" i="37"/>
  <c r="CZ127" i="37" s="1"/>
  <c r="CZ145" i="37" s="1"/>
  <c r="DL110" i="37"/>
  <c r="DL127" i="37" s="1"/>
  <c r="DL145" i="37" s="1"/>
  <c r="CY109" i="37"/>
  <c r="CY126" i="37" s="1"/>
  <c r="CY144" i="37" s="1"/>
  <c r="DK109" i="37"/>
  <c r="DK126" i="37" s="1"/>
  <c r="DK144" i="37" s="1"/>
  <c r="CX108" i="37"/>
  <c r="CX125" i="37" s="1"/>
  <c r="CX143" i="37" s="1"/>
  <c r="DJ108" i="37"/>
  <c r="DJ125" i="37" s="1"/>
  <c r="DJ143" i="37" s="1"/>
  <c r="CW107" i="37"/>
  <c r="CW124" i="37" s="1"/>
  <c r="CW142" i="37" s="1"/>
  <c r="DI107" i="37"/>
  <c r="DI124" i="37" s="1"/>
  <c r="DI142" i="37" s="1"/>
  <c r="P134" i="37"/>
  <c r="P152" i="37" s="1"/>
  <c r="AB134" i="37"/>
  <c r="AB152" i="37" s="1"/>
  <c r="AN134" i="37"/>
  <c r="AN152" i="37" s="1"/>
  <c r="AZ134" i="37"/>
  <c r="AZ152" i="37" s="1"/>
  <c r="BL134" i="37"/>
  <c r="BL152" i="37" s="1"/>
  <c r="BX134" i="37"/>
  <c r="BX152" i="37" s="1"/>
  <c r="CJ134" i="37"/>
  <c r="CJ152" i="37" s="1"/>
  <c r="CV134" i="37"/>
  <c r="CV152" i="37" s="1"/>
  <c r="DH134" i="37"/>
  <c r="DH152" i="37" s="1"/>
  <c r="N133" i="37"/>
  <c r="N151" i="37" s="1"/>
  <c r="Z133" i="37"/>
  <c r="Z151" i="37" s="1"/>
  <c r="AL133" i="37"/>
  <c r="AL151" i="37" s="1"/>
  <c r="AX133" i="37"/>
  <c r="AX151" i="37" s="1"/>
  <c r="BJ133" i="37"/>
  <c r="BJ151" i="37" s="1"/>
  <c r="BV133" i="37"/>
  <c r="BV151" i="37" s="1"/>
  <c r="CH133" i="37"/>
  <c r="CH151" i="37" s="1"/>
  <c r="CT133" i="37"/>
  <c r="CT151" i="37" s="1"/>
  <c r="DF133" i="37"/>
  <c r="DF151" i="37" s="1"/>
  <c r="DR133" i="37"/>
  <c r="DR151" i="37" s="1"/>
  <c r="CT115" i="37"/>
  <c r="CT132" i="37" s="1"/>
  <c r="CT150" i="37" s="1"/>
  <c r="DF115" i="37"/>
  <c r="DF132" i="37" s="1"/>
  <c r="DF150" i="37" s="1"/>
  <c r="DR115" i="37"/>
  <c r="DR132" i="37" s="1"/>
  <c r="DR150" i="37" s="1"/>
  <c r="DE114" i="37"/>
  <c r="DE131" i="37" s="1"/>
  <c r="DE149" i="37" s="1"/>
  <c r="DQ114" i="37"/>
  <c r="DQ131" i="37" s="1"/>
  <c r="DQ149" i="37" s="1"/>
  <c r="DD113" i="37"/>
  <c r="DD130" i="37" s="1"/>
  <c r="DD148" i="37" s="1"/>
  <c r="DP113" i="37"/>
  <c r="DP130" i="37" s="1"/>
  <c r="DP148" i="37" s="1"/>
  <c r="DC112" i="37"/>
  <c r="DC129" i="37" s="1"/>
  <c r="DC147" i="37" s="1"/>
  <c r="DO112" i="37"/>
  <c r="DO129" i="37" s="1"/>
  <c r="DO147" i="37" s="1"/>
  <c r="DB111" i="37"/>
  <c r="DB128" i="37" s="1"/>
  <c r="DB146" i="37" s="1"/>
  <c r="DN111" i="37"/>
  <c r="DN128" i="37" s="1"/>
  <c r="DN146" i="37" s="1"/>
  <c r="DA110" i="37"/>
  <c r="DA127" i="37" s="1"/>
  <c r="DA145" i="37" s="1"/>
  <c r="DM110" i="37"/>
  <c r="DM127" i="37" s="1"/>
  <c r="DM145" i="37" s="1"/>
  <c r="CZ109" i="37"/>
  <c r="CZ126" i="37" s="1"/>
  <c r="CZ144" i="37" s="1"/>
  <c r="DL109" i="37"/>
  <c r="DL126" i="37" s="1"/>
  <c r="DL144" i="37" s="1"/>
  <c r="CY108" i="37"/>
  <c r="CY125" i="37" s="1"/>
  <c r="CY143" i="37" s="1"/>
  <c r="DK108" i="37"/>
  <c r="DK125" i="37" s="1"/>
  <c r="DK143" i="37" s="1"/>
  <c r="CX107" i="37"/>
  <c r="CX124" i="37" s="1"/>
  <c r="CX142" i="37" s="1"/>
  <c r="DJ107" i="37"/>
  <c r="DJ124" i="37" s="1"/>
  <c r="DJ142" i="37" s="1"/>
  <c r="Q134" i="37"/>
  <c r="Q152" i="37" s="1"/>
  <c r="AC134" i="37"/>
  <c r="AC152" i="37" s="1"/>
  <c r="AO134" i="37"/>
  <c r="AO152" i="37" s="1"/>
  <c r="BA134" i="37"/>
  <c r="BA152" i="37" s="1"/>
  <c r="BM134" i="37"/>
  <c r="BM152" i="37" s="1"/>
  <c r="BY134" i="37"/>
  <c r="BY152" i="37" s="1"/>
  <c r="CK134" i="37"/>
  <c r="CK152" i="37" s="1"/>
  <c r="CW134" i="37"/>
  <c r="CW152" i="37" s="1"/>
  <c r="DI134" i="37"/>
  <c r="DI152" i="37" s="1"/>
  <c r="O133" i="37"/>
  <c r="O151" i="37" s="1"/>
  <c r="AA133" i="37"/>
  <c r="AA151" i="37" s="1"/>
  <c r="AM133" i="37"/>
  <c r="AM151" i="37" s="1"/>
  <c r="AY133" i="37"/>
  <c r="AY151" i="37" s="1"/>
  <c r="BK133" i="37"/>
  <c r="BK151" i="37" s="1"/>
  <c r="BW133" i="37"/>
  <c r="BW151" i="37" s="1"/>
  <c r="CI133" i="37"/>
  <c r="CI151" i="37" s="1"/>
  <c r="CU133" i="37"/>
  <c r="CU151" i="37" s="1"/>
  <c r="DG133" i="37"/>
  <c r="DG151" i="37" s="1"/>
  <c r="CU115" i="37"/>
  <c r="CU132" i="37" s="1"/>
  <c r="CU150" i="37" s="1"/>
  <c r="DG115" i="37"/>
  <c r="DG132" i="37" s="1"/>
  <c r="DG150" i="37" s="1"/>
  <c r="CT114" i="37"/>
  <c r="CT131" i="37" s="1"/>
  <c r="CT149" i="37" s="1"/>
  <c r="DF114" i="37"/>
  <c r="DF131" i="37" s="1"/>
  <c r="DF149" i="37" s="1"/>
  <c r="DR114" i="37"/>
  <c r="DE113" i="37"/>
  <c r="DE130" i="37" s="1"/>
  <c r="DE148" i="37" s="1"/>
  <c r="DQ113" i="37"/>
  <c r="DQ130" i="37" s="1"/>
  <c r="DQ148" i="37" s="1"/>
  <c r="DD112" i="37"/>
  <c r="DD129" i="37" s="1"/>
  <c r="DD147" i="37" s="1"/>
  <c r="DP112" i="37"/>
  <c r="DP129" i="37" s="1"/>
  <c r="DP147" i="37" s="1"/>
  <c r="DC111" i="37"/>
  <c r="DC128" i="37" s="1"/>
  <c r="DC146" i="37" s="1"/>
  <c r="DO111" i="37"/>
  <c r="DO128" i="37" s="1"/>
  <c r="DO146" i="37" s="1"/>
  <c r="DB110" i="37"/>
  <c r="DB127" i="37" s="1"/>
  <c r="DB145" i="37" s="1"/>
  <c r="DN110" i="37"/>
  <c r="DN127" i="37" s="1"/>
  <c r="DN145" i="37" s="1"/>
  <c r="DA109" i="37"/>
  <c r="DA126" i="37" s="1"/>
  <c r="DA144" i="37" s="1"/>
  <c r="DM109" i="37"/>
  <c r="DM126" i="37" s="1"/>
  <c r="DM144" i="37" s="1"/>
  <c r="CZ108" i="37"/>
  <c r="CZ125" i="37" s="1"/>
  <c r="CZ143" i="37" s="1"/>
  <c r="DL108" i="37"/>
  <c r="DL125" i="37" s="1"/>
  <c r="DL143" i="37" s="1"/>
  <c r="CY107" i="37"/>
  <c r="CY124" i="37" s="1"/>
  <c r="CY142" i="37" s="1"/>
  <c r="DK107" i="37"/>
  <c r="DK124" i="37" s="1"/>
  <c r="DK142" i="37" s="1"/>
  <c r="R134" i="37"/>
  <c r="R152" i="37" s="1"/>
  <c r="AD134" i="37"/>
  <c r="AD152" i="37" s="1"/>
  <c r="AP134" i="37"/>
  <c r="AP152" i="37" s="1"/>
  <c r="BB134" i="37"/>
  <c r="BB152" i="37" s="1"/>
  <c r="BN134" i="37"/>
  <c r="BN152" i="37" s="1"/>
  <c r="BZ134" i="37"/>
  <c r="BZ152" i="37" s="1"/>
  <c r="CL134" i="37"/>
  <c r="CL152" i="37" s="1"/>
  <c r="CX134" i="37"/>
  <c r="CX152" i="37" s="1"/>
  <c r="DJ134" i="37"/>
  <c r="DJ152" i="37" s="1"/>
  <c r="P133" i="37"/>
  <c r="P151" i="37" s="1"/>
  <c r="AB133" i="37"/>
  <c r="AB151" i="37" s="1"/>
  <c r="AN133" i="37"/>
  <c r="AN151" i="37" s="1"/>
  <c r="AZ133" i="37"/>
  <c r="AZ151" i="37" s="1"/>
  <c r="BL133" i="37"/>
  <c r="BL151" i="37" s="1"/>
  <c r="BX133" i="37"/>
  <c r="BX151" i="37" s="1"/>
  <c r="CJ133" i="37"/>
  <c r="CJ151" i="37" s="1"/>
  <c r="CV133" i="37"/>
  <c r="CV151" i="37" s="1"/>
  <c r="DH133" i="37"/>
  <c r="DH151" i="37" s="1"/>
  <c r="CV115" i="37"/>
  <c r="CV132" i="37" s="1"/>
  <c r="CV150" i="37" s="1"/>
  <c r="DH115" i="37"/>
  <c r="DH132" i="37" s="1"/>
  <c r="DH150" i="37" s="1"/>
  <c r="CU114" i="37"/>
  <c r="CU131" i="37" s="1"/>
  <c r="CU149" i="37" s="1"/>
  <c r="DG114" i="37"/>
  <c r="DG131" i="37" s="1"/>
  <c r="DG149" i="37" s="1"/>
  <c r="CT113" i="37"/>
  <c r="CT130" i="37" s="1"/>
  <c r="CT148" i="37" s="1"/>
  <c r="DF113" i="37"/>
  <c r="DF130" i="37" s="1"/>
  <c r="DF148" i="37" s="1"/>
  <c r="DR113" i="37"/>
  <c r="DR130" i="37" s="1"/>
  <c r="DR148" i="37" s="1"/>
  <c r="DE112" i="37"/>
  <c r="DE129" i="37" s="1"/>
  <c r="DE147" i="37" s="1"/>
  <c r="DQ112" i="37"/>
  <c r="DQ129" i="37" s="1"/>
  <c r="DQ147" i="37" s="1"/>
  <c r="DD111" i="37"/>
  <c r="DD128" i="37" s="1"/>
  <c r="DD146" i="37" s="1"/>
  <c r="DP111" i="37"/>
  <c r="DP128" i="37" s="1"/>
  <c r="DP146" i="37" s="1"/>
  <c r="DC110" i="37"/>
  <c r="DC127" i="37" s="1"/>
  <c r="DC145" i="37" s="1"/>
  <c r="DO110" i="37"/>
  <c r="DO127" i="37" s="1"/>
  <c r="DO145" i="37" s="1"/>
  <c r="DB109" i="37"/>
  <c r="DB126" i="37" s="1"/>
  <c r="DB144" i="37" s="1"/>
  <c r="DN109" i="37"/>
  <c r="DN126" i="37" s="1"/>
  <c r="DN144" i="37" s="1"/>
  <c r="DA108" i="37"/>
  <c r="DA125" i="37" s="1"/>
  <c r="DA143" i="37" s="1"/>
  <c r="DM108" i="37"/>
  <c r="DM125" i="37" s="1"/>
  <c r="DM143" i="37" s="1"/>
  <c r="CZ107" i="37"/>
  <c r="CZ124" i="37" s="1"/>
  <c r="CZ142" i="37" s="1"/>
  <c r="DL107" i="37"/>
  <c r="DL124" i="37" s="1"/>
  <c r="DL142" i="37" s="1"/>
  <c r="S134" i="37"/>
  <c r="S152" i="37" s="1"/>
  <c r="AE134" i="37"/>
  <c r="AE152" i="37" s="1"/>
  <c r="AQ134" i="37"/>
  <c r="AQ152" i="37" s="1"/>
  <c r="BC134" i="37"/>
  <c r="BC152" i="37" s="1"/>
  <c r="BO134" i="37"/>
  <c r="BO152" i="37" s="1"/>
  <c r="CA134" i="37"/>
  <c r="CA152" i="37" s="1"/>
  <c r="CM134" i="37"/>
  <c r="CM152" i="37" s="1"/>
  <c r="CY134" i="37"/>
  <c r="CY152" i="37" s="1"/>
  <c r="DK134" i="37"/>
  <c r="DK152" i="37" s="1"/>
  <c r="Q133" i="37"/>
  <c r="Q151" i="37" s="1"/>
  <c r="AC133" i="37"/>
  <c r="AC151" i="37" s="1"/>
  <c r="AO133" i="37"/>
  <c r="AO151" i="37" s="1"/>
  <c r="BA133" i="37"/>
  <c r="BA151" i="37" s="1"/>
  <c r="BM133" i="37"/>
  <c r="BM151" i="37" s="1"/>
  <c r="BY133" i="37"/>
  <c r="BY151" i="37" s="1"/>
  <c r="CK133" i="37"/>
  <c r="CK151" i="37" s="1"/>
  <c r="CW133" i="37"/>
  <c r="CW151" i="37" s="1"/>
  <c r="DI133" i="37"/>
  <c r="DI151" i="37" s="1"/>
  <c r="CW115" i="37"/>
  <c r="CW132" i="37" s="1"/>
  <c r="CW150" i="37" s="1"/>
  <c r="DI115" i="37"/>
  <c r="DI132" i="37" s="1"/>
  <c r="DI150" i="37" s="1"/>
  <c r="CV114" i="37"/>
  <c r="CV131" i="37" s="1"/>
  <c r="CV149" i="37" s="1"/>
  <c r="DH114" i="37"/>
  <c r="DH131" i="37" s="1"/>
  <c r="DH149" i="37" s="1"/>
  <c r="CU113" i="37"/>
  <c r="CU130" i="37" s="1"/>
  <c r="CU148" i="37" s="1"/>
  <c r="DG113" i="37"/>
  <c r="DG130" i="37" s="1"/>
  <c r="DG148" i="37" s="1"/>
  <c r="CT112" i="37"/>
  <c r="CT129" i="37" s="1"/>
  <c r="CT147" i="37" s="1"/>
  <c r="DF112" i="37"/>
  <c r="DF129" i="37" s="1"/>
  <c r="DF147" i="37" s="1"/>
  <c r="DR112" i="37"/>
  <c r="DR129" i="37" s="1"/>
  <c r="DR147" i="37" s="1"/>
  <c r="DE111" i="37"/>
  <c r="DE128" i="37" s="1"/>
  <c r="DE146" i="37" s="1"/>
  <c r="DQ111" i="37"/>
  <c r="DQ128" i="37" s="1"/>
  <c r="DQ146" i="37" s="1"/>
  <c r="DD110" i="37"/>
  <c r="DD127" i="37" s="1"/>
  <c r="DD145" i="37" s="1"/>
  <c r="DP110" i="37"/>
  <c r="DP127" i="37" s="1"/>
  <c r="DP145" i="37" s="1"/>
  <c r="DC109" i="37"/>
  <c r="DC126" i="37" s="1"/>
  <c r="DC144" i="37" s="1"/>
  <c r="DO109" i="37"/>
  <c r="DO126" i="37" s="1"/>
  <c r="DO144" i="37" s="1"/>
  <c r="DB108" i="37"/>
  <c r="DB125" i="37" s="1"/>
  <c r="DB143" i="37" s="1"/>
  <c r="DN108" i="37"/>
  <c r="DN125" i="37" s="1"/>
  <c r="DN143" i="37" s="1"/>
  <c r="DA107" i="37"/>
  <c r="DA124" i="37" s="1"/>
  <c r="DA142" i="37" s="1"/>
  <c r="DM107" i="37"/>
  <c r="DM124" i="37" s="1"/>
  <c r="DM142" i="37" s="1"/>
  <c r="T134" i="37"/>
  <c r="T152" i="37" s="1"/>
  <c r="AF134" i="37"/>
  <c r="AF152" i="37" s="1"/>
  <c r="AR134" i="37"/>
  <c r="AR152" i="37" s="1"/>
  <c r="BD134" i="37"/>
  <c r="BD152" i="37" s="1"/>
  <c r="BP134" i="37"/>
  <c r="BP152" i="37" s="1"/>
  <c r="CB134" i="37"/>
  <c r="CB152" i="37" s="1"/>
  <c r="CN134" i="37"/>
  <c r="CN152" i="37" s="1"/>
  <c r="CZ134" i="37"/>
  <c r="CZ152" i="37" s="1"/>
  <c r="DL134" i="37"/>
  <c r="DL152" i="37" s="1"/>
  <c r="R133" i="37"/>
  <c r="R151" i="37" s="1"/>
  <c r="AD133" i="37"/>
  <c r="AD151" i="37" s="1"/>
  <c r="AP133" i="37"/>
  <c r="AP151" i="37" s="1"/>
  <c r="BB133" i="37"/>
  <c r="BB151" i="37" s="1"/>
  <c r="BN133" i="37"/>
  <c r="BN151" i="37" s="1"/>
  <c r="BZ133" i="37"/>
  <c r="BZ151" i="37" s="1"/>
  <c r="CL133" i="37"/>
  <c r="CL151" i="37" s="1"/>
  <c r="CX133" i="37"/>
  <c r="CX151" i="37" s="1"/>
  <c r="DJ133" i="37"/>
  <c r="DJ151" i="37" s="1"/>
  <c r="CX115" i="37"/>
  <c r="CX132" i="37" s="1"/>
  <c r="CX150" i="37" s="1"/>
  <c r="DJ115" i="37"/>
  <c r="DJ132" i="37" s="1"/>
  <c r="DJ150" i="37" s="1"/>
  <c r="CW114" i="37"/>
  <c r="CW131" i="37" s="1"/>
  <c r="CW149" i="37" s="1"/>
  <c r="DI114" i="37"/>
  <c r="DI131" i="37" s="1"/>
  <c r="DI149" i="37" s="1"/>
  <c r="CV113" i="37"/>
  <c r="CV130" i="37" s="1"/>
  <c r="CV148" i="37" s="1"/>
  <c r="DH113" i="37"/>
  <c r="DH130" i="37" s="1"/>
  <c r="DH148" i="37" s="1"/>
  <c r="CU112" i="37"/>
  <c r="CU129" i="37" s="1"/>
  <c r="CU147" i="37" s="1"/>
  <c r="DG112" i="37"/>
  <c r="DG129" i="37" s="1"/>
  <c r="DG147" i="37" s="1"/>
  <c r="CT111" i="37"/>
  <c r="CT128" i="37" s="1"/>
  <c r="CT146" i="37" s="1"/>
  <c r="DF111" i="37"/>
  <c r="DF128" i="37" s="1"/>
  <c r="DF146" i="37" s="1"/>
  <c r="DR111" i="37"/>
  <c r="DR128" i="37" s="1"/>
  <c r="DR146" i="37" s="1"/>
  <c r="DE110" i="37"/>
  <c r="DE127" i="37" s="1"/>
  <c r="DE145" i="37" s="1"/>
  <c r="DQ110" i="37"/>
  <c r="DQ127" i="37" s="1"/>
  <c r="DQ145" i="37" s="1"/>
  <c r="DD109" i="37"/>
  <c r="DD126" i="37" s="1"/>
  <c r="DD144" i="37" s="1"/>
  <c r="DP109" i="37"/>
  <c r="DP126" i="37" s="1"/>
  <c r="DP144" i="37" s="1"/>
  <c r="DC108" i="37"/>
  <c r="DC125" i="37" s="1"/>
  <c r="DC143" i="37" s="1"/>
  <c r="DO108" i="37"/>
  <c r="DO125" i="37" s="1"/>
  <c r="DO143" i="37" s="1"/>
  <c r="DB107" i="37"/>
  <c r="DB124" i="37" s="1"/>
  <c r="DB142" i="37" s="1"/>
  <c r="DN107" i="37"/>
  <c r="DN124" i="37" s="1"/>
  <c r="DN142" i="37" s="1"/>
  <c r="U134" i="37"/>
  <c r="U152" i="37" s="1"/>
  <c r="AG134" i="37"/>
  <c r="AG152" i="37" s="1"/>
  <c r="AS134" i="37"/>
  <c r="AS152" i="37" s="1"/>
  <c r="BE134" i="37"/>
  <c r="BE152" i="37" s="1"/>
  <c r="BQ134" i="37"/>
  <c r="BQ152" i="37" s="1"/>
  <c r="CC134" i="37"/>
  <c r="CC152" i="37" s="1"/>
  <c r="CO134" i="37"/>
  <c r="CO152" i="37" s="1"/>
  <c r="DA134" i="37"/>
  <c r="DA152" i="37" s="1"/>
  <c r="DM134" i="37"/>
  <c r="DM152" i="37" s="1"/>
  <c r="S133" i="37"/>
  <c r="S151" i="37" s="1"/>
  <c r="AE133" i="37"/>
  <c r="AE151" i="37" s="1"/>
  <c r="AQ133" i="37"/>
  <c r="AQ151" i="37" s="1"/>
  <c r="BC133" i="37"/>
  <c r="BC151" i="37" s="1"/>
  <c r="BO133" i="37"/>
  <c r="BO151" i="37" s="1"/>
  <c r="CA133" i="37"/>
  <c r="CA151" i="37" s="1"/>
  <c r="CM133" i="37"/>
  <c r="CM151" i="37" s="1"/>
  <c r="CY133" i="37"/>
  <c r="CY151" i="37" s="1"/>
  <c r="DK133" i="37"/>
  <c r="DK151" i="37" s="1"/>
  <c r="CY115" i="37"/>
  <c r="CY132" i="37" s="1"/>
  <c r="CY150" i="37" s="1"/>
  <c r="DK115" i="37"/>
  <c r="DK132" i="37" s="1"/>
  <c r="DK150" i="37" s="1"/>
  <c r="CX114" i="37"/>
  <c r="CX131" i="37" s="1"/>
  <c r="CX149" i="37" s="1"/>
  <c r="DJ114" i="37"/>
  <c r="DJ131" i="37" s="1"/>
  <c r="DJ149" i="37" s="1"/>
  <c r="CW113" i="37"/>
  <c r="CW130" i="37" s="1"/>
  <c r="CW148" i="37" s="1"/>
  <c r="DI113" i="37"/>
  <c r="DI130" i="37" s="1"/>
  <c r="DI148" i="37" s="1"/>
  <c r="CV112" i="37"/>
  <c r="CV129" i="37" s="1"/>
  <c r="CV147" i="37" s="1"/>
  <c r="DH112" i="37"/>
  <c r="DH129" i="37" s="1"/>
  <c r="DH147" i="37" s="1"/>
  <c r="CU111" i="37"/>
  <c r="CU128" i="37" s="1"/>
  <c r="CU146" i="37" s="1"/>
  <c r="DG111" i="37"/>
  <c r="DG128" i="37" s="1"/>
  <c r="DG146" i="37" s="1"/>
  <c r="CT110" i="37"/>
  <c r="CT127" i="37" s="1"/>
  <c r="CT145" i="37" s="1"/>
  <c r="DF110" i="37"/>
  <c r="DF127" i="37" s="1"/>
  <c r="DF145" i="37" s="1"/>
  <c r="DR110" i="37"/>
  <c r="DE109" i="37"/>
  <c r="DE126" i="37" s="1"/>
  <c r="DE144" i="37" s="1"/>
  <c r="DQ109" i="37"/>
  <c r="DQ126" i="37" s="1"/>
  <c r="DQ144" i="37" s="1"/>
  <c r="DD108" i="37"/>
  <c r="DD125" i="37" s="1"/>
  <c r="DD143" i="37" s="1"/>
  <c r="DP108" i="37"/>
  <c r="DP125" i="37" s="1"/>
  <c r="DP143" i="37" s="1"/>
  <c r="DC107" i="37"/>
  <c r="DC124" i="37" s="1"/>
  <c r="DC142" i="37" s="1"/>
  <c r="DO107" i="37"/>
  <c r="DO124" i="37" s="1"/>
  <c r="DO142" i="37" s="1"/>
  <c r="V134" i="37"/>
  <c r="V152" i="37" s="1"/>
  <c r="AH134" i="37"/>
  <c r="AH152" i="37" s="1"/>
  <c r="AT134" i="37"/>
  <c r="AT152" i="37" s="1"/>
  <c r="BF134" i="37"/>
  <c r="BF152" i="37" s="1"/>
  <c r="BR134" i="37"/>
  <c r="BR152" i="37" s="1"/>
  <c r="CD134" i="37"/>
  <c r="CD152" i="37" s="1"/>
  <c r="CP134" i="37"/>
  <c r="CP152" i="37" s="1"/>
  <c r="DB134" i="37"/>
  <c r="DB152" i="37" s="1"/>
  <c r="DN134" i="37"/>
  <c r="DN152" i="37" s="1"/>
  <c r="T133" i="37"/>
  <c r="T151" i="37" s="1"/>
  <c r="AF133" i="37"/>
  <c r="AF151" i="37" s="1"/>
  <c r="AR133" i="37"/>
  <c r="AR151" i="37" s="1"/>
  <c r="BD133" i="37"/>
  <c r="BD151" i="37" s="1"/>
  <c r="BP133" i="37"/>
  <c r="BP151" i="37" s="1"/>
  <c r="CB133" i="37"/>
  <c r="CB151" i="37" s="1"/>
  <c r="CN133" i="37"/>
  <c r="CN151" i="37" s="1"/>
  <c r="CZ133" i="37"/>
  <c r="CZ151" i="37" s="1"/>
  <c r="DL133" i="37"/>
  <c r="DL151" i="37" s="1"/>
  <c r="CZ115" i="37"/>
  <c r="CZ132" i="37" s="1"/>
  <c r="CZ150" i="37" s="1"/>
  <c r="DL115" i="37"/>
  <c r="DL132" i="37" s="1"/>
  <c r="DL150" i="37" s="1"/>
  <c r="CY114" i="37"/>
  <c r="CY131" i="37" s="1"/>
  <c r="CY149" i="37" s="1"/>
  <c r="DK114" i="37"/>
  <c r="DK131" i="37" s="1"/>
  <c r="DK149" i="37" s="1"/>
  <c r="CX113" i="37"/>
  <c r="CX130" i="37" s="1"/>
  <c r="CX148" i="37" s="1"/>
  <c r="DJ113" i="37"/>
  <c r="DJ130" i="37" s="1"/>
  <c r="DJ148" i="37" s="1"/>
  <c r="CW112" i="37"/>
  <c r="CW129" i="37" s="1"/>
  <c r="CW147" i="37" s="1"/>
  <c r="DI112" i="37"/>
  <c r="DI129" i="37" s="1"/>
  <c r="DI147" i="37" s="1"/>
  <c r="CV111" i="37"/>
  <c r="CV128" i="37" s="1"/>
  <c r="CV146" i="37" s="1"/>
  <c r="DH111" i="37"/>
  <c r="DH128" i="37" s="1"/>
  <c r="DH146" i="37" s="1"/>
  <c r="CU110" i="37"/>
  <c r="CU127" i="37" s="1"/>
  <c r="CU145" i="37" s="1"/>
  <c r="DG110" i="37"/>
  <c r="DG127" i="37" s="1"/>
  <c r="DG145" i="37" s="1"/>
  <c r="CT109" i="37"/>
  <c r="CT126" i="37" s="1"/>
  <c r="CT144" i="37" s="1"/>
  <c r="DF109" i="37"/>
  <c r="DF126" i="37" s="1"/>
  <c r="DF144" i="37" s="1"/>
  <c r="DR109" i="37"/>
  <c r="DE108" i="37"/>
  <c r="DE125" i="37" s="1"/>
  <c r="DE143" i="37" s="1"/>
  <c r="DQ108" i="37"/>
  <c r="DQ125" i="37" s="1"/>
  <c r="DQ143" i="37" s="1"/>
  <c r="DD107" i="37"/>
  <c r="DD124" i="37" s="1"/>
  <c r="DD142" i="37" s="1"/>
  <c r="DP107" i="37"/>
  <c r="DP124" i="37" s="1"/>
  <c r="DP142" i="37" s="1"/>
  <c r="W134" i="37"/>
  <c r="W152" i="37" s="1"/>
  <c r="AI134" i="37"/>
  <c r="AI152" i="37" s="1"/>
  <c r="AU134" i="37"/>
  <c r="AU152" i="37" s="1"/>
  <c r="BG134" i="37"/>
  <c r="BG152" i="37" s="1"/>
  <c r="BS134" i="37"/>
  <c r="BS152" i="37" s="1"/>
  <c r="CE134" i="37"/>
  <c r="CE152" i="37" s="1"/>
  <c r="CQ134" i="37"/>
  <c r="CQ152" i="37" s="1"/>
  <c r="DC134" i="37"/>
  <c r="DC152" i="37" s="1"/>
  <c r="DO134" i="37"/>
  <c r="DO152" i="37" s="1"/>
  <c r="U133" i="37"/>
  <c r="U151" i="37" s="1"/>
  <c r="AG133" i="37"/>
  <c r="AG151" i="37" s="1"/>
  <c r="AS133" i="37"/>
  <c r="AS151" i="37" s="1"/>
  <c r="BE133" i="37"/>
  <c r="BE151" i="37" s="1"/>
  <c r="BQ133" i="37"/>
  <c r="BQ151" i="37" s="1"/>
  <c r="CC133" i="37"/>
  <c r="CC151" i="37" s="1"/>
  <c r="CO133" i="37"/>
  <c r="CO151" i="37" s="1"/>
  <c r="DA133" i="37"/>
  <c r="DA151" i="37" s="1"/>
  <c r="DM133" i="37"/>
  <c r="DM151" i="37" s="1"/>
  <c r="DA115" i="37"/>
  <c r="DA132" i="37" s="1"/>
  <c r="DA150" i="37" s="1"/>
  <c r="DM115" i="37"/>
  <c r="DM132" i="37" s="1"/>
  <c r="DM150" i="37" s="1"/>
  <c r="CZ114" i="37"/>
  <c r="CZ131" i="37" s="1"/>
  <c r="CZ149" i="37" s="1"/>
  <c r="DL114" i="37"/>
  <c r="DL131" i="37" s="1"/>
  <c r="DL149" i="37" s="1"/>
  <c r="CY113" i="37"/>
  <c r="CY130" i="37" s="1"/>
  <c r="CY148" i="37" s="1"/>
  <c r="DK113" i="37"/>
  <c r="DK130" i="37" s="1"/>
  <c r="DK148" i="37" s="1"/>
  <c r="CX112" i="37"/>
  <c r="CX129" i="37" s="1"/>
  <c r="CX147" i="37" s="1"/>
  <c r="DJ112" i="37"/>
  <c r="DJ129" i="37" s="1"/>
  <c r="DJ147" i="37" s="1"/>
  <c r="CW111" i="37"/>
  <c r="CW128" i="37" s="1"/>
  <c r="CW146" i="37" s="1"/>
  <c r="DI111" i="37"/>
  <c r="DI128" i="37" s="1"/>
  <c r="DI146" i="37" s="1"/>
  <c r="CV110" i="37"/>
  <c r="CV127" i="37" s="1"/>
  <c r="CV145" i="37" s="1"/>
  <c r="DH110" i="37"/>
  <c r="DH127" i="37" s="1"/>
  <c r="DH145" i="37" s="1"/>
  <c r="CU109" i="37"/>
  <c r="CU126" i="37" s="1"/>
  <c r="CU144" i="37" s="1"/>
  <c r="DG109" i="37"/>
  <c r="DG126" i="37" s="1"/>
  <c r="DG144" i="37" s="1"/>
  <c r="CT108" i="37"/>
  <c r="CT125" i="37" s="1"/>
  <c r="CT143" i="37" s="1"/>
  <c r="DF108" i="37"/>
  <c r="DF125" i="37" s="1"/>
  <c r="DF143" i="37" s="1"/>
  <c r="DR108" i="37"/>
  <c r="DE107" i="37"/>
  <c r="DE124" i="37" s="1"/>
  <c r="DE142" i="37" s="1"/>
  <c r="DQ107" i="37"/>
  <c r="DQ124" i="37" s="1"/>
  <c r="DQ142" i="37" s="1"/>
  <c r="X134" i="37"/>
  <c r="X152" i="37" s="1"/>
  <c r="AJ134" i="37"/>
  <c r="AJ152" i="37" s="1"/>
  <c r="AV134" i="37"/>
  <c r="AV152" i="37" s="1"/>
  <c r="BH134" i="37"/>
  <c r="BH152" i="37" s="1"/>
  <c r="BT134" i="37"/>
  <c r="BT152" i="37" s="1"/>
  <c r="CF134" i="37"/>
  <c r="CF152" i="37" s="1"/>
  <c r="CR134" i="37"/>
  <c r="CR152" i="37" s="1"/>
  <c r="DD134" i="37"/>
  <c r="DD152" i="37" s="1"/>
  <c r="DP134" i="37"/>
  <c r="DP152" i="37" s="1"/>
  <c r="V133" i="37"/>
  <c r="V151" i="37" s="1"/>
  <c r="AH133" i="37"/>
  <c r="AH151" i="37" s="1"/>
  <c r="AT133" i="37"/>
  <c r="AT151" i="37" s="1"/>
  <c r="BF133" i="37"/>
  <c r="BF151" i="37" s="1"/>
  <c r="BR133" i="37"/>
  <c r="BR151" i="37" s="1"/>
  <c r="CD133" i="37"/>
  <c r="CD151" i="37" s="1"/>
  <c r="CP133" i="37"/>
  <c r="CP151" i="37" s="1"/>
  <c r="DB133" i="37"/>
  <c r="DB151" i="37" s="1"/>
  <c r="DN133" i="37"/>
  <c r="DN151" i="37" s="1"/>
  <c r="CF164" i="37"/>
  <c r="CF173" i="37" s="1"/>
  <c r="CR164" i="37"/>
  <c r="CR173" i="37" s="1"/>
  <c r="CG164" i="37"/>
  <c r="CG173" i="37" s="1"/>
  <c r="CS164" i="37"/>
  <c r="CS173" i="37" s="1"/>
  <c r="CH164" i="37"/>
  <c r="CH173" i="37" s="1"/>
  <c r="CT164" i="37"/>
  <c r="CT173" i="37" s="1"/>
  <c r="CI164" i="37"/>
  <c r="CI173" i="37" s="1"/>
  <c r="CU164" i="37"/>
  <c r="CU173" i="37" s="1"/>
  <c r="CJ164" i="37"/>
  <c r="CJ173" i="37" s="1"/>
  <c r="CV164" i="37"/>
  <c r="CV173" i="37" s="1"/>
  <c r="CK164" i="37"/>
  <c r="CK173" i="37" s="1"/>
  <c r="CW164" i="37"/>
  <c r="CW173" i="37" s="1"/>
  <c r="CL164" i="37"/>
  <c r="CL173" i="37" s="1"/>
  <c r="CX164" i="37"/>
  <c r="CX173" i="37" s="1"/>
  <c r="CA164" i="37"/>
  <c r="CA173" i="37" s="1"/>
  <c r="CM164" i="37"/>
  <c r="CM173" i="37" s="1"/>
  <c r="BZ164" i="37"/>
  <c r="BZ173" i="37" s="1"/>
  <c r="CB164" i="37"/>
  <c r="CB173" i="37" s="1"/>
  <c r="CN164" i="37"/>
  <c r="CN173" i="37" s="1"/>
  <c r="CC164" i="37"/>
  <c r="CC173" i="37" s="1"/>
  <c r="CO164" i="37"/>
  <c r="CO173" i="37" s="1"/>
  <c r="CD164" i="37"/>
  <c r="CD173" i="37" s="1"/>
  <c r="CP164" i="37"/>
  <c r="CP173" i="37" s="1"/>
  <c r="CE164" i="37"/>
  <c r="CE173" i="37" s="1"/>
  <c r="CQ164" i="37"/>
  <c r="CQ173" i="37" s="1"/>
  <c r="CL50" i="37"/>
  <c r="CL65" i="37" s="1"/>
  <c r="CX50" i="37"/>
  <c r="CX65" i="37" s="1"/>
  <c r="CM50" i="37"/>
  <c r="CM65" i="37" s="1"/>
  <c r="CY50" i="37"/>
  <c r="CY65" i="37" s="1"/>
  <c r="CN50" i="37"/>
  <c r="CN65" i="37" s="1"/>
  <c r="CZ50" i="37"/>
  <c r="CZ65" i="37" s="1"/>
  <c r="CO50" i="37"/>
  <c r="CO65" i="37" s="1"/>
  <c r="DA50" i="37"/>
  <c r="DA65" i="37" s="1"/>
  <c r="CP50" i="37"/>
  <c r="CP65" i="37" s="1"/>
  <c r="DB50" i="37"/>
  <c r="DB65" i="37" s="1"/>
  <c r="CQ50" i="37"/>
  <c r="CQ65" i="37" s="1"/>
  <c r="DC50" i="37"/>
  <c r="DC65" i="37" s="1"/>
  <c r="CR50" i="37"/>
  <c r="CR65" i="37" s="1"/>
  <c r="DD50" i="37"/>
  <c r="DD65" i="37" s="1"/>
  <c r="CS50" i="37"/>
  <c r="CS65" i="37" s="1"/>
  <c r="DE50" i="37"/>
  <c r="DE65" i="37" s="1"/>
  <c r="CT50" i="37"/>
  <c r="CT65" i="37" s="1"/>
  <c r="DF50" i="37"/>
  <c r="DF65" i="37" s="1"/>
  <c r="CU50" i="37"/>
  <c r="CU65" i="37" s="1"/>
  <c r="DG50" i="37"/>
  <c r="DG65" i="37" s="1"/>
  <c r="CV50" i="37"/>
  <c r="CV65" i="37" s="1"/>
  <c r="DH50" i="37"/>
  <c r="DH65" i="37" s="1"/>
  <c r="CK50" i="37"/>
  <c r="CK65" i="37" s="1"/>
  <c r="CW50" i="37"/>
  <c r="CW65" i="37" s="1"/>
  <c r="CJ50" i="37"/>
  <c r="CJ65" i="37" s="1"/>
  <c r="CU5" i="37"/>
  <c r="DG5" i="37"/>
  <c r="DH5" i="37"/>
  <c r="DH20" i="37" s="1"/>
  <c r="CJ5" i="37"/>
  <c r="CV5" i="37"/>
  <c r="CK5" i="37"/>
  <c r="CW5" i="37"/>
  <c r="CL5" i="37"/>
  <c r="CX5" i="37"/>
  <c r="CM5" i="37"/>
  <c r="CY5" i="37"/>
  <c r="CN5" i="37"/>
  <c r="CZ5" i="37"/>
  <c r="CO5" i="37"/>
  <c r="DA5" i="37"/>
  <c r="CP5" i="37"/>
  <c r="DB5" i="37"/>
  <c r="CQ5" i="37"/>
  <c r="DC5" i="37"/>
  <c r="CR5" i="37"/>
  <c r="DD5" i="37"/>
  <c r="CS5" i="37"/>
  <c r="DE5" i="37"/>
  <c r="CT5" i="37"/>
  <c r="DF5" i="37"/>
  <c r="CY141" i="37"/>
  <c r="DK141" i="37"/>
  <c r="CN77" i="37"/>
  <c r="CN90" i="37" s="1"/>
  <c r="CZ77" i="37"/>
  <c r="CZ90" i="37" s="1"/>
  <c r="CZ141" i="37"/>
  <c r="DL141" i="37"/>
  <c r="CO77" i="37"/>
  <c r="CO90" i="37" s="1"/>
  <c r="DA77" i="37"/>
  <c r="DA90" i="37" s="1"/>
  <c r="DA141" i="37"/>
  <c r="DM141" i="37"/>
  <c r="CP77" i="37"/>
  <c r="CP90" i="37" s="1"/>
  <c r="DB77" i="37"/>
  <c r="DB90" i="37" s="1"/>
  <c r="DB141" i="37"/>
  <c r="DN141" i="37"/>
  <c r="CQ77" i="37"/>
  <c r="CQ90" i="37" s="1"/>
  <c r="DC77" i="37"/>
  <c r="DC90" i="37" s="1"/>
  <c r="DC141" i="37"/>
  <c r="DO141" i="37"/>
  <c r="CR77" i="37"/>
  <c r="CR90" i="37" s="1"/>
  <c r="DD77" i="37"/>
  <c r="DD90" i="37" s="1"/>
  <c r="DD141" i="37"/>
  <c r="DP141" i="37"/>
  <c r="CS77" i="37"/>
  <c r="CS90" i="37" s="1"/>
  <c r="DE77" i="37"/>
  <c r="DE90" i="37" s="1"/>
  <c r="DE141" i="37"/>
  <c r="DQ141" i="37"/>
  <c r="CT77" i="37"/>
  <c r="CT90" i="37" s="1"/>
  <c r="DF77" i="37"/>
  <c r="DF90" i="37" s="1"/>
  <c r="DF141" i="37"/>
  <c r="DR141" i="37"/>
  <c r="CU77" i="37"/>
  <c r="CU90" i="37" s="1"/>
  <c r="DG77" i="37"/>
  <c r="DG90" i="37" s="1"/>
  <c r="CU141" i="37"/>
  <c r="DG141" i="37"/>
  <c r="CV77" i="37"/>
  <c r="CV90" i="37" s="1"/>
  <c r="DH77" i="37"/>
  <c r="DH90" i="37" s="1"/>
  <c r="CV141" i="37"/>
  <c r="DH141" i="37"/>
  <c r="DI77" i="37"/>
  <c r="DI90" i="37" s="1"/>
  <c r="CW77" i="37"/>
  <c r="CW90" i="37" s="1"/>
  <c r="CK77" i="37"/>
  <c r="CK90" i="37" s="1"/>
  <c r="CW141" i="37"/>
  <c r="DI141" i="37"/>
  <c r="CT141" i="37"/>
  <c r="CL77" i="37"/>
  <c r="CL90" i="37" s="1"/>
  <c r="CX77" i="37"/>
  <c r="CX90" i="37" s="1"/>
  <c r="CX141" i="37"/>
  <c r="DJ141" i="37"/>
  <c r="CM77" i="37"/>
  <c r="CM90" i="37" s="1"/>
  <c r="CY77" i="37"/>
  <c r="CY90" i="37" s="1"/>
  <c r="CU63" i="17"/>
  <c r="DG63" i="17"/>
  <c r="CT62" i="17"/>
  <c r="DF62" i="17"/>
  <c r="DR62" i="17"/>
  <c r="DA62" i="17"/>
  <c r="CV63" i="17"/>
  <c r="DH63" i="17"/>
  <c r="CU62" i="17"/>
  <c r="DG62" i="17"/>
  <c r="CZ62" i="17"/>
  <c r="DM62" i="17"/>
  <c r="DN62" i="17"/>
  <c r="CW63" i="17"/>
  <c r="DI63" i="17"/>
  <c r="CV62" i="17"/>
  <c r="DH62" i="17"/>
  <c r="DN63" i="17"/>
  <c r="DB62" i="17"/>
  <c r="CX63" i="17"/>
  <c r="DJ63" i="17"/>
  <c r="CW62" i="17"/>
  <c r="DI62" i="17"/>
  <c r="CY63" i="17"/>
  <c r="DK63" i="17"/>
  <c r="CX62" i="17"/>
  <c r="DJ62" i="17"/>
  <c r="DL62" i="17"/>
  <c r="CZ63" i="17"/>
  <c r="DL63" i="17"/>
  <c r="CY62" i="17"/>
  <c r="DK62" i="17"/>
  <c r="DA63" i="17"/>
  <c r="DM63" i="17"/>
  <c r="DO63" i="17"/>
  <c r="DB63" i="17"/>
  <c r="DC63" i="17"/>
  <c r="DD63" i="17"/>
  <c r="DP63" i="17"/>
  <c r="DC62" i="17"/>
  <c r="DO62" i="17"/>
  <c r="DE63" i="17"/>
  <c r="DQ63" i="17"/>
  <c r="DD62" i="17"/>
  <c r="DP62" i="17"/>
  <c r="CT63" i="17"/>
  <c r="DF63" i="17"/>
  <c r="DR63" i="17"/>
  <c r="DE62" i="17"/>
  <c r="DQ62" i="17"/>
  <c r="L123" i="8"/>
  <c r="M123" i="8"/>
  <c r="K124" i="8"/>
  <c r="F125" i="8"/>
  <c r="H125" i="8" s="1"/>
  <c r="B124" i="8"/>
  <c r="DF84" i="17"/>
  <c r="CV14" i="37" s="1"/>
  <c r="CV36" i="37" s="1"/>
  <c r="CW83" i="17"/>
  <c r="CM13" i="37" s="1"/>
  <c r="CM35" i="37" s="1"/>
  <c r="DM83" i="17"/>
  <c r="DC13" i="37" s="1"/>
  <c r="DC35" i="37" s="1"/>
  <c r="DD82" i="17"/>
  <c r="CT12" i="37" s="1"/>
  <c r="CT34" i="37" s="1"/>
  <c r="CU81" i="17"/>
  <c r="CK11" i="37" s="1"/>
  <c r="CK33" i="37" s="1"/>
  <c r="DK81" i="17"/>
  <c r="DA11" i="37" s="1"/>
  <c r="DA33" i="37" s="1"/>
  <c r="DB80" i="17"/>
  <c r="CR10" i="37" s="1"/>
  <c r="CR32" i="37" s="1"/>
  <c r="DR80" i="17"/>
  <c r="DH10" i="37" s="1"/>
  <c r="DH32" i="37" s="1"/>
  <c r="DI79" i="17"/>
  <c r="CY9" i="37" s="1"/>
  <c r="CY31" i="37" s="1"/>
  <c r="CZ78" i="17"/>
  <c r="CP8" i="37" s="1"/>
  <c r="CP30" i="37" s="1"/>
  <c r="DP78" i="17"/>
  <c r="DF8" i="37" s="1"/>
  <c r="DF30" i="37" s="1"/>
  <c r="DG77" i="17"/>
  <c r="CW7" i="37" s="1"/>
  <c r="CW29" i="37" s="1"/>
  <c r="CX76" i="17"/>
  <c r="CN6" i="37" s="1"/>
  <c r="CN28" i="37" s="1"/>
  <c r="DN76" i="17"/>
  <c r="DD6" i="37" s="1"/>
  <c r="DD28" i="37" s="1"/>
  <c r="DE71" i="17"/>
  <c r="CK167" i="37" s="1"/>
  <c r="CK176" i="37" s="1"/>
  <c r="CV70" i="17"/>
  <c r="CB166" i="37" s="1"/>
  <c r="CB175" i="37" s="1"/>
  <c r="DL70" i="17"/>
  <c r="CR166" i="37" s="1"/>
  <c r="CR175" i="37" s="1"/>
  <c r="DC69" i="17"/>
  <c r="CI165" i="37" s="1"/>
  <c r="CI174" i="37" s="1"/>
  <c r="DH58" i="17"/>
  <c r="CY57" i="17"/>
  <c r="DO57" i="17"/>
  <c r="DF56" i="17"/>
  <c r="CW55" i="17"/>
  <c r="CW42" i="17" s="1"/>
  <c r="DM55" i="17"/>
  <c r="DM42" i="17" s="1"/>
  <c r="DD54" i="17"/>
  <c r="DD39" i="17" s="1"/>
  <c r="DI84" i="17"/>
  <c r="CY14" i="37" s="1"/>
  <c r="CY36" i="37" s="1"/>
  <c r="CZ83" i="17"/>
  <c r="CP13" i="37" s="1"/>
  <c r="CP35" i="37" s="1"/>
  <c r="DP83" i="17"/>
  <c r="DF13" i="37" s="1"/>
  <c r="DF35" i="37" s="1"/>
  <c r="DG82" i="17"/>
  <c r="CW12" i="37" s="1"/>
  <c r="CW34" i="37" s="1"/>
  <c r="CX81" i="17"/>
  <c r="CN11" i="37" s="1"/>
  <c r="CN33" i="37" s="1"/>
  <c r="DN81" i="17"/>
  <c r="DD11" i="37" s="1"/>
  <c r="DD33" i="37" s="1"/>
  <c r="DE80" i="17"/>
  <c r="CU10" i="37" s="1"/>
  <c r="CU32" i="37" s="1"/>
  <c r="CV79" i="17"/>
  <c r="CL9" i="37" s="1"/>
  <c r="CL31" i="37" s="1"/>
  <c r="DL79" i="17"/>
  <c r="DB9" i="37" s="1"/>
  <c r="DB31" i="37" s="1"/>
  <c r="DC78" i="17"/>
  <c r="CS8" i="37" s="1"/>
  <c r="CS30" i="37" s="1"/>
  <c r="CT77" i="17"/>
  <c r="CJ7" i="37" s="1"/>
  <c r="CJ29" i="37" s="1"/>
  <c r="DJ77" i="17"/>
  <c r="CZ7" i="37" s="1"/>
  <c r="CZ29" i="37" s="1"/>
  <c r="DA76" i="17"/>
  <c r="CQ6" i="37" s="1"/>
  <c r="CQ28" i="37" s="1"/>
  <c r="CU84" i="17"/>
  <c r="CK14" i="37" s="1"/>
  <c r="CK36" i="37" s="1"/>
  <c r="DK84" i="17"/>
  <c r="DA14" i="37" s="1"/>
  <c r="DA36" i="37" s="1"/>
  <c r="DB83" i="17"/>
  <c r="CR13" i="37" s="1"/>
  <c r="CR35" i="37" s="1"/>
  <c r="DR83" i="17"/>
  <c r="DH13" i="37" s="1"/>
  <c r="DH35" i="37" s="1"/>
  <c r="DI82" i="17"/>
  <c r="CY12" i="37" s="1"/>
  <c r="CY34" i="37" s="1"/>
  <c r="CZ81" i="17"/>
  <c r="CP11" i="37" s="1"/>
  <c r="CP33" i="37" s="1"/>
  <c r="DP81" i="17"/>
  <c r="DF11" i="37" s="1"/>
  <c r="DF33" i="37" s="1"/>
  <c r="DG80" i="17"/>
  <c r="CW10" i="37" s="1"/>
  <c r="CW32" i="37" s="1"/>
  <c r="CX79" i="17"/>
  <c r="CN9" i="37" s="1"/>
  <c r="CN31" i="37" s="1"/>
  <c r="DN79" i="17"/>
  <c r="DD9" i="37" s="1"/>
  <c r="DD31" i="37" s="1"/>
  <c r="DE78" i="17"/>
  <c r="CU8" i="37" s="1"/>
  <c r="CU30" i="37" s="1"/>
  <c r="CV77" i="17"/>
  <c r="CL7" i="37" s="1"/>
  <c r="CL29" i="37" s="1"/>
  <c r="DL77" i="17"/>
  <c r="DB7" i="37" s="1"/>
  <c r="DB29" i="37" s="1"/>
  <c r="DC76" i="17"/>
  <c r="CS6" i="37" s="1"/>
  <c r="CS28" i="37" s="1"/>
  <c r="CT71" i="17"/>
  <c r="BZ167" i="37" s="1"/>
  <c r="BZ176" i="37" s="1"/>
  <c r="DJ71" i="17"/>
  <c r="CP167" i="37" s="1"/>
  <c r="CP176" i="37" s="1"/>
  <c r="DA70" i="17"/>
  <c r="CG166" i="37" s="1"/>
  <c r="CG175" i="37" s="1"/>
  <c r="DQ70" i="17"/>
  <c r="CW166" i="37" s="1"/>
  <c r="CW175" i="37" s="1"/>
  <c r="DH69" i="17"/>
  <c r="CN165" i="37" s="1"/>
  <c r="CN174" i="37" s="1"/>
  <c r="CW58" i="17"/>
  <c r="DM58" i="17"/>
  <c r="DD57" i="17"/>
  <c r="CU56" i="17"/>
  <c r="DK56" i="17"/>
  <c r="DB55" i="17"/>
  <c r="DB42" i="17" s="1"/>
  <c r="DR55" i="17"/>
  <c r="DR42" i="17" s="1"/>
  <c r="DI54" i="17"/>
  <c r="DI39" i="17" s="1"/>
  <c r="CZ53" i="17"/>
  <c r="DP53" i="17"/>
  <c r="DG52" i="17"/>
  <c r="CX51" i="17"/>
  <c r="DN51" i="17"/>
  <c r="DE48" i="17"/>
  <c r="CV47" i="17"/>
  <c r="DL47" i="17"/>
  <c r="DC46" i="17"/>
  <c r="CT45" i="17"/>
  <c r="DJ45" i="17"/>
  <c r="DA38" i="17"/>
  <c r="DQ38" i="17"/>
  <c r="DH36" i="17"/>
  <c r="CY34" i="17"/>
  <c r="DO34" i="17"/>
  <c r="DF33" i="17"/>
  <c r="CW31" i="17"/>
  <c r="DM31" i="17"/>
  <c r="CV84" i="17"/>
  <c r="CL14" i="37" s="1"/>
  <c r="CL36" i="37" s="1"/>
  <c r="DL84" i="17"/>
  <c r="DB14" i="37" s="1"/>
  <c r="DB36" i="37" s="1"/>
  <c r="DC83" i="17"/>
  <c r="CS13" i="37" s="1"/>
  <c r="CS35" i="37" s="1"/>
  <c r="CT82" i="17"/>
  <c r="CJ12" i="37" s="1"/>
  <c r="CJ34" i="37" s="1"/>
  <c r="DJ82" i="17"/>
  <c r="CZ12" i="37" s="1"/>
  <c r="CZ34" i="37" s="1"/>
  <c r="DA81" i="17"/>
  <c r="CQ11" i="37" s="1"/>
  <c r="CQ33" i="37" s="1"/>
  <c r="DQ81" i="17"/>
  <c r="DG11" i="37" s="1"/>
  <c r="DG33" i="37" s="1"/>
  <c r="DH80" i="17"/>
  <c r="CX10" i="37" s="1"/>
  <c r="CX32" i="37" s="1"/>
  <c r="CY79" i="17"/>
  <c r="CO9" i="37" s="1"/>
  <c r="CO31" i="37" s="1"/>
  <c r="DO79" i="17"/>
  <c r="DE9" i="37" s="1"/>
  <c r="DE31" i="37" s="1"/>
  <c r="DF78" i="17"/>
  <c r="CV8" i="37" s="1"/>
  <c r="CV30" i="37" s="1"/>
  <c r="CW77" i="17"/>
  <c r="CM7" i="37" s="1"/>
  <c r="CM29" i="37" s="1"/>
  <c r="DM77" i="17"/>
  <c r="DC7" i="37" s="1"/>
  <c r="DC29" i="37" s="1"/>
  <c r="DD76" i="17"/>
  <c r="CT6" i="37" s="1"/>
  <c r="CT28" i="37" s="1"/>
  <c r="CU71" i="17"/>
  <c r="CA167" i="37" s="1"/>
  <c r="CA176" i="37" s="1"/>
  <c r="DK71" i="17"/>
  <c r="CQ167" i="37" s="1"/>
  <c r="CQ176" i="37" s="1"/>
  <c r="DB70" i="17"/>
  <c r="CH166" i="37" s="1"/>
  <c r="CH175" i="37" s="1"/>
  <c r="DR70" i="17"/>
  <c r="CX166" i="37" s="1"/>
  <c r="CX175" i="37" s="1"/>
  <c r="DI69" i="17"/>
  <c r="CO165" i="37" s="1"/>
  <c r="CO174" i="37" s="1"/>
  <c r="CX58" i="17"/>
  <c r="DN58" i="17"/>
  <c r="DE57" i="17"/>
  <c r="CV56" i="17"/>
  <c r="DL56" i="17"/>
  <c r="DC55" i="17"/>
  <c r="DC42" i="17" s="1"/>
  <c r="CT54" i="17"/>
  <c r="CT39" i="17" s="1"/>
  <c r="DJ54" i="17"/>
  <c r="DJ39" i="17" s="1"/>
  <c r="DA53" i="17"/>
  <c r="DQ53" i="17"/>
  <c r="DH52" i="17"/>
  <c r="CY51" i="17"/>
  <c r="DO51" i="17"/>
  <c r="DF48" i="17"/>
  <c r="DH84" i="17"/>
  <c r="CX14" i="37" s="1"/>
  <c r="CX36" i="37" s="1"/>
  <c r="DF83" i="17"/>
  <c r="CV13" i="37" s="1"/>
  <c r="CV35" i="37" s="1"/>
  <c r="DA82" i="17"/>
  <c r="CQ12" i="37" s="1"/>
  <c r="CQ34" i="37" s="1"/>
  <c r="CW81" i="17"/>
  <c r="CM11" i="37" s="1"/>
  <c r="CM33" i="37" s="1"/>
  <c r="CU80" i="17"/>
  <c r="CK10" i="37" s="1"/>
  <c r="CK32" i="37" s="1"/>
  <c r="DO80" i="17"/>
  <c r="DE10" i="37" s="1"/>
  <c r="DE32" i="37" s="1"/>
  <c r="DK79" i="17"/>
  <c r="DA9" i="37" s="1"/>
  <c r="DA31" i="37" s="1"/>
  <c r="DI78" i="17"/>
  <c r="CY8" i="37" s="1"/>
  <c r="CY30" i="37" s="1"/>
  <c r="DD77" i="17"/>
  <c r="CT7" i="37" s="1"/>
  <c r="CT29" i="37" s="1"/>
  <c r="CZ76" i="17"/>
  <c r="CP6" i="37" s="1"/>
  <c r="CP28" i="37" s="1"/>
  <c r="CW71" i="17"/>
  <c r="CC167" i="37" s="1"/>
  <c r="CC176" i="37" s="1"/>
  <c r="DP71" i="17"/>
  <c r="CV167" i="37" s="1"/>
  <c r="CV176" i="37" s="1"/>
  <c r="DJ70" i="17"/>
  <c r="CP166" i="37" s="1"/>
  <c r="CP175" i="37" s="1"/>
  <c r="DE69" i="17"/>
  <c r="CK165" i="37" s="1"/>
  <c r="CK174" i="37" s="1"/>
  <c r="DI58" i="17"/>
  <c r="DC57" i="17"/>
  <c r="CY56" i="17"/>
  <c r="DR56" i="17"/>
  <c r="DL55" i="17"/>
  <c r="DL42" i="17" s="1"/>
  <c r="DG54" i="17"/>
  <c r="DG39" i="17" s="1"/>
  <c r="DB53" i="17"/>
  <c r="CU52" i="17"/>
  <c r="DM52" i="17"/>
  <c r="DF51" i="17"/>
  <c r="CY48" i="17"/>
  <c r="DQ48" i="17"/>
  <c r="DI47" i="17"/>
  <c r="DA46" i="17"/>
  <c r="DR46" i="17"/>
  <c r="DK45" i="17"/>
  <c r="DC38" i="17"/>
  <c r="CU36" i="17"/>
  <c r="DL36" i="17"/>
  <c r="DD34" i="17"/>
  <c r="CV33" i="17"/>
  <c r="DM33" i="17"/>
  <c r="DE31" i="17"/>
  <c r="CZ56" i="17"/>
  <c r="CV52" i="17"/>
  <c r="DN52" i="17"/>
  <c r="CZ48" i="17"/>
  <c r="DR48" i="17"/>
  <c r="DB46" i="17"/>
  <c r="CU45" i="17"/>
  <c r="DL45" i="17"/>
  <c r="DD38" i="17"/>
  <c r="DM36" i="17"/>
  <c r="DE34" i="17"/>
  <c r="CW33" i="17"/>
  <c r="DN33" i="17"/>
  <c r="DO52" i="17"/>
  <c r="DD46" i="17"/>
  <c r="CW36" i="17"/>
  <c r="CX33" i="17"/>
  <c r="DE53" i="17"/>
  <c r="DE46" i="17"/>
  <c r="DO36" i="17"/>
  <c r="DH31" i="17"/>
  <c r="DG81" i="17"/>
  <c r="CW11" i="37" s="1"/>
  <c r="CW33" i="37" s="1"/>
  <c r="CU69" i="17"/>
  <c r="CA165" i="37" s="1"/>
  <c r="CA174" i="37" s="1"/>
  <c r="DA55" i="17"/>
  <c r="DA42" i="17" s="1"/>
  <c r="CZ47" i="17"/>
  <c r="DK34" i="17"/>
  <c r="CY84" i="17"/>
  <c r="CO14" i="37" s="1"/>
  <c r="CO36" i="37" s="1"/>
  <c r="CV69" i="17"/>
  <c r="CB165" i="37" s="1"/>
  <c r="CB174" i="37" s="1"/>
  <c r="CX54" i="17"/>
  <c r="CX39" i="17" s="1"/>
  <c r="DJ46" i="17"/>
  <c r="DF80" i="17"/>
  <c r="CV10" i="37" s="1"/>
  <c r="CV32" i="37" s="1"/>
  <c r="CX78" i="17"/>
  <c r="CN8" i="37" s="1"/>
  <c r="CN30" i="37" s="1"/>
  <c r="CW69" i="17"/>
  <c r="CC165" i="37" s="1"/>
  <c r="CC174" i="37" s="1"/>
  <c r="CU57" i="17"/>
  <c r="DK53" i="17"/>
  <c r="DB47" i="17"/>
  <c r="DL38" i="17"/>
  <c r="DO31" i="17"/>
  <c r="DJ81" i="17"/>
  <c r="CZ11" i="37" s="1"/>
  <c r="CZ33" i="37" s="1"/>
  <c r="DE52" i="17"/>
  <c r="CV38" i="17"/>
  <c r="DL81" i="17"/>
  <c r="DB11" i="37" s="1"/>
  <c r="DB33" i="37" s="1"/>
  <c r="CT76" i="17"/>
  <c r="CJ6" i="37" s="1"/>
  <c r="CJ28" i="37" s="1"/>
  <c r="DJ84" i="17"/>
  <c r="CZ14" i="37" s="1"/>
  <c r="CZ36" i="37" s="1"/>
  <c r="DG83" i="17"/>
  <c r="CW13" i="37" s="1"/>
  <c r="CW35" i="37" s="1"/>
  <c r="DB82" i="17"/>
  <c r="CR12" i="37" s="1"/>
  <c r="CR34" i="37" s="1"/>
  <c r="CY81" i="17"/>
  <c r="CO11" i="37" s="1"/>
  <c r="CO33" i="37" s="1"/>
  <c r="CV80" i="17"/>
  <c r="CL10" i="37" s="1"/>
  <c r="CL32" i="37" s="1"/>
  <c r="DP80" i="17"/>
  <c r="DF10" i="37" s="1"/>
  <c r="DF32" i="37" s="1"/>
  <c r="DM79" i="17"/>
  <c r="DC9" i="37" s="1"/>
  <c r="DC31" i="37" s="1"/>
  <c r="DJ78" i="17"/>
  <c r="CZ8" i="37" s="1"/>
  <c r="CZ30" i="37" s="1"/>
  <c r="DE77" i="17"/>
  <c r="CU7" i="37" s="1"/>
  <c r="CU29" i="37" s="1"/>
  <c r="DB76" i="17"/>
  <c r="CR6" i="37" s="1"/>
  <c r="CR28" i="37" s="1"/>
  <c r="CX71" i="17"/>
  <c r="CD167" i="37" s="1"/>
  <c r="CD176" i="37" s="1"/>
  <c r="DQ71" i="17"/>
  <c r="CW167" i="37" s="1"/>
  <c r="CW176" i="37" s="1"/>
  <c r="DK70" i="17"/>
  <c r="CQ166" i="37" s="1"/>
  <c r="CQ175" i="37" s="1"/>
  <c r="DF69" i="17"/>
  <c r="CL165" i="37" s="1"/>
  <c r="CL174" i="37" s="1"/>
  <c r="DJ58" i="17"/>
  <c r="DF57" i="17"/>
  <c r="CT55" i="17"/>
  <c r="CT42" i="17" s="1"/>
  <c r="DN55" i="17"/>
  <c r="DN42" i="17" s="1"/>
  <c r="DH54" i="17"/>
  <c r="DH39" i="17" s="1"/>
  <c r="DC53" i="17"/>
  <c r="DG51" i="17"/>
  <c r="DJ47" i="17"/>
  <c r="CV36" i="17"/>
  <c r="DF31" i="17"/>
  <c r="DA56" i="17"/>
  <c r="DD53" i="17"/>
  <c r="DH51" i="17"/>
  <c r="CT47" i="17"/>
  <c r="CV45" i="17"/>
  <c r="DE38" i="17"/>
  <c r="DF34" i="17"/>
  <c r="DG31" i="17"/>
  <c r="CX52" i="17"/>
  <c r="DN45" i="17"/>
  <c r="DG34" i="17"/>
  <c r="DL82" i="17"/>
  <c r="DB12" i="37" s="1"/>
  <c r="DB34" i="37" s="1"/>
  <c r="DN69" i="17"/>
  <c r="CT165" i="37" s="1"/>
  <c r="CT174" i="37" s="1"/>
  <c r="DP54" i="17"/>
  <c r="DP39" i="17" s="1"/>
  <c r="DI46" i="17"/>
  <c r="DC33" i="17"/>
  <c r="DB79" i="17"/>
  <c r="CR9" i="37" s="1"/>
  <c r="CR31" i="37" s="1"/>
  <c r="DR78" i="17"/>
  <c r="DH8" i="37" s="1"/>
  <c r="DH30" i="37" s="1"/>
  <c r="DH56" i="17"/>
  <c r="CV51" i="17"/>
  <c r="DB45" i="17"/>
  <c r="DL34" i="17"/>
  <c r="DQ83" i="17"/>
  <c r="DG13" i="37" s="1"/>
  <c r="DG35" i="37" s="1"/>
  <c r="DQ77" i="17"/>
  <c r="DG7" i="37" s="1"/>
  <c r="DG29" i="37" s="1"/>
  <c r="DA58" i="17"/>
  <c r="CW51" i="17"/>
  <c r="DD36" i="17"/>
  <c r="DI80" i="17"/>
  <c r="CY10" i="37" s="1"/>
  <c r="CY32" i="37" s="1"/>
  <c r="CX77" i="17"/>
  <c r="CN7" i="37" s="1"/>
  <c r="CN29" i="37" s="1"/>
  <c r="DD70" i="17"/>
  <c r="CJ166" i="37" s="1"/>
  <c r="CJ175" i="37" s="1"/>
  <c r="DP57" i="17"/>
  <c r="DL53" i="17"/>
  <c r="CU46" i="17"/>
  <c r="DN34" i="17"/>
  <c r="CX83" i="17"/>
  <c r="CN13" i="37" s="1"/>
  <c r="CN35" i="37" s="1"/>
  <c r="DR69" i="17"/>
  <c r="CX165" i="37" s="1"/>
  <c r="CX174" i="37" s="1"/>
  <c r="DM84" i="17"/>
  <c r="DC14" i="37" s="1"/>
  <c r="DC36" i="37" s="1"/>
  <c r="DH83" i="17"/>
  <c r="CX13" i="37" s="1"/>
  <c r="CX35" i="37" s="1"/>
  <c r="DC82" i="17"/>
  <c r="CS12" i="37" s="1"/>
  <c r="CS34" i="37" s="1"/>
  <c r="DB81" i="17"/>
  <c r="CR11" i="37" s="1"/>
  <c r="CR33" i="37" s="1"/>
  <c r="CW80" i="17"/>
  <c r="CM10" i="37" s="1"/>
  <c r="CM32" i="37" s="1"/>
  <c r="DQ80" i="17"/>
  <c r="DG10" i="37" s="1"/>
  <c r="DG32" i="37" s="1"/>
  <c r="DP79" i="17"/>
  <c r="DF9" i="37" s="1"/>
  <c r="DF31" i="37" s="1"/>
  <c r="DK78" i="17"/>
  <c r="DA8" i="37" s="1"/>
  <c r="DA30" i="37" s="1"/>
  <c r="DF77" i="17"/>
  <c r="CV7" i="37" s="1"/>
  <c r="CV29" i="37" s="1"/>
  <c r="DE76" i="17"/>
  <c r="CU6" i="37" s="1"/>
  <c r="CU28" i="37" s="1"/>
  <c r="CY71" i="17"/>
  <c r="CE167" i="37" s="1"/>
  <c r="CE176" i="37" s="1"/>
  <c r="DR71" i="17"/>
  <c r="CX167" i="37" s="1"/>
  <c r="CX176" i="37" s="1"/>
  <c r="DM70" i="17"/>
  <c r="CS166" i="37" s="1"/>
  <c r="CS175" i="37" s="1"/>
  <c r="DG69" i="17"/>
  <c r="CM165" i="37" s="1"/>
  <c r="CM174" i="37" s="1"/>
  <c r="DK58" i="17"/>
  <c r="DG57" i="17"/>
  <c r="CU55" i="17"/>
  <c r="CU42" i="17" s="1"/>
  <c r="DO55" i="17"/>
  <c r="DO42" i="17" s="1"/>
  <c r="DK54" i="17"/>
  <c r="DK39" i="17" s="1"/>
  <c r="CW52" i="17"/>
  <c r="DA48" i="17"/>
  <c r="DK47" i="17"/>
  <c r="DM45" i="17"/>
  <c r="DN36" i="17"/>
  <c r="DO33" i="17"/>
  <c r="DI51" i="17"/>
  <c r="CW45" i="17"/>
  <c r="CX36" i="17"/>
  <c r="DP33" i="17"/>
  <c r="DN83" i="17"/>
  <c r="DD13" i="37" s="1"/>
  <c r="DD35" i="37" s="1"/>
  <c r="DI53" i="17"/>
  <c r="DA45" i="17"/>
  <c r="DM82" i="17"/>
  <c r="DC12" i="37" s="1"/>
  <c r="DC34" i="37" s="1"/>
  <c r="DP77" i="17"/>
  <c r="DF7" i="37" s="1"/>
  <c r="DF29" i="37" s="1"/>
  <c r="DQ54" i="17"/>
  <c r="DQ39" i="17" s="1"/>
  <c r="DI48" i="17"/>
  <c r="DK38" i="17"/>
  <c r="CU83" i="17"/>
  <c r="CK13" i="37" s="1"/>
  <c r="CK35" i="37" s="1"/>
  <c r="DC70" i="17"/>
  <c r="CI166" i="37" s="1"/>
  <c r="CI175" i="37" s="1"/>
  <c r="DE55" i="17"/>
  <c r="DE42" i="17" s="1"/>
  <c r="CT46" i="17"/>
  <c r="DE33" i="17"/>
  <c r="DD79" i="17"/>
  <c r="CT9" i="37" s="1"/>
  <c r="CT31" i="37" s="1"/>
  <c r="CY78" i="17"/>
  <c r="CO8" i="37" s="1"/>
  <c r="CO30" i="37" s="1"/>
  <c r="DH71" i="17"/>
  <c r="CN167" i="37" s="1"/>
  <c r="CN176" i="37" s="1"/>
  <c r="CX69" i="17"/>
  <c r="CD165" i="37" s="1"/>
  <c r="CD174" i="37" s="1"/>
  <c r="CV57" i="17"/>
  <c r="CT53" i="17"/>
  <c r="DC47" i="17"/>
  <c r="CW34" i="17"/>
  <c r="CV82" i="17"/>
  <c r="CL12" i="37" s="1"/>
  <c r="CL34" i="37" s="1"/>
  <c r="DE70" i="17"/>
  <c r="CK166" i="37" s="1"/>
  <c r="CK175" i="37" s="1"/>
  <c r="DN84" i="17"/>
  <c r="DD14" i="37" s="1"/>
  <c r="DD36" i="37" s="1"/>
  <c r="DI83" i="17"/>
  <c r="CY13" i="37" s="1"/>
  <c r="CY35" i="37" s="1"/>
  <c r="DE82" i="17"/>
  <c r="CU12" i="37" s="1"/>
  <c r="CU34" i="37" s="1"/>
  <c r="DC81" i="17"/>
  <c r="CS11" i="37" s="1"/>
  <c r="CS33" i="37" s="1"/>
  <c r="CX80" i="17"/>
  <c r="CN10" i="37" s="1"/>
  <c r="CN32" i="37" s="1"/>
  <c r="CT79" i="17"/>
  <c r="CJ9" i="37" s="1"/>
  <c r="CJ31" i="37" s="1"/>
  <c r="DQ79" i="17"/>
  <c r="DG9" i="37" s="1"/>
  <c r="DG31" i="37" s="1"/>
  <c r="DL78" i="17"/>
  <c r="DB8" i="37" s="1"/>
  <c r="DB30" i="37" s="1"/>
  <c r="DH77" i="17"/>
  <c r="CX7" i="37" s="1"/>
  <c r="CX29" i="37" s="1"/>
  <c r="DF76" i="17"/>
  <c r="CV6" i="37" s="1"/>
  <c r="CV28" i="37" s="1"/>
  <c r="CZ71" i="17"/>
  <c r="CF167" i="37" s="1"/>
  <c r="CF176" i="37" s="1"/>
  <c r="CT70" i="17"/>
  <c r="BZ166" i="37" s="1"/>
  <c r="BZ175" i="37" s="1"/>
  <c r="DN70" i="17"/>
  <c r="CT166" i="37" s="1"/>
  <c r="CT175" i="37" s="1"/>
  <c r="DJ69" i="17"/>
  <c r="CP165" i="37" s="1"/>
  <c r="CP174" i="37" s="1"/>
  <c r="DL58" i="17"/>
  <c r="DH57" i="17"/>
  <c r="DB56" i="17"/>
  <c r="CV55" i="17"/>
  <c r="CV42" i="17" s="1"/>
  <c r="DP55" i="17"/>
  <c r="DP42" i="17" s="1"/>
  <c r="DL54" i="17"/>
  <c r="DL39" i="17" s="1"/>
  <c r="DP52" i="17"/>
  <c r="DB48" i="17"/>
  <c r="CU47" i="17"/>
  <c r="DM47" i="17"/>
  <c r="DF38" i="17"/>
  <c r="CY33" i="17"/>
  <c r="DC80" i="17"/>
  <c r="CS10" i="37" s="1"/>
  <c r="CS32" i="37" s="1"/>
  <c r="CY70" i="17"/>
  <c r="CE166" i="37" s="1"/>
  <c r="CE175" i="37" s="1"/>
  <c r="DG56" i="17"/>
  <c r="DH48" i="17"/>
  <c r="CT34" i="17"/>
  <c r="DO83" i="17"/>
  <c r="DE13" i="37" s="1"/>
  <c r="DE35" i="37" s="1"/>
  <c r="DF71" i="17"/>
  <c r="CL167" i="37" s="1"/>
  <c r="CL176" i="37" s="1"/>
  <c r="CZ58" i="17"/>
  <c r="DC52" i="17"/>
  <c r="CT38" i="17"/>
  <c r="DN31" i="17"/>
  <c r="DN82" i="17"/>
  <c r="DD12" i="37" s="1"/>
  <c r="DD34" i="37" s="1"/>
  <c r="DG71" i="17"/>
  <c r="CM167" i="37" s="1"/>
  <c r="CM176" i="37" s="1"/>
  <c r="DN57" i="17"/>
  <c r="DQ51" i="17"/>
  <c r="CV34" i="17"/>
  <c r="DO82" i="17"/>
  <c r="DE12" i="37" s="1"/>
  <c r="DE34" i="37" s="1"/>
  <c r="DM76" i="17"/>
  <c r="DC6" i="37" s="1"/>
  <c r="DC28" i="37" s="1"/>
  <c r="CZ54" i="17"/>
  <c r="CZ39" i="17" s="1"/>
  <c r="DK48" i="17"/>
  <c r="DM38" i="17"/>
  <c r="CY31" i="17"/>
  <c r="DB84" i="17"/>
  <c r="CR14" i="37" s="1"/>
  <c r="CR36" i="37" s="1"/>
  <c r="DO84" i="17"/>
  <c r="DE14" i="37" s="1"/>
  <c r="DE36" i="37" s="1"/>
  <c r="DJ83" i="17"/>
  <c r="CZ13" i="37" s="1"/>
  <c r="CZ35" i="37" s="1"/>
  <c r="DF82" i="17"/>
  <c r="CV12" i="37" s="1"/>
  <c r="CV34" i="37" s="1"/>
  <c r="DD81" i="17"/>
  <c r="CT11" i="37" s="1"/>
  <c r="CT33" i="37" s="1"/>
  <c r="CY80" i="17"/>
  <c r="CO10" i="37" s="1"/>
  <c r="CO32" i="37" s="1"/>
  <c r="CU79" i="17"/>
  <c r="CK9" i="37" s="1"/>
  <c r="CK31" i="37" s="1"/>
  <c r="DR79" i="17"/>
  <c r="DH9" i="37" s="1"/>
  <c r="DH31" i="37" s="1"/>
  <c r="DM78" i="17"/>
  <c r="DC8" i="37" s="1"/>
  <c r="DC30" i="37" s="1"/>
  <c r="DI77" i="17"/>
  <c r="CY7" i="37" s="1"/>
  <c r="CY29" i="37" s="1"/>
  <c r="DG76" i="17"/>
  <c r="CW6" i="37" s="1"/>
  <c r="CW28" i="37" s="1"/>
  <c r="DA71" i="17"/>
  <c r="CG167" i="37" s="1"/>
  <c r="CG176" i="37" s="1"/>
  <c r="CU70" i="17"/>
  <c r="CA166" i="37" s="1"/>
  <c r="CA175" i="37" s="1"/>
  <c r="DO70" i="17"/>
  <c r="CU166" i="37" s="1"/>
  <c r="CU175" i="37" s="1"/>
  <c r="DK69" i="17"/>
  <c r="CQ165" i="37" s="1"/>
  <c r="CQ174" i="37" s="1"/>
  <c r="CT58" i="17"/>
  <c r="DO58" i="17"/>
  <c r="DI57" i="17"/>
  <c r="DC56" i="17"/>
  <c r="CX55" i="17"/>
  <c r="CX42" i="17" s="1"/>
  <c r="DQ55" i="17"/>
  <c r="DQ42" i="17" s="1"/>
  <c r="DM54" i="17"/>
  <c r="DM39" i="17" s="1"/>
  <c r="DF53" i="17"/>
  <c r="CY52" i="17"/>
  <c r="DQ52" i="17"/>
  <c r="DJ51" i="17"/>
  <c r="DC48" i="17"/>
  <c r="CW47" i="17"/>
  <c r="DN47" i="17"/>
  <c r="DF46" i="17"/>
  <c r="CX45" i="17"/>
  <c r="DO45" i="17"/>
  <c r="DG38" i="17"/>
  <c r="CY36" i="17"/>
  <c r="DP36" i="17"/>
  <c r="DH34" i="17"/>
  <c r="CZ33" i="17"/>
  <c r="DQ33" i="17"/>
  <c r="DI31" i="17"/>
  <c r="DK31" i="17"/>
  <c r="DR84" i="17"/>
  <c r="DH14" i="37" s="1"/>
  <c r="DH36" i="37" s="1"/>
  <c r="CV78" i="17"/>
  <c r="CL8" i="37" s="1"/>
  <c r="CL30" i="37" s="1"/>
  <c r="DJ76" i="17"/>
  <c r="CZ6" i="37" s="1"/>
  <c r="CZ28" i="37" s="1"/>
  <c r="DL57" i="17"/>
  <c r="DB52" i="17"/>
  <c r="DR45" i="17"/>
  <c r="DL31" i="17"/>
  <c r="DH81" i="17"/>
  <c r="CX11" i="37" s="1"/>
  <c r="CX33" i="37" s="1"/>
  <c r="CZ70" i="17"/>
  <c r="CF166" i="37" s="1"/>
  <c r="CF175" i="37" s="1"/>
  <c r="DD55" i="17"/>
  <c r="DD42" i="17" s="1"/>
  <c r="DR47" i="17"/>
  <c r="DD33" i="17"/>
  <c r="DI81" i="17"/>
  <c r="CY11" i="37" s="1"/>
  <c r="CY33" i="37" s="1"/>
  <c r="DL76" i="17"/>
  <c r="DB6" i="37" s="1"/>
  <c r="DB28" i="37" s="1"/>
  <c r="CY54" i="17"/>
  <c r="CY39" i="17" s="1"/>
  <c r="DJ48" i="17"/>
  <c r="CU38" i="17"/>
  <c r="CX31" i="17"/>
  <c r="CU82" i="17"/>
  <c r="CK12" i="37" s="1"/>
  <c r="CK34" i="37" s="1"/>
  <c r="DB58" i="17"/>
  <c r="CZ51" i="17"/>
  <c r="DE36" i="17"/>
  <c r="DJ80" i="17"/>
  <c r="CZ10" i="37" s="1"/>
  <c r="CZ32" i="37" s="1"/>
  <c r="CY77" i="17"/>
  <c r="CO7" i="37" s="1"/>
  <c r="CO29" i="37" s="1"/>
  <c r="CY69" i="17"/>
  <c r="CE165" i="37" s="1"/>
  <c r="CE174" i="37" s="1"/>
  <c r="CW57" i="17"/>
  <c r="CT84" i="17"/>
  <c r="CJ14" i="37" s="1"/>
  <c r="CJ36" i="37" s="1"/>
  <c r="DP84" i="17"/>
  <c r="DF14" i="37" s="1"/>
  <c r="DF36" i="37" s="1"/>
  <c r="DK83" i="17"/>
  <c r="DA13" i="37" s="1"/>
  <c r="DA35" i="37" s="1"/>
  <c r="DH82" i="17"/>
  <c r="CX12" i="37" s="1"/>
  <c r="CX34" i="37" s="1"/>
  <c r="DE81" i="17"/>
  <c r="CU11" i="37" s="1"/>
  <c r="CU33" i="37" s="1"/>
  <c r="CZ80" i="17"/>
  <c r="CP10" i="37" s="1"/>
  <c r="CP32" i="37" s="1"/>
  <c r="CW79" i="17"/>
  <c r="CM9" i="37" s="1"/>
  <c r="CM31" i="37" s="1"/>
  <c r="CT78" i="17"/>
  <c r="CJ8" i="37" s="1"/>
  <c r="CJ30" i="37" s="1"/>
  <c r="DN78" i="17"/>
  <c r="DD8" i="37" s="1"/>
  <c r="DD30" i="37" s="1"/>
  <c r="DK77" i="17"/>
  <c r="DA7" i="37" s="1"/>
  <c r="DA29" i="37" s="1"/>
  <c r="DH76" i="17"/>
  <c r="CX6" i="37" s="1"/>
  <c r="CX28" i="37" s="1"/>
  <c r="DB71" i="17"/>
  <c r="CH167" i="37" s="1"/>
  <c r="CH176" i="37" s="1"/>
  <c r="CW70" i="17"/>
  <c r="CC166" i="37" s="1"/>
  <c r="CC175" i="37" s="1"/>
  <c r="DP70" i="17"/>
  <c r="CV166" i="37" s="1"/>
  <c r="CV175" i="37" s="1"/>
  <c r="DL69" i="17"/>
  <c r="CR165" i="37" s="1"/>
  <c r="CR174" i="37" s="1"/>
  <c r="CU58" i="17"/>
  <c r="DP58" i="17"/>
  <c r="DJ57" i="17"/>
  <c r="DD56" i="17"/>
  <c r="CY55" i="17"/>
  <c r="CY42" i="17" s="1"/>
  <c r="CU54" i="17"/>
  <c r="CU39" i="17" s="1"/>
  <c r="DN54" i="17"/>
  <c r="DN39" i="17" s="1"/>
  <c r="DG53" i="17"/>
  <c r="CZ52" i="17"/>
  <c r="DR52" i="17"/>
  <c r="DK51" i="17"/>
  <c r="DD48" i="17"/>
  <c r="CX47" i="17"/>
  <c r="DO47" i="17"/>
  <c r="DG46" i="17"/>
  <c r="CY45" i="17"/>
  <c r="DP45" i="17"/>
  <c r="DH38" i="17"/>
  <c r="CZ36" i="17"/>
  <c r="DQ36" i="17"/>
  <c r="DI34" i="17"/>
  <c r="DA33" i="17"/>
  <c r="DR33" i="17"/>
  <c r="DJ31" i="17"/>
  <c r="CW84" i="17"/>
  <c r="CM14" i="37" s="1"/>
  <c r="CM36" i="37" s="1"/>
  <c r="DQ84" i="17"/>
  <c r="DG14" i="37" s="1"/>
  <c r="DG36" i="37" s="1"/>
  <c r="DL83" i="17"/>
  <c r="DB13" i="37" s="1"/>
  <c r="DB35" i="37" s="1"/>
  <c r="DK82" i="17"/>
  <c r="DA12" i="37" s="1"/>
  <c r="DA34" i="37" s="1"/>
  <c r="DF81" i="17"/>
  <c r="CV11" i="37" s="1"/>
  <c r="CV33" i="37" s="1"/>
  <c r="DH46" i="17"/>
  <c r="DA79" i="17"/>
  <c r="CQ9" i="37" s="1"/>
  <c r="CQ31" i="37" s="1"/>
  <c r="DQ78" i="17"/>
  <c r="DG8" i="37" s="1"/>
  <c r="DG30" i="37" s="1"/>
  <c r="DD71" i="17"/>
  <c r="CJ167" i="37" s="1"/>
  <c r="CJ176" i="37" s="1"/>
  <c r="CY58" i="17"/>
  <c r="CW54" i="17"/>
  <c r="CW39" i="17" s="1"/>
  <c r="DM51" i="17"/>
  <c r="DQ47" i="17"/>
  <c r="DB36" i="17"/>
  <c r="CU31" i="17"/>
  <c r="CT83" i="17"/>
  <c r="CJ13" i="37" s="1"/>
  <c r="CJ35" i="37" s="1"/>
  <c r="DK76" i="17"/>
  <c r="DA6" i="37" s="1"/>
  <c r="DA28" i="37" s="1"/>
  <c r="CT57" i="17"/>
  <c r="DP51" i="17"/>
  <c r="CU34" i="17"/>
  <c r="DC79" i="17"/>
  <c r="CS9" i="37" s="1"/>
  <c r="CS31" i="37" s="1"/>
  <c r="CU77" i="17"/>
  <c r="CK7" i="37" s="1"/>
  <c r="CK29" i="37" s="1"/>
  <c r="DI56" i="17"/>
  <c r="DD52" i="17"/>
  <c r="DK46" i="17"/>
  <c r="DM34" i="17"/>
  <c r="DA84" i="17"/>
  <c r="CQ14" i="37" s="1"/>
  <c r="CQ36" i="37" s="1"/>
  <c r="DF55" i="17"/>
  <c r="DF42" i="17" s="1"/>
  <c r="DL46" i="17"/>
  <c r="DP31" i="17"/>
  <c r="DE79" i="17"/>
  <c r="CU9" i="37" s="1"/>
  <c r="CU31" i="37" s="1"/>
  <c r="DA78" i="17"/>
  <c r="CQ8" i="37" s="1"/>
  <c r="CQ30" i="37" s="1"/>
  <c r="DO76" i="17"/>
  <c r="DE6" i="37" s="1"/>
  <c r="DE28" i="37" s="1"/>
  <c r="DC58" i="17"/>
  <c r="DA80" i="17"/>
  <c r="CQ10" i="37" s="1"/>
  <c r="CQ32" i="37" s="1"/>
  <c r="CZ79" i="17"/>
  <c r="CP9" i="37" s="1"/>
  <c r="CP31" i="37" s="1"/>
  <c r="CU78" i="17"/>
  <c r="CK8" i="37" s="1"/>
  <c r="CK30" i="37" s="1"/>
  <c r="DO78" i="17"/>
  <c r="DE8" i="37" s="1"/>
  <c r="DE30" i="37" s="1"/>
  <c r="DN77" i="17"/>
  <c r="DD7" i="37" s="1"/>
  <c r="DD29" i="37" s="1"/>
  <c r="DI76" i="17"/>
  <c r="CY6" i="37" s="1"/>
  <c r="CY28" i="37" s="1"/>
  <c r="DC71" i="17"/>
  <c r="CI167" i="37" s="1"/>
  <c r="CI176" i="37" s="1"/>
  <c r="CX70" i="17"/>
  <c r="CD166" i="37" s="1"/>
  <c r="CD175" i="37" s="1"/>
  <c r="CT69" i="17"/>
  <c r="BZ165" i="37" s="1"/>
  <c r="BZ174" i="37" s="1"/>
  <c r="DM69" i="17"/>
  <c r="CS165" i="37" s="1"/>
  <c r="CS174" i="37" s="1"/>
  <c r="CV58" i="17"/>
  <c r="DQ58" i="17"/>
  <c r="DK57" i="17"/>
  <c r="DE56" i="17"/>
  <c r="CZ55" i="17"/>
  <c r="CZ42" i="17" s="1"/>
  <c r="CV54" i="17"/>
  <c r="CV39" i="17" s="1"/>
  <c r="DO54" i="17"/>
  <c r="DO39" i="17" s="1"/>
  <c r="DH53" i="17"/>
  <c r="DA52" i="17"/>
  <c r="CT51" i="17"/>
  <c r="DL51" i="17"/>
  <c r="DG48" i="17"/>
  <c r="CY47" i="17"/>
  <c r="DP47" i="17"/>
  <c r="CZ45" i="17"/>
  <c r="DQ45" i="17"/>
  <c r="DI38" i="17"/>
  <c r="DA36" i="17"/>
  <c r="DR36" i="17"/>
  <c r="DJ34" i="17"/>
  <c r="DB33" i="17"/>
  <c r="CT31" i="17"/>
  <c r="CX84" i="17"/>
  <c r="CN14" i="37" s="1"/>
  <c r="CN36" i="37" s="1"/>
  <c r="DO77" i="17"/>
  <c r="DE7" i="37" s="1"/>
  <c r="DE29" i="37" s="1"/>
  <c r="DR58" i="17"/>
  <c r="CU51" i="17"/>
  <c r="DJ38" i="17"/>
  <c r="DD80" i="17"/>
  <c r="CT10" i="37" s="1"/>
  <c r="CT32" i="37" s="1"/>
  <c r="CW78" i="17"/>
  <c r="CM8" i="37" s="1"/>
  <c r="CM30" i="37" s="1"/>
  <c r="DO69" i="17"/>
  <c r="CU165" i="37" s="1"/>
  <c r="CU174" i="37" s="1"/>
  <c r="DM57" i="17"/>
  <c r="DJ53" i="17"/>
  <c r="DA47" i="17"/>
  <c r="DC36" i="17"/>
  <c r="CV31" i="17"/>
  <c r="CZ84" i="17"/>
  <c r="CP14" i="37" s="1"/>
  <c r="CP36" i="37" s="1"/>
  <c r="DP69" i="17"/>
  <c r="CV165" i="37" s="1"/>
  <c r="CV174" i="37" s="1"/>
  <c r="DR54" i="17"/>
  <c r="DR39" i="17" s="1"/>
  <c r="DC45" i="17"/>
  <c r="CV83" i="17"/>
  <c r="CL13" i="37" s="1"/>
  <c r="CL35" i="37" s="1"/>
  <c r="DR77" i="17"/>
  <c r="DH7" i="37" s="1"/>
  <c r="DH29" i="37" s="1"/>
  <c r="DQ69" i="17"/>
  <c r="CW165" i="37" s="1"/>
  <c r="CW174" i="37" s="1"/>
  <c r="DJ56" i="17"/>
  <c r="DR51" i="17"/>
  <c r="DD45" i="17"/>
  <c r="DG33" i="17"/>
  <c r="DP82" i="17"/>
  <c r="DF12" i="37" s="1"/>
  <c r="DF34" i="37" s="1"/>
  <c r="DI71" i="17"/>
  <c r="CO167" i="37" s="1"/>
  <c r="CO176" i="37" s="1"/>
  <c r="CZ82" i="17"/>
  <c r="CP12" i="37" s="1"/>
  <c r="CP34" i="37" s="1"/>
  <c r="DJ79" i="17"/>
  <c r="CZ9" i="37" s="1"/>
  <c r="CZ31" i="37" s="1"/>
  <c r="CV71" i="17"/>
  <c r="CB167" i="37" s="1"/>
  <c r="CB176" i="37" s="1"/>
  <c r="CZ57" i="17"/>
  <c r="DJ55" i="17"/>
  <c r="DJ42" i="17" s="1"/>
  <c r="CT52" i="17"/>
  <c r="DL48" i="17"/>
  <c r="DN46" i="17"/>
  <c r="DP38" i="17"/>
  <c r="CT33" i="17"/>
  <c r="DQ82" i="17"/>
  <c r="DG12" i="37" s="1"/>
  <c r="DG34" i="37" s="1"/>
  <c r="DB78" i="17"/>
  <c r="CR8" i="37" s="1"/>
  <c r="CR30" i="37" s="1"/>
  <c r="DL71" i="17"/>
  <c r="CR167" i="37" s="1"/>
  <c r="CR176" i="37" s="1"/>
  <c r="DA57" i="17"/>
  <c r="DK55" i="17"/>
  <c r="DK42" i="17" s="1"/>
  <c r="DF52" i="17"/>
  <c r="DM48" i="17"/>
  <c r="DO46" i="17"/>
  <c r="DR38" i="17"/>
  <c r="CU33" i="17"/>
  <c r="DD78" i="17"/>
  <c r="CT8" i="37" s="1"/>
  <c r="CT30" i="37" s="1"/>
  <c r="DM71" i="17"/>
  <c r="CS167" i="37" s="1"/>
  <c r="CS176" i="37" s="1"/>
  <c r="DB57" i="17"/>
  <c r="DI52" i="17"/>
  <c r="DN48" i="17"/>
  <c r="DP46" i="17"/>
  <c r="CT36" i="17"/>
  <c r="DQ57" i="17"/>
  <c r="DQ46" i="17"/>
  <c r="DI33" i="17"/>
  <c r="DJ33" i="17"/>
  <c r="CZ77" i="17"/>
  <c r="CP7" i="37" s="1"/>
  <c r="CP29" i="37" s="1"/>
  <c r="DK33" i="17"/>
  <c r="DD69" i="17"/>
  <c r="CJ165" i="37" s="1"/>
  <c r="CJ174" i="37" s="1"/>
  <c r="CX46" i="17"/>
  <c r="DF58" i="17"/>
  <c r="CV48" i="17"/>
  <c r="DQ76" i="17"/>
  <c r="DG6" i="37" s="1"/>
  <c r="DG28" i="37" s="1"/>
  <c r="CW48" i="17"/>
  <c r="DI55" i="17"/>
  <c r="DI42" i="17" s="1"/>
  <c r="DJ52" i="17"/>
  <c r="DD47" i="17"/>
  <c r="DN80" i="17"/>
  <c r="DD10" i="37" s="1"/>
  <c r="DD32" i="37" s="1"/>
  <c r="DC34" i="17"/>
  <c r="DG55" i="17"/>
  <c r="DG42" i="17" s="1"/>
  <c r="DR31" i="17"/>
  <c r="CX82" i="17"/>
  <c r="CN12" i="37" s="1"/>
  <c r="CN34" i="37" s="1"/>
  <c r="CX57" i="17"/>
  <c r="DO38" i="17"/>
  <c r="DR82" i="17"/>
  <c r="DH12" i="37" s="1"/>
  <c r="DH34" i="37" s="1"/>
  <c r="DA54" i="17"/>
  <c r="DA39" i="17" s="1"/>
  <c r="DH33" i="17"/>
  <c r="DF36" i="17"/>
  <c r="DE45" i="17"/>
  <c r="DM81" i="17"/>
  <c r="DC11" i="37" s="1"/>
  <c r="DC33" i="37" s="1"/>
  <c r="DI36" i="17"/>
  <c r="DQ56" i="17"/>
  <c r="CZ38" i="17"/>
  <c r="DP34" i="17"/>
  <c r="DH55" i="17"/>
  <c r="DH42" i="17" s="1"/>
  <c r="CZ46" i="17"/>
  <c r="CY82" i="17"/>
  <c r="CO12" i="37" s="1"/>
  <c r="CO34" i="37" s="1"/>
  <c r="DR53" i="17"/>
  <c r="CT81" i="17"/>
  <c r="CJ11" i="37" s="1"/>
  <c r="CJ33" i="37" s="1"/>
  <c r="DG78" i="17"/>
  <c r="CW8" i="37" s="1"/>
  <c r="CW30" i="37" s="1"/>
  <c r="DN71" i="17"/>
  <c r="CT167" i="37" s="1"/>
  <c r="CT176" i="37" s="1"/>
  <c r="DB54" i="17"/>
  <c r="DB39" i="17" s="1"/>
  <c r="DO48" i="17"/>
  <c r="DF70" i="17"/>
  <c r="CL166" i="37" s="1"/>
  <c r="CL175" i="37" s="1"/>
  <c r="DL52" i="17"/>
  <c r="DE58" i="17"/>
  <c r="CU48" i="17"/>
  <c r="DF79" i="17"/>
  <c r="CV9" i="37" s="1"/>
  <c r="CV31" i="37" s="1"/>
  <c r="DB38" i="17"/>
  <c r="DG58" i="17"/>
  <c r="DQ34" i="17"/>
  <c r="DR34" i="17"/>
  <c r="CV81" i="17"/>
  <c r="CL11" i="37" s="1"/>
  <c r="CL33" i="37" s="1"/>
  <c r="DH78" i="17"/>
  <c r="CX8" i="37" s="1"/>
  <c r="CX30" i="37" s="1"/>
  <c r="DO71" i="17"/>
  <c r="CU167" i="37" s="1"/>
  <c r="CU176" i="37" s="1"/>
  <c r="DR57" i="17"/>
  <c r="DC54" i="17"/>
  <c r="DC39" i="17" s="1"/>
  <c r="DK52" i="17"/>
  <c r="DP48" i="17"/>
  <c r="DG36" i="17"/>
  <c r="CT56" i="17"/>
  <c r="DF45" i="17"/>
  <c r="CY76" i="17"/>
  <c r="CO6" i="37" s="1"/>
  <c r="CO28" i="37" s="1"/>
  <c r="DC84" i="17"/>
  <c r="CS14" i="37" s="1"/>
  <c r="CS36" i="37" s="1"/>
  <c r="DE54" i="17"/>
  <c r="DE39" i="17" s="1"/>
  <c r="DQ31" i="17"/>
  <c r="CW82" i="17"/>
  <c r="CM12" i="37" s="1"/>
  <c r="CM34" i="37" s="1"/>
  <c r="CY46" i="17"/>
  <c r="DN38" i="17"/>
  <c r="DR76" i="17"/>
  <c r="DH6" i="37" s="1"/>
  <c r="DH28" i="37" s="1"/>
  <c r="DM46" i="17"/>
  <c r="DD84" i="17"/>
  <c r="CT14" i="37" s="1"/>
  <c r="CT36" i="37" s="1"/>
  <c r="DO81" i="17"/>
  <c r="DE11" i="37" s="1"/>
  <c r="DE33" i="37" s="1"/>
  <c r="DA77" i="17"/>
  <c r="CQ7" i="37" s="1"/>
  <c r="CQ29" i="37" s="1"/>
  <c r="DG70" i="17"/>
  <c r="CM166" i="37" s="1"/>
  <c r="CM175" i="37" s="1"/>
  <c r="CW56" i="17"/>
  <c r="DF54" i="17"/>
  <c r="DF39" i="17" s="1"/>
  <c r="DA51" i="17"/>
  <c r="DE47" i="17"/>
  <c r="DG45" i="17"/>
  <c r="DJ36" i="17"/>
  <c r="DL33" i="17"/>
  <c r="DE84" i="17"/>
  <c r="CU14" i="37" s="1"/>
  <c r="CU36" i="37" s="1"/>
  <c r="DR81" i="17"/>
  <c r="DH11" i="37" s="1"/>
  <c r="DH33" i="37" s="1"/>
  <c r="DB77" i="17"/>
  <c r="CR7" i="37" s="1"/>
  <c r="CR29" i="37" s="1"/>
  <c r="DH70" i="17"/>
  <c r="CN166" i="37" s="1"/>
  <c r="CN175" i="37" s="1"/>
  <c r="CX56" i="17"/>
  <c r="CU53" i="17"/>
  <c r="DB51" i="17"/>
  <c r="DF47" i="17"/>
  <c r="DH45" i="17"/>
  <c r="DK36" i="17"/>
  <c r="CZ31" i="17"/>
  <c r="DG84" i="17"/>
  <c r="CW14" i="37" s="1"/>
  <c r="CW36" i="37" s="1"/>
  <c r="CT80" i="17"/>
  <c r="CJ10" i="37" s="1"/>
  <c r="CJ32" i="37" s="1"/>
  <c r="DC77" i="17"/>
  <c r="CS7" i="37" s="1"/>
  <c r="CS29" i="37" s="1"/>
  <c r="DI70" i="17"/>
  <c r="CO166" i="37" s="1"/>
  <c r="CO175" i="37" s="1"/>
  <c r="DM56" i="17"/>
  <c r="CV53" i="17"/>
  <c r="DC51" i="17"/>
  <c r="DG47" i="17"/>
  <c r="DI45" i="17"/>
  <c r="CX34" i="17"/>
  <c r="DA31" i="17"/>
  <c r="CY83" i="17"/>
  <c r="CO13" i="37" s="1"/>
  <c r="CO35" i="37" s="1"/>
  <c r="DK80" i="17"/>
  <c r="DA10" i="37" s="1"/>
  <c r="DA32" i="37" s="1"/>
  <c r="CU76" i="17"/>
  <c r="CK6" i="37" s="1"/>
  <c r="CK28" i="37" s="1"/>
  <c r="CZ69" i="17"/>
  <c r="CF165" i="37" s="1"/>
  <c r="CF174" i="37" s="1"/>
  <c r="DN56" i="17"/>
  <c r="CW53" i="17"/>
  <c r="DD51" i="17"/>
  <c r="DH47" i="17"/>
  <c r="CW38" i="17"/>
  <c r="CZ34" i="17"/>
  <c r="DB31" i="17"/>
  <c r="DA83" i="17"/>
  <c r="CQ13" i="37" s="1"/>
  <c r="CQ35" i="37" s="1"/>
  <c r="DL80" i="17"/>
  <c r="DB10" i="37" s="1"/>
  <c r="DB32" i="37" s="1"/>
  <c r="CV76" i="17"/>
  <c r="CL6" i="37" s="1"/>
  <c r="CL28" i="37" s="1"/>
  <c r="DA69" i="17"/>
  <c r="CG165" i="37" s="1"/>
  <c r="CG174" i="37" s="1"/>
  <c r="DO56" i="17"/>
  <c r="CX53" i="17"/>
  <c r="DE51" i="17"/>
  <c r="CV46" i="17"/>
  <c r="CX38" i="17"/>
  <c r="DA34" i="17"/>
  <c r="DC31" i="17"/>
  <c r="DD83" i="17"/>
  <c r="CT13" i="37" s="1"/>
  <c r="CT35" i="37" s="1"/>
  <c r="DM80" i="17"/>
  <c r="DC10" i="37" s="1"/>
  <c r="DC32" i="37" s="1"/>
  <c r="CW76" i="17"/>
  <c r="CM6" i="37" s="1"/>
  <c r="CM28" i="37" s="1"/>
  <c r="DB69" i="17"/>
  <c r="CH165" i="37" s="1"/>
  <c r="CH174" i="37" s="1"/>
  <c r="DD58" i="17"/>
  <c r="DP56" i="17"/>
  <c r="CY53" i="17"/>
  <c r="CT48" i="17"/>
  <c r="CW46" i="17"/>
  <c r="CY38" i="17"/>
  <c r="DB34" i="17"/>
  <c r="DD31" i="17"/>
  <c r="DE83" i="17"/>
  <c r="CU13" i="37" s="1"/>
  <c r="CU35" i="37" s="1"/>
  <c r="DM53" i="17"/>
  <c r="DP76" i="17"/>
  <c r="DF6" i="37" s="1"/>
  <c r="DF28" i="37" s="1"/>
  <c r="DN53" i="17"/>
  <c r="DG79" i="17"/>
  <c r="CW9" i="37" s="1"/>
  <c r="CW31" i="37" s="1"/>
  <c r="DO53" i="17"/>
  <c r="DH79" i="17"/>
  <c r="CX9" i="37" s="1"/>
  <c r="CX31" i="37" s="1"/>
  <c r="CX48" i="17"/>
  <c r="CT28" i="17"/>
  <c r="DJ28" i="17"/>
  <c r="DA26" i="17"/>
  <c r="DQ26" i="17"/>
  <c r="DH24" i="17"/>
  <c r="CY23" i="17"/>
  <c r="DO23" i="17"/>
  <c r="DF22" i="17"/>
  <c r="CW20" i="17"/>
  <c r="DM20" i="17"/>
  <c r="DD19" i="17"/>
  <c r="CU18" i="17"/>
  <c r="DK18" i="17"/>
  <c r="DB16" i="17"/>
  <c r="DR16" i="17"/>
  <c r="DI15" i="17"/>
  <c r="CZ14" i="17"/>
  <c r="DP14" i="17"/>
  <c r="DG13" i="17"/>
  <c r="CX12" i="17"/>
  <c r="DN12" i="17"/>
  <c r="CU28" i="17"/>
  <c r="DK28" i="17"/>
  <c r="DB26" i="17"/>
  <c r="DR26" i="17"/>
  <c r="DI24" i="17"/>
  <c r="CZ23" i="17"/>
  <c r="DP23" i="17"/>
  <c r="DG22" i="17"/>
  <c r="CX20" i="17"/>
  <c r="DN20" i="17"/>
  <c r="DE19" i="17"/>
  <c r="CV18" i="17"/>
  <c r="DL18" i="17"/>
  <c r="DC16" i="17"/>
  <c r="CT15" i="17"/>
  <c r="DJ15" i="17"/>
  <c r="DA14" i="17"/>
  <c r="DQ14" i="17"/>
  <c r="DH13" i="17"/>
  <c r="DO12" i="17"/>
  <c r="CT24" i="17"/>
  <c r="DH22" i="17"/>
  <c r="DO20" i="17"/>
  <c r="CW18" i="17"/>
  <c r="DD16" i="17"/>
  <c r="DK15" i="17"/>
  <c r="DI13" i="17"/>
  <c r="DM15" i="17"/>
  <c r="DR12" i="17"/>
  <c r="CZ22" i="17"/>
  <c r="DP22" i="17"/>
  <c r="CX19" i="17"/>
  <c r="DL16" i="17"/>
  <c r="DQ13" i="17"/>
  <c r="DE28" i="17"/>
  <c r="CW16" i="17"/>
  <c r="DI12" i="17"/>
  <c r="CU23" i="17"/>
  <c r="DP19" i="17"/>
  <c r="CV14" i="17"/>
  <c r="DN26" i="17"/>
  <c r="CY16" i="17"/>
  <c r="CU12" i="17"/>
  <c r="CW23" i="17"/>
  <c r="DB19" i="17"/>
  <c r="CX14" i="17"/>
  <c r="CZ26" i="17"/>
  <c r="DQ16" i="17"/>
  <c r="CY12" i="17"/>
  <c r="DB14" i="17"/>
  <c r="CZ12" i="17"/>
  <c r="DK13" i="17"/>
  <c r="DK26" i="17"/>
  <c r="DJ14" i="17"/>
  <c r="DL26" i="17"/>
  <c r="CY19" i="17"/>
  <c r="DK14" i="17"/>
  <c r="DB22" i="17"/>
  <c r="DG18" i="17"/>
  <c r="CT12" i="17"/>
  <c r="DC22" i="17"/>
  <c r="DO16" i="17"/>
  <c r="DO26" i="17"/>
  <c r="DI18" i="17"/>
  <c r="DP26" i="17"/>
  <c r="DJ18" i="17"/>
  <c r="DM12" i="17"/>
  <c r="CV28" i="17"/>
  <c r="DL28" i="17"/>
  <c r="DC26" i="17"/>
  <c r="DJ24" i="17"/>
  <c r="DA23" i="17"/>
  <c r="DQ23" i="17"/>
  <c r="CY20" i="17"/>
  <c r="DF19" i="17"/>
  <c r="DM18" i="17"/>
  <c r="CU15" i="17"/>
  <c r="DR14" i="17"/>
  <c r="DP12" i="17"/>
  <c r="DB12" i="17"/>
  <c r="DB24" i="17"/>
  <c r="DE18" i="17"/>
  <c r="DH12" i="17"/>
  <c r="CT23" i="17"/>
  <c r="DF18" i="17"/>
  <c r="DR13" i="17"/>
  <c r="DM26" i="17"/>
  <c r="DN16" i="17"/>
  <c r="DJ12" i="17"/>
  <c r="CV23" i="17"/>
  <c r="DH18" i="17"/>
  <c r="DK12" i="17"/>
  <c r="DD22" i="17"/>
  <c r="DP16" i="17"/>
  <c r="DL12" i="17"/>
  <c r="DN23" i="17"/>
  <c r="CT18" i="17"/>
  <c r="CY14" i="17"/>
  <c r="CW12" i="17"/>
  <c r="CW28" i="17"/>
  <c r="DM28" i="17"/>
  <c r="DD26" i="17"/>
  <c r="CU24" i="17"/>
  <c r="DK24" i="17"/>
  <c r="DB23" i="17"/>
  <c r="DR23" i="17"/>
  <c r="DI22" i="17"/>
  <c r="CZ20" i="17"/>
  <c r="DP20" i="17"/>
  <c r="DG19" i="17"/>
  <c r="CX18" i="17"/>
  <c r="DN18" i="17"/>
  <c r="DE16" i="17"/>
  <c r="CV15" i="17"/>
  <c r="DL15" i="17"/>
  <c r="DC14" i="17"/>
  <c r="CT13" i="17"/>
  <c r="DJ13" i="17"/>
  <c r="DA12" i="17"/>
  <c r="DQ12" i="17"/>
  <c r="DO18" i="17"/>
  <c r="DD14" i="17"/>
  <c r="DR24" i="17"/>
  <c r="DN19" i="17"/>
  <c r="DA13" i="17"/>
  <c r="DA22" i="17"/>
  <c r="DM16" i="17"/>
  <c r="DD24" i="17"/>
  <c r="CZ19" i="17"/>
  <c r="DC13" i="17"/>
  <c r="DE24" i="17"/>
  <c r="DQ19" i="17"/>
  <c r="DD13" i="17"/>
  <c r="CY26" i="17"/>
  <c r="DR19" i="17"/>
  <c r="CV12" i="17"/>
  <c r="DE22" i="17"/>
  <c r="DC19" i="17"/>
  <c r="DF13" i="17"/>
  <c r="CX28" i="17"/>
  <c r="DN28" i="17"/>
  <c r="DE26" i="17"/>
  <c r="CV24" i="17"/>
  <c r="DL24" i="17"/>
  <c r="DC23" i="17"/>
  <c r="CT22" i="17"/>
  <c r="DJ22" i="17"/>
  <c r="DA20" i="17"/>
  <c r="DQ20" i="17"/>
  <c r="DH19" i="17"/>
  <c r="CY18" i="17"/>
  <c r="DF16" i="17"/>
  <c r="CW15" i="17"/>
  <c r="CU13" i="17"/>
  <c r="DI23" i="17"/>
  <c r="DG20" i="17"/>
  <c r="DC15" i="17"/>
  <c r="CV26" i="17"/>
  <c r="DQ22" i="17"/>
  <c r="DD15" i="17"/>
  <c r="DF28" i="17"/>
  <c r="DI20" i="17"/>
  <c r="DL14" i="17"/>
  <c r="DL23" i="17"/>
  <c r="DJ20" i="17"/>
  <c r="DF15" i="17"/>
  <c r="DM23" i="17"/>
  <c r="CZ16" i="17"/>
  <c r="DE13" i="17"/>
  <c r="DG24" i="17"/>
  <c r="DA16" i="17"/>
  <c r="CY28" i="17"/>
  <c r="DO28" i="17"/>
  <c r="DF26" i="17"/>
  <c r="CW24" i="17"/>
  <c r="DM24" i="17"/>
  <c r="DD23" i="17"/>
  <c r="CU22" i="17"/>
  <c r="DK22" i="17"/>
  <c r="DB20" i="17"/>
  <c r="DR20" i="17"/>
  <c r="DI19" i="17"/>
  <c r="CZ18" i="17"/>
  <c r="DP18" i="17"/>
  <c r="DG16" i="17"/>
  <c r="CX15" i="17"/>
  <c r="DN15" i="17"/>
  <c r="DE14" i="17"/>
  <c r="CV13" i="17"/>
  <c r="DL13" i="17"/>
  <c r="DC12" i="17"/>
  <c r="DP13" i="17"/>
  <c r="DD28" i="17"/>
  <c r="CT14" i="17"/>
  <c r="DJ23" i="17"/>
  <c r="DO19" i="17"/>
  <c r="CU14" i="17"/>
  <c r="CW26" i="17"/>
  <c r="CX16" i="17"/>
  <c r="CX26" i="17"/>
  <c r="DA19" i="17"/>
  <c r="DM14" i="17"/>
  <c r="DF24" i="17"/>
  <c r="CU20" i="17"/>
  <c r="DG15" i="17"/>
  <c r="DI28" i="17"/>
  <c r="CV20" i="17"/>
  <c r="DO14" i="17"/>
  <c r="CZ28" i="17"/>
  <c r="DP28" i="17"/>
  <c r="DG26" i="17"/>
  <c r="CX24" i="17"/>
  <c r="DN24" i="17"/>
  <c r="DE23" i="17"/>
  <c r="CV22" i="17"/>
  <c r="DL22" i="17"/>
  <c r="DC20" i="17"/>
  <c r="CT19" i="17"/>
  <c r="DJ19" i="17"/>
  <c r="DA18" i="17"/>
  <c r="DQ18" i="17"/>
  <c r="DH16" i="17"/>
  <c r="CY15" i="17"/>
  <c r="DO15" i="17"/>
  <c r="DF14" i="17"/>
  <c r="CW13" i="17"/>
  <c r="DM13" i="17"/>
  <c r="DD12" i="17"/>
  <c r="DA28" i="17"/>
  <c r="DQ28" i="17"/>
  <c r="DH26" i="17"/>
  <c r="CY24" i="17"/>
  <c r="DO24" i="17"/>
  <c r="DF23" i="17"/>
  <c r="CW22" i="17"/>
  <c r="DM22" i="17"/>
  <c r="DD20" i="17"/>
  <c r="CU19" i="17"/>
  <c r="DK19" i="17"/>
  <c r="DB18" i="17"/>
  <c r="DR18" i="17"/>
  <c r="DI16" i="17"/>
  <c r="CZ15" i="17"/>
  <c r="DP15" i="17"/>
  <c r="DG14" i="17"/>
  <c r="CX13" i="17"/>
  <c r="DN13" i="17"/>
  <c r="DE12" i="17"/>
  <c r="DB28" i="17"/>
  <c r="DR28" i="17"/>
  <c r="DI26" i="17"/>
  <c r="CZ24" i="17"/>
  <c r="DP24" i="17"/>
  <c r="DG23" i="17"/>
  <c r="CX22" i="17"/>
  <c r="DN22" i="17"/>
  <c r="DE20" i="17"/>
  <c r="CV19" i="17"/>
  <c r="DL19" i="17"/>
  <c r="DC18" i="17"/>
  <c r="CT16" i="17"/>
  <c r="DJ16" i="17"/>
  <c r="DA15" i="17"/>
  <c r="DQ15" i="17"/>
  <c r="DH14" i="17"/>
  <c r="CY13" i="17"/>
  <c r="DO13" i="17"/>
  <c r="DF12" i="17"/>
  <c r="DC28" i="17"/>
  <c r="CT26" i="17"/>
  <c r="DJ26" i="17"/>
  <c r="DA24" i="17"/>
  <c r="DQ24" i="17"/>
  <c r="DH23" i="17"/>
  <c r="CY22" i="17"/>
  <c r="DO22" i="17"/>
  <c r="DF20" i="17"/>
  <c r="CW19" i="17"/>
  <c r="DM19" i="17"/>
  <c r="DD18" i="17"/>
  <c r="CU16" i="17"/>
  <c r="DK16" i="17"/>
  <c r="DB15" i="17"/>
  <c r="DR15" i="17"/>
  <c r="DI14" i="17"/>
  <c r="CZ13" i="17"/>
  <c r="DG12" i="17"/>
  <c r="CU26" i="17"/>
  <c r="CV16" i="17"/>
  <c r="DC24" i="17"/>
  <c r="DH20" i="17"/>
  <c r="DB13" i="17"/>
  <c r="DK23" i="17"/>
  <c r="DR22" i="17"/>
  <c r="DE15" i="17"/>
  <c r="DG28" i="17"/>
  <c r="CT20" i="17"/>
  <c r="CW14" i="17"/>
  <c r="DH28" i="17"/>
  <c r="DK20" i="17"/>
  <c r="DN14" i="17"/>
  <c r="CX23" i="17"/>
  <c r="DL20" i="17"/>
  <c r="DH15" i="17"/>
  <c r="DW53" i="25"/>
  <c r="E30" i="15" s="1"/>
  <c r="F58" i="17" s="1"/>
  <c r="DW47" i="25"/>
  <c r="DW50" i="25"/>
  <c r="DW52" i="25"/>
  <c r="M72" i="14" s="1"/>
  <c r="DW51" i="25"/>
  <c r="E26" i="15" s="1"/>
  <c r="F52" i="17" s="1"/>
  <c r="DW49" i="25"/>
  <c r="M62" i="14" s="1"/>
  <c r="DW46" i="25"/>
  <c r="E27" i="15" s="1"/>
  <c r="F53" i="17" s="1"/>
  <c r="DC49" i="17" a="1"/>
  <c r="DC49" i="17" s="1"/>
  <c r="DO49" i="17" a="1"/>
  <c r="DO49" i="17" s="1"/>
  <c r="DC59" i="17" a="1"/>
  <c r="DC59" i="17" s="1"/>
  <c r="DQ59" i="17" a="1"/>
  <c r="DQ59" i="17" s="1"/>
  <c r="DP49" i="17" a="1"/>
  <c r="DP49" i="17" s="1"/>
  <c r="DD59" i="17" a="1"/>
  <c r="DD59" i="17" s="1"/>
  <c r="DR59" i="17" a="1"/>
  <c r="DR59" i="17" s="1"/>
  <c r="DQ49" i="17" a="1"/>
  <c r="DQ49" i="17" s="1"/>
  <c r="DE59" i="17" a="1"/>
  <c r="DE59" i="17" s="1"/>
  <c r="CU59" i="17" a="1"/>
  <c r="CU59" i="17" s="1"/>
  <c r="DI59" i="17" a="1"/>
  <c r="DI59" i="17" s="1"/>
  <c r="CU49" i="17" a="1"/>
  <c r="CU49" i="17" s="1"/>
  <c r="CV59" i="17" a="1"/>
  <c r="CV59" i="17" s="1"/>
  <c r="CZ49" i="17" a="1"/>
  <c r="CZ49" i="17" s="1"/>
  <c r="DA49" i="17" a="1"/>
  <c r="DA49" i="17" s="1"/>
  <c r="DD49" i="17" a="1"/>
  <c r="DD49" i="17" s="1"/>
  <c r="DG49" i="17" a="1"/>
  <c r="DG49" i="17" s="1"/>
  <c r="DO59" i="17" a="1"/>
  <c r="DO59" i="17" s="1"/>
  <c r="DB49" i="17" a="1"/>
  <c r="DB49" i="17" s="1"/>
  <c r="DE49" i="17" a="1"/>
  <c r="DE49" i="17" s="1"/>
  <c r="DR49" i="17" a="1"/>
  <c r="DR49" i="17" s="1"/>
  <c r="DF59" i="17" a="1"/>
  <c r="DF59" i="17" s="1"/>
  <c r="DH59" i="17" a="1"/>
  <c r="DH59" i="17" s="1"/>
  <c r="DM49" i="17" a="1"/>
  <c r="DM49" i="17" s="1"/>
  <c r="DF49" i="17" a="1"/>
  <c r="DF49" i="17" s="1"/>
  <c r="CT59" i="17" a="1"/>
  <c r="CT59" i="17" s="1"/>
  <c r="DG59" i="17" a="1"/>
  <c r="DG59" i="17" s="1"/>
  <c r="CT49" i="17" a="1"/>
  <c r="CT49" i="17" s="1"/>
  <c r="DP59" i="17" a="1"/>
  <c r="DP59" i="17" s="1"/>
  <c r="DH49" i="17" a="1"/>
  <c r="DH49" i="17" s="1"/>
  <c r="CW59" i="17" a="1"/>
  <c r="CW59" i="17" s="1"/>
  <c r="DJ59" i="17" a="1"/>
  <c r="DJ59" i="17" s="1"/>
  <c r="CV49" i="17" a="1"/>
  <c r="CV49" i="17" s="1"/>
  <c r="DI49" i="17" a="1"/>
  <c r="DI49" i="17" s="1"/>
  <c r="CX59" i="17" a="1"/>
  <c r="CX59" i="17" s="1"/>
  <c r="DK59" i="17" a="1"/>
  <c r="DK59" i="17" s="1"/>
  <c r="CW49" i="17" a="1"/>
  <c r="CW49" i="17" s="1"/>
  <c r="DJ49" i="17" a="1"/>
  <c r="DJ49" i="17" s="1"/>
  <c r="CY59" i="17" a="1"/>
  <c r="CY59" i="17" s="1"/>
  <c r="DL59" i="17" a="1"/>
  <c r="DL59" i="17" s="1"/>
  <c r="CX49" i="17" a="1"/>
  <c r="CX49" i="17" s="1"/>
  <c r="DK49" i="17" a="1"/>
  <c r="DK49" i="17" s="1"/>
  <c r="CZ59" i="17" a="1"/>
  <c r="CZ59" i="17" s="1"/>
  <c r="DM59" i="17" a="1"/>
  <c r="DM59" i="17" s="1"/>
  <c r="CY49" i="17" a="1"/>
  <c r="CY49" i="17" s="1"/>
  <c r="DL49" i="17" a="1"/>
  <c r="DL49" i="17" s="1"/>
  <c r="DA59" i="17" a="1"/>
  <c r="DA59" i="17" s="1"/>
  <c r="DN59" i="17" a="1"/>
  <c r="DN59" i="17" s="1"/>
  <c r="DB59" i="17" a="1"/>
  <c r="DB59" i="17" s="1"/>
  <c r="DN49" i="17" a="1"/>
  <c r="DN49" i="17" s="1"/>
  <c r="BR49" i="17" a="1"/>
  <c r="BR49" i="17" s="1"/>
  <c r="AC49" i="17" a="1"/>
  <c r="AC49" i="17" s="1"/>
  <c r="BH49" i="17" a="1"/>
  <c r="BH49" i="17" s="1"/>
  <c r="AS49" i="17" a="1"/>
  <c r="AS49" i="17" s="1"/>
  <c r="CD49" i="17" a="1"/>
  <c r="CD49" i="17" s="1"/>
  <c r="N49" i="17" a="1"/>
  <c r="N49" i="17" s="1"/>
  <c r="CI49" i="17" a="1"/>
  <c r="CI49" i="17" s="1"/>
  <c r="AT49" i="17" a="1"/>
  <c r="AT49" i="17" s="1"/>
  <c r="AQ49" i="17" a="1"/>
  <c r="AQ49" i="17" s="1"/>
  <c r="BZ49" i="17" a="1"/>
  <c r="BZ49" i="17" s="1"/>
  <c r="BU49" i="17" a="1"/>
  <c r="BU49" i="17" s="1"/>
  <c r="AL49" i="17" a="1"/>
  <c r="AL49" i="17" s="1"/>
  <c r="CR49" i="17" a="1"/>
  <c r="CR49" i="17" s="1"/>
  <c r="BK49" i="17" a="1"/>
  <c r="BK49" i="17" s="1"/>
  <c r="Z49" i="17" a="1"/>
  <c r="Z49" i="17" s="1"/>
  <c r="CF49" i="17" a="1"/>
  <c r="CF49" i="17" s="1"/>
  <c r="BD49" i="17" a="1"/>
  <c r="BD49" i="17" s="1"/>
  <c r="T49" i="17" a="1"/>
  <c r="T49" i="17" s="1"/>
  <c r="CB49" i="17" a="1"/>
  <c r="CB49" i="17" s="1"/>
  <c r="Q49" i="17" a="1"/>
  <c r="Q49" i="17" s="1"/>
  <c r="BO49" i="17" a="1"/>
  <c r="BO49" i="17" s="1"/>
  <c r="AM49" i="17" a="1"/>
  <c r="AM49" i="17" s="1"/>
  <c r="AK49" i="17" a="1"/>
  <c r="AK49" i="17" s="1"/>
  <c r="BC49" i="17" a="1"/>
  <c r="BC49" i="17" s="1"/>
  <c r="AR49" i="17" a="1"/>
  <c r="AR49" i="17" s="1"/>
  <c r="AX49" i="17" a="1"/>
  <c r="AX49" i="17" s="1"/>
  <c r="V49" i="17" a="1"/>
  <c r="V49" i="17" s="1"/>
  <c r="BB49" i="17" a="1"/>
  <c r="BB49" i="17" s="1"/>
  <c r="BT49" i="17" a="1"/>
  <c r="BT49" i="17" s="1"/>
  <c r="AI49" i="17" a="1"/>
  <c r="AI49" i="17" s="1"/>
  <c r="CO49" i="17" a="1"/>
  <c r="CO49" i="17" s="1"/>
  <c r="AN49" i="17" a="1"/>
  <c r="AN49" i="17" s="1"/>
  <c r="CL49" i="17" a="1"/>
  <c r="CL49" i="17" s="1"/>
  <c r="CK49" i="17" a="1"/>
  <c r="CK49" i="17" s="1"/>
  <c r="R49" i="17" a="1"/>
  <c r="R49" i="17" s="1"/>
  <c r="BX49" i="17" a="1"/>
  <c r="BX49" i="17" s="1"/>
  <c r="W49" i="17" a="1"/>
  <c r="W49" i="17" s="1"/>
  <c r="CC49" i="17" a="1"/>
  <c r="CC49" i="17" s="1"/>
  <c r="M10" i="17"/>
  <c r="AV49" i="17" a="1"/>
  <c r="AV49" i="17" s="1"/>
  <c r="BI49" i="17" a="1"/>
  <c r="BI49" i="17" s="1"/>
  <c r="BG49" i="17" a="1"/>
  <c r="BG49" i="17" s="1"/>
  <c r="AB49" i="17" a="1"/>
  <c r="AB49" i="17" s="1"/>
  <c r="BL49" i="17" a="1"/>
  <c r="BL49" i="17" s="1"/>
  <c r="AJ49" i="17" a="1"/>
  <c r="AJ49" i="17" s="1"/>
  <c r="CG49" i="17" a="1"/>
  <c r="CG49" i="17" s="1"/>
  <c r="BW49" i="17" a="1"/>
  <c r="BW49" i="17" s="1"/>
  <c r="BA49" i="17" a="1"/>
  <c r="BA49" i="17" s="1"/>
  <c r="BP49" i="17" a="1"/>
  <c r="BP49" i="17" s="1"/>
  <c r="AF49" i="17" a="1"/>
  <c r="AF49" i="17" s="1"/>
  <c r="BS49" i="17" a="1"/>
  <c r="BS49" i="17" s="1"/>
  <c r="AY49" i="17" a="1"/>
  <c r="AY49" i="17" s="1"/>
  <c r="O49" i="17" a="1"/>
  <c r="O49" i="17" s="1"/>
  <c r="CJ49" i="17" a="1"/>
  <c r="CJ49" i="17" s="1"/>
  <c r="AH49" i="17" a="1"/>
  <c r="AH49" i="17" s="1"/>
  <c r="CM49" i="17" a="1"/>
  <c r="CM49" i="17" s="1"/>
  <c r="CS49" i="17" a="1"/>
  <c r="CS49" i="17" s="1"/>
  <c r="Y49" i="17" a="1"/>
  <c r="Y49" i="17" s="1"/>
  <c r="AE49" i="17" a="1"/>
  <c r="AE49" i="17" s="1"/>
  <c r="U49" i="17" a="1"/>
  <c r="U49" i="17" s="1"/>
  <c r="AP49" i="17" a="1"/>
  <c r="AP49" i="17" s="1"/>
  <c r="AU49" i="17" a="1"/>
  <c r="AU49" i="17" s="1"/>
  <c r="BV49" i="17" a="1"/>
  <c r="BV49" i="17" s="1"/>
  <c r="AG49" i="17" a="1"/>
  <c r="AG49" i="17" s="1"/>
  <c r="AD49" i="17" a="1"/>
  <c r="AD49" i="17" s="1"/>
  <c r="AW49" i="17" a="1"/>
  <c r="AW49" i="17" s="1"/>
  <c r="P49" i="17" a="1"/>
  <c r="P49" i="17" s="1"/>
  <c r="BM49" i="17" a="1"/>
  <c r="BM49" i="17" s="1"/>
  <c r="AO49" i="17" a="1"/>
  <c r="AO49" i="17" s="1"/>
  <c r="X49" i="17" a="1"/>
  <c r="X49" i="17" s="1"/>
  <c r="CH49" i="17" a="1"/>
  <c r="CH49" i="17" s="1"/>
  <c r="CE49" i="17" a="1"/>
  <c r="CE49" i="17" s="1"/>
  <c r="BQ49" i="17" a="1"/>
  <c r="BQ49" i="17" s="1"/>
  <c r="BN49" i="17" a="1"/>
  <c r="BN49" i="17" s="1"/>
  <c r="AZ49" i="17" a="1"/>
  <c r="AZ49" i="17" s="1"/>
  <c r="BE49" i="17" a="1"/>
  <c r="BE49" i="17" s="1"/>
  <c r="AA49" i="17" a="1"/>
  <c r="AA49" i="17" s="1"/>
  <c r="BF49" i="17" a="1"/>
  <c r="BF49" i="17" s="1"/>
  <c r="CP49" i="17" a="1"/>
  <c r="CP49" i="17" s="1"/>
  <c r="BJ49" i="17" a="1"/>
  <c r="BJ49" i="17" s="1"/>
  <c r="S49" i="17" a="1"/>
  <c r="S49" i="17" s="1"/>
  <c r="BY49" i="17" a="1"/>
  <c r="BY49" i="17" s="1"/>
  <c r="CN49" i="17" a="1"/>
  <c r="CN49" i="17" s="1"/>
  <c r="CA49" i="17" a="1"/>
  <c r="CA49" i="17" s="1"/>
  <c r="CQ49" i="17" a="1"/>
  <c r="CQ49" i="17" s="1"/>
  <c r="DG92" i="17"/>
  <c r="DB92" i="17"/>
  <c r="DH92" i="17"/>
  <c r="DA92" i="17"/>
  <c r="DN92" i="17"/>
  <c r="DI92" i="17"/>
  <c r="CZ92" i="17"/>
  <c r="CT92" i="17"/>
  <c r="DC92" i="17"/>
  <c r="DJ92" i="17"/>
  <c r="DD92" i="17"/>
  <c r="CU92" i="17"/>
  <c r="DE92" i="17"/>
  <c r="DK92" i="17"/>
  <c r="DF92" i="17"/>
  <c r="CV92" i="17"/>
  <c r="DP92" i="17"/>
  <c r="DL92" i="17"/>
  <c r="DQ92" i="17"/>
  <c r="CW92" i="17"/>
  <c r="DM92" i="17"/>
  <c r="CX92" i="17"/>
  <c r="CY92" i="17"/>
  <c r="DO92" i="17"/>
  <c r="DR92" i="17"/>
  <c r="P77" i="37"/>
  <c r="P90" i="37" s="1"/>
  <c r="Y141" i="37"/>
  <c r="CW32" i="17"/>
  <c r="CW65" i="17" s="1"/>
  <c r="CX32" i="17"/>
  <c r="CX65" i="17" s="1"/>
  <c r="DR32" i="17"/>
  <c r="DR65" i="17" s="1"/>
  <c r="Q77" i="37"/>
  <c r="Q90" i="37" s="1"/>
  <c r="CY32" i="17"/>
  <c r="CY65" i="17" s="1"/>
  <c r="CZ32" i="17"/>
  <c r="CZ65" i="17" s="1"/>
  <c r="DC32" i="17"/>
  <c r="DC65" i="17" s="1"/>
  <c r="DA32" i="17"/>
  <c r="DA65" i="17" s="1"/>
  <c r="CV32" i="17"/>
  <c r="CV65" i="17" s="1"/>
  <c r="DD32" i="17"/>
  <c r="DD65" i="17" s="1"/>
  <c r="DM32" i="17"/>
  <c r="DM65" i="17" s="1"/>
  <c r="O77" i="37"/>
  <c r="O90" i="37" s="1"/>
  <c r="X141" i="37"/>
  <c r="DE32" i="17"/>
  <c r="DE65" i="17" s="1"/>
  <c r="DB32" i="17"/>
  <c r="DB65" i="17" s="1"/>
  <c r="CU32" i="17"/>
  <c r="CU65" i="17" s="1"/>
  <c r="DK32" i="17"/>
  <c r="DK65" i="17" s="1"/>
  <c r="Z141" i="37"/>
  <c r="DF32" i="17"/>
  <c r="DF65" i="17" s="1"/>
  <c r="DL32" i="17"/>
  <c r="DL65" i="17" s="1"/>
  <c r="CT32" i="17"/>
  <c r="CT65" i="17" s="1"/>
  <c r="DG32" i="17"/>
  <c r="DG65" i="17" s="1"/>
  <c r="DN32" i="17"/>
  <c r="DN65" i="17" s="1"/>
  <c r="DH32" i="17"/>
  <c r="DH65" i="17" s="1"/>
  <c r="DO32" i="17"/>
  <c r="DO65" i="17" s="1"/>
  <c r="DJ32" i="17"/>
  <c r="DJ65" i="17" s="1"/>
  <c r="DI32" i="17"/>
  <c r="DI65" i="17" s="1"/>
  <c r="DP32" i="17"/>
  <c r="DP65" i="17" s="1"/>
  <c r="DQ32" i="17"/>
  <c r="DQ65" i="17" s="1"/>
  <c r="N77" i="37"/>
  <c r="N90" i="37" s="1"/>
  <c r="W141" i="37"/>
  <c r="R77" i="37"/>
  <c r="R90" i="37" s="1"/>
  <c r="AA141" i="37"/>
  <c r="AB141" i="37"/>
  <c r="S77" i="37"/>
  <c r="S90" i="37" s="1"/>
  <c r="M77" i="37"/>
  <c r="M90" i="37" s="1"/>
  <c r="V141" i="37"/>
  <c r="L77" i="37"/>
  <c r="L90" i="37" s="1"/>
  <c r="T77" i="37"/>
  <c r="T90" i="37" s="1"/>
  <c r="U141" i="37"/>
  <c r="AC141" i="37"/>
  <c r="K77" i="37"/>
  <c r="K90" i="37" s="1"/>
  <c r="AD141" i="37"/>
  <c r="U77" i="37"/>
  <c r="U90" i="37" s="1"/>
  <c r="T141" i="37"/>
  <c r="V77" i="37"/>
  <c r="V90" i="37" s="1"/>
  <c r="J77" i="37"/>
  <c r="J90" i="37" s="1"/>
  <c r="S141" i="37"/>
  <c r="AE141" i="37"/>
  <c r="N141" i="37"/>
  <c r="E77" i="37"/>
  <c r="E90" i="37" s="1"/>
  <c r="W77" i="37"/>
  <c r="W90" i="37" s="1"/>
  <c r="AF141" i="37"/>
  <c r="P141" i="37"/>
  <c r="G77" i="37"/>
  <c r="G90" i="37" s="1"/>
  <c r="BF59" i="17" a="1"/>
  <c r="BF59" i="17" s="1"/>
  <c r="AS59" i="17" a="1"/>
  <c r="AS59" i="17" s="1"/>
  <c r="AF59" i="17" a="1"/>
  <c r="AF59" i="17" s="1"/>
  <c r="BU59" i="17" a="1"/>
  <c r="BU59" i="17" s="1"/>
  <c r="AO59" i="17" a="1"/>
  <c r="AO59" i="17" s="1"/>
  <c r="CM59" i="17" a="1"/>
  <c r="CM59" i="17" s="1"/>
  <c r="CQ59" i="17" a="1"/>
  <c r="CQ59" i="17" s="1"/>
  <c r="CN59" i="17" a="1"/>
  <c r="CN59" i="17" s="1"/>
  <c r="BM59" i="17" a="1"/>
  <c r="BM59" i="17" s="1"/>
  <c r="AD59" i="17" a="1"/>
  <c r="AD59" i="17" s="1"/>
  <c r="S59" i="17" a="1"/>
  <c r="S59" i="17" s="1"/>
  <c r="P59" i="17" a="1"/>
  <c r="P59" i="17" s="1"/>
  <c r="W59" i="17" a="1"/>
  <c r="W59" i="17" s="1"/>
  <c r="BA59" i="17" a="1"/>
  <c r="BA59" i="17" s="1"/>
  <c r="N59" i="17" a="1"/>
  <c r="N59" i="17" s="1"/>
  <c r="F77" i="37"/>
  <c r="F90" i="37" s="1"/>
  <c r="Y59" i="17" a="1"/>
  <c r="Y59" i="17" s="1"/>
  <c r="CB59" i="17" a="1"/>
  <c r="CB59" i="17" s="1"/>
  <c r="X77" i="37"/>
  <c r="X90" i="37" s="1"/>
  <c r="BY59" i="17" a="1"/>
  <c r="BY59" i="17" s="1"/>
  <c r="CJ59" i="17" a="1"/>
  <c r="CJ59" i="17" s="1"/>
  <c r="AG59" i="17" a="1"/>
  <c r="AG59" i="17" s="1"/>
  <c r="Q59" i="17" a="1"/>
  <c r="Q59" i="17" s="1"/>
  <c r="AN59" i="17" a="1"/>
  <c r="AN59" i="17" s="1"/>
  <c r="BC59" i="17" a="1"/>
  <c r="BC59" i="17" s="1"/>
  <c r="BE59" i="17" a="1"/>
  <c r="BE59" i="17" s="1"/>
  <c r="AQ59" i="17" a="1"/>
  <c r="AQ59" i="17" s="1"/>
  <c r="T59" i="17" a="1"/>
  <c r="T59" i="17" s="1"/>
  <c r="BO59" i="17" a="1"/>
  <c r="BO59" i="17" s="1"/>
  <c r="BR59" i="17" a="1"/>
  <c r="BR59" i="17" s="1"/>
  <c r="BN59" i="17" a="1"/>
  <c r="BN59" i="17" s="1"/>
  <c r="BX59" i="17" a="1"/>
  <c r="BX59" i="17" s="1"/>
  <c r="O141" i="37"/>
  <c r="AG141" i="37"/>
  <c r="AA59" i="17" a="1"/>
  <c r="AA59" i="17" s="1"/>
  <c r="CP59" i="17" a="1"/>
  <c r="CP59" i="17" s="1"/>
  <c r="AV59" i="17" a="1"/>
  <c r="AV59" i="17" s="1"/>
  <c r="Q141" i="37"/>
  <c r="AC59" i="17" a="1"/>
  <c r="AC59" i="17" s="1"/>
  <c r="AT59" i="17" a="1"/>
  <c r="AT59" i="17" s="1"/>
  <c r="AZ59" i="17" a="1"/>
  <c r="AZ59" i="17" s="1"/>
  <c r="CH59" i="17" a="1"/>
  <c r="CH59" i="17" s="1"/>
  <c r="BG59" i="17" a="1"/>
  <c r="BG59" i="17" s="1"/>
  <c r="AL59" i="17" a="1"/>
  <c r="AL59" i="17" s="1"/>
  <c r="O59" i="17" a="1"/>
  <c r="O59" i="17" s="1"/>
  <c r="CS59" i="17" a="1"/>
  <c r="CS59" i="17" s="1"/>
  <c r="BH59" i="17" a="1"/>
  <c r="BH59" i="17" s="1"/>
  <c r="CD59" i="17" a="1"/>
  <c r="CD59" i="17" s="1"/>
  <c r="V59" i="17" a="1"/>
  <c r="V59" i="17" s="1"/>
  <c r="AI59" i="17" a="1"/>
  <c r="AI59" i="17" s="1"/>
  <c r="AU59" i="17" a="1"/>
  <c r="AU59" i="17" s="1"/>
  <c r="I77" i="37"/>
  <c r="I90" i="37" s="1"/>
  <c r="CE59" i="17" a="1"/>
  <c r="CE59" i="17" s="1"/>
  <c r="BQ59" i="17" a="1"/>
  <c r="BQ59" i="17" s="1"/>
  <c r="CK59" i="17" a="1"/>
  <c r="CK59" i="17" s="1"/>
  <c r="H77" i="37"/>
  <c r="H90" i="37" s="1"/>
  <c r="AY59" i="17" a="1"/>
  <c r="AY59" i="17" s="1"/>
  <c r="BL59" i="17" a="1"/>
  <c r="BL59" i="17" s="1"/>
  <c r="AK59" i="17" a="1"/>
  <c r="AK59" i="17" s="1"/>
  <c r="X59" i="17" a="1"/>
  <c r="X59" i="17" s="1"/>
  <c r="BB59" i="17" a="1"/>
  <c r="BB59" i="17" s="1"/>
  <c r="AH59" i="17" a="1"/>
  <c r="AH59" i="17" s="1"/>
  <c r="CR59" i="17" a="1"/>
  <c r="CR59" i="17" s="1"/>
  <c r="BK59" i="17" a="1"/>
  <c r="BK59" i="17" s="1"/>
  <c r="AE59" i="17" a="1"/>
  <c r="AE59" i="17" s="1"/>
  <c r="BT59" i="17" a="1"/>
  <c r="BT59" i="17" s="1"/>
  <c r="AP59" i="17" a="1"/>
  <c r="AP59" i="17" s="1"/>
  <c r="AM59" i="17" a="1"/>
  <c r="AM59" i="17" s="1"/>
  <c r="R59" i="17" a="1"/>
  <c r="R59" i="17" s="1"/>
  <c r="AX59" i="17" a="1"/>
  <c r="AX59" i="17" s="1"/>
  <c r="AJ59" i="17" a="1"/>
  <c r="AJ59" i="17" s="1"/>
  <c r="BP59" i="17" a="1"/>
  <c r="BP59" i="17" s="1"/>
  <c r="BV59" i="17" a="1"/>
  <c r="BV59" i="17" s="1"/>
  <c r="CO59" i="17" a="1"/>
  <c r="CO59" i="17" s="1"/>
  <c r="Z59" i="17" a="1"/>
  <c r="Z59" i="17" s="1"/>
  <c r="U59" i="17" a="1"/>
  <c r="U59" i="17" s="1"/>
  <c r="R141" i="37"/>
  <c r="BZ59" i="17" a="1"/>
  <c r="BZ59" i="17" s="1"/>
  <c r="AR59" i="17" a="1"/>
  <c r="AR59" i="17" s="1"/>
  <c r="CI59" i="17" a="1"/>
  <c r="CI59" i="17" s="1"/>
  <c r="CF59" i="17" a="1"/>
  <c r="CF59" i="17" s="1"/>
  <c r="CL59" i="17" a="1"/>
  <c r="CL59" i="17" s="1"/>
  <c r="CG59" i="17" a="1"/>
  <c r="CG59" i="17" s="1"/>
  <c r="CC59" i="17" a="1"/>
  <c r="CC59" i="17" s="1"/>
  <c r="BS59" i="17" a="1"/>
  <c r="BS59" i="17" s="1"/>
  <c r="AW59" i="17" a="1"/>
  <c r="AW59" i="17" s="1"/>
  <c r="BD59" i="17" a="1"/>
  <c r="BD59" i="17" s="1"/>
  <c r="CA59" i="17" a="1"/>
  <c r="CA59" i="17" s="1"/>
  <c r="BI59" i="17" a="1"/>
  <c r="BI59" i="17" s="1"/>
  <c r="BJ59" i="17" a="1"/>
  <c r="BJ59" i="17" s="1"/>
  <c r="BW59" i="17" a="1"/>
  <c r="BW59" i="17" s="1"/>
  <c r="AB59" i="17" a="1"/>
  <c r="AB59" i="17" s="1"/>
  <c r="Y77" i="37"/>
  <c r="Y90" i="37" s="1"/>
  <c r="AH141" i="37"/>
  <c r="Z77" i="37"/>
  <c r="Z90" i="37" s="1"/>
  <c r="AI141" i="37"/>
  <c r="AA77" i="37"/>
  <c r="AA90" i="37" s="1"/>
  <c r="AJ141" i="37"/>
  <c r="AK141" i="37"/>
  <c r="AB77" i="37"/>
  <c r="AB90" i="37" s="1"/>
  <c r="AC77" i="37"/>
  <c r="AC90" i="37" s="1"/>
  <c r="AL141" i="37"/>
  <c r="AD77" i="37"/>
  <c r="AD90" i="37" s="1"/>
  <c r="AM141" i="37"/>
  <c r="AN141" i="37"/>
  <c r="AE77" i="37"/>
  <c r="AE90" i="37" s="1"/>
  <c r="AF77" i="37"/>
  <c r="AF90" i="37" s="1"/>
  <c r="AO141" i="37"/>
  <c r="AG77" i="37"/>
  <c r="AG90" i="37" s="1"/>
  <c r="AP141" i="37"/>
  <c r="AH77" i="37"/>
  <c r="AH90" i="37" s="1"/>
  <c r="AQ141" i="37"/>
  <c r="AR141" i="37"/>
  <c r="AI77" i="37"/>
  <c r="AI90" i="37" s="1"/>
  <c r="AS141" i="37"/>
  <c r="AJ77" i="37"/>
  <c r="AJ90" i="37" s="1"/>
  <c r="AT141" i="37"/>
  <c r="AK77" i="37"/>
  <c r="AK90" i="37" s="1"/>
  <c r="AL77" i="37"/>
  <c r="AL90" i="37" s="1"/>
  <c r="AU141" i="37"/>
  <c r="AM77" i="37"/>
  <c r="AM90" i="37" s="1"/>
  <c r="AV141" i="37"/>
  <c r="AN77" i="37"/>
  <c r="AN90" i="37" s="1"/>
  <c r="AW141" i="37"/>
  <c r="AO77" i="37"/>
  <c r="AO90" i="37" s="1"/>
  <c r="AX141" i="37"/>
  <c r="AY141" i="37"/>
  <c r="AP77" i="37"/>
  <c r="AP90" i="37" s="1"/>
  <c r="AZ141" i="37"/>
  <c r="AQ77" i="37"/>
  <c r="AQ90" i="37" s="1"/>
  <c r="AR77" i="37"/>
  <c r="AR90" i="37" s="1"/>
  <c r="BA141" i="37"/>
  <c r="DA94" i="17"/>
  <c r="DE94" i="17"/>
  <c r="DO94" i="17"/>
  <c r="DQ94" i="17"/>
  <c r="CX94" i="17"/>
  <c r="AS77" i="37"/>
  <c r="AS90" i="37" s="1"/>
  <c r="DB94" i="17"/>
  <c r="CW94" i="17"/>
  <c r="DG94" i="17"/>
  <c r="DR94" i="17"/>
  <c r="CZ94" i="17"/>
  <c r="DP94" i="17"/>
  <c r="CU94" i="17"/>
  <c r="DC94" i="17"/>
  <c r="DM94" i="17"/>
  <c r="CY94" i="17"/>
  <c r="DK94" i="17"/>
  <c r="DH94" i="17"/>
  <c r="BB141" i="37"/>
  <c r="CV94" i="17"/>
  <c r="DI94" i="17"/>
  <c r="AT77" i="37"/>
  <c r="AT90" i="37" s="1"/>
  <c r="DL94" i="17"/>
  <c r="DJ94" i="17"/>
  <c r="CT94" i="17"/>
  <c r="DD94" i="17"/>
  <c r="DN94" i="17"/>
  <c r="DF94" i="17"/>
  <c r="BC141" i="37"/>
  <c r="AU77" i="37"/>
  <c r="AU90" i="37" s="1"/>
  <c r="AV77" i="37"/>
  <c r="AV90" i="37" s="1"/>
  <c r="BD141" i="37"/>
  <c r="AW77" i="37"/>
  <c r="AW90" i="37" s="1"/>
  <c r="BE141" i="37"/>
  <c r="BF141" i="37"/>
  <c r="AX77" i="37"/>
  <c r="AX90" i="37" s="1"/>
  <c r="BG141" i="37"/>
  <c r="AY77" i="37"/>
  <c r="AY90" i="37" s="1"/>
  <c r="BI141" i="37"/>
  <c r="BH141" i="37"/>
  <c r="BA77" i="37"/>
  <c r="BA90" i="37" s="1"/>
  <c r="AZ77" i="37"/>
  <c r="AZ90" i="37" s="1"/>
  <c r="BJ141" i="37"/>
  <c r="BK141" i="37"/>
  <c r="BB77" i="37"/>
  <c r="BB90" i="37" s="1"/>
  <c r="BL141" i="37"/>
  <c r="BC77" i="37"/>
  <c r="BC90" i="37" s="1"/>
  <c r="BD77" i="37"/>
  <c r="BD90" i="37" s="1"/>
  <c r="BM141" i="37"/>
  <c r="BE77" i="37"/>
  <c r="BE90" i="37" s="1"/>
  <c r="BF77" i="37"/>
  <c r="BF90" i="37" s="1"/>
  <c r="BN141" i="37"/>
  <c r="BO141" i="37"/>
  <c r="BG77" i="37"/>
  <c r="BG90" i="37" s="1"/>
  <c r="BH77" i="37"/>
  <c r="BH90" i="37" s="1"/>
  <c r="BP141" i="37"/>
  <c r="BQ141" i="37"/>
  <c r="BI77" i="37"/>
  <c r="BI90" i="37" s="1"/>
  <c r="BR141" i="37"/>
  <c r="BJ77" i="37"/>
  <c r="BJ90" i="37" s="1"/>
  <c r="BS141" i="37"/>
  <c r="BK77" i="37"/>
  <c r="BK90" i="37" s="1"/>
  <c r="BT141" i="37"/>
  <c r="BL77" i="37"/>
  <c r="BL90" i="37" s="1"/>
  <c r="BU141" i="37"/>
  <c r="BV141" i="37"/>
  <c r="BM77" i="37"/>
  <c r="BM90" i="37" s="1"/>
  <c r="BW141" i="37"/>
  <c r="BX141" i="37"/>
  <c r="BN77" i="37"/>
  <c r="BN90" i="37" s="1"/>
  <c r="BO77" i="37"/>
  <c r="BO90" i="37" s="1"/>
  <c r="BY141" i="37"/>
  <c r="BP77" i="37"/>
  <c r="BP90" i="37" s="1"/>
  <c r="BQ77" i="37"/>
  <c r="BQ90" i="37" s="1"/>
  <c r="BZ141" i="37"/>
  <c r="CA141" i="37"/>
  <c r="BR77" i="37"/>
  <c r="BR90" i="37" s="1"/>
  <c r="CB141" i="37"/>
  <c r="BS77" i="37"/>
  <c r="BS90" i="37" s="1"/>
  <c r="BT77" i="37"/>
  <c r="BT90" i="37" s="1"/>
  <c r="CC141" i="37"/>
  <c r="BU77" i="37"/>
  <c r="BU90" i="37" s="1"/>
  <c r="CD141" i="37"/>
  <c r="CE141" i="37"/>
  <c r="BV77" i="37"/>
  <c r="BV90" i="37" s="1"/>
  <c r="CF141" i="37"/>
  <c r="BW77" i="37"/>
  <c r="BW90" i="37" s="1"/>
  <c r="CG141" i="37"/>
  <c r="BX77" i="37"/>
  <c r="BX90" i="37" s="1"/>
  <c r="CH141" i="37"/>
  <c r="BY77" i="37"/>
  <c r="BY90" i="37" s="1"/>
  <c r="BZ77" i="37"/>
  <c r="BZ90" i="37" s="1"/>
  <c r="CI141" i="37"/>
  <c r="CA77" i="37"/>
  <c r="CA90" i="37" s="1"/>
  <c r="CJ141" i="37"/>
  <c r="CB77" i="37"/>
  <c r="CB90" i="37" s="1"/>
  <c r="CK141" i="37"/>
  <c r="CC77" i="37"/>
  <c r="CC90" i="37" s="1"/>
  <c r="CL141" i="37"/>
  <c r="CD77" i="37"/>
  <c r="CD90" i="37" s="1"/>
  <c r="CM141" i="37"/>
  <c r="CE77" i="37"/>
  <c r="CE90" i="37" s="1"/>
  <c r="CN141" i="37"/>
  <c r="CF77" i="37"/>
  <c r="CF90" i="37" s="1"/>
  <c r="CO141" i="37"/>
  <c r="CG77" i="37"/>
  <c r="CG90" i="37" s="1"/>
  <c r="CP141" i="37"/>
  <c r="CH77" i="37"/>
  <c r="CH90" i="37" s="1"/>
  <c r="CQ141" i="37"/>
  <c r="CR141" i="37"/>
  <c r="CI77" i="37"/>
  <c r="CI90" i="37" s="1"/>
  <c r="CS141" i="37"/>
  <c r="CJ77" i="37"/>
  <c r="CJ90" i="37" s="1"/>
  <c r="M43" i="17"/>
  <c r="C5" i="37" s="1"/>
  <c r="P5" i="37"/>
  <c r="O5" i="37"/>
  <c r="Q5" i="37"/>
  <c r="N5" i="37"/>
  <c r="R5" i="37"/>
  <c r="M5" i="37"/>
  <c r="S5" i="37"/>
  <c r="L5" i="37"/>
  <c r="K5" i="37"/>
  <c r="T5" i="37"/>
  <c r="U5" i="37"/>
  <c r="J5" i="37"/>
  <c r="D5" i="37"/>
  <c r="I5" i="37"/>
  <c r="V5" i="37"/>
  <c r="E5" i="37"/>
  <c r="F5" i="37"/>
  <c r="W5" i="37"/>
  <c r="H5" i="37"/>
  <c r="G5" i="37"/>
  <c r="X5" i="37"/>
  <c r="Y5" i="37"/>
  <c r="Z5" i="37"/>
  <c r="AA5" i="37"/>
  <c r="AB5" i="37"/>
  <c r="AC5" i="37"/>
  <c r="AD5" i="37"/>
  <c r="AE5" i="37"/>
  <c r="AF5" i="37"/>
  <c r="AG5" i="37"/>
  <c r="AH5" i="37"/>
  <c r="AI5" i="37"/>
  <c r="AJ5" i="37"/>
  <c r="AK5" i="37"/>
  <c r="AL5" i="37"/>
  <c r="AM5" i="37"/>
  <c r="AN5" i="37"/>
  <c r="AO5" i="37"/>
  <c r="AP5" i="37"/>
  <c r="AQ5" i="37"/>
  <c r="AR5" i="37"/>
  <c r="AS5" i="37"/>
  <c r="AT5" i="37"/>
  <c r="AU5" i="37"/>
  <c r="AV5" i="37"/>
  <c r="AW5" i="37"/>
  <c r="AX5" i="37"/>
  <c r="AY5" i="37"/>
  <c r="AZ5" i="37"/>
  <c r="BA5" i="37"/>
  <c r="BB5" i="37"/>
  <c r="BC5" i="37"/>
  <c r="BD5" i="37"/>
  <c r="BE5" i="37"/>
  <c r="BF5" i="37"/>
  <c r="BG5" i="37"/>
  <c r="BH5" i="37"/>
  <c r="BI5" i="37"/>
  <c r="BJ5" i="37"/>
  <c r="BK5" i="37"/>
  <c r="BL5" i="37"/>
  <c r="BM5" i="37"/>
  <c r="BO5" i="37"/>
  <c r="BN5" i="37"/>
  <c r="BP5" i="37"/>
  <c r="BQ5" i="37"/>
  <c r="BR5" i="37"/>
  <c r="BS5" i="37"/>
  <c r="BT5" i="37"/>
  <c r="BU5" i="37"/>
  <c r="BV5" i="37"/>
  <c r="BW5" i="37"/>
  <c r="BX5" i="37"/>
  <c r="BY5" i="37"/>
  <c r="BZ5" i="37"/>
  <c r="CA5" i="37"/>
  <c r="CB5" i="37"/>
  <c r="CC5" i="37"/>
  <c r="CD5" i="37"/>
  <c r="CE5" i="37"/>
  <c r="CF5" i="37"/>
  <c r="CG5" i="37"/>
  <c r="CH5" i="37"/>
  <c r="CI5" i="37"/>
  <c r="M67" i="17"/>
  <c r="E164" i="37"/>
  <c r="E173" i="37" s="1"/>
  <c r="F164" i="37"/>
  <c r="F173" i="37" s="1"/>
  <c r="G164" i="37"/>
  <c r="G173" i="37" s="1"/>
  <c r="D164" i="37"/>
  <c r="D173" i="37" s="1"/>
  <c r="C164" i="37"/>
  <c r="C173" i="37" s="1"/>
  <c r="H164" i="37"/>
  <c r="H173" i="37" s="1"/>
  <c r="I164" i="37"/>
  <c r="I173" i="37" s="1"/>
  <c r="J164" i="37"/>
  <c r="J173" i="37" s="1"/>
  <c r="K164" i="37"/>
  <c r="K173" i="37" s="1"/>
  <c r="L164" i="37"/>
  <c r="L173" i="37" s="1"/>
  <c r="M164" i="37"/>
  <c r="M173" i="37" s="1"/>
  <c r="N164" i="37"/>
  <c r="N173" i="37" s="1"/>
  <c r="O164" i="37"/>
  <c r="O173" i="37" s="1"/>
  <c r="P164" i="37"/>
  <c r="P173" i="37" s="1"/>
  <c r="Q164" i="37"/>
  <c r="Q173" i="37" s="1"/>
  <c r="R164" i="37"/>
  <c r="R173" i="37" s="1"/>
  <c r="S164" i="37"/>
  <c r="S173" i="37" s="1"/>
  <c r="T164" i="37"/>
  <c r="T173" i="37" s="1"/>
  <c r="U164" i="37"/>
  <c r="U173" i="37" s="1"/>
  <c r="V164" i="37"/>
  <c r="V173" i="37" s="1"/>
  <c r="W164" i="37"/>
  <c r="W173" i="37" s="1"/>
  <c r="X164" i="37"/>
  <c r="X173" i="37" s="1"/>
  <c r="Y164" i="37"/>
  <c r="Y173" i="37" s="1"/>
  <c r="Z164" i="37"/>
  <c r="Z173" i="37" s="1"/>
  <c r="AA164" i="37"/>
  <c r="AA173" i="37" s="1"/>
  <c r="AB164" i="37"/>
  <c r="AB173" i="37" s="1"/>
  <c r="AC164" i="37"/>
  <c r="AC173" i="37" s="1"/>
  <c r="AD164" i="37"/>
  <c r="AD173" i="37" s="1"/>
  <c r="AE164" i="37"/>
  <c r="AE173" i="37" s="1"/>
  <c r="AF164" i="37"/>
  <c r="AF173" i="37" s="1"/>
  <c r="AG164" i="37"/>
  <c r="AG173" i="37" s="1"/>
  <c r="AH164" i="37"/>
  <c r="AH173" i="37" s="1"/>
  <c r="AI164" i="37"/>
  <c r="AI173" i="37" s="1"/>
  <c r="AJ164" i="37"/>
  <c r="AJ173" i="37" s="1"/>
  <c r="AK164" i="37"/>
  <c r="AK173" i="37" s="1"/>
  <c r="AL164" i="37"/>
  <c r="AL173" i="37" s="1"/>
  <c r="AM164" i="37"/>
  <c r="AM173" i="37" s="1"/>
  <c r="AN164" i="37"/>
  <c r="AN173" i="37" s="1"/>
  <c r="AO164" i="37"/>
  <c r="AO173" i="37" s="1"/>
  <c r="AP164" i="37"/>
  <c r="AP173" i="37" s="1"/>
  <c r="AQ164" i="37"/>
  <c r="AQ173" i="37" s="1"/>
  <c r="AR164" i="37"/>
  <c r="AR173" i="37" s="1"/>
  <c r="AS164" i="37"/>
  <c r="AS173" i="37" s="1"/>
  <c r="AT164" i="37"/>
  <c r="AT173" i="37" s="1"/>
  <c r="AU164" i="37"/>
  <c r="AU173" i="37" s="1"/>
  <c r="AV164" i="37"/>
  <c r="AV173" i="37" s="1"/>
  <c r="AW164" i="37"/>
  <c r="AW173" i="37" s="1"/>
  <c r="AX164" i="37"/>
  <c r="AX173" i="37" s="1"/>
  <c r="AY164" i="37"/>
  <c r="AY173" i="37" s="1"/>
  <c r="AZ164" i="37"/>
  <c r="AZ173" i="37" s="1"/>
  <c r="BA164" i="37"/>
  <c r="BA173" i="37" s="1"/>
  <c r="BB164" i="37"/>
  <c r="BB173" i="37" s="1"/>
  <c r="BC164" i="37"/>
  <c r="BC173" i="37" s="1"/>
  <c r="BE164" i="37"/>
  <c r="BE173" i="37" s="1"/>
  <c r="BD164" i="37"/>
  <c r="BD173" i="37" s="1"/>
  <c r="BF164" i="37"/>
  <c r="BF173" i="37" s="1"/>
  <c r="BG164" i="37"/>
  <c r="BG173" i="37" s="1"/>
  <c r="BH164" i="37"/>
  <c r="BH173" i="37" s="1"/>
  <c r="BI164" i="37"/>
  <c r="BI173" i="37" s="1"/>
  <c r="BJ164" i="37"/>
  <c r="BJ173" i="37" s="1"/>
  <c r="BK164" i="37"/>
  <c r="BK173" i="37" s="1"/>
  <c r="BL164" i="37"/>
  <c r="BL173" i="37" s="1"/>
  <c r="BM164" i="37"/>
  <c r="BM173" i="37" s="1"/>
  <c r="BN164" i="37"/>
  <c r="BN173" i="37" s="1"/>
  <c r="BO164" i="37"/>
  <c r="BO173" i="37" s="1"/>
  <c r="BP164" i="37"/>
  <c r="BP173" i="37" s="1"/>
  <c r="BQ164" i="37"/>
  <c r="BQ173" i="37" s="1"/>
  <c r="BR164" i="37"/>
  <c r="BR173" i="37" s="1"/>
  <c r="BS164" i="37"/>
  <c r="BS173" i="37" s="1"/>
  <c r="BT164" i="37"/>
  <c r="BT173" i="37" s="1"/>
  <c r="BU164" i="37"/>
  <c r="BU173" i="37" s="1"/>
  <c r="BV164" i="37"/>
  <c r="BV173" i="37" s="1"/>
  <c r="BW164" i="37"/>
  <c r="BW173" i="37" s="1"/>
  <c r="BX164" i="37"/>
  <c r="BX173" i="37" s="1"/>
  <c r="BY164" i="37"/>
  <c r="BY173" i="37" s="1"/>
  <c r="DW48" i="25"/>
  <c r="DW38" i="25"/>
  <c r="E62" i="16" s="1"/>
  <c r="DW40" i="25"/>
  <c r="DW43" i="25"/>
  <c r="E56" i="16" s="1"/>
  <c r="DW44" i="25"/>
  <c r="DW42" i="25"/>
  <c r="E55" i="16" s="1"/>
  <c r="DW39" i="25"/>
  <c r="E65" i="16" s="1"/>
  <c r="DW41" i="25"/>
  <c r="E63" i="16" s="1"/>
  <c r="DW45" i="25"/>
  <c r="E67" i="16" s="1"/>
  <c r="DW36" i="25"/>
  <c r="DW20" i="25"/>
  <c r="M87" i="17"/>
  <c r="O50" i="37"/>
  <c r="O65" i="37" s="1"/>
  <c r="N50" i="37"/>
  <c r="N65" i="37" s="1"/>
  <c r="P50" i="37"/>
  <c r="P65" i="37" s="1"/>
  <c r="M50" i="37"/>
  <c r="M65" i="37" s="1"/>
  <c r="Q50" i="37"/>
  <c r="Q65" i="37" s="1"/>
  <c r="R50" i="37"/>
  <c r="R65" i="37" s="1"/>
  <c r="V92" i="17"/>
  <c r="L50" i="37"/>
  <c r="L65" i="37" s="1"/>
  <c r="S50" i="37"/>
  <c r="S65" i="37" s="1"/>
  <c r="K50" i="37"/>
  <c r="K65" i="37" s="1"/>
  <c r="U92" i="17"/>
  <c r="T50" i="37"/>
  <c r="T65" i="37" s="1"/>
  <c r="T92" i="17"/>
  <c r="J50" i="37"/>
  <c r="J65" i="37" s="1"/>
  <c r="U50" i="37"/>
  <c r="U65" i="37" s="1"/>
  <c r="S92" i="17"/>
  <c r="I50" i="37"/>
  <c r="I65" i="37" s="1"/>
  <c r="O92" i="17"/>
  <c r="E50" i="37"/>
  <c r="E65" i="37" s="1"/>
  <c r="N92" i="17"/>
  <c r="V50" i="37"/>
  <c r="V65" i="37" s="1"/>
  <c r="D50" i="37"/>
  <c r="D65" i="37" s="1"/>
  <c r="Q92" i="17"/>
  <c r="F50" i="37"/>
  <c r="F65" i="37" s="1"/>
  <c r="P92" i="17"/>
  <c r="W50" i="37"/>
  <c r="W65" i="37" s="1"/>
  <c r="G50" i="37"/>
  <c r="G65" i="37" s="1"/>
  <c r="R92" i="17"/>
  <c r="H50" i="37"/>
  <c r="H65" i="37" s="1"/>
  <c r="DF93" i="17"/>
  <c r="CV93" i="17"/>
  <c r="DB93" i="17"/>
  <c r="DA93" i="17"/>
  <c r="DJ93" i="17"/>
  <c r="DN93" i="17"/>
  <c r="DO93" i="17"/>
  <c r="CT93" i="17"/>
  <c r="DM93" i="17"/>
  <c r="DP93" i="17"/>
  <c r="DE93" i="17"/>
  <c r="CW93" i="17"/>
  <c r="DQ93" i="17"/>
  <c r="DK93" i="17"/>
  <c r="CZ93" i="17"/>
  <c r="DR93" i="17"/>
  <c r="CX93" i="17"/>
  <c r="DH93" i="17"/>
  <c r="DI93" i="17"/>
  <c r="DC93" i="17"/>
  <c r="CU93" i="17"/>
  <c r="DD93" i="17"/>
  <c r="X50" i="37"/>
  <c r="X65" i="37" s="1"/>
  <c r="CY93" i="17"/>
  <c r="DL93" i="17"/>
  <c r="DG93" i="17"/>
  <c r="Y50" i="37"/>
  <c r="Y65" i="37" s="1"/>
  <c r="Z50" i="37"/>
  <c r="Z65" i="37" s="1"/>
  <c r="AA50" i="37"/>
  <c r="AA65" i="37" s="1"/>
  <c r="AB50" i="37"/>
  <c r="AB65" i="37" s="1"/>
  <c r="AC50" i="37"/>
  <c r="AC65" i="37" s="1"/>
  <c r="AD50" i="37"/>
  <c r="AD65" i="37" s="1"/>
  <c r="AE50" i="37"/>
  <c r="AE65" i="37" s="1"/>
  <c r="AF50" i="37"/>
  <c r="AF65" i="37" s="1"/>
  <c r="AG50" i="37"/>
  <c r="AG65" i="37" s="1"/>
  <c r="AH50" i="37"/>
  <c r="AH65" i="37" s="1"/>
  <c r="AI50" i="37"/>
  <c r="AI65" i="37" s="1"/>
  <c r="AJ50" i="37"/>
  <c r="AJ65" i="37" s="1"/>
  <c r="AK50" i="37"/>
  <c r="AK65" i="37" s="1"/>
  <c r="AL50" i="37"/>
  <c r="AL65" i="37" s="1"/>
  <c r="AN50" i="37"/>
  <c r="AN65" i="37" s="1"/>
  <c r="AM50" i="37"/>
  <c r="AM65" i="37" s="1"/>
  <c r="AO50" i="37"/>
  <c r="AO65" i="37" s="1"/>
  <c r="AP50" i="37"/>
  <c r="AP65" i="37" s="1"/>
  <c r="AQ50" i="37"/>
  <c r="AQ65" i="37" s="1"/>
  <c r="AR50" i="37"/>
  <c r="AR65" i="37" s="1"/>
  <c r="AS50" i="37"/>
  <c r="AS65" i="37" s="1"/>
  <c r="AT50" i="37"/>
  <c r="AT65" i="37" s="1"/>
  <c r="AU50" i="37"/>
  <c r="AU65" i="37" s="1"/>
  <c r="AV50" i="37"/>
  <c r="AV65" i="37" s="1"/>
  <c r="AW50" i="37"/>
  <c r="AW65" i="37" s="1"/>
  <c r="AX50" i="37"/>
  <c r="AX65" i="37" s="1"/>
  <c r="AY50" i="37"/>
  <c r="AY65" i="37" s="1"/>
  <c r="AZ50" i="37"/>
  <c r="AZ65" i="37" s="1"/>
  <c r="BA50" i="37"/>
  <c r="BA65" i="37" s="1"/>
  <c r="BB50" i="37"/>
  <c r="BB65" i="37" s="1"/>
  <c r="BC50" i="37"/>
  <c r="BC65" i="37" s="1"/>
  <c r="BD50" i="37"/>
  <c r="BD65" i="37" s="1"/>
  <c r="BE50" i="37"/>
  <c r="BE65" i="37" s="1"/>
  <c r="BF50" i="37"/>
  <c r="BF65" i="37" s="1"/>
  <c r="BG50" i="37"/>
  <c r="BG65" i="37" s="1"/>
  <c r="BH50" i="37"/>
  <c r="BH65" i="37" s="1"/>
  <c r="BI50" i="37"/>
  <c r="BI65" i="37" s="1"/>
  <c r="BJ50" i="37"/>
  <c r="BJ65" i="37" s="1"/>
  <c r="BK50" i="37"/>
  <c r="BK65" i="37" s="1"/>
  <c r="BL50" i="37"/>
  <c r="BL65" i="37" s="1"/>
  <c r="BM50" i="37"/>
  <c r="BM65" i="37" s="1"/>
  <c r="BN50" i="37"/>
  <c r="BN65" i="37" s="1"/>
  <c r="BO50" i="37"/>
  <c r="BO65" i="37" s="1"/>
  <c r="BP50" i="37"/>
  <c r="BP65" i="37" s="1"/>
  <c r="BQ50" i="37"/>
  <c r="BQ65" i="37" s="1"/>
  <c r="BR50" i="37"/>
  <c r="BR65" i="37" s="1"/>
  <c r="BS50" i="37"/>
  <c r="BS65" i="37" s="1"/>
  <c r="BT50" i="37"/>
  <c r="BT65" i="37" s="1"/>
  <c r="BU50" i="37"/>
  <c r="BU65" i="37" s="1"/>
  <c r="BV50" i="37"/>
  <c r="BV65" i="37" s="1"/>
  <c r="BW50" i="37"/>
  <c r="BW65" i="37" s="1"/>
  <c r="BX50" i="37"/>
  <c r="BX65" i="37" s="1"/>
  <c r="BY50" i="37"/>
  <c r="BY65" i="37" s="1"/>
  <c r="BZ50" i="37"/>
  <c r="BZ65" i="37" s="1"/>
  <c r="CA50" i="37"/>
  <c r="CA65" i="37" s="1"/>
  <c r="CB50" i="37"/>
  <c r="CB65" i="37" s="1"/>
  <c r="CC50" i="37"/>
  <c r="CC65" i="37" s="1"/>
  <c r="CD50" i="37"/>
  <c r="CD65" i="37" s="1"/>
  <c r="CE50" i="37"/>
  <c r="CE65" i="37" s="1"/>
  <c r="CF50" i="37"/>
  <c r="CF65" i="37" s="1"/>
  <c r="CG50" i="37"/>
  <c r="CG65" i="37" s="1"/>
  <c r="CH50" i="37"/>
  <c r="CH65" i="37" s="1"/>
  <c r="CI50" i="37"/>
  <c r="CI65" i="37" s="1"/>
  <c r="BS93" i="17"/>
  <c r="W93" i="17"/>
  <c r="BM93" i="17"/>
  <c r="P93" i="17"/>
  <c r="AI93" i="17"/>
  <c r="BZ93" i="17"/>
  <c r="AG93" i="17"/>
  <c r="CA93" i="17"/>
  <c r="BU93" i="17"/>
  <c r="S93" i="17"/>
  <c r="AF93" i="17"/>
  <c r="BR93" i="17"/>
  <c r="BH93" i="17"/>
  <c r="CR93" i="17"/>
  <c r="CP93" i="17"/>
  <c r="AR93" i="17"/>
  <c r="T93" i="17"/>
  <c r="CN93" i="17"/>
  <c r="AW93" i="17"/>
  <c r="U93" i="17"/>
  <c r="BE93" i="17"/>
  <c r="CL93" i="17"/>
  <c r="BI93" i="17"/>
  <c r="BW93" i="17"/>
  <c r="AQ93" i="17"/>
  <c r="BG93" i="17"/>
  <c r="BX93" i="17"/>
  <c r="BN93" i="17"/>
  <c r="BB93" i="17"/>
  <c r="Q93" i="17"/>
  <c r="AC93" i="17"/>
  <c r="CF93" i="17"/>
  <c r="BK93" i="17"/>
  <c r="AZ93" i="17"/>
  <c r="AN93" i="17"/>
  <c r="BJ93" i="17"/>
  <c r="AJ93" i="17"/>
  <c r="BC93" i="17"/>
  <c r="BY93" i="17"/>
  <c r="AM93" i="17"/>
  <c r="Y93" i="17"/>
  <c r="AA93" i="17"/>
  <c r="BT93" i="17"/>
  <c r="AL93" i="17"/>
  <c r="CQ93" i="17"/>
  <c r="AB93" i="17"/>
  <c r="AH93" i="17"/>
  <c r="AK93" i="17"/>
  <c r="BD93" i="17"/>
  <c r="BL93" i="17"/>
  <c r="V93" i="17"/>
  <c r="AS93" i="17"/>
  <c r="AY93" i="17"/>
  <c r="CH93" i="17"/>
  <c r="AT93" i="17"/>
  <c r="AV93" i="17"/>
  <c r="BQ93" i="17"/>
  <c r="CD93" i="17"/>
  <c r="CE93" i="17"/>
  <c r="N93" i="17"/>
  <c r="Z93" i="17"/>
  <c r="AP93" i="17"/>
  <c r="CI93" i="17"/>
  <c r="CG93" i="17"/>
  <c r="BF93" i="17"/>
  <c r="O93" i="17"/>
  <c r="CO93" i="17"/>
  <c r="CJ93" i="17"/>
  <c r="AD93" i="17"/>
  <c r="R93" i="17"/>
  <c r="BA93" i="17"/>
  <c r="CM93" i="17"/>
  <c r="CB93" i="17"/>
  <c r="CS93" i="17"/>
  <c r="BV93" i="17"/>
  <c r="CK93" i="17"/>
  <c r="AX93" i="17"/>
  <c r="BP93" i="17"/>
  <c r="AO93" i="17"/>
  <c r="X93" i="17"/>
  <c r="AU93" i="17"/>
  <c r="BO93" i="17"/>
  <c r="CC93" i="17"/>
  <c r="AE93" i="17"/>
  <c r="C36" i="4"/>
  <c r="C20" i="46" s="1"/>
  <c r="G125" i="8" l="1"/>
  <c r="I124" i="8" a="1"/>
  <c r="I124" i="8" s="1"/>
  <c r="D76" i="16"/>
  <c r="E69" i="16"/>
  <c r="F78" i="17"/>
  <c r="E109" i="37"/>
  <c r="E32" i="15"/>
  <c r="F55" i="17" s="1"/>
  <c r="F42" i="17"/>
  <c r="AK43" i="14"/>
  <c r="AO43" i="14"/>
  <c r="E25" i="15" a="1"/>
  <c r="E25" i="15" s="1"/>
  <c r="F51" i="17" s="1"/>
  <c r="S43" i="14"/>
  <c r="AA43" i="14"/>
  <c r="W43" i="14"/>
  <c r="AG43" i="14"/>
  <c r="F77" i="17"/>
  <c r="E108" i="37"/>
  <c r="F39" i="17"/>
  <c r="E31" i="15"/>
  <c r="F54" i="17" s="1"/>
  <c r="E76" i="16"/>
  <c r="E107" i="37"/>
  <c r="F76" i="17"/>
  <c r="E57" i="16"/>
  <c r="E29" i="15"/>
  <c r="F56" i="17" s="1"/>
  <c r="E28" i="15"/>
  <c r="F57" i="17" s="1"/>
  <c r="E115" i="37"/>
  <c r="F84" i="17"/>
  <c r="E114" i="37"/>
  <c r="F83" i="17"/>
  <c r="E110" i="37"/>
  <c r="F79" i="17"/>
  <c r="E112" i="37"/>
  <c r="F81" i="17"/>
  <c r="E60" i="16"/>
  <c r="DR126" i="37"/>
  <c r="DR144" i="37" s="1"/>
  <c r="DR131" i="37"/>
  <c r="DR149" i="37" s="1"/>
  <c r="Z43" i="14"/>
  <c r="U43" i="14"/>
  <c r="R43" i="14"/>
  <c r="Q43" i="14"/>
  <c r="V43" i="14"/>
  <c r="Y43" i="14"/>
  <c r="D55" i="16"/>
  <c r="C55" i="16"/>
  <c r="C107" i="37" s="1"/>
  <c r="R153" i="37"/>
  <c r="K62" i="14"/>
  <c r="C31" i="15" s="1"/>
  <c r="D54" i="17" s="1"/>
  <c r="L62" i="14"/>
  <c r="AF43" i="14"/>
  <c r="AE43" i="14"/>
  <c r="D25" i="15" a="1"/>
  <c r="D25" i="15" s="1"/>
  <c r="E51" i="17" s="1"/>
  <c r="AN43" i="14"/>
  <c r="AI43" i="14"/>
  <c r="AJ43" i="14"/>
  <c r="AM43" i="14"/>
  <c r="C56" i="16"/>
  <c r="D77" i="17" s="1"/>
  <c r="D56" i="16"/>
  <c r="C29" i="15"/>
  <c r="D56" i="17" s="1"/>
  <c r="D29" i="15"/>
  <c r="E56" i="17" s="1"/>
  <c r="C62" i="16"/>
  <c r="D78" i="17" s="1"/>
  <c r="D62" i="16"/>
  <c r="C27" i="15"/>
  <c r="D53" i="17" s="1"/>
  <c r="D27" i="15"/>
  <c r="E53" i="17" s="1"/>
  <c r="C63" i="16"/>
  <c r="D79" i="17" s="1"/>
  <c r="D63" i="16"/>
  <c r="C67" i="16"/>
  <c r="C114" i="37" s="1"/>
  <c r="D67" i="16"/>
  <c r="C26" i="15"/>
  <c r="D52" i="17" s="1"/>
  <c r="D26" i="15"/>
  <c r="E52" i="17" s="1"/>
  <c r="K72" i="14"/>
  <c r="D42" i="17" s="1"/>
  <c r="L72" i="14"/>
  <c r="C30" i="15"/>
  <c r="D58" i="17" s="1"/>
  <c r="D30" i="15"/>
  <c r="E58" i="17" s="1"/>
  <c r="C28" i="15"/>
  <c r="D57" i="17" s="1"/>
  <c r="D28" i="15"/>
  <c r="E57" i="17" s="1"/>
  <c r="D115" i="37"/>
  <c r="E84" i="17"/>
  <c r="D111" i="37"/>
  <c r="E80" i="17"/>
  <c r="DR127" i="37"/>
  <c r="DR145" i="37" s="1"/>
  <c r="T153" i="37"/>
  <c r="D124" i="8"/>
  <c r="C124" i="8"/>
  <c r="M85" i="17" a="1"/>
  <c r="M85" i="17" s="1"/>
  <c r="M86" i="17" a="1"/>
  <c r="M86" i="17" s="1"/>
  <c r="DR124" i="37"/>
  <c r="DR142" i="37" s="1"/>
  <c r="C76" i="16"/>
  <c r="C111" i="37"/>
  <c r="D80" i="17"/>
  <c r="C115" i="37"/>
  <c r="D84" i="17"/>
  <c r="DR125" i="37"/>
  <c r="DR143" i="37" s="1"/>
  <c r="DH17" i="37"/>
  <c r="DR154" i="37" s="1"/>
  <c r="C65" i="16" a="1"/>
  <c r="C65" i="16" s="1"/>
  <c r="P153" i="37"/>
  <c r="C60" i="16"/>
  <c r="C66" i="16"/>
  <c r="C25" i="15" a="1"/>
  <c r="C25" i="15" s="1"/>
  <c r="D51" i="17" s="1"/>
  <c r="DH19" i="37"/>
  <c r="S153" i="37"/>
  <c r="Q153" i="37"/>
  <c r="N153" i="37"/>
  <c r="O153" i="37"/>
  <c r="DQ153" i="37"/>
  <c r="CV153" i="37"/>
  <c r="DG153" i="37"/>
  <c r="CU153" i="37"/>
  <c r="DF153" i="37"/>
  <c r="CO27" i="37"/>
  <c r="CO18" i="37"/>
  <c r="CO17" i="37"/>
  <c r="CO20" i="37"/>
  <c r="CO19" i="37"/>
  <c r="CO21" i="37"/>
  <c r="DG27" i="37"/>
  <c r="DG18" i="37"/>
  <c r="DG19" i="37"/>
  <c r="DG17" i="37"/>
  <c r="DG20" i="37"/>
  <c r="DG21" i="37"/>
  <c r="CX153" i="37"/>
  <c r="CN27" i="37"/>
  <c r="CN18" i="37"/>
  <c r="CN19" i="37"/>
  <c r="CN20" i="37"/>
  <c r="CN17" i="37"/>
  <c r="CN21" i="37"/>
  <c r="DE27" i="37"/>
  <c r="DE18" i="37"/>
  <c r="DE19" i="37"/>
  <c r="DE21" i="37"/>
  <c r="DE17" i="37"/>
  <c r="DE20" i="37"/>
  <c r="DF27" i="37"/>
  <c r="DF18" i="37"/>
  <c r="DF17" i="37"/>
  <c r="DF21" i="37"/>
  <c r="DF20" i="37"/>
  <c r="DF19" i="37"/>
  <c r="CZ27" i="37"/>
  <c r="CZ18" i="37"/>
  <c r="CZ21" i="37"/>
  <c r="CZ17" i="37"/>
  <c r="CZ19" i="37"/>
  <c r="CZ20" i="37"/>
  <c r="CU27" i="37"/>
  <c r="CU18" i="37"/>
  <c r="CU21" i="37"/>
  <c r="CU20" i="37"/>
  <c r="CU17" i="37"/>
  <c r="CU19" i="37"/>
  <c r="DI153" i="37"/>
  <c r="DH153" i="37"/>
  <c r="CT27" i="37"/>
  <c r="CT18" i="37"/>
  <c r="CT17" i="37"/>
  <c r="CT19" i="37"/>
  <c r="CT20" i="37"/>
  <c r="CT21" i="37"/>
  <c r="DE153" i="37"/>
  <c r="DP153" i="37"/>
  <c r="CR27" i="37"/>
  <c r="CR18" i="37"/>
  <c r="CR20" i="37"/>
  <c r="CR19" i="37"/>
  <c r="CR17" i="37"/>
  <c r="CR21" i="37"/>
  <c r="CL27" i="37"/>
  <c r="CL18" i="37"/>
  <c r="CL21" i="37"/>
  <c r="CL20" i="37"/>
  <c r="CL19" i="37"/>
  <c r="CL17" i="37"/>
  <c r="V153" i="37"/>
  <c r="DD153" i="37"/>
  <c r="DO153" i="37"/>
  <c r="CT153" i="37"/>
  <c r="DD27" i="37"/>
  <c r="DD18" i="37"/>
  <c r="DD21" i="37"/>
  <c r="DD19" i="37"/>
  <c r="DD17" i="37"/>
  <c r="DD20" i="37"/>
  <c r="DC27" i="37"/>
  <c r="DC18" i="37"/>
  <c r="DC17" i="37"/>
  <c r="DC19" i="37"/>
  <c r="DC21" i="37"/>
  <c r="DC20" i="37"/>
  <c r="CW27" i="37"/>
  <c r="CW18" i="37"/>
  <c r="CW17" i="37"/>
  <c r="CW20" i="37"/>
  <c r="CW21" i="37"/>
  <c r="CW19" i="37"/>
  <c r="U153" i="37"/>
  <c r="DC153" i="37"/>
  <c r="DN153" i="37"/>
  <c r="CW153" i="37"/>
  <c r="CS27" i="37"/>
  <c r="CS18" i="37"/>
  <c r="CS19" i="37"/>
  <c r="CS20" i="37"/>
  <c r="CS17" i="37"/>
  <c r="CS21" i="37"/>
  <c r="CX27" i="37"/>
  <c r="CX18" i="37"/>
  <c r="CX21" i="37"/>
  <c r="CX17" i="37"/>
  <c r="CX19" i="37"/>
  <c r="CX20" i="37"/>
  <c r="CQ27" i="37"/>
  <c r="CQ18" i="37"/>
  <c r="CQ20" i="37"/>
  <c r="CQ19" i="37"/>
  <c r="CQ21" i="37"/>
  <c r="CQ17" i="37"/>
  <c r="CK27" i="37"/>
  <c r="CK18" i="37"/>
  <c r="CK19" i="37"/>
  <c r="CK17" i="37"/>
  <c r="CK20" i="37"/>
  <c r="CK21" i="37"/>
  <c r="DB153" i="37"/>
  <c r="DM153" i="37"/>
  <c r="CY27" i="37"/>
  <c r="CY18" i="37"/>
  <c r="CY19" i="37"/>
  <c r="CY17" i="37"/>
  <c r="CY21" i="37"/>
  <c r="CY20" i="37"/>
  <c r="DB27" i="37"/>
  <c r="DB18" i="37"/>
  <c r="DB21" i="37"/>
  <c r="DB19" i="37"/>
  <c r="DB20" i="37"/>
  <c r="DB17" i="37"/>
  <c r="CV27" i="37"/>
  <c r="CV18" i="37"/>
  <c r="CV17" i="37"/>
  <c r="CV20" i="37"/>
  <c r="CV21" i="37"/>
  <c r="CV19" i="37"/>
  <c r="DA153" i="37"/>
  <c r="DL153" i="37"/>
  <c r="M134" i="37"/>
  <c r="M133" i="37"/>
  <c r="CP27" i="37"/>
  <c r="CP18" i="37"/>
  <c r="CP20" i="37"/>
  <c r="CP17" i="37"/>
  <c r="CP21" i="37"/>
  <c r="CP19" i="37"/>
  <c r="CJ27" i="37"/>
  <c r="CJ18" i="37"/>
  <c r="CJ21" i="37"/>
  <c r="CJ19" i="37"/>
  <c r="CJ20" i="37"/>
  <c r="CJ17" i="37"/>
  <c r="CZ153" i="37"/>
  <c r="DK153" i="37"/>
  <c r="CM27" i="37"/>
  <c r="CM18" i="37"/>
  <c r="CM21" i="37"/>
  <c r="CM19" i="37"/>
  <c r="CM17" i="37"/>
  <c r="CM20" i="37"/>
  <c r="DA27" i="37"/>
  <c r="DA18" i="37"/>
  <c r="DA19" i="37"/>
  <c r="DA21" i="37"/>
  <c r="DA20" i="37"/>
  <c r="DA17" i="37"/>
  <c r="DH27" i="37"/>
  <c r="DH18" i="37"/>
  <c r="CY153" i="37"/>
  <c r="DJ153" i="37"/>
  <c r="DH21" i="37"/>
  <c r="CO51" i="37"/>
  <c r="CK52" i="37"/>
  <c r="DH51" i="37"/>
  <c r="CR51" i="37"/>
  <c r="CL51" i="37"/>
  <c r="DB51" i="37"/>
  <c r="CQ51" i="37"/>
  <c r="CW51" i="37"/>
  <c r="CN51" i="37"/>
  <c r="CY51" i="37"/>
  <c r="DR35" i="17"/>
  <c r="DH52" i="37"/>
  <c r="CY39" i="37"/>
  <c r="DN35" i="17"/>
  <c r="DD52" i="37"/>
  <c r="CQ39" i="37"/>
  <c r="DO35" i="17"/>
  <c r="DE52" i="37"/>
  <c r="DL35" i="17"/>
  <c r="DB52" i="37"/>
  <c r="DE51" i="37"/>
  <c r="CJ39" i="37"/>
  <c r="CX35" i="17"/>
  <c r="CN52" i="37"/>
  <c r="DA35" i="17"/>
  <c r="CQ52" i="37"/>
  <c r="CV51" i="37"/>
  <c r="CS51" i="37"/>
  <c r="DP35" i="17"/>
  <c r="DF52" i="37"/>
  <c r="DK35" i="17"/>
  <c r="DA52" i="37"/>
  <c r="CV35" i="17"/>
  <c r="CL52" i="37"/>
  <c r="CK51" i="37"/>
  <c r="CU51" i="37"/>
  <c r="DH35" i="17"/>
  <c r="CX52" i="37"/>
  <c r="DD35" i="17"/>
  <c r="CT52" i="37"/>
  <c r="CZ35" i="17"/>
  <c r="CP52" i="37"/>
  <c r="DJ35" i="17"/>
  <c r="CZ52" i="37"/>
  <c r="DA51" i="37"/>
  <c r="CX51" i="37"/>
  <c r="DQ35" i="17"/>
  <c r="DG52" i="37"/>
  <c r="DE35" i="17"/>
  <c r="CU52" i="37"/>
  <c r="DF35" i="17"/>
  <c r="CV52" i="37"/>
  <c r="DB35" i="17"/>
  <c r="CR52" i="37"/>
  <c r="CM51" i="37"/>
  <c r="CZ51" i="37"/>
  <c r="DI35" i="17"/>
  <c r="CY52" i="37"/>
  <c r="DG51" i="37"/>
  <c r="DM35" i="17"/>
  <c r="DC52" i="37"/>
  <c r="DG35" i="17"/>
  <c r="CW52" i="37"/>
  <c r="CP51" i="37"/>
  <c r="DC51" i="37"/>
  <c r="CY35" i="17"/>
  <c r="CO52" i="37"/>
  <c r="DC35" i="17"/>
  <c r="CS52" i="37"/>
  <c r="CT51" i="37"/>
  <c r="DF51" i="37"/>
  <c r="CW35" i="17"/>
  <c r="CM52" i="37"/>
  <c r="DD51" i="37"/>
  <c r="CU35" i="17"/>
  <c r="CT35" i="17"/>
  <c r="CJ52" i="37"/>
  <c r="CJ51" i="37"/>
  <c r="CM39" i="37"/>
  <c r="CO39" i="37"/>
  <c r="CX39" i="37"/>
  <c r="CT39" i="37"/>
  <c r="DC39" i="37"/>
  <c r="DG39" i="37"/>
  <c r="CZ39" i="37"/>
  <c r="DE39" i="37"/>
  <c r="DA39" i="37"/>
  <c r="CV39" i="37"/>
  <c r="CR39" i="37"/>
  <c r="CP39" i="37"/>
  <c r="CK39" i="37"/>
  <c r="DD39" i="37"/>
  <c r="CS39" i="37"/>
  <c r="CN39" i="37"/>
  <c r="DB39" i="37"/>
  <c r="CU39" i="37"/>
  <c r="CL39" i="37"/>
  <c r="DH39" i="37"/>
  <c r="DF39" i="37"/>
  <c r="CW39" i="37"/>
  <c r="B125" i="8"/>
  <c r="F126" i="8"/>
  <c r="H126" i="8" s="1"/>
  <c r="K125" i="8"/>
  <c r="L124" i="8"/>
  <c r="M124" i="8"/>
  <c r="DA40" i="17"/>
  <c r="DA66" i="17" s="1"/>
  <c r="CQ54" i="37" s="1"/>
  <c r="DR40" i="17"/>
  <c r="DR66" i="17" s="1"/>
  <c r="DH54" i="37" s="1"/>
  <c r="CZ40" i="17"/>
  <c r="CZ66" i="17" s="1"/>
  <c r="CP54" i="37" s="1"/>
  <c r="DF40" i="17"/>
  <c r="DF66" i="17" s="1"/>
  <c r="CV54" i="37" s="1"/>
  <c r="DJ40" i="17"/>
  <c r="DJ66" i="17" s="1"/>
  <c r="CZ54" i="37" s="1"/>
  <c r="DH40" i="17"/>
  <c r="DH66" i="17" s="1"/>
  <c r="CX54" i="37" s="1"/>
  <c r="DG40" i="17"/>
  <c r="DG66" i="17" s="1"/>
  <c r="CW54" i="37" s="1"/>
  <c r="H39" i="37"/>
  <c r="DO40" i="17"/>
  <c r="DO66" i="17" s="1"/>
  <c r="DE54" i="37" s="1"/>
  <c r="J39" i="37"/>
  <c r="CW40" i="17"/>
  <c r="CW66" i="17" s="1"/>
  <c r="CM54" i="37" s="1"/>
  <c r="CY40" i="17"/>
  <c r="CY66" i="17" s="1"/>
  <c r="CO54" i="37" s="1"/>
  <c r="CT40" i="17"/>
  <c r="CT66" i="17" s="1"/>
  <c r="CJ54" i="37" s="1"/>
  <c r="D39" i="37"/>
  <c r="DM40" i="17"/>
  <c r="DM66" i="17" s="1"/>
  <c r="DC54" i="37" s="1"/>
  <c r="E39" i="37"/>
  <c r="CU40" i="17"/>
  <c r="CU66" i="17" s="1"/>
  <c r="CK54" i="37" s="1"/>
  <c r="CX40" i="17"/>
  <c r="CX66" i="17" s="1"/>
  <c r="CN54" i="37" s="1"/>
  <c r="DC40" i="17"/>
  <c r="DC66" i="17" s="1"/>
  <c r="CS54" i="37" s="1"/>
  <c r="F39" i="37"/>
  <c r="DD40" i="17"/>
  <c r="DD66" i="17" s="1"/>
  <c r="CT54" i="37" s="1"/>
  <c r="DP40" i="17"/>
  <c r="DP66" i="17" s="1"/>
  <c r="DF54" i="37" s="1"/>
  <c r="DN40" i="17"/>
  <c r="DN66" i="17" s="1"/>
  <c r="DD54" i="37" s="1"/>
  <c r="DE40" i="17"/>
  <c r="DE66" i="17" s="1"/>
  <c r="CU54" i="37" s="1"/>
  <c r="DQ40" i="17"/>
  <c r="DQ66" i="17" s="1"/>
  <c r="DG54" i="37" s="1"/>
  <c r="DK40" i="17"/>
  <c r="DK66" i="17" s="1"/>
  <c r="DA54" i="37" s="1"/>
  <c r="DB40" i="17"/>
  <c r="DB66" i="17" s="1"/>
  <c r="CR54" i="37" s="1"/>
  <c r="K39" i="37"/>
  <c r="CV40" i="17"/>
  <c r="CV66" i="17" s="1"/>
  <c r="CL54" i="37" s="1"/>
  <c r="AV27" i="37"/>
  <c r="AV18" i="37"/>
  <c r="AV21" i="37"/>
  <c r="AV19" i="37"/>
  <c r="AV17" i="37"/>
  <c r="AV20" i="37"/>
  <c r="AU27" i="37"/>
  <c r="AU18" i="37"/>
  <c r="AU21" i="37"/>
  <c r="AU17" i="37"/>
  <c r="AU19" i="37"/>
  <c r="AU20" i="37"/>
  <c r="AT27" i="37"/>
  <c r="AT18" i="37"/>
  <c r="AT17" i="37"/>
  <c r="AT19" i="37"/>
  <c r="AT21" i="37"/>
  <c r="AT20" i="37"/>
  <c r="BX21" i="37"/>
  <c r="BX19" i="37"/>
  <c r="BX18" i="37"/>
  <c r="BX17" i="37"/>
  <c r="BX27" i="37"/>
  <c r="BX20" i="37"/>
  <c r="BH27" i="37"/>
  <c r="BH17" i="37"/>
  <c r="BH18" i="37"/>
  <c r="BH19" i="37"/>
  <c r="BH21" i="37"/>
  <c r="BH20" i="37"/>
  <c r="AR27" i="37"/>
  <c r="AR19" i="37"/>
  <c r="AR21" i="37"/>
  <c r="AR17" i="37"/>
  <c r="AR18" i="37"/>
  <c r="AR20" i="37"/>
  <c r="AB27" i="37"/>
  <c r="AB18" i="37"/>
  <c r="AB19" i="37"/>
  <c r="AB17" i="37"/>
  <c r="AB21" i="37"/>
  <c r="AB20" i="37"/>
  <c r="K27" i="37"/>
  <c r="K19" i="37"/>
  <c r="K18" i="37"/>
  <c r="K21" i="37"/>
  <c r="K17" i="37"/>
  <c r="K20" i="37"/>
  <c r="BW27" i="37"/>
  <c r="BW19" i="37"/>
  <c r="BW18" i="37"/>
  <c r="BW17" i="37"/>
  <c r="BW21" i="37"/>
  <c r="BW20" i="37"/>
  <c r="BG27" i="37"/>
  <c r="BG19" i="37"/>
  <c r="BG17" i="37"/>
  <c r="BG18" i="37"/>
  <c r="BG21" i="37"/>
  <c r="BG20" i="37"/>
  <c r="AQ27" i="37"/>
  <c r="AQ17" i="37"/>
  <c r="AQ21" i="37"/>
  <c r="AQ19" i="37"/>
  <c r="AQ18" i="37"/>
  <c r="AQ20" i="37"/>
  <c r="AA27" i="37"/>
  <c r="AA21" i="37"/>
  <c r="AA19" i="37"/>
  <c r="AA17" i="37"/>
  <c r="AA18" i="37"/>
  <c r="AA20" i="37"/>
  <c r="L27" i="37"/>
  <c r="L19" i="37"/>
  <c r="L21" i="37"/>
  <c r="L18" i="37"/>
  <c r="L17" i="37"/>
  <c r="L20" i="37"/>
  <c r="BZ27" i="37"/>
  <c r="BZ17" i="37"/>
  <c r="BZ18" i="37"/>
  <c r="BZ21" i="37"/>
  <c r="BZ19" i="37"/>
  <c r="BZ20" i="37"/>
  <c r="G39" i="37"/>
  <c r="BV27" i="37"/>
  <c r="BV18" i="37"/>
  <c r="BV19" i="37"/>
  <c r="BV17" i="37"/>
  <c r="BV21" i="37"/>
  <c r="BV20" i="37"/>
  <c r="BF27" i="37"/>
  <c r="BF18" i="37"/>
  <c r="BF21" i="37"/>
  <c r="BF19" i="37"/>
  <c r="BF17" i="37"/>
  <c r="BF20" i="37"/>
  <c r="AP27" i="37"/>
  <c r="AP17" i="37"/>
  <c r="AP19" i="37"/>
  <c r="AP18" i="37"/>
  <c r="AP21" i="37"/>
  <c r="AP20" i="37"/>
  <c r="Z27" i="37"/>
  <c r="Z18" i="37"/>
  <c r="Z19" i="37"/>
  <c r="Z17" i="37"/>
  <c r="Z21" i="37"/>
  <c r="Z20" i="37"/>
  <c r="S27" i="37"/>
  <c r="S17" i="37"/>
  <c r="S21" i="37"/>
  <c r="S19" i="37"/>
  <c r="S18" i="37"/>
  <c r="S20" i="37"/>
  <c r="U27" i="37"/>
  <c r="U19" i="37"/>
  <c r="U18" i="37"/>
  <c r="U21" i="37"/>
  <c r="U17" i="37"/>
  <c r="U20" i="37"/>
  <c r="BY18" i="37"/>
  <c r="BY19" i="37"/>
  <c r="BY27" i="37"/>
  <c r="BY21" i="37"/>
  <c r="BY17" i="37"/>
  <c r="BY20" i="37"/>
  <c r="BU27" i="37"/>
  <c r="BU21" i="37"/>
  <c r="BU19" i="37"/>
  <c r="BU17" i="37"/>
  <c r="BU18" i="37"/>
  <c r="BU20" i="37"/>
  <c r="BE27" i="37"/>
  <c r="BE17" i="37"/>
  <c r="BE19" i="37"/>
  <c r="BE18" i="37"/>
  <c r="BE21" i="37"/>
  <c r="BE20" i="37"/>
  <c r="AO27" i="37"/>
  <c r="AO18" i="37"/>
  <c r="AO21" i="37"/>
  <c r="AO17" i="37"/>
  <c r="AO19" i="37"/>
  <c r="AO20" i="37"/>
  <c r="Y27" i="37"/>
  <c r="Y21" i="37"/>
  <c r="Y17" i="37"/>
  <c r="Y19" i="37"/>
  <c r="Y18" i="37"/>
  <c r="Y20" i="37"/>
  <c r="M27" i="37"/>
  <c r="M18" i="37"/>
  <c r="M19" i="37"/>
  <c r="M17" i="37"/>
  <c r="M21" i="37"/>
  <c r="M20" i="37"/>
  <c r="CA27" i="37"/>
  <c r="CA21" i="37"/>
  <c r="CA17" i="37"/>
  <c r="CA18" i="37"/>
  <c r="CA19" i="37"/>
  <c r="CA20" i="37"/>
  <c r="BT27" i="37"/>
  <c r="BT21" i="37"/>
  <c r="BT18" i="37"/>
  <c r="BT19" i="37"/>
  <c r="BT17" i="37"/>
  <c r="BT20" i="37"/>
  <c r="BD27" i="37"/>
  <c r="BD18" i="37"/>
  <c r="BD19" i="37"/>
  <c r="BD17" i="37"/>
  <c r="BD21" i="37"/>
  <c r="BD20" i="37"/>
  <c r="AN27" i="37"/>
  <c r="AN19" i="37"/>
  <c r="AN17" i="37"/>
  <c r="AN18" i="37"/>
  <c r="AN21" i="37"/>
  <c r="AN20" i="37"/>
  <c r="X27" i="37"/>
  <c r="X18" i="37"/>
  <c r="X17" i="37"/>
  <c r="X19" i="37"/>
  <c r="X21" i="37"/>
  <c r="X20" i="37"/>
  <c r="R27" i="37"/>
  <c r="R21" i="37"/>
  <c r="R18" i="37"/>
  <c r="R19" i="37"/>
  <c r="R17" i="37"/>
  <c r="R20" i="37"/>
  <c r="AE27" i="37"/>
  <c r="AE21" i="37"/>
  <c r="AE17" i="37"/>
  <c r="AE18" i="37"/>
  <c r="AE19" i="37"/>
  <c r="AE20" i="37"/>
  <c r="AD27" i="37"/>
  <c r="AD18" i="37"/>
  <c r="AD19" i="37"/>
  <c r="AD17" i="37"/>
  <c r="AD21" i="37"/>
  <c r="AD20" i="37"/>
  <c r="CI27" i="37"/>
  <c r="CI17" i="37"/>
  <c r="CI18" i="37"/>
  <c r="CI19" i="37"/>
  <c r="CI20" i="37"/>
  <c r="CI21" i="37"/>
  <c r="BS27" i="37"/>
  <c r="BS18" i="37"/>
  <c r="BS21" i="37"/>
  <c r="BS19" i="37"/>
  <c r="BS17" i="37"/>
  <c r="BS20" i="37"/>
  <c r="BC27" i="37"/>
  <c r="BC18" i="37"/>
  <c r="BC21" i="37"/>
  <c r="BC19" i="37"/>
  <c r="BC17" i="37"/>
  <c r="BC20" i="37"/>
  <c r="AM27" i="37"/>
  <c r="AM18" i="37"/>
  <c r="AM19" i="37"/>
  <c r="AM17" i="37"/>
  <c r="AM21" i="37"/>
  <c r="AM20" i="37"/>
  <c r="G27" i="37"/>
  <c r="G18" i="37"/>
  <c r="G19" i="37"/>
  <c r="G21" i="37"/>
  <c r="G17" i="37"/>
  <c r="G20" i="37"/>
  <c r="N27" i="37"/>
  <c r="N19" i="37"/>
  <c r="N21" i="37"/>
  <c r="N17" i="37"/>
  <c r="N18" i="37"/>
  <c r="N20" i="37"/>
  <c r="CH17" i="37"/>
  <c r="CH18" i="37"/>
  <c r="CH19" i="37"/>
  <c r="CH21" i="37"/>
  <c r="CH27" i="37"/>
  <c r="CH20" i="37"/>
  <c r="BR27" i="37"/>
  <c r="BR19" i="37"/>
  <c r="BR21" i="37"/>
  <c r="BR17" i="37"/>
  <c r="BR18" i="37"/>
  <c r="BR20" i="37"/>
  <c r="BB27" i="37"/>
  <c r="BB21" i="37"/>
  <c r="BB17" i="37"/>
  <c r="BB18" i="37"/>
  <c r="BB19" i="37"/>
  <c r="BB20" i="37"/>
  <c r="AL27" i="37"/>
  <c r="AL18" i="37"/>
  <c r="AL19" i="37"/>
  <c r="AL17" i="37"/>
  <c r="AL21" i="37"/>
  <c r="AL20" i="37"/>
  <c r="H27" i="37"/>
  <c r="H17" i="37"/>
  <c r="H21" i="37"/>
  <c r="H18" i="37"/>
  <c r="H19" i="37"/>
  <c r="H20" i="37"/>
  <c r="Q27" i="37"/>
  <c r="Q19" i="37"/>
  <c r="Q21" i="37"/>
  <c r="Q17" i="37"/>
  <c r="Q18" i="37"/>
  <c r="Q20" i="37"/>
  <c r="M49" i="17" a="1"/>
  <c r="M49" i="17" s="1"/>
  <c r="DS49" i="17" s="1"/>
  <c r="D77" i="37"/>
  <c r="D90" i="37" s="1"/>
  <c r="M59" i="17" a="1"/>
  <c r="M59" i="17" s="1"/>
  <c r="DS59" i="17" s="1"/>
  <c r="M141" i="37"/>
  <c r="C50" i="37"/>
  <c r="C65" i="37" s="1"/>
  <c r="M92" i="17"/>
  <c r="M93" i="17"/>
  <c r="DS93" i="17" s="1"/>
  <c r="CG18" i="37"/>
  <c r="CG19" i="37"/>
  <c r="CG21" i="37"/>
  <c r="CG17" i="37"/>
  <c r="CG27" i="37"/>
  <c r="CG20" i="37"/>
  <c r="BQ27" i="37"/>
  <c r="BQ19" i="37"/>
  <c r="BQ18" i="37"/>
  <c r="BQ21" i="37"/>
  <c r="BQ17" i="37"/>
  <c r="BQ20" i="37"/>
  <c r="BA27" i="37"/>
  <c r="BA21" i="37"/>
  <c r="BA19" i="37"/>
  <c r="BA18" i="37"/>
  <c r="BA17" i="37"/>
  <c r="BA20" i="37"/>
  <c r="AK27" i="37"/>
  <c r="AK19" i="37"/>
  <c r="AK18" i="37"/>
  <c r="AK21" i="37"/>
  <c r="AK17" i="37"/>
  <c r="AK20" i="37"/>
  <c r="W27" i="37"/>
  <c r="W21" i="37"/>
  <c r="W17" i="37"/>
  <c r="W19" i="37"/>
  <c r="W18" i="37"/>
  <c r="W20" i="37"/>
  <c r="O27" i="37"/>
  <c r="O18" i="37"/>
  <c r="O17" i="37"/>
  <c r="O19" i="37"/>
  <c r="O21" i="37"/>
  <c r="O20" i="37"/>
  <c r="DL40" i="17"/>
  <c r="DL66" i="17" s="1"/>
  <c r="DB54" i="37" s="1"/>
  <c r="BL27" i="37"/>
  <c r="BL18" i="37"/>
  <c r="BL17" i="37"/>
  <c r="BL19" i="37"/>
  <c r="BL21" i="37"/>
  <c r="BL20" i="37"/>
  <c r="J27" i="37"/>
  <c r="J21" i="37"/>
  <c r="J17" i="37"/>
  <c r="J19" i="37"/>
  <c r="J18" i="37"/>
  <c r="J20" i="37"/>
  <c r="T27" i="37"/>
  <c r="T17" i="37"/>
  <c r="T21" i="37"/>
  <c r="T18" i="37"/>
  <c r="T19" i="37"/>
  <c r="T20" i="37"/>
  <c r="L39" i="37"/>
  <c r="CF18" i="37"/>
  <c r="CF19" i="37"/>
  <c r="CF21" i="37"/>
  <c r="CF17" i="37"/>
  <c r="CF27" i="37"/>
  <c r="CF20" i="37"/>
  <c r="BP27" i="37"/>
  <c r="BP21" i="37"/>
  <c r="BP19" i="37"/>
  <c r="BP18" i="37"/>
  <c r="BP17" i="37"/>
  <c r="BP20" i="37"/>
  <c r="AZ27" i="37"/>
  <c r="AZ18" i="37"/>
  <c r="AZ21" i="37"/>
  <c r="AZ17" i="37"/>
  <c r="AZ19" i="37"/>
  <c r="AZ20" i="37"/>
  <c r="AJ27" i="37"/>
  <c r="AJ19" i="37"/>
  <c r="AJ17" i="37"/>
  <c r="AJ21" i="37"/>
  <c r="AJ18" i="37"/>
  <c r="AJ20" i="37"/>
  <c r="F27" i="37"/>
  <c r="F21" i="37"/>
  <c r="F17" i="37"/>
  <c r="F18" i="37"/>
  <c r="F19" i="37"/>
  <c r="F20" i="37"/>
  <c r="P27" i="37"/>
  <c r="P21" i="37"/>
  <c r="P18" i="37"/>
  <c r="P17" i="37"/>
  <c r="P19" i="37"/>
  <c r="P20" i="37"/>
  <c r="DI40" i="17"/>
  <c r="DI66" i="17" s="1"/>
  <c r="CY54" i="37" s="1"/>
  <c r="AF27" i="37"/>
  <c r="AF18" i="37"/>
  <c r="AF19" i="37"/>
  <c r="AF17" i="37"/>
  <c r="AF21" i="37"/>
  <c r="AF20" i="37"/>
  <c r="BJ27" i="37"/>
  <c r="BJ18" i="37"/>
  <c r="BJ21" i="37"/>
  <c r="BJ19" i="37"/>
  <c r="BJ17" i="37"/>
  <c r="BJ20" i="37"/>
  <c r="I39" i="37"/>
  <c r="CE27" i="37"/>
  <c r="CE19" i="37"/>
  <c r="CE21" i="37"/>
  <c r="CE17" i="37"/>
  <c r="CE18" i="37"/>
  <c r="CE20" i="37"/>
  <c r="BN27" i="37"/>
  <c r="BN17" i="37"/>
  <c r="BN19" i="37"/>
  <c r="BN21" i="37"/>
  <c r="BN18" i="37"/>
  <c r="BN20" i="37"/>
  <c r="AY27" i="37"/>
  <c r="AY18" i="37"/>
  <c r="AY19" i="37"/>
  <c r="AY17" i="37"/>
  <c r="AY21" i="37"/>
  <c r="AY20" i="37"/>
  <c r="AI27" i="37"/>
  <c r="AI21" i="37"/>
  <c r="AI17" i="37"/>
  <c r="AI18" i="37"/>
  <c r="AI19" i="37"/>
  <c r="AI20" i="37"/>
  <c r="E27" i="37"/>
  <c r="E21" i="37"/>
  <c r="E17" i="37"/>
  <c r="E18" i="37"/>
  <c r="E19" i="37"/>
  <c r="E20" i="37"/>
  <c r="C27" i="37"/>
  <c r="C21" i="37"/>
  <c r="C18" i="37"/>
  <c r="C17" i="37"/>
  <c r="C19" i="37"/>
  <c r="C20" i="37"/>
  <c r="AS27" i="37"/>
  <c r="AS21" i="37"/>
  <c r="AS18" i="37"/>
  <c r="AS19" i="37"/>
  <c r="AS17" i="37"/>
  <c r="AS20" i="37"/>
  <c r="CD18" i="37"/>
  <c r="CD27" i="37"/>
  <c r="CD21" i="37"/>
  <c r="CD19" i="37"/>
  <c r="CD17" i="37"/>
  <c r="CD20" i="37"/>
  <c r="BO27" i="37"/>
  <c r="BO19" i="37"/>
  <c r="BO17" i="37"/>
  <c r="BO21" i="37"/>
  <c r="BO18" i="37"/>
  <c r="BO20" i="37"/>
  <c r="AX27" i="37"/>
  <c r="AX21" i="37"/>
  <c r="AX19" i="37"/>
  <c r="AX18" i="37"/>
  <c r="AX17" i="37"/>
  <c r="AX20" i="37"/>
  <c r="AH27" i="37"/>
  <c r="AH17" i="37"/>
  <c r="AH19" i="37"/>
  <c r="AH21" i="37"/>
  <c r="AH18" i="37"/>
  <c r="AH20" i="37"/>
  <c r="V27" i="37"/>
  <c r="V21" i="37"/>
  <c r="V19" i="37"/>
  <c r="V18" i="37"/>
  <c r="V17" i="37"/>
  <c r="V20" i="37"/>
  <c r="CB27" i="37"/>
  <c r="CB18" i="37"/>
  <c r="CB21" i="37"/>
  <c r="CB17" i="37"/>
  <c r="CB19" i="37"/>
  <c r="CB20" i="37"/>
  <c r="D27" i="37"/>
  <c r="D21" i="37"/>
  <c r="D17" i="37"/>
  <c r="D18" i="37"/>
  <c r="D19" i="37"/>
  <c r="D20" i="37"/>
  <c r="BK27" i="37"/>
  <c r="BK18" i="37"/>
  <c r="BK17" i="37"/>
  <c r="BK21" i="37"/>
  <c r="BK19" i="37"/>
  <c r="BK20" i="37"/>
  <c r="BI27" i="37"/>
  <c r="BI17" i="37"/>
  <c r="BI21" i="37"/>
  <c r="BI18" i="37"/>
  <c r="BI19" i="37"/>
  <c r="BI20" i="37"/>
  <c r="AC27" i="37"/>
  <c r="AC18" i="37"/>
  <c r="AC21" i="37"/>
  <c r="AC19" i="37"/>
  <c r="AC17" i="37"/>
  <c r="AC20" i="37"/>
  <c r="CC18" i="37"/>
  <c r="CC17" i="37"/>
  <c r="CC27" i="37"/>
  <c r="CC21" i="37"/>
  <c r="CC19" i="37"/>
  <c r="CC20" i="37"/>
  <c r="BM27" i="37"/>
  <c r="BM18" i="37"/>
  <c r="BM17" i="37"/>
  <c r="BM19" i="37"/>
  <c r="BM21" i="37"/>
  <c r="BM20" i="37"/>
  <c r="AW27" i="37"/>
  <c r="AW18" i="37"/>
  <c r="AW19" i="37"/>
  <c r="AW17" i="37"/>
  <c r="AW21" i="37"/>
  <c r="AW20" i="37"/>
  <c r="AG27" i="37"/>
  <c r="AG21" i="37"/>
  <c r="AG18" i="37"/>
  <c r="AG19" i="37"/>
  <c r="AG17" i="37"/>
  <c r="AG20" i="37"/>
  <c r="I27" i="37"/>
  <c r="I19" i="37"/>
  <c r="I18" i="37"/>
  <c r="I21" i="37"/>
  <c r="I17" i="37"/>
  <c r="I20" i="37"/>
  <c r="F78" i="38"/>
  <c r="C78" i="38" s="1"/>
  <c r="C11" i="38"/>
  <c r="I11" i="38" s="1"/>
  <c r="C22" i="46"/>
  <c r="G126" i="8" l="1"/>
  <c r="I125" i="8" a="1"/>
  <c r="I125" i="8" s="1"/>
  <c r="I43" i="14"/>
  <c r="M43" i="14"/>
  <c r="F35" i="17" s="1"/>
  <c r="E43" i="14"/>
  <c r="G43" i="14"/>
  <c r="L43" i="14"/>
  <c r="E35" i="17" s="1"/>
  <c r="D43" i="14"/>
  <c r="C43" i="14"/>
  <c r="K43" i="14"/>
  <c r="D35" i="17" s="1"/>
  <c r="H43" i="14"/>
  <c r="D39" i="17"/>
  <c r="C109" i="37"/>
  <c r="C57" i="16"/>
  <c r="D76" i="17"/>
  <c r="C110" i="37"/>
  <c r="D32" i="15"/>
  <c r="E55" i="17" s="1"/>
  <c r="E42" i="17"/>
  <c r="E77" i="17"/>
  <c r="D108" i="37"/>
  <c r="D114" i="37"/>
  <c r="E83" i="17"/>
  <c r="C32" i="15"/>
  <c r="D55" i="17" s="1"/>
  <c r="D110" i="37"/>
  <c r="E79" i="17"/>
  <c r="C108" i="37"/>
  <c r="D83" i="17"/>
  <c r="E76" i="17"/>
  <c r="D107" i="37"/>
  <c r="D57" i="16"/>
  <c r="D109" i="37"/>
  <c r="E78" i="17"/>
  <c r="D31" i="15"/>
  <c r="E54" i="17" s="1"/>
  <c r="E39" i="17"/>
  <c r="G102" i="4"/>
  <c r="G103" i="4" s="1"/>
  <c r="DR153" i="37"/>
  <c r="D125" i="8"/>
  <c r="C125" i="8"/>
  <c r="E82" i="17"/>
  <c r="D113" i="37"/>
  <c r="E81" i="17"/>
  <c r="D69" i="16"/>
  <c r="D112" i="37"/>
  <c r="C112" i="37"/>
  <c r="D81" i="17"/>
  <c r="C69" i="16"/>
  <c r="D82" i="17"/>
  <c r="C113" i="37"/>
  <c r="DH40" i="37"/>
  <c r="DO155" i="37"/>
  <c r="DE41" i="37"/>
  <c r="DH41" i="37"/>
  <c r="DR155" i="37"/>
  <c r="CW155" i="37"/>
  <c r="CM41" i="37"/>
  <c r="CP40" i="37"/>
  <c r="CZ154" i="37"/>
  <c r="DF155" i="37"/>
  <c r="CV41" i="37"/>
  <c r="CY41" i="37"/>
  <c r="DI155" i="37"/>
  <c r="CW41" i="37"/>
  <c r="DG155" i="37"/>
  <c r="DN155" i="37"/>
  <c r="DD41" i="37"/>
  <c r="CT41" i="37"/>
  <c r="DD155" i="37"/>
  <c r="CZ40" i="37"/>
  <c r="DJ154" i="37"/>
  <c r="CR40" i="37"/>
  <c r="DB154" i="37"/>
  <c r="DG40" i="37"/>
  <c r="DQ154" i="37"/>
  <c r="CT154" i="37"/>
  <c r="CJ40" i="37"/>
  <c r="G115" i="4" a="1"/>
  <c r="G115" i="4" s="1"/>
  <c r="D48" i="44" s="1"/>
  <c r="M151" i="37"/>
  <c r="CR41" i="37"/>
  <c r="DB155" i="37"/>
  <c r="CQ41" i="37"/>
  <c r="DA155" i="37"/>
  <c r="G116" i="4" a="1"/>
  <c r="G116" i="4" s="1"/>
  <c r="D49" i="44" s="1"/>
  <c r="M152" i="37"/>
  <c r="DC40" i="37"/>
  <c r="DM154" i="37"/>
  <c r="DE154" i="37"/>
  <c r="CU40" i="37"/>
  <c r="CX154" i="37"/>
  <c r="CN40" i="37"/>
  <c r="CZ41" i="37"/>
  <c r="DJ155" i="37"/>
  <c r="DA41" i="37"/>
  <c r="DK155" i="37"/>
  <c r="DL155" i="37"/>
  <c r="DB41" i="37"/>
  <c r="CK40" i="37"/>
  <c r="CU154" i="37"/>
  <c r="CX40" i="37"/>
  <c r="DH154" i="37"/>
  <c r="DC41" i="37"/>
  <c r="DM155" i="37"/>
  <c r="CL40" i="37"/>
  <c r="CV154" i="37"/>
  <c r="CP41" i="37"/>
  <c r="CZ155" i="37"/>
  <c r="DG41" i="37"/>
  <c r="DQ155" i="37"/>
  <c r="DP154" i="37"/>
  <c r="DF40" i="37"/>
  <c r="CJ41" i="37"/>
  <c r="CT155" i="37"/>
  <c r="CU155" i="37"/>
  <c r="CK41" i="37"/>
  <c r="CX41" i="37"/>
  <c r="DH155" i="37"/>
  <c r="CU41" i="37"/>
  <c r="DE155" i="37"/>
  <c r="DF41" i="37"/>
  <c r="DP155" i="37"/>
  <c r="CX155" i="37"/>
  <c r="CN41" i="37"/>
  <c r="CO40" i="37"/>
  <c r="CY154" i="37"/>
  <c r="DA40" i="37"/>
  <c r="DK154" i="37"/>
  <c r="CS41" i="37"/>
  <c r="DC155" i="37"/>
  <c r="CM40" i="37"/>
  <c r="CW154" i="37"/>
  <c r="DN154" i="37"/>
  <c r="DD40" i="37"/>
  <c r="CO41" i="37"/>
  <c r="CY155" i="37"/>
  <c r="DI154" i="37"/>
  <c r="CY40" i="37"/>
  <c r="DA154" i="37"/>
  <c r="CQ40" i="37"/>
  <c r="CL41" i="37"/>
  <c r="CV155" i="37"/>
  <c r="DB40" i="37"/>
  <c r="DL154" i="37"/>
  <c r="DF154" i="37"/>
  <c r="CV40" i="37"/>
  <c r="CS40" i="37"/>
  <c r="DC154" i="37"/>
  <c r="CW40" i="37"/>
  <c r="DG154" i="37"/>
  <c r="CT40" i="37"/>
  <c r="DD154" i="37"/>
  <c r="DO154" i="37"/>
  <c r="DE40" i="37"/>
  <c r="L125" i="8"/>
  <c r="M125" i="8"/>
  <c r="K126" i="8"/>
  <c r="F127" i="8"/>
  <c r="H127" i="8" s="1"/>
  <c r="B126" i="8"/>
  <c r="I41" i="37"/>
  <c r="S155" i="37"/>
  <c r="BM154" i="37"/>
  <c r="BC40" i="37"/>
  <c r="S40" i="37"/>
  <c r="AC154" i="37"/>
  <c r="AS41" i="37"/>
  <c r="BC155" i="37"/>
  <c r="AT41" i="37"/>
  <c r="BD155" i="37"/>
  <c r="AI41" i="37"/>
  <c r="AS155" i="37"/>
  <c r="V154" i="37"/>
  <c r="L40" i="37"/>
  <c r="BI41" i="37"/>
  <c r="BS155" i="37"/>
  <c r="AS154" i="37"/>
  <c r="AI40" i="37"/>
  <c r="CE41" i="37"/>
  <c r="CO155" i="37"/>
  <c r="AF41" i="37"/>
  <c r="AP155" i="37"/>
  <c r="AJ41" i="37"/>
  <c r="AT155" i="37"/>
  <c r="H40" i="37"/>
  <c r="R154" i="37"/>
  <c r="CB154" i="37"/>
  <c r="BR40" i="37"/>
  <c r="BC41" i="37"/>
  <c r="BM155" i="37"/>
  <c r="AN154" i="37"/>
  <c r="AD40" i="37"/>
  <c r="BD41" i="37"/>
  <c r="BN155" i="37"/>
  <c r="L41" i="37"/>
  <c r="V155" i="37"/>
  <c r="AQ154" i="37"/>
  <c r="AG40" i="37"/>
  <c r="CD40" i="37"/>
  <c r="CN154" i="37"/>
  <c r="CE40" i="37"/>
  <c r="CO154" i="37"/>
  <c r="T154" i="37"/>
  <c r="J40" i="37"/>
  <c r="Q154" i="37"/>
  <c r="G40" i="37"/>
  <c r="M40" i="37"/>
  <c r="W154" i="37"/>
  <c r="Z40" i="37"/>
  <c r="AJ154" i="37"/>
  <c r="BH41" i="37"/>
  <c r="BR155" i="37"/>
  <c r="N40" i="37"/>
  <c r="X154" i="37"/>
  <c r="BP41" i="37"/>
  <c r="BZ155" i="37"/>
  <c r="K40" i="37"/>
  <c r="U154" i="37"/>
  <c r="BM41" i="37"/>
  <c r="BW155" i="37"/>
  <c r="BS154" i="37"/>
  <c r="BI40" i="37"/>
  <c r="CL154" i="37"/>
  <c r="CB40" i="37"/>
  <c r="AR154" i="37"/>
  <c r="AH40" i="37"/>
  <c r="AJ40" i="37"/>
  <c r="AT154" i="37"/>
  <c r="W41" i="37"/>
  <c r="AG155" i="37"/>
  <c r="AD41" i="37"/>
  <c r="AN155" i="37"/>
  <c r="BY41" i="37"/>
  <c r="CI155" i="37"/>
  <c r="BG41" i="37"/>
  <c r="BQ155" i="37"/>
  <c r="BH40" i="37"/>
  <c r="BR154" i="37"/>
  <c r="BE154" i="37"/>
  <c r="AU40" i="37"/>
  <c r="D41" i="37"/>
  <c r="N155" i="37"/>
  <c r="BX154" i="37"/>
  <c r="BN40" i="37"/>
  <c r="BA40" i="37"/>
  <c r="BK154" i="37"/>
  <c r="BA41" i="37"/>
  <c r="BK155" i="37"/>
  <c r="BS40" i="37"/>
  <c r="CC154" i="37"/>
  <c r="AH154" i="37"/>
  <c r="X40" i="37"/>
  <c r="BT40" i="37"/>
  <c r="CD154" i="37"/>
  <c r="M41" i="37"/>
  <c r="W155" i="37"/>
  <c r="BE41" i="37"/>
  <c r="BO155" i="37"/>
  <c r="Z41" i="37"/>
  <c r="AJ155" i="37"/>
  <c r="BV40" i="37"/>
  <c r="CF154" i="37"/>
  <c r="BQ154" i="37"/>
  <c r="BG40" i="37"/>
  <c r="AY154" i="37"/>
  <c r="AO40" i="37"/>
  <c r="H41" i="37"/>
  <c r="R155" i="37"/>
  <c r="BF41" i="37"/>
  <c r="BP155" i="37"/>
  <c r="CP154" i="37"/>
  <c r="CF40" i="37"/>
  <c r="CB41" i="37"/>
  <c r="CL155" i="37"/>
  <c r="M155" i="37"/>
  <c r="C41" i="37"/>
  <c r="W40" i="37"/>
  <c r="AG154" i="37"/>
  <c r="CA154" i="37"/>
  <c r="BQ40" i="37"/>
  <c r="AV154" i="37"/>
  <c r="AL40" i="37"/>
  <c r="G41" i="37"/>
  <c r="Q155" i="37"/>
  <c r="X41" i="37"/>
  <c r="AH155" i="37"/>
  <c r="U40" i="37"/>
  <c r="AE154" i="37"/>
  <c r="AB40" i="37"/>
  <c r="AL154" i="37"/>
  <c r="AU41" i="37"/>
  <c r="BE155" i="37"/>
  <c r="CI40" i="37"/>
  <c r="CS154" i="37"/>
  <c r="N154" i="37"/>
  <c r="D40" i="37"/>
  <c r="O40" i="37"/>
  <c r="Y154" i="37"/>
  <c r="BM40" i="37"/>
  <c r="BW154" i="37"/>
  <c r="J41" i="37"/>
  <c r="T155" i="37"/>
  <c r="P40" i="37"/>
  <c r="Z154" i="37"/>
  <c r="BT41" i="37"/>
  <c r="CD155" i="37"/>
  <c r="BE40" i="37"/>
  <c r="BO154" i="37"/>
  <c r="BV41" i="37"/>
  <c r="CF155" i="37"/>
  <c r="AA41" i="37"/>
  <c r="AK155" i="37"/>
  <c r="T40" i="37"/>
  <c r="AD154" i="37"/>
  <c r="BZ40" i="37"/>
  <c r="CJ154" i="37"/>
  <c r="P41" i="37"/>
  <c r="Z155" i="37"/>
  <c r="CF41" i="37"/>
  <c r="CP155" i="37"/>
  <c r="BQ41" i="37"/>
  <c r="CA155" i="37"/>
  <c r="AL41" i="37"/>
  <c r="AV155" i="37"/>
  <c r="BS41" i="37"/>
  <c r="CC155" i="37"/>
  <c r="AE41" i="37"/>
  <c r="AO155" i="37"/>
  <c r="Y41" i="37"/>
  <c r="AI155" i="37"/>
  <c r="U41" i="37"/>
  <c r="AE155" i="37"/>
  <c r="AK154" i="37"/>
  <c r="AA40" i="37"/>
  <c r="AB41" i="37"/>
  <c r="AL155" i="37"/>
  <c r="BX40" i="37"/>
  <c r="CH154" i="37"/>
  <c r="AS40" i="37"/>
  <c r="BC154" i="37"/>
  <c r="DS85" i="17"/>
  <c r="C15" i="37"/>
  <c r="C37" i="37" s="1"/>
  <c r="AX41" i="37"/>
  <c r="BH155" i="37"/>
  <c r="BU154" i="37"/>
  <c r="BK40" i="37"/>
  <c r="BL40" i="37"/>
  <c r="BV154" i="37"/>
  <c r="Q41" i="37"/>
  <c r="AA155" i="37"/>
  <c r="AE40" i="37"/>
  <c r="AO154" i="37"/>
  <c r="AP41" i="37"/>
  <c r="AZ155" i="37"/>
  <c r="BX41" i="37"/>
  <c r="CH155" i="37"/>
  <c r="BF154" i="37"/>
  <c r="AV40" i="37"/>
  <c r="BD40" i="37"/>
  <c r="BN154" i="37"/>
  <c r="AH41" i="37"/>
  <c r="AR155" i="37"/>
  <c r="BR41" i="37"/>
  <c r="CB155" i="37"/>
  <c r="K41" i="37"/>
  <c r="U155" i="37"/>
  <c r="BH154" i="37"/>
  <c r="AX40" i="37"/>
  <c r="BI154" i="37"/>
  <c r="AY40" i="37"/>
  <c r="CC41" i="37"/>
  <c r="CM155" i="37"/>
  <c r="BL41" i="37"/>
  <c r="BV155" i="37"/>
  <c r="AK40" i="37"/>
  <c r="AU154" i="37"/>
  <c r="Q40" i="37"/>
  <c r="AA154" i="37"/>
  <c r="CH41" i="37"/>
  <c r="CR155" i="37"/>
  <c r="AM40" i="37"/>
  <c r="AW154" i="37"/>
  <c r="AN41" i="37"/>
  <c r="AX155" i="37"/>
  <c r="Y40" i="37"/>
  <c r="AI154" i="37"/>
  <c r="BU41" i="37"/>
  <c r="CE155" i="37"/>
  <c r="CG154" i="37"/>
  <c r="BW40" i="37"/>
  <c r="BP154" i="37"/>
  <c r="BF40" i="37"/>
  <c r="BO40" i="37"/>
  <c r="BY154" i="37"/>
  <c r="BA154" i="37"/>
  <c r="AQ40" i="37"/>
  <c r="C16" i="37"/>
  <c r="C38" i="37" s="1"/>
  <c r="DS86" i="17"/>
  <c r="CR154" i="37"/>
  <c r="CH40" i="37"/>
  <c r="AX154" i="37"/>
  <c r="AN40" i="37"/>
  <c r="CE154" i="37"/>
  <c r="BU40" i="37"/>
  <c r="AP40" i="37"/>
  <c r="AZ154" i="37"/>
  <c r="BW41" i="37"/>
  <c r="CG155" i="37"/>
  <c r="AR41" i="37"/>
  <c r="BB155" i="37"/>
  <c r="AC41" i="37"/>
  <c r="AM155" i="37"/>
  <c r="BZ154" i="37"/>
  <c r="BP40" i="37"/>
  <c r="AF40" i="37"/>
  <c r="AP154" i="37"/>
  <c r="CG41" i="37"/>
  <c r="CQ155" i="37"/>
  <c r="O41" i="37"/>
  <c r="Y155" i="37"/>
  <c r="AY41" i="37"/>
  <c r="BI155" i="37"/>
  <c r="BT154" i="37"/>
  <c r="BJ40" i="37"/>
  <c r="AZ40" i="37"/>
  <c r="BJ154" i="37"/>
  <c r="BG154" i="37"/>
  <c r="AW40" i="37"/>
  <c r="BK41" i="37"/>
  <c r="BU155" i="37"/>
  <c r="AM154" i="37"/>
  <c r="AC40" i="37"/>
  <c r="AZ41" i="37"/>
  <c r="BJ155" i="37"/>
  <c r="V41" i="37"/>
  <c r="AF155" i="37"/>
  <c r="O154" i="37"/>
  <c r="E40" i="37"/>
  <c r="BN41" i="37"/>
  <c r="BX155" i="37"/>
  <c r="BJ41" i="37"/>
  <c r="BT155" i="37"/>
  <c r="T41" i="37"/>
  <c r="AD155" i="37"/>
  <c r="AK41" i="37"/>
  <c r="AU155" i="37"/>
  <c r="BB41" i="37"/>
  <c r="BL155" i="37"/>
  <c r="AM41" i="37"/>
  <c r="AW155" i="37"/>
  <c r="CA41" i="37"/>
  <c r="CK155" i="37"/>
  <c r="S41" i="37"/>
  <c r="AC155" i="37"/>
  <c r="AR40" i="37"/>
  <c r="BB154" i="37"/>
  <c r="AV41" i="37"/>
  <c r="BF155" i="37"/>
  <c r="F40" i="37"/>
  <c r="P154" i="37"/>
  <c r="R41" i="37"/>
  <c r="AB155" i="37"/>
  <c r="BD154" i="37"/>
  <c r="AT40" i="37"/>
  <c r="BY40" i="37"/>
  <c r="CI154" i="37"/>
  <c r="AO41" i="37"/>
  <c r="AY155" i="37"/>
  <c r="AG41" i="37"/>
  <c r="AQ155" i="37"/>
  <c r="C40" i="37"/>
  <c r="M154" i="37"/>
  <c r="CD41" i="37"/>
  <c r="CN155" i="37"/>
  <c r="CC40" i="37"/>
  <c r="CM154" i="37"/>
  <c r="AF154" i="37"/>
  <c r="V40" i="37"/>
  <c r="E41" i="37"/>
  <c r="O155" i="37"/>
  <c r="AW41" i="37"/>
  <c r="BG155" i="37"/>
  <c r="I40" i="37"/>
  <c r="S154" i="37"/>
  <c r="BO41" i="37"/>
  <c r="BY155" i="37"/>
  <c r="F41" i="37"/>
  <c r="P155" i="37"/>
  <c r="CG40" i="37"/>
  <c r="CQ154" i="37"/>
  <c r="BB40" i="37"/>
  <c r="BL154" i="37"/>
  <c r="N41" i="37"/>
  <c r="X155" i="37"/>
  <c r="CI41" i="37"/>
  <c r="CS155" i="37"/>
  <c r="R40" i="37"/>
  <c r="AB154" i="37"/>
  <c r="CA40" i="37"/>
  <c r="CK154" i="37"/>
  <c r="BZ41" i="37"/>
  <c r="CJ155" i="37"/>
  <c r="AQ41" i="37"/>
  <c r="BA155" i="37"/>
  <c r="G78" i="38"/>
  <c r="E78" i="38"/>
  <c r="L11" i="38"/>
  <c r="H11" i="38"/>
  <c r="G127" i="8" l="1"/>
  <c r="I126" i="8" a="1"/>
  <c r="I126" i="8" s="1"/>
  <c r="D126" i="8"/>
  <c r="C126" i="8"/>
  <c r="M153" i="37"/>
  <c r="C34" i="4"/>
  <c r="C52" i="38" s="1"/>
  <c r="I52" i="38" s="1"/>
  <c r="C35" i="4"/>
  <c r="C53" i="38" s="1"/>
  <c r="B127" i="8"/>
  <c r="F128" i="8"/>
  <c r="H128" i="8" s="1"/>
  <c r="L126" i="8"/>
  <c r="M126" i="8"/>
  <c r="K127" i="8"/>
  <c r="C39" i="37"/>
  <c r="G128" i="8" l="1"/>
  <c r="I127" i="8" a="1"/>
  <c r="I127" i="8" s="1"/>
  <c r="D127" i="8"/>
  <c r="C127" i="8"/>
  <c r="H53" i="38"/>
  <c r="I53" i="38"/>
  <c r="H52" i="38"/>
  <c r="K128" i="8"/>
  <c r="L127" i="8"/>
  <c r="M127" i="8"/>
  <c r="F129" i="8"/>
  <c r="H129" i="8" s="1"/>
  <c r="B128" i="8"/>
  <c r="G129" i="8" l="1"/>
  <c r="I128" i="8" a="1"/>
  <c r="I128" i="8" s="1"/>
  <c r="D128" i="8"/>
  <c r="C128" i="8"/>
  <c r="F130" i="8"/>
  <c r="H130" i="8" s="1"/>
  <c r="B129" i="8"/>
  <c r="L128" i="8"/>
  <c r="M128" i="8"/>
  <c r="K129" i="8"/>
  <c r="G130" i="8" l="1"/>
  <c r="I129" i="8" a="1"/>
  <c r="I129" i="8" s="1"/>
  <c r="C129" i="8"/>
  <c r="D129" i="8"/>
  <c r="B130" i="8"/>
  <c r="K130" i="8"/>
  <c r="L129" i="8"/>
  <c r="M129" i="8"/>
  <c r="F131" i="8"/>
  <c r="H131" i="8" s="1"/>
  <c r="G131" i="8" l="1"/>
  <c r="I130" i="8" a="1"/>
  <c r="I130" i="8" s="1"/>
  <c r="D130" i="8"/>
  <c r="C130" i="8"/>
  <c r="F132" i="8"/>
  <c r="H132" i="8" s="1"/>
  <c r="K131" i="8"/>
  <c r="L130" i="8"/>
  <c r="M130" i="8"/>
  <c r="B131" i="8"/>
  <c r="G132" i="8" l="1"/>
  <c r="I131" i="8" a="1"/>
  <c r="I131" i="8" s="1"/>
  <c r="D131" i="8"/>
  <c r="C131" i="8"/>
  <c r="B132" i="8"/>
  <c r="L131" i="8"/>
  <c r="M131" i="8"/>
  <c r="K132" i="8"/>
  <c r="I132" i="8" l="1" a="1"/>
  <c r="I132" i="8" s="1"/>
  <c r="D132" i="8"/>
  <c r="C132" i="8"/>
  <c r="L132" i="8"/>
  <c r="M132" i="8"/>
  <c r="L53" i="38" l="1"/>
  <c r="L52" i="38" l="1"/>
  <c r="I30" i="44" l="1"/>
  <c r="L41" i="38" l="1"/>
  <c r="L42" i="38" l="1"/>
  <c r="AL70" i="25" l="1"/>
  <c r="AJ70" i="25"/>
  <c r="AK70" i="25"/>
  <c r="F167" i="3" l="1"/>
  <c r="D167" i="3" s="1"/>
  <c r="F168" i="3"/>
  <c r="D168" i="3" s="1"/>
  <c r="S32" i="14" l="1"/>
  <c r="AM32" i="14"/>
  <c r="R32" i="14"/>
  <c r="AE32" i="14"/>
  <c r="V32" i="14"/>
  <c r="AK32" i="14"/>
  <c r="W32" i="14"/>
  <c r="AJ32" i="14"/>
  <c r="AG32" i="14"/>
  <c r="AO32" i="14"/>
  <c r="Q32" i="14"/>
  <c r="AI32" i="14"/>
  <c r="U32" i="14"/>
  <c r="AN32" i="14"/>
  <c r="Y32" i="14"/>
  <c r="AF32" i="14"/>
  <c r="AA32" i="14"/>
  <c r="Z32" i="14"/>
  <c r="S31" i="14"/>
  <c r="AN31" i="14"/>
  <c r="U31" i="14"/>
  <c r="AF31" i="14"/>
  <c r="Q31" i="14"/>
  <c r="AM31" i="14"/>
  <c r="AE31" i="14"/>
  <c r="W31" i="14"/>
  <c r="AJ31" i="14"/>
  <c r="AK31" i="14"/>
  <c r="V31" i="14"/>
  <c r="AI31" i="14"/>
  <c r="Y31" i="14"/>
  <c r="AG31" i="14"/>
  <c r="R31" i="14"/>
  <c r="AO31" i="14"/>
  <c r="Z31" i="14"/>
  <c r="AA31" i="14"/>
  <c r="AI38" i="14" l="1"/>
  <c r="AI40" i="14" s="1"/>
  <c r="G32" i="14"/>
  <c r="I32" i="14"/>
  <c r="K32" i="14"/>
  <c r="AN38" i="14"/>
  <c r="AN40" i="14" s="1"/>
  <c r="AF38" i="14"/>
  <c r="AF40" i="14" s="1"/>
  <c r="H32" i="14"/>
  <c r="AK38" i="14"/>
  <c r="AK40" i="14" s="1"/>
  <c r="AG38" i="14"/>
  <c r="AG40" i="14" s="1"/>
  <c r="AM38" i="14"/>
  <c r="AM40" i="14" s="1"/>
  <c r="Y37" i="14"/>
  <c r="K37" i="14" s="1"/>
  <c r="K31" i="14"/>
  <c r="C31" i="14"/>
  <c r="Q38" i="14"/>
  <c r="H31" i="14"/>
  <c r="V38" i="14"/>
  <c r="U37" i="14"/>
  <c r="G37" i="14" s="1"/>
  <c r="G31" i="14"/>
  <c r="L31" i="14"/>
  <c r="Z38" i="14"/>
  <c r="AJ38" i="14"/>
  <c r="AJ40" i="14" s="1"/>
  <c r="S37" i="14"/>
  <c r="E37" i="14" s="1"/>
  <c r="E31" i="14"/>
  <c r="C32" i="14"/>
  <c r="D32" i="14"/>
  <c r="M31" i="14"/>
  <c r="AA38" i="14"/>
  <c r="AO38" i="14"/>
  <c r="AO40" i="14" s="1"/>
  <c r="W37" i="14"/>
  <c r="I37" i="14" s="1"/>
  <c r="I31" i="14"/>
  <c r="L32" i="14"/>
  <c r="R37" i="14"/>
  <c r="D37" i="14" s="1"/>
  <c r="D31" i="14"/>
  <c r="AE38" i="14"/>
  <c r="AE40" i="14" s="1"/>
  <c r="M32" i="14"/>
  <c r="E32" i="14"/>
  <c r="AB22" i="25"/>
  <c r="AC22" i="25" s="1"/>
  <c r="AD22" i="25" s="1"/>
  <c r="AB21" i="25"/>
  <c r="AC21" i="25" s="1"/>
  <c r="AD21" i="25" s="1"/>
  <c r="X77" i="17" l="1"/>
  <c r="N7" i="37" s="1"/>
  <c r="N29" i="37" s="1"/>
  <c r="X82" i="17"/>
  <c r="N12" i="37" s="1"/>
  <c r="N34" i="37" s="1"/>
  <c r="X83" i="17"/>
  <c r="N13" i="37" s="1"/>
  <c r="N35" i="37" s="1"/>
  <c r="X84" i="17"/>
  <c r="N14" i="37" s="1"/>
  <c r="N36" i="37" s="1"/>
  <c r="X31" i="17"/>
  <c r="X36" i="17"/>
  <c r="X52" i="17"/>
  <c r="X26" i="17"/>
  <c r="X92" i="17" s="1"/>
  <c r="X53" i="17"/>
  <c r="X56" i="17"/>
  <c r="X115" i="37"/>
  <c r="X132" i="37" s="1"/>
  <c r="X150" i="37" s="1"/>
  <c r="X107" i="37"/>
  <c r="X124" i="37" s="1"/>
  <c r="X142" i="37" s="1"/>
  <c r="X81" i="17"/>
  <c r="N11" i="37" s="1"/>
  <c r="N33" i="37" s="1"/>
  <c r="R38" i="14"/>
  <c r="D38" i="14" s="1"/>
  <c r="D40" i="14" s="1"/>
  <c r="U38" i="14"/>
  <c r="G38" i="14" s="1"/>
  <c r="G40" i="14" s="1"/>
  <c r="Y38" i="14"/>
  <c r="K38" i="14" s="1"/>
  <c r="K40" i="14" s="1"/>
  <c r="D33" i="17" s="1"/>
  <c r="X33" i="17" s="1"/>
  <c r="W38" i="14"/>
  <c r="W40" i="14" s="1"/>
  <c r="S38" i="14"/>
  <c r="S40" i="14" s="1"/>
  <c r="AA40" i="14"/>
  <c r="M38" i="14"/>
  <c r="M40" i="14" s="1"/>
  <c r="F33" i="17" s="1"/>
  <c r="Z40" i="14"/>
  <c r="L38" i="14"/>
  <c r="L40" i="14" s="1"/>
  <c r="E33" i="17" s="1"/>
  <c r="V40" i="14"/>
  <c r="H38" i="14"/>
  <c r="H40" i="14" s="1"/>
  <c r="Q40" i="14"/>
  <c r="C38" i="14"/>
  <c r="C40" i="14" s="1"/>
  <c r="X80" i="17"/>
  <c r="N10" i="37" s="1"/>
  <c r="N32" i="37" s="1"/>
  <c r="X54" i="17"/>
  <c r="X39" i="17" s="1"/>
  <c r="X51" i="17"/>
  <c r="X35" i="17" s="1"/>
  <c r="X108" i="37"/>
  <c r="X125" i="37" s="1"/>
  <c r="X143" i="37" s="1"/>
  <c r="X113" i="37"/>
  <c r="X130" i="37" s="1"/>
  <c r="X148" i="37" s="1"/>
  <c r="X55" i="17"/>
  <c r="X42" i="17" s="1"/>
  <c r="X111" i="37"/>
  <c r="X128" i="37" s="1"/>
  <c r="X146" i="37" s="1"/>
  <c r="X62" i="17"/>
  <c r="X76" i="17"/>
  <c r="N6" i="37" s="1"/>
  <c r="N28" i="37" s="1"/>
  <c r="X58" i="17"/>
  <c r="X114" i="37"/>
  <c r="X131" i="37" s="1"/>
  <c r="X149" i="37" s="1"/>
  <c r="X63" i="17"/>
  <c r="X109" i="37"/>
  <c r="X126" i="37" s="1"/>
  <c r="X144" i="37" s="1"/>
  <c r="X78" i="17"/>
  <c r="N8" i="37" s="1"/>
  <c r="N30" i="37" s="1"/>
  <c r="X112" i="37"/>
  <c r="X129" i="37" s="1"/>
  <c r="X147" i="37" s="1"/>
  <c r="X57" i="17"/>
  <c r="X79" i="17"/>
  <c r="N9" i="37" s="1"/>
  <c r="N31" i="37" s="1"/>
  <c r="X110" i="37"/>
  <c r="X127" i="37" s="1"/>
  <c r="X145" i="37" s="1"/>
  <c r="Y79" i="17"/>
  <c r="O9" i="37" s="1"/>
  <c r="O31" i="37" s="1"/>
  <c r="Y113" i="37"/>
  <c r="Y130" i="37" s="1"/>
  <c r="Y148" i="37" s="1"/>
  <c r="Y36" i="17"/>
  <c r="Y63" i="17"/>
  <c r="Y80" i="17"/>
  <c r="O10" i="37" s="1"/>
  <c r="O32" i="37" s="1"/>
  <c r="Y115" i="37"/>
  <c r="Y132" i="37" s="1"/>
  <c r="Y150" i="37" s="1"/>
  <c r="Y108" i="37"/>
  <c r="Y125" i="37" s="1"/>
  <c r="Y143" i="37" s="1"/>
  <c r="Y76" i="17"/>
  <c r="O6" i="37" s="1"/>
  <c r="O28" i="37" s="1"/>
  <c r="Y53" i="17"/>
  <c r="Y62" i="17"/>
  <c r="Y111" i="37"/>
  <c r="Y128" i="37" s="1"/>
  <c r="Y146" i="37" s="1"/>
  <c r="Y54" i="17"/>
  <c r="Y39" i="17" s="1"/>
  <c r="Y114" i="37"/>
  <c r="Y131" i="37" s="1"/>
  <c r="Y149" i="37" s="1"/>
  <c r="Y31" i="17"/>
  <c r="Y55" i="17"/>
  <c r="Y42" i="17" s="1"/>
  <c r="Y109" i="37"/>
  <c r="Y126" i="37" s="1"/>
  <c r="Y144" i="37" s="1"/>
  <c r="Y107" i="37"/>
  <c r="Y124" i="37" s="1"/>
  <c r="Y142" i="37" s="1"/>
  <c r="Y110" i="37"/>
  <c r="Y127" i="37" s="1"/>
  <c r="Y145" i="37" s="1"/>
  <c r="Y112" i="37"/>
  <c r="Y129" i="37" s="1"/>
  <c r="Y147" i="37" s="1"/>
  <c r="Y51" i="17"/>
  <c r="Y78" i="17"/>
  <c r="O8" i="37" s="1"/>
  <c r="O30" i="37" s="1"/>
  <c r="Y56" i="17"/>
  <c r="Y57" i="17"/>
  <c r="Y84" i="17"/>
  <c r="O14" i="37" s="1"/>
  <c r="O36" i="37" s="1"/>
  <c r="Y52" i="17"/>
  <c r="Y82" i="17"/>
  <c r="O12" i="37" s="1"/>
  <c r="O34" i="37" s="1"/>
  <c r="Y58" i="17"/>
  <c r="Y83" i="17"/>
  <c r="O13" i="37" s="1"/>
  <c r="O35" i="37" s="1"/>
  <c r="Y77" i="17"/>
  <c r="O7" i="37" s="1"/>
  <c r="O29" i="37" s="1"/>
  <c r="Y26" i="17"/>
  <c r="Y92" i="17" s="1"/>
  <c r="Y81" i="17"/>
  <c r="O11" i="37" s="1"/>
  <c r="O33" i="37" s="1"/>
  <c r="W55" i="17"/>
  <c r="W42" i="17" s="1"/>
  <c r="W109" i="37"/>
  <c r="W78" i="17"/>
  <c r="M8" i="37" s="1"/>
  <c r="M30" i="37" s="1"/>
  <c r="W54" i="17"/>
  <c r="W39" i="17" s="1"/>
  <c r="W53" i="17"/>
  <c r="W111" i="37"/>
  <c r="W128" i="37" s="1"/>
  <c r="W146" i="37" s="1"/>
  <c r="W51" i="17"/>
  <c r="W63" i="17"/>
  <c r="W107" i="37"/>
  <c r="W108" i="37"/>
  <c r="W125" i="37" s="1"/>
  <c r="W143" i="37" s="1"/>
  <c r="W36" i="17"/>
  <c r="W62" i="17"/>
  <c r="W114" i="37"/>
  <c r="W131" i="37" s="1"/>
  <c r="W149" i="37" s="1"/>
  <c r="W76" i="17"/>
  <c r="M6" i="37" s="1"/>
  <c r="M28" i="37" s="1"/>
  <c r="W80" i="17"/>
  <c r="M10" i="37" s="1"/>
  <c r="M32" i="37" s="1"/>
  <c r="W31" i="17"/>
  <c r="W79" i="17"/>
  <c r="M9" i="37" s="1"/>
  <c r="M31" i="37" s="1"/>
  <c r="W110" i="37"/>
  <c r="W127" i="37" s="1"/>
  <c r="W145" i="37" s="1"/>
  <c r="W112" i="37"/>
  <c r="W129" i="37" s="1"/>
  <c r="W147" i="37" s="1"/>
  <c r="W113" i="37"/>
  <c r="W115" i="37"/>
  <c r="W132" i="37" s="1"/>
  <c r="W150" i="37" s="1"/>
  <c r="W57" i="17"/>
  <c r="W58" i="17"/>
  <c r="W81" i="17"/>
  <c r="M11" i="37" s="1"/>
  <c r="M33" i="37" s="1"/>
  <c r="W84" i="17"/>
  <c r="M14" i="37" s="1"/>
  <c r="M36" i="37" s="1"/>
  <c r="W83" i="17"/>
  <c r="M13" i="37" s="1"/>
  <c r="M35" i="37" s="1"/>
  <c r="W82" i="17"/>
  <c r="M12" i="37" s="1"/>
  <c r="M34" i="37" s="1"/>
  <c r="W52" i="17"/>
  <c r="W26" i="17"/>
  <c r="W92" i="17" s="1"/>
  <c r="W56" i="17"/>
  <c r="W77" i="17"/>
  <c r="M7" i="37" s="1"/>
  <c r="M29" i="37" s="1"/>
  <c r="Y33" i="17" l="1"/>
  <c r="R40" i="14"/>
  <c r="U40" i="14"/>
  <c r="I38" i="14"/>
  <c r="I40" i="14" s="1"/>
  <c r="E38" i="14"/>
  <c r="E40" i="14" s="1"/>
  <c r="Y40" i="14"/>
  <c r="J33" i="17"/>
  <c r="W33" i="17" s="1"/>
  <c r="K33" i="17"/>
  <c r="N52" i="37"/>
  <c r="N39" i="37"/>
  <c r="O39" i="37"/>
  <c r="X153" i="37"/>
  <c r="Y153" i="37"/>
  <c r="Y35" i="17"/>
  <c r="O52" i="37"/>
  <c r="M52" i="37"/>
  <c r="W35" i="17"/>
  <c r="M39" i="37"/>
  <c r="W130" i="37"/>
  <c r="W148" i="37" s="1"/>
  <c r="G90" i="4"/>
  <c r="G88" i="4"/>
  <c r="G89" i="4"/>
  <c r="W124" i="37"/>
  <c r="G80" i="4"/>
  <c r="G79" i="4"/>
  <c r="G78" i="4"/>
  <c r="G85" i="4"/>
  <c r="W126" i="37"/>
  <c r="W144" i="37" s="1"/>
  <c r="G83" i="4"/>
  <c r="G84" i="4"/>
  <c r="G91" i="4" l="1"/>
  <c r="G93" i="4"/>
  <c r="G81" i="4"/>
  <c r="G94" i="4"/>
  <c r="G95" i="4"/>
  <c r="G104" i="4"/>
  <c r="E48" i="44" s="1"/>
  <c r="W142" i="37"/>
  <c r="W153" i="37" s="1"/>
  <c r="G86" i="4"/>
  <c r="G96" i="4" l="1"/>
  <c r="I50" i="44" s="1"/>
  <c r="AE22" i="25" l="1"/>
  <c r="AF22" i="25" s="1"/>
  <c r="AA26" i="17" s="1"/>
  <c r="AA92" i="17" s="1"/>
  <c r="AE21" i="25"/>
  <c r="AF21" i="25" s="1"/>
  <c r="AG21" i="25" s="1"/>
  <c r="AB31" i="17" s="1"/>
  <c r="Z55" i="17"/>
  <c r="AA51" i="17"/>
  <c r="AA35" i="17" s="1"/>
  <c r="Z62" i="17"/>
  <c r="AA76" i="17"/>
  <c r="Q6" i="37" s="1"/>
  <c r="Q28" i="37" s="1"/>
  <c r="AA82" i="17"/>
  <c r="Q12" i="37" s="1"/>
  <c r="Q34" i="37" s="1"/>
  <c r="AB53" i="17"/>
  <c r="Z83" i="17"/>
  <c r="Z81" i="17"/>
  <c r="P11" i="37" s="1"/>
  <c r="P33" i="37" s="1"/>
  <c r="Z57" i="17"/>
  <c r="Z82" i="17"/>
  <c r="Z58" i="17"/>
  <c r="Z84" i="17"/>
  <c r="Z52" i="17"/>
  <c r="Z77" i="17"/>
  <c r="P7" i="37" s="1"/>
  <c r="P29" i="37" s="1"/>
  <c r="Z36" i="17"/>
  <c r="Z80" i="17"/>
  <c r="Z78" i="17"/>
  <c r="AA56" i="17"/>
  <c r="AA58" i="17"/>
  <c r="AA81" i="17"/>
  <c r="Q11" i="37" s="1"/>
  <c r="Q33" i="37" s="1"/>
  <c r="AA84" i="17"/>
  <c r="Q14" i="37" s="1"/>
  <c r="Q36" i="37" s="1"/>
  <c r="AA77" i="17"/>
  <c r="Q7" i="37" s="1"/>
  <c r="Q29" i="37" s="1"/>
  <c r="AA52" i="17"/>
  <c r="AA57" i="17"/>
  <c r="AA79" i="17"/>
  <c r="Q9" i="37" s="1"/>
  <c r="Q31" i="37" s="1"/>
  <c r="AA53" i="17"/>
  <c r="AA63" i="17"/>
  <c r="AA78" i="17"/>
  <c r="Q8" i="37" s="1"/>
  <c r="Q30" i="37" s="1"/>
  <c r="AB36" i="17" l="1"/>
  <c r="AB33" i="17"/>
  <c r="Z54" i="17"/>
  <c r="Z39" i="17" s="1"/>
  <c r="AB115" i="37"/>
  <c r="AB132" i="37" s="1"/>
  <c r="AB150" i="37" s="1"/>
  <c r="AA114" i="37"/>
  <c r="AA131" i="37" s="1"/>
  <c r="AA149" i="37" s="1"/>
  <c r="AB80" i="17"/>
  <c r="R10" i="37" s="1"/>
  <c r="R32" i="37" s="1"/>
  <c r="AB62" i="17"/>
  <c r="AA36" i="17"/>
  <c r="Z79" i="17"/>
  <c r="P9" i="37" s="1"/>
  <c r="P31" i="37" s="1"/>
  <c r="AB63" i="17"/>
  <c r="AB51" i="17"/>
  <c r="AB35" i="17" s="1"/>
  <c r="Z114" i="37"/>
  <c r="Z131" i="37" s="1"/>
  <c r="Z149" i="37" s="1"/>
  <c r="AA113" i="37"/>
  <c r="AA130" i="37" s="1"/>
  <c r="AA148" i="37" s="1"/>
  <c r="AB76" i="17"/>
  <c r="R6" i="37" s="1"/>
  <c r="R28" i="37" s="1"/>
  <c r="AA55" i="17"/>
  <c r="AA42" i="17" s="1"/>
  <c r="Z113" i="37"/>
  <c r="Z130" i="37" s="1"/>
  <c r="Z148" i="37" s="1"/>
  <c r="AA80" i="17"/>
  <c r="Q10" i="37" s="1"/>
  <c r="Q32" i="37" s="1"/>
  <c r="Z53" i="17"/>
  <c r="Z76" i="17"/>
  <c r="P6" i="37" s="1"/>
  <c r="P28" i="37" s="1"/>
  <c r="AA54" i="17"/>
  <c r="AA39" i="17" s="1"/>
  <c r="AA112" i="37"/>
  <c r="AA129" i="37" s="1"/>
  <c r="AA147" i="37" s="1"/>
  <c r="AA109" i="37"/>
  <c r="AA126" i="37" s="1"/>
  <c r="AA144" i="37" s="1"/>
  <c r="AA83" i="17"/>
  <c r="Q13" i="37" s="1"/>
  <c r="Q35" i="37" s="1"/>
  <c r="Z56" i="17"/>
  <c r="Z26" i="17"/>
  <c r="Z92" i="17" s="1"/>
  <c r="AB78" i="17"/>
  <c r="R8" i="37" s="1"/>
  <c r="R30" i="37" s="1"/>
  <c r="AA33" i="17"/>
  <c r="AB55" i="17"/>
  <c r="AB42" i="17" s="1"/>
  <c r="AB114" i="37"/>
  <c r="AB131" i="37" s="1"/>
  <c r="AB149" i="37" s="1"/>
  <c r="AB111" i="37"/>
  <c r="AB128" i="37" s="1"/>
  <c r="AB146" i="37" s="1"/>
  <c r="AB108" i="37"/>
  <c r="AB125" i="37" s="1"/>
  <c r="AB143" i="37" s="1"/>
  <c r="AA111" i="37"/>
  <c r="AA128" i="37" s="1"/>
  <c r="AA146" i="37" s="1"/>
  <c r="AA108" i="37"/>
  <c r="AA125" i="37" s="1"/>
  <c r="AA143" i="37" s="1"/>
  <c r="Z111" i="37"/>
  <c r="Z128" i="37" s="1"/>
  <c r="Z146" i="37" s="1"/>
  <c r="Z108" i="37"/>
  <c r="Z125" i="37" s="1"/>
  <c r="Z143" i="37" s="1"/>
  <c r="AA62" i="17"/>
  <c r="AB54" i="17"/>
  <c r="AB39" i="17" s="1"/>
  <c r="AB113" i="37"/>
  <c r="AB130" i="37" s="1"/>
  <c r="AB148" i="37" s="1"/>
  <c r="AB110" i="37"/>
  <c r="AB127" i="37" s="1"/>
  <c r="AB145" i="37" s="1"/>
  <c r="AB107" i="37"/>
  <c r="AB124" i="37" s="1"/>
  <c r="AB142" i="37" s="1"/>
  <c r="AA110" i="37"/>
  <c r="AA127" i="37" s="1"/>
  <c r="AA145" i="37" s="1"/>
  <c r="Z107" i="37"/>
  <c r="Z124" i="37" s="1"/>
  <c r="Z142" i="37" s="1"/>
  <c r="AB109" i="37"/>
  <c r="AB126" i="37" s="1"/>
  <c r="AB144" i="37" s="1"/>
  <c r="Z63" i="17"/>
  <c r="AB79" i="17"/>
  <c r="R9" i="37" s="1"/>
  <c r="R31" i="37" s="1"/>
  <c r="Z33" i="17"/>
  <c r="Z51" i="17"/>
  <c r="Z35" i="17" s="1"/>
  <c r="Z115" i="37"/>
  <c r="Z132" i="37" s="1"/>
  <c r="Z150" i="37" s="1"/>
  <c r="Z112" i="37"/>
  <c r="Z129" i="37" s="1"/>
  <c r="Z147" i="37" s="1"/>
  <c r="Z109" i="37"/>
  <c r="Z126" i="37" s="1"/>
  <c r="Z144" i="37" s="1"/>
  <c r="AA31" i="17"/>
  <c r="Z31" i="17"/>
  <c r="AA115" i="37"/>
  <c r="AA132" i="37" s="1"/>
  <c r="AA150" i="37" s="1"/>
  <c r="AB112" i="37"/>
  <c r="AB129" i="37" s="1"/>
  <c r="AB147" i="37" s="1"/>
  <c r="Z110" i="37"/>
  <c r="Z127" i="37" s="1"/>
  <c r="Z145" i="37" s="1"/>
  <c r="AA107" i="37"/>
  <c r="AA124" i="37" s="1"/>
  <c r="AA142" i="37" s="1"/>
  <c r="P12" i="37"/>
  <c r="P34" i="37" s="1"/>
  <c r="P13" i="37"/>
  <c r="P35" i="37" s="1"/>
  <c r="Z42" i="17"/>
  <c r="P10" i="37"/>
  <c r="P32" i="37" s="1"/>
  <c r="P8" i="37"/>
  <c r="P30" i="37" s="1"/>
  <c r="P14" i="37"/>
  <c r="P36" i="37" s="1"/>
  <c r="AH21" i="25"/>
  <c r="AG22" i="25"/>
  <c r="Q39" i="37" l="1"/>
  <c r="Q52" i="37"/>
  <c r="P52" i="37"/>
  <c r="AB153" i="37"/>
  <c r="Z153" i="37"/>
  <c r="AA153" i="37"/>
  <c r="P39" i="37"/>
  <c r="AH22" i="25"/>
  <c r="AB26" i="17"/>
  <c r="AB56" i="17"/>
  <c r="AB52" i="17"/>
  <c r="AB57" i="17"/>
  <c r="AB84" i="17"/>
  <c r="AB82" i="17"/>
  <c r="AB77" i="17"/>
  <c r="AB83" i="17"/>
  <c r="AB81" i="17"/>
  <c r="AB58" i="17"/>
  <c r="AC31" i="17"/>
  <c r="AI21" i="25"/>
  <c r="AC107" i="37"/>
  <c r="AC124" i="37" s="1"/>
  <c r="AC113" i="37"/>
  <c r="AC130" i="37" s="1"/>
  <c r="AC114" i="37"/>
  <c r="AC131" i="37" s="1"/>
  <c r="AC115" i="37"/>
  <c r="AC132" i="37" s="1"/>
  <c r="AC109" i="37"/>
  <c r="AC126" i="37" s="1"/>
  <c r="AC108" i="37"/>
  <c r="AC125" i="37" s="1"/>
  <c r="AC110" i="37"/>
  <c r="AC127" i="37" s="1"/>
  <c r="AC111" i="37"/>
  <c r="AC128" i="37" s="1"/>
  <c r="AC112" i="37"/>
  <c r="AC129" i="37" s="1"/>
  <c r="AC54" i="17"/>
  <c r="AC55" i="17"/>
  <c r="AC51" i="17"/>
  <c r="AC62" i="17"/>
  <c r="AC53" i="17"/>
  <c r="AC79" i="17"/>
  <c r="AC80" i="17"/>
  <c r="AC76" i="17"/>
  <c r="AC63" i="17"/>
  <c r="AC33" i="17"/>
  <c r="AC78" i="17"/>
  <c r="AC36" i="17"/>
  <c r="R12" i="37" l="1"/>
  <c r="R34" i="37" s="1"/>
  <c r="R52" i="37"/>
  <c r="AC39" i="17"/>
  <c r="S6" i="37"/>
  <c r="S28" i="37" s="1"/>
  <c r="R7" i="37"/>
  <c r="R29" i="37" s="1"/>
  <c r="AB92" i="17"/>
  <c r="AC42" i="17"/>
  <c r="S10" i="37"/>
  <c r="S32" i="37" s="1"/>
  <c r="S9" i="37"/>
  <c r="S31" i="37" s="1"/>
  <c r="R11" i="37"/>
  <c r="R33" i="37" s="1"/>
  <c r="R14" i="37"/>
  <c r="R36" i="37" s="1"/>
  <c r="S8" i="37"/>
  <c r="S30" i="37" s="1"/>
  <c r="R13" i="37"/>
  <c r="R35" i="37" s="1"/>
  <c r="AC148" i="37"/>
  <c r="AC142" i="37"/>
  <c r="AD31" i="17"/>
  <c r="AJ21" i="25"/>
  <c r="AD109" i="37"/>
  <c r="AD126" i="37" s="1"/>
  <c r="AD144" i="37" s="1"/>
  <c r="AD111" i="37"/>
  <c r="AD128" i="37" s="1"/>
  <c r="AD146" i="37" s="1"/>
  <c r="AD112" i="37"/>
  <c r="AD129" i="37" s="1"/>
  <c r="AD147" i="37" s="1"/>
  <c r="AD113" i="37"/>
  <c r="AD130" i="37" s="1"/>
  <c r="AD148" i="37" s="1"/>
  <c r="AD114" i="37"/>
  <c r="AD131" i="37" s="1"/>
  <c r="AD149" i="37" s="1"/>
  <c r="AD107" i="37"/>
  <c r="AD124" i="37" s="1"/>
  <c r="AD142" i="37" s="1"/>
  <c r="AD108" i="37"/>
  <c r="AD125" i="37" s="1"/>
  <c r="AD143" i="37" s="1"/>
  <c r="AD110" i="37"/>
  <c r="AD127" i="37" s="1"/>
  <c r="AD145" i="37" s="1"/>
  <c r="AD54" i="17"/>
  <c r="AD39" i="17" s="1"/>
  <c r="AD115" i="37"/>
  <c r="AD132" i="37" s="1"/>
  <c r="AD150" i="37" s="1"/>
  <c r="AD51" i="17"/>
  <c r="AD55" i="17"/>
  <c r="AD42" i="17" s="1"/>
  <c r="AD62" i="17"/>
  <c r="AD33" i="17"/>
  <c r="AD36" i="17"/>
  <c r="AD80" i="17"/>
  <c r="T10" i="37" s="1"/>
  <c r="T32" i="37" s="1"/>
  <c r="AD76" i="17"/>
  <c r="T6" i="37" s="1"/>
  <c r="T28" i="37" s="1"/>
  <c r="AD78" i="17"/>
  <c r="T8" i="37" s="1"/>
  <c r="T30" i="37" s="1"/>
  <c r="AD79" i="17"/>
  <c r="T9" i="37" s="1"/>
  <c r="T31" i="37" s="1"/>
  <c r="AD63" i="17"/>
  <c r="AD53" i="17"/>
  <c r="AC35" i="17"/>
  <c r="AC145" i="37"/>
  <c r="AC146" i="37"/>
  <c r="AC143" i="37"/>
  <c r="AC144" i="37"/>
  <c r="AC147" i="37"/>
  <c r="AC150" i="37"/>
  <c r="AC149" i="37"/>
  <c r="AI22" i="25"/>
  <c r="AC26" i="17"/>
  <c r="AC92" i="17" s="1"/>
  <c r="AC57" i="17"/>
  <c r="AC52" i="17"/>
  <c r="AC58" i="17"/>
  <c r="AC77" i="17"/>
  <c r="S7" i="37" s="1"/>
  <c r="S29" i="37" s="1"/>
  <c r="AC56" i="17"/>
  <c r="AC81" i="17"/>
  <c r="S11" i="37" s="1"/>
  <c r="S33" i="37" s="1"/>
  <c r="AC82" i="17"/>
  <c r="S12" i="37" s="1"/>
  <c r="S34" i="37" s="1"/>
  <c r="AC84" i="17"/>
  <c r="S14" i="37" s="1"/>
  <c r="S36" i="37" s="1"/>
  <c r="AC83" i="17"/>
  <c r="S13" i="37" s="1"/>
  <c r="S35" i="37" s="1"/>
  <c r="S39" i="37" l="1"/>
  <c r="S52" i="37"/>
  <c r="R39" i="37"/>
  <c r="AE31" i="17"/>
  <c r="AK21" i="25"/>
  <c r="AE108" i="37"/>
  <c r="AE125" i="37" s="1"/>
  <c r="AE110" i="37"/>
  <c r="AE127" i="37" s="1"/>
  <c r="AE145" i="37" s="1"/>
  <c r="AE111" i="37"/>
  <c r="AE128" i="37" s="1"/>
  <c r="AE112" i="37"/>
  <c r="AE129" i="37" s="1"/>
  <c r="AE114" i="37"/>
  <c r="AE131" i="37" s="1"/>
  <c r="AE107" i="37"/>
  <c r="AE124" i="37" s="1"/>
  <c r="AE142" i="37" s="1"/>
  <c r="AE109" i="37"/>
  <c r="AE126" i="37" s="1"/>
  <c r="AE51" i="17"/>
  <c r="AE55" i="17"/>
  <c r="AE42" i="17" s="1"/>
  <c r="AE54" i="17"/>
  <c r="AE39" i="17" s="1"/>
  <c r="AE113" i="37"/>
  <c r="AE130" i="37" s="1"/>
  <c r="AE148" i="37" s="1"/>
  <c r="AE115" i="37"/>
  <c r="AE132" i="37" s="1"/>
  <c r="AE62" i="17"/>
  <c r="AE78" i="17"/>
  <c r="AE36" i="17"/>
  <c r="AE53" i="17"/>
  <c r="AE79" i="17"/>
  <c r="U9" i="37" s="1"/>
  <c r="U31" i="37" s="1"/>
  <c r="AE33" i="17"/>
  <c r="AE76" i="17"/>
  <c r="U6" i="37" s="1"/>
  <c r="U28" i="37" s="1"/>
  <c r="AE63" i="17"/>
  <c r="AE80" i="17"/>
  <c r="U10" i="37" s="1"/>
  <c r="U32" i="37" s="1"/>
  <c r="AD35" i="17"/>
  <c r="AJ22" i="25"/>
  <c r="AD26" i="17"/>
  <c r="AD92" i="17" s="1"/>
  <c r="AD58" i="17"/>
  <c r="AD52" i="17"/>
  <c r="AD77" i="17"/>
  <c r="T7" i="37" s="1"/>
  <c r="T29" i="37" s="1"/>
  <c r="AD57" i="17"/>
  <c r="AD81" i="17"/>
  <c r="T11" i="37" s="1"/>
  <c r="T33" i="37" s="1"/>
  <c r="AD83" i="17"/>
  <c r="T13" i="37" s="1"/>
  <c r="T35" i="37" s="1"/>
  <c r="AD82" i="17"/>
  <c r="T12" i="37" s="1"/>
  <c r="T34" i="37" s="1"/>
  <c r="AD56" i="17"/>
  <c r="AD84" i="17"/>
  <c r="T14" i="37" s="1"/>
  <c r="T36" i="37" s="1"/>
  <c r="AD153" i="37"/>
  <c r="AC153" i="37"/>
  <c r="T52" i="37" l="1"/>
  <c r="T39" i="37"/>
  <c r="U8" i="37"/>
  <c r="U30" i="37" s="1"/>
  <c r="AE35" i="17"/>
  <c r="AE144" i="37"/>
  <c r="AE149" i="37"/>
  <c r="AE147" i="37"/>
  <c r="AE146" i="37"/>
  <c r="AE143" i="37"/>
  <c r="AL21" i="25"/>
  <c r="AF107" i="37"/>
  <c r="AF124" i="37" s="1"/>
  <c r="AF31" i="17"/>
  <c r="AF110" i="37"/>
  <c r="AF127" i="37" s="1"/>
  <c r="AF111" i="37"/>
  <c r="AF128" i="37" s="1"/>
  <c r="AF146" i="37" s="1"/>
  <c r="AF112" i="37"/>
  <c r="AF129" i="37" s="1"/>
  <c r="AF147" i="37" s="1"/>
  <c r="AF114" i="37"/>
  <c r="AF131" i="37" s="1"/>
  <c r="AF149" i="37" s="1"/>
  <c r="AF108" i="37"/>
  <c r="AF125" i="37" s="1"/>
  <c r="AF143" i="37" s="1"/>
  <c r="AF109" i="37"/>
  <c r="AF126" i="37" s="1"/>
  <c r="AF144" i="37" s="1"/>
  <c r="AF55" i="17"/>
  <c r="AF54" i="17"/>
  <c r="AF39" i="17" s="1"/>
  <c r="AF113" i="37"/>
  <c r="AF130" i="37" s="1"/>
  <c r="AF148" i="37" s="1"/>
  <c r="AF115" i="37"/>
  <c r="AF132" i="37" s="1"/>
  <c r="AF150" i="37" s="1"/>
  <c r="AF51" i="17"/>
  <c r="AF62" i="17"/>
  <c r="AF76" i="17"/>
  <c r="AF80" i="17"/>
  <c r="V10" i="37" s="1"/>
  <c r="V32" i="37" s="1"/>
  <c r="AF53" i="17"/>
  <c r="AF78" i="17"/>
  <c r="V8" i="37" s="1"/>
  <c r="V30" i="37" s="1"/>
  <c r="AF63" i="17"/>
  <c r="AF33" i="17"/>
  <c r="AF79" i="17"/>
  <c r="V9" i="37" s="1"/>
  <c r="V31" i="37" s="1"/>
  <c r="AF36" i="17"/>
  <c r="AK22" i="25"/>
  <c r="AE26" i="17"/>
  <c r="AE92" i="17" s="1"/>
  <c r="AE58" i="17"/>
  <c r="AE82" i="17"/>
  <c r="U12" i="37" s="1"/>
  <c r="U34" i="37" s="1"/>
  <c r="AE83" i="17"/>
  <c r="U13" i="37" s="1"/>
  <c r="U35" i="37" s="1"/>
  <c r="AE84" i="17"/>
  <c r="AE52" i="17"/>
  <c r="AE81" i="17"/>
  <c r="U11" i="37" s="1"/>
  <c r="U33" i="37" s="1"/>
  <c r="AE56" i="17"/>
  <c r="AE77" i="17"/>
  <c r="AE57" i="17"/>
  <c r="AE150" i="37"/>
  <c r="U52" i="37" l="1"/>
  <c r="AF42" i="17"/>
  <c r="U7" i="37"/>
  <c r="U29" i="37" s="1"/>
  <c r="U14" i="37"/>
  <c r="U36" i="37" s="1"/>
  <c r="V6" i="37"/>
  <c r="V28" i="37" s="1"/>
  <c r="AE153" i="37"/>
  <c r="AM21" i="25"/>
  <c r="AG31" i="17"/>
  <c r="AG51" i="17"/>
  <c r="AG110" i="37"/>
  <c r="AG127" i="37" s="1"/>
  <c r="AG145" i="37" s="1"/>
  <c r="AG111" i="37"/>
  <c r="AG128" i="37" s="1"/>
  <c r="AG146" i="37" s="1"/>
  <c r="AG112" i="37"/>
  <c r="AG129" i="37" s="1"/>
  <c r="AG147" i="37" s="1"/>
  <c r="AG107" i="37"/>
  <c r="AG124" i="37" s="1"/>
  <c r="AG142" i="37" s="1"/>
  <c r="AG113" i="37"/>
  <c r="AG130" i="37" s="1"/>
  <c r="AG148" i="37" s="1"/>
  <c r="AG114" i="37"/>
  <c r="AG131" i="37" s="1"/>
  <c r="AG108" i="37"/>
  <c r="AG125" i="37" s="1"/>
  <c r="AG143" i="37" s="1"/>
  <c r="AG109" i="37"/>
  <c r="AG126" i="37" s="1"/>
  <c r="AG144" i="37" s="1"/>
  <c r="AG115" i="37"/>
  <c r="AG132" i="37" s="1"/>
  <c r="AG54" i="17"/>
  <c r="AG39" i="17" s="1"/>
  <c r="AG55" i="17"/>
  <c r="AG42" i="17" s="1"/>
  <c r="AG62" i="17"/>
  <c r="AG36" i="17"/>
  <c r="AG79" i="17"/>
  <c r="W9" i="37" s="1"/>
  <c r="W31" i="37" s="1"/>
  <c r="AG33" i="17"/>
  <c r="AG76" i="17"/>
  <c r="W6" i="37" s="1"/>
  <c r="W28" i="37" s="1"/>
  <c r="AG63" i="17"/>
  <c r="AG53" i="17"/>
  <c r="AG78" i="17"/>
  <c r="AG80" i="17"/>
  <c r="W10" i="37" s="1"/>
  <c r="W32" i="37" s="1"/>
  <c r="AL22" i="25"/>
  <c r="AF26" i="17"/>
  <c r="AF92" i="17" s="1"/>
  <c r="AF83" i="17"/>
  <c r="V13" i="37" s="1"/>
  <c r="V35" i="37" s="1"/>
  <c r="AF81" i="17"/>
  <c r="V11" i="37" s="1"/>
  <c r="V33" i="37" s="1"/>
  <c r="AF52" i="17"/>
  <c r="AF57" i="17"/>
  <c r="AF56" i="17"/>
  <c r="AF77" i="17"/>
  <c r="V7" i="37" s="1"/>
  <c r="V29" i="37" s="1"/>
  <c r="AF84" i="17"/>
  <c r="V14" i="37" s="1"/>
  <c r="V36" i="37" s="1"/>
  <c r="AF82" i="17"/>
  <c r="V12" i="37" s="1"/>
  <c r="V34" i="37" s="1"/>
  <c r="AF58" i="17"/>
  <c r="AF35" i="17"/>
  <c r="AF145" i="37"/>
  <c r="AF142" i="37"/>
  <c r="AF153" i="37" l="1"/>
  <c r="V52" i="37"/>
  <c r="U39" i="37"/>
  <c r="W8" i="37"/>
  <c r="W30" i="37" s="1"/>
  <c r="V39" i="37"/>
  <c r="AG149" i="37"/>
  <c r="AG35" i="17"/>
  <c r="AG26" i="17"/>
  <c r="AG92" i="17" s="1"/>
  <c r="AM22" i="25"/>
  <c r="AG82" i="17"/>
  <c r="W12" i="37" s="1"/>
  <c r="W34" i="37" s="1"/>
  <c r="AG56" i="17"/>
  <c r="AG52" i="17"/>
  <c r="AG81" i="17"/>
  <c r="W11" i="37" s="1"/>
  <c r="W33" i="37" s="1"/>
  <c r="AG58" i="17"/>
  <c r="AG83" i="17"/>
  <c r="W13" i="37" s="1"/>
  <c r="W35" i="37" s="1"/>
  <c r="AG84" i="17"/>
  <c r="W14" i="37" s="1"/>
  <c r="W36" i="37" s="1"/>
  <c r="AG77" i="17"/>
  <c r="W7" i="37" s="1"/>
  <c r="W29" i="37" s="1"/>
  <c r="AG57" i="17"/>
  <c r="AN21" i="25"/>
  <c r="AH31" i="17"/>
  <c r="AH110" i="37"/>
  <c r="AH127" i="37" s="1"/>
  <c r="AH111" i="37"/>
  <c r="AH128" i="37" s="1"/>
  <c r="AH107" i="37"/>
  <c r="AH124" i="37" s="1"/>
  <c r="AH142" i="37" s="1"/>
  <c r="AH112" i="37"/>
  <c r="AH129" i="37" s="1"/>
  <c r="AH113" i="37"/>
  <c r="AH130" i="37" s="1"/>
  <c r="AH114" i="37"/>
  <c r="AH131" i="37" s="1"/>
  <c r="AH149" i="37" s="1"/>
  <c r="AH115" i="37"/>
  <c r="AH132" i="37" s="1"/>
  <c r="AH150" i="37" s="1"/>
  <c r="AH54" i="17"/>
  <c r="AH39" i="17" s="1"/>
  <c r="AH109" i="37"/>
  <c r="AH126" i="37" s="1"/>
  <c r="AH108" i="37"/>
  <c r="AH125" i="37" s="1"/>
  <c r="AH143" i="37" s="1"/>
  <c r="AH55" i="17"/>
  <c r="AH42" i="17" s="1"/>
  <c r="AH62" i="17"/>
  <c r="AH51" i="17"/>
  <c r="AH79" i="17"/>
  <c r="X9" i="37" s="1"/>
  <c r="X31" i="37" s="1"/>
  <c r="AH33" i="17"/>
  <c r="AH80" i="17"/>
  <c r="X10" i="37" s="1"/>
  <c r="X32" i="37" s="1"/>
  <c r="AH53" i="17"/>
  <c r="AH63" i="17"/>
  <c r="AH36" i="17"/>
  <c r="AH78" i="17"/>
  <c r="X8" i="37" s="1"/>
  <c r="X30" i="37" s="1"/>
  <c r="AH76" i="17"/>
  <c r="X6" i="37" s="1"/>
  <c r="X28" i="37" s="1"/>
  <c r="AG150" i="37"/>
  <c r="W52" i="37" l="1"/>
  <c r="W39" i="37"/>
  <c r="AG153" i="37"/>
  <c r="AH146" i="37"/>
  <c r="AH145" i="37"/>
  <c r="AN22" i="25"/>
  <c r="AH26" i="17"/>
  <c r="AH92" i="17" s="1"/>
  <c r="AH56" i="17"/>
  <c r="AH82" i="17"/>
  <c r="X12" i="37" s="1"/>
  <c r="X34" i="37" s="1"/>
  <c r="AH52" i="17"/>
  <c r="AH57" i="17"/>
  <c r="AH77" i="17"/>
  <c r="X7" i="37" s="1"/>
  <c r="X29" i="37" s="1"/>
  <c r="AH81" i="17"/>
  <c r="X11" i="37" s="1"/>
  <c r="X33" i="37" s="1"/>
  <c r="AH58" i="17"/>
  <c r="AH84" i="17"/>
  <c r="X14" i="37" s="1"/>
  <c r="X36" i="37" s="1"/>
  <c r="AH83" i="17"/>
  <c r="X13" i="37" s="1"/>
  <c r="X35" i="37" s="1"/>
  <c r="AH35" i="17"/>
  <c r="AI31" i="17"/>
  <c r="AO21" i="25"/>
  <c r="AI109" i="37"/>
  <c r="AI126" i="37" s="1"/>
  <c r="AI144" i="37" s="1"/>
  <c r="AI110" i="37"/>
  <c r="AI127" i="37" s="1"/>
  <c r="AI145" i="37" s="1"/>
  <c r="AI111" i="37"/>
  <c r="AI128" i="37" s="1"/>
  <c r="AI146" i="37" s="1"/>
  <c r="AI107" i="37"/>
  <c r="AI124" i="37" s="1"/>
  <c r="AI112" i="37"/>
  <c r="AI129" i="37" s="1"/>
  <c r="AI147" i="37" s="1"/>
  <c r="AI113" i="37"/>
  <c r="AI130" i="37" s="1"/>
  <c r="AI148" i="37" s="1"/>
  <c r="AI108" i="37"/>
  <c r="AI125" i="37" s="1"/>
  <c r="AI115" i="37"/>
  <c r="AI132" i="37" s="1"/>
  <c r="AI54" i="17"/>
  <c r="AI39" i="17" s="1"/>
  <c r="AI114" i="37"/>
  <c r="AI131" i="37" s="1"/>
  <c r="AI149" i="37" s="1"/>
  <c r="AI62" i="17"/>
  <c r="AI51" i="17"/>
  <c r="AI55" i="17"/>
  <c r="AI42" i="17" s="1"/>
  <c r="AI79" i="17"/>
  <c r="Y9" i="37" s="1"/>
  <c r="Y31" i="37" s="1"/>
  <c r="AI33" i="17"/>
  <c r="AI76" i="17"/>
  <c r="Y6" i="37" s="1"/>
  <c r="Y28" i="37" s="1"/>
  <c r="AI78" i="17"/>
  <c r="Y8" i="37" s="1"/>
  <c r="Y30" i="37" s="1"/>
  <c r="AI36" i="17"/>
  <c r="AI80" i="17"/>
  <c r="Y10" i="37" s="1"/>
  <c r="Y32" i="37" s="1"/>
  <c r="AI53" i="17"/>
  <c r="AI63" i="17"/>
  <c r="AH147" i="37"/>
  <c r="AH144" i="37"/>
  <c r="AH148" i="37"/>
  <c r="X39" i="37" l="1"/>
  <c r="X52" i="37"/>
  <c r="AH153" i="37"/>
  <c r="AI150" i="37"/>
  <c r="AI143" i="37"/>
  <c r="AI142" i="37"/>
  <c r="AO22" i="25"/>
  <c r="AI26" i="17"/>
  <c r="AI92" i="17" s="1"/>
  <c r="AI82" i="17"/>
  <c r="Y12" i="37" s="1"/>
  <c r="Y34" i="37" s="1"/>
  <c r="AI56" i="17"/>
  <c r="AI84" i="17"/>
  <c r="Y14" i="37" s="1"/>
  <c r="Y36" i="37" s="1"/>
  <c r="AI77" i="17"/>
  <c r="Y7" i="37" s="1"/>
  <c r="Y29" i="37" s="1"/>
  <c r="AI58" i="17"/>
  <c r="AI81" i="17"/>
  <c r="Y11" i="37" s="1"/>
  <c r="Y33" i="37" s="1"/>
  <c r="AI83" i="17"/>
  <c r="Y13" i="37" s="1"/>
  <c r="Y35" i="37" s="1"/>
  <c r="AI57" i="17"/>
  <c r="AI52" i="17"/>
  <c r="AP21" i="25"/>
  <c r="AJ31" i="17"/>
  <c r="AJ107" i="37"/>
  <c r="AJ124" i="37" s="1"/>
  <c r="AJ142" i="37" s="1"/>
  <c r="AJ109" i="37"/>
  <c r="AJ126" i="37" s="1"/>
  <c r="AJ144" i="37" s="1"/>
  <c r="AJ115" i="37"/>
  <c r="AJ132" i="37" s="1"/>
  <c r="AJ150" i="37" s="1"/>
  <c r="AJ108" i="37"/>
  <c r="AJ125" i="37" s="1"/>
  <c r="AJ143" i="37" s="1"/>
  <c r="AJ110" i="37"/>
  <c r="AJ127" i="37" s="1"/>
  <c r="AJ145" i="37" s="1"/>
  <c r="AJ111" i="37"/>
  <c r="AJ128" i="37" s="1"/>
  <c r="AJ146" i="37" s="1"/>
  <c r="AJ114" i="37"/>
  <c r="AJ131" i="37" s="1"/>
  <c r="AJ149" i="37" s="1"/>
  <c r="AJ113" i="37"/>
  <c r="AJ130" i="37" s="1"/>
  <c r="AJ55" i="17"/>
  <c r="AJ42" i="17" s="1"/>
  <c r="AJ112" i="37"/>
  <c r="AJ129" i="37" s="1"/>
  <c r="AJ147" i="37" s="1"/>
  <c r="AJ54" i="17"/>
  <c r="AJ39" i="17" s="1"/>
  <c r="AJ51" i="17"/>
  <c r="AJ62" i="17"/>
  <c r="AJ78" i="17"/>
  <c r="Z8" i="37" s="1"/>
  <c r="Z30" i="37" s="1"/>
  <c r="AJ79" i="17"/>
  <c r="Z9" i="37" s="1"/>
  <c r="Z31" i="37" s="1"/>
  <c r="AJ80" i="17"/>
  <c r="Z10" i="37" s="1"/>
  <c r="Z32" i="37" s="1"/>
  <c r="AJ53" i="17"/>
  <c r="AJ76" i="17"/>
  <c r="Z6" i="37" s="1"/>
  <c r="Z28" i="37" s="1"/>
  <c r="AJ33" i="17"/>
  <c r="AJ63" i="17"/>
  <c r="AJ36" i="17"/>
  <c r="AI35" i="17"/>
  <c r="AI153" i="37" l="1"/>
  <c r="Y39" i="37"/>
  <c r="Y52" i="37"/>
  <c r="AP22" i="25"/>
  <c r="AJ26" i="17"/>
  <c r="AJ92" i="17" s="1"/>
  <c r="AJ83" i="17"/>
  <c r="Z13" i="37" s="1"/>
  <c r="Z35" i="37" s="1"/>
  <c r="AJ57" i="17"/>
  <c r="AJ77" i="17"/>
  <c r="Z7" i="37" s="1"/>
  <c r="Z29" i="37" s="1"/>
  <c r="AJ52" i="17"/>
  <c r="AJ58" i="17"/>
  <c r="AJ56" i="17"/>
  <c r="AJ82" i="17"/>
  <c r="Z12" i="37" s="1"/>
  <c r="Z34" i="37" s="1"/>
  <c r="AJ84" i="17"/>
  <c r="Z14" i="37" s="1"/>
  <c r="Z36" i="37" s="1"/>
  <c r="AJ81" i="17"/>
  <c r="Z11" i="37" s="1"/>
  <c r="Z33" i="37" s="1"/>
  <c r="AJ148" i="37"/>
  <c r="AJ153" i="37" s="1"/>
  <c r="AJ35" i="17"/>
  <c r="AQ21" i="25"/>
  <c r="AK31" i="17"/>
  <c r="AK107" i="37"/>
  <c r="AK124" i="37" s="1"/>
  <c r="AK142" i="37" s="1"/>
  <c r="AK113" i="37"/>
  <c r="AK130" i="37" s="1"/>
  <c r="AK148" i="37" s="1"/>
  <c r="AK114" i="37"/>
  <c r="AK131" i="37" s="1"/>
  <c r="AK108" i="37"/>
  <c r="AK125" i="37" s="1"/>
  <c r="AK143" i="37" s="1"/>
  <c r="AK109" i="37"/>
  <c r="AK126" i="37" s="1"/>
  <c r="AK144" i="37" s="1"/>
  <c r="AK115" i="37"/>
  <c r="AK132" i="37" s="1"/>
  <c r="AK150" i="37" s="1"/>
  <c r="AK110" i="37"/>
  <c r="AK127" i="37" s="1"/>
  <c r="AK145" i="37" s="1"/>
  <c r="AK111" i="37"/>
  <c r="AK128" i="37" s="1"/>
  <c r="AK112" i="37"/>
  <c r="AK129" i="37" s="1"/>
  <c r="AK147" i="37" s="1"/>
  <c r="AK55" i="17"/>
  <c r="AK42" i="17" s="1"/>
  <c r="AK51" i="17"/>
  <c r="AK54" i="17"/>
  <c r="AK39" i="17" s="1"/>
  <c r="AK62" i="17"/>
  <c r="AK53" i="17"/>
  <c r="AK33" i="17"/>
  <c r="AK78" i="17"/>
  <c r="AA8" i="37" s="1"/>
  <c r="AA30" i="37" s="1"/>
  <c r="AK63" i="17"/>
  <c r="AK80" i="17"/>
  <c r="AA10" i="37" s="1"/>
  <c r="AA32" i="37" s="1"/>
  <c r="AK79" i="17"/>
  <c r="AA9" i="37" s="1"/>
  <c r="AA31" i="37" s="1"/>
  <c r="AK36" i="17"/>
  <c r="AK76" i="17"/>
  <c r="AA6" i="37" s="1"/>
  <c r="AA28" i="37" s="1"/>
  <c r="Z52" i="37" l="1"/>
  <c r="Z39" i="37"/>
  <c r="AL31" i="17"/>
  <c r="AR21" i="25"/>
  <c r="AL109" i="37"/>
  <c r="AL126" i="37" s="1"/>
  <c r="AL111" i="37"/>
  <c r="AL128" i="37" s="1"/>
  <c r="AL146" i="37" s="1"/>
  <c r="AL112" i="37"/>
  <c r="AL129" i="37" s="1"/>
  <c r="AL147" i="37" s="1"/>
  <c r="AL113" i="37"/>
  <c r="AL130" i="37" s="1"/>
  <c r="AL148" i="37" s="1"/>
  <c r="AL114" i="37"/>
  <c r="AL131" i="37" s="1"/>
  <c r="AL149" i="37" s="1"/>
  <c r="AL108" i="37"/>
  <c r="AL125" i="37" s="1"/>
  <c r="AL143" i="37" s="1"/>
  <c r="AL110" i="37"/>
  <c r="AL127" i="37" s="1"/>
  <c r="AL145" i="37" s="1"/>
  <c r="AL54" i="17"/>
  <c r="AL39" i="17" s="1"/>
  <c r="AL55" i="17"/>
  <c r="AL42" i="17" s="1"/>
  <c r="AL115" i="37"/>
  <c r="AL132" i="37" s="1"/>
  <c r="AL150" i="37" s="1"/>
  <c r="AL62" i="17"/>
  <c r="AL107" i="37"/>
  <c r="AL124" i="37" s="1"/>
  <c r="AL51" i="17"/>
  <c r="AL76" i="17"/>
  <c r="AB6" i="37" s="1"/>
  <c r="AB28" i="37" s="1"/>
  <c r="AL78" i="17"/>
  <c r="AB8" i="37" s="1"/>
  <c r="AB30" i="37" s="1"/>
  <c r="AL80" i="17"/>
  <c r="AB10" i="37" s="1"/>
  <c r="AB32" i="37" s="1"/>
  <c r="AL79" i="17"/>
  <c r="AB9" i="37" s="1"/>
  <c r="AB31" i="37" s="1"/>
  <c r="AL36" i="17"/>
  <c r="AL33" i="17"/>
  <c r="AL63" i="17"/>
  <c r="AL53" i="17"/>
  <c r="AK146" i="37"/>
  <c r="AK35" i="17"/>
  <c r="AK149" i="37"/>
  <c r="AQ22" i="25"/>
  <c r="AK26" i="17"/>
  <c r="AK92" i="17" s="1"/>
  <c r="AK82" i="17"/>
  <c r="AA12" i="37" s="1"/>
  <c r="AA34" i="37" s="1"/>
  <c r="AK77" i="17"/>
  <c r="AA7" i="37" s="1"/>
  <c r="AA29" i="37" s="1"/>
  <c r="AK84" i="17"/>
  <c r="AA14" i="37" s="1"/>
  <c r="AA36" i="37" s="1"/>
  <c r="AK56" i="17"/>
  <c r="AK57" i="17"/>
  <c r="AK52" i="17"/>
  <c r="AK83" i="17"/>
  <c r="AA13" i="37" s="1"/>
  <c r="AA35" i="37" s="1"/>
  <c r="AK58" i="17"/>
  <c r="AK81" i="17"/>
  <c r="AA11" i="37" s="1"/>
  <c r="AA33" i="37" s="1"/>
  <c r="AA39" i="37" l="1"/>
  <c r="AA52" i="37"/>
  <c r="AK153" i="37"/>
  <c r="AR22" i="25"/>
  <c r="AL26" i="17"/>
  <c r="AL92" i="17" s="1"/>
  <c r="AL77" i="17"/>
  <c r="AB7" i="37" s="1"/>
  <c r="AB29" i="37" s="1"/>
  <c r="AL57" i="17"/>
  <c r="AL56" i="17"/>
  <c r="AL58" i="17"/>
  <c r="AL83" i="17"/>
  <c r="AB13" i="37" s="1"/>
  <c r="AB35" i="37" s="1"/>
  <c r="AL84" i="17"/>
  <c r="AB14" i="37" s="1"/>
  <c r="AB36" i="37" s="1"/>
  <c r="AL81" i="17"/>
  <c r="AB11" i="37" s="1"/>
  <c r="AB33" i="37" s="1"/>
  <c r="AL82" i="17"/>
  <c r="AB12" i="37" s="1"/>
  <c r="AB34" i="37" s="1"/>
  <c r="AL52" i="17"/>
  <c r="AL144" i="37"/>
  <c r="AL35" i="17"/>
  <c r="AS21" i="25"/>
  <c r="AM31" i="17"/>
  <c r="AM108" i="37"/>
  <c r="AM125" i="37" s="1"/>
  <c r="AM143" i="37" s="1"/>
  <c r="AM110" i="37"/>
  <c r="AM127" i="37" s="1"/>
  <c r="AM145" i="37" s="1"/>
  <c r="AM111" i="37"/>
  <c r="AM128" i="37" s="1"/>
  <c r="AM112" i="37"/>
  <c r="AM129" i="37" s="1"/>
  <c r="AM147" i="37" s="1"/>
  <c r="AM109" i="37"/>
  <c r="AM126" i="37" s="1"/>
  <c r="AM144" i="37" s="1"/>
  <c r="AM114" i="37"/>
  <c r="AM131" i="37" s="1"/>
  <c r="AM107" i="37"/>
  <c r="AM124" i="37" s="1"/>
  <c r="AM142" i="37" s="1"/>
  <c r="AM51" i="17"/>
  <c r="AM113" i="37"/>
  <c r="AM130" i="37" s="1"/>
  <c r="AM55" i="17"/>
  <c r="AM42" i="17" s="1"/>
  <c r="AM54" i="17"/>
  <c r="AM39" i="17" s="1"/>
  <c r="AM115" i="37"/>
  <c r="AM132" i="37" s="1"/>
  <c r="AM150" i="37" s="1"/>
  <c r="AM62" i="17"/>
  <c r="AM63" i="17"/>
  <c r="AM33" i="17"/>
  <c r="AM76" i="17"/>
  <c r="AC6" i="37" s="1"/>
  <c r="AC28" i="37" s="1"/>
  <c r="AM36" i="17"/>
  <c r="AM78" i="17"/>
  <c r="AC8" i="37" s="1"/>
  <c r="AC30" i="37" s="1"/>
  <c r="AM53" i="17"/>
  <c r="AM79" i="17"/>
  <c r="AC9" i="37" s="1"/>
  <c r="AC31" i="37" s="1"/>
  <c r="AM80" i="17"/>
  <c r="AC10" i="37" s="1"/>
  <c r="AC32" i="37" s="1"/>
  <c r="AL142" i="37"/>
  <c r="AL153" i="37" l="1"/>
  <c r="AB52" i="37"/>
  <c r="AB39" i="37"/>
  <c r="AM149" i="37"/>
  <c r="AM146" i="37"/>
  <c r="AM148" i="37"/>
  <c r="AS22" i="25"/>
  <c r="AM26" i="17"/>
  <c r="AM92" i="17" s="1"/>
  <c r="AM77" i="17"/>
  <c r="AC7" i="37" s="1"/>
  <c r="AC29" i="37" s="1"/>
  <c r="AM58" i="17"/>
  <c r="AM57" i="17"/>
  <c r="AM81" i="17"/>
  <c r="AC11" i="37" s="1"/>
  <c r="AC33" i="37" s="1"/>
  <c r="AM56" i="17"/>
  <c r="AM52" i="17"/>
  <c r="AM84" i="17"/>
  <c r="AC14" i="37" s="1"/>
  <c r="AC36" i="37" s="1"/>
  <c r="AM82" i="17"/>
  <c r="AC12" i="37" s="1"/>
  <c r="AC34" i="37" s="1"/>
  <c r="AM83" i="17"/>
  <c r="AC13" i="37" s="1"/>
  <c r="AC35" i="37" s="1"/>
  <c r="AT21" i="25"/>
  <c r="AN107" i="37"/>
  <c r="AN124" i="37" s="1"/>
  <c r="AN31" i="17"/>
  <c r="AN110" i="37"/>
  <c r="AN127" i="37" s="1"/>
  <c r="AN111" i="37"/>
  <c r="AN128" i="37" s="1"/>
  <c r="AN146" i="37" s="1"/>
  <c r="AN112" i="37"/>
  <c r="AN129" i="37" s="1"/>
  <c r="AN108" i="37"/>
  <c r="AN125" i="37" s="1"/>
  <c r="AN143" i="37" s="1"/>
  <c r="AN109" i="37"/>
  <c r="AN126" i="37" s="1"/>
  <c r="AN144" i="37" s="1"/>
  <c r="AN114" i="37"/>
  <c r="AN131" i="37" s="1"/>
  <c r="AN149" i="37" s="1"/>
  <c r="AN113" i="37"/>
  <c r="AN130" i="37" s="1"/>
  <c r="AN148" i="37" s="1"/>
  <c r="AN51" i="17"/>
  <c r="AN62" i="17"/>
  <c r="AN55" i="17"/>
  <c r="AN42" i="17" s="1"/>
  <c r="AN115" i="37"/>
  <c r="AN132" i="37" s="1"/>
  <c r="AN150" i="37" s="1"/>
  <c r="AN54" i="17"/>
  <c r="AN39" i="17" s="1"/>
  <c r="AN36" i="17"/>
  <c r="AN80" i="17"/>
  <c r="AD10" i="37" s="1"/>
  <c r="AD32" i="37" s="1"/>
  <c r="AN63" i="17"/>
  <c r="AN79" i="17"/>
  <c r="AD9" i="37" s="1"/>
  <c r="AD31" i="37" s="1"/>
  <c r="AN33" i="17"/>
  <c r="AN53" i="17"/>
  <c r="AN76" i="17"/>
  <c r="AD6" i="37" s="1"/>
  <c r="AD28" i="37" s="1"/>
  <c r="AN78" i="17"/>
  <c r="AD8" i="37" s="1"/>
  <c r="AD30" i="37" s="1"/>
  <c r="AM35" i="17"/>
  <c r="AM153" i="37" l="1"/>
  <c r="AC39" i="37"/>
  <c r="AC52" i="37"/>
  <c r="AN142" i="37"/>
  <c r="AT22" i="25"/>
  <c r="AN26" i="17"/>
  <c r="AN92" i="17" s="1"/>
  <c r="AN81" i="17"/>
  <c r="AD11" i="37" s="1"/>
  <c r="AD33" i="37" s="1"/>
  <c r="AN58" i="17"/>
  <c r="AN82" i="17"/>
  <c r="AD12" i="37" s="1"/>
  <c r="AD34" i="37" s="1"/>
  <c r="AN57" i="17"/>
  <c r="AN52" i="17"/>
  <c r="AN77" i="17"/>
  <c r="AD7" i="37" s="1"/>
  <c r="AD29" i="37" s="1"/>
  <c r="AN56" i="17"/>
  <c r="AN83" i="17"/>
  <c r="AD13" i="37" s="1"/>
  <c r="AD35" i="37" s="1"/>
  <c r="AN84" i="17"/>
  <c r="AD14" i="37" s="1"/>
  <c r="AD36" i="37" s="1"/>
  <c r="AU21" i="25"/>
  <c r="AO31" i="17"/>
  <c r="AO107" i="37"/>
  <c r="AO124" i="37" s="1"/>
  <c r="AO142" i="37" s="1"/>
  <c r="AO51" i="17"/>
  <c r="AO110" i="37"/>
  <c r="AO127" i="37" s="1"/>
  <c r="AO145" i="37" s="1"/>
  <c r="AO111" i="37"/>
  <c r="AO128" i="37" s="1"/>
  <c r="AO112" i="37"/>
  <c r="AO129" i="37" s="1"/>
  <c r="AO147" i="37" s="1"/>
  <c r="AO108" i="37"/>
  <c r="AO125" i="37" s="1"/>
  <c r="AO143" i="37" s="1"/>
  <c r="AO113" i="37"/>
  <c r="AO130" i="37" s="1"/>
  <c r="AO148" i="37" s="1"/>
  <c r="AO109" i="37"/>
  <c r="AO126" i="37" s="1"/>
  <c r="AO114" i="37"/>
  <c r="AO131" i="37" s="1"/>
  <c r="AO149" i="37" s="1"/>
  <c r="AO55" i="17"/>
  <c r="AO42" i="17" s="1"/>
  <c r="AO115" i="37"/>
  <c r="AO132" i="37" s="1"/>
  <c r="AO150" i="37" s="1"/>
  <c r="AO54" i="17"/>
  <c r="AO39" i="17" s="1"/>
  <c r="AO62" i="17"/>
  <c r="AO53" i="17"/>
  <c r="AO80" i="17"/>
  <c r="AE10" i="37" s="1"/>
  <c r="AE32" i="37" s="1"/>
  <c r="AO79" i="17"/>
  <c r="AE9" i="37" s="1"/>
  <c r="AE31" i="37" s="1"/>
  <c r="AO78" i="17"/>
  <c r="AE8" i="37" s="1"/>
  <c r="AE30" i="37" s="1"/>
  <c r="AO33" i="17"/>
  <c r="AO76" i="17"/>
  <c r="AE6" i="37" s="1"/>
  <c r="AE28" i="37" s="1"/>
  <c r="AO63" i="17"/>
  <c r="AO36" i="17"/>
  <c r="AN35" i="17"/>
  <c r="AN147" i="37"/>
  <c r="AN145" i="37"/>
  <c r="AD39" i="37" l="1"/>
  <c r="AD52" i="37"/>
  <c r="AO144" i="37"/>
  <c r="AO146" i="37"/>
  <c r="AO35" i="17"/>
  <c r="AU22" i="25"/>
  <c r="AO26" i="17"/>
  <c r="AO92" i="17" s="1"/>
  <c r="AO77" i="17"/>
  <c r="AE7" i="37" s="1"/>
  <c r="AE29" i="37" s="1"/>
  <c r="AO83" i="17"/>
  <c r="AE13" i="37" s="1"/>
  <c r="AE35" i="37" s="1"/>
  <c r="AO56" i="17"/>
  <c r="AO58" i="17"/>
  <c r="AO57" i="17"/>
  <c r="AO81" i="17"/>
  <c r="AE11" i="37" s="1"/>
  <c r="AE33" i="37" s="1"/>
  <c r="AO84" i="17"/>
  <c r="AE14" i="37" s="1"/>
  <c r="AE36" i="37" s="1"/>
  <c r="AO52" i="17"/>
  <c r="AO82" i="17"/>
  <c r="AE12" i="37" s="1"/>
  <c r="AE34" i="37" s="1"/>
  <c r="AN153" i="37"/>
  <c r="AV21" i="25"/>
  <c r="AP31" i="17"/>
  <c r="AP107" i="37"/>
  <c r="AP124" i="37" s="1"/>
  <c r="AP142" i="37" s="1"/>
  <c r="AP110" i="37"/>
  <c r="AP127" i="37" s="1"/>
  <c r="AP111" i="37"/>
  <c r="AP128" i="37" s="1"/>
  <c r="AP146" i="37" s="1"/>
  <c r="AP112" i="37"/>
  <c r="AP129" i="37" s="1"/>
  <c r="AP108" i="37"/>
  <c r="AP125" i="37" s="1"/>
  <c r="AP143" i="37" s="1"/>
  <c r="AP113" i="37"/>
  <c r="AP130" i="37" s="1"/>
  <c r="AP148" i="37" s="1"/>
  <c r="AP109" i="37"/>
  <c r="AP126" i="37" s="1"/>
  <c r="AP144" i="37" s="1"/>
  <c r="AP114" i="37"/>
  <c r="AP131" i="37" s="1"/>
  <c r="AP149" i="37" s="1"/>
  <c r="AP54" i="17"/>
  <c r="AP39" i="17" s="1"/>
  <c r="AP55" i="17"/>
  <c r="AP42" i="17" s="1"/>
  <c r="AP115" i="37"/>
  <c r="AP132" i="37" s="1"/>
  <c r="AP62" i="17"/>
  <c r="AP51" i="17"/>
  <c r="AP80" i="17"/>
  <c r="AF10" i="37" s="1"/>
  <c r="AF32" i="37" s="1"/>
  <c r="AP78" i="17"/>
  <c r="AF8" i="37" s="1"/>
  <c r="AF30" i="37" s="1"/>
  <c r="AP76" i="17"/>
  <c r="AF6" i="37" s="1"/>
  <c r="AF28" i="37" s="1"/>
  <c r="AP36" i="17"/>
  <c r="AP33" i="17"/>
  <c r="AP63" i="17"/>
  <c r="AP53" i="17"/>
  <c r="AP79" i="17"/>
  <c r="AF9" i="37" s="1"/>
  <c r="AF31" i="37" s="1"/>
  <c r="AO153" i="37" l="1"/>
  <c r="AE39" i="37"/>
  <c r="AE52" i="37"/>
  <c r="AW21" i="25"/>
  <c r="AQ31" i="17"/>
  <c r="AQ107" i="37"/>
  <c r="AQ124" i="37" s="1"/>
  <c r="AQ110" i="37"/>
  <c r="AQ127" i="37" s="1"/>
  <c r="AQ145" i="37" s="1"/>
  <c r="AQ111" i="37"/>
  <c r="AQ128" i="37" s="1"/>
  <c r="AQ146" i="37" s="1"/>
  <c r="AQ112" i="37"/>
  <c r="AQ129" i="37" s="1"/>
  <c r="AQ147" i="37" s="1"/>
  <c r="AQ108" i="37"/>
  <c r="AQ125" i="37" s="1"/>
  <c r="AQ113" i="37"/>
  <c r="AQ130" i="37" s="1"/>
  <c r="AQ148" i="37" s="1"/>
  <c r="AQ114" i="37"/>
  <c r="AQ131" i="37" s="1"/>
  <c r="AQ149" i="37" s="1"/>
  <c r="AQ54" i="17"/>
  <c r="AQ39" i="17" s="1"/>
  <c r="AQ109" i="37"/>
  <c r="AQ126" i="37" s="1"/>
  <c r="AQ144" i="37" s="1"/>
  <c r="AQ115" i="37"/>
  <c r="AQ132" i="37" s="1"/>
  <c r="AQ150" i="37" s="1"/>
  <c r="AQ55" i="17"/>
  <c r="AQ42" i="17" s="1"/>
  <c r="AQ51" i="17"/>
  <c r="AQ62" i="17"/>
  <c r="AQ76" i="17"/>
  <c r="AG6" i="37" s="1"/>
  <c r="AG28" i="37" s="1"/>
  <c r="AQ33" i="17"/>
  <c r="AQ63" i="17"/>
  <c r="AQ80" i="17"/>
  <c r="AG10" i="37" s="1"/>
  <c r="AG32" i="37" s="1"/>
  <c r="AQ36" i="17"/>
  <c r="AQ53" i="17"/>
  <c r="AQ79" i="17"/>
  <c r="AG9" i="37" s="1"/>
  <c r="AG31" i="37" s="1"/>
  <c r="AQ78" i="17"/>
  <c r="AG8" i="37" s="1"/>
  <c r="AG30" i="37" s="1"/>
  <c r="AP150" i="37"/>
  <c r="AP26" i="17"/>
  <c r="AP92" i="17" s="1"/>
  <c r="AV22" i="25"/>
  <c r="AP57" i="17"/>
  <c r="AP52" i="17"/>
  <c r="AP84" i="17"/>
  <c r="AF14" i="37" s="1"/>
  <c r="AF36" i="37" s="1"/>
  <c r="AP56" i="17"/>
  <c r="AP58" i="17"/>
  <c r="AP83" i="17"/>
  <c r="AF13" i="37" s="1"/>
  <c r="AF35" i="37" s="1"/>
  <c r="AP77" i="17"/>
  <c r="AF7" i="37" s="1"/>
  <c r="AF29" i="37" s="1"/>
  <c r="AP81" i="17"/>
  <c r="AF11" i="37" s="1"/>
  <c r="AF33" i="37" s="1"/>
  <c r="AP82" i="17"/>
  <c r="AF12" i="37" s="1"/>
  <c r="AF34" i="37" s="1"/>
  <c r="AP35" i="17"/>
  <c r="AP147" i="37"/>
  <c r="AP145" i="37"/>
  <c r="AP153" i="37" l="1"/>
  <c r="AF52" i="37"/>
  <c r="AF39" i="37"/>
  <c r="AQ143" i="37"/>
  <c r="AW22" i="25"/>
  <c r="AQ26" i="17"/>
  <c r="AQ92" i="17" s="1"/>
  <c r="AQ56" i="17"/>
  <c r="AQ83" i="17"/>
  <c r="AG13" i="37" s="1"/>
  <c r="AG35" i="37" s="1"/>
  <c r="AQ57" i="17"/>
  <c r="AQ82" i="17"/>
  <c r="AG12" i="37" s="1"/>
  <c r="AG34" i="37" s="1"/>
  <c r="AQ77" i="17"/>
  <c r="AG7" i="37" s="1"/>
  <c r="AG29" i="37" s="1"/>
  <c r="AQ52" i="17"/>
  <c r="AQ84" i="17"/>
  <c r="AG14" i="37" s="1"/>
  <c r="AG36" i="37" s="1"/>
  <c r="AQ81" i="17"/>
  <c r="AG11" i="37" s="1"/>
  <c r="AG33" i="37" s="1"/>
  <c r="AQ58" i="17"/>
  <c r="AQ142" i="37"/>
  <c r="AX21" i="25"/>
  <c r="AR31" i="17"/>
  <c r="AR107" i="37"/>
  <c r="AR124" i="37" s="1"/>
  <c r="AR142" i="37" s="1"/>
  <c r="AR115" i="37"/>
  <c r="AR132" i="37" s="1"/>
  <c r="AR110" i="37"/>
  <c r="AR127" i="37" s="1"/>
  <c r="AR111" i="37"/>
  <c r="AR128" i="37" s="1"/>
  <c r="AR108" i="37"/>
  <c r="AR125" i="37" s="1"/>
  <c r="AR143" i="37" s="1"/>
  <c r="AR109" i="37"/>
  <c r="AR126" i="37" s="1"/>
  <c r="AR144" i="37" s="1"/>
  <c r="AR114" i="37"/>
  <c r="AR131" i="37" s="1"/>
  <c r="AR113" i="37"/>
  <c r="AR130" i="37" s="1"/>
  <c r="AR54" i="17"/>
  <c r="AR39" i="17" s="1"/>
  <c r="AR112" i="37"/>
  <c r="AR129" i="37" s="1"/>
  <c r="AR147" i="37" s="1"/>
  <c r="AR51" i="17"/>
  <c r="AR62" i="17"/>
  <c r="AR55" i="17"/>
  <c r="AR42" i="17" s="1"/>
  <c r="AR33" i="17"/>
  <c r="AR76" i="17"/>
  <c r="AH6" i="37" s="1"/>
  <c r="AH28" i="37" s="1"/>
  <c r="AR53" i="17"/>
  <c r="AR79" i="17"/>
  <c r="AH9" i="37" s="1"/>
  <c r="AH31" i="37" s="1"/>
  <c r="AR78" i="17"/>
  <c r="AH8" i="37" s="1"/>
  <c r="AH30" i="37" s="1"/>
  <c r="AR80" i="17"/>
  <c r="AH10" i="37" s="1"/>
  <c r="AH32" i="37" s="1"/>
  <c r="AR36" i="17"/>
  <c r="AR63" i="17"/>
  <c r="AQ35" i="17"/>
  <c r="AG52" i="37" l="1"/>
  <c r="AG39" i="37"/>
  <c r="AQ153" i="37"/>
  <c r="AR146" i="37"/>
  <c r="AR145" i="37"/>
  <c r="AR150" i="37"/>
  <c r="AS31" i="17"/>
  <c r="AY21" i="25"/>
  <c r="AS107" i="37"/>
  <c r="AS124" i="37" s="1"/>
  <c r="AS142" i="37" s="1"/>
  <c r="AS113" i="37"/>
  <c r="AS130" i="37" s="1"/>
  <c r="AS148" i="37" s="1"/>
  <c r="AS109" i="37"/>
  <c r="AS126" i="37" s="1"/>
  <c r="AS144" i="37" s="1"/>
  <c r="AS114" i="37"/>
  <c r="AS131" i="37" s="1"/>
  <c r="AS149" i="37" s="1"/>
  <c r="AS115" i="37"/>
  <c r="AS132" i="37" s="1"/>
  <c r="AS150" i="37" s="1"/>
  <c r="AS110" i="37"/>
  <c r="AS127" i="37" s="1"/>
  <c r="AS145" i="37" s="1"/>
  <c r="AS111" i="37"/>
  <c r="AS128" i="37" s="1"/>
  <c r="AS146" i="37" s="1"/>
  <c r="AS108" i="37"/>
  <c r="AS125" i="37" s="1"/>
  <c r="AS143" i="37" s="1"/>
  <c r="AS112" i="37"/>
  <c r="AS129" i="37" s="1"/>
  <c r="AS147" i="37" s="1"/>
  <c r="AS55" i="17"/>
  <c r="AS42" i="17" s="1"/>
  <c r="AS51" i="17"/>
  <c r="AS54" i="17"/>
  <c r="AS39" i="17" s="1"/>
  <c r="AS62" i="17"/>
  <c r="AS79" i="17"/>
  <c r="AI9" i="37" s="1"/>
  <c r="AI31" i="37" s="1"/>
  <c r="AS78" i="17"/>
  <c r="AI8" i="37" s="1"/>
  <c r="AI30" i="37" s="1"/>
  <c r="AS53" i="17"/>
  <c r="AS76" i="17"/>
  <c r="AI6" i="37" s="1"/>
  <c r="AI28" i="37" s="1"/>
  <c r="AS33" i="17"/>
  <c r="AS80" i="17"/>
  <c r="AI10" i="37" s="1"/>
  <c r="AI32" i="37" s="1"/>
  <c r="AS63" i="17"/>
  <c r="AS36" i="17"/>
  <c r="AX22" i="25"/>
  <c r="AR26" i="17"/>
  <c r="AR92" i="17" s="1"/>
  <c r="AR81" i="17"/>
  <c r="AH11" i="37" s="1"/>
  <c r="AH33" i="37" s="1"/>
  <c r="AR84" i="17"/>
  <c r="AH14" i="37" s="1"/>
  <c r="AH36" i="37" s="1"/>
  <c r="AR82" i="17"/>
  <c r="AH12" i="37" s="1"/>
  <c r="AH34" i="37" s="1"/>
  <c r="AR52" i="17"/>
  <c r="AR57" i="17"/>
  <c r="AR58" i="17"/>
  <c r="AR77" i="17"/>
  <c r="AH7" i="37" s="1"/>
  <c r="AH29" i="37" s="1"/>
  <c r="AR83" i="17"/>
  <c r="AH13" i="37" s="1"/>
  <c r="AH35" i="37" s="1"/>
  <c r="AR56" i="17"/>
  <c r="AR35" i="17"/>
  <c r="AR148" i="37"/>
  <c r="AR149" i="37"/>
  <c r="AH52" i="37" l="1"/>
  <c r="AH39" i="37"/>
  <c r="AR153" i="37"/>
  <c r="AS35" i="17"/>
  <c r="AY22" i="25"/>
  <c r="AS26" i="17"/>
  <c r="AS92" i="17" s="1"/>
  <c r="AS56" i="17"/>
  <c r="AS84" i="17"/>
  <c r="AI14" i="37" s="1"/>
  <c r="AI36" i="37" s="1"/>
  <c r="AS83" i="17"/>
  <c r="AI13" i="37" s="1"/>
  <c r="AI35" i="37" s="1"/>
  <c r="AS57" i="17"/>
  <c r="AS58" i="17"/>
  <c r="AS52" i="17"/>
  <c r="AS81" i="17"/>
  <c r="AI11" i="37" s="1"/>
  <c r="AI33" i="37" s="1"/>
  <c r="AS77" i="17"/>
  <c r="AI7" i="37" s="1"/>
  <c r="AI29" i="37" s="1"/>
  <c r="AS82" i="17"/>
  <c r="AI12" i="37" s="1"/>
  <c r="AI34" i="37" s="1"/>
  <c r="AS153" i="37"/>
  <c r="AT31" i="17"/>
  <c r="AZ21" i="25"/>
  <c r="AT109" i="37"/>
  <c r="AT126" i="37" s="1"/>
  <c r="AT111" i="37"/>
  <c r="AT128" i="37" s="1"/>
  <c r="AT146" i="37" s="1"/>
  <c r="AT108" i="37"/>
  <c r="AT125" i="37" s="1"/>
  <c r="AT112" i="37"/>
  <c r="AT129" i="37" s="1"/>
  <c r="AT113" i="37"/>
  <c r="AT130" i="37" s="1"/>
  <c r="AT114" i="37"/>
  <c r="AT131" i="37" s="1"/>
  <c r="AT107" i="37"/>
  <c r="AT124" i="37" s="1"/>
  <c r="AT110" i="37"/>
  <c r="AT127" i="37" s="1"/>
  <c r="AT145" i="37" s="1"/>
  <c r="AT54" i="17"/>
  <c r="AT39" i="17" s="1"/>
  <c r="AT115" i="37"/>
  <c r="AT132" i="37" s="1"/>
  <c r="AT150" i="37" s="1"/>
  <c r="AT55" i="17"/>
  <c r="AT42" i="17" s="1"/>
  <c r="AT51" i="17"/>
  <c r="AT62" i="17"/>
  <c r="AT76" i="17"/>
  <c r="AJ6" i="37" s="1"/>
  <c r="AJ28" i="37" s="1"/>
  <c r="AT36" i="17"/>
  <c r="AT79" i="17"/>
  <c r="AJ9" i="37" s="1"/>
  <c r="AJ31" i="37" s="1"/>
  <c r="AT80" i="17"/>
  <c r="AJ10" i="37" s="1"/>
  <c r="AJ32" i="37" s="1"/>
  <c r="AT63" i="17"/>
  <c r="AT33" i="17"/>
  <c r="AT53" i="17"/>
  <c r="AT78" i="17"/>
  <c r="AJ8" i="37" s="1"/>
  <c r="AJ30" i="37" s="1"/>
  <c r="AI52" i="37" l="1"/>
  <c r="AI39" i="37"/>
  <c r="AT144" i="37"/>
  <c r="AU31" i="17"/>
  <c r="BA21" i="25"/>
  <c r="AU108" i="37"/>
  <c r="AU125" i="37" s="1"/>
  <c r="AU143" i="37" s="1"/>
  <c r="AU110" i="37"/>
  <c r="AU127" i="37" s="1"/>
  <c r="AU145" i="37" s="1"/>
  <c r="AU111" i="37"/>
  <c r="AU128" i="37" s="1"/>
  <c r="AU112" i="37"/>
  <c r="AU129" i="37" s="1"/>
  <c r="AU147" i="37" s="1"/>
  <c r="AU109" i="37"/>
  <c r="AU126" i="37" s="1"/>
  <c r="AU144" i="37" s="1"/>
  <c r="AU114" i="37"/>
  <c r="AU131" i="37" s="1"/>
  <c r="AU149" i="37" s="1"/>
  <c r="AU107" i="37"/>
  <c r="AU124" i="37" s="1"/>
  <c r="AU142" i="37" s="1"/>
  <c r="AU115" i="37"/>
  <c r="AU132" i="37" s="1"/>
  <c r="AU150" i="37" s="1"/>
  <c r="AU113" i="37"/>
  <c r="AU130" i="37" s="1"/>
  <c r="AU148" i="37" s="1"/>
  <c r="AU54" i="17"/>
  <c r="AU39" i="17" s="1"/>
  <c r="AU55" i="17"/>
  <c r="AU42" i="17" s="1"/>
  <c r="AU51" i="17"/>
  <c r="AU62" i="17"/>
  <c r="AU63" i="17"/>
  <c r="AU79" i="17"/>
  <c r="AK9" i="37" s="1"/>
  <c r="AK31" i="37" s="1"/>
  <c r="AU76" i="17"/>
  <c r="AK6" i="37" s="1"/>
  <c r="AK28" i="37" s="1"/>
  <c r="AU33" i="17"/>
  <c r="AU36" i="17"/>
  <c r="AU78" i="17"/>
  <c r="AK8" i="37" s="1"/>
  <c r="AK30" i="37" s="1"/>
  <c r="AU53" i="17"/>
  <c r="AU80" i="17"/>
  <c r="AK10" i="37" s="1"/>
  <c r="AK32" i="37" s="1"/>
  <c r="AT35" i="17"/>
  <c r="AZ22" i="25"/>
  <c r="AT26" i="17"/>
  <c r="AT92" i="17" s="1"/>
  <c r="AT58" i="17"/>
  <c r="AT56" i="17"/>
  <c r="AT83" i="17"/>
  <c r="AJ13" i="37" s="1"/>
  <c r="AJ35" i="37" s="1"/>
  <c r="AT52" i="17"/>
  <c r="AT77" i="17"/>
  <c r="AJ7" i="37" s="1"/>
  <c r="AJ29" i="37" s="1"/>
  <c r="AT82" i="17"/>
  <c r="AJ12" i="37" s="1"/>
  <c r="AJ34" i="37" s="1"/>
  <c r="AT81" i="17"/>
  <c r="AJ11" i="37" s="1"/>
  <c r="AJ33" i="37" s="1"/>
  <c r="AT84" i="17"/>
  <c r="AJ14" i="37" s="1"/>
  <c r="AJ36" i="37" s="1"/>
  <c r="AT57" i="17"/>
  <c r="AT142" i="37"/>
  <c r="AT149" i="37"/>
  <c r="AT148" i="37"/>
  <c r="AT147" i="37"/>
  <c r="AT143" i="37"/>
  <c r="AJ39" i="37" l="1"/>
  <c r="AJ52" i="37"/>
  <c r="AU146" i="37"/>
  <c r="AU153" i="37" s="1"/>
  <c r="BB21" i="25"/>
  <c r="AV107" i="37"/>
  <c r="AV124" i="37" s="1"/>
  <c r="AV31" i="17"/>
  <c r="AV110" i="37"/>
  <c r="AV127" i="37" s="1"/>
  <c r="AV145" i="37" s="1"/>
  <c r="AV108" i="37"/>
  <c r="AV125" i="37" s="1"/>
  <c r="AV111" i="37"/>
  <c r="AV128" i="37" s="1"/>
  <c r="AV146" i="37" s="1"/>
  <c r="AV112" i="37"/>
  <c r="AV129" i="37" s="1"/>
  <c r="AV147" i="37" s="1"/>
  <c r="AV109" i="37"/>
  <c r="AV126" i="37" s="1"/>
  <c r="AV144" i="37" s="1"/>
  <c r="AV114" i="37"/>
  <c r="AV131" i="37" s="1"/>
  <c r="AV51" i="17"/>
  <c r="AV113" i="37"/>
  <c r="AV130" i="37" s="1"/>
  <c r="AV115" i="37"/>
  <c r="AV132" i="37" s="1"/>
  <c r="AV55" i="17"/>
  <c r="AV42" i="17" s="1"/>
  <c r="AV54" i="17"/>
  <c r="AV39" i="17" s="1"/>
  <c r="AV62" i="17"/>
  <c r="AV79" i="17"/>
  <c r="AL9" i="37" s="1"/>
  <c r="AL31" i="37" s="1"/>
  <c r="AV36" i="17"/>
  <c r="AV53" i="17"/>
  <c r="AV33" i="17"/>
  <c r="AV80" i="17"/>
  <c r="AL10" i="37" s="1"/>
  <c r="AL32" i="37" s="1"/>
  <c r="AV76" i="17"/>
  <c r="AL6" i="37" s="1"/>
  <c r="AL28" i="37" s="1"/>
  <c r="AV78" i="17"/>
  <c r="AL8" i="37" s="1"/>
  <c r="AL30" i="37" s="1"/>
  <c r="AV63" i="17"/>
  <c r="AU35" i="17"/>
  <c r="AT153" i="37"/>
  <c r="AU26" i="17"/>
  <c r="AU92" i="17" s="1"/>
  <c r="BA22" i="25"/>
  <c r="AU84" i="17"/>
  <c r="AK14" i="37" s="1"/>
  <c r="AK36" i="37" s="1"/>
  <c r="AU83" i="17"/>
  <c r="AK13" i="37" s="1"/>
  <c r="AK35" i="37" s="1"/>
  <c r="AU82" i="17"/>
  <c r="AK12" i="37" s="1"/>
  <c r="AK34" i="37" s="1"/>
  <c r="AU56" i="17"/>
  <c r="AU57" i="17"/>
  <c r="AU52" i="17"/>
  <c r="AU77" i="17"/>
  <c r="AK7" i="37" s="1"/>
  <c r="AK29" i="37" s="1"/>
  <c r="AU58" i="17"/>
  <c r="AU81" i="17"/>
  <c r="AK11" i="37" s="1"/>
  <c r="AK33" i="37" s="1"/>
  <c r="AK52" i="37" l="1"/>
  <c r="AK39" i="37"/>
  <c r="AV143" i="37"/>
  <c r="AV142" i="37"/>
  <c r="BC21" i="25"/>
  <c r="AW31" i="17"/>
  <c r="AW51" i="17"/>
  <c r="AW110" i="37"/>
  <c r="AW127" i="37" s="1"/>
  <c r="AW108" i="37"/>
  <c r="AW125" i="37" s="1"/>
  <c r="AW143" i="37" s="1"/>
  <c r="AW111" i="37"/>
  <c r="AW128" i="37" s="1"/>
  <c r="AW146" i="37" s="1"/>
  <c r="AW112" i="37"/>
  <c r="AW129" i="37" s="1"/>
  <c r="AW147" i="37" s="1"/>
  <c r="AW109" i="37"/>
  <c r="AW126" i="37" s="1"/>
  <c r="AW113" i="37"/>
  <c r="AW130" i="37" s="1"/>
  <c r="AW148" i="37" s="1"/>
  <c r="AW107" i="37"/>
  <c r="AW124" i="37" s="1"/>
  <c r="AW142" i="37" s="1"/>
  <c r="AW114" i="37"/>
  <c r="AW131" i="37" s="1"/>
  <c r="AW149" i="37" s="1"/>
  <c r="AW115" i="37"/>
  <c r="AW132" i="37" s="1"/>
  <c r="AW150" i="37" s="1"/>
  <c r="AW55" i="17"/>
  <c r="AW42" i="17" s="1"/>
  <c r="AW54" i="17"/>
  <c r="AW39" i="17" s="1"/>
  <c r="AW62" i="17"/>
  <c r="AW79" i="17"/>
  <c r="AM9" i="37" s="1"/>
  <c r="AM31" i="37" s="1"/>
  <c r="AW33" i="17"/>
  <c r="AW63" i="17"/>
  <c r="AW78" i="17"/>
  <c r="AM8" i="37" s="1"/>
  <c r="AM30" i="37" s="1"/>
  <c r="AW53" i="17"/>
  <c r="AW36" i="17"/>
  <c r="AW80" i="17"/>
  <c r="AM10" i="37" s="1"/>
  <c r="AM32" i="37" s="1"/>
  <c r="AW76" i="17"/>
  <c r="AM6" i="37" s="1"/>
  <c r="AM28" i="37" s="1"/>
  <c r="AV150" i="37"/>
  <c r="BB22" i="25"/>
  <c r="AV26" i="17"/>
  <c r="AV92" i="17" s="1"/>
  <c r="AV56" i="17"/>
  <c r="AV82" i="17"/>
  <c r="AL12" i="37" s="1"/>
  <c r="AL34" i="37" s="1"/>
  <c r="AV52" i="17"/>
  <c r="AV77" i="17"/>
  <c r="AL7" i="37" s="1"/>
  <c r="AL29" i="37" s="1"/>
  <c r="AV57" i="17"/>
  <c r="AV84" i="17"/>
  <c r="AL14" i="37" s="1"/>
  <c r="AL36" i="37" s="1"/>
  <c r="AV58" i="17"/>
  <c r="AV83" i="17"/>
  <c r="AL13" i="37" s="1"/>
  <c r="AL35" i="37" s="1"/>
  <c r="AV81" i="17"/>
  <c r="AL11" i="37" s="1"/>
  <c r="AL33" i="37" s="1"/>
  <c r="AV148" i="37"/>
  <c r="AV35" i="17"/>
  <c r="AV149" i="37"/>
  <c r="AL39" i="37" l="1"/>
  <c r="AL52" i="37"/>
  <c r="AW145" i="37"/>
  <c r="AW35" i="17"/>
  <c r="BD21" i="25"/>
  <c r="AX31" i="17"/>
  <c r="AX110" i="37"/>
  <c r="AX127" i="37" s="1"/>
  <c r="AX145" i="37" s="1"/>
  <c r="AX108" i="37"/>
  <c r="AX125" i="37" s="1"/>
  <c r="AX143" i="37" s="1"/>
  <c r="AX111" i="37"/>
  <c r="AX128" i="37" s="1"/>
  <c r="AX146" i="37" s="1"/>
  <c r="AX112" i="37"/>
  <c r="AX129" i="37" s="1"/>
  <c r="AX107" i="37"/>
  <c r="AX124" i="37" s="1"/>
  <c r="AX109" i="37"/>
  <c r="AX126" i="37" s="1"/>
  <c r="AX144" i="37" s="1"/>
  <c r="AX113" i="37"/>
  <c r="AX130" i="37" s="1"/>
  <c r="AX114" i="37"/>
  <c r="AX131" i="37" s="1"/>
  <c r="AX54" i="17"/>
  <c r="AX39" i="17" s="1"/>
  <c r="AX115" i="37"/>
  <c r="AX132" i="37" s="1"/>
  <c r="AX55" i="17"/>
  <c r="AX42" i="17" s="1"/>
  <c r="AX62" i="17"/>
  <c r="AX51" i="17"/>
  <c r="AX53" i="17"/>
  <c r="AX78" i="17"/>
  <c r="AN8" i="37" s="1"/>
  <c r="AN30" i="37" s="1"/>
  <c r="AX63" i="17"/>
  <c r="AX33" i="17"/>
  <c r="AX36" i="17"/>
  <c r="AX80" i="17"/>
  <c r="AN10" i="37" s="1"/>
  <c r="AN32" i="37" s="1"/>
  <c r="AX76" i="17"/>
  <c r="AN6" i="37" s="1"/>
  <c r="AN28" i="37" s="1"/>
  <c r="AX79" i="17"/>
  <c r="AN9" i="37" s="1"/>
  <c r="AN31" i="37" s="1"/>
  <c r="AW26" i="17"/>
  <c r="AW92" i="17" s="1"/>
  <c r="BC22" i="25"/>
  <c r="AW83" i="17"/>
  <c r="AM13" i="37" s="1"/>
  <c r="AM35" i="37" s="1"/>
  <c r="AW84" i="17"/>
  <c r="AM14" i="37" s="1"/>
  <c r="AM36" i="37" s="1"/>
  <c r="AW57" i="17"/>
  <c r="AW77" i="17"/>
  <c r="AM7" i="37" s="1"/>
  <c r="AM29" i="37" s="1"/>
  <c r="AW82" i="17"/>
  <c r="AM12" i="37" s="1"/>
  <c r="AM34" i="37" s="1"/>
  <c r="AW56" i="17"/>
  <c r="AW58" i="17"/>
  <c r="AW52" i="17"/>
  <c r="AW81" i="17"/>
  <c r="AM11" i="37" s="1"/>
  <c r="AM33" i="37" s="1"/>
  <c r="AV153" i="37"/>
  <c r="AW144" i="37"/>
  <c r="AM39" i="37" l="1"/>
  <c r="AM52" i="37"/>
  <c r="AW153" i="37"/>
  <c r="AX35" i="17"/>
  <c r="AY31" i="17"/>
  <c r="BE21" i="25"/>
  <c r="AY110" i="37"/>
  <c r="AY127" i="37" s="1"/>
  <c r="AY145" i="37" s="1"/>
  <c r="AY108" i="37"/>
  <c r="AY125" i="37" s="1"/>
  <c r="AY111" i="37"/>
  <c r="AY128" i="37" s="1"/>
  <c r="AY112" i="37"/>
  <c r="AY129" i="37" s="1"/>
  <c r="AY147" i="37" s="1"/>
  <c r="AY107" i="37"/>
  <c r="AY124" i="37" s="1"/>
  <c r="AY142" i="37" s="1"/>
  <c r="AY109" i="37"/>
  <c r="AY126" i="37" s="1"/>
  <c r="AY113" i="37"/>
  <c r="AY130" i="37" s="1"/>
  <c r="AY148" i="37" s="1"/>
  <c r="AY54" i="17"/>
  <c r="AY39" i="17" s="1"/>
  <c r="AY114" i="37"/>
  <c r="AY131" i="37" s="1"/>
  <c r="AY149" i="37" s="1"/>
  <c r="AY115" i="37"/>
  <c r="AY132" i="37" s="1"/>
  <c r="AY150" i="37" s="1"/>
  <c r="AY55" i="17"/>
  <c r="AY42" i="17" s="1"/>
  <c r="AY62" i="17"/>
  <c r="AY51" i="17"/>
  <c r="AY33" i="17"/>
  <c r="AY63" i="17"/>
  <c r="AY53" i="17"/>
  <c r="AY78" i="17"/>
  <c r="AO8" i="37" s="1"/>
  <c r="AO30" i="37" s="1"/>
  <c r="AY79" i="17"/>
  <c r="AO9" i="37" s="1"/>
  <c r="AO31" i="37" s="1"/>
  <c r="AY76" i="17"/>
  <c r="AO6" i="37" s="1"/>
  <c r="AO28" i="37" s="1"/>
  <c r="AY36" i="17"/>
  <c r="AY80" i="17"/>
  <c r="AO10" i="37" s="1"/>
  <c r="AO32" i="37" s="1"/>
  <c r="AX150" i="37"/>
  <c r="AX149" i="37"/>
  <c r="AX148" i="37"/>
  <c r="AX26" i="17"/>
  <c r="AX92" i="17" s="1"/>
  <c r="BD22" i="25"/>
  <c r="AX58" i="17"/>
  <c r="AX56" i="17"/>
  <c r="AX84" i="17"/>
  <c r="AN14" i="37" s="1"/>
  <c r="AN36" i="37" s="1"/>
  <c r="AX77" i="17"/>
  <c r="AN7" i="37" s="1"/>
  <c r="AN29" i="37" s="1"/>
  <c r="AX82" i="17"/>
  <c r="AN12" i="37" s="1"/>
  <c r="AN34" i="37" s="1"/>
  <c r="AX81" i="17"/>
  <c r="AN11" i="37" s="1"/>
  <c r="AN33" i="37" s="1"/>
  <c r="AX52" i="17"/>
  <c r="AX57" i="17"/>
  <c r="AX83" i="17"/>
  <c r="AN13" i="37" s="1"/>
  <c r="AN35" i="37" s="1"/>
  <c r="AX147" i="37"/>
  <c r="AX142" i="37"/>
  <c r="AN52" i="37" l="1"/>
  <c r="AN39" i="37"/>
  <c r="AX153" i="37"/>
  <c r="AY146" i="37"/>
  <c r="AY143" i="37"/>
  <c r="AY35" i="17"/>
  <c r="BF21" i="25"/>
  <c r="AZ31" i="17"/>
  <c r="AZ107" i="37"/>
  <c r="AZ124" i="37" s="1"/>
  <c r="AZ115" i="37"/>
  <c r="AZ132" i="37" s="1"/>
  <c r="AZ150" i="37" s="1"/>
  <c r="AZ110" i="37"/>
  <c r="AZ127" i="37" s="1"/>
  <c r="AZ108" i="37"/>
  <c r="AZ125" i="37" s="1"/>
  <c r="AZ143" i="37" s="1"/>
  <c r="AZ111" i="37"/>
  <c r="AZ128" i="37" s="1"/>
  <c r="AZ146" i="37" s="1"/>
  <c r="AZ109" i="37"/>
  <c r="AZ126" i="37" s="1"/>
  <c r="AZ144" i="37" s="1"/>
  <c r="AZ112" i="37"/>
  <c r="AZ129" i="37" s="1"/>
  <c r="AZ147" i="37" s="1"/>
  <c r="AZ54" i="17"/>
  <c r="AZ39" i="17" s="1"/>
  <c r="AZ113" i="37"/>
  <c r="AZ130" i="37" s="1"/>
  <c r="AZ114" i="37"/>
  <c r="AZ131" i="37" s="1"/>
  <c r="AZ55" i="17"/>
  <c r="AZ42" i="17" s="1"/>
  <c r="AZ62" i="17"/>
  <c r="AZ51" i="17"/>
  <c r="AZ78" i="17"/>
  <c r="AP8" i="37" s="1"/>
  <c r="AP30" i="37" s="1"/>
  <c r="AZ79" i="17"/>
  <c r="AP9" i="37" s="1"/>
  <c r="AP31" i="37" s="1"/>
  <c r="AZ76" i="17"/>
  <c r="AP6" i="37" s="1"/>
  <c r="AP28" i="37" s="1"/>
  <c r="AZ53" i="17"/>
  <c r="AZ63" i="17"/>
  <c r="AZ33" i="17"/>
  <c r="AZ80" i="17"/>
  <c r="AP10" i="37" s="1"/>
  <c r="AP32" i="37" s="1"/>
  <c r="AZ36" i="17"/>
  <c r="BE22" i="25"/>
  <c r="AY26" i="17"/>
  <c r="AY92" i="17" s="1"/>
  <c r="AY52" i="17"/>
  <c r="AY57" i="17"/>
  <c r="AY84" i="17"/>
  <c r="AO14" i="37" s="1"/>
  <c r="AO36" i="37" s="1"/>
  <c r="AY82" i="17"/>
  <c r="AO12" i="37" s="1"/>
  <c r="AO34" i="37" s="1"/>
  <c r="AY58" i="17"/>
  <c r="AY81" i="17"/>
  <c r="AO11" i="37" s="1"/>
  <c r="AO33" i="37" s="1"/>
  <c r="AY77" i="17"/>
  <c r="AO7" i="37" s="1"/>
  <c r="AO29" i="37" s="1"/>
  <c r="AY83" i="17"/>
  <c r="AO13" i="37" s="1"/>
  <c r="AO35" i="37" s="1"/>
  <c r="AY56" i="17"/>
  <c r="AY144" i="37"/>
  <c r="AY153" i="37" l="1"/>
  <c r="AO39" i="37"/>
  <c r="AO52" i="37"/>
  <c r="AZ142" i="37"/>
  <c r="AZ35" i="17"/>
  <c r="BG21" i="25"/>
  <c r="BA31" i="17"/>
  <c r="BA107" i="37"/>
  <c r="BA124" i="37" s="1"/>
  <c r="BA142" i="37" s="1"/>
  <c r="BA109" i="37"/>
  <c r="BA126" i="37" s="1"/>
  <c r="BA113" i="37"/>
  <c r="BA130" i="37" s="1"/>
  <c r="BA148" i="37" s="1"/>
  <c r="BA114" i="37"/>
  <c r="BA131" i="37" s="1"/>
  <c r="BA149" i="37" s="1"/>
  <c r="BA115" i="37"/>
  <c r="BA132" i="37" s="1"/>
  <c r="BA108" i="37"/>
  <c r="BA125" i="37" s="1"/>
  <c r="BA110" i="37"/>
  <c r="BA127" i="37" s="1"/>
  <c r="BA145" i="37" s="1"/>
  <c r="BA111" i="37"/>
  <c r="BA128" i="37" s="1"/>
  <c r="BA146" i="37" s="1"/>
  <c r="BA112" i="37"/>
  <c r="BA129" i="37" s="1"/>
  <c r="BA147" i="37" s="1"/>
  <c r="BA55" i="17"/>
  <c r="BA42" i="17" s="1"/>
  <c r="BA54" i="17"/>
  <c r="BA39" i="17" s="1"/>
  <c r="BA62" i="17"/>
  <c r="BA51" i="17"/>
  <c r="BA63" i="17"/>
  <c r="BA33" i="17"/>
  <c r="BA79" i="17"/>
  <c r="AQ9" i="37" s="1"/>
  <c r="AQ31" i="37" s="1"/>
  <c r="BA76" i="17"/>
  <c r="AQ6" i="37" s="1"/>
  <c r="AQ28" i="37" s="1"/>
  <c r="BA78" i="17"/>
  <c r="AQ8" i="37" s="1"/>
  <c r="AQ30" i="37" s="1"/>
  <c r="BA36" i="17"/>
  <c r="BA53" i="17"/>
  <c r="BA80" i="17"/>
  <c r="AQ10" i="37" s="1"/>
  <c r="AQ32" i="37" s="1"/>
  <c r="AZ149" i="37"/>
  <c r="AZ148" i="37"/>
  <c r="BF22" i="25"/>
  <c r="AZ26" i="17"/>
  <c r="AZ92" i="17" s="1"/>
  <c r="AZ56" i="17"/>
  <c r="AZ83" i="17"/>
  <c r="AP13" i="37" s="1"/>
  <c r="AP35" i="37" s="1"/>
  <c r="AZ77" i="17"/>
  <c r="AP7" i="37" s="1"/>
  <c r="AP29" i="37" s="1"/>
  <c r="AZ57" i="17"/>
  <c r="AZ84" i="17"/>
  <c r="AP14" i="37" s="1"/>
  <c r="AP36" i="37" s="1"/>
  <c r="AZ81" i="17"/>
  <c r="AP11" i="37" s="1"/>
  <c r="AP33" i="37" s="1"/>
  <c r="AZ52" i="17"/>
  <c r="AZ58" i="17"/>
  <c r="AZ82" i="17"/>
  <c r="AP12" i="37" s="1"/>
  <c r="AP34" i="37" s="1"/>
  <c r="AZ145" i="37"/>
  <c r="AP39" i="37" l="1"/>
  <c r="AP52" i="37"/>
  <c r="BA144" i="37"/>
  <c r="BA35" i="17"/>
  <c r="BG22" i="25"/>
  <c r="BA26" i="17"/>
  <c r="BA92" i="17" s="1"/>
  <c r="BA77" i="17"/>
  <c r="AQ7" i="37" s="1"/>
  <c r="AQ29" i="37" s="1"/>
  <c r="BA52" i="17"/>
  <c r="BA57" i="17"/>
  <c r="BA83" i="17"/>
  <c r="AQ13" i="37" s="1"/>
  <c r="AQ35" i="37" s="1"/>
  <c r="BA56" i="17"/>
  <c r="BA82" i="17"/>
  <c r="AQ12" i="37" s="1"/>
  <c r="AQ34" i="37" s="1"/>
  <c r="BA84" i="17"/>
  <c r="AQ14" i="37" s="1"/>
  <c r="AQ36" i="37" s="1"/>
  <c r="BA58" i="17"/>
  <c r="BA81" i="17"/>
  <c r="AQ11" i="37" s="1"/>
  <c r="AQ33" i="37" s="1"/>
  <c r="BB31" i="17"/>
  <c r="BH21" i="25"/>
  <c r="BB109" i="37"/>
  <c r="BB126" i="37" s="1"/>
  <c r="BB144" i="37" s="1"/>
  <c r="BB111" i="37"/>
  <c r="BB128" i="37" s="1"/>
  <c r="BB112" i="37"/>
  <c r="BB129" i="37" s="1"/>
  <c r="BB113" i="37"/>
  <c r="BB130" i="37" s="1"/>
  <c r="BB114" i="37"/>
  <c r="BB131" i="37" s="1"/>
  <c r="BB108" i="37"/>
  <c r="BB125" i="37" s="1"/>
  <c r="BB143" i="37" s="1"/>
  <c r="BB110" i="37"/>
  <c r="BB127" i="37" s="1"/>
  <c r="BB107" i="37"/>
  <c r="BB124" i="37" s="1"/>
  <c r="BB142" i="37" s="1"/>
  <c r="BB55" i="17"/>
  <c r="BB42" i="17" s="1"/>
  <c r="BB51" i="17"/>
  <c r="BB115" i="37"/>
  <c r="BB132" i="37" s="1"/>
  <c r="BB150" i="37" s="1"/>
  <c r="BB54" i="17"/>
  <c r="BB39" i="17" s="1"/>
  <c r="BB62" i="17"/>
  <c r="BB63" i="17"/>
  <c r="BB76" i="17"/>
  <c r="AR6" i="37" s="1"/>
  <c r="AR28" i="37" s="1"/>
  <c r="BB53" i="17"/>
  <c r="BB36" i="17"/>
  <c r="BB33" i="17"/>
  <c r="BB78" i="17"/>
  <c r="AR8" i="37" s="1"/>
  <c r="AR30" i="37" s="1"/>
  <c r="BB80" i="17"/>
  <c r="AR10" i="37" s="1"/>
  <c r="AR32" i="37" s="1"/>
  <c r="BB79" i="17"/>
  <c r="AR9" i="37" s="1"/>
  <c r="AR31" i="37" s="1"/>
  <c r="BA150" i="37"/>
  <c r="AZ153" i="37"/>
  <c r="BA143" i="37"/>
  <c r="AQ52" i="37" l="1"/>
  <c r="AQ39" i="37"/>
  <c r="BA153" i="37"/>
  <c r="BB146" i="37"/>
  <c r="BB147" i="37"/>
  <c r="BB148" i="37"/>
  <c r="BH22" i="25"/>
  <c r="BB26" i="17"/>
  <c r="BB92" i="17" s="1"/>
  <c r="BB81" i="17"/>
  <c r="AR11" i="37" s="1"/>
  <c r="AR33" i="37" s="1"/>
  <c r="BB77" i="17"/>
  <c r="AR7" i="37" s="1"/>
  <c r="AR29" i="37" s="1"/>
  <c r="BB52" i="17"/>
  <c r="BB83" i="17"/>
  <c r="AR13" i="37" s="1"/>
  <c r="AR35" i="37" s="1"/>
  <c r="BB57" i="17"/>
  <c r="BB58" i="17"/>
  <c r="BB82" i="17"/>
  <c r="AR12" i="37" s="1"/>
  <c r="AR34" i="37" s="1"/>
  <c r="BB84" i="17"/>
  <c r="AR14" i="37" s="1"/>
  <c r="AR36" i="37" s="1"/>
  <c r="BB56" i="17"/>
  <c r="BI21" i="25"/>
  <c r="BC31" i="17"/>
  <c r="BC108" i="37"/>
  <c r="BC125" i="37" s="1"/>
  <c r="BC110" i="37"/>
  <c r="BC127" i="37" s="1"/>
  <c r="BC145" i="37" s="1"/>
  <c r="BC107" i="37"/>
  <c r="BC124" i="37" s="1"/>
  <c r="BC142" i="37" s="1"/>
  <c r="BC111" i="37"/>
  <c r="BC128" i="37" s="1"/>
  <c r="BC146" i="37" s="1"/>
  <c r="BC109" i="37"/>
  <c r="BC126" i="37" s="1"/>
  <c r="BC144" i="37" s="1"/>
  <c r="BC112" i="37"/>
  <c r="BC129" i="37" s="1"/>
  <c r="BC147" i="37" s="1"/>
  <c r="BC114" i="37"/>
  <c r="BC131" i="37" s="1"/>
  <c r="BC149" i="37" s="1"/>
  <c r="BC115" i="37"/>
  <c r="BC132" i="37" s="1"/>
  <c r="BC150" i="37" s="1"/>
  <c r="BC54" i="17"/>
  <c r="BC39" i="17" s="1"/>
  <c r="BC55" i="17"/>
  <c r="BC42" i="17" s="1"/>
  <c r="BC113" i="37"/>
  <c r="BC130" i="37" s="1"/>
  <c r="BC148" i="37" s="1"/>
  <c r="BC62" i="17"/>
  <c r="BC51" i="17"/>
  <c r="BC76" i="17"/>
  <c r="AS6" i="37" s="1"/>
  <c r="AS28" i="37" s="1"/>
  <c r="BC79" i="17"/>
  <c r="AS9" i="37" s="1"/>
  <c r="AS31" i="37" s="1"/>
  <c r="BC78" i="17"/>
  <c r="AS8" i="37" s="1"/>
  <c r="AS30" i="37" s="1"/>
  <c r="BC53" i="17"/>
  <c r="BC36" i="17"/>
  <c r="BC33" i="17"/>
  <c r="BC63" i="17"/>
  <c r="BC80" i="17"/>
  <c r="AS10" i="37" s="1"/>
  <c r="AS32" i="37" s="1"/>
  <c r="BB35" i="17"/>
  <c r="BB145" i="37"/>
  <c r="BB149" i="37"/>
  <c r="AR39" i="37" l="1"/>
  <c r="AR52" i="37"/>
  <c r="BB153" i="37"/>
  <c r="BC143" i="37"/>
  <c r="BC153" i="37" s="1"/>
  <c r="BI22" i="25"/>
  <c r="BC26" i="17"/>
  <c r="BC92" i="17" s="1"/>
  <c r="BC52" i="17"/>
  <c r="BC83" i="17"/>
  <c r="AS13" i="37" s="1"/>
  <c r="AS35" i="37" s="1"/>
  <c r="BC56" i="17"/>
  <c r="BC57" i="17"/>
  <c r="BC82" i="17"/>
  <c r="AS12" i="37" s="1"/>
  <c r="AS34" i="37" s="1"/>
  <c r="BC77" i="17"/>
  <c r="AS7" i="37" s="1"/>
  <c r="AS29" i="37" s="1"/>
  <c r="BC58" i="17"/>
  <c r="BC81" i="17"/>
  <c r="AS11" i="37" s="1"/>
  <c r="AS33" i="37" s="1"/>
  <c r="BC84" i="17"/>
  <c r="AS14" i="37" s="1"/>
  <c r="AS36" i="37" s="1"/>
  <c r="BC35" i="17"/>
  <c r="BJ21" i="25"/>
  <c r="BD31" i="17"/>
  <c r="BD107" i="37"/>
  <c r="BD124" i="37" s="1"/>
  <c r="BD142" i="37" s="1"/>
  <c r="BD108" i="37"/>
  <c r="BD125" i="37" s="1"/>
  <c r="BD143" i="37" s="1"/>
  <c r="BD110" i="37"/>
  <c r="BD127" i="37" s="1"/>
  <c r="BD145" i="37" s="1"/>
  <c r="BD111" i="37"/>
  <c r="BD128" i="37" s="1"/>
  <c r="BD109" i="37"/>
  <c r="BD126" i="37" s="1"/>
  <c r="BD112" i="37"/>
  <c r="BD129" i="37" s="1"/>
  <c r="BD114" i="37"/>
  <c r="BD131" i="37" s="1"/>
  <c r="BD51" i="17"/>
  <c r="BD115" i="37"/>
  <c r="BD132" i="37" s="1"/>
  <c r="BD54" i="17"/>
  <c r="BD39" i="17" s="1"/>
  <c r="BD55" i="17"/>
  <c r="BD42" i="17" s="1"/>
  <c r="BD113" i="37"/>
  <c r="BD130" i="37" s="1"/>
  <c r="BD62" i="17"/>
  <c r="BD79" i="17"/>
  <c r="AT9" i="37" s="1"/>
  <c r="AT31" i="37" s="1"/>
  <c r="BD78" i="17"/>
  <c r="AT8" i="37" s="1"/>
  <c r="AT30" i="37" s="1"/>
  <c r="BD33" i="17"/>
  <c r="BD76" i="17"/>
  <c r="AT6" i="37" s="1"/>
  <c r="AT28" i="37" s="1"/>
  <c r="BD36" i="17"/>
  <c r="BD53" i="17"/>
  <c r="BD63" i="17"/>
  <c r="BD80" i="17"/>
  <c r="AT10" i="37" s="1"/>
  <c r="AT32" i="37" s="1"/>
  <c r="AS52" i="37" l="1"/>
  <c r="AS39" i="37"/>
  <c r="BJ22" i="25"/>
  <c r="BD26" i="17"/>
  <c r="BD92" i="17" s="1"/>
  <c r="BD56" i="17"/>
  <c r="BD52" i="17"/>
  <c r="BD58" i="17"/>
  <c r="BD77" i="17"/>
  <c r="AT7" i="37" s="1"/>
  <c r="AT29" i="37" s="1"/>
  <c r="BD83" i="17"/>
  <c r="AT13" i="37" s="1"/>
  <c r="AT35" i="37" s="1"/>
  <c r="BD57" i="17"/>
  <c r="BD81" i="17"/>
  <c r="AT11" i="37" s="1"/>
  <c r="AT33" i="37" s="1"/>
  <c r="BD82" i="17"/>
  <c r="AT12" i="37" s="1"/>
  <c r="AT34" i="37" s="1"/>
  <c r="BD84" i="17"/>
  <c r="AT14" i="37" s="1"/>
  <c r="AT36" i="37" s="1"/>
  <c r="BD150" i="37"/>
  <c r="BD146" i="37"/>
  <c r="BD148" i="37"/>
  <c r="BD35" i="17"/>
  <c r="BK21" i="25"/>
  <c r="BE31" i="17"/>
  <c r="BE51" i="17"/>
  <c r="BE107" i="37"/>
  <c r="BE124" i="37" s="1"/>
  <c r="BE142" i="37" s="1"/>
  <c r="BE108" i="37"/>
  <c r="BE125" i="37" s="1"/>
  <c r="BE143" i="37" s="1"/>
  <c r="BE110" i="37"/>
  <c r="BE127" i="37" s="1"/>
  <c r="BE145" i="37" s="1"/>
  <c r="BE111" i="37"/>
  <c r="BE128" i="37" s="1"/>
  <c r="BE146" i="37" s="1"/>
  <c r="BE109" i="37"/>
  <c r="BE126" i="37" s="1"/>
  <c r="BE144" i="37" s="1"/>
  <c r="BE112" i="37"/>
  <c r="BE129" i="37" s="1"/>
  <c r="BE147" i="37" s="1"/>
  <c r="BE113" i="37"/>
  <c r="BE130" i="37" s="1"/>
  <c r="BE148" i="37" s="1"/>
  <c r="BE114" i="37"/>
  <c r="BE131" i="37" s="1"/>
  <c r="BE149" i="37" s="1"/>
  <c r="BE115" i="37"/>
  <c r="BE132" i="37" s="1"/>
  <c r="BE150" i="37" s="1"/>
  <c r="BE55" i="17"/>
  <c r="BE42" i="17" s="1"/>
  <c r="BE54" i="17"/>
  <c r="BE39" i="17" s="1"/>
  <c r="BE62" i="17"/>
  <c r="BE79" i="17"/>
  <c r="AU9" i="37" s="1"/>
  <c r="AU31" i="37" s="1"/>
  <c r="BE80" i="17"/>
  <c r="AU10" i="37" s="1"/>
  <c r="AU32" i="37" s="1"/>
  <c r="BE63" i="17"/>
  <c r="BE53" i="17"/>
  <c r="BE78" i="17"/>
  <c r="AU8" i="37" s="1"/>
  <c r="AU30" i="37" s="1"/>
  <c r="BE76" i="17"/>
  <c r="AU6" i="37" s="1"/>
  <c r="AU28" i="37" s="1"/>
  <c r="BE33" i="17"/>
  <c r="BE36" i="17"/>
  <c r="BD144" i="37"/>
  <c r="BD149" i="37"/>
  <c r="BD147" i="37"/>
  <c r="AT39" i="37" l="1"/>
  <c r="AT52" i="37"/>
  <c r="BD153" i="37"/>
  <c r="BE153" i="37"/>
  <c r="BE35" i="17"/>
  <c r="BL21" i="25"/>
  <c r="BF31" i="17"/>
  <c r="BF107" i="37"/>
  <c r="BF124" i="37" s="1"/>
  <c r="BF142" i="37" s="1"/>
  <c r="BF108" i="37"/>
  <c r="BF125" i="37" s="1"/>
  <c r="BF143" i="37" s="1"/>
  <c r="BF110" i="37"/>
  <c r="BF127" i="37" s="1"/>
  <c r="BF145" i="37" s="1"/>
  <c r="BF111" i="37"/>
  <c r="BF128" i="37" s="1"/>
  <c r="BF109" i="37"/>
  <c r="BF126" i="37" s="1"/>
  <c r="BF112" i="37"/>
  <c r="BF129" i="37" s="1"/>
  <c r="BF147" i="37" s="1"/>
  <c r="BF113" i="37"/>
  <c r="BF130" i="37" s="1"/>
  <c r="BF148" i="37" s="1"/>
  <c r="BF114" i="37"/>
  <c r="BF131" i="37" s="1"/>
  <c r="BF149" i="37" s="1"/>
  <c r="BF115" i="37"/>
  <c r="BF132" i="37" s="1"/>
  <c r="BF150" i="37" s="1"/>
  <c r="BF55" i="17"/>
  <c r="BF42" i="17" s="1"/>
  <c r="BF54" i="17"/>
  <c r="BF39" i="17" s="1"/>
  <c r="BF62" i="17"/>
  <c r="BF51" i="17"/>
  <c r="BF36" i="17"/>
  <c r="BF78" i="17"/>
  <c r="AV8" i="37" s="1"/>
  <c r="AV30" i="37" s="1"/>
  <c r="BF79" i="17"/>
  <c r="AV9" i="37" s="1"/>
  <c r="AV31" i="37" s="1"/>
  <c r="BF80" i="17"/>
  <c r="AV10" i="37" s="1"/>
  <c r="AV32" i="37" s="1"/>
  <c r="BF33" i="17"/>
  <c r="BF63" i="17"/>
  <c r="BF76" i="17"/>
  <c r="AV6" i="37" s="1"/>
  <c r="AV28" i="37" s="1"/>
  <c r="BF53" i="17"/>
  <c r="BK22" i="25"/>
  <c r="BE26" i="17"/>
  <c r="BE92" i="17" s="1"/>
  <c r="BE58" i="17"/>
  <c r="BE56" i="17"/>
  <c r="BE57" i="17"/>
  <c r="BE84" i="17"/>
  <c r="AU14" i="37" s="1"/>
  <c r="AU36" i="37" s="1"/>
  <c r="BE77" i="17"/>
  <c r="AU7" i="37" s="1"/>
  <c r="AU29" i="37" s="1"/>
  <c r="BE52" i="17"/>
  <c r="BE82" i="17"/>
  <c r="AU12" i="37" s="1"/>
  <c r="AU34" i="37" s="1"/>
  <c r="BE83" i="17"/>
  <c r="AU13" i="37" s="1"/>
  <c r="AU35" i="37" s="1"/>
  <c r="BE81" i="17"/>
  <c r="AU11" i="37" s="1"/>
  <c r="AU33" i="37" s="1"/>
  <c r="AU52" i="37" l="1"/>
  <c r="AU39" i="37"/>
  <c r="BF35" i="17"/>
  <c r="BG31" i="17"/>
  <c r="BM21" i="25"/>
  <c r="BG107" i="37"/>
  <c r="BG124" i="37" s="1"/>
  <c r="BG142" i="37" s="1"/>
  <c r="BG108" i="37"/>
  <c r="BG125" i="37" s="1"/>
  <c r="BG110" i="37"/>
  <c r="BG127" i="37" s="1"/>
  <c r="BG111" i="37"/>
  <c r="BG128" i="37" s="1"/>
  <c r="BG146" i="37" s="1"/>
  <c r="BG109" i="37"/>
  <c r="BG126" i="37" s="1"/>
  <c r="BG144" i="37" s="1"/>
  <c r="BG112" i="37"/>
  <c r="BG129" i="37" s="1"/>
  <c r="BG113" i="37"/>
  <c r="BG130" i="37" s="1"/>
  <c r="BG148" i="37" s="1"/>
  <c r="BG54" i="17"/>
  <c r="BG39" i="17" s="1"/>
  <c r="BG115" i="37"/>
  <c r="BG132" i="37" s="1"/>
  <c r="BG55" i="17"/>
  <c r="BG42" i="17" s="1"/>
  <c r="BG114" i="37"/>
  <c r="BG131" i="37" s="1"/>
  <c r="BG149" i="37" s="1"/>
  <c r="BG51" i="17"/>
  <c r="BG62" i="17"/>
  <c r="BG53" i="17"/>
  <c r="BG76" i="17"/>
  <c r="AW6" i="37" s="1"/>
  <c r="AW28" i="37" s="1"/>
  <c r="BG33" i="17"/>
  <c r="BG80" i="17"/>
  <c r="AW10" i="37" s="1"/>
  <c r="AW32" i="37" s="1"/>
  <c r="BG36" i="17"/>
  <c r="BG79" i="17"/>
  <c r="AW9" i="37" s="1"/>
  <c r="AW31" i="37" s="1"/>
  <c r="BG63" i="17"/>
  <c r="BG78" i="17"/>
  <c r="AW8" i="37" s="1"/>
  <c r="AW30" i="37" s="1"/>
  <c r="BF26" i="17"/>
  <c r="BF92" i="17" s="1"/>
  <c r="BL22" i="25"/>
  <c r="BF83" i="17"/>
  <c r="AV13" i="37" s="1"/>
  <c r="AV35" i="37" s="1"/>
  <c r="BF58" i="17"/>
  <c r="BF56" i="17"/>
  <c r="BF82" i="17"/>
  <c r="AV12" i="37" s="1"/>
  <c r="AV34" i="37" s="1"/>
  <c r="BF52" i="17"/>
  <c r="BF57" i="17"/>
  <c r="BF77" i="17"/>
  <c r="AV7" i="37" s="1"/>
  <c r="AV29" i="37" s="1"/>
  <c r="BF81" i="17"/>
  <c r="AV11" i="37" s="1"/>
  <c r="AV33" i="37" s="1"/>
  <c r="BF84" i="17"/>
  <c r="AV14" i="37" s="1"/>
  <c r="AV36" i="37" s="1"/>
  <c r="BF144" i="37"/>
  <c r="BF146" i="37"/>
  <c r="AV39" i="37" l="1"/>
  <c r="AV52" i="37"/>
  <c r="BF153" i="37"/>
  <c r="BG145" i="37"/>
  <c r="BG143" i="37"/>
  <c r="BN21" i="25"/>
  <c r="BH31" i="17"/>
  <c r="BH107" i="37"/>
  <c r="BH124" i="37" s="1"/>
  <c r="BH142" i="37" s="1"/>
  <c r="BH115" i="37"/>
  <c r="BH132" i="37" s="1"/>
  <c r="BH150" i="37" s="1"/>
  <c r="BH108" i="37"/>
  <c r="BH125" i="37" s="1"/>
  <c r="BH143" i="37" s="1"/>
  <c r="BH110" i="37"/>
  <c r="BH127" i="37" s="1"/>
  <c r="BH145" i="37" s="1"/>
  <c r="BH111" i="37"/>
  <c r="BH128" i="37" s="1"/>
  <c r="BH146" i="37" s="1"/>
  <c r="BH114" i="37"/>
  <c r="BH131" i="37" s="1"/>
  <c r="BH149" i="37" s="1"/>
  <c r="BH112" i="37"/>
  <c r="BH129" i="37" s="1"/>
  <c r="BH147" i="37" s="1"/>
  <c r="BH54" i="17"/>
  <c r="BH39" i="17" s="1"/>
  <c r="BH109" i="37"/>
  <c r="BH126" i="37" s="1"/>
  <c r="BH144" i="37" s="1"/>
  <c r="BH113" i="37"/>
  <c r="BH130" i="37" s="1"/>
  <c r="BH55" i="17"/>
  <c r="BH42" i="17" s="1"/>
  <c r="BH51" i="17"/>
  <c r="BH62" i="17"/>
  <c r="BH33" i="17"/>
  <c r="BH53" i="17"/>
  <c r="BH76" i="17"/>
  <c r="AX6" i="37" s="1"/>
  <c r="AX28" i="37" s="1"/>
  <c r="BH36" i="17"/>
  <c r="BH79" i="17"/>
  <c r="AX9" i="37" s="1"/>
  <c r="AX31" i="37" s="1"/>
  <c r="BH78" i="17"/>
  <c r="AX8" i="37" s="1"/>
  <c r="AX30" i="37" s="1"/>
  <c r="BH80" i="17"/>
  <c r="AX10" i="37" s="1"/>
  <c r="AX32" i="37" s="1"/>
  <c r="BH63" i="17"/>
  <c r="BG150" i="37"/>
  <c r="BG35" i="17"/>
  <c r="BM22" i="25"/>
  <c r="BG26" i="17"/>
  <c r="BG92" i="17" s="1"/>
  <c r="BG81" i="17"/>
  <c r="AW11" i="37" s="1"/>
  <c r="AW33" i="37" s="1"/>
  <c r="BG82" i="17"/>
  <c r="AW12" i="37" s="1"/>
  <c r="AW34" i="37" s="1"/>
  <c r="BG77" i="17"/>
  <c r="AW7" i="37" s="1"/>
  <c r="AW29" i="37" s="1"/>
  <c r="BG57" i="17"/>
  <c r="BG84" i="17"/>
  <c r="AW14" i="37" s="1"/>
  <c r="AW36" i="37" s="1"/>
  <c r="BG56" i="17"/>
  <c r="BG58" i="17"/>
  <c r="BG52" i="17"/>
  <c r="BG83" i="17"/>
  <c r="AW13" i="37" s="1"/>
  <c r="AW35" i="37" s="1"/>
  <c r="BG147" i="37"/>
  <c r="AW52" i="37" l="1"/>
  <c r="AW39" i="37"/>
  <c r="BG153" i="37"/>
  <c r="BN22" i="25"/>
  <c r="BH26" i="17"/>
  <c r="BH92" i="17" s="1"/>
  <c r="BH84" i="17"/>
  <c r="AX14" i="37" s="1"/>
  <c r="AX36" i="37" s="1"/>
  <c r="BH77" i="17"/>
  <c r="AX7" i="37" s="1"/>
  <c r="AX29" i="37" s="1"/>
  <c r="BH81" i="17"/>
  <c r="AX11" i="37" s="1"/>
  <c r="AX33" i="37" s="1"/>
  <c r="BH52" i="17"/>
  <c r="BH58" i="17"/>
  <c r="BH83" i="17"/>
  <c r="AX13" i="37" s="1"/>
  <c r="AX35" i="37" s="1"/>
  <c r="BH57" i="17"/>
  <c r="BH82" i="17"/>
  <c r="AX12" i="37" s="1"/>
  <c r="AX34" i="37" s="1"/>
  <c r="BH56" i="17"/>
  <c r="BH35" i="17"/>
  <c r="BI31" i="17"/>
  <c r="BO21" i="25"/>
  <c r="BI107" i="37"/>
  <c r="BI124" i="37" s="1"/>
  <c r="BI113" i="37"/>
  <c r="BI130" i="37" s="1"/>
  <c r="BI148" i="37" s="1"/>
  <c r="BI114" i="37"/>
  <c r="BI131" i="37" s="1"/>
  <c r="BI115" i="37"/>
  <c r="BI132" i="37" s="1"/>
  <c r="BI108" i="37"/>
  <c r="BI125" i="37" s="1"/>
  <c r="BI143" i="37" s="1"/>
  <c r="BI110" i="37"/>
  <c r="BI127" i="37" s="1"/>
  <c r="BI145" i="37" s="1"/>
  <c r="BI111" i="37"/>
  <c r="BI128" i="37" s="1"/>
  <c r="BI109" i="37"/>
  <c r="BI126" i="37" s="1"/>
  <c r="BI112" i="37"/>
  <c r="BI129" i="37" s="1"/>
  <c r="BI54" i="17"/>
  <c r="BI39" i="17" s="1"/>
  <c r="BI55" i="17"/>
  <c r="BI42" i="17" s="1"/>
  <c r="BI51" i="17"/>
  <c r="BI62" i="17"/>
  <c r="BI78" i="17"/>
  <c r="AY8" i="37" s="1"/>
  <c r="AY30" i="37" s="1"/>
  <c r="BI80" i="17"/>
  <c r="AY10" i="37" s="1"/>
  <c r="AY32" i="37" s="1"/>
  <c r="BI79" i="17"/>
  <c r="AY9" i="37" s="1"/>
  <c r="AY31" i="37" s="1"/>
  <c r="BI33" i="17"/>
  <c r="BI63" i="17"/>
  <c r="BI76" i="17"/>
  <c r="AY6" i="37" s="1"/>
  <c r="AY28" i="37" s="1"/>
  <c r="BI53" i="17"/>
  <c r="BI36" i="17"/>
  <c r="BH148" i="37"/>
  <c r="BH153" i="37" s="1"/>
  <c r="AX52" i="37" l="1"/>
  <c r="AX39" i="37"/>
  <c r="BI150" i="37"/>
  <c r="BI149" i="37"/>
  <c r="BI142" i="37"/>
  <c r="BJ31" i="17"/>
  <c r="BP21" i="25"/>
  <c r="BJ109" i="37"/>
  <c r="BJ126" i="37" s="1"/>
  <c r="BJ144" i="37" s="1"/>
  <c r="BJ111" i="37"/>
  <c r="BJ128" i="37" s="1"/>
  <c r="BJ146" i="37" s="1"/>
  <c r="BJ112" i="37"/>
  <c r="BJ129" i="37" s="1"/>
  <c r="BJ147" i="37" s="1"/>
  <c r="BJ113" i="37"/>
  <c r="BJ130" i="37" s="1"/>
  <c r="BJ148" i="37" s="1"/>
  <c r="BJ114" i="37"/>
  <c r="BJ131" i="37" s="1"/>
  <c r="BJ149" i="37" s="1"/>
  <c r="BJ107" i="37"/>
  <c r="BJ124" i="37" s="1"/>
  <c r="BJ142" i="37" s="1"/>
  <c r="BJ108" i="37"/>
  <c r="BJ125" i="37" s="1"/>
  <c r="BJ143" i="37" s="1"/>
  <c r="BJ110" i="37"/>
  <c r="BJ127" i="37" s="1"/>
  <c r="BJ145" i="37" s="1"/>
  <c r="BJ55" i="17"/>
  <c r="BJ42" i="17" s="1"/>
  <c r="BJ115" i="37"/>
  <c r="BJ132" i="37" s="1"/>
  <c r="BJ150" i="37" s="1"/>
  <c r="BJ51" i="17"/>
  <c r="BJ54" i="17"/>
  <c r="BJ39" i="17" s="1"/>
  <c r="BJ62" i="17"/>
  <c r="BJ76" i="17"/>
  <c r="AZ6" i="37" s="1"/>
  <c r="AZ28" i="37" s="1"/>
  <c r="BJ63" i="17"/>
  <c r="BJ53" i="17"/>
  <c r="BJ80" i="17"/>
  <c r="AZ10" i="37" s="1"/>
  <c r="AZ32" i="37" s="1"/>
  <c r="BJ33" i="17"/>
  <c r="BJ79" i="17"/>
  <c r="AZ9" i="37" s="1"/>
  <c r="AZ31" i="37" s="1"/>
  <c r="BJ36" i="17"/>
  <c r="BJ78" i="17"/>
  <c r="AZ8" i="37" s="1"/>
  <c r="AZ30" i="37" s="1"/>
  <c r="BI35" i="17"/>
  <c r="BI147" i="37"/>
  <c r="BO22" i="25"/>
  <c r="BI26" i="17"/>
  <c r="BI92" i="17" s="1"/>
  <c r="BI58" i="17"/>
  <c r="BI81" i="17"/>
  <c r="AY11" i="37" s="1"/>
  <c r="AY33" i="37" s="1"/>
  <c r="BI56" i="17"/>
  <c r="BI52" i="17"/>
  <c r="BI77" i="17"/>
  <c r="AY7" i="37" s="1"/>
  <c r="AY29" i="37" s="1"/>
  <c r="BI83" i="17"/>
  <c r="AY13" i="37" s="1"/>
  <c r="AY35" i="37" s="1"/>
  <c r="BI82" i="17"/>
  <c r="AY12" i="37" s="1"/>
  <c r="AY34" i="37" s="1"/>
  <c r="BI84" i="17"/>
  <c r="AY14" i="37" s="1"/>
  <c r="AY36" i="37" s="1"/>
  <c r="BI57" i="17"/>
  <c r="BI144" i="37"/>
  <c r="BI146" i="37"/>
  <c r="AY39" i="37" l="1"/>
  <c r="AY52" i="37"/>
  <c r="BP22" i="25"/>
  <c r="BJ26" i="17"/>
  <c r="BJ92" i="17" s="1"/>
  <c r="BJ81" i="17"/>
  <c r="AZ11" i="37" s="1"/>
  <c r="AZ33" i="37" s="1"/>
  <c r="BJ56" i="17"/>
  <c r="BJ83" i="17"/>
  <c r="AZ13" i="37" s="1"/>
  <c r="AZ35" i="37" s="1"/>
  <c r="BJ58" i="17"/>
  <c r="BJ52" i="17"/>
  <c r="BJ77" i="17"/>
  <c r="AZ7" i="37" s="1"/>
  <c r="AZ29" i="37" s="1"/>
  <c r="BJ82" i="17"/>
  <c r="AZ12" i="37" s="1"/>
  <c r="AZ34" i="37" s="1"/>
  <c r="BJ84" i="17"/>
  <c r="AZ14" i="37" s="1"/>
  <c r="AZ36" i="37" s="1"/>
  <c r="BJ57" i="17"/>
  <c r="BI153" i="37"/>
  <c r="BK31" i="17"/>
  <c r="BQ21" i="25"/>
  <c r="BK110" i="37"/>
  <c r="BK127" i="37" s="1"/>
  <c r="BK109" i="37"/>
  <c r="BK126" i="37" s="1"/>
  <c r="BK111" i="37"/>
  <c r="BK128" i="37" s="1"/>
  <c r="BK112" i="37"/>
  <c r="BK129" i="37" s="1"/>
  <c r="BK114" i="37"/>
  <c r="BK131" i="37" s="1"/>
  <c r="BK149" i="37" s="1"/>
  <c r="BK107" i="37"/>
  <c r="BK124" i="37" s="1"/>
  <c r="BK108" i="37"/>
  <c r="BK125" i="37" s="1"/>
  <c r="BK54" i="17"/>
  <c r="BK39" i="17" s="1"/>
  <c r="BK55" i="17"/>
  <c r="BK42" i="17" s="1"/>
  <c r="BK115" i="37"/>
  <c r="BK132" i="37" s="1"/>
  <c r="BK150" i="37" s="1"/>
  <c r="BK113" i="37"/>
  <c r="BK130" i="37" s="1"/>
  <c r="BK51" i="17"/>
  <c r="BK62" i="17"/>
  <c r="BK78" i="17"/>
  <c r="BA8" i="37" s="1"/>
  <c r="BA30" i="37" s="1"/>
  <c r="BK79" i="17"/>
  <c r="BA9" i="37" s="1"/>
  <c r="BA31" i="37" s="1"/>
  <c r="BK36" i="17"/>
  <c r="BK63" i="17"/>
  <c r="BK33" i="17"/>
  <c r="BK80" i="17"/>
  <c r="BA10" i="37" s="1"/>
  <c r="BA32" i="37" s="1"/>
  <c r="BK76" i="17"/>
  <c r="BA6" i="37" s="1"/>
  <c r="BA28" i="37" s="1"/>
  <c r="BK53" i="17"/>
  <c r="BJ35" i="17"/>
  <c r="BJ153" i="37"/>
  <c r="AZ52" i="37" l="1"/>
  <c r="AZ39" i="37"/>
  <c r="BK143" i="37"/>
  <c r="BK142" i="37"/>
  <c r="BK147" i="37"/>
  <c r="BK144" i="37"/>
  <c r="BK145" i="37"/>
  <c r="BK146" i="37"/>
  <c r="BL31" i="17"/>
  <c r="BR21" i="25"/>
  <c r="BL107" i="37"/>
  <c r="BL124" i="37" s="1"/>
  <c r="BL142" i="37" s="1"/>
  <c r="BL110" i="37"/>
  <c r="BL127" i="37" s="1"/>
  <c r="BL145" i="37" s="1"/>
  <c r="BL109" i="37"/>
  <c r="BL126" i="37" s="1"/>
  <c r="BL144" i="37" s="1"/>
  <c r="BL111" i="37"/>
  <c r="BL128" i="37" s="1"/>
  <c r="BL146" i="37" s="1"/>
  <c r="BL112" i="37"/>
  <c r="BL129" i="37" s="1"/>
  <c r="BL147" i="37" s="1"/>
  <c r="BL114" i="37"/>
  <c r="BL131" i="37" s="1"/>
  <c r="BL149" i="37" s="1"/>
  <c r="BL108" i="37"/>
  <c r="BL125" i="37" s="1"/>
  <c r="BL143" i="37" s="1"/>
  <c r="BL62" i="17"/>
  <c r="BL54" i="17"/>
  <c r="BL39" i="17" s="1"/>
  <c r="BL113" i="37"/>
  <c r="BL130" i="37" s="1"/>
  <c r="BL148" i="37" s="1"/>
  <c r="BL115" i="37"/>
  <c r="BL132" i="37" s="1"/>
  <c r="BL55" i="17"/>
  <c r="BL42" i="17" s="1"/>
  <c r="BL51" i="17"/>
  <c r="BL78" i="17"/>
  <c r="BB8" i="37" s="1"/>
  <c r="BB30" i="37" s="1"/>
  <c r="BL79" i="17"/>
  <c r="BB9" i="37" s="1"/>
  <c r="BB31" i="37" s="1"/>
  <c r="BL33" i="17"/>
  <c r="BL80" i="17"/>
  <c r="BB10" i="37" s="1"/>
  <c r="BB32" i="37" s="1"/>
  <c r="BL53" i="17"/>
  <c r="BL36" i="17"/>
  <c r="BL63" i="17"/>
  <c r="BL76" i="17"/>
  <c r="BB6" i="37" s="1"/>
  <c r="BB28" i="37" s="1"/>
  <c r="BK26" i="17"/>
  <c r="BK92" i="17" s="1"/>
  <c r="BQ22" i="25"/>
  <c r="BK57" i="17"/>
  <c r="BK77" i="17"/>
  <c r="BA7" i="37" s="1"/>
  <c r="BA29" i="37" s="1"/>
  <c r="BK56" i="17"/>
  <c r="BK82" i="17"/>
  <c r="BA12" i="37" s="1"/>
  <c r="BA34" i="37" s="1"/>
  <c r="BK83" i="17"/>
  <c r="BA13" i="37" s="1"/>
  <c r="BA35" i="37" s="1"/>
  <c r="BK84" i="17"/>
  <c r="BA14" i="37" s="1"/>
  <c r="BA36" i="37" s="1"/>
  <c r="BK81" i="17"/>
  <c r="BA11" i="37" s="1"/>
  <c r="BA33" i="37" s="1"/>
  <c r="BK58" i="17"/>
  <c r="BK52" i="17"/>
  <c r="BK35" i="17"/>
  <c r="BK148" i="37"/>
  <c r="BA52" i="37" l="1"/>
  <c r="BA39" i="37"/>
  <c r="BL150" i="37"/>
  <c r="BL153" i="37" s="1"/>
  <c r="BR22" i="25"/>
  <c r="BL26" i="17"/>
  <c r="BL92" i="17" s="1"/>
  <c r="BL84" i="17"/>
  <c r="BB14" i="37" s="1"/>
  <c r="BB36" i="37" s="1"/>
  <c r="BL56" i="17"/>
  <c r="BL82" i="17"/>
  <c r="BB12" i="37" s="1"/>
  <c r="BB34" i="37" s="1"/>
  <c r="BL83" i="17"/>
  <c r="BB13" i="37" s="1"/>
  <c r="BB35" i="37" s="1"/>
  <c r="BL81" i="17"/>
  <c r="BB11" i="37" s="1"/>
  <c r="BB33" i="37" s="1"/>
  <c r="BL52" i="17"/>
  <c r="BL58" i="17"/>
  <c r="BL77" i="17"/>
  <c r="BB7" i="37" s="1"/>
  <c r="BB29" i="37" s="1"/>
  <c r="BL57" i="17"/>
  <c r="BK153" i="37"/>
  <c r="BM31" i="17"/>
  <c r="BS21" i="25"/>
  <c r="BM108" i="37"/>
  <c r="BM125" i="37" s="1"/>
  <c r="BM143" i="37" s="1"/>
  <c r="BM51" i="17"/>
  <c r="BM110" i="37"/>
  <c r="BM127" i="37" s="1"/>
  <c r="BM145" i="37" s="1"/>
  <c r="BM109" i="37"/>
  <c r="BM126" i="37" s="1"/>
  <c r="BM111" i="37"/>
  <c r="BM128" i="37" s="1"/>
  <c r="BM112" i="37"/>
  <c r="BM129" i="37" s="1"/>
  <c r="BM147" i="37" s="1"/>
  <c r="BM113" i="37"/>
  <c r="BM130" i="37" s="1"/>
  <c r="BM114" i="37"/>
  <c r="BM131" i="37" s="1"/>
  <c r="BM107" i="37"/>
  <c r="BM124" i="37" s="1"/>
  <c r="BM142" i="37" s="1"/>
  <c r="BM55" i="17"/>
  <c r="BM42" i="17" s="1"/>
  <c r="BM54" i="17"/>
  <c r="BM39" i="17" s="1"/>
  <c r="BM115" i="37"/>
  <c r="BM132" i="37" s="1"/>
  <c r="BM150" i="37" s="1"/>
  <c r="BM62" i="17"/>
  <c r="BM79" i="17"/>
  <c r="BC9" i="37" s="1"/>
  <c r="BC31" i="37" s="1"/>
  <c r="BM33" i="17"/>
  <c r="BM76" i="17"/>
  <c r="BC6" i="37" s="1"/>
  <c r="BC28" i="37" s="1"/>
  <c r="BM63" i="17"/>
  <c r="BM80" i="17"/>
  <c r="BC10" i="37" s="1"/>
  <c r="BC32" i="37" s="1"/>
  <c r="BM53" i="17"/>
  <c r="BM36" i="17"/>
  <c r="BM78" i="17"/>
  <c r="BC8" i="37" s="1"/>
  <c r="BC30" i="37" s="1"/>
  <c r="BL35" i="17"/>
  <c r="BB39" i="37" l="1"/>
  <c r="BB52" i="37"/>
  <c r="BM144" i="37"/>
  <c r="BT21" i="25"/>
  <c r="BN31" i="17"/>
  <c r="BN108" i="37"/>
  <c r="BN125" i="37" s="1"/>
  <c r="BN143" i="37" s="1"/>
  <c r="BN110" i="37"/>
  <c r="BN127" i="37" s="1"/>
  <c r="BN145" i="37" s="1"/>
  <c r="BN109" i="37"/>
  <c r="BN126" i="37" s="1"/>
  <c r="BN144" i="37" s="1"/>
  <c r="BN111" i="37"/>
  <c r="BN128" i="37" s="1"/>
  <c r="BN146" i="37" s="1"/>
  <c r="BN112" i="37"/>
  <c r="BN129" i="37" s="1"/>
  <c r="BN113" i="37"/>
  <c r="BN130" i="37" s="1"/>
  <c r="BN148" i="37" s="1"/>
  <c r="BN114" i="37"/>
  <c r="BN131" i="37" s="1"/>
  <c r="BN149" i="37" s="1"/>
  <c r="BN107" i="37"/>
  <c r="BN124" i="37" s="1"/>
  <c r="BN142" i="37" s="1"/>
  <c r="BN115" i="37"/>
  <c r="BN132" i="37" s="1"/>
  <c r="BN150" i="37" s="1"/>
  <c r="BN62" i="17"/>
  <c r="BN51" i="17"/>
  <c r="BN55" i="17"/>
  <c r="BN42" i="17" s="1"/>
  <c r="BN54" i="17"/>
  <c r="BN39" i="17" s="1"/>
  <c r="BN53" i="17"/>
  <c r="BN80" i="17"/>
  <c r="BD10" i="37" s="1"/>
  <c r="BD32" i="37" s="1"/>
  <c r="BN63" i="17"/>
  <c r="BN78" i="17"/>
  <c r="BD8" i="37" s="1"/>
  <c r="BD30" i="37" s="1"/>
  <c r="BN76" i="17"/>
  <c r="BD6" i="37" s="1"/>
  <c r="BD28" i="37" s="1"/>
  <c r="BN33" i="17"/>
  <c r="BN79" i="17"/>
  <c r="BD9" i="37" s="1"/>
  <c r="BD31" i="37" s="1"/>
  <c r="BN36" i="17"/>
  <c r="BM35" i="17"/>
  <c r="BM26" i="17"/>
  <c r="BM92" i="17" s="1"/>
  <c r="BS22" i="25"/>
  <c r="BM83" i="17"/>
  <c r="BC13" i="37" s="1"/>
  <c r="BC35" i="37" s="1"/>
  <c r="BM82" i="17"/>
  <c r="BC12" i="37" s="1"/>
  <c r="BC34" i="37" s="1"/>
  <c r="BM57" i="17"/>
  <c r="BM58" i="17"/>
  <c r="BM84" i="17"/>
  <c r="BC14" i="37" s="1"/>
  <c r="BC36" i="37" s="1"/>
  <c r="BM52" i="17"/>
  <c r="BM56" i="17"/>
  <c r="BM77" i="17"/>
  <c r="BC7" i="37" s="1"/>
  <c r="BC29" i="37" s="1"/>
  <c r="BM81" i="17"/>
  <c r="BC11" i="37" s="1"/>
  <c r="BC33" i="37" s="1"/>
  <c r="BM148" i="37"/>
  <c r="BM149" i="37"/>
  <c r="BM146" i="37"/>
  <c r="BC52" i="37" l="1"/>
  <c r="BC39" i="37"/>
  <c r="BM153" i="37"/>
  <c r="BN147" i="37"/>
  <c r="BN153" i="37" s="1"/>
  <c r="BO31" i="17"/>
  <c r="BU21" i="25"/>
  <c r="BO108" i="37"/>
  <c r="BO125" i="37" s="1"/>
  <c r="BO110" i="37"/>
  <c r="BO127" i="37" s="1"/>
  <c r="BO145" i="37" s="1"/>
  <c r="BO109" i="37"/>
  <c r="BO126" i="37" s="1"/>
  <c r="BO144" i="37" s="1"/>
  <c r="BO111" i="37"/>
  <c r="BO128" i="37" s="1"/>
  <c r="BO146" i="37" s="1"/>
  <c r="BO112" i="37"/>
  <c r="BO129" i="37" s="1"/>
  <c r="BO147" i="37" s="1"/>
  <c r="BO113" i="37"/>
  <c r="BO130" i="37" s="1"/>
  <c r="BO148" i="37" s="1"/>
  <c r="BO107" i="37"/>
  <c r="BO124" i="37" s="1"/>
  <c r="BO54" i="17"/>
  <c r="BO39" i="17" s="1"/>
  <c r="BO115" i="37"/>
  <c r="BO132" i="37" s="1"/>
  <c r="BO114" i="37"/>
  <c r="BO131" i="37" s="1"/>
  <c r="BO55" i="17"/>
  <c r="BO42" i="17" s="1"/>
  <c r="BO62" i="17"/>
  <c r="BO51" i="17"/>
  <c r="BO79" i="17"/>
  <c r="BE9" i="37" s="1"/>
  <c r="BE31" i="37" s="1"/>
  <c r="BO76" i="17"/>
  <c r="BE6" i="37" s="1"/>
  <c r="BE28" i="37" s="1"/>
  <c r="BO78" i="17"/>
  <c r="BE8" i="37" s="1"/>
  <c r="BE30" i="37" s="1"/>
  <c r="BO53" i="17"/>
  <c r="BO80" i="17"/>
  <c r="BE10" i="37" s="1"/>
  <c r="BE32" i="37" s="1"/>
  <c r="BO63" i="17"/>
  <c r="BO33" i="17"/>
  <c r="BO36" i="17"/>
  <c r="BN35" i="17"/>
  <c r="BN26" i="17"/>
  <c r="BN92" i="17" s="1"/>
  <c r="BT22" i="25"/>
  <c r="BN56" i="17"/>
  <c r="BN84" i="17"/>
  <c r="BD14" i="37" s="1"/>
  <c r="BD36" i="37" s="1"/>
  <c r="BN52" i="17"/>
  <c r="BN58" i="17"/>
  <c r="BN83" i="17"/>
  <c r="BD13" i="37" s="1"/>
  <c r="BD35" i="37" s="1"/>
  <c r="BN82" i="17"/>
  <c r="BD12" i="37" s="1"/>
  <c r="BD34" i="37" s="1"/>
  <c r="BN81" i="17"/>
  <c r="BD11" i="37" s="1"/>
  <c r="BD33" i="37" s="1"/>
  <c r="BN77" i="17"/>
  <c r="BD7" i="37" s="1"/>
  <c r="BD29" i="37" s="1"/>
  <c r="BN57" i="17"/>
  <c r="BD39" i="37" l="1"/>
  <c r="BD52" i="37"/>
  <c r="BO143" i="37"/>
  <c r="BV21" i="25"/>
  <c r="BP31" i="17"/>
  <c r="BP107" i="37"/>
  <c r="BP124" i="37" s="1"/>
  <c r="BP142" i="37" s="1"/>
  <c r="BP115" i="37"/>
  <c r="BP132" i="37" s="1"/>
  <c r="BP150" i="37" s="1"/>
  <c r="BP108" i="37"/>
  <c r="BP125" i="37" s="1"/>
  <c r="BP143" i="37" s="1"/>
  <c r="BP110" i="37"/>
  <c r="BP127" i="37" s="1"/>
  <c r="BP145" i="37" s="1"/>
  <c r="BP109" i="37"/>
  <c r="BP126" i="37" s="1"/>
  <c r="BP144" i="37" s="1"/>
  <c r="BP111" i="37"/>
  <c r="BP128" i="37" s="1"/>
  <c r="BP146" i="37" s="1"/>
  <c r="BP113" i="37"/>
  <c r="BP130" i="37" s="1"/>
  <c r="BP148" i="37" s="1"/>
  <c r="BP54" i="17"/>
  <c r="BP39" i="17" s="1"/>
  <c r="BP114" i="37"/>
  <c r="BP131" i="37" s="1"/>
  <c r="BP149" i="37" s="1"/>
  <c r="BP112" i="37"/>
  <c r="BP129" i="37" s="1"/>
  <c r="BP147" i="37" s="1"/>
  <c r="BP55" i="17"/>
  <c r="BP42" i="17" s="1"/>
  <c r="BP62" i="17"/>
  <c r="BP51" i="17"/>
  <c r="BP79" i="17"/>
  <c r="BF9" i="37" s="1"/>
  <c r="BF31" i="37" s="1"/>
  <c r="BP36" i="17"/>
  <c r="BP80" i="17"/>
  <c r="BF10" i="37" s="1"/>
  <c r="BF32" i="37" s="1"/>
  <c r="BP78" i="17"/>
  <c r="BF8" i="37" s="1"/>
  <c r="BF30" i="37" s="1"/>
  <c r="BP33" i="17"/>
  <c r="BP53" i="17"/>
  <c r="BP76" i="17"/>
  <c r="BF6" i="37" s="1"/>
  <c r="BF28" i="37" s="1"/>
  <c r="BP63" i="17"/>
  <c r="BO26" i="17"/>
  <c r="BO92" i="17" s="1"/>
  <c r="BU22" i="25"/>
  <c r="BO52" i="17"/>
  <c r="BO83" i="17"/>
  <c r="BE13" i="37" s="1"/>
  <c r="BE35" i="37" s="1"/>
  <c r="BO81" i="17"/>
  <c r="BE11" i="37" s="1"/>
  <c r="BE33" i="37" s="1"/>
  <c r="BO84" i="17"/>
  <c r="BE14" i="37" s="1"/>
  <c r="BE36" i="37" s="1"/>
  <c r="BO82" i="17"/>
  <c r="BE12" i="37" s="1"/>
  <c r="BE34" i="37" s="1"/>
  <c r="BO58" i="17"/>
  <c r="BO57" i="17"/>
  <c r="BO56" i="17"/>
  <c r="BO77" i="17"/>
  <c r="BE7" i="37" s="1"/>
  <c r="BE29" i="37" s="1"/>
  <c r="BO35" i="17"/>
  <c r="BO149" i="37"/>
  <c r="BO150" i="37"/>
  <c r="BO142" i="37"/>
  <c r="BE39" i="37" l="1"/>
  <c r="BE52" i="37"/>
  <c r="BO153" i="37"/>
  <c r="BP153" i="37"/>
  <c r="BP35" i="17"/>
  <c r="BW21" i="25"/>
  <c r="BQ31" i="17"/>
  <c r="BQ113" i="37"/>
  <c r="BQ130" i="37" s="1"/>
  <c r="BQ114" i="37"/>
  <c r="BQ131" i="37" s="1"/>
  <c r="BQ149" i="37" s="1"/>
  <c r="BQ107" i="37"/>
  <c r="BQ124" i="37" s="1"/>
  <c r="BQ115" i="37"/>
  <c r="BQ132" i="37" s="1"/>
  <c r="BQ150" i="37" s="1"/>
  <c r="BQ108" i="37"/>
  <c r="BQ125" i="37" s="1"/>
  <c r="BQ143" i="37" s="1"/>
  <c r="BQ110" i="37"/>
  <c r="BQ127" i="37" s="1"/>
  <c r="BQ145" i="37" s="1"/>
  <c r="BQ109" i="37"/>
  <c r="BQ126" i="37" s="1"/>
  <c r="BQ144" i="37" s="1"/>
  <c r="BQ111" i="37"/>
  <c r="BQ128" i="37" s="1"/>
  <c r="BQ112" i="37"/>
  <c r="BQ129" i="37" s="1"/>
  <c r="BQ54" i="17"/>
  <c r="BQ39" i="17" s="1"/>
  <c r="BQ55" i="17"/>
  <c r="BQ42" i="17" s="1"/>
  <c r="BQ51" i="17"/>
  <c r="BQ62" i="17"/>
  <c r="BQ36" i="17"/>
  <c r="BQ79" i="17"/>
  <c r="BG9" i="37" s="1"/>
  <c r="BG31" i="37" s="1"/>
  <c r="BQ78" i="17"/>
  <c r="BG8" i="37" s="1"/>
  <c r="BG30" i="37" s="1"/>
  <c r="BQ76" i="17"/>
  <c r="BG6" i="37" s="1"/>
  <c r="BG28" i="37" s="1"/>
  <c r="BQ80" i="17"/>
  <c r="BG10" i="37" s="1"/>
  <c r="BG32" i="37" s="1"/>
  <c r="BQ33" i="17"/>
  <c r="BQ53" i="17"/>
  <c r="BQ63" i="17"/>
  <c r="BP26" i="17"/>
  <c r="BP92" i="17" s="1"/>
  <c r="BV22" i="25"/>
  <c r="BP83" i="17"/>
  <c r="BF13" i="37" s="1"/>
  <c r="BF35" i="37" s="1"/>
  <c r="BP56" i="17"/>
  <c r="BP52" i="17"/>
  <c r="BP57" i="17"/>
  <c r="BP81" i="17"/>
  <c r="BF11" i="37" s="1"/>
  <c r="BF33" i="37" s="1"/>
  <c r="BP84" i="17"/>
  <c r="BF14" i="37" s="1"/>
  <c r="BF36" i="37" s="1"/>
  <c r="BP58" i="17"/>
  <c r="BP82" i="17"/>
  <c r="BF12" i="37" s="1"/>
  <c r="BF34" i="37" s="1"/>
  <c r="BP77" i="17"/>
  <c r="BF7" i="37" s="1"/>
  <c r="BF29" i="37" s="1"/>
  <c r="BF39" i="37" l="1"/>
  <c r="BF52" i="37"/>
  <c r="BQ148" i="37"/>
  <c r="BQ35" i="17"/>
  <c r="BR31" i="17"/>
  <c r="BX21" i="25"/>
  <c r="BR109" i="37"/>
  <c r="BR126" i="37" s="1"/>
  <c r="BR144" i="37" s="1"/>
  <c r="BR111" i="37"/>
  <c r="BR128" i="37" s="1"/>
  <c r="BR146" i="37" s="1"/>
  <c r="BR112" i="37"/>
  <c r="BR129" i="37" s="1"/>
  <c r="BR147" i="37" s="1"/>
  <c r="BR113" i="37"/>
  <c r="BR130" i="37" s="1"/>
  <c r="BR148" i="37" s="1"/>
  <c r="BR107" i="37"/>
  <c r="BR124" i="37" s="1"/>
  <c r="BR142" i="37" s="1"/>
  <c r="BR114" i="37"/>
  <c r="BR131" i="37" s="1"/>
  <c r="BR108" i="37"/>
  <c r="BR125" i="37" s="1"/>
  <c r="BR110" i="37"/>
  <c r="BR127" i="37" s="1"/>
  <c r="BR55" i="17"/>
  <c r="BR42" i="17" s="1"/>
  <c r="BR115" i="37"/>
  <c r="BR132" i="37" s="1"/>
  <c r="BR150" i="37" s="1"/>
  <c r="BR54" i="17"/>
  <c r="BR39" i="17" s="1"/>
  <c r="BR51" i="17"/>
  <c r="BR62" i="17"/>
  <c r="BR33" i="17"/>
  <c r="BR76" i="17"/>
  <c r="BH6" i="37" s="1"/>
  <c r="BH28" i="37" s="1"/>
  <c r="BR36" i="17"/>
  <c r="BR80" i="17"/>
  <c r="BH10" i="37" s="1"/>
  <c r="BH32" i="37" s="1"/>
  <c r="BR53" i="17"/>
  <c r="BR79" i="17"/>
  <c r="BH9" i="37" s="1"/>
  <c r="BH31" i="37" s="1"/>
  <c r="BR78" i="17"/>
  <c r="BH8" i="37" s="1"/>
  <c r="BH30" i="37" s="1"/>
  <c r="BR63" i="17"/>
  <c r="BW22" i="25"/>
  <c r="BQ26" i="17"/>
  <c r="BQ92" i="17" s="1"/>
  <c r="BQ77" i="17"/>
  <c r="BG7" i="37" s="1"/>
  <c r="BG29" i="37" s="1"/>
  <c r="BQ57" i="17"/>
  <c r="BQ84" i="17"/>
  <c r="BG14" i="37" s="1"/>
  <c r="BG36" i="37" s="1"/>
  <c r="BQ82" i="17"/>
  <c r="BG12" i="37" s="1"/>
  <c r="BG34" i="37" s="1"/>
  <c r="BQ83" i="17"/>
  <c r="BG13" i="37" s="1"/>
  <c r="BG35" i="37" s="1"/>
  <c r="BQ52" i="17"/>
  <c r="BQ58" i="17"/>
  <c r="BQ81" i="17"/>
  <c r="BG11" i="37" s="1"/>
  <c r="BG33" i="37" s="1"/>
  <c r="BQ56" i="17"/>
  <c r="BQ147" i="37"/>
  <c r="BQ146" i="37"/>
  <c r="BQ142" i="37"/>
  <c r="BG52" i="37" l="1"/>
  <c r="BG39" i="37"/>
  <c r="BQ153" i="37"/>
  <c r="BY21" i="25"/>
  <c r="BS31" i="17"/>
  <c r="BS110" i="37"/>
  <c r="BS127" i="37" s="1"/>
  <c r="BS145" i="37" s="1"/>
  <c r="BS109" i="37"/>
  <c r="BS126" i="37" s="1"/>
  <c r="BS144" i="37" s="1"/>
  <c r="BS111" i="37"/>
  <c r="BS128" i="37" s="1"/>
  <c r="BS146" i="37" s="1"/>
  <c r="BS112" i="37"/>
  <c r="BS129" i="37" s="1"/>
  <c r="BS107" i="37"/>
  <c r="BS124" i="37" s="1"/>
  <c r="BS114" i="37"/>
  <c r="BS131" i="37" s="1"/>
  <c r="BS149" i="37" s="1"/>
  <c r="BS108" i="37"/>
  <c r="BS125" i="37" s="1"/>
  <c r="BS143" i="37" s="1"/>
  <c r="BS113" i="37"/>
  <c r="BS130" i="37" s="1"/>
  <c r="BS55" i="17"/>
  <c r="BS42" i="17" s="1"/>
  <c r="BS115" i="37"/>
  <c r="BS132" i="37" s="1"/>
  <c r="BS51" i="17"/>
  <c r="BS62" i="17"/>
  <c r="BS54" i="17"/>
  <c r="BS39" i="17" s="1"/>
  <c r="BS78" i="17"/>
  <c r="BI8" i="37" s="1"/>
  <c r="BI30" i="37" s="1"/>
  <c r="BS36" i="17"/>
  <c r="BS63" i="17"/>
  <c r="BS53" i="17"/>
  <c r="BS33" i="17"/>
  <c r="BS76" i="17"/>
  <c r="BI6" i="37" s="1"/>
  <c r="BI28" i="37" s="1"/>
  <c r="BS79" i="17"/>
  <c r="BI9" i="37" s="1"/>
  <c r="BI31" i="37" s="1"/>
  <c r="BS80" i="17"/>
  <c r="BI10" i="37" s="1"/>
  <c r="BI32" i="37" s="1"/>
  <c r="BR35" i="17"/>
  <c r="BR145" i="37"/>
  <c r="BX22" i="25"/>
  <c r="BR26" i="17"/>
  <c r="BR92" i="17" s="1"/>
  <c r="BR81" i="17"/>
  <c r="BH11" i="37" s="1"/>
  <c r="BH33" i="37" s="1"/>
  <c r="BR57" i="17"/>
  <c r="BR58" i="17"/>
  <c r="BR77" i="17"/>
  <c r="BH7" i="37" s="1"/>
  <c r="BH29" i="37" s="1"/>
  <c r="BR83" i="17"/>
  <c r="BH13" i="37" s="1"/>
  <c r="BH35" i="37" s="1"/>
  <c r="BR56" i="17"/>
  <c r="BR82" i="17"/>
  <c r="BH12" i="37" s="1"/>
  <c r="BH34" i="37" s="1"/>
  <c r="BR52" i="17"/>
  <c r="BR84" i="17"/>
  <c r="BH14" i="37" s="1"/>
  <c r="BH36" i="37" s="1"/>
  <c r="BR143" i="37"/>
  <c r="BR149" i="37"/>
  <c r="BH52" i="37" l="1"/>
  <c r="BH39" i="37"/>
  <c r="BR153" i="37"/>
  <c r="BS148" i="37"/>
  <c r="BS142" i="37"/>
  <c r="BS147" i="37"/>
  <c r="BY22" i="25"/>
  <c r="BS26" i="17"/>
  <c r="BS92" i="17" s="1"/>
  <c r="BS56" i="17"/>
  <c r="BS58" i="17"/>
  <c r="BS84" i="17"/>
  <c r="BI14" i="37" s="1"/>
  <c r="BI36" i="37" s="1"/>
  <c r="BS81" i="17"/>
  <c r="BI11" i="37" s="1"/>
  <c r="BI33" i="37" s="1"/>
  <c r="BS52" i="17"/>
  <c r="BS82" i="17"/>
  <c r="BI12" i="37" s="1"/>
  <c r="BI34" i="37" s="1"/>
  <c r="BS77" i="17"/>
  <c r="BI7" i="37" s="1"/>
  <c r="BI29" i="37" s="1"/>
  <c r="BS83" i="17"/>
  <c r="BI13" i="37" s="1"/>
  <c r="BI35" i="37" s="1"/>
  <c r="BS57" i="17"/>
  <c r="BS35" i="17"/>
  <c r="BZ21" i="25"/>
  <c r="BT31" i="17"/>
  <c r="BT107" i="37"/>
  <c r="BT124" i="37" s="1"/>
  <c r="BT142" i="37" s="1"/>
  <c r="BT110" i="37"/>
  <c r="BT127" i="37" s="1"/>
  <c r="BT145" i="37" s="1"/>
  <c r="BT109" i="37"/>
  <c r="BT126" i="37" s="1"/>
  <c r="BT111" i="37"/>
  <c r="BT128" i="37" s="1"/>
  <c r="BT112" i="37"/>
  <c r="BT129" i="37" s="1"/>
  <c r="BT147" i="37" s="1"/>
  <c r="BT113" i="37"/>
  <c r="BT130" i="37" s="1"/>
  <c r="BT148" i="37" s="1"/>
  <c r="BT54" i="17"/>
  <c r="BT39" i="17" s="1"/>
  <c r="BT55" i="17"/>
  <c r="BT42" i="17" s="1"/>
  <c r="BT114" i="37"/>
  <c r="BT131" i="37" s="1"/>
  <c r="BT149" i="37" s="1"/>
  <c r="BT115" i="37"/>
  <c r="BT132" i="37" s="1"/>
  <c r="BT150" i="37" s="1"/>
  <c r="BT108" i="37"/>
  <c r="BT125" i="37" s="1"/>
  <c r="BT143" i="37" s="1"/>
  <c r="BT51" i="17"/>
  <c r="BT62" i="17"/>
  <c r="BT63" i="17"/>
  <c r="BT36" i="17"/>
  <c r="BT79" i="17"/>
  <c r="BJ9" i="37" s="1"/>
  <c r="BJ31" i="37" s="1"/>
  <c r="BT33" i="17"/>
  <c r="BT80" i="17"/>
  <c r="BJ10" i="37" s="1"/>
  <c r="BJ32" i="37" s="1"/>
  <c r="BT78" i="17"/>
  <c r="BJ8" i="37" s="1"/>
  <c r="BJ30" i="37" s="1"/>
  <c r="BT53" i="17"/>
  <c r="BT76" i="17"/>
  <c r="BJ6" i="37" s="1"/>
  <c r="BJ28" i="37" s="1"/>
  <c r="BS150" i="37"/>
  <c r="BI52" i="37" l="1"/>
  <c r="BI39" i="37"/>
  <c r="CA21" i="25"/>
  <c r="BU31" i="17"/>
  <c r="BU51" i="17"/>
  <c r="BU110" i="37"/>
  <c r="BU127" i="37" s="1"/>
  <c r="BU109" i="37"/>
  <c r="BU126" i="37" s="1"/>
  <c r="BU144" i="37" s="1"/>
  <c r="BU111" i="37"/>
  <c r="BU128" i="37" s="1"/>
  <c r="BU146" i="37" s="1"/>
  <c r="BU107" i="37"/>
  <c r="BU124" i="37" s="1"/>
  <c r="BU112" i="37"/>
  <c r="BU129" i="37" s="1"/>
  <c r="BU147" i="37" s="1"/>
  <c r="BU113" i="37"/>
  <c r="BU130" i="37" s="1"/>
  <c r="BU148" i="37" s="1"/>
  <c r="BU114" i="37"/>
  <c r="BU131" i="37" s="1"/>
  <c r="BU149" i="37" s="1"/>
  <c r="BU108" i="37"/>
  <c r="BU125" i="37" s="1"/>
  <c r="BU143" i="37" s="1"/>
  <c r="BU54" i="17"/>
  <c r="BU39" i="17" s="1"/>
  <c r="BU55" i="17"/>
  <c r="BU42" i="17" s="1"/>
  <c r="BU115" i="37"/>
  <c r="BU132" i="37" s="1"/>
  <c r="BU150" i="37" s="1"/>
  <c r="BU62" i="17"/>
  <c r="BU53" i="17"/>
  <c r="BU78" i="17"/>
  <c r="BK8" i="37" s="1"/>
  <c r="BK30" i="37" s="1"/>
  <c r="BU79" i="17"/>
  <c r="BK9" i="37" s="1"/>
  <c r="BK31" i="37" s="1"/>
  <c r="BU36" i="17"/>
  <c r="BU33" i="17"/>
  <c r="BU63" i="17"/>
  <c r="BU76" i="17"/>
  <c r="BK6" i="37" s="1"/>
  <c r="BK28" i="37" s="1"/>
  <c r="BU80" i="17"/>
  <c r="BK10" i="37" s="1"/>
  <c r="BK32" i="37" s="1"/>
  <c r="BZ22" i="25"/>
  <c r="BT26" i="17"/>
  <c r="BT92" i="17" s="1"/>
  <c r="BT77" i="17"/>
  <c r="BJ7" i="37" s="1"/>
  <c r="BJ29" i="37" s="1"/>
  <c r="BT52" i="17"/>
  <c r="BT84" i="17"/>
  <c r="BJ14" i="37" s="1"/>
  <c r="BJ36" i="37" s="1"/>
  <c r="BT83" i="17"/>
  <c r="BJ13" i="37" s="1"/>
  <c r="BJ35" i="37" s="1"/>
  <c r="BT81" i="17"/>
  <c r="BJ11" i="37" s="1"/>
  <c r="BJ33" i="37" s="1"/>
  <c r="BT58" i="17"/>
  <c r="BT57" i="17"/>
  <c r="BT56" i="17"/>
  <c r="BT82" i="17"/>
  <c r="BJ12" i="37" s="1"/>
  <c r="BJ34" i="37" s="1"/>
  <c r="BS153" i="37"/>
  <c r="BT35" i="17"/>
  <c r="BT146" i="37"/>
  <c r="BT144" i="37"/>
  <c r="BT153" i="37" l="1"/>
  <c r="BJ52" i="37"/>
  <c r="BJ39" i="37"/>
  <c r="CA22" i="25"/>
  <c r="BU26" i="17"/>
  <c r="BU92" i="17" s="1"/>
  <c r="BU84" i="17"/>
  <c r="BK14" i="37" s="1"/>
  <c r="BK36" i="37" s="1"/>
  <c r="BU82" i="17"/>
  <c r="BK12" i="37" s="1"/>
  <c r="BK34" i="37" s="1"/>
  <c r="BU81" i="17"/>
  <c r="BK11" i="37" s="1"/>
  <c r="BK33" i="37" s="1"/>
  <c r="BU52" i="17"/>
  <c r="BU83" i="17"/>
  <c r="BK13" i="37" s="1"/>
  <c r="BK35" i="37" s="1"/>
  <c r="BU58" i="17"/>
  <c r="BU56" i="17"/>
  <c r="BU77" i="17"/>
  <c r="BK7" i="37" s="1"/>
  <c r="BK29" i="37" s="1"/>
  <c r="BU57" i="17"/>
  <c r="BU145" i="37"/>
  <c r="BU35" i="17"/>
  <c r="BU142" i="37"/>
  <c r="CB21" i="25"/>
  <c r="BV31" i="17"/>
  <c r="BV108" i="37"/>
  <c r="BV125" i="37" s="1"/>
  <c r="BV110" i="37"/>
  <c r="BV127" i="37" s="1"/>
  <c r="BV145" i="37" s="1"/>
  <c r="BV109" i="37"/>
  <c r="BV126" i="37" s="1"/>
  <c r="BV111" i="37"/>
  <c r="BV128" i="37" s="1"/>
  <c r="BV107" i="37"/>
  <c r="BV124" i="37" s="1"/>
  <c r="BV142" i="37" s="1"/>
  <c r="BV112" i="37"/>
  <c r="BV129" i="37" s="1"/>
  <c r="BV113" i="37"/>
  <c r="BV130" i="37" s="1"/>
  <c r="BV148" i="37" s="1"/>
  <c r="BV114" i="37"/>
  <c r="BV131" i="37" s="1"/>
  <c r="BV149" i="37" s="1"/>
  <c r="BV51" i="17"/>
  <c r="BV55" i="17"/>
  <c r="BV42" i="17" s="1"/>
  <c r="BV54" i="17"/>
  <c r="BV39" i="17" s="1"/>
  <c r="BV115" i="37"/>
  <c r="BV132" i="37" s="1"/>
  <c r="BV62" i="17"/>
  <c r="BV33" i="17"/>
  <c r="BV63" i="17"/>
  <c r="BV78" i="17"/>
  <c r="BL8" i="37" s="1"/>
  <c r="BL30" i="37" s="1"/>
  <c r="BV79" i="17"/>
  <c r="BL9" i="37" s="1"/>
  <c r="BL31" i="37" s="1"/>
  <c r="BV36" i="17"/>
  <c r="BV53" i="17"/>
  <c r="BV80" i="17"/>
  <c r="BL10" i="37" s="1"/>
  <c r="BL32" i="37" s="1"/>
  <c r="BV76" i="17"/>
  <c r="BL6" i="37" s="1"/>
  <c r="BL28" i="37" s="1"/>
  <c r="BK39" i="37" l="1"/>
  <c r="BK52" i="37"/>
  <c r="BU153" i="37"/>
  <c r="BV143" i="37"/>
  <c r="BV150" i="37"/>
  <c r="BW31" i="17"/>
  <c r="CC21" i="25"/>
  <c r="BW108" i="37"/>
  <c r="BW125" i="37" s="1"/>
  <c r="BW143" i="37" s="1"/>
  <c r="BW110" i="37"/>
  <c r="BW127" i="37" s="1"/>
  <c r="BW145" i="37" s="1"/>
  <c r="BW109" i="37"/>
  <c r="BW126" i="37" s="1"/>
  <c r="BW144" i="37" s="1"/>
  <c r="BW111" i="37"/>
  <c r="BW128" i="37" s="1"/>
  <c r="BW146" i="37" s="1"/>
  <c r="BW107" i="37"/>
  <c r="BW124" i="37" s="1"/>
  <c r="BW142" i="37" s="1"/>
  <c r="BW112" i="37"/>
  <c r="BW129" i="37" s="1"/>
  <c r="BW147" i="37" s="1"/>
  <c r="BW113" i="37"/>
  <c r="BW130" i="37" s="1"/>
  <c r="BW148" i="37" s="1"/>
  <c r="BW55" i="17"/>
  <c r="BW42" i="17" s="1"/>
  <c r="BW114" i="37"/>
  <c r="BW131" i="37" s="1"/>
  <c r="BW149" i="37" s="1"/>
  <c r="BW54" i="17"/>
  <c r="BW39" i="17" s="1"/>
  <c r="BW115" i="37"/>
  <c r="BW132" i="37" s="1"/>
  <c r="BW150" i="37" s="1"/>
  <c r="BW51" i="17"/>
  <c r="BW62" i="17"/>
  <c r="BW33" i="17"/>
  <c r="BW76" i="17"/>
  <c r="BM6" i="37" s="1"/>
  <c r="BM28" i="37" s="1"/>
  <c r="BW53" i="17"/>
  <c r="BW80" i="17"/>
  <c r="BM10" i="37" s="1"/>
  <c r="BM32" i="37" s="1"/>
  <c r="BW63" i="17"/>
  <c r="BW79" i="17"/>
  <c r="BM9" i="37" s="1"/>
  <c r="BM31" i="37" s="1"/>
  <c r="BW36" i="17"/>
  <c r="BW78" i="17"/>
  <c r="BM8" i="37" s="1"/>
  <c r="BM30" i="37" s="1"/>
  <c r="BV35" i="17"/>
  <c r="BV147" i="37"/>
  <c r="BV146" i="37"/>
  <c r="BV26" i="17"/>
  <c r="BV92" i="17" s="1"/>
  <c r="CB22" i="25"/>
  <c r="BV83" i="17"/>
  <c r="BL13" i="37" s="1"/>
  <c r="BL35" i="37" s="1"/>
  <c r="BV52" i="17"/>
  <c r="BV58" i="17"/>
  <c r="BV84" i="17"/>
  <c r="BL14" i="37" s="1"/>
  <c r="BL36" i="37" s="1"/>
  <c r="BV77" i="17"/>
  <c r="BL7" i="37" s="1"/>
  <c r="BL29" i="37" s="1"/>
  <c r="BV82" i="17"/>
  <c r="BL12" i="37" s="1"/>
  <c r="BL34" i="37" s="1"/>
  <c r="BV56" i="17"/>
  <c r="BV81" i="17"/>
  <c r="BL11" i="37" s="1"/>
  <c r="BL33" i="37" s="1"/>
  <c r="BV57" i="17"/>
  <c r="BV144" i="37"/>
  <c r="BL39" i="37" l="1"/>
  <c r="BL52" i="37"/>
  <c r="BV153" i="37"/>
  <c r="CC22" i="25"/>
  <c r="BW26" i="17"/>
  <c r="BW92" i="17" s="1"/>
  <c r="BW57" i="17"/>
  <c r="BW84" i="17"/>
  <c r="BM14" i="37" s="1"/>
  <c r="BM36" i="37" s="1"/>
  <c r="BW82" i="17"/>
  <c r="BM12" i="37" s="1"/>
  <c r="BM34" i="37" s="1"/>
  <c r="BW83" i="17"/>
  <c r="BM13" i="37" s="1"/>
  <c r="BM35" i="37" s="1"/>
  <c r="BW81" i="17"/>
  <c r="BM11" i="37" s="1"/>
  <c r="BM33" i="37" s="1"/>
  <c r="BW52" i="17"/>
  <c r="BW56" i="17"/>
  <c r="BW58" i="17"/>
  <c r="BW77" i="17"/>
  <c r="BM7" i="37" s="1"/>
  <c r="BM29" i="37" s="1"/>
  <c r="CD21" i="25"/>
  <c r="BX31" i="17"/>
  <c r="BX107" i="37"/>
  <c r="BX124" i="37" s="1"/>
  <c r="BX115" i="37"/>
  <c r="BX132" i="37" s="1"/>
  <c r="BX150" i="37" s="1"/>
  <c r="BX108" i="37"/>
  <c r="BX125" i="37" s="1"/>
  <c r="BX143" i="37" s="1"/>
  <c r="BX110" i="37"/>
  <c r="BX127" i="37" s="1"/>
  <c r="BX109" i="37"/>
  <c r="BX126" i="37" s="1"/>
  <c r="BX111" i="37"/>
  <c r="BX128" i="37" s="1"/>
  <c r="BX54" i="17"/>
  <c r="BX39" i="17" s="1"/>
  <c r="BX113" i="37"/>
  <c r="BX130" i="37" s="1"/>
  <c r="BX55" i="17"/>
  <c r="BX42" i="17" s="1"/>
  <c r="BX112" i="37"/>
  <c r="BX129" i="37" s="1"/>
  <c r="BX114" i="37"/>
  <c r="BX131" i="37" s="1"/>
  <c r="BX149" i="37" s="1"/>
  <c r="BX62" i="17"/>
  <c r="BX51" i="17"/>
  <c r="BX33" i="17"/>
  <c r="BX53" i="17"/>
  <c r="BX80" i="17"/>
  <c r="BN10" i="37" s="1"/>
  <c r="BN32" i="37" s="1"/>
  <c r="BX79" i="17"/>
  <c r="BN9" i="37" s="1"/>
  <c r="BN31" i="37" s="1"/>
  <c r="BX78" i="17"/>
  <c r="BN8" i="37" s="1"/>
  <c r="BN30" i="37" s="1"/>
  <c r="BX36" i="17"/>
  <c r="BX76" i="17"/>
  <c r="BN6" i="37" s="1"/>
  <c r="BN28" i="37" s="1"/>
  <c r="BX63" i="17"/>
  <c r="BW35" i="17"/>
  <c r="BW153" i="37"/>
  <c r="BM39" i="37" l="1"/>
  <c r="BM52" i="37"/>
  <c r="BX146" i="37"/>
  <c r="BX144" i="37"/>
  <c r="BX145" i="37"/>
  <c r="BX35" i="17"/>
  <c r="BX148" i="37"/>
  <c r="CD22" i="25"/>
  <c r="BX26" i="17"/>
  <c r="BX92" i="17" s="1"/>
  <c r="BX57" i="17"/>
  <c r="BX58" i="17"/>
  <c r="BX82" i="17"/>
  <c r="BN12" i="37" s="1"/>
  <c r="BN34" i="37" s="1"/>
  <c r="BX81" i="17"/>
  <c r="BN11" i="37" s="1"/>
  <c r="BN33" i="37" s="1"/>
  <c r="BX56" i="17"/>
  <c r="BX84" i="17"/>
  <c r="BN14" i="37" s="1"/>
  <c r="BN36" i="37" s="1"/>
  <c r="BX77" i="17"/>
  <c r="BN7" i="37" s="1"/>
  <c r="BN29" i="37" s="1"/>
  <c r="BX52" i="17"/>
  <c r="BX83" i="17"/>
  <c r="BN13" i="37" s="1"/>
  <c r="BN35" i="37" s="1"/>
  <c r="BX142" i="37"/>
  <c r="BY31" i="17"/>
  <c r="CE21" i="25"/>
  <c r="BY113" i="37"/>
  <c r="BY130" i="37" s="1"/>
  <c r="BY148" i="37" s="1"/>
  <c r="BY114" i="37"/>
  <c r="BY131" i="37" s="1"/>
  <c r="BY115" i="37"/>
  <c r="BY132" i="37" s="1"/>
  <c r="BY108" i="37"/>
  <c r="BY125" i="37" s="1"/>
  <c r="BY143" i="37" s="1"/>
  <c r="BY110" i="37"/>
  <c r="BY127" i="37" s="1"/>
  <c r="BY145" i="37" s="1"/>
  <c r="BY107" i="37"/>
  <c r="BY124" i="37" s="1"/>
  <c r="BY142" i="37" s="1"/>
  <c r="BY112" i="37"/>
  <c r="BY129" i="37" s="1"/>
  <c r="BY147" i="37" s="1"/>
  <c r="BY54" i="17"/>
  <c r="BY39" i="17" s="1"/>
  <c r="BY111" i="37"/>
  <c r="BY128" i="37" s="1"/>
  <c r="BY146" i="37" s="1"/>
  <c r="BY109" i="37"/>
  <c r="BY126" i="37" s="1"/>
  <c r="BY144" i="37" s="1"/>
  <c r="BY55" i="17"/>
  <c r="BY42" i="17" s="1"/>
  <c r="BY51" i="17"/>
  <c r="BY62" i="17"/>
  <c r="BY53" i="17"/>
  <c r="BY33" i="17"/>
  <c r="BY63" i="17"/>
  <c r="BY80" i="17"/>
  <c r="BO10" i="37" s="1"/>
  <c r="BO32" i="37" s="1"/>
  <c r="BY36" i="17"/>
  <c r="BY78" i="17"/>
  <c r="BO8" i="37" s="1"/>
  <c r="BO30" i="37" s="1"/>
  <c r="BY76" i="17"/>
  <c r="BO6" i="37" s="1"/>
  <c r="BO28" i="37" s="1"/>
  <c r="BY79" i="17"/>
  <c r="BO9" i="37" s="1"/>
  <c r="BO31" i="37" s="1"/>
  <c r="BX147" i="37"/>
  <c r="BN52" i="37" l="1"/>
  <c r="BN39" i="37"/>
  <c r="BY26" i="17"/>
  <c r="BY92" i="17" s="1"/>
  <c r="CE22" i="25"/>
  <c r="BY58" i="17"/>
  <c r="BY57" i="17"/>
  <c r="BY81" i="17"/>
  <c r="BO11" i="37" s="1"/>
  <c r="BO33" i="37" s="1"/>
  <c r="BY82" i="17"/>
  <c r="BO12" i="37" s="1"/>
  <c r="BO34" i="37" s="1"/>
  <c r="BY83" i="17"/>
  <c r="BO13" i="37" s="1"/>
  <c r="BO35" i="37" s="1"/>
  <c r="BY77" i="17"/>
  <c r="BO7" i="37" s="1"/>
  <c r="BO29" i="37" s="1"/>
  <c r="BY84" i="17"/>
  <c r="BO14" i="37" s="1"/>
  <c r="BO36" i="37" s="1"/>
  <c r="BY56" i="17"/>
  <c r="BY52" i="17"/>
  <c r="BX153" i="37"/>
  <c r="BY35" i="17"/>
  <c r="BY150" i="37"/>
  <c r="BY149" i="37"/>
  <c r="BZ31" i="17"/>
  <c r="CF21" i="25"/>
  <c r="BZ109" i="37"/>
  <c r="BZ126" i="37" s="1"/>
  <c r="BZ144" i="37" s="1"/>
  <c r="BZ111" i="37"/>
  <c r="BZ128" i="37" s="1"/>
  <c r="BZ146" i="37" s="1"/>
  <c r="BZ112" i="37"/>
  <c r="BZ129" i="37" s="1"/>
  <c r="BZ113" i="37"/>
  <c r="BZ130" i="37" s="1"/>
  <c r="BZ114" i="37"/>
  <c r="BZ131" i="37" s="1"/>
  <c r="BZ149" i="37" s="1"/>
  <c r="BZ108" i="37"/>
  <c r="BZ125" i="37" s="1"/>
  <c r="BZ110" i="37"/>
  <c r="BZ127" i="37" s="1"/>
  <c r="BZ145" i="37" s="1"/>
  <c r="BZ107" i="37"/>
  <c r="BZ124" i="37" s="1"/>
  <c r="BZ115" i="37"/>
  <c r="BZ132" i="37" s="1"/>
  <c r="BZ150" i="37" s="1"/>
  <c r="BZ54" i="17"/>
  <c r="BZ39" i="17" s="1"/>
  <c r="BZ62" i="17"/>
  <c r="BZ51" i="17"/>
  <c r="BZ55" i="17"/>
  <c r="BZ42" i="17" s="1"/>
  <c r="BZ53" i="17"/>
  <c r="BZ76" i="17"/>
  <c r="BP6" i="37" s="1"/>
  <c r="BP28" i="37" s="1"/>
  <c r="BZ36" i="17"/>
  <c r="BZ78" i="17"/>
  <c r="BP8" i="37" s="1"/>
  <c r="BP30" i="37" s="1"/>
  <c r="BZ33" i="17"/>
  <c r="BZ79" i="17"/>
  <c r="BP9" i="37" s="1"/>
  <c r="BP31" i="37" s="1"/>
  <c r="BZ63" i="17"/>
  <c r="BZ80" i="17"/>
  <c r="BP10" i="37" s="1"/>
  <c r="BP32" i="37" s="1"/>
  <c r="BY153" i="37" l="1"/>
  <c r="BO52" i="37"/>
  <c r="BO39" i="37"/>
  <c r="BZ35" i="17"/>
  <c r="BZ142" i="37"/>
  <c r="BZ143" i="37"/>
  <c r="BZ148" i="37"/>
  <c r="CF22" i="25"/>
  <c r="BZ26" i="17"/>
  <c r="BZ92" i="17" s="1"/>
  <c r="BZ56" i="17"/>
  <c r="BZ77" i="17"/>
  <c r="BP7" i="37" s="1"/>
  <c r="BP29" i="37" s="1"/>
  <c r="BZ83" i="17"/>
  <c r="BP13" i="37" s="1"/>
  <c r="BP35" i="37" s="1"/>
  <c r="BZ57" i="17"/>
  <c r="BZ81" i="17"/>
  <c r="BP11" i="37" s="1"/>
  <c r="BP33" i="37" s="1"/>
  <c r="BZ82" i="17"/>
  <c r="BP12" i="37" s="1"/>
  <c r="BP34" i="37" s="1"/>
  <c r="BZ52" i="17"/>
  <c r="BZ58" i="17"/>
  <c r="BZ84" i="17"/>
  <c r="BP14" i="37" s="1"/>
  <c r="BP36" i="37" s="1"/>
  <c r="BZ147" i="37"/>
  <c r="CA31" i="17"/>
  <c r="CG21" i="25"/>
  <c r="CA109" i="37"/>
  <c r="CA126" i="37" s="1"/>
  <c r="CA144" i="37" s="1"/>
  <c r="CA110" i="37"/>
  <c r="CA127" i="37" s="1"/>
  <c r="CA145" i="37" s="1"/>
  <c r="CA107" i="37"/>
  <c r="CA124" i="37" s="1"/>
  <c r="CA142" i="37" s="1"/>
  <c r="CA111" i="37"/>
  <c r="CA128" i="37" s="1"/>
  <c r="CA112" i="37"/>
  <c r="CA129" i="37" s="1"/>
  <c r="CA147" i="37" s="1"/>
  <c r="CA114" i="37"/>
  <c r="CA131" i="37" s="1"/>
  <c r="CA108" i="37"/>
  <c r="CA125" i="37" s="1"/>
  <c r="CA143" i="37" s="1"/>
  <c r="CA55" i="17"/>
  <c r="CA42" i="17" s="1"/>
  <c r="CA115" i="37"/>
  <c r="CA132" i="37" s="1"/>
  <c r="CA150" i="37" s="1"/>
  <c r="CA113" i="37"/>
  <c r="CA130" i="37" s="1"/>
  <c r="CA148" i="37" s="1"/>
  <c r="CA51" i="17"/>
  <c r="CA54" i="17"/>
  <c r="CA39" i="17" s="1"/>
  <c r="CA63" i="17"/>
  <c r="CA33" i="17"/>
  <c r="CA36" i="17"/>
  <c r="CA78" i="17"/>
  <c r="BQ8" i="37" s="1"/>
  <c r="BQ30" i="37" s="1"/>
  <c r="CA76" i="17"/>
  <c r="BQ6" i="37" s="1"/>
  <c r="BQ28" i="37" s="1"/>
  <c r="CA62" i="17"/>
  <c r="CA79" i="17"/>
  <c r="BQ9" i="37" s="1"/>
  <c r="BQ31" i="37" s="1"/>
  <c r="CA53" i="17"/>
  <c r="CA80" i="17"/>
  <c r="BQ10" i="37" s="1"/>
  <c r="BQ32" i="37" s="1"/>
  <c r="BP39" i="37" l="1"/>
  <c r="BP52" i="37"/>
  <c r="CA149" i="37"/>
  <c r="CA146" i="37"/>
  <c r="BZ153" i="37"/>
  <c r="CB31" i="17"/>
  <c r="CH21" i="25"/>
  <c r="CB107" i="37"/>
  <c r="CB124" i="37" s="1"/>
  <c r="CB142" i="37" s="1"/>
  <c r="CB109" i="37"/>
  <c r="CB126" i="37" s="1"/>
  <c r="CB144" i="37" s="1"/>
  <c r="CB110" i="37"/>
  <c r="CB127" i="37" s="1"/>
  <c r="CB145" i="37" s="1"/>
  <c r="CB111" i="37"/>
  <c r="CB128" i="37" s="1"/>
  <c r="CB146" i="37" s="1"/>
  <c r="CB112" i="37"/>
  <c r="CB129" i="37" s="1"/>
  <c r="CB147" i="37" s="1"/>
  <c r="CB108" i="37"/>
  <c r="CB125" i="37" s="1"/>
  <c r="CB143" i="37" s="1"/>
  <c r="CB54" i="17"/>
  <c r="CB39" i="17" s="1"/>
  <c r="CB114" i="37"/>
  <c r="CB131" i="37" s="1"/>
  <c r="CB149" i="37" s="1"/>
  <c r="CB55" i="17"/>
  <c r="CB42" i="17" s="1"/>
  <c r="CB113" i="37"/>
  <c r="CB130" i="37" s="1"/>
  <c r="CB148" i="37" s="1"/>
  <c r="CB115" i="37"/>
  <c r="CB132" i="37" s="1"/>
  <c r="CB150" i="37" s="1"/>
  <c r="CB62" i="17"/>
  <c r="CB51" i="17"/>
  <c r="CB36" i="17"/>
  <c r="CB78" i="17"/>
  <c r="BR8" i="37" s="1"/>
  <c r="BR30" i="37" s="1"/>
  <c r="CB63" i="17"/>
  <c r="CB33" i="17"/>
  <c r="CB76" i="17"/>
  <c r="BR6" i="37" s="1"/>
  <c r="BR28" i="37" s="1"/>
  <c r="CB53" i="17"/>
  <c r="CB79" i="17"/>
  <c r="BR9" i="37" s="1"/>
  <c r="BR31" i="37" s="1"/>
  <c r="CB80" i="17"/>
  <c r="BR10" i="37" s="1"/>
  <c r="BR32" i="37" s="1"/>
  <c r="CA35" i="17"/>
  <c r="CA26" i="17"/>
  <c r="CA92" i="17" s="1"/>
  <c r="CG22" i="25"/>
  <c r="CA84" i="17"/>
  <c r="BQ14" i="37" s="1"/>
  <c r="BQ36" i="37" s="1"/>
  <c r="CA77" i="17"/>
  <c r="BQ7" i="37" s="1"/>
  <c r="BQ29" i="37" s="1"/>
  <c r="CA56" i="17"/>
  <c r="CA57" i="17"/>
  <c r="CA81" i="17"/>
  <c r="BQ11" i="37" s="1"/>
  <c r="BQ33" i="37" s="1"/>
  <c r="CA83" i="17"/>
  <c r="BQ13" i="37" s="1"/>
  <c r="BQ35" i="37" s="1"/>
  <c r="CA58" i="17"/>
  <c r="CA52" i="17"/>
  <c r="CA82" i="17"/>
  <c r="BQ12" i="37" s="1"/>
  <c r="BQ34" i="37" s="1"/>
  <c r="CA153" i="37" l="1"/>
  <c r="BQ52" i="37"/>
  <c r="BQ39" i="37"/>
  <c r="CH22" i="25"/>
  <c r="CB26" i="17"/>
  <c r="CB92" i="17" s="1"/>
  <c r="CB52" i="17"/>
  <c r="CB81" i="17"/>
  <c r="BR11" i="37" s="1"/>
  <c r="BR33" i="37" s="1"/>
  <c r="CB77" i="17"/>
  <c r="BR7" i="37" s="1"/>
  <c r="BR29" i="37" s="1"/>
  <c r="CB83" i="17"/>
  <c r="BR13" i="37" s="1"/>
  <c r="BR35" i="37" s="1"/>
  <c r="CB84" i="17"/>
  <c r="BR14" i="37" s="1"/>
  <c r="BR36" i="37" s="1"/>
  <c r="CB58" i="17"/>
  <c r="CB57" i="17"/>
  <c r="CB56" i="17"/>
  <c r="CB82" i="17"/>
  <c r="BR12" i="37" s="1"/>
  <c r="BR34" i="37" s="1"/>
  <c r="CB153" i="37"/>
  <c r="CC31" i="17"/>
  <c r="CI21" i="25"/>
  <c r="CC107" i="37"/>
  <c r="CC124" i="37" s="1"/>
  <c r="CC142" i="37" s="1"/>
  <c r="CC109" i="37"/>
  <c r="CC126" i="37" s="1"/>
  <c r="CC144" i="37" s="1"/>
  <c r="CC110" i="37"/>
  <c r="CC127" i="37" s="1"/>
  <c r="CC145" i="37" s="1"/>
  <c r="CC111" i="37"/>
  <c r="CC128" i="37" s="1"/>
  <c r="CC112" i="37"/>
  <c r="CC129" i="37" s="1"/>
  <c r="CC147" i="37" s="1"/>
  <c r="CC113" i="37"/>
  <c r="CC130" i="37" s="1"/>
  <c r="CC148" i="37" s="1"/>
  <c r="CC114" i="37"/>
  <c r="CC131" i="37" s="1"/>
  <c r="CC149" i="37" s="1"/>
  <c r="CC54" i="17"/>
  <c r="CC39" i="17" s="1"/>
  <c r="CC115" i="37"/>
  <c r="CC132" i="37" s="1"/>
  <c r="CC150" i="37" s="1"/>
  <c r="CC108" i="37"/>
  <c r="CC125" i="37" s="1"/>
  <c r="CC143" i="37" s="1"/>
  <c r="CC62" i="17"/>
  <c r="CC55" i="17"/>
  <c r="CC42" i="17" s="1"/>
  <c r="CC51" i="17"/>
  <c r="CC76" i="17"/>
  <c r="BS6" i="37" s="1"/>
  <c r="BS28" i="37" s="1"/>
  <c r="CC53" i="17"/>
  <c r="CC78" i="17"/>
  <c r="BS8" i="37" s="1"/>
  <c r="BS30" i="37" s="1"/>
  <c r="CC33" i="17"/>
  <c r="CC80" i="17"/>
  <c r="BS10" i="37" s="1"/>
  <c r="BS32" i="37" s="1"/>
  <c r="CC79" i="17"/>
  <c r="BS9" i="37" s="1"/>
  <c r="BS31" i="37" s="1"/>
  <c r="CC36" i="17"/>
  <c r="CC63" i="17"/>
  <c r="CB35" i="17"/>
  <c r="BR39" i="37" l="1"/>
  <c r="BR52" i="37"/>
  <c r="CC26" i="17"/>
  <c r="CC92" i="17" s="1"/>
  <c r="CI22" i="25"/>
  <c r="CC84" i="17"/>
  <c r="BS14" i="37" s="1"/>
  <c r="BS36" i="37" s="1"/>
  <c r="CC58" i="17"/>
  <c r="CC57" i="17"/>
  <c r="CC77" i="17"/>
  <c r="BS7" i="37" s="1"/>
  <c r="BS29" i="37" s="1"/>
  <c r="CC82" i="17"/>
  <c r="BS12" i="37" s="1"/>
  <c r="BS34" i="37" s="1"/>
  <c r="CC81" i="17"/>
  <c r="BS11" i="37" s="1"/>
  <c r="BS33" i="37" s="1"/>
  <c r="CC83" i="17"/>
  <c r="BS13" i="37" s="1"/>
  <c r="BS35" i="37" s="1"/>
  <c r="CC52" i="17"/>
  <c r="CC56" i="17"/>
  <c r="CC35" i="17"/>
  <c r="CC146" i="37"/>
  <c r="CC153" i="37" s="1"/>
  <c r="CD31" i="17"/>
  <c r="CJ21" i="25"/>
  <c r="CD107" i="37"/>
  <c r="CD124" i="37" s="1"/>
  <c r="CD109" i="37"/>
  <c r="CD126" i="37" s="1"/>
  <c r="CD110" i="37"/>
  <c r="CD127" i="37" s="1"/>
  <c r="CD145" i="37" s="1"/>
  <c r="CD111" i="37"/>
  <c r="CD128" i="37" s="1"/>
  <c r="CD146" i="37" s="1"/>
  <c r="CD112" i="37"/>
  <c r="CD129" i="37" s="1"/>
  <c r="CD113" i="37"/>
  <c r="CD130" i="37" s="1"/>
  <c r="CD148" i="37" s="1"/>
  <c r="CD114" i="37"/>
  <c r="CD131" i="37" s="1"/>
  <c r="CD149" i="37" s="1"/>
  <c r="CD108" i="37"/>
  <c r="CD125" i="37" s="1"/>
  <c r="CD51" i="17"/>
  <c r="CD54" i="17"/>
  <c r="CD39" i="17" s="1"/>
  <c r="CD115" i="37"/>
  <c r="CD132" i="37" s="1"/>
  <c r="CD150" i="37" s="1"/>
  <c r="CD55" i="17"/>
  <c r="CD42" i="17" s="1"/>
  <c r="CD62" i="17"/>
  <c r="CD36" i="17"/>
  <c r="CD76" i="17"/>
  <c r="BT6" i="37" s="1"/>
  <c r="BT28" i="37" s="1"/>
  <c r="CD53" i="17"/>
  <c r="CD80" i="17"/>
  <c r="BT10" i="37" s="1"/>
  <c r="BT32" i="37" s="1"/>
  <c r="CD33" i="17"/>
  <c r="CD79" i="17"/>
  <c r="BT9" i="37" s="1"/>
  <c r="BT31" i="37" s="1"/>
  <c r="CD78" i="17"/>
  <c r="BT8" i="37" s="1"/>
  <c r="BT30" i="37" s="1"/>
  <c r="CD63" i="17"/>
  <c r="BS39" i="37" l="1"/>
  <c r="BS52" i="37"/>
  <c r="CD35" i="17"/>
  <c r="CE31" i="17"/>
  <c r="CK21" i="25"/>
  <c r="CE108" i="37"/>
  <c r="CE125" i="37" s="1"/>
  <c r="CE143" i="37" s="1"/>
  <c r="CE107" i="37"/>
  <c r="CE124" i="37" s="1"/>
  <c r="CE142" i="37" s="1"/>
  <c r="CE109" i="37"/>
  <c r="CE126" i="37" s="1"/>
  <c r="CE144" i="37" s="1"/>
  <c r="CE110" i="37"/>
  <c r="CE127" i="37" s="1"/>
  <c r="CE145" i="37" s="1"/>
  <c r="CE111" i="37"/>
  <c r="CE128" i="37" s="1"/>
  <c r="CE146" i="37" s="1"/>
  <c r="CE112" i="37"/>
  <c r="CE129" i="37" s="1"/>
  <c r="CE147" i="37" s="1"/>
  <c r="CE113" i="37"/>
  <c r="CE130" i="37" s="1"/>
  <c r="CE148" i="37" s="1"/>
  <c r="CE114" i="37"/>
  <c r="CE131" i="37" s="1"/>
  <c r="CE149" i="37" s="1"/>
  <c r="CE55" i="17"/>
  <c r="CE42" i="17" s="1"/>
  <c r="CE115" i="37"/>
  <c r="CE132" i="37" s="1"/>
  <c r="CE150" i="37" s="1"/>
  <c r="CE54" i="17"/>
  <c r="CE39" i="17" s="1"/>
  <c r="CE80" i="17"/>
  <c r="BU10" i="37" s="1"/>
  <c r="BU32" i="37" s="1"/>
  <c r="CE51" i="17"/>
  <c r="CE62" i="17"/>
  <c r="CE33" i="17"/>
  <c r="CE36" i="17"/>
  <c r="CE53" i="17"/>
  <c r="CE63" i="17"/>
  <c r="CE78" i="17"/>
  <c r="BU8" i="37" s="1"/>
  <c r="BU30" i="37" s="1"/>
  <c r="CE76" i="17"/>
  <c r="BU6" i="37" s="1"/>
  <c r="BU28" i="37" s="1"/>
  <c r="CE79" i="17"/>
  <c r="BU9" i="37" s="1"/>
  <c r="BU31" i="37" s="1"/>
  <c r="CD26" i="17"/>
  <c r="CD92" i="17" s="1"/>
  <c r="CJ22" i="25"/>
  <c r="CD58" i="17"/>
  <c r="CD77" i="17"/>
  <c r="BT7" i="37" s="1"/>
  <c r="BT29" i="37" s="1"/>
  <c r="CD82" i="17"/>
  <c r="BT12" i="37" s="1"/>
  <c r="BT34" i="37" s="1"/>
  <c r="CD57" i="17"/>
  <c r="CD83" i="17"/>
  <c r="BT13" i="37" s="1"/>
  <c r="BT35" i="37" s="1"/>
  <c r="CD81" i="17"/>
  <c r="BT11" i="37" s="1"/>
  <c r="BT33" i="37" s="1"/>
  <c r="CD84" i="17"/>
  <c r="BT14" i="37" s="1"/>
  <c r="BT36" i="37" s="1"/>
  <c r="CD52" i="17"/>
  <c r="CD56" i="17"/>
  <c r="CD147" i="37"/>
  <c r="CD143" i="37"/>
  <c r="CD144" i="37"/>
  <c r="CD142" i="37"/>
  <c r="BT52" i="37" l="1"/>
  <c r="BT39" i="37"/>
  <c r="CE153" i="37"/>
  <c r="CL21" i="25"/>
  <c r="CF31" i="17"/>
  <c r="CF107" i="37"/>
  <c r="CF124" i="37" s="1"/>
  <c r="CF142" i="37" s="1"/>
  <c r="CF115" i="37"/>
  <c r="CF132" i="37" s="1"/>
  <c r="CF108" i="37"/>
  <c r="CF125" i="37" s="1"/>
  <c r="CF109" i="37"/>
  <c r="CF126" i="37" s="1"/>
  <c r="CF110" i="37"/>
  <c r="CF127" i="37" s="1"/>
  <c r="CF111" i="37"/>
  <c r="CF128" i="37" s="1"/>
  <c r="CF112" i="37"/>
  <c r="CF129" i="37" s="1"/>
  <c r="CF147" i="37" s="1"/>
  <c r="CF114" i="37"/>
  <c r="CF131" i="37" s="1"/>
  <c r="CF113" i="37"/>
  <c r="CF130" i="37" s="1"/>
  <c r="CF55" i="17"/>
  <c r="CF42" i="17" s="1"/>
  <c r="CF62" i="17"/>
  <c r="CF53" i="17"/>
  <c r="CF51" i="17"/>
  <c r="CF54" i="17"/>
  <c r="CF39" i="17" s="1"/>
  <c r="CF63" i="17"/>
  <c r="CF33" i="17"/>
  <c r="CF79" i="17"/>
  <c r="BV9" i="37" s="1"/>
  <c r="BV31" i="37" s="1"/>
  <c r="CF80" i="17"/>
  <c r="BV10" i="37" s="1"/>
  <c r="BV32" i="37" s="1"/>
  <c r="CF76" i="17"/>
  <c r="BV6" i="37" s="1"/>
  <c r="BV28" i="37" s="1"/>
  <c r="CF36" i="17"/>
  <c r="CF78" i="17"/>
  <c r="BV8" i="37" s="1"/>
  <c r="BV30" i="37" s="1"/>
  <c r="CE35" i="17"/>
  <c r="CD153" i="37"/>
  <c r="CE26" i="17"/>
  <c r="CE92" i="17" s="1"/>
  <c r="CK22" i="25"/>
  <c r="CE58" i="17"/>
  <c r="CE84" i="17"/>
  <c r="BU14" i="37" s="1"/>
  <c r="BU36" i="37" s="1"/>
  <c r="CE81" i="17"/>
  <c r="BU11" i="37" s="1"/>
  <c r="BU33" i="37" s="1"/>
  <c r="CE83" i="17"/>
  <c r="BU13" i="37" s="1"/>
  <c r="BU35" i="37" s="1"/>
  <c r="CE52" i="17"/>
  <c r="CE57" i="17"/>
  <c r="CE82" i="17"/>
  <c r="BU12" i="37" s="1"/>
  <c r="BU34" i="37" s="1"/>
  <c r="CE77" i="17"/>
  <c r="BU7" i="37" s="1"/>
  <c r="BU29" i="37" s="1"/>
  <c r="CE56" i="17"/>
  <c r="BU39" i="37" l="1"/>
  <c r="BU52" i="37"/>
  <c r="CF145" i="37"/>
  <c r="CF144" i="37"/>
  <c r="CF143" i="37"/>
  <c r="CF150" i="37"/>
  <c r="CF35" i="17"/>
  <c r="CM21" i="25"/>
  <c r="CG31" i="17"/>
  <c r="CG113" i="37"/>
  <c r="CG130" i="37" s="1"/>
  <c r="CG148" i="37" s="1"/>
  <c r="CG114" i="37"/>
  <c r="CG131" i="37" s="1"/>
  <c r="CG149" i="37" s="1"/>
  <c r="CG115" i="37"/>
  <c r="CG132" i="37" s="1"/>
  <c r="CG150" i="37" s="1"/>
  <c r="CG108" i="37"/>
  <c r="CG125" i="37" s="1"/>
  <c r="CG143" i="37" s="1"/>
  <c r="CG107" i="37"/>
  <c r="CG124" i="37" s="1"/>
  <c r="CG109" i="37"/>
  <c r="CG126" i="37" s="1"/>
  <c r="CG144" i="37" s="1"/>
  <c r="CG110" i="37"/>
  <c r="CG127" i="37" s="1"/>
  <c r="CG145" i="37" s="1"/>
  <c r="CG112" i="37"/>
  <c r="CG129" i="37" s="1"/>
  <c r="CG147" i="37" s="1"/>
  <c r="CG54" i="17"/>
  <c r="CG39" i="17" s="1"/>
  <c r="CG111" i="37"/>
  <c r="CG128" i="37" s="1"/>
  <c r="CG146" i="37" s="1"/>
  <c r="CG55" i="17"/>
  <c r="CG42" i="17" s="1"/>
  <c r="CG36" i="17"/>
  <c r="CG51" i="17"/>
  <c r="CG62" i="17"/>
  <c r="CG33" i="17"/>
  <c r="CG76" i="17"/>
  <c r="BW6" i="37" s="1"/>
  <c r="BW28" i="37" s="1"/>
  <c r="CG78" i="17"/>
  <c r="BW8" i="37" s="1"/>
  <c r="BW30" i="37" s="1"/>
  <c r="CG63" i="17"/>
  <c r="CG79" i="17"/>
  <c r="BW9" i="37" s="1"/>
  <c r="BW31" i="37" s="1"/>
  <c r="CG53" i="17"/>
  <c r="CG80" i="17"/>
  <c r="BW10" i="37" s="1"/>
  <c r="BW32" i="37" s="1"/>
  <c r="CF146" i="37"/>
  <c r="CF148" i="37"/>
  <c r="CF149" i="37"/>
  <c r="CF26" i="17"/>
  <c r="CF92" i="17" s="1"/>
  <c r="CL22" i="25"/>
  <c r="CF81" i="17"/>
  <c r="BV11" i="37" s="1"/>
  <c r="BV33" i="37" s="1"/>
  <c r="CF83" i="17"/>
  <c r="BV13" i="37" s="1"/>
  <c r="BV35" i="37" s="1"/>
  <c r="CF58" i="17"/>
  <c r="CF57" i="17"/>
  <c r="CF84" i="17"/>
  <c r="BV14" i="37" s="1"/>
  <c r="BV36" i="37" s="1"/>
  <c r="CF56" i="17"/>
  <c r="CF52" i="17"/>
  <c r="CF82" i="17"/>
  <c r="BV12" i="37" s="1"/>
  <c r="BV34" i="37" s="1"/>
  <c r="CF77" i="17"/>
  <c r="BV7" i="37" s="1"/>
  <c r="BV29" i="37" s="1"/>
  <c r="BV39" i="37" l="1"/>
  <c r="BV52" i="37"/>
  <c r="CF153" i="37"/>
  <c r="CG142" i="37"/>
  <c r="CG153" i="37" s="1"/>
  <c r="CM22" i="25"/>
  <c r="CG26" i="17"/>
  <c r="CG92" i="17" s="1"/>
  <c r="CG84" i="17"/>
  <c r="BW14" i="37" s="1"/>
  <c r="BW36" i="37" s="1"/>
  <c r="CG81" i="17"/>
  <c r="BW11" i="37" s="1"/>
  <c r="BW33" i="37" s="1"/>
  <c r="CG83" i="17"/>
  <c r="BW13" i="37" s="1"/>
  <c r="BW35" i="37" s="1"/>
  <c r="CG56" i="17"/>
  <c r="CG58" i="17"/>
  <c r="CG57" i="17"/>
  <c r="CG77" i="17"/>
  <c r="BW7" i="37" s="1"/>
  <c r="BW29" i="37" s="1"/>
  <c r="CG82" i="17"/>
  <c r="BW12" i="37" s="1"/>
  <c r="BW34" i="37" s="1"/>
  <c r="CG52" i="17"/>
  <c r="CG35" i="17"/>
  <c r="CH31" i="17"/>
  <c r="CN21" i="25"/>
  <c r="CH109" i="37"/>
  <c r="CH126" i="37" s="1"/>
  <c r="CH144" i="37" s="1"/>
  <c r="CH111" i="37"/>
  <c r="CH128" i="37" s="1"/>
  <c r="CH146" i="37" s="1"/>
  <c r="CH112" i="37"/>
  <c r="CH129" i="37" s="1"/>
  <c r="CH113" i="37"/>
  <c r="CH130" i="37" s="1"/>
  <c r="CH114" i="37"/>
  <c r="CH131" i="37" s="1"/>
  <c r="CH108" i="37"/>
  <c r="CH125" i="37" s="1"/>
  <c r="CH143" i="37" s="1"/>
  <c r="CH107" i="37"/>
  <c r="CH124" i="37" s="1"/>
  <c r="CH142" i="37" s="1"/>
  <c r="CH110" i="37"/>
  <c r="CH127" i="37" s="1"/>
  <c r="CH145" i="37" s="1"/>
  <c r="CH54" i="17"/>
  <c r="CH39" i="17" s="1"/>
  <c r="CH115" i="37"/>
  <c r="CH132" i="37" s="1"/>
  <c r="CH150" i="37" s="1"/>
  <c r="CH51" i="17"/>
  <c r="CH62" i="17"/>
  <c r="CH55" i="17"/>
  <c r="CH42" i="17" s="1"/>
  <c r="CH80" i="17"/>
  <c r="BX10" i="37" s="1"/>
  <c r="BX32" i="37" s="1"/>
  <c r="CH63" i="17"/>
  <c r="CH33" i="17"/>
  <c r="CH76" i="17"/>
  <c r="BX6" i="37" s="1"/>
  <c r="BX28" i="37" s="1"/>
  <c r="CH78" i="17"/>
  <c r="BX8" i="37" s="1"/>
  <c r="BX30" i="37" s="1"/>
  <c r="CH36" i="17"/>
  <c r="CH53" i="17"/>
  <c r="CH79" i="17"/>
  <c r="BX9" i="37" s="1"/>
  <c r="BX31" i="37" s="1"/>
  <c r="BW52" i="37" l="1"/>
  <c r="BW39" i="37"/>
  <c r="CH35" i="17"/>
  <c r="CN22" i="25"/>
  <c r="CH26" i="17"/>
  <c r="CH92" i="17" s="1"/>
  <c r="CH58" i="17"/>
  <c r="CH56" i="17"/>
  <c r="CH52" i="17"/>
  <c r="CH83" i="17"/>
  <c r="BX13" i="37" s="1"/>
  <c r="BX35" i="37" s="1"/>
  <c r="CH77" i="17"/>
  <c r="BX7" i="37" s="1"/>
  <c r="BX29" i="37" s="1"/>
  <c r="CH81" i="17"/>
  <c r="BX11" i="37" s="1"/>
  <c r="BX33" i="37" s="1"/>
  <c r="CH84" i="17"/>
  <c r="BX14" i="37" s="1"/>
  <c r="BX36" i="37" s="1"/>
  <c r="CH82" i="17"/>
  <c r="BX12" i="37" s="1"/>
  <c r="BX34" i="37" s="1"/>
  <c r="CH57" i="17"/>
  <c r="CO21" i="25"/>
  <c r="CI31" i="17"/>
  <c r="CI110" i="37"/>
  <c r="CI127" i="37" s="1"/>
  <c r="CI145" i="37" s="1"/>
  <c r="CI111" i="37"/>
  <c r="CI128" i="37" s="1"/>
  <c r="CI112" i="37"/>
  <c r="CI129" i="37" s="1"/>
  <c r="CI147" i="37" s="1"/>
  <c r="CI114" i="37"/>
  <c r="CI131" i="37" s="1"/>
  <c r="CI149" i="37" s="1"/>
  <c r="CI108" i="37"/>
  <c r="CI125" i="37" s="1"/>
  <c r="CI143" i="37" s="1"/>
  <c r="CI109" i="37"/>
  <c r="CI126" i="37" s="1"/>
  <c r="CI115" i="37"/>
  <c r="CI132" i="37" s="1"/>
  <c r="CI150" i="37" s="1"/>
  <c r="CI55" i="17"/>
  <c r="CI42" i="17" s="1"/>
  <c r="CI107" i="37"/>
  <c r="CI124" i="37" s="1"/>
  <c r="CI142" i="37" s="1"/>
  <c r="CI113" i="37"/>
  <c r="CI130" i="37" s="1"/>
  <c r="CI148" i="37" s="1"/>
  <c r="CI54" i="17"/>
  <c r="CI39" i="17" s="1"/>
  <c r="CI51" i="17"/>
  <c r="CI76" i="17"/>
  <c r="BY6" i="37" s="1"/>
  <c r="BY28" i="37" s="1"/>
  <c r="CI78" i="17"/>
  <c r="BY8" i="37" s="1"/>
  <c r="BY30" i="37" s="1"/>
  <c r="CI62" i="17"/>
  <c r="CI33" i="17"/>
  <c r="CI36" i="17"/>
  <c r="CI53" i="17"/>
  <c r="CI79" i="17"/>
  <c r="BY9" i="37" s="1"/>
  <c r="BY31" i="37" s="1"/>
  <c r="CI63" i="17"/>
  <c r="CI80" i="17"/>
  <c r="BY10" i="37" s="1"/>
  <c r="BY32" i="37" s="1"/>
  <c r="CH147" i="37"/>
  <c r="CH148" i="37"/>
  <c r="CH149" i="37"/>
  <c r="BX52" i="37" l="1"/>
  <c r="BX39" i="37"/>
  <c r="CH153" i="37"/>
  <c r="CI144" i="37"/>
  <c r="CI146" i="37"/>
  <c r="CO22" i="25"/>
  <c r="CI26" i="17"/>
  <c r="CI92" i="17" s="1"/>
  <c r="CI82" i="17"/>
  <c r="BY12" i="37" s="1"/>
  <c r="BY34" i="37" s="1"/>
  <c r="CI52" i="17"/>
  <c r="CI56" i="17"/>
  <c r="CI81" i="17"/>
  <c r="BY11" i="37" s="1"/>
  <c r="BY33" i="37" s="1"/>
  <c r="CI84" i="17"/>
  <c r="BY14" i="37" s="1"/>
  <c r="BY36" i="37" s="1"/>
  <c r="CI58" i="17"/>
  <c r="CI77" i="17"/>
  <c r="BY7" i="37" s="1"/>
  <c r="BY29" i="37" s="1"/>
  <c r="CI83" i="17"/>
  <c r="BY13" i="37" s="1"/>
  <c r="BY35" i="37" s="1"/>
  <c r="CI57" i="17"/>
  <c r="CI35" i="17"/>
  <c r="CP21" i="25"/>
  <c r="CJ31" i="17"/>
  <c r="CJ107" i="37"/>
  <c r="CJ124" i="37" s="1"/>
  <c r="CJ142" i="37" s="1"/>
  <c r="CJ109" i="37"/>
  <c r="CJ126" i="37" s="1"/>
  <c r="CJ144" i="37" s="1"/>
  <c r="CJ110" i="37"/>
  <c r="CJ127" i="37" s="1"/>
  <c r="CJ112" i="37"/>
  <c r="CJ129" i="37" s="1"/>
  <c r="CJ147" i="37" s="1"/>
  <c r="CJ108" i="37"/>
  <c r="CJ125" i="37" s="1"/>
  <c r="CJ115" i="37"/>
  <c r="CJ132" i="37" s="1"/>
  <c r="CJ150" i="37" s="1"/>
  <c r="CJ55" i="17"/>
  <c r="CJ42" i="17" s="1"/>
  <c r="CJ113" i="37"/>
  <c r="CJ130" i="37" s="1"/>
  <c r="CJ148" i="37" s="1"/>
  <c r="CJ114" i="37"/>
  <c r="CJ131" i="37" s="1"/>
  <c r="CJ111" i="37"/>
  <c r="CJ128" i="37" s="1"/>
  <c r="CJ146" i="37" s="1"/>
  <c r="CJ63" i="17"/>
  <c r="CJ54" i="17"/>
  <c r="CJ39" i="17" s="1"/>
  <c r="CJ51" i="17"/>
  <c r="CJ76" i="17"/>
  <c r="BZ6" i="37" s="1"/>
  <c r="BZ28" i="37" s="1"/>
  <c r="CJ62" i="17"/>
  <c r="CJ33" i="17"/>
  <c r="CJ78" i="17"/>
  <c r="BZ8" i="37" s="1"/>
  <c r="BZ30" i="37" s="1"/>
  <c r="CJ80" i="17"/>
  <c r="BZ10" i="37" s="1"/>
  <c r="BZ32" i="37" s="1"/>
  <c r="CJ53" i="17"/>
  <c r="CJ79" i="17"/>
  <c r="BZ9" i="37" s="1"/>
  <c r="BZ31" i="37" s="1"/>
  <c r="CJ36" i="17"/>
  <c r="BY52" i="37" l="1"/>
  <c r="BY39" i="37"/>
  <c r="CI153" i="37"/>
  <c r="CJ149" i="37"/>
  <c r="CP22" i="25"/>
  <c r="CJ26" i="17"/>
  <c r="CJ92" i="17" s="1"/>
  <c r="CJ56" i="17"/>
  <c r="CJ82" i="17"/>
  <c r="BZ12" i="37" s="1"/>
  <c r="BZ34" i="37" s="1"/>
  <c r="CJ77" i="17"/>
  <c r="BZ7" i="37" s="1"/>
  <c r="BZ29" i="37" s="1"/>
  <c r="CJ52" i="17"/>
  <c r="CJ57" i="17"/>
  <c r="CJ83" i="17"/>
  <c r="BZ13" i="37" s="1"/>
  <c r="BZ35" i="37" s="1"/>
  <c r="CJ58" i="17"/>
  <c r="CJ81" i="17"/>
  <c r="BZ11" i="37" s="1"/>
  <c r="BZ33" i="37" s="1"/>
  <c r="CJ84" i="17"/>
  <c r="BZ14" i="37" s="1"/>
  <c r="BZ36" i="37" s="1"/>
  <c r="CJ143" i="37"/>
  <c r="CJ145" i="37"/>
  <c r="CQ21" i="25"/>
  <c r="CK31" i="17"/>
  <c r="CK109" i="37"/>
  <c r="CK126" i="37" s="1"/>
  <c r="CK144" i="37" s="1"/>
  <c r="CK110" i="37"/>
  <c r="CK127" i="37" s="1"/>
  <c r="CK145" i="37" s="1"/>
  <c r="CK112" i="37"/>
  <c r="CK129" i="37" s="1"/>
  <c r="CK147" i="37" s="1"/>
  <c r="CK114" i="37"/>
  <c r="CK131" i="37" s="1"/>
  <c r="CK149" i="37" s="1"/>
  <c r="CK108" i="37"/>
  <c r="CK125" i="37" s="1"/>
  <c r="CK143" i="37" s="1"/>
  <c r="CK107" i="37"/>
  <c r="CK124" i="37" s="1"/>
  <c r="CK62" i="17"/>
  <c r="CK54" i="17"/>
  <c r="CK39" i="17" s="1"/>
  <c r="CK115" i="37"/>
  <c r="CK132" i="37" s="1"/>
  <c r="CK55" i="17"/>
  <c r="CK42" i="17" s="1"/>
  <c r="CK113" i="37"/>
  <c r="CK130" i="37" s="1"/>
  <c r="CK148" i="37" s="1"/>
  <c r="CK111" i="37"/>
  <c r="CK128" i="37" s="1"/>
  <c r="CK146" i="37" s="1"/>
  <c r="CK33" i="17"/>
  <c r="CK76" i="17"/>
  <c r="CA6" i="37" s="1"/>
  <c r="CA28" i="37" s="1"/>
  <c r="CK53" i="17"/>
  <c r="CK51" i="17"/>
  <c r="CK36" i="17"/>
  <c r="CK78" i="17"/>
  <c r="CA8" i="37" s="1"/>
  <c r="CA30" i="37" s="1"/>
  <c r="CK63" i="17"/>
  <c r="CK79" i="17"/>
  <c r="CA9" i="37" s="1"/>
  <c r="CA31" i="37" s="1"/>
  <c r="CK80" i="17"/>
  <c r="CA10" i="37" s="1"/>
  <c r="CA32" i="37" s="1"/>
  <c r="CJ35" i="17"/>
  <c r="BZ39" i="37" l="1"/>
  <c r="BZ52" i="37"/>
  <c r="CJ153" i="37"/>
  <c r="CR21" i="25"/>
  <c r="CL31" i="17"/>
  <c r="CL107" i="37"/>
  <c r="CL124" i="37" s="1"/>
  <c r="CL142" i="37" s="1"/>
  <c r="CL109" i="37"/>
  <c r="CL126" i="37" s="1"/>
  <c r="CL110" i="37"/>
  <c r="CL127" i="37" s="1"/>
  <c r="CL111" i="37"/>
  <c r="CL128" i="37" s="1"/>
  <c r="CL146" i="37" s="1"/>
  <c r="CL112" i="37"/>
  <c r="CL129" i="37" s="1"/>
  <c r="CL147" i="37" s="1"/>
  <c r="CL113" i="37"/>
  <c r="CL130" i="37" s="1"/>
  <c r="CL148" i="37" s="1"/>
  <c r="CL114" i="37"/>
  <c r="CL131" i="37" s="1"/>
  <c r="CL149" i="37" s="1"/>
  <c r="CL62" i="17"/>
  <c r="CL51" i="17"/>
  <c r="CL115" i="37"/>
  <c r="CL132" i="37" s="1"/>
  <c r="CL150" i="37" s="1"/>
  <c r="CL54" i="17"/>
  <c r="CL39" i="17" s="1"/>
  <c r="CL55" i="17"/>
  <c r="CL42" i="17" s="1"/>
  <c r="CL108" i="37"/>
  <c r="CL125" i="37" s="1"/>
  <c r="CL143" i="37" s="1"/>
  <c r="CL80" i="17"/>
  <c r="CB10" i="37" s="1"/>
  <c r="CB32" i="37" s="1"/>
  <c r="CL63" i="17"/>
  <c r="CL53" i="17"/>
  <c r="CL78" i="17"/>
  <c r="CB8" i="37" s="1"/>
  <c r="CB30" i="37" s="1"/>
  <c r="CL36" i="17"/>
  <c r="CL33" i="17"/>
  <c r="CL76" i="17"/>
  <c r="CB6" i="37" s="1"/>
  <c r="CB28" i="37" s="1"/>
  <c r="CL79" i="17"/>
  <c r="CB9" i="37" s="1"/>
  <c r="CB31" i="37" s="1"/>
  <c r="CK150" i="37"/>
  <c r="CK142" i="37"/>
  <c r="CQ22" i="25"/>
  <c r="CK26" i="17"/>
  <c r="CK92" i="17" s="1"/>
  <c r="CK77" i="17"/>
  <c r="CA7" i="37" s="1"/>
  <c r="CA29" i="37" s="1"/>
  <c r="CK52" i="17"/>
  <c r="CK58" i="17"/>
  <c r="CK84" i="17"/>
  <c r="CA14" i="37" s="1"/>
  <c r="CA36" i="37" s="1"/>
  <c r="CK83" i="17"/>
  <c r="CA13" i="37" s="1"/>
  <c r="CA35" i="37" s="1"/>
  <c r="CK56" i="17"/>
  <c r="CK57" i="17"/>
  <c r="CK81" i="17"/>
  <c r="CA11" i="37" s="1"/>
  <c r="CA33" i="37" s="1"/>
  <c r="CK82" i="17"/>
  <c r="CA12" i="37" s="1"/>
  <c r="CA34" i="37" s="1"/>
  <c r="CK35" i="17"/>
  <c r="CA39" i="37" l="1"/>
  <c r="CA52" i="37"/>
  <c r="CL35" i="17"/>
  <c r="CL145" i="37"/>
  <c r="CL144" i="37"/>
  <c r="CL26" i="17"/>
  <c r="CL92" i="17" s="1"/>
  <c r="CR22" i="25"/>
  <c r="CL84" i="17"/>
  <c r="CB14" i="37" s="1"/>
  <c r="CB36" i="37" s="1"/>
  <c r="CL58" i="17"/>
  <c r="CL57" i="17"/>
  <c r="CL82" i="17"/>
  <c r="CB12" i="37" s="1"/>
  <c r="CB34" i="37" s="1"/>
  <c r="CL52" i="17"/>
  <c r="CL77" i="17"/>
  <c r="CB7" i="37" s="1"/>
  <c r="CB29" i="37" s="1"/>
  <c r="CL81" i="17"/>
  <c r="CB11" i="37" s="1"/>
  <c r="CB33" i="37" s="1"/>
  <c r="CL83" i="17"/>
  <c r="CB13" i="37" s="1"/>
  <c r="CB35" i="37" s="1"/>
  <c r="CL56" i="17"/>
  <c r="CM31" i="17"/>
  <c r="CS21" i="25"/>
  <c r="CM107" i="37"/>
  <c r="CM124" i="37" s="1"/>
  <c r="CM142" i="37" s="1"/>
  <c r="CM109" i="37"/>
  <c r="CM126" i="37" s="1"/>
  <c r="CM144" i="37" s="1"/>
  <c r="CM110" i="37"/>
  <c r="CM127" i="37" s="1"/>
  <c r="CM145" i="37" s="1"/>
  <c r="CM111" i="37"/>
  <c r="CM128" i="37" s="1"/>
  <c r="CM112" i="37"/>
  <c r="CM129" i="37" s="1"/>
  <c r="CM113" i="37"/>
  <c r="CM130" i="37" s="1"/>
  <c r="CM108" i="37"/>
  <c r="CM125" i="37" s="1"/>
  <c r="CM115" i="37"/>
  <c r="CM132" i="37" s="1"/>
  <c r="CM55" i="17"/>
  <c r="CM42" i="17" s="1"/>
  <c r="CM54" i="17"/>
  <c r="CM39" i="17" s="1"/>
  <c r="CM114" i="37"/>
  <c r="CM131" i="37" s="1"/>
  <c r="CM80" i="17"/>
  <c r="CC10" i="37" s="1"/>
  <c r="CC32" i="37" s="1"/>
  <c r="CM79" i="17"/>
  <c r="CC9" i="37" s="1"/>
  <c r="CC31" i="37" s="1"/>
  <c r="CM51" i="17"/>
  <c r="CM63" i="17"/>
  <c r="CM36" i="17"/>
  <c r="CM33" i="17"/>
  <c r="CM78" i="17"/>
  <c r="CC8" i="37" s="1"/>
  <c r="CC30" i="37" s="1"/>
  <c r="CM62" i="17"/>
  <c r="CM53" i="17"/>
  <c r="CM76" i="17"/>
  <c r="CC6" i="37" s="1"/>
  <c r="CC28" i="37" s="1"/>
  <c r="CK153" i="37"/>
  <c r="CB52" i="37" l="1"/>
  <c r="CB39" i="37"/>
  <c r="CL153" i="37"/>
  <c r="CS22" i="25"/>
  <c r="CM26" i="17"/>
  <c r="CM92" i="17" s="1"/>
  <c r="CM56" i="17"/>
  <c r="CM82" i="17"/>
  <c r="CC12" i="37" s="1"/>
  <c r="CC34" i="37" s="1"/>
  <c r="CM81" i="17"/>
  <c r="CC11" i="37" s="1"/>
  <c r="CC33" i="37" s="1"/>
  <c r="CM58" i="17"/>
  <c r="CM77" i="17"/>
  <c r="CC7" i="37" s="1"/>
  <c r="CC29" i="37" s="1"/>
  <c r="CM57" i="17"/>
  <c r="CM84" i="17"/>
  <c r="CC14" i="37" s="1"/>
  <c r="CC36" i="37" s="1"/>
  <c r="CM52" i="17"/>
  <c r="CM83" i="17"/>
  <c r="CC13" i="37" s="1"/>
  <c r="CC35" i="37" s="1"/>
  <c r="CM149" i="37"/>
  <c r="CM150" i="37"/>
  <c r="CM146" i="37"/>
  <c r="CM148" i="37"/>
  <c r="CM143" i="37"/>
  <c r="CM147" i="37"/>
  <c r="CT21" i="25"/>
  <c r="CN31" i="17"/>
  <c r="CN115" i="37"/>
  <c r="CN132" i="37" s="1"/>
  <c r="CN150" i="37" s="1"/>
  <c r="CN108" i="37"/>
  <c r="CN125" i="37" s="1"/>
  <c r="CN143" i="37" s="1"/>
  <c r="CN107" i="37"/>
  <c r="CN124" i="37" s="1"/>
  <c r="CN109" i="37"/>
  <c r="CN126" i="37" s="1"/>
  <c r="CN144" i="37" s="1"/>
  <c r="CN110" i="37"/>
  <c r="CN127" i="37" s="1"/>
  <c r="CN145" i="37" s="1"/>
  <c r="CN111" i="37"/>
  <c r="CN128" i="37" s="1"/>
  <c r="CN146" i="37" s="1"/>
  <c r="CN112" i="37"/>
  <c r="CN129" i="37" s="1"/>
  <c r="CN147" i="37" s="1"/>
  <c r="CN55" i="17"/>
  <c r="CN42" i="17" s="1"/>
  <c r="CN113" i="37"/>
  <c r="CN130" i="37" s="1"/>
  <c r="CN148" i="37" s="1"/>
  <c r="CN54" i="17"/>
  <c r="CN39" i="17" s="1"/>
  <c r="CN114" i="37"/>
  <c r="CN131" i="37" s="1"/>
  <c r="CN149" i="37" s="1"/>
  <c r="CN76" i="17"/>
  <c r="CD6" i="37" s="1"/>
  <c r="CD28" i="37" s="1"/>
  <c r="CN80" i="17"/>
  <c r="CD10" i="37" s="1"/>
  <c r="CD32" i="37" s="1"/>
  <c r="CN62" i="17"/>
  <c r="CN33" i="17"/>
  <c r="CN36" i="17"/>
  <c r="CN63" i="17"/>
  <c r="CN51" i="17"/>
  <c r="CN53" i="17"/>
  <c r="CN78" i="17"/>
  <c r="CD8" i="37" s="1"/>
  <c r="CD30" i="37" s="1"/>
  <c r="CN79" i="17"/>
  <c r="CD9" i="37" s="1"/>
  <c r="CD31" i="37" s="1"/>
  <c r="CM35" i="17"/>
  <c r="CC52" i="37" l="1"/>
  <c r="CC39" i="37"/>
  <c r="CM153" i="37"/>
  <c r="CN142" i="37"/>
  <c r="CN153" i="37" s="1"/>
  <c r="CO31" i="17"/>
  <c r="CU21" i="25"/>
  <c r="CO113" i="37"/>
  <c r="CO130" i="37" s="1"/>
  <c r="CO148" i="37" s="1"/>
  <c r="CO114" i="37"/>
  <c r="CO131" i="37" s="1"/>
  <c r="CO149" i="37" s="1"/>
  <c r="CO108" i="37"/>
  <c r="CO125" i="37" s="1"/>
  <c r="CO143" i="37" s="1"/>
  <c r="CO115" i="37"/>
  <c r="CO132" i="37" s="1"/>
  <c r="CO150" i="37" s="1"/>
  <c r="CO107" i="37"/>
  <c r="CO124" i="37" s="1"/>
  <c r="CO142" i="37" s="1"/>
  <c r="CO109" i="37"/>
  <c r="CO126" i="37" s="1"/>
  <c r="CO110" i="37"/>
  <c r="CO127" i="37" s="1"/>
  <c r="CO112" i="37"/>
  <c r="CO129" i="37" s="1"/>
  <c r="CO147" i="37" s="1"/>
  <c r="CO54" i="17"/>
  <c r="CO39" i="17" s="1"/>
  <c r="CO55" i="17"/>
  <c r="CO42" i="17" s="1"/>
  <c r="CO111" i="37"/>
  <c r="CO128" i="37" s="1"/>
  <c r="CO146" i="37" s="1"/>
  <c r="CO76" i="17"/>
  <c r="CE6" i="37" s="1"/>
  <c r="CE28" i="37" s="1"/>
  <c r="CO78" i="17"/>
  <c r="CE8" i="37" s="1"/>
  <c r="CE30" i="37" s="1"/>
  <c r="CO63" i="17"/>
  <c r="CO51" i="17"/>
  <c r="CO62" i="17"/>
  <c r="CO79" i="17"/>
  <c r="CE9" i="37" s="1"/>
  <c r="CE31" i="37" s="1"/>
  <c r="CO80" i="17"/>
  <c r="CE10" i="37" s="1"/>
  <c r="CE32" i="37" s="1"/>
  <c r="CO53" i="17"/>
  <c r="CO33" i="17"/>
  <c r="CO36" i="17"/>
  <c r="CT22" i="25"/>
  <c r="CN26" i="17"/>
  <c r="CN92" i="17" s="1"/>
  <c r="CN77" i="17"/>
  <c r="CD7" i="37" s="1"/>
  <c r="CD29" i="37" s="1"/>
  <c r="CN57" i="17"/>
  <c r="CN81" i="17"/>
  <c r="CD11" i="37" s="1"/>
  <c r="CD33" i="37" s="1"/>
  <c r="CN84" i="17"/>
  <c r="CD14" i="37" s="1"/>
  <c r="CD36" i="37" s="1"/>
  <c r="CN82" i="17"/>
  <c r="CD12" i="37" s="1"/>
  <c r="CD34" i="37" s="1"/>
  <c r="CN58" i="17"/>
  <c r="CN56" i="17"/>
  <c r="CN52" i="17"/>
  <c r="CN83" i="17"/>
  <c r="CD13" i="37" s="1"/>
  <c r="CD35" i="37" s="1"/>
  <c r="CN35" i="17"/>
  <c r="CD52" i="37" l="1"/>
  <c r="CD39" i="37"/>
  <c r="CP31" i="17"/>
  <c r="CV21" i="25"/>
  <c r="CP109" i="37"/>
  <c r="CP126" i="37" s="1"/>
  <c r="CP144" i="37" s="1"/>
  <c r="CP111" i="37"/>
  <c r="CP128" i="37" s="1"/>
  <c r="CP146" i="37" s="1"/>
  <c r="CP112" i="37"/>
  <c r="CP129" i="37" s="1"/>
  <c r="CP147" i="37" s="1"/>
  <c r="CP113" i="37"/>
  <c r="CP130" i="37" s="1"/>
  <c r="CP148" i="37" s="1"/>
  <c r="CP108" i="37"/>
  <c r="CP125" i="37" s="1"/>
  <c r="CP143" i="37" s="1"/>
  <c r="CP107" i="37"/>
  <c r="CP124" i="37" s="1"/>
  <c r="CP110" i="37"/>
  <c r="CP127" i="37" s="1"/>
  <c r="CP145" i="37" s="1"/>
  <c r="CP114" i="37"/>
  <c r="CP131" i="37" s="1"/>
  <c r="CP54" i="17"/>
  <c r="CP39" i="17" s="1"/>
  <c r="CP115" i="37"/>
  <c r="CP132" i="37" s="1"/>
  <c r="CP55" i="17"/>
  <c r="CP42" i="17" s="1"/>
  <c r="CP51" i="17"/>
  <c r="CP53" i="17"/>
  <c r="CP62" i="17"/>
  <c r="CP80" i="17"/>
  <c r="CF10" i="37" s="1"/>
  <c r="CF32" i="37" s="1"/>
  <c r="CP79" i="17"/>
  <c r="CF9" i="37" s="1"/>
  <c r="CF31" i="37" s="1"/>
  <c r="CP36" i="17"/>
  <c r="CP76" i="17"/>
  <c r="CF6" i="37" s="1"/>
  <c r="CF28" i="37" s="1"/>
  <c r="CP63" i="17"/>
  <c r="CP78" i="17"/>
  <c r="CF8" i="37" s="1"/>
  <c r="CF30" i="37" s="1"/>
  <c r="CP33" i="17"/>
  <c r="CO26" i="17"/>
  <c r="CO92" i="17" s="1"/>
  <c r="CU22" i="25"/>
  <c r="CO84" i="17"/>
  <c r="CE14" i="37" s="1"/>
  <c r="CE36" i="37" s="1"/>
  <c r="CO52" i="17"/>
  <c r="CO83" i="17"/>
  <c r="CE13" i="37" s="1"/>
  <c r="CE35" i="37" s="1"/>
  <c r="CO77" i="17"/>
  <c r="CE7" i="37" s="1"/>
  <c r="CE29" i="37" s="1"/>
  <c r="CO57" i="17"/>
  <c r="CO56" i="17"/>
  <c r="CO58" i="17"/>
  <c r="CO81" i="17"/>
  <c r="CE11" i="37" s="1"/>
  <c r="CE33" i="37" s="1"/>
  <c r="CO82" i="17"/>
  <c r="CE12" i="37" s="1"/>
  <c r="CE34" i="37" s="1"/>
  <c r="CO144" i="37"/>
  <c r="CO35" i="17"/>
  <c r="CO145" i="37"/>
  <c r="CE39" i="37" l="1"/>
  <c r="CE52" i="37"/>
  <c r="CO153" i="37"/>
  <c r="CP149" i="37"/>
  <c r="CP142" i="37"/>
  <c r="CQ31" i="17"/>
  <c r="CW21" i="25"/>
  <c r="CQ110" i="37"/>
  <c r="CQ127" i="37" s="1"/>
  <c r="CQ111" i="37"/>
  <c r="CQ128" i="37" s="1"/>
  <c r="CQ146" i="37" s="1"/>
  <c r="CQ112" i="37"/>
  <c r="CQ129" i="37" s="1"/>
  <c r="CQ114" i="37"/>
  <c r="CQ131" i="37" s="1"/>
  <c r="CQ149" i="37" s="1"/>
  <c r="CQ108" i="37"/>
  <c r="CQ125" i="37" s="1"/>
  <c r="CQ143" i="37" s="1"/>
  <c r="CQ107" i="37"/>
  <c r="CQ124" i="37" s="1"/>
  <c r="CQ142" i="37" s="1"/>
  <c r="CQ109" i="37"/>
  <c r="CQ126" i="37" s="1"/>
  <c r="CQ144" i="37" s="1"/>
  <c r="CQ54" i="17"/>
  <c r="CQ39" i="17" s="1"/>
  <c r="CQ51" i="17"/>
  <c r="CQ115" i="37"/>
  <c r="CQ132" i="37" s="1"/>
  <c r="CQ150" i="37" s="1"/>
  <c r="CQ113" i="37"/>
  <c r="CQ130" i="37" s="1"/>
  <c r="CQ148" i="37" s="1"/>
  <c r="CQ63" i="17"/>
  <c r="CQ62" i="17"/>
  <c r="CQ80" i="17"/>
  <c r="CG10" i="37" s="1"/>
  <c r="CG32" i="37" s="1"/>
  <c r="CQ55" i="17"/>
  <c r="CQ42" i="17" s="1"/>
  <c r="CQ79" i="17"/>
  <c r="CG9" i="37" s="1"/>
  <c r="CG31" i="37" s="1"/>
  <c r="CQ78" i="17"/>
  <c r="CG8" i="37" s="1"/>
  <c r="CG30" i="37" s="1"/>
  <c r="CQ33" i="17"/>
  <c r="CQ76" i="17"/>
  <c r="CG6" i="37" s="1"/>
  <c r="CG28" i="37" s="1"/>
  <c r="CQ36" i="17"/>
  <c r="CQ53" i="17"/>
  <c r="CV22" i="25"/>
  <c r="CP26" i="17"/>
  <c r="CP92" i="17" s="1"/>
  <c r="CP84" i="17"/>
  <c r="CF14" i="37" s="1"/>
  <c r="CF36" i="37" s="1"/>
  <c r="CP82" i="17"/>
  <c r="CF12" i="37" s="1"/>
  <c r="CF34" i="37" s="1"/>
  <c r="CP83" i="17"/>
  <c r="CF13" i="37" s="1"/>
  <c r="CF35" i="37" s="1"/>
  <c r="CP52" i="17"/>
  <c r="CP57" i="17"/>
  <c r="CP56" i="17"/>
  <c r="CP81" i="17"/>
  <c r="CF11" i="37" s="1"/>
  <c r="CF33" i="37" s="1"/>
  <c r="CP77" i="17"/>
  <c r="CF7" i="37" s="1"/>
  <c r="CF29" i="37" s="1"/>
  <c r="CP58" i="17"/>
  <c r="CP35" i="17"/>
  <c r="CP150" i="37"/>
  <c r="CF39" i="37" l="1"/>
  <c r="CF52" i="37"/>
  <c r="CQ147" i="37"/>
  <c r="CQ145" i="37"/>
  <c r="CR31" i="17"/>
  <c r="CX21" i="25"/>
  <c r="CR107" i="37"/>
  <c r="CR124" i="37" s="1"/>
  <c r="CR109" i="37"/>
  <c r="CR126" i="37" s="1"/>
  <c r="CR110" i="37"/>
  <c r="CR127" i="37" s="1"/>
  <c r="CR145" i="37" s="1"/>
  <c r="CR112" i="37"/>
  <c r="CR129" i="37" s="1"/>
  <c r="CR147" i="37" s="1"/>
  <c r="CR108" i="37"/>
  <c r="CR125" i="37" s="1"/>
  <c r="CR62" i="17"/>
  <c r="CR55" i="17"/>
  <c r="CR42" i="17" s="1"/>
  <c r="CR114" i="37"/>
  <c r="CR131" i="37" s="1"/>
  <c r="CR149" i="37" s="1"/>
  <c r="CR33" i="17"/>
  <c r="CR54" i="17"/>
  <c r="CR39" i="17" s="1"/>
  <c r="CR115" i="37"/>
  <c r="CR132" i="37" s="1"/>
  <c r="CR150" i="37" s="1"/>
  <c r="CR111" i="37"/>
  <c r="CR128" i="37" s="1"/>
  <c r="CR146" i="37" s="1"/>
  <c r="CR113" i="37"/>
  <c r="CR130" i="37" s="1"/>
  <c r="CR148" i="37" s="1"/>
  <c r="CR78" i="17"/>
  <c r="CH8" i="37" s="1"/>
  <c r="CH30" i="37" s="1"/>
  <c r="CR79" i="17"/>
  <c r="CH9" i="37" s="1"/>
  <c r="CH31" i="37" s="1"/>
  <c r="CR51" i="17"/>
  <c r="CR80" i="17"/>
  <c r="CH10" i="37" s="1"/>
  <c r="CH32" i="37" s="1"/>
  <c r="CR36" i="17"/>
  <c r="CR53" i="17"/>
  <c r="CR63" i="17"/>
  <c r="CR76" i="17"/>
  <c r="CH6" i="37" s="1"/>
  <c r="CH28" i="37" s="1"/>
  <c r="CQ35" i="17"/>
  <c r="CP153" i="37"/>
  <c r="CQ26" i="17"/>
  <c r="CQ92" i="17" s="1"/>
  <c r="CW22" i="25"/>
  <c r="CQ77" i="17"/>
  <c r="CG7" i="37" s="1"/>
  <c r="CG29" i="37" s="1"/>
  <c r="CQ83" i="17"/>
  <c r="CG13" i="37" s="1"/>
  <c r="CG35" i="37" s="1"/>
  <c r="CQ52" i="17"/>
  <c r="CQ81" i="17"/>
  <c r="CG11" i="37" s="1"/>
  <c r="CG33" i="37" s="1"/>
  <c r="CQ58" i="17"/>
  <c r="CQ82" i="17"/>
  <c r="CG12" i="37" s="1"/>
  <c r="CG34" i="37" s="1"/>
  <c r="CQ57" i="17"/>
  <c r="CQ56" i="17"/>
  <c r="CQ84" i="17"/>
  <c r="CG14" i="37" s="1"/>
  <c r="CG36" i="37" s="1"/>
  <c r="CQ153" i="37" l="1"/>
  <c r="CG52" i="37"/>
  <c r="CG39" i="37"/>
  <c r="CR144" i="37"/>
  <c r="CR35" i="17"/>
  <c r="CR142" i="37"/>
  <c r="CS31" i="17"/>
  <c r="DS31" i="17" s="1"/>
  <c r="C16" i="4" s="1"/>
  <c r="CS79" i="17"/>
  <c r="CS80" i="17"/>
  <c r="CS109" i="37"/>
  <c r="CS126" i="37" s="1"/>
  <c r="CS144" i="37" s="1"/>
  <c r="CS110" i="37"/>
  <c r="CS127" i="37" s="1"/>
  <c r="CS145" i="37" s="1"/>
  <c r="CS112" i="37"/>
  <c r="CS129" i="37" s="1"/>
  <c r="CS147" i="37" s="1"/>
  <c r="CS108" i="37"/>
  <c r="CS125" i="37" s="1"/>
  <c r="CS143" i="37" s="1"/>
  <c r="CS114" i="37"/>
  <c r="CS131" i="37" s="1"/>
  <c r="CS107" i="37"/>
  <c r="CS124" i="37" s="1"/>
  <c r="CS142" i="37" s="1"/>
  <c r="CS111" i="37"/>
  <c r="CS128" i="37" s="1"/>
  <c r="CS146" i="37" s="1"/>
  <c r="CS113" i="37"/>
  <c r="CS130" i="37" s="1"/>
  <c r="CS54" i="17"/>
  <c r="CS55" i="17"/>
  <c r="CS33" i="17"/>
  <c r="CS78" i="17"/>
  <c r="CS76" i="17"/>
  <c r="CS115" i="37"/>
  <c r="CS132" i="37" s="1"/>
  <c r="CY21" i="25"/>
  <c r="CZ21" i="25" s="1"/>
  <c r="DA21" i="25" s="1"/>
  <c r="DB21" i="25" s="1"/>
  <c r="DC21" i="25" s="1"/>
  <c r="DD21" i="25" s="1"/>
  <c r="DE21" i="25" s="1"/>
  <c r="DF21" i="25" s="1"/>
  <c r="DG21" i="25" s="1"/>
  <c r="DH21" i="25" s="1"/>
  <c r="DI21" i="25" s="1"/>
  <c r="DJ21" i="25" s="1"/>
  <c r="DK21" i="25" s="1"/>
  <c r="DL21" i="25" s="1"/>
  <c r="DM21" i="25" s="1"/>
  <c r="DN21" i="25" s="1"/>
  <c r="DO21" i="25" s="1"/>
  <c r="DP21" i="25" s="1"/>
  <c r="DQ21" i="25" s="1"/>
  <c r="DR21" i="25" s="1"/>
  <c r="DS21" i="25" s="1"/>
  <c r="DT21" i="25" s="1"/>
  <c r="DU21" i="25" s="1"/>
  <c r="DV21" i="25" s="1"/>
  <c r="DW21" i="25" s="1"/>
  <c r="CS53" i="17"/>
  <c r="DS53" i="17" s="1"/>
  <c r="CS51" i="17"/>
  <c r="DS51" i="17" s="1"/>
  <c r="CS62" i="17"/>
  <c r="DS62" i="17" s="1"/>
  <c r="CS63" i="17"/>
  <c r="DS63" i="17" s="1"/>
  <c r="CS36" i="17"/>
  <c r="DS36" i="17" s="1"/>
  <c r="C19" i="4" s="1"/>
  <c r="CX22" i="25"/>
  <c r="CR26" i="17"/>
  <c r="CR92" i="17" s="1"/>
  <c r="CR56" i="17"/>
  <c r="CR58" i="17"/>
  <c r="CR83" i="17"/>
  <c r="CH13" i="37" s="1"/>
  <c r="CH35" i="37" s="1"/>
  <c r="CR77" i="17"/>
  <c r="CH7" i="37" s="1"/>
  <c r="CH29" i="37" s="1"/>
  <c r="CR82" i="17"/>
  <c r="CH12" i="37" s="1"/>
  <c r="CH34" i="37" s="1"/>
  <c r="CR81" i="17"/>
  <c r="CH11" i="37" s="1"/>
  <c r="CH33" i="37" s="1"/>
  <c r="CR84" i="17"/>
  <c r="CH14" i="37" s="1"/>
  <c r="CH36" i="37" s="1"/>
  <c r="CR57" i="17"/>
  <c r="CR52" i="17"/>
  <c r="CR143" i="37"/>
  <c r="G107" i="4" l="1" a="1"/>
  <c r="G107" i="4" s="1"/>
  <c r="CH39" i="37"/>
  <c r="CH52" i="37"/>
  <c r="G111" i="4" a="1"/>
  <c r="G111" i="4" s="1"/>
  <c r="CI9" i="37"/>
  <c r="CI31" i="37" s="1"/>
  <c r="DS79" i="17"/>
  <c r="CI8" i="37"/>
  <c r="CI30" i="37" s="1"/>
  <c r="DS78" i="17"/>
  <c r="DS33" i="17"/>
  <c r="C6" i="46"/>
  <c r="C28" i="38"/>
  <c r="CS42" i="17"/>
  <c r="DS42" i="17" s="1"/>
  <c r="DS55" i="17"/>
  <c r="CS39" i="17"/>
  <c r="DS54" i="17"/>
  <c r="CI6" i="37"/>
  <c r="CI28" i="37" s="1"/>
  <c r="DS76" i="17"/>
  <c r="C31" i="38"/>
  <c r="C9" i="46"/>
  <c r="CI10" i="37"/>
  <c r="CI32" i="37" s="1"/>
  <c r="DS80" i="17"/>
  <c r="G106" i="4" a="1"/>
  <c r="G106" i="4" s="1"/>
  <c r="G110" i="4" a="1"/>
  <c r="G110" i="4" s="1"/>
  <c r="CS150" i="37"/>
  <c r="G114" i="4" a="1"/>
  <c r="G114" i="4" s="1"/>
  <c r="CR153" i="37"/>
  <c r="CS148" i="37"/>
  <c r="G112" i="4" a="1"/>
  <c r="G112" i="4" s="1"/>
  <c r="G108" i="4" a="1"/>
  <c r="G108" i="4" s="1"/>
  <c r="CS149" i="37"/>
  <c r="G113" i="4" a="1"/>
  <c r="G113" i="4" s="1"/>
  <c r="CS26" i="17"/>
  <c r="CY22" i="25"/>
  <c r="CZ22" i="25" s="1"/>
  <c r="DA22" i="25" s="1"/>
  <c r="DB22" i="25" s="1"/>
  <c r="DC22" i="25" s="1"/>
  <c r="DD22" i="25" s="1"/>
  <c r="DE22" i="25" s="1"/>
  <c r="DF22" i="25" s="1"/>
  <c r="DG22" i="25" s="1"/>
  <c r="DH22" i="25" s="1"/>
  <c r="DI22" i="25" s="1"/>
  <c r="DJ22" i="25" s="1"/>
  <c r="DK22" i="25" s="1"/>
  <c r="DL22" i="25" s="1"/>
  <c r="DM22" i="25" s="1"/>
  <c r="DN22" i="25" s="1"/>
  <c r="DO22" i="25" s="1"/>
  <c r="DP22" i="25" s="1"/>
  <c r="DQ22" i="25" s="1"/>
  <c r="DR22" i="25" s="1"/>
  <c r="DS22" i="25" s="1"/>
  <c r="DT22" i="25" s="1"/>
  <c r="DU22" i="25" s="1"/>
  <c r="DV22" i="25" s="1"/>
  <c r="DW22" i="25" s="1"/>
  <c r="M61" i="17" s="1" a="1"/>
  <c r="CS84" i="17"/>
  <c r="CS81" i="17"/>
  <c r="CS83" i="17"/>
  <c r="CS82" i="17"/>
  <c r="CS77" i="17"/>
  <c r="CS58" i="17"/>
  <c r="DS58" i="17" s="1"/>
  <c r="CS56" i="17"/>
  <c r="DS56" i="17" s="1"/>
  <c r="CS52" i="17"/>
  <c r="DS52" i="17" s="1"/>
  <c r="CS57" i="17"/>
  <c r="DS57" i="17" s="1"/>
  <c r="G109" i="4" a="1"/>
  <c r="G109" i="4" s="1"/>
  <c r="CS35" i="17"/>
  <c r="DS35" i="17" s="1"/>
  <c r="DS39" i="17" l="1"/>
  <c r="D50" i="44"/>
  <c r="CI52" i="37"/>
  <c r="H31" i="38"/>
  <c r="I31" i="38"/>
  <c r="L31" i="38"/>
  <c r="H28" i="38"/>
  <c r="D28" i="38"/>
  <c r="K28" i="38" s="1"/>
  <c r="I28" i="38"/>
  <c r="L28" i="38"/>
  <c r="CI14" i="37"/>
  <c r="CI36" i="37" s="1"/>
  <c r="DS84" i="17"/>
  <c r="CS92" i="17"/>
  <c r="DS26" i="17"/>
  <c r="CI7" i="37"/>
  <c r="CI29" i="37" s="1"/>
  <c r="DS77" i="17"/>
  <c r="CI12" i="37"/>
  <c r="CI34" i="37" s="1"/>
  <c r="DS82" i="17"/>
  <c r="CI13" i="37"/>
  <c r="CI35" i="37" s="1"/>
  <c r="DS83" i="17"/>
  <c r="CI11" i="37"/>
  <c r="CI33" i="37" s="1"/>
  <c r="DS81" i="17"/>
  <c r="CS153" i="37"/>
  <c r="D51" i="44"/>
  <c r="G117" i="4"/>
  <c r="M61" i="17"/>
  <c r="R94" i="17"/>
  <c r="O94" i="17"/>
  <c r="S94" i="17"/>
  <c r="V94" i="17"/>
  <c r="U94" i="17"/>
  <c r="N94" i="17"/>
  <c r="Q94" i="17"/>
  <c r="P94" i="17"/>
  <c r="T94" i="17"/>
  <c r="CV53" i="37"/>
  <c r="CV57" i="37" s="1"/>
  <c r="CV68" i="37" s="1"/>
  <c r="DH53" i="37"/>
  <c r="DH57" i="37" s="1"/>
  <c r="DH68" i="37" s="1"/>
  <c r="DB53" i="37"/>
  <c r="DB57" i="37" s="1"/>
  <c r="DB68" i="37" s="1"/>
  <c r="DG53" i="37"/>
  <c r="DG57" i="37" s="1"/>
  <c r="DG68" i="37" s="1"/>
  <c r="CO53" i="37"/>
  <c r="CO57" i="37" s="1"/>
  <c r="CO68" i="37" s="1"/>
  <c r="O53" i="37"/>
  <c r="CC53" i="37"/>
  <c r="BZ53" i="37"/>
  <c r="BU53" i="37"/>
  <c r="BE53" i="37"/>
  <c r="BB53" i="37"/>
  <c r="CS53" i="37"/>
  <c r="CS57" i="37" s="1"/>
  <c r="CS68" i="37" s="1"/>
  <c r="CY53" i="37"/>
  <c r="CY57" i="37" s="1"/>
  <c r="CY68" i="37" s="1"/>
  <c r="AW53" i="37"/>
  <c r="V53" i="37"/>
  <c r="BO53" i="37"/>
  <c r="AD53" i="37"/>
  <c r="BD53" i="37"/>
  <c r="CU53" i="37"/>
  <c r="CU57" i="37" s="1"/>
  <c r="CU68" i="37" s="1"/>
  <c r="AT53" i="37"/>
  <c r="CX53" i="37"/>
  <c r="CX57" i="37" s="1"/>
  <c r="CX68" i="37" s="1"/>
  <c r="AR53" i="37"/>
  <c r="AG53" i="37"/>
  <c r="BP53" i="37"/>
  <c r="M53" i="37"/>
  <c r="AZ53" i="37"/>
  <c r="X53" i="37"/>
  <c r="AO53" i="37"/>
  <c r="K53" i="37"/>
  <c r="K57" i="37" s="1"/>
  <c r="K68" i="37" s="1"/>
  <c r="BV53" i="37"/>
  <c r="BS53" i="37"/>
  <c r="AN53" i="37"/>
  <c r="H53" i="37"/>
  <c r="H57" i="37" s="1"/>
  <c r="H68" i="37" s="1"/>
  <c r="E53" i="37"/>
  <c r="E57" i="37" s="1"/>
  <c r="E68" i="37" s="1"/>
  <c r="I53" i="37"/>
  <c r="I57" i="37" s="1"/>
  <c r="I68" i="37" s="1"/>
  <c r="CH53" i="37"/>
  <c r="N53" i="37"/>
  <c r="F53" i="37"/>
  <c r="F57" i="37" s="1"/>
  <c r="F68" i="37" s="1"/>
  <c r="CQ53" i="37"/>
  <c r="CQ57" i="37" s="1"/>
  <c r="CQ68" i="37" s="1"/>
  <c r="CG53" i="37"/>
  <c r="CR53" i="37"/>
  <c r="CR57" i="37" s="1"/>
  <c r="CR68" i="37" s="1"/>
  <c r="AS53" i="37"/>
  <c r="CT53" i="37"/>
  <c r="CT57" i="37" s="1"/>
  <c r="CT68" i="37" s="1"/>
  <c r="CN53" i="37"/>
  <c r="CN57" i="37" s="1"/>
  <c r="CN68" i="37" s="1"/>
  <c r="BH53" i="37"/>
  <c r="AE53" i="37"/>
  <c r="BC53" i="37"/>
  <c r="AF53" i="37"/>
  <c r="BN53" i="37"/>
  <c r="AV53" i="37"/>
  <c r="CF53" i="37"/>
  <c r="AB53" i="37"/>
  <c r="J53" i="37"/>
  <c r="J57" i="37" s="1"/>
  <c r="J68" i="37" s="1"/>
  <c r="L53" i="37"/>
  <c r="L57" i="37" s="1"/>
  <c r="L68" i="37" s="1"/>
  <c r="AP53" i="37"/>
  <c r="S53" i="37"/>
  <c r="CL53" i="37"/>
  <c r="CL57" i="37" s="1"/>
  <c r="CL68" i="37" s="1"/>
  <c r="DC53" i="37"/>
  <c r="DC57" i="37" s="1"/>
  <c r="DC68" i="37" s="1"/>
  <c r="CZ53" i="37"/>
  <c r="CZ57" i="37" s="1"/>
  <c r="CZ68" i="37" s="1"/>
  <c r="W53" i="37"/>
  <c r="BT53" i="37"/>
  <c r="AM53" i="37"/>
  <c r="BF53" i="37"/>
  <c r="DA53" i="37"/>
  <c r="DA57" i="37" s="1"/>
  <c r="DA68" i="37" s="1"/>
  <c r="Y53" i="37"/>
  <c r="BX53" i="37"/>
  <c r="AK53" i="37"/>
  <c r="CK53" i="37"/>
  <c r="CK57" i="37" s="1"/>
  <c r="CK68" i="37" s="1"/>
  <c r="U53" i="37"/>
  <c r="CD53" i="37"/>
  <c r="BL53" i="37"/>
  <c r="Z53" i="37"/>
  <c r="G53" i="37"/>
  <c r="G57" i="37" s="1"/>
  <c r="G68" i="37" s="1"/>
  <c r="CP53" i="37"/>
  <c r="CP57" i="37" s="1"/>
  <c r="CP68" i="37" s="1"/>
  <c r="AI53" i="37"/>
  <c r="BM53" i="37"/>
  <c r="CJ53" i="37"/>
  <c r="CJ57" i="37" s="1"/>
  <c r="CJ68" i="37" s="1"/>
  <c r="BK53" i="37"/>
  <c r="Q53" i="37"/>
  <c r="BW53" i="37"/>
  <c r="BR53" i="37"/>
  <c r="CI53" i="37"/>
  <c r="AQ53" i="37"/>
  <c r="AX53" i="37"/>
  <c r="CA53" i="37"/>
  <c r="T53" i="37"/>
  <c r="BY53" i="37"/>
  <c r="P53" i="37"/>
  <c r="AY53" i="37"/>
  <c r="CB53" i="37"/>
  <c r="AJ53" i="37"/>
  <c r="R53" i="37"/>
  <c r="BI53" i="37"/>
  <c r="AC53" i="37"/>
  <c r="CE53" i="37"/>
  <c r="BA53" i="37"/>
  <c r="BG53" i="37"/>
  <c r="BQ53" i="37"/>
  <c r="CM53" i="37"/>
  <c r="CM57" i="37" s="1"/>
  <c r="CM68" i="37" s="1"/>
  <c r="BJ53" i="37"/>
  <c r="CW53" i="37"/>
  <c r="CW57" i="37" s="1"/>
  <c r="CW68" i="37" s="1"/>
  <c r="DD53" i="37"/>
  <c r="DD57" i="37" s="1"/>
  <c r="DD68" i="37" s="1"/>
  <c r="AL53" i="37"/>
  <c r="DE53" i="37"/>
  <c r="DE57" i="37" s="1"/>
  <c r="DE68" i="37" s="1"/>
  <c r="AH53" i="37"/>
  <c r="AU53" i="37"/>
  <c r="DF53" i="37"/>
  <c r="DF57" i="37" s="1"/>
  <c r="DF68" i="37" s="1"/>
  <c r="D53" i="37"/>
  <c r="D57" i="37" s="1"/>
  <c r="D68" i="37" s="1"/>
  <c r="AA53" i="37"/>
  <c r="D52" i="44" l="1"/>
  <c r="CI39" i="37"/>
  <c r="C33" i="4"/>
  <c r="C51" i="38" s="1"/>
  <c r="J28" i="38"/>
  <c r="G28" i="38"/>
  <c r="F28" i="38"/>
  <c r="C12" i="4"/>
  <c r="D64" i="38"/>
  <c r="E64" i="38"/>
  <c r="DS92" i="17"/>
  <c r="M94" i="17"/>
  <c r="DS61" i="17"/>
  <c r="C24" i="4" s="1"/>
  <c r="C53" i="37"/>
  <c r="C57" i="37" s="1"/>
  <c r="C68" i="37" s="1"/>
  <c r="C19" i="46" l="1"/>
  <c r="C4" i="46"/>
  <c r="C21" i="38"/>
  <c r="G25" i="4"/>
  <c r="H51" i="38"/>
  <c r="I51" i="38"/>
  <c r="C12" i="46"/>
  <c r="C39" i="38"/>
  <c r="I21" i="38" l="1"/>
  <c r="H21" i="38"/>
  <c r="L21" i="38"/>
  <c r="I39" i="38"/>
  <c r="H39" i="38"/>
  <c r="L51" i="38" l="1"/>
  <c r="L45" i="17" l="1"/>
  <c r="AN70" i="25" l="1"/>
  <c r="EH70" i="25" s="1"/>
  <c r="AM70" i="25"/>
  <c r="H60" i="25" s="1"/>
  <c r="C114" i="3" l="1"/>
  <c r="C53" i="3"/>
  <c r="C78" i="3"/>
  <c r="C73" i="3"/>
  <c r="C58" i="3"/>
  <c r="C70" i="3"/>
  <c r="C110" i="3"/>
  <c r="C86" i="3"/>
  <c r="C106" i="3"/>
  <c r="C72" i="3"/>
  <c r="C37" i="3"/>
  <c r="C46" i="3"/>
  <c r="C79" i="3"/>
  <c r="C39" i="3"/>
  <c r="C122" i="3"/>
  <c r="C44" i="3"/>
  <c r="C26" i="3"/>
  <c r="C85" i="3"/>
  <c r="C116" i="3"/>
  <c r="C97" i="3"/>
  <c r="C71" i="3"/>
  <c r="C111" i="3"/>
  <c r="C82" i="3"/>
  <c r="C125" i="3"/>
  <c r="C33" i="3"/>
  <c r="C49" i="3"/>
  <c r="C55" i="3"/>
  <c r="C107" i="3"/>
  <c r="C87" i="3"/>
  <c r="C28" i="3"/>
  <c r="C76" i="3"/>
  <c r="C74" i="3"/>
  <c r="C105" i="3"/>
  <c r="C83" i="3"/>
  <c r="C89" i="3"/>
  <c r="C168" i="3"/>
  <c r="C127" i="3"/>
  <c r="C90" i="3"/>
  <c r="C101" i="3"/>
  <c r="C113" i="3"/>
  <c r="C51" i="3"/>
  <c r="C98" i="3"/>
  <c r="C35" i="3"/>
  <c r="C77" i="3"/>
  <c r="C103" i="3"/>
  <c r="C63" i="3"/>
  <c r="C41" i="3"/>
  <c r="C38" i="3"/>
  <c r="C50" i="3"/>
  <c r="C25" i="3"/>
  <c r="C115" i="3"/>
  <c r="C108" i="3"/>
  <c r="C69" i="3"/>
  <c r="C99" i="3"/>
  <c r="C130" i="3"/>
  <c r="C48" i="3"/>
  <c r="C31" i="3"/>
  <c r="C57" i="3"/>
  <c r="C91" i="3"/>
  <c r="C94" i="3"/>
  <c r="C66" i="3"/>
  <c r="C104" i="3"/>
  <c r="C102" i="3"/>
  <c r="C96" i="3"/>
  <c r="C61" i="3"/>
  <c r="C120" i="3"/>
  <c r="C27" i="3"/>
  <c r="C32" i="3"/>
  <c r="C60" i="3"/>
  <c r="C47" i="3"/>
  <c r="C93" i="3"/>
  <c r="C109" i="3"/>
  <c r="C68" i="3"/>
  <c r="C81" i="3"/>
  <c r="C119" i="3"/>
  <c r="C29" i="3"/>
  <c r="C92" i="3"/>
  <c r="C65" i="3"/>
  <c r="C100" i="3"/>
  <c r="C80" i="3"/>
  <c r="C84" i="3"/>
  <c r="C56" i="3"/>
  <c r="C62" i="3"/>
  <c r="C64" i="3"/>
  <c r="C121" i="3"/>
  <c r="C42" i="3"/>
  <c r="C45" i="3"/>
  <c r="C124" i="3"/>
  <c r="C54" i="3"/>
  <c r="C75" i="3"/>
  <c r="C95" i="3"/>
  <c r="C112" i="3"/>
  <c r="C67" i="3"/>
  <c r="C126" i="3"/>
  <c r="C52" i="3"/>
  <c r="C34" i="3"/>
  <c r="C40" i="3"/>
  <c r="C129" i="3"/>
  <c r="C131" i="3"/>
  <c r="C36" i="3"/>
  <c r="C43" i="3"/>
  <c r="C132" i="3"/>
  <c r="C30" i="3"/>
  <c r="C167" i="3"/>
  <c r="H61" i="25" a="1"/>
  <c r="H61" i="25" s="1"/>
  <c r="DI70" i="25"/>
  <c r="BE70" i="25"/>
  <c r="CT70" i="25"/>
  <c r="BC70" i="25"/>
  <c r="DX70" i="25"/>
  <c r="DP70" i="25"/>
  <c r="BH70" i="25"/>
  <c r="DU70" i="25"/>
  <c r="CV70" i="25"/>
  <c r="EI70" i="25"/>
  <c r="AY70" i="25"/>
  <c r="BM70" i="25"/>
  <c r="DR70" i="25"/>
  <c r="BX70" i="25"/>
  <c r="CJ70" i="25"/>
  <c r="EG70" i="25"/>
  <c r="CD70" i="25"/>
  <c r="EA70" i="25"/>
  <c r="CF70" i="25"/>
  <c r="BN70" i="25"/>
  <c r="BO70" i="25"/>
  <c r="CK70" i="25"/>
  <c r="H62" i="25"/>
  <c r="DF70" i="25"/>
  <c r="BW70" i="25"/>
  <c r="CQ70" i="25"/>
  <c r="DK70" i="25"/>
  <c r="CS70" i="25"/>
  <c r="EL70" i="25"/>
  <c r="CZ70" i="25"/>
  <c r="CE70" i="25"/>
  <c r="CY70" i="25"/>
  <c r="CA70" i="25"/>
  <c r="CH70" i="25"/>
  <c r="BD70" i="25"/>
  <c r="DT70" i="25"/>
  <c r="CU70" i="25"/>
  <c r="AT70" i="25"/>
  <c r="EN70" i="25"/>
  <c r="AR70" i="25"/>
  <c r="CP70" i="25"/>
  <c r="BR70" i="25"/>
  <c r="EK70" i="25"/>
  <c r="CN70" i="25"/>
  <c r="BK70" i="25"/>
  <c r="DC70" i="25"/>
  <c r="DL70" i="25"/>
  <c r="AX70" i="25"/>
  <c r="CB70" i="25"/>
  <c r="DQ70" i="25"/>
  <c r="CC70" i="25"/>
  <c r="DA70" i="25"/>
  <c r="BF70" i="25"/>
  <c r="DV70" i="25"/>
  <c r="AQ70" i="25"/>
  <c r="AO70" i="25"/>
  <c r="AP70" i="25"/>
  <c r="BZ70" i="25"/>
  <c r="BI70" i="25"/>
  <c r="DW70" i="25"/>
  <c r="BS70" i="25"/>
  <c r="AW70" i="25"/>
  <c r="BJ70" i="25"/>
  <c r="DJ70" i="25"/>
  <c r="CX70" i="25"/>
  <c r="BL70" i="25"/>
  <c r="DG70" i="25"/>
  <c r="CR70" i="25"/>
  <c r="DN70" i="25"/>
  <c r="AV70" i="25"/>
  <c r="EF70" i="25"/>
  <c r="AS70" i="25"/>
  <c r="BA70" i="25"/>
  <c r="CO70" i="25"/>
  <c r="BG70" i="25"/>
  <c r="EJ70" i="25"/>
  <c r="CM70" i="25"/>
  <c r="CL70" i="25"/>
  <c r="CW70" i="25"/>
  <c r="EB70" i="25"/>
  <c r="BT70" i="25"/>
  <c r="AZ70" i="25"/>
  <c r="DZ70" i="25"/>
  <c r="DM70" i="25"/>
  <c r="DD70" i="25"/>
  <c r="DY70" i="25"/>
  <c r="DE70" i="25"/>
  <c r="EC70" i="25"/>
  <c r="DO70" i="25"/>
  <c r="ED70" i="25"/>
  <c r="DB70" i="25"/>
  <c r="AU70" i="25"/>
  <c r="BB70" i="25"/>
  <c r="EE70" i="25"/>
  <c r="BP70" i="25"/>
  <c r="DS70" i="25"/>
  <c r="CI70" i="25"/>
  <c r="BV70" i="25"/>
  <c r="EM70" i="25"/>
  <c r="EO70" i="25"/>
  <c r="BU70" i="25"/>
  <c r="DH70" i="25"/>
  <c r="CG70" i="25"/>
  <c r="BY70" i="25"/>
  <c r="BQ70" i="25"/>
  <c r="R14" i="25" l="1"/>
  <c r="S14" i="25" s="1"/>
  <c r="T14" i="25" s="1"/>
  <c r="U14" i="25" s="1"/>
  <c r="V14" i="25" s="1"/>
  <c r="W14" i="25" s="1"/>
  <c r="X14" i="25" s="1"/>
  <c r="Y14" i="25" s="1"/>
  <c r="Z14" i="25" s="1"/>
  <c r="AA14" i="25" s="1"/>
  <c r="AB14" i="25" s="1"/>
  <c r="AC14" i="25" l="1"/>
  <c r="W13" i="17"/>
  <c r="W12" i="17"/>
  <c r="W23" i="17"/>
  <c r="W24" i="17"/>
  <c r="W22" i="17"/>
  <c r="W14" i="17"/>
  <c r="W15" i="17"/>
  <c r="W16" i="17"/>
  <c r="L28" i="17"/>
  <c r="L71" i="17"/>
  <c r="AM75" i="25"/>
  <c r="AM66" i="25" s="1"/>
  <c r="F142" i="3" s="1"/>
  <c r="D142" i="3" s="1"/>
  <c r="AH66" i="25"/>
  <c r="AI66" i="25"/>
  <c r="AL66" i="25"/>
  <c r="L66" i="25"/>
  <c r="F294" i="3" s="1"/>
  <c r="D294" i="3" s="1"/>
  <c r="AJ66" i="25"/>
  <c r="F135" i="3" s="1"/>
  <c r="D135" i="3" s="1"/>
  <c r="Z66" i="25"/>
  <c r="W66" i="25"/>
  <c r="AC66" i="25"/>
  <c r="P66" i="25"/>
  <c r="T66" i="25"/>
  <c r="U66" i="25"/>
  <c r="M66" i="25"/>
  <c r="AG66" i="25"/>
  <c r="AD66" i="25"/>
  <c r="V66" i="25"/>
  <c r="AA66" i="25"/>
  <c r="Y66" i="25"/>
  <c r="N66" i="25"/>
  <c r="AB66" i="25"/>
  <c r="S66" i="25"/>
  <c r="AE66" i="25"/>
  <c r="X66" i="25"/>
  <c r="R66" i="25"/>
  <c r="O66" i="25"/>
  <c r="Q66" i="25"/>
  <c r="AK66" i="25"/>
  <c r="AF66" i="25"/>
  <c r="AD14" i="25" l="1"/>
  <c r="X24" i="17"/>
  <c r="X15" i="17"/>
  <c r="X16" i="17"/>
  <c r="X14" i="17"/>
  <c r="X23" i="17"/>
  <c r="X12" i="17"/>
  <c r="X22" i="17"/>
  <c r="X13" i="17"/>
  <c r="F375" i="3"/>
  <c r="D375" i="3" s="1"/>
  <c r="F423" i="3"/>
  <c r="D423" i="3" s="1"/>
  <c r="F374" i="3"/>
  <c r="D374" i="3" s="1"/>
  <c r="F373" i="3"/>
  <c r="D373" i="3" s="1"/>
  <c r="F424" i="3"/>
  <c r="D424" i="3" s="1"/>
  <c r="F297" i="3"/>
  <c r="D297" i="3" s="1"/>
  <c r="F422" i="3"/>
  <c r="D422" i="3" s="1"/>
  <c r="F311" i="3"/>
  <c r="D311" i="3" s="1"/>
  <c r="F300" i="3"/>
  <c r="D300" i="3" s="1"/>
  <c r="V13" i="25"/>
  <c r="T13" i="25"/>
  <c r="F309" i="3"/>
  <c r="D309" i="3" s="1"/>
  <c r="W13" i="25"/>
  <c r="X13" i="25" s="1"/>
  <c r="Y13" i="25" s="1"/>
  <c r="Z13" i="25" s="1"/>
  <c r="AA13" i="25" s="1"/>
  <c r="AB13" i="25" s="1"/>
  <c r="F330" i="3"/>
  <c r="D330" i="3" s="1"/>
  <c r="AN75" i="25"/>
  <c r="F350" i="3"/>
  <c r="D350" i="3" s="1"/>
  <c r="F393" i="3"/>
  <c r="D393" i="3" s="1"/>
  <c r="R13" i="25"/>
  <c r="U13" i="25"/>
  <c r="F329" i="3"/>
  <c r="D329" i="3" s="1"/>
  <c r="H59" i="25"/>
  <c r="F384" i="3"/>
  <c r="D384" i="3" s="1"/>
  <c r="S13" i="25"/>
  <c r="F383" i="3"/>
  <c r="D383" i="3" s="1"/>
  <c r="F336" i="3"/>
  <c r="D336" i="3" s="1"/>
  <c r="F324" i="3"/>
  <c r="D324" i="3" s="1"/>
  <c r="F320" i="3"/>
  <c r="D320" i="3" s="1"/>
  <c r="F146" i="3"/>
  <c r="D146" i="3" s="1"/>
  <c r="C20" i="15" s="1"/>
  <c r="F321" i="3"/>
  <c r="D321" i="3" s="1"/>
  <c r="F303" i="3"/>
  <c r="D303" i="3" s="1"/>
  <c r="F144" i="3"/>
  <c r="D144" i="3" s="1"/>
  <c r="D19" i="15" s="1"/>
  <c r="F312" i="3"/>
  <c r="D312" i="3" s="1"/>
  <c r="F392" i="3"/>
  <c r="D392" i="3" s="1"/>
  <c r="D18" i="16"/>
  <c r="E18" i="16"/>
  <c r="C18" i="16"/>
  <c r="E35" i="13"/>
  <c r="F28" i="17" s="1"/>
  <c r="C35" i="13"/>
  <c r="D28" i="17" s="1"/>
  <c r="D35" i="13"/>
  <c r="E28" i="17" s="1"/>
  <c r="F295" i="3"/>
  <c r="D295" i="3" s="1"/>
  <c r="F358" i="3"/>
  <c r="D358" i="3" s="1"/>
  <c r="F292" i="3"/>
  <c r="D292" i="3" s="1"/>
  <c r="F363" i="3"/>
  <c r="D363" i="3" s="1"/>
  <c r="F427" i="3"/>
  <c r="D427" i="3" s="1"/>
  <c r="F412" i="3"/>
  <c r="D412" i="3" s="1"/>
  <c r="F298" i="3"/>
  <c r="D298" i="3" s="1"/>
  <c r="F402" i="3"/>
  <c r="D402" i="3" s="1"/>
  <c r="F368" i="3"/>
  <c r="D368" i="3" s="1"/>
  <c r="F364" i="3"/>
  <c r="D364" i="3" s="1"/>
  <c r="F354" i="3"/>
  <c r="D354" i="3" s="1"/>
  <c r="F353" i="3"/>
  <c r="D353" i="3" s="1"/>
  <c r="F399" i="3"/>
  <c r="D399" i="3" s="1"/>
  <c r="F429" i="3"/>
  <c r="D429" i="3" s="1"/>
  <c r="F418" i="3"/>
  <c r="D418" i="3" s="1"/>
  <c r="F333" i="3"/>
  <c r="D333" i="3" s="1"/>
  <c r="F337" i="3"/>
  <c r="D337" i="3" s="1"/>
  <c r="F394" i="3"/>
  <c r="D394" i="3" s="1"/>
  <c r="F346" i="3"/>
  <c r="D346" i="3" s="1"/>
  <c r="F286" i="3"/>
  <c r="D286" i="3" s="1"/>
  <c r="F385" i="3"/>
  <c r="D385" i="3" s="1"/>
  <c r="F296" i="3"/>
  <c r="D296" i="3" s="1"/>
  <c r="F332" i="3"/>
  <c r="D332" i="3" s="1"/>
  <c r="F398" i="3"/>
  <c r="D398" i="3" s="1"/>
  <c r="F359" i="3"/>
  <c r="D359" i="3" s="1"/>
  <c r="F397" i="3"/>
  <c r="D397" i="3" s="1"/>
  <c r="F293" i="3"/>
  <c r="D293" i="3" s="1"/>
  <c r="F365" i="3"/>
  <c r="D365" i="3" s="1"/>
  <c r="F360" i="3"/>
  <c r="D360" i="3" s="1"/>
  <c r="F414" i="3"/>
  <c r="D414" i="3" s="1"/>
  <c r="F369" i="3"/>
  <c r="D369" i="3" s="1"/>
  <c r="F345" i="3"/>
  <c r="D345" i="3" s="1"/>
  <c r="F304" i="3"/>
  <c r="D304" i="3" s="1"/>
  <c r="F328" i="3"/>
  <c r="D328" i="3" s="1"/>
  <c r="F370" i="3"/>
  <c r="D370" i="3" s="1"/>
  <c r="F417" i="3"/>
  <c r="D417" i="3" s="1"/>
  <c r="F355" i="3"/>
  <c r="D355" i="3" s="1"/>
  <c r="F413" i="3"/>
  <c r="D413" i="3" s="1"/>
  <c r="F313" i="3"/>
  <c r="D313" i="3" s="1"/>
  <c r="F305" i="3"/>
  <c r="D305" i="3" s="1"/>
  <c r="F340" i="3"/>
  <c r="D340" i="3" s="1"/>
  <c r="F323" i="3"/>
  <c r="D323" i="3" s="1"/>
  <c r="F404" i="3"/>
  <c r="D404" i="3" s="1"/>
  <c r="F403" i="3"/>
  <c r="D403" i="3" s="1"/>
  <c r="F419" i="3"/>
  <c r="D419" i="3" s="1"/>
  <c r="F428" i="3"/>
  <c r="D428" i="3" s="1"/>
  <c r="F344" i="3"/>
  <c r="D344" i="3" s="1"/>
  <c r="F315" i="3"/>
  <c r="D315" i="3" s="1"/>
  <c r="F307" i="3"/>
  <c r="D307" i="3" s="1"/>
  <c r="F334" i="3"/>
  <c r="D334" i="3" s="1"/>
  <c r="F338" i="3"/>
  <c r="D338" i="3" s="1"/>
  <c r="F291" i="3"/>
  <c r="D291" i="3" s="1"/>
  <c r="F348" i="3"/>
  <c r="D348" i="3" s="1"/>
  <c r="F290" i="3"/>
  <c r="D290" i="3" s="1"/>
  <c r="F341" i="3"/>
  <c r="D341" i="3" s="1"/>
  <c r="F317" i="3"/>
  <c r="D317" i="3" s="1"/>
  <c r="F342" i="3"/>
  <c r="D342" i="3" s="1"/>
  <c r="F288" i="3"/>
  <c r="D288" i="3" s="1"/>
  <c r="F316" i="3"/>
  <c r="D316" i="3" s="1"/>
  <c r="F287" i="3"/>
  <c r="D287" i="3" s="1"/>
  <c r="F308" i="3"/>
  <c r="D308" i="3" s="1"/>
  <c r="F349" i="3"/>
  <c r="D349" i="3" s="1"/>
  <c r="F325" i="3"/>
  <c r="D325" i="3" s="1"/>
  <c r="F319" i="3"/>
  <c r="D319" i="3" s="1"/>
  <c r="C15" i="15"/>
  <c r="C142" i="3"/>
  <c r="D15" i="15"/>
  <c r="E15" i="15"/>
  <c r="F147" i="3"/>
  <c r="D147" i="3" s="1"/>
  <c r="F145" i="3"/>
  <c r="D145" i="3" s="1"/>
  <c r="F148" i="3"/>
  <c r="D148" i="3" s="1"/>
  <c r="F139" i="3"/>
  <c r="D139" i="3" s="1"/>
  <c r="F141" i="3"/>
  <c r="D141" i="3" s="1"/>
  <c r="AC13" i="25" l="1"/>
  <c r="W19" i="17"/>
  <c r="W20" i="17"/>
  <c r="W18" i="17"/>
  <c r="AE14" i="25"/>
  <c r="Y12" i="17"/>
  <c r="Y16" i="17"/>
  <c r="Y23" i="17"/>
  <c r="Y13" i="17"/>
  <c r="Y24" i="17"/>
  <c r="Y22" i="17"/>
  <c r="Y15" i="17"/>
  <c r="Y14" i="17"/>
  <c r="W28" i="17"/>
  <c r="X28" i="17"/>
  <c r="C369" i="3"/>
  <c r="C297" i="3"/>
  <c r="E19" i="16"/>
  <c r="D19" i="16"/>
  <c r="C19" i="16"/>
  <c r="C373" i="3"/>
  <c r="D376" i="3"/>
  <c r="C376" i="3" s="1"/>
  <c r="C422" i="3"/>
  <c r="D425" i="3"/>
  <c r="C425" i="3" s="1"/>
  <c r="C374" i="3"/>
  <c r="C424" i="3"/>
  <c r="C423" i="3"/>
  <c r="C375" i="3"/>
  <c r="C309" i="3"/>
  <c r="C300" i="3"/>
  <c r="C303" i="3"/>
  <c r="C308" i="3"/>
  <c r="C355" i="3"/>
  <c r="C380" i="3"/>
  <c r="C383" i="3"/>
  <c r="C429" i="3"/>
  <c r="C365" i="3"/>
  <c r="C286" i="3"/>
  <c r="C399" i="3"/>
  <c r="C135" i="3"/>
  <c r="C321" i="3"/>
  <c r="C316" i="3"/>
  <c r="C338" i="3"/>
  <c r="C404" i="3"/>
  <c r="C346" i="3"/>
  <c r="C354" i="3"/>
  <c r="C394" i="3"/>
  <c r="C349" i="3"/>
  <c r="C428" i="3"/>
  <c r="C407" i="3"/>
  <c r="C345" i="3"/>
  <c r="C419" i="3"/>
  <c r="C391" i="3"/>
  <c r="C388" i="3"/>
  <c r="C336" i="3"/>
  <c r="C287" i="3"/>
  <c r="C403" i="3"/>
  <c r="C413" i="3"/>
  <c r="C410" i="3"/>
  <c r="C359" i="3"/>
  <c r="C337" i="3"/>
  <c r="C364" i="3"/>
  <c r="C384" i="3"/>
  <c r="C144" i="3"/>
  <c r="C408" i="3"/>
  <c r="C392" i="3"/>
  <c r="C19" i="15"/>
  <c r="C342" i="3"/>
  <c r="C370" i="3"/>
  <c r="C381" i="3"/>
  <c r="AN66" i="25"/>
  <c r="AT66" i="25" s="1"/>
  <c r="K28" i="17"/>
  <c r="J28" i="17"/>
  <c r="C409" i="3"/>
  <c r="C393" i="3"/>
  <c r="C379" i="3"/>
  <c r="C288" i="3"/>
  <c r="C334" i="3"/>
  <c r="C414" i="3"/>
  <c r="C398" i="3"/>
  <c r="C333" i="3"/>
  <c r="C389" i="3"/>
  <c r="C329" i="3"/>
  <c r="C330" i="3"/>
  <c r="C317" i="3"/>
  <c r="C305" i="3"/>
  <c r="C360" i="3"/>
  <c r="C390" i="3"/>
  <c r="C294" i="3"/>
  <c r="C312" i="3"/>
  <c r="C320" i="3"/>
  <c r="C325" i="3"/>
  <c r="C341" i="3"/>
  <c r="C313" i="3"/>
  <c r="C304" i="3"/>
  <c r="C382" i="3"/>
  <c r="C385" i="3"/>
  <c r="C418" i="3"/>
  <c r="C311" i="3"/>
  <c r="C324" i="3"/>
  <c r="C350" i="3"/>
  <c r="E19" i="15"/>
  <c r="E20" i="15"/>
  <c r="C146" i="3"/>
  <c r="D20" i="15"/>
  <c r="D12" i="16"/>
  <c r="C12" i="16"/>
  <c r="C290" i="3"/>
  <c r="E12" i="16"/>
  <c r="D405" i="3"/>
  <c r="C402" i="3"/>
  <c r="D314" i="3"/>
  <c r="C314" i="3" s="1"/>
  <c r="D395" i="3"/>
  <c r="C427" i="3"/>
  <c r="D430" i="3"/>
  <c r="D339" i="3"/>
  <c r="C339" i="3" s="1"/>
  <c r="C20" i="16"/>
  <c r="D20" i="16"/>
  <c r="C295" i="3"/>
  <c r="E20" i="16"/>
  <c r="C293" i="3"/>
  <c r="C17" i="16"/>
  <c r="E17" i="16"/>
  <c r="D17" i="16"/>
  <c r="E13" i="16"/>
  <c r="C13" i="16"/>
  <c r="D13" i="16"/>
  <c r="C291" i="3"/>
  <c r="D400" i="3"/>
  <c r="C397" i="3"/>
  <c r="AN42" i="14"/>
  <c r="AN47" i="14" s="1"/>
  <c r="AN18" i="14" s="1"/>
  <c r="AN19" i="14" s="1"/>
  <c r="V42" i="14"/>
  <c r="AK42" i="14"/>
  <c r="AK47" i="14" s="1"/>
  <c r="AK18" i="14" s="1"/>
  <c r="AK19" i="14" s="1"/>
  <c r="R42" i="14"/>
  <c r="AM42" i="14"/>
  <c r="AM47" i="14" s="1"/>
  <c r="AM18" i="14" s="1"/>
  <c r="AM19" i="14" s="1"/>
  <c r="AE42" i="14"/>
  <c r="AE47" i="14" s="1"/>
  <c r="AE18" i="14" s="1"/>
  <c r="AE19" i="14" s="1"/>
  <c r="C13" i="15"/>
  <c r="U42" i="14"/>
  <c r="Y42" i="14"/>
  <c r="AI42" i="14"/>
  <c r="AI47" i="14" s="1"/>
  <c r="AI18" i="14" s="1"/>
  <c r="AI19" i="14" s="1"/>
  <c r="S42" i="14"/>
  <c r="AG42" i="14"/>
  <c r="AG47" i="14" s="1"/>
  <c r="AG18" i="14" s="1"/>
  <c r="AG19" i="14" s="1"/>
  <c r="E13" i="15"/>
  <c r="Z42" i="14"/>
  <c r="AO42" i="14"/>
  <c r="AO47" i="14" s="1"/>
  <c r="AO18" i="14" s="1"/>
  <c r="AO19" i="14" s="1"/>
  <c r="W42" i="14"/>
  <c r="D13" i="15"/>
  <c r="C139" i="3"/>
  <c r="AA42" i="14"/>
  <c r="AF42" i="14"/>
  <c r="AF47" i="14" s="1"/>
  <c r="AF18" i="14" s="1"/>
  <c r="AF19" i="14" s="1"/>
  <c r="Q42" i="14"/>
  <c r="AJ42" i="14"/>
  <c r="AJ47" i="14" s="1"/>
  <c r="AJ18" i="14" s="1"/>
  <c r="AJ19" i="14" s="1"/>
  <c r="C323" i="3"/>
  <c r="D326" i="3"/>
  <c r="C326" i="3" s="1"/>
  <c r="C417" i="3"/>
  <c r="D420" i="3"/>
  <c r="C363" i="3"/>
  <c r="D366" i="3"/>
  <c r="C344" i="3"/>
  <c r="D347" i="3"/>
  <c r="C347" i="3" s="1"/>
  <c r="C348" i="3"/>
  <c r="D351" i="3"/>
  <c r="C351" i="3" s="1"/>
  <c r="M72" i="17" a="1"/>
  <c r="C298" i="3"/>
  <c r="D415" i="3"/>
  <c r="C412" i="3"/>
  <c r="C22" i="15"/>
  <c r="D47" i="17" s="1"/>
  <c r="C148" i="3"/>
  <c r="E22" i="15"/>
  <c r="F47" i="17" s="1"/>
  <c r="D22" i="15"/>
  <c r="E47" i="17" s="1"/>
  <c r="D21" i="15"/>
  <c r="C147" i="3"/>
  <c r="E21" i="15"/>
  <c r="C21" i="15"/>
  <c r="D310" i="3"/>
  <c r="C310" i="3" s="1"/>
  <c r="C307" i="3"/>
  <c r="D343" i="3"/>
  <c r="C343" i="3" s="1"/>
  <c r="C340" i="3"/>
  <c r="D335" i="3"/>
  <c r="C335" i="3" s="1"/>
  <c r="C332" i="3"/>
  <c r="D306" i="3"/>
  <c r="C16" i="16"/>
  <c r="E16" i="16"/>
  <c r="C292" i="3"/>
  <c r="D16" i="16"/>
  <c r="D386" i="3"/>
  <c r="D371" i="3"/>
  <c r="C368" i="3"/>
  <c r="C353" i="3"/>
  <c r="D356" i="3"/>
  <c r="D14" i="15"/>
  <c r="C14" i="15"/>
  <c r="C141" i="3"/>
  <c r="E14" i="15"/>
  <c r="K61" i="14"/>
  <c r="M61" i="14"/>
  <c r="L61" i="14"/>
  <c r="C145" i="3"/>
  <c r="C319" i="3"/>
  <c r="D322" i="3"/>
  <c r="C322" i="3" s="1"/>
  <c r="D318" i="3"/>
  <c r="C318" i="3" s="1"/>
  <c r="C315" i="3"/>
  <c r="C328" i="3"/>
  <c r="D331" i="3"/>
  <c r="C296" i="3"/>
  <c r="D361" i="3"/>
  <c r="C358" i="3"/>
  <c r="X47" i="17" l="1"/>
  <c r="Y47" i="17"/>
  <c r="AA47" i="17"/>
  <c r="Z47" i="17"/>
  <c r="AB47" i="17"/>
  <c r="AC47" i="17"/>
  <c r="AD47" i="17"/>
  <c r="AE47" i="17"/>
  <c r="AF47" i="17"/>
  <c r="AG47" i="17"/>
  <c r="AH47" i="17"/>
  <c r="AI47" i="17"/>
  <c r="AJ47" i="17"/>
  <c r="AK47" i="17"/>
  <c r="AL47" i="17"/>
  <c r="AM47" i="17"/>
  <c r="AN47" i="17"/>
  <c r="AO47" i="17"/>
  <c r="AP47" i="17"/>
  <c r="AQ47" i="17"/>
  <c r="AR47" i="17"/>
  <c r="AS47" i="17"/>
  <c r="AT47" i="17"/>
  <c r="AU47" i="17"/>
  <c r="AV47" i="17"/>
  <c r="AW47" i="17"/>
  <c r="AX47" i="17"/>
  <c r="AY47" i="17"/>
  <c r="AZ47" i="17"/>
  <c r="BA47" i="17"/>
  <c r="BB47" i="17"/>
  <c r="BC47" i="17"/>
  <c r="BD47" i="17"/>
  <c r="BE47" i="17"/>
  <c r="BF47" i="17"/>
  <c r="BG47" i="17"/>
  <c r="BH47" i="17"/>
  <c r="BI47" i="17"/>
  <c r="BJ47" i="17"/>
  <c r="BK47" i="17"/>
  <c r="BL47" i="17"/>
  <c r="BM47" i="17"/>
  <c r="BN47" i="17"/>
  <c r="BO47" i="17"/>
  <c r="BP47" i="17"/>
  <c r="BQ47" i="17"/>
  <c r="BR47" i="17"/>
  <c r="BS47" i="17"/>
  <c r="BT47" i="17"/>
  <c r="BU47" i="17"/>
  <c r="BV47" i="17"/>
  <c r="BW47" i="17"/>
  <c r="BX47" i="17"/>
  <c r="BY47" i="17"/>
  <c r="BZ47" i="17"/>
  <c r="CA47" i="17"/>
  <c r="CB47" i="17"/>
  <c r="CC47" i="17"/>
  <c r="CD47" i="17"/>
  <c r="CE47" i="17"/>
  <c r="CF47" i="17"/>
  <c r="CG47" i="17"/>
  <c r="CH47" i="17"/>
  <c r="CI47" i="17"/>
  <c r="CJ47" i="17"/>
  <c r="CK47" i="17"/>
  <c r="CL47" i="17"/>
  <c r="CM47" i="17"/>
  <c r="CN47" i="17"/>
  <c r="CO47" i="17"/>
  <c r="CP47" i="17"/>
  <c r="CQ47" i="17"/>
  <c r="CR47" i="17"/>
  <c r="CS47" i="17"/>
  <c r="AF14" i="25"/>
  <c r="Z15" i="17"/>
  <c r="Z23" i="17"/>
  <c r="Z14" i="17"/>
  <c r="Z22" i="17"/>
  <c r="Z24" i="17"/>
  <c r="Z12" i="17"/>
  <c r="Z13" i="17"/>
  <c r="Z16" i="17"/>
  <c r="AD13" i="25"/>
  <c r="X19" i="17"/>
  <c r="X20" i="17"/>
  <c r="X18" i="17"/>
  <c r="E44" i="16"/>
  <c r="D44" i="16"/>
  <c r="C44" i="16"/>
  <c r="D30" i="16"/>
  <c r="C30" i="16"/>
  <c r="E30" i="16"/>
  <c r="D46" i="17"/>
  <c r="AR66" i="25"/>
  <c r="AQ66" i="25"/>
  <c r="AS66" i="25"/>
  <c r="F46" i="17"/>
  <c r="E46" i="17"/>
  <c r="K47" i="17"/>
  <c r="BQ66" i="25"/>
  <c r="AX66" i="25"/>
  <c r="BO66" i="25"/>
  <c r="BD66" i="25"/>
  <c r="DJ66" i="25"/>
  <c r="DY66" i="25"/>
  <c r="DU66" i="25"/>
  <c r="DV66" i="25"/>
  <c r="CH66" i="25"/>
  <c r="DE66" i="25"/>
  <c r="AZ66" i="25"/>
  <c r="CC66" i="25"/>
  <c r="EH66" i="25"/>
  <c r="CZ66" i="25"/>
  <c r="DZ66" i="25"/>
  <c r="BI66" i="25"/>
  <c r="DK66" i="25"/>
  <c r="BV66" i="25"/>
  <c r="CG66" i="25"/>
  <c r="ED66" i="25"/>
  <c r="CV66" i="25"/>
  <c r="CE66" i="25"/>
  <c r="AU66" i="25"/>
  <c r="AV66" i="25"/>
  <c r="BU66" i="25"/>
  <c r="EK66" i="25"/>
  <c r="CU66" i="25"/>
  <c r="DH66" i="25"/>
  <c r="CP66" i="25"/>
  <c r="CY66" i="25"/>
  <c r="BF66" i="25"/>
  <c r="DN66" i="25"/>
  <c r="CR66" i="25"/>
  <c r="DF66" i="25"/>
  <c r="DI66" i="25"/>
  <c r="BY66" i="25"/>
  <c r="CO66" i="25"/>
  <c r="BT66" i="25"/>
  <c r="DB66" i="25"/>
  <c r="DD66" i="25"/>
  <c r="EF66" i="25"/>
  <c r="DA66" i="25"/>
  <c r="CX66" i="25"/>
  <c r="CQ66" i="25"/>
  <c r="EM66" i="25"/>
  <c r="DO66" i="25"/>
  <c r="EI66" i="25"/>
  <c r="BE66" i="25"/>
  <c r="DW66" i="25"/>
  <c r="BB66" i="25"/>
  <c r="DM66" i="25"/>
  <c r="CI66" i="25"/>
  <c r="BJ66" i="25"/>
  <c r="CJ66" i="25"/>
  <c r="EC66" i="25"/>
  <c r="CD66" i="25"/>
  <c r="CM66" i="25"/>
  <c r="CW66" i="25"/>
  <c r="CS66" i="25"/>
  <c r="BA66" i="25"/>
  <c r="EJ66" i="25"/>
  <c r="BZ66" i="25"/>
  <c r="CK66" i="25"/>
  <c r="DC66" i="25"/>
  <c r="BN66" i="25"/>
  <c r="AY66" i="25"/>
  <c r="EG66" i="25"/>
  <c r="DX66" i="25"/>
  <c r="EO66" i="25"/>
  <c r="EA66" i="25"/>
  <c r="BK66" i="25"/>
  <c r="CA66" i="25"/>
  <c r="AP66" i="25"/>
  <c r="BW66" i="25"/>
  <c r="DQ66" i="25"/>
  <c r="CT66" i="25"/>
  <c r="BP66" i="25"/>
  <c r="EE66" i="25"/>
  <c r="BC66" i="25"/>
  <c r="BL66" i="25"/>
  <c r="AO66" i="25"/>
  <c r="BX66" i="25"/>
  <c r="EB66" i="25"/>
  <c r="CF66" i="25"/>
  <c r="BG66" i="25"/>
  <c r="BM66" i="25"/>
  <c r="EL66" i="25"/>
  <c r="CN66" i="25"/>
  <c r="DR66" i="25"/>
  <c r="AW66" i="25"/>
  <c r="DG66" i="25"/>
  <c r="EN66" i="25"/>
  <c r="BH66" i="25"/>
  <c r="CL66" i="25"/>
  <c r="DL66" i="25"/>
  <c r="BR66" i="25"/>
  <c r="DT66" i="25"/>
  <c r="BS66" i="25"/>
  <c r="CB66" i="25"/>
  <c r="DS66" i="25"/>
  <c r="DP66" i="25"/>
  <c r="J47" i="17"/>
  <c r="W47" i="17" s="1"/>
  <c r="D45" i="17"/>
  <c r="F45" i="17"/>
  <c r="E28" i="16"/>
  <c r="D28" i="16"/>
  <c r="C28" i="16"/>
  <c r="C356" i="3"/>
  <c r="D42" i="14"/>
  <c r="D47" i="14" s="1"/>
  <c r="R47" i="14"/>
  <c r="R18" i="14" s="1"/>
  <c r="C366" i="3"/>
  <c r="E42" i="14"/>
  <c r="E47" i="14" s="1"/>
  <c r="S47" i="14"/>
  <c r="S18" i="14" s="1"/>
  <c r="K64" i="14"/>
  <c r="D38" i="17"/>
  <c r="C23" i="15"/>
  <c r="D48" i="17" s="1"/>
  <c r="M73" i="17" a="1"/>
  <c r="M73" i="17" s="1"/>
  <c r="DS73" i="17" s="1"/>
  <c r="C371" i="3"/>
  <c r="C420" i="3"/>
  <c r="H42" i="14"/>
  <c r="H47" i="14" s="1"/>
  <c r="V47" i="14"/>
  <c r="V18" i="14" s="1"/>
  <c r="C42" i="16"/>
  <c r="C405" i="3"/>
  <c r="E42" i="16"/>
  <c r="D42" i="16"/>
  <c r="M72" i="17"/>
  <c r="E45" i="17"/>
  <c r="Y47" i="14"/>
  <c r="Y18" i="14" s="1"/>
  <c r="K42" i="14"/>
  <c r="M74" i="17" a="1"/>
  <c r="M74" i="17" s="1"/>
  <c r="DS74" i="17" s="1"/>
  <c r="C430" i="3"/>
  <c r="E14" i="16"/>
  <c r="Q47" i="14"/>
  <c r="Q18" i="14" s="1"/>
  <c r="C42" i="14"/>
  <c r="C47" i="14" s="1"/>
  <c r="C331" i="3"/>
  <c r="D25" i="16"/>
  <c r="C25" i="16"/>
  <c r="E25" i="16"/>
  <c r="M42" i="14"/>
  <c r="AA47" i="14"/>
  <c r="AA18" i="14" s="1"/>
  <c r="I42" i="14"/>
  <c r="I47" i="14" s="1"/>
  <c r="W47" i="14"/>
  <c r="W18" i="14" s="1"/>
  <c r="U47" i="14"/>
  <c r="U18" i="14" s="1"/>
  <c r="G42" i="14"/>
  <c r="G47" i="14" s="1"/>
  <c r="C41" i="16"/>
  <c r="C400" i="3"/>
  <c r="E41" i="16"/>
  <c r="D41" i="16"/>
  <c r="C14" i="16"/>
  <c r="C21" i="16"/>
  <c r="D23" i="15"/>
  <c r="E48" i="17" s="1"/>
  <c r="L64" i="14"/>
  <c r="E38" i="17"/>
  <c r="C24" i="16"/>
  <c r="C306" i="3"/>
  <c r="E24" i="16"/>
  <c r="D24" i="16"/>
  <c r="E23" i="15"/>
  <c r="F48" i="17" s="1"/>
  <c r="F38" i="17"/>
  <c r="M64" i="14"/>
  <c r="C415" i="3"/>
  <c r="C45" i="16"/>
  <c r="E45" i="16"/>
  <c r="D45" i="16"/>
  <c r="C34" i="16"/>
  <c r="D34" i="16"/>
  <c r="C386" i="3"/>
  <c r="E34" i="16"/>
  <c r="D29" i="16"/>
  <c r="C361" i="3"/>
  <c r="C29" i="16"/>
  <c r="E29" i="16"/>
  <c r="D21" i="16"/>
  <c r="E21" i="16"/>
  <c r="L42" i="14"/>
  <c r="Z47" i="14"/>
  <c r="Z18" i="14" s="1"/>
  <c r="C35" i="16"/>
  <c r="D35" i="16"/>
  <c r="E35" i="16"/>
  <c r="C395" i="3"/>
  <c r="D14" i="16"/>
  <c r="AE13" i="25" l="1"/>
  <c r="Y18" i="17"/>
  <c r="Y19" i="17"/>
  <c r="Y20" i="17"/>
  <c r="Y28" i="17"/>
  <c r="AG14" i="25"/>
  <c r="AA23" i="17"/>
  <c r="AA15" i="17"/>
  <c r="AA14" i="17"/>
  <c r="AA24" i="17"/>
  <c r="AA22" i="17"/>
  <c r="AA13" i="17"/>
  <c r="AA16" i="17"/>
  <c r="AA12" i="17"/>
  <c r="DS47" i="17"/>
  <c r="X46" i="17"/>
  <c r="Y46" i="17"/>
  <c r="AB46" i="17"/>
  <c r="Z46" i="17"/>
  <c r="AA46" i="17"/>
  <c r="AC46" i="17"/>
  <c r="AD46" i="17"/>
  <c r="AE46" i="17"/>
  <c r="AF46" i="17"/>
  <c r="AG46" i="17"/>
  <c r="AH46" i="17"/>
  <c r="AI46" i="17"/>
  <c r="AJ46" i="17"/>
  <c r="AK46" i="17"/>
  <c r="AL46" i="17"/>
  <c r="AM46" i="17"/>
  <c r="AN46" i="17"/>
  <c r="AO46" i="17"/>
  <c r="AP46" i="17"/>
  <c r="AQ46" i="17"/>
  <c r="AR46" i="17"/>
  <c r="AS46" i="17"/>
  <c r="AT46" i="17"/>
  <c r="AU46" i="17"/>
  <c r="AV46" i="17"/>
  <c r="AW46" i="17"/>
  <c r="AX46" i="17"/>
  <c r="AY46" i="17"/>
  <c r="AZ46" i="17"/>
  <c r="BA46" i="17"/>
  <c r="BB46" i="17"/>
  <c r="BC46" i="17"/>
  <c r="BD46" i="17"/>
  <c r="BE46" i="17"/>
  <c r="BF46" i="17"/>
  <c r="BG46" i="17"/>
  <c r="BH46" i="17"/>
  <c r="BI46" i="17"/>
  <c r="BJ46" i="17"/>
  <c r="BK46" i="17"/>
  <c r="BL46" i="17"/>
  <c r="BM46" i="17"/>
  <c r="BN46" i="17"/>
  <c r="BO46" i="17"/>
  <c r="BP46" i="17"/>
  <c r="BQ46" i="17"/>
  <c r="BR46" i="17"/>
  <c r="BS46" i="17"/>
  <c r="BT46" i="17"/>
  <c r="BU46" i="17"/>
  <c r="BV46" i="17"/>
  <c r="BW46" i="17"/>
  <c r="BX46" i="17"/>
  <c r="BY46" i="17"/>
  <c r="BZ46" i="17"/>
  <c r="CA46" i="17"/>
  <c r="CB46" i="17"/>
  <c r="CC46" i="17"/>
  <c r="CD46" i="17"/>
  <c r="CE46" i="17"/>
  <c r="CF46" i="17"/>
  <c r="CG46" i="17"/>
  <c r="CH46" i="17"/>
  <c r="CI46" i="17"/>
  <c r="CJ46" i="17"/>
  <c r="CK46" i="17"/>
  <c r="CL46" i="17"/>
  <c r="CM46" i="17"/>
  <c r="CN46" i="17"/>
  <c r="CO46" i="17"/>
  <c r="CP46" i="17"/>
  <c r="CQ46" i="17"/>
  <c r="CR46" i="17"/>
  <c r="CS46" i="17"/>
  <c r="X45" i="17"/>
  <c r="Y45" i="17"/>
  <c r="Z45" i="17"/>
  <c r="AA45" i="17"/>
  <c r="AB45" i="17"/>
  <c r="AC45" i="17"/>
  <c r="AD45" i="17"/>
  <c r="AE45" i="17"/>
  <c r="AF45" i="17"/>
  <c r="AG45" i="17"/>
  <c r="AH45" i="17"/>
  <c r="AI45" i="17"/>
  <c r="AJ45" i="17"/>
  <c r="AK45" i="17"/>
  <c r="AL45" i="17"/>
  <c r="AM45" i="17"/>
  <c r="AN45" i="17"/>
  <c r="AO45" i="17"/>
  <c r="AP45" i="17"/>
  <c r="AQ45" i="17"/>
  <c r="AR45" i="17"/>
  <c r="AS45" i="17"/>
  <c r="AT45" i="17"/>
  <c r="AU45" i="17"/>
  <c r="AV45" i="17"/>
  <c r="AW45" i="17"/>
  <c r="AX45" i="17"/>
  <c r="AY45" i="17"/>
  <c r="AZ45" i="17"/>
  <c r="BA45" i="17"/>
  <c r="BB45" i="17"/>
  <c r="BC45" i="17"/>
  <c r="BD45" i="17"/>
  <c r="BE45" i="17"/>
  <c r="BF45" i="17"/>
  <c r="BG45" i="17"/>
  <c r="BH45" i="17"/>
  <c r="BI45" i="17"/>
  <c r="BJ45" i="17"/>
  <c r="BK45" i="17"/>
  <c r="BL45" i="17"/>
  <c r="BM45" i="17"/>
  <c r="BN45" i="17"/>
  <c r="BO45" i="17"/>
  <c r="BP45" i="17"/>
  <c r="BQ45" i="17"/>
  <c r="BR45" i="17"/>
  <c r="BS45" i="17"/>
  <c r="BT45" i="17"/>
  <c r="BU45" i="17"/>
  <c r="BV45" i="17"/>
  <c r="BW45" i="17"/>
  <c r="BX45" i="17"/>
  <c r="BY45" i="17"/>
  <c r="BZ45" i="17"/>
  <c r="CA45" i="17"/>
  <c r="CB45" i="17"/>
  <c r="CC45" i="17"/>
  <c r="CD45" i="17"/>
  <c r="CE45" i="17"/>
  <c r="CF45" i="17"/>
  <c r="CG45" i="17"/>
  <c r="CH45" i="17"/>
  <c r="CI45" i="17"/>
  <c r="CJ45" i="17"/>
  <c r="CK45" i="17"/>
  <c r="CL45" i="17"/>
  <c r="CM45" i="17"/>
  <c r="CN45" i="17"/>
  <c r="CO45" i="17"/>
  <c r="CP45" i="17"/>
  <c r="CQ45" i="17"/>
  <c r="CR45" i="17"/>
  <c r="CS45" i="17"/>
  <c r="X48" i="17"/>
  <c r="Y48" i="17"/>
  <c r="Z48" i="17"/>
  <c r="AB48" i="17"/>
  <c r="AA48" i="17"/>
  <c r="AC48" i="17"/>
  <c r="AD48" i="17"/>
  <c r="AE48" i="17"/>
  <c r="AF48" i="17"/>
  <c r="AG48" i="17"/>
  <c r="AH48" i="17"/>
  <c r="AI48" i="17"/>
  <c r="AJ48" i="17"/>
  <c r="AK48" i="17"/>
  <c r="AL48" i="17"/>
  <c r="AM48" i="17"/>
  <c r="AN48" i="17"/>
  <c r="AO48" i="17"/>
  <c r="AP48" i="17"/>
  <c r="AQ48" i="17"/>
  <c r="AR48" i="17"/>
  <c r="AS48" i="17"/>
  <c r="AT48" i="17"/>
  <c r="AU48" i="17"/>
  <c r="AV48" i="17"/>
  <c r="AW48" i="17"/>
  <c r="AX48" i="17"/>
  <c r="AY48" i="17"/>
  <c r="AZ48" i="17"/>
  <c r="BA48" i="17"/>
  <c r="BB48" i="17"/>
  <c r="BC48" i="17"/>
  <c r="BD48" i="17"/>
  <c r="BE48" i="17"/>
  <c r="BF48" i="17"/>
  <c r="BG48" i="17"/>
  <c r="BH48" i="17"/>
  <c r="BI48" i="17"/>
  <c r="BJ48" i="17"/>
  <c r="BK48" i="17"/>
  <c r="BL48" i="17"/>
  <c r="BM48" i="17"/>
  <c r="BN48" i="17"/>
  <c r="BO48" i="17"/>
  <c r="BP48" i="17"/>
  <c r="BQ48" i="17"/>
  <c r="BR48" i="17"/>
  <c r="BS48" i="17"/>
  <c r="BT48" i="17"/>
  <c r="BU48" i="17"/>
  <c r="BV48" i="17"/>
  <c r="BW48" i="17"/>
  <c r="BX48" i="17"/>
  <c r="BY48" i="17"/>
  <c r="BZ48" i="17"/>
  <c r="CA48" i="17"/>
  <c r="CB48" i="17"/>
  <c r="CC48" i="17"/>
  <c r="CD48" i="17"/>
  <c r="CE48" i="17"/>
  <c r="CF48" i="17"/>
  <c r="CG48" i="17"/>
  <c r="CH48" i="17"/>
  <c r="CI48" i="17"/>
  <c r="CJ48" i="17"/>
  <c r="CK48" i="17"/>
  <c r="CL48" i="17"/>
  <c r="CM48" i="17"/>
  <c r="CN48" i="17"/>
  <c r="CO48" i="17"/>
  <c r="CP48" i="17"/>
  <c r="CQ48" i="17"/>
  <c r="CR48" i="17"/>
  <c r="CS48" i="17"/>
  <c r="Y38" i="17"/>
  <c r="Y40" i="17" s="1"/>
  <c r="Y66" i="17" s="1"/>
  <c r="X38" i="17"/>
  <c r="X40" i="17" s="1"/>
  <c r="X66" i="17" s="1"/>
  <c r="Z38" i="17"/>
  <c r="Z40" i="17" s="1"/>
  <c r="Z66" i="17" s="1"/>
  <c r="AA38" i="17"/>
  <c r="AA40" i="17" s="1"/>
  <c r="AA66" i="17" s="1"/>
  <c r="AB38" i="17"/>
  <c r="AB40" i="17" s="1"/>
  <c r="AB66" i="17" s="1"/>
  <c r="AC38" i="17"/>
  <c r="AC40" i="17" s="1"/>
  <c r="AC66" i="17" s="1"/>
  <c r="AD38" i="17"/>
  <c r="AD40" i="17" s="1"/>
  <c r="AD66" i="17" s="1"/>
  <c r="AE38" i="17"/>
  <c r="AE40" i="17" s="1"/>
  <c r="AE66" i="17" s="1"/>
  <c r="AF38" i="17"/>
  <c r="AF40" i="17" s="1"/>
  <c r="AF66" i="17" s="1"/>
  <c r="AG38" i="17"/>
  <c r="AG40" i="17" s="1"/>
  <c r="AG66" i="17" s="1"/>
  <c r="AH38" i="17"/>
  <c r="AH40" i="17" s="1"/>
  <c r="AH66" i="17" s="1"/>
  <c r="AI38" i="17"/>
  <c r="AI40" i="17" s="1"/>
  <c r="AI66" i="17" s="1"/>
  <c r="AJ38" i="17"/>
  <c r="AJ40" i="17" s="1"/>
  <c r="AJ66" i="17" s="1"/>
  <c r="AK38" i="17"/>
  <c r="AK40" i="17" s="1"/>
  <c r="AK66" i="17" s="1"/>
  <c r="AL38" i="17"/>
  <c r="AL40" i="17" s="1"/>
  <c r="AL66" i="17" s="1"/>
  <c r="AM38" i="17"/>
  <c r="AM40" i="17" s="1"/>
  <c r="AM66" i="17" s="1"/>
  <c r="AN38" i="17"/>
  <c r="AN40" i="17" s="1"/>
  <c r="AN66" i="17" s="1"/>
  <c r="AO38" i="17"/>
  <c r="AO40" i="17" s="1"/>
  <c r="AO66" i="17" s="1"/>
  <c r="AP38" i="17"/>
  <c r="AP40" i="17" s="1"/>
  <c r="AP66" i="17" s="1"/>
  <c r="AQ38" i="17"/>
  <c r="AQ40" i="17" s="1"/>
  <c r="AQ66" i="17" s="1"/>
  <c r="AR38" i="17"/>
  <c r="AR40" i="17" s="1"/>
  <c r="AR66" i="17" s="1"/>
  <c r="AS38" i="17"/>
  <c r="AS40" i="17" s="1"/>
  <c r="AS66" i="17" s="1"/>
  <c r="AT38" i="17"/>
  <c r="AT40" i="17" s="1"/>
  <c r="AT66" i="17" s="1"/>
  <c r="AU38" i="17"/>
  <c r="AU40" i="17" s="1"/>
  <c r="AU66" i="17" s="1"/>
  <c r="AV38" i="17"/>
  <c r="AV40" i="17" s="1"/>
  <c r="AV66" i="17" s="1"/>
  <c r="AW38" i="17"/>
  <c r="AW40" i="17" s="1"/>
  <c r="AW66" i="17" s="1"/>
  <c r="AX38" i="17"/>
  <c r="AX40" i="17" s="1"/>
  <c r="AX66" i="17" s="1"/>
  <c r="AY38" i="17"/>
  <c r="AY40" i="17" s="1"/>
  <c r="AY66" i="17" s="1"/>
  <c r="AZ38" i="17"/>
  <c r="AZ40" i="17" s="1"/>
  <c r="AZ66" i="17" s="1"/>
  <c r="BA38" i="17"/>
  <c r="BA40" i="17" s="1"/>
  <c r="BA66" i="17" s="1"/>
  <c r="BB38" i="17"/>
  <c r="BB40" i="17" s="1"/>
  <c r="BB66" i="17" s="1"/>
  <c r="BC38" i="17"/>
  <c r="BC40" i="17" s="1"/>
  <c r="BC66" i="17" s="1"/>
  <c r="BD38" i="17"/>
  <c r="BD40" i="17" s="1"/>
  <c r="BD66" i="17" s="1"/>
  <c r="BE38" i="17"/>
  <c r="BE40" i="17" s="1"/>
  <c r="BE66" i="17" s="1"/>
  <c r="BF38" i="17"/>
  <c r="BF40" i="17" s="1"/>
  <c r="BF66" i="17" s="1"/>
  <c r="BG38" i="17"/>
  <c r="BG40" i="17" s="1"/>
  <c r="BG66" i="17" s="1"/>
  <c r="BH38" i="17"/>
  <c r="BH40" i="17" s="1"/>
  <c r="BH66" i="17" s="1"/>
  <c r="BI38" i="17"/>
  <c r="BI40" i="17" s="1"/>
  <c r="BI66" i="17" s="1"/>
  <c r="BJ38" i="17"/>
  <c r="BJ40" i="17" s="1"/>
  <c r="BJ66" i="17" s="1"/>
  <c r="BK38" i="17"/>
  <c r="BK40" i="17" s="1"/>
  <c r="BK66" i="17" s="1"/>
  <c r="BL38" i="17"/>
  <c r="BL40" i="17" s="1"/>
  <c r="BL66" i="17" s="1"/>
  <c r="BM38" i="17"/>
  <c r="BM40" i="17" s="1"/>
  <c r="BM66" i="17" s="1"/>
  <c r="BN38" i="17"/>
  <c r="BN40" i="17" s="1"/>
  <c r="BN66" i="17" s="1"/>
  <c r="BO38" i="17"/>
  <c r="BO40" i="17" s="1"/>
  <c r="BO66" i="17" s="1"/>
  <c r="BP38" i="17"/>
  <c r="BP40" i="17" s="1"/>
  <c r="BP66" i="17" s="1"/>
  <c r="BQ38" i="17"/>
  <c r="BQ40" i="17" s="1"/>
  <c r="BQ66" i="17" s="1"/>
  <c r="BR38" i="17"/>
  <c r="BR40" i="17" s="1"/>
  <c r="BR66" i="17" s="1"/>
  <c r="BS38" i="17"/>
  <c r="BS40" i="17" s="1"/>
  <c r="BS66" i="17" s="1"/>
  <c r="BT38" i="17"/>
  <c r="BT40" i="17" s="1"/>
  <c r="BT66" i="17" s="1"/>
  <c r="BU38" i="17"/>
  <c r="BU40" i="17" s="1"/>
  <c r="BU66" i="17" s="1"/>
  <c r="BV38" i="17"/>
  <c r="BV40" i="17" s="1"/>
  <c r="BV66" i="17" s="1"/>
  <c r="BW38" i="17"/>
  <c r="BW40" i="17" s="1"/>
  <c r="BW66" i="17" s="1"/>
  <c r="BX38" i="17"/>
  <c r="BX40" i="17" s="1"/>
  <c r="BX66" i="17" s="1"/>
  <c r="BY38" i="17"/>
  <c r="BY40" i="17" s="1"/>
  <c r="BY66" i="17" s="1"/>
  <c r="BZ38" i="17"/>
  <c r="BZ40" i="17" s="1"/>
  <c r="BZ66" i="17" s="1"/>
  <c r="CA38" i="17"/>
  <c r="CA40" i="17" s="1"/>
  <c r="CA66" i="17" s="1"/>
  <c r="CB38" i="17"/>
  <c r="CB40" i="17" s="1"/>
  <c r="CB66" i="17" s="1"/>
  <c r="CC38" i="17"/>
  <c r="CC40" i="17" s="1"/>
  <c r="CC66" i="17" s="1"/>
  <c r="CD38" i="17"/>
  <c r="CD40" i="17" s="1"/>
  <c r="CD66" i="17" s="1"/>
  <c r="CE38" i="17"/>
  <c r="CE40" i="17" s="1"/>
  <c r="CE66" i="17" s="1"/>
  <c r="CF38" i="17"/>
  <c r="CF40" i="17" s="1"/>
  <c r="CF66" i="17" s="1"/>
  <c r="CG38" i="17"/>
  <c r="CG40" i="17" s="1"/>
  <c r="CG66" i="17" s="1"/>
  <c r="CH38" i="17"/>
  <c r="CH40" i="17" s="1"/>
  <c r="CH66" i="17" s="1"/>
  <c r="CI38" i="17"/>
  <c r="CI40" i="17" s="1"/>
  <c r="CI66" i="17" s="1"/>
  <c r="CJ38" i="17"/>
  <c r="CJ40" i="17" s="1"/>
  <c r="CJ66" i="17" s="1"/>
  <c r="CK38" i="17"/>
  <c r="CK40" i="17" s="1"/>
  <c r="CK66" i="17" s="1"/>
  <c r="CL38" i="17"/>
  <c r="CL40" i="17" s="1"/>
  <c r="CL66" i="17" s="1"/>
  <c r="CM38" i="17"/>
  <c r="CM40" i="17" s="1"/>
  <c r="CM66" i="17" s="1"/>
  <c r="CN38" i="17"/>
  <c r="CN40" i="17" s="1"/>
  <c r="CN66" i="17" s="1"/>
  <c r="CO38" i="17"/>
  <c r="CO40" i="17" s="1"/>
  <c r="CO66" i="17" s="1"/>
  <c r="CP38" i="17"/>
  <c r="CP40" i="17" s="1"/>
  <c r="CP66" i="17" s="1"/>
  <c r="CQ38" i="17"/>
  <c r="CQ40" i="17" s="1"/>
  <c r="CQ66" i="17" s="1"/>
  <c r="CR38" i="17"/>
  <c r="CR40" i="17" s="1"/>
  <c r="CR66" i="17" s="1"/>
  <c r="CS38" i="17"/>
  <c r="J46" i="17"/>
  <c r="W46" i="17" s="1"/>
  <c r="K46" i="17"/>
  <c r="E36" i="16"/>
  <c r="J45" i="17"/>
  <c r="W45" i="17" s="1"/>
  <c r="E69" i="17"/>
  <c r="K38" i="17"/>
  <c r="K48" i="17"/>
  <c r="C46" i="16"/>
  <c r="D26" i="16"/>
  <c r="DF78" i="37"/>
  <c r="DF91" i="37" s="1"/>
  <c r="DC78" i="37"/>
  <c r="DC91" i="37" s="1"/>
  <c r="J78" i="37"/>
  <c r="J91" i="37" s="1"/>
  <c r="CP78" i="37"/>
  <c r="CP79" i="37" s="1"/>
  <c r="D36" i="16"/>
  <c r="CM78" i="37"/>
  <c r="CM91" i="37" s="1"/>
  <c r="K78" i="37"/>
  <c r="K79" i="37" s="1"/>
  <c r="E46" i="16"/>
  <c r="F69" i="17"/>
  <c r="J48" i="17"/>
  <c r="W48" i="17" s="1"/>
  <c r="DD78" i="37"/>
  <c r="DD79" i="37" s="1"/>
  <c r="E78" i="37"/>
  <c r="E79" i="37" s="1"/>
  <c r="CK78" i="37"/>
  <c r="CK79" i="37" s="1"/>
  <c r="M18" i="14"/>
  <c r="AA19" i="14"/>
  <c r="V19" i="14"/>
  <c r="H18" i="14"/>
  <c r="H19" i="14" s="1"/>
  <c r="E41" i="15"/>
  <c r="F66" i="17" s="1"/>
  <c r="F40" i="17"/>
  <c r="M47" i="14"/>
  <c r="F34" i="17"/>
  <c r="Z19" i="14"/>
  <c r="L18" i="14"/>
  <c r="J38" i="17"/>
  <c r="W38" i="17" s="1"/>
  <c r="W40" i="17" s="1"/>
  <c r="L47" i="14"/>
  <c r="E34" i="17"/>
  <c r="G78" i="37"/>
  <c r="D34" i="17"/>
  <c r="K47" i="14"/>
  <c r="CN78" i="37"/>
  <c r="DS72" i="17"/>
  <c r="D78" i="37"/>
  <c r="Y19" i="14"/>
  <c r="K18" i="14"/>
  <c r="DB78" i="37"/>
  <c r="CY78" i="37"/>
  <c r="CL78" i="37"/>
  <c r="DI78" i="37"/>
  <c r="CR78" i="37"/>
  <c r="DG78" i="37"/>
  <c r="CQ78" i="37"/>
  <c r="CW78" i="37"/>
  <c r="F78" i="37"/>
  <c r="S19" i="14"/>
  <c r="E18" i="14"/>
  <c r="E19" i="14" s="1"/>
  <c r="E26" i="16"/>
  <c r="D69" i="17"/>
  <c r="U19" i="14"/>
  <c r="G18" i="14"/>
  <c r="G19" i="14" s="1"/>
  <c r="K45" i="17"/>
  <c r="C31" i="16"/>
  <c r="C41" i="15"/>
  <c r="D66" i="17" s="1"/>
  <c r="D40" i="17"/>
  <c r="CZ78" i="37"/>
  <c r="I78" i="37"/>
  <c r="C36" i="16"/>
  <c r="D46" i="16"/>
  <c r="W19" i="14"/>
  <c r="I18" i="14"/>
  <c r="I19" i="14" s="1"/>
  <c r="CX78" i="37"/>
  <c r="CS78" i="37"/>
  <c r="CU78" i="37"/>
  <c r="D31" i="16"/>
  <c r="D41" i="15"/>
  <c r="E66" i="17" s="1"/>
  <c r="E40" i="17"/>
  <c r="DA78" i="37"/>
  <c r="D18" i="14"/>
  <c r="D19" i="14" s="1"/>
  <c r="R19" i="14"/>
  <c r="DE78" i="37"/>
  <c r="DH78" i="37"/>
  <c r="M78" i="37"/>
  <c r="H78" i="37"/>
  <c r="C26" i="16"/>
  <c r="C18" i="14"/>
  <c r="C19" i="14" s="1"/>
  <c r="Q19" i="14"/>
  <c r="CT78" i="37"/>
  <c r="CV78" i="37"/>
  <c r="L78" i="37"/>
  <c r="CO78" i="37"/>
  <c r="E31" i="16"/>
  <c r="AH14" i="25" l="1"/>
  <c r="AB16" i="17"/>
  <c r="AB22" i="17"/>
  <c r="AB24" i="17"/>
  <c r="AB23" i="17"/>
  <c r="AB14" i="17"/>
  <c r="AB13" i="17"/>
  <c r="AB15" i="17"/>
  <c r="AB12" i="17"/>
  <c r="AF13" i="25"/>
  <c r="Z18" i="17"/>
  <c r="Z19" i="17"/>
  <c r="Z20" i="17"/>
  <c r="Z28" i="17"/>
  <c r="DS46" i="17"/>
  <c r="CB51" i="37"/>
  <c r="BT51" i="37"/>
  <c r="BL51" i="37"/>
  <c r="BD51" i="37"/>
  <c r="AV51" i="37"/>
  <c r="AN51" i="37"/>
  <c r="AF51" i="37"/>
  <c r="X51" i="37"/>
  <c r="P51" i="37"/>
  <c r="DS45" i="17"/>
  <c r="CI51" i="37"/>
  <c r="CA51" i="37"/>
  <c r="BS51" i="37"/>
  <c r="BK51" i="37"/>
  <c r="BC51" i="37"/>
  <c r="AU51" i="37"/>
  <c r="AM51" i="37"/>
  <c r="AE51" i="37"/>
  <c r="W51" i="37"/>
  <c r="O51" i="37"/>
  <c r="DS38" i="17"/>
  <c r="CS40" i="17"/>
  <c r="CS66" i="17" s="1"/>
  <c r="W66" i="17"/>
  <c r="CH51" i="37"/>
  <c r="BZ51" i="37"/>
  <c r="BR51" i="37"/>
  <c r="BJ51" i="37"/>
  <c r="BB51" i="37"/>
  <c r="AT51" i="37"/>
  <c r="AL51" i="37"/>
  <c r="AD51" i="37"/>
  <c r="V51" i="37"/>
  <c r="M51" i="37"/>
  <c r="CG51" i="37"/>
  <c r="BY51" i="37"/>
  <c r="BQ51" i="37"/>
  <c r="BI51" i="37"/>
  <c r="BA51" i="37"/>
  <c r="AS51" i="37"/>
  <c r="AK51" i="37"/>
  <c r="AC51" i="37"/>
  <c r="U51" i="37"/>
  <c r="CF51" i="37"/>
  <c r="BX51" i="37"/>
  <c r="BP51" i="37"/>
  <c r="BH51" i="37"/>
  <c r="AZ51" i="37"/>
  <c r="AR51" i="37"/>
  <c r="AJ51" i="37"/>
  <c r="AB51" i="37"/>
  <c r="T51" i="37"/>
  <c r="X34" i="17"/>
  <c r="X32" i="17" s="1"/>
  <c r="Y34" i="17"/>
  <c r="Y32" i="17" s="1"/>
  <c r="AA34" i="17"/>
  <c r="AA32" i="17" s="1"/>
  <c r="AB34" i="17"/>
  <c r="AB32" i="17" s="1"/>
  <c r="Z34" i="17"/>
  <c r="Z32" i="17" s="1"/>
  <c r="AC34" i="17"/>
  <c r="AC32" i="17" s="1"/>
  <c r="AD34" i="17"/>
  <c r="AD32" i="17" s="1"/>
  <c r="AE34" i="17"/>
  <c r="AE32" i="17" s="1"/>
  <c r="AF34" i="17"/>
  <c r="AF32" i="17" s="1"/>
  <c r="AG34" i="17"/>
  <c r="AG32" i="17" s="1"/>
  <c r="AH34" i="17"/>
  <c r="AH32" i="17" s="1"/>
  <c r="AI34" i="17"/>
  <c r="AI32" i="17" s="1"/>
  <c r="AJ34" i="17"/>
  <c r="AJ32" i="17" s="1"/>
  <c r="AK34" i="17"/>
  <c r="AK32" i="17" s="1"/>
  <c r="AL34" i="17"/>
  <c r="AL32" i="17" s="1"/>
  <c r="AM34" i="17"/>
  <c r="AM32" i="17" s="1"/>
  <c r="AN34" i="17"/>
  <c r="AN32" i="17" s="1"/>
  <c r="AO34" i="17"/>
  <c r="AO32" i="17" s="1"/>
  <c r="AP34" i="17"/>
  <c r="AP32" i="17" s="1"/>
  <c r="AQ34" i="17"/>
  <c r="AQ32" i="17" s="1"/>
  <c r="AR34" i="17"/>
  <c r="AR32" i="17" s="1"/>
  <c r="AS34" i="17"/>
  <c r="AS32" i="17" s="1"/>
  <c r="AT34" i="17"/>
  <c r="AT32" i="17" s="1"/>
  <c r="AU34" i="17"/>
  <c r="AU32" i="17" s="1"/>
  <c r="AV34" i="17"/>
  <c r="AV32" i="17" s="1"/>
  <c r="AW34" i="17"/>
  <c r="AW32" i="17" s="1"/>
  <c r="AX34" i="17"/>
  <c r="AX32" i="17" s="1"/>
  <c r="AY34" i="17"/>
  <c r="AY32" i="17" s="1"/>
  <c r="AZ34" i="17"/>
  <c r="AZ32" i="17" s="1"/>
  <c r="BA34" i="17"/>
  <c r="BA32" i="17" s="1"/>
  <c r="BB34" i="17"/>
  <c r="BB32" i="17" s="1"/>
  <c r="BC34" i="17"/>
  <c r="BC32" i="17" s="1"/>
  <c r="BD34" i="17"/>
  <c r="BD32" i="17" s="1"/>
  <c r="BE34" i="17"/>
  <c r="BE32" i="17" s="1"/>
  <c r="BF34" i="17"/>
  <c r="BF32" i="17" s="1"/>
  <c r="BG34" i="17"/>
  <c r="BG32" i="17" s="1"/>
  <c r="BH34" i="17"/>
  <c r="BH32" i="17" s="1"/>
  <c r="BI34" i="17"/>
  <c r="BI32" i="17" s="1"/>
  <c r="BJ34" i="17"/>
  <c r="BJ32" i="17" s="1"/>
  <c r="BK34" i="17"/>
  <c r="BK32" i="17" s="1"/>
  <c r="BL34" i="17"/>
  <c r="BL32" i="17" s="1"/>
  <c r="BM34" i="17"/>
  <c r="BM32" i="17" s="1"/>
  <c r="BN34" i="17"/>
  <c r="BN32" i="17" s="1"/>
  <c r="BO34" i="17"/>
  <c r="BO32" i="17" s="1"/>
  <c r="BP34" i="17"/>
  <c r="BP32" i="17" s="1"/>
  <c r="BQ34" i="17"/>
  <c r="BQ32" i="17" s="1"/>
  <c r="BR34" i="17"/>
  <c r="BR32" i="17" s="1"/>
  <c r="BS34" i="17"/>
  <c r="BS32" i="17" s="1"/>
  <c r="BT34" i="17"/>
  <c r="BT32" i="17" s="1"/>
  <c r="BU34" i="17"/>
  <c r="BU32" i="17" s="1"/>
  <c r="BV34" i="17"/>
  <c r="BV32" i="17" s="1"/>
  <c r="BW34" i="17"/>
  <c r="BW32" i="17" s="1"/>
  <c r="BX34" i="17"/>
  <c r="BX32" i="17" s="1"/>
  <c r="BY34" i="17"/>
  <c r="BY32" i="17" s="1"/>
  <c r="BZ34" i="17"/>
  <c r="BZ32" i="17" s="1"/>
  <c r="CA34" i="17"/>
  <c r="CA32" i="17" s="1"/>
  <c r="CB34" i="17"/>
  <c r="CB32" i="17" s="1"/>
  <c r="CC34" i="17"/>
  <c r="CC32" i="17" s="1"/>
  <c r="CD34" i="17"/>
  <c r="CD32" i="17" s="1"/>
  <c r="CE34" i="17"/>
  <c r="CE32" i="17" s="1"/>
  <c r="CF34" i="17"/>
  <c r="CF32" i="17" s="1"/>
  <c r="CG34" i="17"/>
  <c r="CG32" i="17" s="1"/>
  <c r="CH34" i="17"/>
  <c r="CH32" i="17" s="1"/>
  <c r="CI34" i="17"/>
  <c r="CI32" i="17" s="1"/>
  <c r="CJ34" i="17"/>
  <c r="CJ32" i="17" s="1"/>
  <c r="CK34" i="17"/>
  <c r="CK32" i="17" s="1"/>
  <c r="CL34" i="17"/>
  <c r="CL32" i="17" s="1"/>
  <c r="CM34" i="17"/>
  <c r="CM32" i="17" s="1"/>
  <c r="CN34" i="17"/>
  <c r="CN32" i="17" s="1"/>
  <c r="CO34" i="17"/>
  <c r="CO32" i="17" s="1"/>
  <c r="CP34" i="17"/>
  <c r="CP32" i="17" s="1"/>
  <c r="CQ34" i="17"/>
  <c r="CQ32" i="17" s="1"/>
  <c r="CR34" i="17"/>
  <c r="CR32" i="17" s="1"/>
  <c r="CS34" i="17"/>
  <c r="DS48" i="17"/>
  <c r="CE51" i="37"/>
  <c r="BW51" i="37"/>
  <c r="BO51" i="37"/>
  <c r="BG51" i="37"/>
  <c r="AY51" i="37"/>
  <c r="AQ51" i="37"/>
  <c r="AI51" i="37"/>
  <c r="AA51" i="37"/>
  <c r="S51" i="37"/>
  <c r="X69" i="17"/>
  <c r="D165" i="37" s="1"/>
  <c r="D174" i="37" s="1"/>
  <c r="Y69" i="17"/>
  <c r="E165" i="37" s="1"/>
  <c r="E174" i="37" s="1"/>
  <c r="Z69" i="17"/>
  <c r="F165" i="37" s="1"/>
  <c r="F174" i="37" s="1"/>
  <c r="AA69" i="17"/>
  <c r="G165" i="37" s="1"/>
  <c r="G174" i="37" s="1"/>
  <c r="CD51" i="37"/>
  <c r="BV51" i="37"/>
  <c r="BN51" i="37"/>
  <c r="BF51" i="37"/>
  <c r="AX51" i="37"/>
  <c r="AP51" i="37"/>
  <c r="AH51" i="37"/>
  <c r="Z51" i="37"/>
  <c r="R51" i="37"/>
  <c r="N51" i="37"/>
  <c r="CC51" i="37"/>
  <c r="BU51" i="37"/>
  <c r="BM51" i="37"/>
  <c r="BE51" i="37"/>
  <c r="AW51" i="37"/>
  <c r="AO51" i="37"/>
  <c r="AG51" i="37"/>
  <c r="Y51" i="37"/>
  <c r="Q51" i="37"/>
  <c r="J79" i="37"/>
  <c r="J92" i="37" s="1"/>
  <c r="F71" i="17"/>
  <c r="J69" i="17"/>
  <c r="W69" i="17" s="1"/>
  <c r="K69" i="17"/>
  <c r="CM79" i="37"/>
  <c r="CM92" i="37" s="1"/>
  <c r="DC79" i="37"/>
  <c r="DC92" i="37" s="1"/>
  <c r="CP91" i="37"/>
  <c r="E91" i="37"/>
  <c r="CK91" i="37"/>
  <c r="D71" i="17"/>
  <c r="E71" i="17"/>
  <c r="K71" i="17" s="1"/>
  <c r="DD91" i="37"/>
  <c r="D70" i="17"/>
  <c r="E70" i="17"/>
  <c r="DF79" i="37"/>
  <c r="DF92" i="37" s="1"/>
  <c r="K91" i="37"/>
  <c r="J34" i="17"/>
  <c r="W34" i="17" s="1"/>
  <c r="W32" i="17" s="1"/>
  <c r="F70" i="17"/>
  <c r="CU79" i="37"/>
  <c r="CU91" i="37"/>
  <c r="DI79" i="37"/>
  <c r="DI91" i="37"/>
  <c r="CY79" i="37"/>
  <c r="CY91" i="37"/>
  <c r="K92" i="37"/>
  <c r="DA91" i="37"/>
  <c r="DA79" i="37"/>
  <c r="D91" i="37"/>
  <c r="D79" i="37"/>
  <c r="E92" i="37"/>
  <c r="DD92" i="37"/>
  <c r="CN79" i="37"/>
  <c r="CN91" i="37"/>
  <c r="G91" i="37"/>
  <c r="G79" i="37"/>
  <c r="M79" i="37"/>
  <c r="M91" i="37"/>
  <c r="CX79" i="37"/>
  <c r="CX91" i="37"/>
  <c r="CZ79" i="37"/>
  <c r="CZ91" i="37"/>
  <c r="F79" i="37"/>
  <c r="F91" i="37"/>
  <c r="CK92" i="37"/>
  <c r="CR79" i="37"/>
  <c r="CR91" i="37"/>
  <c r="CS79" i="37"/>
  <c r="CS91" i="37"/>
  <c r="CQ91" i="37"/>
  <c r="CQ79" i="37"/>
  <c r="CP92" i="37"/>
  <c r="CL79" i="37"/>
  <c r="CL91" i="37"/>
  <c r="L79" i="37"/>
  <c r="L91" i="37"/>
  <c r="H79" i="37"/>
  <c r="H91" i="37"/>
  <c r="I79" i="37"/>
  <c r="I91" i="37"/>
  <c r="DB91" i="37"/>
  <c r="DB79" i="37"/>
  <c r="K34" i="17"/>
  <c r="F32" i="17"/>
  <c r="M19" i="14"/>
  <c r="E40" i="15"/>
  <c r="F65" i="17" s="1"/>
  <c r="F94" i="17" s="1"/>
  <c r="CT79" i="37"/>
  <c r="CT91" i="37"/>
  <c r="DH79" i="37"/>
  <c r="DH91" i="37"/>
  <c r="E32" i="17"/>
  <c r="L19" i="14"/>
  <c r="D40" i="15"/>
  <c r="E65" i="17" s="1"/>
  <c r="E94" i="17" s="1"/>
  <c r="CO79" i="37"/>
  <c r="CO91" i="37"/>
  <c r="CW79" i="37"/>
  <c r="CW91" i="37"/>
  <c r="DG79" i="37"/>
  <c r="DG91" i="37"/>
  <c r="DE91" i="37"/>
  <c r="DE79" i="37"/>
  <c r="CV79" i="37"/>
  <c r="CV91" i="37"/>
  <c r="K19" i="14"/>
  <c r="C40" i="15"/>
  <c r="D65" i="17" s="1"/>
  <c r="D94" i="17" s="1"/>
  <c r="D32" i="17"/>
  <c r="DS40" i="17" l="1"/>
  <c r="C20" i="4" s="1"/>
  <c r="C32" i="38" s="1"/>
  <c r="AG13" i="25"/>
  <c r="AA20" i="17"/>
  <c r="AA19" i="17"/>
  <c r="AA18" i="17"/>
  <c r="AA28" i="17"/>
  <c r="AI14" i="25"/>
  <c r="AC22" i="17"/>
  <c r="AC24" i="17"/>
  <c r="AC16" i="17"/>
  <c r="AC13" i="17"/>
  <c r="AC15" i="17"/>
  <c r="AC14" i="17"/>
  <c r="AC23" i="17"/>
  <c r="AC12" i="17"/>
  <c r="CO65" i="17"/>
  <c r="CG65" i="17"/>
  <c r="BY65" i="17"/>
  <c r="BQ65" i="17"/>
  <c r="BI65" i="17"/>
  <c r="BA65" i="17"/>
  <c r="AS65" i="17"/>
  <c r="AK65" i="17"/>
  <c r="AC65" i="17"/>
  <c r="CN65" i="17"/>
  <c r="CF65" i="17"/>
  <c r="BX65" i="17"/>
  <c r="BP65" i="17"/>
  <c r="BH65" i="17"/>
  <c r="AZ65" i="17"/>
  <c r="AR65" i="17"/>
  <c r="AJ65" i="17"/>
  <c r="Z65" i="17"/>
  <c r="C23" i="4"/>
  <c r="CM65" i="17"/>
  <c r="CE65" i="17"/>
  <c r="BW65" i="17"/>
  <c r="BO65" i="17"/>
  <c r="BG65" i="17"/>
  <c r="AY65" i="17"/>
  <c r="AQ65" i="17"/>
  <c r="AI65" i="17"/>
  <c r="AB65" i="17"/>
  <c r="CL65" i="17"/>
  <c r="CD65" i="17"/>
  <c r="BV65" i="17"/>
  <c r="BN65" i="17"/>
  <c r="BF65" i="17"/>
  <c r="AX65" i="17"/>
  <c r="AP65" i="17"/>
  <c r="AH65" i="17"/>
  <c r="AA65" i="17"/>
  <c r="X70" i="17"/>
  <c r="D166" i="37" s="1"/>
  <c r="D175" i="37" s="1"/>
  <c r="Y70" i="17"/>
  <c r="E166" i="37" s="1"/>
  <c r="E175" i="37" s="1"/>
  <c r="W70" i="17"/>
  <c r="AA70" i="17"/>
  <c r="G166" i="37" s="1"/>
  <c r="G175" i="37" s="1"/>
  <c r="AB70" i="17"/>
  <c r="H166" i="37" s="1"/>
  <c r="H175" i="37" s="1"/>
  <c r="Z70" i="17"/>
  <c r="F166" i="37" s="1"/>
  <c r="F175" i="37" s="1"/>
  <c r="DS34" i="17"/>
  <c r="C18" i="4" s="1"/>
  <c r="CS32" i="17"/>
  <c r="CK65" i="17"/>
  <c r="CC65" i="17"/>
  <c r="BU65" i="17"/>
  <c r="BM65" i="17"/>
  <c r="BE65" i="17"/>
  <c r="AW65" i="17"/>
  <c r="AO65" i="17"/>
  <c r="AG65" i="17"/>
  <c r="Y65" i="17"/>
  <c r="DS66" i="17"/>
  <c r="CR65" i="17"/>
  <c r="CJ65" i="17"/>
  <c r="CB65" i="17"/>
  <c r="BT65" i="17"/>
  <c r="BL65" i="17"/>
  <c r="BD65" i="17"/>
  <c r="AV65" i="17"/>
  <c r="AN65" i="17"/>
  <c r="AF65" i="17"/>
  <c r="W65" i="17"/>
  <c r="CQ65" i="17"/>
  <c r="CI65" i="17"/>
  <c r="CA65" i="17"/>
  <c r="BS65" i="17"/>
  <c r="BK65" i="17"/>
  <c r="BC65" i="17"/>
  <c r="AU65" i="17"/>
  <c r="AM65" i="17"/>
  <c r="AE65" i="17"/>
  <c r="X65" i="17"/>
  <c r="X71" i="17"/>
  <c r="D167" i="37" s="1"/>
  <c r="D176" i="37" s="1"/>
  <c r="Y71" i="17"/>
  <c r="E167" i="37" s="1"/>
  <c r="E176" i="37" s="1"/>
  <c r="AA71" i="17"/>
  <c r="G167" i="37" s="1"/>
  <c r="G176" i="37" s="1"/>
  <c r="Z71" i="17"/>
  <c r="F167" i="37" s="1"/>
  <c r="F176" i="37" s="1"/>
  <c r="AB71" i="17"/>
  <c r="H167" i="37" s="1"/>
  <c r="H176" i="37" s="1"/>
  <c r="C165" i="37"/>
  <c r="C174" i="37" s="1"/>
  <c r="CP65" i="17"/>
  <c r="CH65" i="17"/>
  <c r="BZ65" i="17"/>
  <c r="BR65" i="17"/>
  <c r="BJ65" i="17"/>
  <c r="BB65" i="17"/>
  <c r="AT65" i="17"/>
  <c r="AL65" i="17"/>
  <c r="AD65" i="17"/>
  <c r="J70" i="17"/>
  <c r="J71" i="17"/>
  <c r="W71" i="17" s="1"/>
  <c r="K70" i="17"/>
  <c r="J94" i="17"/>
  <c r="CL92" i="37"/>
  <c r="DA92" i="37"/>
  <c r="DH92" i="37"/>
  <c r="H92" i="37"/>
  <c r="CS92" i="37"/>
  <c r="CX92" i="37"/>
  <c r="CY92" i="37"/>
  <c r="L92" i="37"/>
  <c r="CR92" i="37"/>
  <c r="CZ92" i="37"/>
  <c r="DE92" i="37"/>
  <c r="CO92" i="37"/>
  <c r="CT92" i="37"/>
  <c r="K94" i="17"/>
  <c r="M92" i="37"/>
  <c r="I92" i="37"/>
  <c r="F92" i="37"/>
  <c r="DG92" i="37"/>
  <c r="CW92" i="37"/>
  <c r="CQ92" i="37"/>
  <c r="CN92" i="37"/>
  <c r="CV92" i="37"/>
  <c r="DB92" i="37"/>
  <c r="G92" i="37"/>
  <c r="D80" i="37"/>
  <c r="D92" i="37"/>
  <c r="DI92" i="37"/>
  <c r="CU92" i="37"/>
  <c r="C10" i="46" l="1"/>
  <c r="AJ14" i="25"/>
  <c r="AD16" i="17"/>
  <c r="AD12" i="17"/>
  <c r="AD13" i="17"/>
  <c r="AD22" i="17"/>
  <c r="AD23" i="17"/>
  <c r="AD14" i="17"/>
  <c r="AD15" i="17"/>
  <c r="AD24" i="17"/>
  <c r="AH13" i="25"/>
  <c r="AB18" i="17"/>
  <c r="AB20" i="17"/>
  <c r="AB19" i="17"/>
  <c r="AB28" i="17"/>
  <c r="AB69" i="17"/>
  <c r="AK54" i="37"/>
  <c r="AK57" i="37" s="1"/>
  <c r="AK68" i="37" s="1"/>
  <c r="AU94" i="17"/>
  <c r="BQ54" i="37"/>
  <c r="BQ57" i="37" s="1"/>
  <c r="BQ68" i="37" s="1"/>
  <c r="CA94" i="17"/>
  <c r="V54" i="37"/>
  <c r="V57" i="37" s="1"/>
  <c r="V68" i="37" s="1"/>
  <c r="AF94" i="17"/>
  <c r="BB54" i="37"/>
  <c r="BB57" i="37" s="1"/>
  <c r="BB68" i="37" s="1"/>
  <c r="BL94" i="17"/>
  <c r="CH54" i="37"/>
  <c r="CH57" i="37" s="1"/>
  <c r="CH68" i="37" s="1"/>
  <c r="CR94" i="17"/>
  <c r="AM54" i="37"/>
  <c r="AM57" i="37" s="1"/>
  <c r="AM68" i="37" s="1"/>
  <c r="AW94" i="17"/>
  <c r="BS54" i="37"/>
  <c r="BS57" i="37" s="1"/>
  <c r="BS68" i="37" s="1"/>
  <c r="CC94" i="17"/>
  <c r="Q54" i="37"/>
  <c r="Q57" i="37" s="1"/>
  <c r="Q68" i="37" s="1"/>
  <c r="AA94" i="17"/>
  <c r="R78" i="37" s="1"/>
  <c r="AV54" i="37"/>
  <c r="AV57" i="37" s="1"/>
  <c r="AV68" i="37" s="1"/>
  <c r="BF94" i="17"/>
  <c r="CB54" i="37"/>
  <c r="CB57" i="37" s="1"/>
  <c r="CB68" i="37" s="1"/>
  <c r="CL94" i="17"/>
  <c r="AJ54" i="37"/>
  <c r="AJ57" i="37" s="1"/>
  <c r="AJ68" i="37" s="1"/>
  <c r="AT94" i="17"/>
  <c r="R54" i="37"/>
  <c r="R57" i="37" s="1"/>
  <c r="R68" i="37" s="1"/>
  <c r="AB94" i="17"/>
  <c r="AW54" i="37"/>
  <c r="AW57" i="37" s="1"/>
  <c r="AW68" i="37" s="1"/>
  <c r="BG94" i="17"/>
  <c r="CC54" i="37"/>
  <c r="CC57" i="37" s="1"/>
  <c r="CC68" i="37" s="1"/>
  <c r="CM94" i="17"/>
  <c r="Z54" i="37"/>
  <c r="Z57" i="37" s="1"/>
  <c r="Z68" i="37" s="1"/>
  <c r="AJ94" i="17"/>
  <c r="BF54" i="37"/>
  <c r="BF57" i="37" s="1"/>
  <c r="BF68" i="37" s="1"/>
  <c r="BP94" i="17"/>
  <c r="AQ54" i="37"/>
  <c r="AQ57" i="37" s="1"/>
  <c r="AQ68" i="37" s="1"/>
  <c r="BA94" i="17"/>
  <c r="BW54" i="37"/>
  <c r="BW57" i="37" s="1"/>
  <c r="BW68" i="37" s="1"/>
  <c r="CG94" i="17"/>
  <c r="N54" i="37"/>
  <c r="N57" i="37" s="1"/>
  <c r="N68" i="37" s="1"/>
  <c r="X94" i="17"/>
  <c r="O78" i="37" s="1"/>
  <c r="AS54" i="37"/>
  <c r="AS57" i="37" s="1"/>
  <c r="AS68" i="37" s="1"/>
  <c r="BC94" i="17"/>
  <c r="BY54" i="37"/>
  <c r="BY57" i="37" s="1"/>
  <c r="BY68" i="37" s="1"/>
  <c r="CI94" i="17"/>
  <c r="AD54" i="37"/>
  <c r="AD57" i="37" s="1"/>
  <c r="AD68" i="37" s="1"/>
  <c r="AN94" i="17"/>
  <c r="BJ54" i="37"/>
  <c r="BJ57" i="37" s="1"/>
  <c r="BJ68" i="37" s="1"/>
  <c r="BT94" i="17"/>
  <c r="O54" i="37"/>
  <c r="O57" i="37" s="1"/>
  <c r="O68" i="37" s="1"/>
  <c r="Y94" i="17"/>
  <c r="P78" i="37" s="1"/>
  <c r="AU54" i="37"/>
  <c r="AU57" i="37" s="1"/>
  <c r="AU68" i="37" s="1"/>
  <c r="BE94" i="17"/>
  <c r="CA54" i="37"/>
  <c r="CA57" i="37" s="1"/>
  <c r="CA68" i="37" s="1"/>
  <c r="CK94" i="17"/>
  <c r="X54" i="37"/>
  <c r="X57" i="37" s="1"/>
  <c r="X68" i="37" s="1"/>
  <c r="AH94" i="17"/>
  <c r="BD54" i="37"/>
  <c r="BD57" i="37" s="1"/>
  <c r="BD68" i="37" s="1"/>
  <c r="BN94" i="17"/>
  <c r="AR54" i="37"/>
  <c r="AR57" i="37" s="1"/>
  <c r="AR68" i="37" s="1"/>
  <c r="BB94" i="17"/>
  <c r="CS65" i="17"/>
  <c r="DS65" i="17" s="1"/>
  <c r="C25" i="4" s="1"/>
  <c r="C28" i="4" s="1"/>
  <c r="Y54" i="37"/>
  <c r="Y57" i="37" s="1"/>
  <c r="Y68" i="37" s="1"/>
  <c r="AI94" i="17"/>
  <c r="BE54" i="37"/>
  <c r="BE57" i="37" s="1"/>
  <c r="BE68" i="37" s="1"/>
  <c r="BO94" i="17"/>
  <c r="L32" i="38"/>
  <c r="I32" i="38"/>
  <c r="H32" i="38"/>
  <c r="AH54" i="37"/>
  <c r="AH57" i="37" s="1"/>
  <c r="AH68" i="37" s="1"/>
  <c r="AR94" i="17"/>
  <c r="BN54" i="37"/>
  <c r="BN57" i="37" s="1"/>
  <c r="BN68" i="37" s="1"/>
  <c r="BX94" i="17"/>
  <c r="S54" i="37"/>
  <c r="S57" i="37" s="1"/>
  <c r="S68" i="37" s="1"/>
  <c r="AC94" i="17"/>
  <c r="AY54" i="37"/>
  <c r="AY57" i="37" s="1"/>
  <c r="AY68" i="37" s="1"/>
  <c r="BI94" i="17"/>
  <c r="CE54" i="37"/>
  <c r="CE57" i="37" s="1"/>
  <c r="CE68" i="37" s="1"/>
  <c r="CO94" i="17"/>
  <c r="BP54" i="37"/>
  <c r="BP57" i="37" s="1"/>
  <c r="BP68" i="37" s="1"/>
  <c r="BZ94" i="17"/>
  <c r="BX54" i="37"/>
  <c r="BX57" i="37" s="1"/>
  <c r="BX68" i="37" s="1"/>
  <c r="CH94" i="17"/>
  <c r="U54" i="37"/>
  <c r="U57" i="37" s="1"/>
  <c r="U68" i="37" s="1"/>
  <c r="AE94" i="17"/>
  <c r="BA54" i="37"/>
  <c r="BA57" i="37" s="1"/>
  <c r="BA68" i="37" s="1"/>
  <c r="BK94" i="17"/>
  <c r="CG54" i="37"/>
  <c r="CG57" i="37" s="1"/>
  <c r="CG68" i="37" s="1"/>
  <c r="CQ94" i="17"/>
  <c r="AL54" i="37"/>
  <c r="AL57" i="37" s="1"/>
  <c r="AL68" i="37" s="1"/>
  <c r="AV94" i="17"/>
  <c r="BR54" i="37"/>
  <c r="BR57" i="37" s="1"/>
  <c r="BR68" i="37" s="1"/>
  <c r="CB94" i="17"/>
  <c r="W54" i="37"/>
  <c r="W57" i="37" s="1"/>
  <c r="W68" i="37" s="1"/>
  <c r="AG94" i="17"/>
  <c r="BC54" i="37"/>
  <c r="BC57" i="37" s="1"/>
  <c r="BC68" i="37" s="1"/>
  <c r="BM94" i="17"/>
  <c r="C8" i="46"/>
  <c r="C30" i="38"/>
  <c r="AF54" i="37"/>
  <c r="AF57" i="37" s="1"/>
  <c r="AF68" i="37" s="1"/>
  <c r="AP94" i="17"/>
  <c r="BL54" i="37"/>
  <c r="BL57" i="37" s="1"/>
  <c r="BL68" i="37" s="1"/>
  <c r="BV94" i="17"/>
  <c r="T54" i="37"/>
  <c r="T57" i="37" s="1"/>
  <c r="T68" i="37" s="1"/>
  <c r="AD94" i="17"/>
  <c r="AZ54" i="37"/>
  <c r="AZ57" i="37" s="1"/>
  <c r="AZ68" i="37" s="1"/>
  <c r="BJ94" i="17"/>
  <c r="CF54" i="37"/>
  <c r="CF57" i="37" s="1"/>
  <c r="CF68" i="37" s="1"/>
  <c r="CP94" i="17"/>
  <c r="DS32" i="17"/>
  <c r="C17" i="4" s="1"/>
  <c r="AG54" i="37"/>
  <c r="AG57" i="37" s="1"/>
  <c r="AG68" i="37" s="1"/>
  <c r="AQ94" i="17"/>
  <c r="BM54" i="37"/>
  <c r="BM57" i="37" s="1"/>
  <c r="BM68" i="37" s="1"/>
  <c r="BW94" i="17"/>
  <c r="AP54" i="37"/>
  <c r="AP57" i="37" s="1"/>
  <c r="AP68" i="37" s="1"/>
  <c r="AZ94" i="17"/>
  <c r="BV54" i="37"/>
  <c r="BV57" i="37" s="1"/>
  <c r="BV68" i="37" s="1"/>
  <c r="CF94" i="17"/>
  <c r="AA54" i="37"/>
  <c r="AA57" i="37" s="1"/>
  <c r="AA68" i="37" s="1"/>
  <c r="AK94" i="17"/>
  <c r="BG54" i="37"/>
  <c r="BG57" i="37" s="1"/>
  <c r="BG68" i="37" s="1"/>
  <c r="BQ94" i="17"/>
  <c r="C167" i="37"/>
  <c r="C176" i="37" s="1"/>
  <c r="AC54" i="37"/>
  <c r="AC57" i="37" s="1"/>
  <c r="AC68" i="37" s="1"/>
  <c r="AM94" i="17"/>
  <c r="BI54" i="37"/>
  <c r="BI57" i="37" s="1"/>
  <c r="BI68" i="37" s="1"/>
  <c r="BS94" i="17"/>
  <c r="G20" i="4"/>
  <c r="M54" i="37"/>
  <c r="M57" i="37" s="1"/>
  <c r="M68" i="37" s="1"/>
  <c r="W94" i="17"/>
  <c r="AT54" i="37"/>
  <c r="AT57" i="37" s="1"/>
  <c r="AT68" i="37" s="1"/>
  <c r="BD94" i="17"/>
  <c r="BZ54" i="37"/>
  <c r="BZ57" i="37" s="1"/>
  <c r="BZ68" i="37" s="1"/>
  <c r="CJ94" i="17"/>
  <c r="AE54" i="37"/>
  <c r="AE57" i="37" s="1"/>
  <c r="AE68" i="37" s="1"/>
  <c r="AO94" i="17"/>
  <c r="BK54" i="37"/>
  <c r="BK57" i="37" s="1"/>
  <c r="BK68" i="37" s="1"/>
  <c r="BU94" i="17"/>
  <c r="AN54" i="37"/>
  <c r="AN57" i="37" s="1"/>
  <c r="AN68" i="37" s="1"/>
  <c r="AX94" i="17"/>
  <c r="BT54" i="37"/>
  <c r="BT57" i="37" s="1"/>
  <c r="BT68" i="37" s="1"/>
  <c r="CD94" i="17"/>
  <c r="AB54" i="37"/>
  <c r="AB57" i="37" s="1"/>
  <c r="AB68" i="37" s="1"/>
  <c r="AL94" i="17"/>
  <c r="BH54" i="37"/>
  <c r="BH57" i="37" s="1"/>
  <c r="BH68" i="37" s="1"/>
  <c r="BR94" i="17"/>
  <c r="C166" i="37"/>
  <c r="C175" i="37" s="1"/>
  <c r="G100" i="4"/>
  <c r="AO54" i="37"/>
  <c r="AO57" i="37" s="1"/>
  <c r="AO68" i="37" s="1"/>
  <c r="AY94" i="17"/>
  <c r="BU54" i="37"/>
  <c r="BU57" i="37" s="1"/>
  <c r="BU68" i="37" s="1"/>
  <c r="CE94" i="17"/>
  <c r="C38" i="38"/>
  <c r="C11" i="46"/>
  <c r="P54" i="37"/>
  <c r="P57" i="37" s="1"/>
  <c r="P68" i="37" s="1"/>
  <c r="Z94" i="17"/>
  <c r="Q78" i="37" s="1"/>
  <c r="AX54" i="37"/>
  <c r="AX57" i="37" s="1"/>
  <c r="AX68" i="37" s="1"/>
  <c r="BH94" i="17"/>
  <c r="CD54" i="37"/>
  <c r="CD57" i="37" s="1"/>
  <c r="CD68" i="37" s="1"/>
  <c r="CN94" i="17"/>
  <c r="AI54" i="37"/>
  <c r="AI57" i="37" s="1"/>
  <c r="AI68" i="37" s="1"/>
  <c r="AS94" i="17"/>
  <c r="BO54" i="37"/>
  <c r="BO57" i="37" s="1"/>
  <c r="BO68" i="37" s="1"/>
  <c r="BY94" i="17"/>
  <c r="D93" i="37"/>
  <c r="D81" i="37"/>
  <c r="E80" i="37"/>
  <c r="S78" i="37" l="1"/>
  <c r="S91" i="37" s="1"/>
  <c r="H165" i="37"/>
  <c r="H174" i="37" s="1"/>
  <c r="AI13" i="25"/>
  <c r="AC20" i="17"/>
  <c r="AC18" i="17"/>
  <c r="AC19" i="17"/>
  <c r="AC28" i="17"/>
  <c r="AC69" i="17"/>
  <c r="I165" i="37" s="1"/>
  <c r="I174" i="37" s="1"/>
  <c r="AC71" i="17"/>
  <c r="AC70" i="17"/>
  <c r="AK14" i="25"/>
  <c r="AE24" i="17"/>
  <c r="AE16" i="17"/>
  <c r="AE13" i="17"/>
  <c r="AE14" i="17"/>
  <c r="AE23" i="17"/>
  <c r="AE12" i="17"/>
  <c r="AE15" i="17"/>
  <c r="AE22" i="17"/>
  <c r="O91" i="37"/>
  <c r="O79" i="37"/>
  <c r="O92" i="37" s="1"/>
  <c r="Q91" i="37"/>
  <c r="Q79" i="37"/>
  <c r="Q92" i="37" s="1"/>
  <c r="C21" i="4"/>
  <c r="C29" i="38"/>
  <c r="C7" i="46"/>
  <c r="R79" i="37"/>
  <c r="R92" i="37" s="1"/>
  <c r="R91" i="37"/>
  <c r="H30" i="38"/>
  <c r="I30" i="38"/>
  <c r="P79" i="37"/>
  <c r="P92" i="37" s="1"/>
  <c r="P91" i="37"/>
  <c r="C13" i="46"/>
  <c r="C40" i="38"/>
  <c r="CS94" i="17"/>
  <c r="CI54" i="37"/>
  <c r="CI57" i="37" s="1"/>
  <c r="CI68" i="37" s="1"/>
  <c r="E40" i="48"/>
  <c r="F76" i="38"/>
  <c r="E36" i="44"/>
  <c r="C9" i="38"/>
  <c r="C63" i="4"/>
  <c r="G36" i="44"/>
  <c r="D38" i="38"/>
  <c r="L38" i="38" s="1"/>
  <c r="H38" i="38"/>
  <c r="I38" i="38"/>
  <c r="N78" i="37"/>
  <c r="D94" i="37"/>
  <c r="E81" i="37"/>
  <c r="E93" i="37"/>
  <c r="F80" i="37"/>
  <c r="S79" i="37" l="1"/>
  <c r="S92" i="37" s="1"/>
  <c r="T78" i="37"/>
  <c r="T91" i="37" s="1"/>
  <c r="AL14" i="25"/>
  <c r="AF14" i="17"/>
  <c r="AF12" i="17"/>
  <c r="AF24" i="17"/>
  <c r="AF15" i="17"/>
  <c r="AF22" i="17"/>
  <c r="AF13" i="17"/>
  <c r="AF16" i="17"/>
  <c r="AF23" i="17"/>
  <c r="I167" i="37"/>
  <c r="I176" i="37" s="1"/>
  <c r="AJ13" i="25"/>
  <c r="AD20" i="17"/>
  <c r="AD18" i="17"/>
  <c r="AD19" i="17"/>
  <c r="AD28" i="17"/>
  <c r="AD69" i="17"/>
  <c r="J165" i="37" s="1"/>
  <c r="J174" i="37" s="1"/>
  <c r="AD70" i="17"/>
  <c r="J166" i="37" s="1"/>
  <c r="J175" i="37" s="1"/>
  <c r="AD71" i="17"/>
  <c r="J167" i="37" s="1"/>
  <c r="J176" i="37" s="1"/>
  <c r="I166" i="37"/>
  <c r="I175" i="37" s="1"/>
  <c r="E39" i="48"/>
  <c r="C62" i="4"/>
  <c r="F75" i="38"/>
  <c r="C8" i="38"/>
  <c r="G76" i="38"/>
  <c r="C76" i="38"/>
  <c r="E76" i="38"/>
  <c r="DS94" i="17"/>
  <c r="C37" i="4" s="1"/>
  <c r="I40" i="38"/>
  <c r="H40" i="38"/>
  <c r="N79" i="37"/>
  <c r="N92" i="37" s="1"/>
  <c r="N91" i="37"/>
  <c r="I9" i="38"/>
  <c r="H9" i="38"/>
  <c r="K38" i="38"/>
  <c r="F38" i="38"/>
  <c r="J38" i="38"/>
  <c r="G38" i="38"/>
  <c r="D39" i="38"/>
  <c r="L39" i="38" s="1"/>
  <c r="D29" i="38"/>
  <c r="L29" i="38" s="1"/>
  <c r="I29" i="38"/>
  <c r="H29" i="38"/>
  <c r="E94" i="37"/>
  <c r="F81" i="37"/>
  <c r="F93" i="37"/>
  <c r="G80" i="37"/>
  <c r="T79" i="37" l="1"/>
  <c r="T92" i="37" s="1"/>
  <c r="K29" i="38"/>
  <c r="AK13" i="25"/>
  <c r="AE18" i="17"/>
  <c r="AE20" i="17"/>
  <c r="AE19" i="17"/>
  <c r="AE28" i="17"/>
  <c r="AE69" i="17"/>
  <c r="K165" i="37" s="1"/>
  <c r="K174" i="37" s="1"/>
  <c r="AE70" i="17"/>
  <c r="K166" i="37" s="1"/>
  <c r="K175" i="37" s="1"/>
  <c r="AE71" i="17"/>
  <c r="K167" i="37" s="1"/>
  <c r="K176" i="37" s="1"/>
  <c r="AM14" i="25"/>
  <c r="AG15" i="17"/>
  <c r="AG23" i="17"/>
  <c r="AG22" i="17"/>
  <c r="AG13" i="17"/>
  <c r="AG16" i="17"/>
  <c r="AG12" i="17"/>
  <c r="AG14" i="17"/>
  <c r="AG24" i="17"/>
  <c r="U78" i="37"/>
  <c r="F29" i="38"/>
  <c r="J29" i="38"/>
  <c r="D30" i="38"/>
  <c r="L30" i="38" s="1"/>
  <c r="K39" i="38"/>
  <c r="D40" i="38"/>
  <c r="L40" i="38" s="1"/>
  <c r="J39" i="38"/>
  <c r="F39" i="38"/>
  <c r="G39" i="38"/>
  <c r="H8" i="38"/>
  <c r="I8" i="38"/>
  <c r="C21" i="46"/>
  <c r="F79" i="38"/>
  <c r="C12" i="38"/>
  <c r="G75" i="38"/>
  <c r="C75" i="38"/>
  <c r="E75" i="38"/>
  <c r="G29" i="38"/>
  <c r="F94" i="37"/>
  <c r="G81" i="37"/>
  <c r="G93" i="37"/>
  <c r="H80" i="37"/>
  <c r="U91" i="37" l="1"/>
  <c r="U79" i="37"/>
  <c r="U92" i="37" s="1"/>
  <c r="AN14" i="25"/>
  <c r="AH24" i="17"/>
  <c r="AH23" i="17"/>
  <c r="AH14" i="17"/>
  <c r="AH22" i="17"/>
  <c r="AH16" i="17"/>
  <c r="AH12" i="17"/>
  <c r="AH15" i="17"/>
  <c r="AH13" i="17"/>
  <c r="V78" i="37"/>
  <c r="AL13" i="25"/>
  <c r="AF20" i="17"/>
  <c r="AF18" i="17"/>
  <c r="AF19" i="17"/>
  <c r="AF28" i="17"/>
  <c r="AF69" i="17"/>
  <c r="L165" i="37" s="1"/>
  <c r="L174" i="37" s="1"/>
  <c r="AF70" i="17"/>
  <c r="AF71" i="17"/>
  <c r="H12" i="38"/>
  <c r="I12" i="38"/>
  <c r="G79" i="38"/>
  <c r="C79" i="38"/>
  <c r="E79" i="38"/>
  <c r="K40" i="38"/>
  <c r="F40" i="38"/>
  <c r="G40" i="38"/>
  <c r="J40" i="38"/>
  <c r="D41" i="38"/>
  <c r="K30" i="38"/>
  <c r="J30" i="38"/>
  <c r="D31" i="38"/>
  <c r="F30" i="38"/>
  <c r="G30" i="38"/>
  <c r="G94" i="37"/>
  <c r="H81" i="37"/>
  <c r="H93" i="37"/>
  <c r="I80" i="37"/>
  <c r="AM13" i="25" l="1"/>
  <c r="AG18" i="17"/>
  <c r="AG20" i="17"/>
  <c r="AG19" i="17"/>
  <c r="AG28" i="17"/>
  <c r="AG69" i="17"/>
  <c r="M165" i="37" s="1"/>
  <c r="M174" i="37" s="1"/>
  <c r="AG70" i="17"/>
  <c r="M166" i="37" s="1"/>
  <c r="M175" i="37" s="1"/>
  <c r="AG71" i="17"/>
  <c r="M167" i="37" s="1"/>
  <c r="M176" i="37" s="1"/>
  <c r="L167" i="37"/>
  <c r="L176" i="37" s="1"/>
  <c r="V79" i="37"/>
  <c r="V92" i="37" s="1"/>
  <c r="V91" i="37"/>
  <c r="L166" i="37"/>
  <c r="L175" i="37" s="1"/>
  <c r="AO14" i="25"/>
  <c r="AI23" i="17"/>
  <c r="AI22" i="17"/>
  <c r="AI15" i="17"/>
  <c r="AI13" i="17"/>
  <c r="AI16" i="17"/>
  <c r="AI24" i="17"/>
  <c r="AI12" i="17"/>
  <c r="AI14" i="17"/>
  <c r="W78" i="37"/>
  <c r="D32" i="38"/>
  <c r="G31" i="38"/>
  <c r="J31" i="38"/>
  <c r="F31" i="38"/>
  <c r="K31" i="38"/>
  <c r="F41" i="38"/>
  <c r="J41" i="38"/>
  <c r="D42" i="38"/>
  <c r="K41" i="38"/>
  <c r="G41" i="38"/>
  <c r="I93" i="37"/>
  <c r="I81" i="37"/>
  <c r="J80" i="37"/>
  <c r="H94" i="37"/>
  <c r="AP14" i="25" l="1"/>
  <c r="AJ13" i="17"/>
  <c r="AJ16" i="17"/>
  <c r="AJ24" i="17"/>
  <c r="AJ15" i="17"/>
  <c r="AJ14" i="17"/>
  <c r="AJ22" i="17"/>
  <c r="AJ12" i="17"/>
  <c r="AJ23" i="17"/>
  <c r="W91" i="37"/>
  <c r="W79" i="37"/>
  <c r="W92" i="37" s="1"/>
  <c r="X78" i="37"/>
  <c r="AN13" i="25"/>
  <c r="AH20" i="17"/>
  <c r="AH18" i="17"/>
  <c r="AH19" i="17"/>
  <c r="AH28" i="17"/>
  <c r="AH69" i="17"/>
  <c r="N165" i="37" s="1"/>
  <c r="N174" i="37" s="1"/>
  <c r="AH70" i="17"/>
  <c r="AH71" i="17"/>
  <c r="G32" i="38"/>
  <c r="D33" i="38"/>
  <c r="J32" i="38"/>
  <c r="F32" i="38"/>
  <c r="K32" i="38"/>
  <c r="F42" i="38"/>
  <c r="G42" i="38"/>
  <c r="K42" i="38"/>
  <c r="J42" i="38"/>
  <c r="D43" i="38"/>
  <c r="J93" i="37"/>
  <c r="J81" i="37"/>
  <c r="K80" i="37"/>
  <c r="I94" i="37"/>
  <c r="Y78" i="37" l="1"/>
  <c r="AO13" i="25"/>
  <c r="AI20" i="17"/>
  <c r="AI18" i="17"/>
  <c r="AI19" i="17"/>
  <c r="AI28" i="17"/>
  <c r="AI69" i="17"/>
  <c r="O165" i="37" s="1"/>
  <c r="O174" i="37" s="1"/>
  <c r="AI70" i="17"/>
  <c r="O166" i="37" s="1"/>
  <c r="O175" i="37" s="1"/>
  <c r="AI71" i="17"/>
  <c r="O167" i="37" s="1"/>
  <c r="O176" i="37" s="1"/>
  <c r="N167" i="37"/>
  <c r="N176" i="37" s="1"/>
  <c r="X91" i="37"/>
  <c r="X79" i="37"/>
  <c r="X92" i="37" s="1"/>
  <c r="N166" i="37"/>
  <c r="N175" i="37" s="1"/>
  <c r="AQ14" i="25"/>
  <c r="AK24" i="17"/>
  <c r="AK14" i="17"/>
  <c r="AK12" i="17"/>
  <c r="AK22" i="17"/>
  <c r="AK23" i="17"/>
  <c r="AK15" i="17"/>
  <c r="AK13" i="17"/>
  <c r="AK16" i="17"/>
  <c r="E33" i="38"/>
  <c r="F33" i="38"/>
  <c r="G33" i="38"/>
  <c r="F43" i="38"/>
  <c r="E43" i="38"/>
  <c r="G43" i="38"/>
  <c r="J94" i="37"/>
  <c r="K93" i="37"/>
  <c r="K81" i="37"/>
  <c r="L80" i="37"/>
  <c r="Z78" i="37" l="1"/>
  <c r="AP13" i="25"/>
  <c r="AJ18" i="17"/>
  <c r="AJ20" i="17"/>
  <c r="AJ19" i="17"/>
  <c r="AJ28" i="17"/>
  <c r="AJ69" i="17"/>
  <c r="P165" i="37" s="1"/>
  <c r="P174" i="37" s="1"/>
  <c r="AJ70" i="17"/>
  <c r="AJ71" i="17"/>
  <c r="P167" i="37" s="1"/>
  <c r="P176" i="37" s="1"/>
  <c r="AR14" i="25"/>
  <c r="AL16" i="17"/>
  <c r="AL22" i="17"/>
  <c r="AL24" i="17"/>
  <c r="AL13" i="17"/>
  <c r="AL12" i="17"/>
  <c r="AL23" i="17"/>
  <c r="AL15" i="17"/>
  <c r="AL14" i="17"/>
  <c r="Y91" i="37"/>
  <c r="Y79" i="37"/>
  <c r="Y92" i="37" s="1"/>
  <c r="L81" i="37"/>
  <c r="L93" i="37"/>
  <c r="M80" i="37"/>
  <c r="K94" i="37"/>
  <c r="AA78" i="37" l="1"/>
  <c r="AS14" i="25"/>
  <c r="AM16" i="17"/>
  <c r="AM24" i="17"/>
  <c r="AM12" i="17"/>
  <c r="AM22" i="17"/>
  <c r="AM15" i="17"/>
  <c r="AM13" i="17"/>
  <c r="AM23" i="17"/>
  <c r="AM14" i="17"/>
  <c r="AQ13" i="25"/>
  <c r="AK18" i="17"/>
  <c r="AK20" i="17"/>
  <c r="AK19" i="17"/>
  <c r="AK28" i="17"/>
  <c r="AK69" i="17"/>
  <c r="Q165" i="37" s="1"/>
  <c r="Q174" i="37" s="1"/>
  <c r="AK71" i="17"/>
  <c r="Q167" i="37" s="1"/>
  <c r="Q176" i="37" s="1"/>
  <c r="AK70" i="17"/>
  <c r="Q166" i="37" s="1"/>
  <c r="Q175" i="37" s="1"/>
  <c r="P166" i="37"/>
  <c r="P175" i="37" s="1"/>
  <c r="Z91" i="37"/>
  <c r="Z79" i="37"/>
  <c r="Z92" i="37" s="1"/>
  <c r="M93" i="37"/>
  <c r="M81" i="37"/>
  <c r="N80" i="37"/>
  <c r="L94" i="37"/>
  <c r="AB78" i="37" l="1"/>
  <c r="AR13" i="25"/>
  <c r="AL18" i="17"/>
  <c r="AL20" i="17"/>
  <c r="AL19" i="17"/>
  <c r="AL28" i="17"/>
  <c r="AL69" i="17"/>
  <c r="R165" i="37" s="1"/>
  <c r="R174" i="37" s="1"/>
  <c r="AL70" i="17"/>
  <c r="R166" i="37" s="1"/>
  <c r="R175" i="37" s="1"/>
  <c r="AL71" i="17"/>
  <c r="R167" i="37" s="1"/>
  <c r="R176" i="37" s="1"/>
  <c r="AT14" i="25"/>
  <c r="AN15" i="17"/>
  <c r="AN12" i="17"/>
  <c r="AN16" i="17"/>
  <c r="AN13" i="17"/>
  <c r="AN24" i="17"/>
  <c r="AN14" i="17"/>
  <c r="AN22" i="17"/>
  <c r="AN23" i="17"/>
  <c r="AA79" i="37"/>
  <c r="AA92" i="37" s="1"/>
  <c r="AA91" i="37"/>
  <c r="M94" i="37"/>
  <c r="N81" i="37"/>
  <c r="N93" i="37"/>
  <c r="O80" i="37"/>
  <c r="AC78" i="37" l="1"/>
  <c r="AU14" i="25"/>
  <c r="AO12" i="17"/>
  <c r="AO24" i="17"/>
  <c r="AO14" i="17"/>
  <c r="AO15" i="17"/>
  <c r="AO13" i="17"/>
  <c r="AO23" i="17"/>
  <c r="AO22" i="17"/>
  <c r="AO16" i="17"/>
  <c r="AS13" i="25"/>
  <c r="AM18" i="17"/>
  <c r="AM20" i="17"/>
  <c r="AM19" i="17"/>
  <c r="AM28" i="17"/>
  <c r="AM69" i="17"/>
  <c r="S165" i="37" s="1"/>
  <c r="S174" i="37" s="1"/>
  <c r="AM70" i="17"/>
  <c r="S166" i="37" s="1"/>
  <c r="S175" i="37" s="1"/>
  <c r="AM71" i="17"/>
  <c r="S167" i="37" s="1"/>
  <c r="S176" i="37" s="1"/>
  <c r="AB91" i="37"/>
  <c r="AB79" i="37"/>
  <c r="AB92" i="37" s="1"/>
  <c r="O93" i="37"/>
  <c r="O81" i="37"/>
  <c r="P80" i="37"/>
  <c r="N94" i="37"/>
  <c r="AD78" i="37" l="1"/>
  <c r="AT13" i="25"/>
  <c r="AN20" i="17"/>
  <c r="AN18" i="17"/>
  <c r="AN19" i="17"/>
  <c r="AN28" i="17"/>
  <c r="AN69" i="17"/>
  <c r="T165" i="37" s="1"/>
  <c r="T174" i="37" s="1"/>
  <c r="AN70" i="17"/>
  <c r="T166" i="37" s="1"/>
  <c r="T175" i="37" s="1"/>
  <c r="AN71" i="17"/>
  <c r="T167" i="37" s="1"/>
  <c r="T176" i="37" s="1"/>
  <c r="AV14" i="25"/>
  <c r="AP15" i="17"/>
  <c r="AP23" i="17"/>
  <c r="AP14" i="17"/>
  <c r="AP16" i="17"/>
  <c r="AP13" i="17"/>
  <c r="AP12" i="17"/>
  <c r="AP22" i="17"/>
  <c r="AP24" i="17"/>
  <c r="AC91" i="37"/>
  <c r="AC79" i="37"/>
  <c r="AC92" i="37" s="1"/>
  <c r="P81" i="37"/>
  <c r="P93" i="37"/>
  <c r="Q80" i="37"/>
  <c r="O94" i="37"/>
  <c r="AE78" i="37" l="1"/>
  <c r="AE91" i="37" s="1"/>
  <c r="AW14" i="25"/>
  <c r="AQ16" i="17"/>
  <c r="AQ22" i="17"/>
  <c r="AQ12" i="17"/>
  <c r="AQ13" i="17"/>
  <c r="AQ23" i="17"/>
  <c r="AQ15" i="17"/>
  <c r="AQ14" i="17"/>
  <c r="AQ24" i="17"/>
  <c r="AU13" i="25"/>
  <c r="AO20" i="17"/>
  <c r="AO18" i="17"/>
  <c r="AO19" i="17"/>
  <c r="AO28" i="17"/>
  <c r="AO69" i="17"/>
  <c r="U165" i="37" s="1"/>
  <c r="U174" i="37" s="1"/>
  <c r="AO70" i="17"/>
  <c r="U166" i="37" s="1"/>
  <c r="U175" i="37" s="1"/>
  <c r="AO71" i="17"/>
  <c r="U167" i="37" s="1"/>
  <c r="U176" i="37" s="1"/>
  <c r="AD91" i="37"/>
  <c r="AD79" i="37"/>
  <c r="AD92" i="37" s="1"/>
  <c r="Q93" i="37"/>
  <c r="Q81" i="37"/>
  <c r="R80" i="37"/>
  <c r="P94" i="37"/>
  <c r="AE79" i="37" l="1"/>
  <c r="AE92" i="37" s="1"/>
  <c r="AV13" i="25"/>
  <c r="AP18" i="17"/>
  <c r="AP20" i="17"/>
  <c r="AP19" i="17"/>
  <c r="AP28" i="17"/>
  <c r="AP69" i="17"/>
  <c r="V165" i="37" s="1"/>
  <c r="V174" i="37" s="1"/>
  <c r="AP70" i="17"/>
  <c r="V166" i="37" s="1"/>
  <c r="V175" i="37" s="1"/>
  <c r="AP71" i="17"/>
  <c r="V167" i="37" s="1"/>
  <c r="V176" i="37" s="1"/>
  <c r="AF78" i="37"/>
  <c r="AX14" i="25"/>
  <c r="AR16" i="17"/>
  <c r="AR15" i="17"/>
  <c r="AR22" i="17"/>
  <c r="AR24" i="17"/>
  <c r="AR12" i="17"/>
  <c r="AR13" i="17"/>
  <c r="AR23" i="17"/>
  <c r="AR14" i="17"/>
  <c r="Q94" i="37"/>
  <c r="R93" i="37"/>
  <c r="R81" i="37"/>
  <c r="S80" i="37"/>
  <c r="AG78" i="37" l="1"/>
  <c r="AF79" i="37"/>
  <c r="AF92" i="37" s="1"/>
  <c r="AF91" i="37"/>
  <c r="AW13" i="25"/>
  <c r="AQ20" i="17"/>
  <c r="AQ18" i="17"/>
  <c r="AQ19" i="17"/>
  <c r="AQ28" i="17"/>
  <c r="AQ69" i="17"/>
  <c r="W165" i="37" s="1"/>
  <c r="W174" i="37" s="1"/>
  <c r="AQ70" i="17"/>
  <c r="W166" i="37" s="1"/>
  <c r="W175" i="37" s="1"/>
  <c r="AQ71" i="17"/>
  <c r="W167" i="37" s="1"/>
  <c r="W176" i="37" s="1"/>
  <c r="AY14" i="25"/>
  <c r="AS13" i="17"/>
  <c r="AS16" i="17"/>
  <c r="AS22" i="17"/>
  <c r="AS12" i="17"/>
  <c r="AS23" i="17"/>
  <c r="AS24" i="17"/>
  <c r="AS15" i="17"/>
  <c r="AS14" i="17"/>
  <c r="S93" i="37"/>
  <c r="S81" i="37"/>
  <c r="T80" i="37"/>
  <c r="R94" i="37"/>
  <c r="AH78" i="37" l="1"/>
  <c r="AH91" i="37" s="1"/>
  <c r="AZ14" i="25"/>
  <c r="AT22" i="17"/>
  <c r="AT12" i="17"/>
  <c r="AT13" i="17"/>
  <c r="AT23" i="17"/>
  <c r="AT24" i="17"/>
  <c r="AT15" i="17"/>
  <c r="AT14" i="17"/>
  <c r="AT16" i="17"/>
  <c r="AX13" i="25"/>
  <c r="AR18" i="17"/>
  <c r="AR20" i="17"/>
  <c r="AR19" i="17"/>
  <c r="AR28" i="17"/>
  <c r="AR69" i="17"/>
  <c r="X165" i="37" s="1"/>
  <c r="X174" i="37" s="1"/>
  <c r="AR70" i="17"/>
  <c r="X166" i="37" s="1"/>
  <c r="X175" i="37" s="1"/>
  <c r="AR71" i="17"/>
  <c r="X167" i="37" s="1"/>
  <c r="X176" i="37" s="1"/>
  <c r="AG79" i="37"/>
  <c r="AG92" i="37" s="1"/>
  <c r="AG91" i="37"/>
  <c r="S94" i="37"/>
  <c r="T93" i="37"/>
  <c r="T81" i="37"/>
  <c r="U80" i="37"/>
  <c r="AH79" i="37" l="1"/>
  <c r="AH92" i="37" s="1"/>
  <c r="AI78" i="37"/>
  <c r="AI91" i="37" s="1"/>
  <c r="AY13" i="25"/>
  <c r="AS18" i="17"/>
  <c r="AS20" i="17"/>
  <c r="AS19" i="17"/>
  <c r="AS28" i="17"/>
  <c r="AS69" i="17"/>
  <c r="Y165" i="37" s="1"/>
  <c r="Y174" i="37" s="1"/>
  <c r="AS71" i="17"/>
  <c r="Y167" i="37" s="1"/>
  <c r="Y176" i="37" s="1"/>
  <c r="AS70" i="17"/>
  <c r="Y166" i="37" s="1"/>
  <c r="Y175" i="37" s="1"/>
  <c r="BA14" i="25"/>
  <c r="AU15" i="17"/>
  <c r="AU23" i="17"/>
  <c r="AU14" i="17"/>
  <c r="AU16" i="17"/>
  <c r="AU13" i="17"/>
  <c r="AU12" i="17"/>
  <c r="AU22" i="17"/>
  <c r="AU24" i="17"/>
  <c r="U93" i="37"/>
  <c r="U81" i="37"/>
  <c r="V80" i="37"/>
  <c r="T94" i="37"/>
  <c r="AI79" i="37" l="1"/>
  <c r="AI92" i="37" s="1"/>
  <c r="AJ78" i="37"/>
  <c r="BB14" i="25"/>
  <c r="AV15" i="17"/>
  <c r="AV24" i="17"/>
  <c r="AV22" i="17"/>
  <c r="AV14" i="17"/>
  <c r="AV16" i="17"/>
  <c r="AV23" i="17"/>
  <c r="AV12" i="17"/>
  <c r="AV13" i="17"/>
  <c r="AZ13" i="25"/>
  <c r="AT20" i="17"/>
  <c r="AT18" i="17"/>
  <c r="AT19" i="17"/>
  <c r="AT28" i="17"/>
  <c r="AT69" i="17"/>
  <c r="Z165" i="37" s="1"/>
  <c r="Z174" i="37" s="1"/>
  <c r="AT70" i="17"/>
  <c r="Z166" i="37" s="1"/>
  <c r="Z175" i="37" s="1"/>
  <c r="AT71" i="17"/>
  <c r="Z167" i="37" s="1"/>
  <c r="Z176" i="37" s="1"/>
  <c r="U94" i="37"/>
  <c r="V93" i="37"/>
  <c r="V81" i="37"/>
  <c r="W80" i="37"/>
  <c r="BA13" i="25" l="1"/>
  <c r="AU20" i="17"/>
  <c r="AU18" i="17"/>
  <c r="AU19" i="17"/>
  <c r="AU28" i="17"/>
  <c r="AU69" i="17"/>
  <c r="AA165" i="37" s="1"/>
  <c r="AA174" i="37" s="1"/>
  <c r="AU70" i="17"/>
  <c r="AA166" i="37" s="1"/>
  <c r="AA175" i="37" s="1"/>
  <c r="AU71" i="17"/>
  <c r="AA167" i="37" s="1"/>
  <c r="AA176" i="37" s="1"/>
  <c r="AK78" i="37"/>
  <c r="BC14" i="25"/>
  <c r="AW22" i="17"/>
  <c r="AW15" i="17"/>
  <c r="AW24" i="17"/>
  <c r="AW14" i="17"/>
  <c r="AW23" i="17"/>
  <c r="AW12" i="17"/>
  <c r="AW13" i="17"/>
  <c r="AW16" i="17"/>
  <c r="AJ79" i="37"/>
  <c r="AJ92" i="37" s="1"/>
  <c r="AJ91" i="37"/>
  <c r="V94" i="37"/>
  <c r="W93" i="37"/>
  <c r="W81" i="37"/>
  <c r="X80" i="37"/>
  <c r="AL78" i="37" l="1"/>
  <c r="BD14" i="25"/>
  <c r="AX14" i="17"/>
  <c r="AX15" i="17"/>
  <c r="AX16" i="17"/>
  <c r="AX12" i="17"/>
  <c r="AX24" i="17"/>
  <c r="AX23" i="17"/>
  <c r="AX22" i="17"/>
  <c r="AX13" i="17"/>
  <c r="AK91" i="37"/>
  <c r="AK79" i="37"/>
  <c r="AK92" i="37" s="1"/>
  <c r="BB13" i="25"/>
  <c r="AV20" i="17"/>
  <c r="AV18" i="17"/>
  <c r="AV19" i="17"/>
  <c r="AV28" i="17"/>
  <c r="AV69" i="17"/>
  <c r="AB165" i="37" s="1"/>
  <c r="AB174" i="37" s="1"/>
  <c r="AV70" i="17"/>
  <c r="AB166" i="37" s="1"/>
  <c r="AB175" i="37" s="1"/>
  <c r="AV71" i="17"/>
  <c r="AB167" i="37" s="1"/>
  <c r="AB176" i="37" s="1"/>
  <c r="W94" i="37"/>
  <c r="X93" i="37"/>
  <c r="X81" i="37"/>
  <c r="Y80" i="37"/>
  <c r="AM78" i="37" l="1"/>
  <c r="BC13" i="25"/>
  <c r="AW18" i="17"/>
  <c r="AW20" i="17"/>
  <c r="AW19" i="17"/>
  <c r="AW28" i="17"/>
  <c r="AW69" i="17"/>
  <c r="AC165" i="37" s="1"/>
  <c r="AC174" i="37" s="1"/>
  <c r="AW70" i="17"/>
  <c r="AC166" i="37" s="1"/>
  <c r="AC175" i="37" s="1"/>
  <c r="AW71" i="17"/>
  <c r="AC167" i="37" s="1"/>
  <c r="AC176" i="37" s="1"/>
  <c r="BE14" i="25"/>
  <c r="AY14" i="17"/>
  <c r="AY13" i="17"/>
  <c r="AY22" i="17"/>
  <c r="AY12" i="17"/>
  <c r="AY23" i="17"/>
  <c r="AY15" i="17"/>
  <c r="AY16" i="17"/>
  <c r="AY24" i="17"/>
  <c r="AL91" i="37"/>
  <c r="AL79" i="37"/>
  <c r="AL92" i="37" s="1"/>
  <c r="X94" i="37"/>
  <c r="Y93" i="37"/>
  <c r="Y81" i="37"/>
  <c r="Z80" i="37"/>
  <c r="AN78" i="37" l="1"/>
  <c r="BF14" i="25"/>
  <c r="AZ14" i="17"/>
  <c r="AZ22" i="17"/>
  <c r="AZ23" i="17"/>
  <c r="AZ15" i="17"/>
  <c r="AZ16" i="17"/>
  <c r="AZ24" i="17"/>
  <c r="AZ13" i="17"/>
  <c r="AZ12" i="17"/>
  <c r="BD13" i="25"/>
  <c r="AX20" i="17"/>
  <c r="AX18" i="17"/>
  <c r="AX19" i="17"/>
  <c r="AX28" i="17"/>
  <c r="AX69" i="17"/>
  <c r="AD165" i="37" s="1"/>
  <c r="AD174" i="37" s="1"/>
  <c r="AX70" i="17"/>
  <c r="AD166" i="37" s="1"/>
  <c r="AD175" i="37" s="1"/>
  <c r="AX71" i="17"/>
  <c r="AD167" i="37" s="1"/>
  <c r="AD176" i="37" s="1"/>
  <c r="AM91" i="37"/>
  <c r="AM79" i="37"/>
  <c r="AM92" i="37" s="1"/>
  <c r="Y94" i="37"/>
  <c r="Z81" i="37"/>
  <c r="Z93" i="37"/>
  <c r="AA80" i="37"/>
  <c r="AO78" i="37" l="1"/>
  <c r="AO91" i="37" s="1"/>
  <c r="BE13" i="25"/>
  <c r="AY18" i="17"/>
  <c r="AY20" i="17"/>
  <c r="AY19" i="17"/>
  <c r="AY28" i="17"/>
  <c r="AY69" i="17"/>
  <c r="AE165" i="37" s="1"/>
  <c r="AE174" i="37" s="1"/>
  <c r="AY70" i="17"/>
  <c r="AE166" i="37" s="1"/>
  <c r="AE175" i="37" s="1"/>
  <c r="AY71" i="17"/>
  <c r="AE167" i="37" s="1"/>
  <c r="AE176" i="37" s="1"/>
  <c r="BG14" i="25"/>
  <c r="BA24" i="17"/>
  <c r="BA22" i="17"/>
  <c r="BA13" i="17"/>
  <c r="BA16" i="17"/>
  <c r="BA14" i="17"/>
  <c r="BA12" i="17"/>
  <c r="BA23" i="17"/>
  <c r="BA15" i="17"/>
  <c r="AN79" i="37"/>
  <c r="AN92" i="37" s="1"/>
  <c r="AN91" i="37"/>
  <c r="Z94" i="37"/>
  <c r="AA81" i="37"/>
  <c r="AA93" i="37"/>
  <c r="AB80" i="37"/>
  <c r="AO79" i="37" l="1"/>
  <c r="AO92" i="37" s="1"/>
  <c r="AP78" i="37"/>
  <c r="BH14" i="25"/>
  <c r="BB13" i="17"/>
  <c r="BB16" i="17"/>
  <c r="BB22" i="17"/>
  <c r="BB12" i="17"/>
  <c r="BB24" i="17"/>
  <c r="BB23" i="17"/>
  <c r="BB14" i="17"/>
  <c r="BB15" i="17"/>
  <c r="BF13" i="25"/>
  <c r="AZ20" i="17"/>
  <c r="AZ18" i="17"/>
  <c r="AZ19" i="17"/>
  <c r="AZ28" i="17"/>
  <c r="AZ69" i="17"/>
  <c r="AF165" i="37" s="1"/>
  <c r="AF174" i="37" s="1"/>
  <c r="AZ70" i="17"/>
  <c r="AF166" i="37" s="1"/>
  <c r="AF175" i="37" s="1"/>
  <c r="AZ71" i="17"/>
  <c r="AF167" i="37" s="1"/>
  <c r="AF176" i="37" s="1"/>
  <c r="AB81" i="37"/>
  <c r="AB93" i="37"/>
  <c r="AC80" i="37"/>
  <c r="AA94" i="37"/>
  <c r="AQ78" i="37" l="1"/>
  <c r="AQ91" i="37" s="1"/>
  <c r="BG13" i="25"/>
  <c r="BA20" i="17"/>
  <c r="BA18" i="17"/>
  <c r="BA19" i="17"/>
  <c r="BA28" i="17"/>
  <c r="BA69" i="17"/>
  <c r="AG165" i="37" s="1"/>
  <c r="AG174" i="37" s="1"/>
  <c r="BA71" i="17"/>
  <c r="AG167" i="37" s="1"/>
  <c r="AG176" i="37" s="1"/>
  <c r="BA70" i="17"/>
  <c r="AG166" i="37" s="1"/>
  <c r="AG175" i="37" s="1"/>
  <c r="BI14" i="25"/>
  <c r="BC23" i="17"/>
  <c r="BC22" i="17"/>
  <c r="BC13" i="17"/>
  <c r="BC16" i="17"/>
  <c r="BC14" i="17"/>
  <c r="BC15" i="17"/>
  <c r="BC12" i="17"/>
  <c r="BC24" i="17"/>
  <c r="AP79" i="37"/>
  <c r="AP92" i="37" s="1"/>
  <c r="AP91" i="37"/>
  <c r="AB94" i="37"/>
  <c r="AC93" i="37"/>
  <c r="AC81" i="37"/>
  <c r="AD80" i="37"/>
  <c r="AQ79" i="37" l="1"/>
  <c r="AQ92" i="37" s="1"/>
  <c r="AR78" i="37"/>
  <c r="AR79" i="37" s="1"/>
  <c r="AR92" i="37" s="1"/>
  <c r="BJ14" i="25"/>
  <c r="BD24" i="17"/>
  <c r="BD13" i="17"/>
  <c r="BD14" i="17"/>
  <c r="BD23" i="17"/>
  <c r="BD15" i="17"/>
  <c r="BD12" i="17"/>
  <c r="BD22" i="17"/>
  <c r="BD16" i="17"/>
  <c r="BH13" i="25"/>
  <c r="BB18" i="17"/>
  <c r="BB20" i="17"/>
  <c r="BB19" i="17"/>
  <c r="BB28" i="17"/>
  <c r="BB69" i="17"/>
  <c r="AH165" i="37" s="1"/>
  <c r="AH174" i="37" s="1"/>
  <c r="BB70" i="17"/>
  <c r="AH166" i="37" s="1"/>
  <c r="AH175" i="37" s="1"/>
  <c r="BB71" i="17"/>
  <c r="AH167" i="37" s="1"/>
  <c r="AH176" i="37" s="1"/>
  <c r="AD81" i="37"/>
  <c r="AD93" i="37"/>
  <c r="AE80" i="37"/>
  <c r="AC94" i="37"/>
  <c r="AR91" i="37" l="1"/>
  <c r="AS78" i="37"/>
  <c r="BI13" i="25"/>
  <c r="BC20" i="17"/>
  <c r="BC18" i="17"/>
  <c r="BC19" i="17"/>
  <c r="BC28" i="17"/>
  <c r="BC69" i="17"/>
  <c r="AI165" i="37" s="1"/>
  <c r="AI174" i="37" s="1"/>
  <c r="BC70" i="17"/>
  <c r="AI166" i="37" s="1"/>
  <c r="AI175" i="37" s="1"/>
  <c r="BC71" i="17"/>
  <c r="AI167" i="37" s="1"/>
  <c r="AI176" i="37" s="1"/>
  <c r="BK14" i="25"/>
  <c r="BE16" i="17"/>
  <c r="BE12" i="17"/>
  <c r="BE23" i="17"/>
  <c r="BE15" i="17"/>
  <c r="BE13" i="17"/>
  <c r="BE14" i="17"/>
  <c r="BE22" i="17"/>
  <c r="BE24" i="17"/>
  <c r="AD94" i="37"/>
  <c r="AE93" i="37"/>
  <c r="AE81" i="37"/>
  <c r="AF80" i="37"/>
  <c r="AT78" i="37" l="1"/>
  <c r="BL14" i="25"/>
  <c r="BF24" i="17"/>
  <c r="BF16" i="17"/>
  <c r="BF23" i="17"/>
  <c r="BF22" i="17"/>
  <c r="BF13" i="17"/>
  <c r="BF15" i="17"/>
  <c r="BF12" i="17"/>
  <c r="BF14" i="17"/>
  <c r="BJ13" i="25"/>
  <c r="BD18" i="17"/>
  <c r="BD20" i="17"/>
  <c r="BD19" i="17"/>
  <c r="BD28" i="17"/>
  <c r="BD69" i="17"/>
  <c r="AJ165" i="37" s="1"/>
  <c r="AJ174" i="37" s="1"/>
  <c r="BD71" i="17"/>
  <c r="AJ167" i="37" s="1"/>
  <c r="AJ176" i="37" s="1"/>
  <c r="BD70" i="17"/>
  <c r="AJ166" i="37" s="1"/>
  <c r="AJ175" i="37" s="1"/>
  <c r="AS91" i="37"/>
  <c r="AS79" i="37"/>
  <c r="AS92" i="37" s="1"/>
  <c r="AE94" i="37"/>
  <c r="AF81" i="37"/>
  <c r="AF93" i="37"/>
  <c r="AG80" i="37"/>
  <c r="AU78" i="37" l="1"/>
  <c r="AU91" i="37" s="1"/>
  <c r="BK13" i="25"/>
  <c r="BE18" i="17"/>
  <c r="BE20" i="17"/>
  <c r="BE19" i="17"/>
  <c r="BE28" i="17"/>
  <c r="BE69" i="17"/>
  <c r="AK165" i="37" s="1"/>
  <c r="AK174" i="37" s="1"/>
  <c r="BE70" i="17"/>
  <c r="AK166" i="37" s="1"/>
  <c r="AK175" i="37" s="1"/>
  <c r="BE71" i="17"/>
  <c r="AK167" i="37" s="1"/>
  <c r="AK176" i="37" s="1"/>
  <c r="BM14" i="25"/>
  <c r="BG23" i="17"/>
  <c r="BG24" i="17"/>
  <c r="BG14" i="17"/>
  <c r="BG15" i="17"/>
  <c r="BG12" i="17"/>
  <c r="BG16" i="17"/>
  <c r="BG13" i="17"/>
  <c r="BG22" i="17"/>
  <c r="AT79" i="37"/>
  <c r="AT92" i="37" s="1"/>
  <c r="AT91" i="37"/>
  <c r="AF94" i="37"/>
  <c r="AG81" i="37"/>
  <c r="AG93" i="37"/>
  <c r="AH80" i="37"/>
  <c r="AU79" i="37" l="1"/>
  <c r="AU92" i="37" s="1"/>
  <c r="AV78" i="37"/>
  <c r="BN14" i="25"/>
  <c r="BH16" i="17"/>
  <c r="BH14" i="17"/>
  <c r="BH15" i="17"/>
  <c r="BH22" i="17"/>
  <c r="BH23" i="17"/>
  <c r="BH24" i="17"/>
  <c r="BH12" i="17"/>
  <c r="BH13" i="17"/>
  <c r="BL13" i="25"/>
  <c r="BF18" i="17"/>
  <c r="BF20" i="17"/>
  <c r="BF19" i="17"/>
  <c r="BF28" i="17"/>
  <c r="BF69" i="17"/>
  <c r="AL165" i="37" s="1"/>
  <c r="AL174" i="37" s="1"/>
  <c r="BF70" i="17"/>
  <c r="AL166" i="37" s="1"/>
  <c r="AL175" i="37" s="1"/>
  <c r="BF71" i="17"/>
  <c r="AL167" i="37" s="1"/>
  <c r="AL176" i="37" s="1"/>
  <c r="AH81" i="37"/>
  <c r="AH93" i="37"/>
  <c r="AI80" i="37"/>
  <c r="AG94" i="37"/>
  <c r="AW78" i="37" l="1"/>
  <c r="BM13" i="25"/>
  <c r="BG20" i="17"/>
  <c r="BG18" i="17"/>
  <c r="BG19" i="17"/>
  <c r="BG28" i="17"/>
  <c r="BG69" i="17"/>
  <c r="AM165" i="37" s="1"/>
  <c r="AM174" i="37" s="1"/>
  <c r="BG70" i="17"/>
  <c r="AM166" i="37" s="1"/>
  <c r="AM175" i="37" s="1"/>
  <c r="BG71" i="17"/>
  <c r="AM167" i="37" s="1"/>
  <c r="AM176" i="37" s="1"/>
  <c r="BO14" i="25"/>
  <c r="BI14" i="17"/>
  <c r="BI16" i="17"/>
  <c r="BI23" i="17"/>
  <c r="BI12" i="17"/>
  <c r="BI24" i="17"/>
  <c r="BI15" i="17"/>
  <c r="BI13" i="17"/>
  <c r="BI22" i="17"/>
  <c r="AV91" i="37"/>
  <c r="AV79" i="37"/>
  <c r="AV92" i="37" s="1"/>
  <c r="AI93" i="37"/>
  <c r="AI81" i="37"/>
  <c r="AJ80" i="37"/>
  <c r="AH94" i="37"/>
  <c r="AX78" i="37" l="1"/>
  <c r="AX79" i="37" s="1"/>
  <c r="AX92" i="37" s="1"/>
  <c r="BP14" i="25"/>
  <c r="BJ13" i="17"/>
  <c r="BJ22" i="17"/>
  <c r="BJ16" i="17"/>
  <c r="BJ14" i="17"/>
  <c r="BJ12" i="17"/>
  <c r="BJ15" i="17"/>
  <c r="BJ24" i="17"/>
  <c r="BJ23" i="17"/>
  <c r="BN13" i="25"/>
  <c r="BH20" i="17"/>
  <c r="BH18" i="17"/>
  <c r="BH19" i="17"/>
  <c r="BH28" i="17"/>
  <c r="BH69" i="17"/>
  <c r="AN165" i="37" s="1"/>
  <c r="AN174" i="37" s="1"/>
  <c r="BH70" i="17"/>
  <c r="AN166" i="37" s="1"/>
  <c r="AN175" i="37" s="1"/>
  <c r="BH71" i="17"/>
  <c r="AN167" i="37" s="1"/>
  <c r="AN176" i="37" s="1"/>
  <c r="AW79" i="37"/>
  <c r="AW92" i="37" s="1"/>
  <c r="AW91" i="37"/>
  <c r="AJ93" i="37"/>
  <c r="AJ81" i="37"/>
  <c r="AK80" i="37"/>
  <c r="AI94" i="37"/>
  <c r="AX91" i="37" l="1"/>
  <c r="AY78" i="37"/>
  <c r="AY91" i="37" s="1"/>
  <c r="BQ14" i="25"/>
  <c r="BK12" i="17"/>
  <c r="BK24" i="17"/>
  <c r="BK15" i="17"/>
  <c r="BK22" i="17"/>
  <c r="BK16" i="17"/>
  <c r="BK23" i="17"/>
  <c r="BK14" i="17"/>
  <c r="BK13" i="17"/>
  <c r="BO13" i="25"/>
  <c r="BI18" i="17"/>
  <c r="BI20" i="17"/>
  <c r="BI19" i="17"/>
  <c r="BI28" i="17"/>
  <c r="BI69" i="17"/>
  <c r="AO165" i="37" s="1"/>
  <c r="AO174" i="37" s="1"/>
  <c r="BI70" i="17"/>
  <c r="AO166" i="37" s="1"/>
  <c r="AO175" i="37" s="1"/>
  <c r="BI71" i="17"/>
  <c r="AO167" i="37" s="1"/>
  <c r="AO176" i="37" s="1"/>
  <c r="AK93" i="37"/>
  <c r="AK81" i="37"/>
  <c r="AL80" i="37"/>
  <c r="AJ94" i="37"/>
  <c r="AY79" i="37" l="1"/>
  <c r="AY92" i="37" s="1"/>
  <c r="AZ78" i="37"/>
  <c r="BP13" i="25"/>
  <c r="BJ18" i="17"/>
  <c r="BJ20" i="17"/>
  <c r="BJ19" i="17"/>
  <c r="BJ28" i="17"/>
  <c r="BJ69" i="17"/>
  <c r="AP165" i="37" s="1"/>
  <c r="AP174" i="37" s="1"/>
  <c r="BJ70" i="17"/>
  <c r="AP166" i="37" s="1"/>
  <c r="AP175" i="37" s="1"/>
  <c r="BJ71" i="17"/>
  <c r="AP167" i="37" s="1"/>
  <c r="AP176" i="37" s="1"/>
  <c r="BR14" i="25"/>
  <c r="BL12" i="17"/>
  <c r="BL15" i="17"/>
  <c r="BL14" i="17"/>
  <c r="BL16" i="17"/>
  <c r="BL13" i="17"/>
  <c r="BL23" i="17"/>
  <c r="BL24" i="17"/>
  <c r="BL22" i="17"/>
  <c r="AL81" i="37"/>
  <c r="AL93" i="37"/>
  <c r="AM80" i="37"/>
  <c r="AK94" i="37"/>
  <c r="BS14" i="25" l="1"/>
  <c r="BM22" i="17"/>
  <c r="BM13" i="17"/>
  <c r="BM16" i="17"/>
  <c r="BM24" i="17"/>
  <c r="BM15" i="17"/>
  <c r="BM12" i="17"/>
  <c r="BM23" i="17"/>
  <c r="BM14" i="17"/>
  <c r="BA78" i="37"/>
  <c r="BQ13" i="25"/>
  <c r="BK20" i="17"/>
  <c r="BK18" i="17"/>
  <c r="BK19" i="17"/>
  <c r="BK28" i="17"/>
  <c r="BK69" i="17"/>
  <c r="AQ165" i="37" s="1"/>
  <c r="AQ174" i="37" s="1"/>
  <c r="BK70" i="17"/>
  <c r="AQ166" i="37" s="1"/>
  <c r="AQ175" i="37" s="1"/>
  <c r="BK71" i="17"/>
  <c r="AQ167" i="37" s="1"/>
  <c r="AQ176" i="37" s="1"/>
  <c r="AZ79" i="37"/>
  <c r="AZ92" i="37" s="1"/>
  <c r="AZ91" i="37"/>
  <c r="AM81" i="37"/>
  <c r="AM93" i="37"/>
  <c r="AN80" i="37"/>
  <c r="AL94" i="37"/>
  <c r="BB78" i="37" l="1"/>
  <c r="BA91" i="37"/>
  <c r="BA79" i="37"/>
  <c r="BA92" i="37" s="1"/>
  <c r="BR13" i="25"/>
  <c r="BL20" i="17"/>
  <c r="BL18" i="17"/>
  <c r="BL19" i="17"/>
  <c r="BL28" i="17"/>
  <c r="BL69" i="17"/>
  <c r="AR165" i="37" s="1"/>
  <c r="AR174" i="37" s="1"/>
  <c r="BL71" i="17"/>
  <c r="AR167" i="37" s="1"/>
  <c r="AR176" i="37" s="1"/>
  <c r="BL70" i="17"/>
  <c r="AR166" i="37" s="1"/>
  <c r="AR175" i="37" s="1"/>
  <c r="BT14" i="25"/>
  <c r="BN23" i="17"/>
  <c r="BN15" i="17"/>
  <c r="BN22" i="17"/>
  <c r="BN14" i="17"/>
  <c r="BN12" i="17"/>
  <c r="BN13" i="17"/>
  <c r="BN24" i="17"/>
  <c r="BN16" i="17"/>
  <c r="AN81" i="37"/>
  <c r="AN93" i="37"/>
  <c r="AO80" i="37"/>
  <c r="AM94" i="37"/>
  <c r="BC78" i="37" l="1"/>
  <c r="BU14" i="25"/>
  <c r="BO15" i="17"/>
  <c r="BO16" i="17"/>
  <c r="BO23" i="17"/>
  <c r="BO24" i="17"/>
  <c r="BO22" i="17"/>
  <c r="BO14" i="17"/>
  <c r="BO13" i="17"/>
  <c r="BO12" i="17"/>
  <c r="BS13" i="25"/>
  <c r="BM18" i="17"/>
  <c r="BM20" i="17"/>
  <c r="BM19" i="17"/>
  <c r="BM28" i="17"/>
  <c r="BM69" i="17"/>
  <c r="AS165" i="37" s="1"/>
  <c r="AS174" i="37" s="1"/>
  <c r="BM70" i="17"/>
  <c r="AS166" i="37" s="1"/>
  <c r="AS175" i="37" s="1"/>
  <c r="BM71" i="17"/>
  <c r="AS167" i="37" s="1"/>
  <c r="AS176" i="37" s="1"/>
  <c r="BB79" i="37"/>
  <c r="BB92" i="37" s="1"/>
  <c r="BB91" i="37"/>
  <c r="AO81" i="37"/>
  <c r="AO93" i="37"/>
  <c r="AP80" i="37"/>
  <c r="AN94" i="37"/>
  <c r="BD78" i="37" l="1"/>
  <c r="BT13" i="25"/>
  <c r="BN18" i="17"/>
  <c r="BN20" i="17"/>
  <c r="BN19" i="17"/>
  <c r="BN28" i="17"/>
  <c r="BN69" i="17"/>
  <c r="AT165" i="37" s="1"/>
  <c r="AT174" i="37" s="1"/>
  <c r="BN70" i="17"/>
  <c r="AT166" i="37" s="1"/>
  <c r="AT175" i="37" s="1"/>
  <c r="BN71" i="17"/>
  <c r="AT167" i="37" s="1"/>
  <c r="AT176" i="37" s="1"/>
  <c r="BV14" i="25"/>
  <c r="BP22" i="17"/>
  <c r="BP13" i="17"/>
  <c r="BP12" i="17"/>
  <c r="BP24" i="17"/>
  <c r="BP15" i="17"/>
  <c r="BP16" i="17"/>
  <c r="BP23" i="17"/>
  <c r="BP14" i="17"/>
  <c r="BC79" i="37"/>
  <c r="BC92" i="37" s="1"/>
  <c r="BC91" i="37"/>
  <c r="AP81" i="37"/>
  <c r="AP93" i="37"/>
  <c r="AQ80" i="37"/>
  <c r="AO94" i="37"/>
  <c r="BE78" i="37" l="1"/>
  <c r="BW14" i="25"/>
  <c r="BQ16" i="17"/>
  <c r="BQ24" i="17"/>
  <c r="BQ22" i="17"/>
  <c r="BQ23" i="17"/>
  <c r="BQ13" i="17"/>
  <c r="BQ12" i="17"/>
  <c r="BQ15" i="17"/>
  <c r="BQ14" i="17"/>
  <c r="BU13" i="25"/>
  <c r="BO18" i="17"/>
  <c r="BO20" i="17"/>
  <c r="BO19" i="17"/>
  <c r="BO28" i="17"/>
  <c r="BO69" i="17"/>
  <c r="AU165" i="37" s="1"/>
  <c r="AU174" i="37" s="1"/>
  <c r="BO70" i="17"/>
  <c r="AU166" i="37" s="1"/>
  <c r="AU175" i="37" s="1"/>
  <c r="BO71" i="17"/>
  <c r="AU167" i="37" s="1"/>
  <c r="AU176" i="37" s="1"/>
  <c r="BD79" i="37"/>
  <c r="BD92" i="37" s="1"/>
  <c r="BD91" i="37"/>
  <c r="AQ93" i="37"/>
  <c r="AQ81" i="37"/>
  <c r="AR80" i="37"/>
  <c r="AP94" i="37"/>
  <c r="BF78" i="37" l="1"/>
  <c r="BV13" i="25"/>
  <c r="BP18" i="17"/>
  <c r="BP20" i="17"/>
  <c r="BP19" i="17"/>
  <c r="BP28" i="17"/>
  <c r="BP69" i="17"/>
  <c r="AV165" i="37" s="1"/>
  <c r="AV174" i="37" s="1"/>
  <c r="BP70" i="17"/>
  <c r="AV166" i="37" s="1"/>
  <c r="AV175" i="37" s="1"/>
  <c r="BP71" i="17"/>
  <c r="AV167" i="37" s="1"/>
  <c r="AV176" i="37" s="1"/>
  <c r="BX14" i="25"/>
  <c r="BR13" i="17"/>
  <c r="BR24" i="17"/>
  <c r="BR23" i="17"/>
  <c r="BR22" i="17"/>
  <c r="BR12" i="17"/>
  <c r="BR15" i="17"/>
  <c r="BR16" i="17"/>
  <c r="BR14" i="17"/>
  <c r="BE79" i="37"/>
  <c r="BE92" i="37" s="1"/>
  <c r="BE91" i="37"/>
  <c r="AR81" i="37"/>
  <c r="AR93" i="37"/>
  <c r="AS80" i="37"/>
  <c r="AQ94" i="37"/>
  <c r="BG78" i="37" l="1"/>
  <c r="BY14" i="25"/>
  <c r="BS13" i="17"/>
  <c r="BS22" i="17"/>
  <c r="BS24" i="17"/>
  <c r="BS12" i="17"/>
  <c r="BS14" i="17"/>
  <c r="BS23" i="17"/>
  <c r="BS16" i="17"/>
  <c r="BS15" i="17"/>
  <c r="BW13" i="25"/>
  <c r="BQ20" i="17"/>
  <c r="BQ18" i="17"/>
  <c r="BQ19" i="17"/>
  <c r="BQ28" i="17"/>
  <c r="BQ69" i="17"/>
  <c r="AW165" i="37" s="1"/>
  <c r="AW174" i="37" s="1"/>
  <c r="BQ71" i="17"/>
  <c r="AW167" i="37" s="1"/>
  <c r="AW176" i="37" s="1"/>
  <c r="BQ70" i="17"/>
  <c r="AW166" i="37" s="1"/>
  <c r="AW175" i="37" s="1"/>
  <c r="BF79" i="37"/>
  <c r="BF92" i="37" s="1"/>
  <c r="BF91" i="37"/>
  <c r="AS93" i="37"/>
  <c r="AS81" i="37"/>
  <c r="AT80" i="37"/>
  <c r="AR94" i="37"/>
  <c r="BX13" i="25" l="1"/>
  <c r="BR18" i="17"/>
  <c r="BR20" i="17"/>
  <c r="BR19" i="17"/>
  <c r="BR28" i="17"/>
  <c r="BR69" i="17"/>
  <c r="AX165" i="37" s="1"/>
  <c r="AX174" i="37" s="1"/>
  <c r="BR70" i="17"/>
  <c r="AX166" i="37" s="1"/>
  <c r="AX175" i="37" s="1"/>
  <c r="BR71" i="17"/>
  <c r="AX167" i="37" s="1"/>
  <c r="AX176" i="37" s="1"/>
  <c r="BZ14" i="25"/>
  <c r="BT22" i="17"/>
  <c r="BT24" i="17"/>
  <c r="BT13" i="17"/>
  <c r="BT16" i="17"/>
  <c r="BT15" i="17"/>
  <c r="BT23" i="17"/>
  <c r="BT12" i="17"/>
  <c r="BT14" i="17"/>
  <c r="BG91" i="37"/>
  <c r="BG79" i="37"/>
  <c r="BG92" i="37" s="1"/>
  <c r="BH78" i="37"/>
  <c r="AT81" i="37"/>
  <c r="AT93" i="37"/>
  <c r="AU80" i="37"/>
  <c r="AS94" i="37"/>
  <c r="BI78" i="37" l="1"/>
  <c r="BI79" i="37" s="1"/>
  <c r="BI92" i="37" s="1"/>
  <c r="BH79" i="37"/>
  <c r="BH92" i="37" s="1"/>
  <c r="BH91" i="37"/>
  <c r="CA14" i="25"/>
  <c r="BU15" i="17"/>
  <c r="BU13" i="17"/>
  <c r="BU12" i="17"/>
  <c r="BU14" i="17"/>
  <c r="BU16" i="17"/>
  <c r="BU23" i="17"/>
  <c r="BU22" i="17"/>
  <c r="BU24" i="17"/>
  <c r="BY13" i="25"/>
  <c r="BS20" i="17"/>
  <c r="BS18" i="17"/>
  <c r="BS19" i="17"/>
  <c r="BS28" i="17"/>
  <c r="BS69" i="17"/>
  <c r="AY165" i="37" s="1"/>
  <c r="AY174" i="37" s="1"/>
  <c r="BS70" i="17"/>
  <c r="AY166" i="37" s="1"/>
  <c r="AY175" i="37" s="1"/>
  <c r="BS71" i="17"/>
  <c r="AY167" i="37" s="1"/>
  <c r="AY176" i="37" s="1"/>
  <c r="AU93" i="37"/>
  <c r="AU81" i="37"/>
  <c r="AV80" i="37"/>
  <c r="AT94" i="37"/>
  <c r="BI91" i="37" l="1"/>
  <c r="BJ78" i="37"/>
  <c r="CB14" i="25"/>
  <c r="BV24" i="17"/>
  <c r="BV14" i="17"/>
  <c r="BV16" i="17"/>
  <c r="BV22" i="17"/>
  <c r="BV15" i="17"/>
  <c r="BV13" i="17"/>
  <c r="BV12" i="17"/>
  <c r="BV23" i="17"/>
  <c r="BZ13" i="25"/>
  <c r="BT20" i="17"/>
  <c r="BT18" i="17"/>
  <c r="BT19" i="17"/>
  <c r="BT28" i="17"/>
  <c r="BT69" i="17"/>
  <c r="AZ165" i="37" s="1"/>
  <c r="AZ174" i="37" s="1"/>
  <c r="BT71" i="17"/>
  <c r="AZ167" i="37" s="1"/>
  <c r="AZ176" i="37" s="1"/>
  <c r="BT70" i="17"/>
  <c r="AZ166" i="37" s="1"/>
  <c r="AZ175" i="37" s="1"/>
  <c r="AV81" i="37"/>
  <c r="AV93" i="37"/>
  <c r="AW80" i="37"/>
  <c r="AU94" i="37"/>
  <c r="CC14" i="25" l="1"/>
  <c r="BW15" i="17"/>
  <c r="BW24" i="17"/>
  <c r="BW16" i="17"/>
  <c r="BW14" i="17"/>
  <c r="BW13" i="17"/>
  <c r="BW12" i="17"/>
  <c r="BW22" i="17"/>
  <c r="BW23" i="17"/>
  <c r="BK78" i="37"/>
  <c r="CA13" i="25"/>
  <c r="BU20" i="17"/>
  <c r="BU18" i="17"/>
  <c r="BU19" i="17"/>
  <c r="BU28" i="17"/>
  <c r="BU69" i="17"/>
  <c r="BA165" i="37" s="1"/>
  <c r="BA174" i="37" s="1"/>
  <c r="BU70" i="17"/>
  <c r="BA166" i="37" s="1"/>
  <c r="BA175" i="37" s="1"/>
  <c r="BU71" i="17"/>
  <c r="BA167" i="37" s="1"/>
  <c r="BA176" i="37" s="1"/>
  <c r="BJ79" i="37"/>
  <c r="BJ92" i="37" s="1"/>
  <c r="BJ91" i="37"/>
  <c r="AW81" i="37"/>
  <c r="AW93" i="37"/>
  <c r="AX80" i="37"/>
  <c r="AV94" i="37"/>
  <c r="BL78" i="37" l="1"/>
  <c r="CB13" i="25"/>
  <c r="BV18" i="17"/>
  <c r="BV20" i="17"/>
  <c r="BV19" i="17"/>
  <c r="BV28" i="17"/>
  <c r="BV69" i="17"/>
  <c r="BB165" i="37" s="1"/>
  <c r="BB174" i="37" s="1"/>
  <c r="BV70" i="17"/>
  <c r="BB166" i="37" s="1"/>
  <c r="BB175" i="37" s="1"/>
  <c r="BV71" i="17"/>
  <c r="BB167" i="37" s="1"/>
  <c r="BB176" i="37" s="1"/>
  <c r="BK91" i="37"/>
  <c r="BK79" i="37"/>
  <c r="BK92" i="37" s="1"/>
  <c r="CD14" i="25"/>
  <c r="BX22" i="17"/>
  <c r="BX12" i="17"/>
  <c r="BX16" i="17"/>
  <c r="BX13" i="17"/>
  <c r="BX24" i="17"/>
  <c r="BX23" i="17"/>
  <c r="BX15" i="17"/>
  <c r="BX14" i="17"/>
  <c r="AX81" i="37"/>
  <c r="AX93" i="37"/>
  <c r="AY80" i="37"/>
  <c r="AW94" i="37"/>
  <c r="BM78" i="37" l="1"/>
  <c r="CC13" i="25"/>
  <c r="BW18" i="17"/>
  <c r="BW20" i="17"/>
  <c r="BW19" i="17"/>
  <c r="BW28" i="17"/>
  <c r="BW69" i="17"/>
  <c r="BC165" i="37" s="1"/>
  <c r="BC174" i="37" s="1"/>
  <c r="BW70" i="17"/>
  <c r="BC166" i="37" s="1"/>
  <c r="BC175" i="37" s="1"/>
  <c r="BW71" i="17"/>
  <c r="BC167" i="37" s="1"/>
  <c r="BC176" i="37" s="1"/>
  <c r="CE14" i="25"/>
  <c r="BY16" i="17"/>
  <c r="BY23" i="17"/>
  <c r="BY13" i="17"/>
  <c r="BY14" i="17"/>
  <c r="BY15" i="17"/>
  <c r="BY24" i="17"/>
  <c r="BY22" i="17"/>
  <c r="BY12" i="17"/>
  <c r="BL91" i="37"/>
  <c r="BL79" i="37"/>
  <c r="BL92" i="37" s="1"/>
  <c r="AY93" i="37"/>
  <c r="AY81" i="37"/>
  <c r="AZ80" i="37"/>
  <c r="AX94" i="37"/>
  <c r="BN78" i="37" l="1"/>
  <c r="CF14" i="25"/>
  <c r="BZ23" i="17"/>
  <c r="BZ22" i="17"/>
  <c r="BZ13" i="17"/>
  <c r="BZ16" i="17"/>
  <c r="BZ15" i="17"/>
  <c r="BZ12" i="17"/>
  <c r="BZ14" i="17"/>
  <c r="BZ24" i="17"/>
  <c r="CD13" i="25"/>
  <c r="BX18" i="17"/>
  <c r="BX20" i="17"/>
  <c r="BX19" i="17"/>
  <c r="BX28" i="17"/>
  <c r="BX69" i="17"/>
  <c r="BD165" i="37" s="1"/>
  <c r="BD174" i="37" s="1"/>
  <c r="BX70" i="17"/>
  <c r="BD166" i="37" s="1"/>
  <c r="BD175" i="37" s="1"/>
  <c r="BX71" i="17"/>
  <c r="BD167" i="37" s="1"/>
  <c r="BD176" i="37" s="1"/>
  <c r="BM79" i="37"/>
  <c r="BM92" i="37" s="1"/>
  <c r="BM91" i="37"/>
  <c r="AZ93" i="37"/>
  <c r="AZ81" i="37"/>
  <c r="BA80" i="37"/>
  <c r="AY94" i="37"/>
  <c r="BO78" i="37" l="1"/>
  <c r="CE13" i="25"/>
  <c r="BY20" i="17"/>
  <c r="BY18" i="17"/>
  <c r="BY19" i="17"/>
  <c r="BY28" i="17"/>
  <c r="BY69" i="17"/>
  <c r="BE165" i="37" s="1"/>
  <c r="BE174" i="37" s="1"/>
  <c r="BY71" i="17"/>
  <c r="BE167" i="37" s="1"/>
  <c r="BE176" i="37" s="1"/>
  <c r="BY70" i="17"/>
  <c r="BE166" i="37" s="1"/>
  <c r="BE175" i="37" s="1"/>
  <c r="CG14" i="25"/>
  <c r="CA23" i="17"/>
  <c r="CA13" i="17"/>
  <c r="CA16" i="17"/>
  <c r="CA24" i="17"/>
  <c r="CA14" i="17"/>
  <c r="CA12" i="17"/>
  <c r="CA22" i="17"/>
  <c r="CA15" i="17"/>
  <c r="BN91" i="37"/>
  <c r="BN79" i="37"/>
  <c r="BN92" i="37" s="1"/>
  <c r="BA93" i="37"/>
  <c r="BA81" i="37"/>
  <c r="BB80" i="37"/>
  <c r="AZ94" i="37"/>
  <c r="BP78" i="37" l="1"/>
  <c r="BP91" i="37" s="1"/>
  <c r="CH14" i="25"/>
  <c r="CB24" i="17"/>
  <c r="CB23" i="17"/>
  <c r="CB15" i="17"/>
  <c r="CB12" i="17"/>
  <c r="CB13" i="17"/>
  <c r="CB16" i="17"/>
  <c r="CB14" i="17"/>
  <c r="CB22" i="17"/>
  <c r="CF13" i="25"/>
  <c r="BZ18" i="17"/>
  <c r="BZ20" i="17"/>
  <c r="BZ19" i="17"/>
  <c r="BZ28" i="17"/>
  <c r="BZ69" i="17"/>
  <c r="BF165" i="37" s="1"/>
  <c r="BF174" i="37" s="1"/>
  <c r="BZ70" i="17"/>
  <c r="BF166" i="37" s="1"/>
  <c r="BF175" i="37" s="1"/>
  <c r="BZ71" i="17"/>
  <c r="BF167" i="37" s="1"/>
  <c r="BF176" i="37" s="1"/>
  <c r="BO79" i="37"/>
  <c r="BO92" i="37" s="1"/>
  <c r="BO91" i="37"/>
  <c r="BB81" i="37"/>
  <c r="BB93" i="37"/>
  <c r="BC80" i="37"/>
  <c r="BA94" i="37"/>
  <c r="BP79" i="37" l="1"/>
  <c r="BP92" i="37" s="1"/>
  <c r="BQ78" i="37"/>
  <c r="CG13" i="25"/>
  <c r="CA18" i="17"/>
  <c r="CA20" i="17"/>
  <c r="CA19" i="17"/>
  <c r="CA28" i="17"/>
  <c r="CA69" i="17"/>
  <c r="BG165" i="37" s="1"/>
  <c r="BG174" i="37" s="1"/>
  <c r="CA71" i="17"/>
  <c r="BG167" i="37" s="1"/>
  <c r="BG176" i="37" s="1"/>
  <c r="CA70" i="17"/>
  <c r="BG166" i="37" s="1"/>
  <c r="BG175" i="37" s="1"/>
  <c r="CI14" i="25"/>
  <c r="CC24" i="17"/>
  <c r="CC22" i="17"/>
  <c r="CC13" i="17"/>
  <c r="CC16" i="17"/>
  <c r="CC23" i="17"/>
  <c r="CC12" i="17"/>
  <c r="CC15" i="17"/>
  <c r="CC14" i="17"/>
  <c r="BC81" i="37"/>
  <c r="BC93" i="37"/>
  <c r="BD80" i="37"/>
  <c r="BB94" i="37"/>
  <c r="BR78" i="37" l="1"/>
  <c r="CJ14" i="25"/>
  <c r="CD15" i="17"/>
  <c r="CD12" i="17"/>
  <c r="CD22" i="17"/>
  <c r="CD23" i="17"/>
  <c r="CD14" i="17"/>
  <c r="CD16" i="17"/>
  <c r="CD24" i="17"/>
  <c r="CD13" i="17"/>
  <c r="CH13" i="25"/>
  <c r="CB18" i="17"/>
  <c r="CB20" i="17"/>
  <c r="CB19" i="17"/>
  <c r="CB28" i="17"/>
  <c r="CB69" i="17"/>
  <c r="BH165" i="37" s="1"/>
  <c r="BH174" i="37" s="1"/>
  <c r="CB71" i="17"/>
  <c r="BH167" i="37" s="1"/>
  <c r="BH176" i="37" s="1"/>
  <c r="CB70" i="17"/>
  <c r="BH166" i="37" s="1"/>
  <c r="BH175" i="37" s="1"/>
  <c r="BQ91" i="37"/>
  <c r="BQ79" i="37"/>
  <c r="BQ92" i="37" s="1"/>
  <c r="BD93" i="37"/>
  <c r="BD81" i="37"/>
  <c r="BE80" i="37"/>
  <c r="BC94" i="37"/>
  <c r="BS78" i="37" l="1"/>
  <c r="BS91" i="37" s="1"/>
  <c r="CI13" i="25"/>
  <c r="CC20" i="17"/>
  <c r="CC18" i="17"/>
  <c r="CC19" i="17"/>
  <c r="CC28" i="17"/>
  <c r="CC69" i="17"/>
  <c r="BI165" i="37" s="1"/>
  <c r="BI174" i="37" s="1"/>
  <c r="CC70" i="17"/>
  <c r="BI166" i="37" s="1"/>
  <c r="BI175" i="37" s="1"/>
  <c r="CC71" i="17"/>
  <c r="BI167" i="37" s="1"/>
  <c r="BI176" i="37" s="1"/>
  <c r="CK14" i="25"/>
  <c r="CE24" i="17"/>
  <c r="CE14" i="17"/>
  <c r="CE12" i="17"/>
  <c r="CE16" i="17"/>
  <c r="CE15" i="17"/>
  <c r="CE23" i="17"/>
  <c r="CE22" i="17"/>
  <c r="CE13" i="17"/>
  <c r="BR91" i="37"/>
  <c r="BR79" i="37"/>
  <c r="BR92" i="37" s="1"/>
  <c r="BE93" i="37"/>
  <c r="BE81" i="37"/>
  <c r="BF80" i="37"/>
  <c r="BD94" i="37"/>
  <c r="BS79" i="37" l="1"/>
  <c r="BS92" i="37" s="1"/>
  <c r="BT78" i="37"/>
  <c r="CL14" i="25"/>
  <c r="CF23" i="17"/>
  <c r="CF15" i="17"/>
  <c r="CF24" i="17"/>
  <c r="CF16" i="17"/>
  <c r="CF12" i="17"/>
  <c r="CF14" i="17"/>
  <c r="CF13" i="17"/>
  <c r="CF22" i="17"/>
  <c r="CJ13" i="25"/>
  <c r="CD18" i="17"/>
  <c r="CD20" i="17"/>
  <c r="CD19" i="17"/>
  <c r="CD28" i="17"/>
  <c r="CD69" i="17"/>
  <c r="BJ165" i="37" s="1"/>
  <c r="BJ174" i="37" s="1"/>
  <c r="CD70" i="17"/>
  <c r="BJ166" i="37" s="1"/>
  <c r="BJ175" i="37" s="1"/>
  <c r="CD71" i="17"/>
  <c r="BJ167" i="37" s="1"/>
  <c r="BJ176" i="37" s="1"/>
  <c r="BF81" i="37"/>
  <c r="BF93" i="37"/>
  <c r="BG80" i="37"/>
  <c r="BE94" i="37"/>
  <c r="BU78" i="37" l="1"/>
  <c r="CK13" i="25"/>
  <c r="CE20" i="17"/>
  <c r="CE18" i="17"/>
  <c r="CE19" i="17"/>
  <c r="CE28" i="17"/>
  <c r="CE69" i="17"/>
  <c r="BK165" i="37" s="1"/>
  <c r="BK174" i="37" s="1"/>
  <c r="CE70" i="17"/>
  <c r="BK166" i="37" s="1"/>
  <c r="BK175" i="37" s="1"/>
  <c r="CE71" i="17"/>
  <c r="BK167" i="37" s="1"/>
  <c r="BK176" i="37" s="1"/>
  <c r="CM14" i="25"/>
  <c r="CG12" i="17"/>
  <c r="CG13" i="17"/>
  <c r="CG24" i="17"/>
  <c r="CG23" i="17"/>
  <c r="CG15" i="17"/>
  <c r="CG16" i="17"/>
  <c r="CG14" i="17"/>
  <c r="CG22" i="17"/>
  <c r="BT91" i="37"/>
  <c r="BT79" i="37"/>
  <c r="BT92" i="37" s="1"/>
  <c r="BG81" i="37"/>
  <c r="BG93" i="37"/>
  <c r="BH80" i="37"/>
  <c r="BF94" i="37"/>
  <c r="BV78" i="37" l="1"/>
  <c r="BV79" i="37" s="1"/>
  <c r="BV92" i="37" s="1"/>
  <c r="CN14" i="25"/>
  <c r="CH24" i="17"/>
  <c r="CH12" i="17"/>
  <c r="CH14" i="17"/>
  <c r="CH22" i="17"/>
  <c r="CH16" i="17"/>
  <c r="CH23" i="17"/>
  <c r="CH13" i="17"/>
  <c r="CH15" i="17"/>
  <c r="CL13" i="25"/>
  <c r="CF20" i="17"/>
  <c r="CF18" i="17"/>
  <c r="CF19" i="17"/>
  <c r="CF28" i="17"/>
  <c r="CF69" i="17"/>
  <c r="BL165" i="37" s="1"/>
  <c r="BL174" i="37" s="1"/>
  <c r="CF70" i="17"/>
  <c r="BL166" i="37" s="1"/>
  <c r="BL175" i="37" s="1"/>
  <c r="CF71" i="17"/>
  <c r="BL167" i="37" s="1"/>
  <c r="BL176" i="37" s="1"/>
  <c r="BU91" i="37"/>
  <c r="BU79" i="37"/>
  <c r="BU92" i="37" s="1"/>
  <c r="BH81" i="37"/>
  <c r="BH93" i="37"/>
  <c r="BI80" i="37"/>
  <c r="BG94" i="37"/>
  <c r="BV91" i="37" l="1"/>
  <c r="BW78" i="37"/>
  <c r="BW91" i="37" s="1"/>
  <c r="CO14" i="25"/>
  <c r="CI13" i="17"/>
  <c r="CI22" i="17"/>
  <c r="CI24" i="17"/>
  <c r="CI15" i="17"/>
  <c r="CI23" i="17"/>
  <c r="CI16" i="17"/>
  <c r="CI14" i="17"/>
  <c r="CI12" i="17"/>
  <c r="CM13" i="25"/>
  <c r="CG18" i="17"/>
  <c r="CG20" i="17"/>
  <c r="CG19" i="17"/>
  <c r="CG28" i="17"/>
  <c r="CG69" i="17"/>
  <c r="BM165" i="37" s="1"/>
  <c r="BM174" i="37" s="1"/>
  <c r="CG71" i="17"/>
  <c r="BM167" i="37" s="1"/>
  <c r="BM176" i="37" s="1"/>
  <c r="CG70" i="17"/>
  <c r="BM166" i="37" s="1"/>
  <c r="BM175" i="37" s="1"/>
  <c r="BI93" i="37"/>
  <c r="BI81" i="37"/>
  <c r="BJ80" i="37"/>
  <c r="BH94" i="37"/>
  <c r="BW79" i="37" l="1"/>
  <c r="BW92" i="37" s="1"/>
  <c r="BX78" i="37"/>
  <c r="BX91" i="37" s="1"/>
  <c r="CN13" i="25"/>
  <c r="CH20" i="17"/>
  <c r="CH18" i="17"/>
  <c r="CH19" i="17"/>
  <c r="CH28" i="17"/>
  <c r="CH69" i="17"/>
  <c r="BN165" i="37" s="1"/>
  <c r="BN174" i="37" s="1"/>
  <c r="CH70" i="17"/>
  <c r="BN166" i="37" s="1"/>
  <c r="BN175" i="37" s="1"/>
  <c r="CH71" i="17"/>
  <c r="BN167" i="37" s="1"/>
  <c r="BN176" i="37" s="1"/>
  <c r="CP14" i="25"/>
  <c r="CJ22" i="17"/>
  <c r="CJ13" i="17"/>
  <c r="CJ24" i="17"/>
  <c r="CJ23" i="17"/>
  <c r="CJ16" i="17"/>
  <c r="CJ12" i="17"/>
  <c r="CJ14" i="17"/>
  <c r="CJ15" i="17"/>
  <c r="BI94" i="37"/>
  <c r="BJ81" i="37"/>
  <c r="BJ93" i="37"/>
  <c r="BK80" i="37"/>
  <c r="BX79" i="37" l="1"/>
  <c r="BX92" i="37" s="1"/>
  <c r="BY78" i="37"/>
  <c r="CQ14" i="25"/>
  <c r="CK15" i="17"/>
  <c r="CK13" i="17"/>
  <c r="CK14" i="17"/>
  <c r="CK22" i="17"/>
  <c r="CK12" i="17"/>
  <c r="CK16" i="17"/>
  <c r="CK23" i="17"/>
  <c r="CK24" i="17"/>
  <c r="CO13" i="25"/>
  <c r="CI18" i="17"/>
  <c r="CI20" i="17"/>
  <c r="CI19" i="17"/>
  <c r="CI28" i="17"/>
  <c r="CI69" i="17"/>
  <c r="BO165" i="37" s="1"/>
  <c r="BO174" i="37" s="1"/>
  <c r="CI70" i="17"/>
  <c r="BO166" i="37" s="1"/>
  <c r="BO175" i="37" s="1"/>
  <c r="CI71" i="17"/>
  <c r="BO167" i="37" s="1"/>
  <c r="BO176" i="37" s="1"/>
  <c r="BK93" i="37"/>
  <c r="BK81" i="37"/>
  <c r="BL80" i="37"/>
  <c r="BJ94" i="37"/>
  <c r="CP13" i="25" l="1"/>
  <c r="CJ18" i="17"/>
  <c r="CJ20" i="17"/>
  <c r="CJ19" i="17"/>
  <c r="CJ28" i="17"/>
  <c r="CJ69" i="17"/>
  <c r="BP165" i="37" s="1"/>
  <c r="BP174" i="37" s="1"/>
  <c r="CJ71" i="17"/>
  <c r="BP167" i="37" s="1"/>
  <c r="BP176" i="37" s="1"/>
  <c r="CJ70" i="17"/>
  <c r="BP166" i="37" s="1"/>
  <c r="BP175" i="37" s="1"/>
  <c r="BZ78" i="37"/>
  <c r="CR14" i="25"/>
  <c r="CL13" i="17"/>
  <c r="CL22" i="17"/>
  <c r="CL23" i="17"/>
  <c r="CL15" i="17"/>
  <c r="CL14" i="17"/>
  <c r="CL12" i="17"/>
  <c r="CL24" i="17"/>
  <c r="CL16" i="17"/>
  <c r="BY91" i="37"/>
  <c r="BY79" i="37"/>
  <c r="BY92" i="37" s="1"/>
  <c r="BL81" i="37"/>
  <c r="BL93" i="37"/>
  <c r="BM80" i="37"/>
  <c r="BK94" i="37"/>
  <c r="CS14" i="25" l="1"/>
  <c r="CM23" i="17"/>
  <c r="CM14" i="17"/>
  <c r="CM12" i="17"/>
  <c r="CM16" i="17"/>
  <c r="CM13" i="17"/>
  <c r="CM15" i="17"/>
  <c r="CM24" i="17"/>
  <c r="CM22" i="17"/>
  <c r="CA78" i="37"/>
  <c r="BZ91" i="37"/>
  <c r="BZ79" i="37"/>
  <c r="BZ92" i="37" s="1"/>
  <c r="CQ13" i="25"/>
  <c r="CK20" i="17"/>
  <c r="CK18" i="17"/>
  <c r="CK19" i="17"/>
  <c r="CK28" i="17"/>
  <c r="CK69" i="17"/>
  <c r="BQ165" i="37" s="1"/>
  <c r="BQ174" i="37" s="1"/>
  <c r="CK70" i="17"/>
  <c r="BQ166" i="37" s="1"/>
  <c r="BQ175" i="37" s="1"/>
  <c r="CK71" i="17"/>
  <c r="BQ167" i="37" s="1"/>
  <c r="BQ176" i="37" s="1"/>
  <c r="BM81" i="37"/>
  <c r="BM93" i="37"/>
  <c r="BN80" i="37"/>
  <c r="BL94" i="37"/>
  <c r="CB78" i="37" l="1"/>
  <c r="CB91" i="37" s="1"/>
  <c r="CR13" i="25"/>
  <c r="CL18" i="17"/>
  <c r="CL20" i="17"/>
  <c r="CL19" i="17"/>
  <c r="CL28" i="17"/>
  <c r="CL69" i="17"/>
  <c r="BR165" i="37" s="1"/>
  <c r="BR174" i="37" s="1"/>
  <c r="CL70" i="17"/>
  <c r="BR166" i="37" s="1"/>
  <c r="BR175" i="37" s="1"/>
  <c r="CL71" i="17"/>
  <c r="BR167" i="37" s="1"/>
  <c r="BR176" i="37" s="1"/>
  <c r="CA79" i="37"/>
  <c r="CA92" i="37" s="1"/>
  <c r="CA91" i="37"/>
  <c r="CT14" i="25"/>
  <c r="CN22" i="17"/>
  <c r="CN15" i="17"/>
  <c r="CN13" i="17"/>
  <c r="CN14" i="17"/>
  <c r="CN12" i="17"/>
  <c r="CN24" i="17"/>
  <c r="CN16" i="17"/>
  <c r="CN23" i="17"/>
  <c r="BN81" i="37"/>
  <c r="BN93" i="37"/>
  <c r="BO80" i="37"/>
  <c r="BM94" i="37"/>
  <c r="CB79" i="37" l="1"/>
  <c r="CB92" i="37" s="1"/>
  <c r="CU14" i="25"/>
  <c r="CO15" i="17"/>
  <c r="CO16" i="17"/>
  <c r="CO13" i="17"/>
  <c r="CO22" i="17"/>
  <c r="CO12" i="17"/>
  <c r="CO14" i="17"/>
  <c r="CO24" i="17"/>
  <c r="CO23" i="17"/>
  <c r="CC78" i="37"/>
  <c r="CS13" i="25"/>
  <c r="CM20" i="17"/>
  <c r="CM18" i="17"/>
  <c r="CM19" i="17"/>
  <c r="CM28" i="17"/>
  <c r="CM69" i="17"/>
  <c r="BS165" i="37" s="1"/>
  <c r="BS174" i="37" s="1"/>
  <c r="CM70" i="17"/>
  <c r="BS166" i="37" s="1"/>
  <c r="BS175" i="37" s="1"/>
  <c r="CM71" i="17"/>
  <c r="BS167" i="37" s="1"/>
  <c r="BS176" i="37" s="1"/>
  <c r="BN94" i="37"/>
  <c r="BO81" i="37"/>
  <c r="BO93" i="37"/>
  <c r="BP80" i="37"/>
  <c r="CD78" i="37" l="1"/>
  <c r="CD79" i="37" s="1"/>
  <c r="CD92" i="37" s="1"/>
  <c r="CT13" i="25"/>
  <c r="CN18" i="17"/>
  <c r="CN20" i="17"/>
  <c r="CN19" i="17"/>
  <c r="CN28" i="17"/>
  <c r="CN69" i="17"/>
  <c r="BT165" i="37" s="1"/>
  <c r="BT174" i="37" s="1"/>
  <c r="CN70" i="17"/>
  <c r="BT166" i="37" s="1"/>
  <c r="BT175" i="37" s="1"/>
  <c r="CN71" i="17"/>
  <c r="BT167" i="37" s="1"/>
  <c r="BT176" i="37" s="1"/>
  <c r="CC91" i="37"/>
  <c r="CC79" i="37"/>
  <c r="CC92" i="37" s="1"/>
  <c r="CV14" i="25"/>
  <c r="CP24" i="17"/>
  <c r="CP23" i="17"/>
  <c r="CP22" i="17"/>
  <c r="CP13" i="17"/>
  <c r="CP12" i="17"/>
  <c r="CP15" i="17"/>
  <c r="CP16" i="17"/>
  <c r="CP14" i="17"/>
  <c r="BO94" i="37"/>
  <c r="BP93" i="37"/>
  <c r="BP81" i="37"/>
  <c r="BQ80" i="37"/>
  <c r="CD91" i="37" l="1"/>
  <c r="CW14" i="25"/>
  <c r="CQ24" i="17"/>
  <c r="CQ16" i="17"/>
  <c r="CQ23" i="17"/>
  <c r="CQ15" i="17"/>
  <c r="CQ22" i="17"/>
  <c r="CQ14" i="17"/>
  <c r="CQ12" i="17"/>
  <c r="CQ13" i="17"/>
  <c r="CE78" i="37"/>
  <c r="CU13" i="25"/>
  <c r="CO18" i="17"/>
  <c r="CO20" i="17"/>
  <c r="CO19" i="17"/>
  <c r="CO28" i="17"/>
  <c r="CO69" i="17"/>
  <c r="BU165" i="37" s="1"/>
  <c r="BU174" i="37" s="1"/>
  <c r="CO71" i="17"/>
  <c r="BU167" i="37" s="1"/>
  <c r="BU176" i="37" s="1"/>
  <c r="CO70" i="17"/>
  <c r="BU166" i="37" s="1"/>
  <c r="BU175" i="37" s="1"/>
  <c r="BQ93" i="37"/>
  <c r="BQ81" i="37"/>
  <c r="BR80" i="37"/>
  <c r="BP94" i="37"/>
  <c r="CV13" i="25" l="1"/>
  <c r="CP18" i="17"/>
  <c r="CP20" i="17"/>
  <c r="CP19" i="17"/>
  <c r="CP28" i="17"/>
  <c r="CP69" i="17"/>
  <c r="BV165" i="37" s="1"/>
  <c r="BV174" i="37" s="1"/>
  <c r="CP71" i="17"/>
  <c r="BV167" i="37" s="1"/>
  <c r="BV176" i="37" s="1"/>
  <c r="CP70" i="17"/>
  <c r="BV166" i="37" s="1"/>
  <c r="BV175" i="37" s="1"/>
  <c r="CF78" i="37"/>
  <c r="CE79" i="37"/>
  <c r="CE92" i="37" s="1"/>
  <c r="CE91" i="37"/>
  <c r="CX14" i="25"/>
  <c r="CR14" i="17"/>
  <c r="CR13" i="17"/>
  <c r="CR15" i="17"/>
  <c r="CR12" i="17"/>
  <c r="CR24" i="17"/>
  <c r="CR23" i="17"/>
  <c r="CR22" i="17"/>
  <c r="CR16" i="17"/>
  <c r="BQ94" i="37"/>
  <c r="BR81" i="37"/>
  <c r="BR93" i="37"/>
  <c r="BS80" i="37"/>
  <c r="CY14" i="25" l="1"/>
  <c r="CZ14" i="25" s="1"/>
  <c r="DA14" i="25" s="1"/>
  <c r="DB14" i="25" s="1"/>
  <c r="DC14" i="25" s="1"/>
  <c r="DD14" i="25" s="1"/>
  <c r="DE14" i="25" s="1"/>
  <c r="DF14" i="25" s="1"/>
  <c r="DG14" i="25" s="1"/>
  <c r="DH14" i="25" s="1"/>
  <c r="DI14" i="25" s="1"/>
  <c r="DJ14" i="25" s="1"/>
  <c r="DK14" i="25" s="1"/>
  <c r="DL14" i="25" s="1"/>
  <c r="DM14" i="25" s="1"/>
  <c r="DN14" i="25" s="1"/>
  <c r="DO14" i="25" s="1"/>
  <c r="DP14" i="25" s="1"/>
  <c r="DQ14" i="25" s="1"/>
  <c r="DR14" i="25" s="1"/>
  <c r="DS14" i="25" s="1"/>
  <c r="DT14" i="25" s="1"/>
  <c r="DU14" i="25" s="1"/>
  <c r="DV14" i="25" s="1"/>
  <c r="DW14" i="25" s="1"/>
  <c r="CS23" i="17"/>
  <c r="DS23" i="17" s="1"/>
  <c r="CS16" i="17"/>
  <c r="DS16" i="17" s="1"/>
  <c r="CS24" i="17"/>
  <c r="DS24" i="17" s="1"/>
  <c r="CS14" i="17"/>
  <c r="DS14" i="17" s="1"/>
  <c r="CS15" i="17"/>
  <c r="DS15" i="17" s="1"/>
  <c r="CS13" i="17"/>
  <c r="DS13" i="17" s="1"/>
  <c r="CS22" i="17"/>
  <c r="DS22" i="17" s="1"/>
  <c r="CS12" i="17"/>
  <c r="CG78" i="37"/>
  <c r="CF91" i="37"/>
  <c r="CF79" i="37"/>
  <c r="CF92" i="37" s="1"/>
  <c r="CW13" i="25"/>
  <c r="CQ18" i="17"/>
  <c r="CQ20" i="17"/>
  <c r="CQ19" i="17"/>
  <c r="CQ28" i="17"/>
  <c r="CQ69" i="17"/>
  <c r="BW165" i="37" s="1"/>
  <c r="BW174" i="37" s="1"/>
  <c r="CQ71" i="17"/>
  <c r="BW167" i="37" s="1"/>
  <c r="BW176" i="37" s="1"/>
  <c r="CQ70" i="17"/>
  <c r="BW166" i="37" s="1"/>
  <c r="BW175" i="37" s="1"/>
  <c r="BR94" i="37"/>
  <c r="BS81" i="37"/>
  <c r="BS93" i="37"/>
  <c r="BT80" i="37"/>
  <c r="E61" i="38" l="1"/>
  <c r="D61" i="38"/>
  <c r="E67" i="38"/>
  <c r="D66" i="38"/>
  <c r="D67" i="38"/>
  <c r="C10" i="4"/>
  <c r="C19" i="38" s="1"/>
  <c r="E66" i="38"/>
  <c r="D69" i="38"/>
  <c r="E69" i="38"/>
  <c r="D68" i="38"/>
  <c r="E68" i="38"/>
  <c r="D63" i="38"/>
  <c r="E63" i="38"/>
  <c r="D60" i="38"/>
  <c r="E60" i="38"/>
  <c r="CX13" i="25"/>
  <c r="CR18" i="17"/>
  <c r="CR20" i="17"/>
  <c r="CR19" i="17"/>
  <c r="CR28" i="17"/>
  <c r="CR69" i="17"/>
  <c r="BX165" i="37" s="1"/>
  <c r="BX174" i="37" s="1"/>
  <c r="CR71" i="17"/>
  <c r="BX167" i="37" s="1"/>
  <c r="BX176" i="37" s="1"/>
  <c r="CR70" i="17"/>
  <c r="BX166" i="37" s="1"/>
  <c r="BX175" i="37" s="1"/>
  <c r="E62" i="38"/>
  <c r="D62" i="38"/>
  <c r="CH78" i="37"/>
  <c r="CG79" i="37"/>
  <c r="CG92" i="37" s="1"/>
  <c r="CG91" i="37"/>
  <c r="DS12" i="17"/>
  <c r="BT81" i="37"/>
  <c r="BT93" i="37"/>
  <c r="BU80" i="37"/>
  <c r="BS94" i="37"/>
  <c r="CY13" i="25" l="1"/>
  <c r="CZ13" i="25" s="1"/>
  <c r="DA13" i="25" s="1"/>
  <c r="DB13" i="25" s="1"/>
  <c r="DC13" i="25" s="1"/>
  <c r="DD13" i="25" s="1"/>
  <c r="DE13" i="25" s="1"/>
  <c r="DF13" i="25" s="1"/>
  <c r="DG13" i="25" s="1"/>
  <c r="DH13" i="25" s="1"/>
  <c r="DI13" i="25" s="1"/>
  <c r="DJ13" i="25" s="1"/>
  <c r="DK13" i="25" s="1"/>
  <c r="DL13" i="25" s="1"/>
  <c r="DM13" i="25" s="1"/>
  <c r="DN13" i="25" s="1"/>
  <c r="DO13" i="25" s="1"/>
  <c r="DP13" i="25" s="1"/>
  <c r="DQ13" i="25" s="1"/>
  <c r="DR13" i="25" s="1"/>
  <c r="DS13" i="25" s="1"/>
  <c r="DT13" i="25" s="1"/>
  <c r="DU13" i="25" s="1"/>
  <c r="DV13" i="25" s="1"/>
  <c r="DW13" i="25" s="1"/>
  <c r="CS20" i="17"/>
  <c r="DS20" i="17" s="1"/>
  <c r="CS18" i="17"/>
  <c r="CS19" i="17"/>
  <c r="DS19" i="17" s="1"/>
  <c r="CS28" i="17"/>
  <c r="DS28" i="17" s="1"/>
  <c r="CS69" i="17"/>
  <c r="CS70" i="17"/>
  <c r="CS71" i="17"/>
  <c r="L19" i="38"/>
  <c r="I19" i="38"/>
  <c r="H19" i="38"/>
  <c r="E59" i="38"/>
  <c r="C9" i="4"/>
  <c r="D59" i="38"/>
  <c r="CH91" i="37"/>
  <c r="CH79" i="37"/>
  <c r="CH92" i="37" s="1"/>
  <c r="CI78" i="37"/>
  <c r="BU93" i="37"/>
  <c r="BU81" i="37"/>
  <c r="BV80" i="37"/>
  <c r="BT94" i="37"/>
  <c r="BY167" i="37" l="1"/>
  <c r="BY176" i="37" s="1"/>
  <c r="DS71" i="17"/>
  <c r="C32" i="4" s="1"/>
  <c r="BY166" i="37"/>
  <c r="BY175" i="37" s="1"/>
  <c r="DS70" i="17"/>
  <c r="C31" i="4" s="1"/>
  <c r="C18" i="38"/>
  <c r="C2" i="46"/>
  <c r="BY165" i="37"/>
  <c r="BY174" i="37" s="1"/>
  <c r="DS69" i="17"/>
  <c r="C30" i="4" s="1"/>
  <c r="E65" i="38"/>
  <c r="C13" i="4"/>
  <c r="D65" i="38"/>
  <c r="C62" i="38" s="1"/>
  <c r="DS18" i="17"/>
  <c r="C11" i="4" s="1" a="1"/>
  <c r="C11" i="4" s="1"/>
  <c r="CJ78" i="37"/>
  <c r="CI91" i="37"/>
  <c r="CI79" i="37"/>
  <c r="CI92" i="37" s="1"/>
  <c r="BU94" i="37"/>
  <c r="BV81" i="37"/>
  <c r="BV93" i="37"/>
  <c r="BW80" i="37"/>
  <c r="C65" i="38" l="1"/>
  <c r="C66" i="38"/>
  <c r="C59" i="38"/>
  <c r="C67" i="38"/>
  <c r="C60" i="38"/>
  <c r="C68" i="38"/>
  <c r="C69" i="38"/>
  <c r="C61" i="38"/>
  <c r="C63" i="38"/>
  <c r="C20" i="38"/>
  <c r="C3" i="46"/>
  <c r="G24" i="4"/>
  <c r="C14" i="4"/>
  <c r="CJ91" i="37"/>
  <c r="CJ79" i="37"/>
  <c r="CJ92" i="37" s="1"/>
  <c r="H18" i="38"/>
  <c r="D18" i="38"/>
  <c r="K18" i="38" s="1"/>
  <c r="L18" i="38"/>
  <c r="I18" i="38"/>
  <c r="C49" i="38"/>
  <c r="C17" i="46"/>
  <c r="C16" i="46"/>
  <c r="C48" i="38"/>
  <c r="C38" i="4"/>
  <c r="C22" i="38"/>
  <c r="C5" i="46"/>
  <c r="C50" i="38"/>
  <c r="C18" i="46"/>
  <c r="C64" i="38"/>
  <c r="BV94" i="37"/>
  <c r="BW93" i="37"/>
  <c r="BW81" i="37"/>
  <c r="BX80" i="37"/>
  <c r="C23" i="38" l="1"/>
  <c r="H48" i="38"/>
  <c r="I48" i="38"/>
  <c r="D48" i="38"/>
  <c r="K48" i="38" s="1"/>
  <c r="L48" i="38"/>
  <c r="C54" i="38"/>
  <c r="F18" i="38"/>
  <c r="J18" i="38"/>
  <c r="G18" i="38"/>
  <c r="D19" i="38"/>
  <c r="H49" i="38"/>
  <c r="L49" i="38"/>
  <c r="I49" i="38"/>
  <c r="F74" i="38"/>
  <c r="G34" i="44"/>
  <c r="C7" i="38"/>
  <c r="C61" i="4"/>
  <c r="E38" i="48"/>
  <c r="E34" i="44"/>
  <c r="H50" i="38"/>
  <c r="L50" i="38"/>
  <c r="I50" i="38"/>
  <c r="L22" i="38"/>
  <c r="I22" i="38"/>
  <c r="H22" i="38"/>
  <c r="C40" i="4"/>
  <c r="E37" i="44"/>
  <c r="F77" i="38"/>
  <c r="C64" i="4"/>
  <c r="G37" i="44"/>
  <c r="E41" i="48"/>
  <c r="C10" i="38"/>
  <c r="H20" i="38"/>
  <c r="I20" i="38"/>
  <c r="L20" i="38"/>
  <c r="BW94" i="37"/>
  <c r="BX93" i="37"/>
  <c r="BX81" i="37"/>
  <c r="BY80" i="37"/>
  <c r="E74" i="38" l="1"/>
  <c r="C74" i="38"/>
  <c r="G74" i="38"/>
  <c r="E77" i="38"/>
  <c r="G77" i="38"/>
  <c r="C77" i="38"/>
  <c r="C41" i="4"/>
  <c r="C39" i="4"/>
  <c r="G22" i="4" s="1"/>
  <c r="H33" i="48"/>
  <c r="C65" i="4"/>
  <c r="B30" i="44"/>
  <c r="D49" i="38"/>
  <c r="G48" i="38"/>
  <c r="F48" i="38"/>
  <c r="J48" i="38"/>
  <c r="I10" i="38"/>
  <c r="H10" i="38"/>
  <c r="G19" i="38"/>
  <c r="D20" i="38"/>
  <c r="J19" i="38"/>
  <c r="F19" i="38"/>
  <c r="K19" i="38"/>
  <c r="L7" i="38"/>
  <c r="D7" i="38"/>
  <c r="K7" i="38" s="1"/>
  <c r="H7" i="38"/>
  <c r="I7" i="38"/>
  <c r="C13" i="38"/>
  <c r="BX94" i="37"/>
  <c r="BY93" i="37"/>
  <c r="BY81" i="37"/>
  <c r="BZ80" i="37"/>
  <c r="F30" i="44" l="1"/>
  <c r="C66" i="4"/>
  <c r="H34" i="48"/>
  <c r="D21" i="38"/>
  <c r="J20" i="38"/>
  <c r="G20" i="38"/>
  <c r="F20" i="38"/>
  <c r="K20" i="38"/>
  <c r="J49" i="38"/>
  <c r="G49" i="38"/>
  <c r="F49" i="38"/>
  <c r="D50" i="38"/>
  <c r="K49" i="38"/>
  <c r="F7" i="38"/>
  <c r="G7" i="38"/>
  <c r="J7" i="38"/>
  <c r="D8" i="38"/>
  <c r="BZ81" i="37"/>
  <c r="BZ93" i="37"/>
  <c r="CA80" i="37"/>
  <c r="BY94" i="37"/>
  <c r="G50" i="38" l="1"/>
  <c r="F50" i="38"/>
  <c r="J50" i="38"/>
  <c r="D51" i="38"/>
  <c r="K50" i="38"/>
  <c r="F21" i="38"/>
  <c r="J21" i="38"/>
  <c r="G21" i="38"/>
  <c r="K21" i="38"/>
  <c r="D22" i="38"/>
  <c r="K8" i="38"/>
  <c r="D9" i="38"/>
  <c r="K9" i="38" s="1"/>
  <c r="L8" i="38"/>
  <c r="J8" i="38"/>
  <c r="F8" i="38"/>
  <c r="G8" i="38"/>
  <c r="CA81" i="37"/>
  <c r="CA93" i="37"/>
  <c r="CB80" i="37"/>
  <c r="BZ94" i="37"/>
  <c r="J51" i="38" l="1"/>
  <c r="D52" i="38"/>
  <c r="K51" i="38"/>
  <c r="G51" i="38"/>
  <c r="F51" i="38"/>
  <c r="K22" i="38"/>
  <c r="D23" i="38"/>
  <c r="F22" i="38"/>
  <c r="J22" i="38"/>
  <c r="G22" i="38"/>
  <c r="L9" i="38"/>
  <c r="D10" i="38"/>
  <c r="L10" i="38" s="1"/>
  <c r="G9" i="38"/>
  <c r="F9" i="38"/>
  <c r="J9" i="38"/>
  <c r="CB81" i="37"/>
  <c r="CB93" i="37"/>
  <c r="CC80" i="37"/>
  <c r="CA94" i="37"/>
  <c r="E23" i="38" l="1"/>
  <c r="G23" i="38"/>
  <c r="F23" i="38"/>
  <c r="J10" i="38"/>
  <c r="D11" i="38"/>
  <c r="F10" i="38"/>
  <c r="G10" i="38"/>
  <c r="K10" i="38"/>
  <c r="G52" i="38"/>
  <c r="K52" i="38"/>
  <c r="J52" i="38"/>
  <c r="F52" i="38"/>
  <c r="D53" i="38"/>
  <c r="CC93" i="37"/>
  <c r="CC81" i="37"/>
  <c r="CD80" i="37"/>
  <c r="CB94" i="37"/>
  <c r="D54" i="38" l="1"/>
  <c r="K53" i="38"/>
  <c r="J53" i="38"/>
  <c r="G53" i="38"/>
  <c r="F53" i="38"/>
  <c r="D12" i="38"/>
  <c r="K12" i="38" s="1"/>
  <c r="J11" i="38"/>
  <c r="K11" i="38"/>
  <c r="F11" i="38"/>
  <c r="G11" i="38"/>
  <c r="CD81" i="37"/>
  <c r="CD93" i="37"/>
  <c r="CE80" i="37"/>
  <c r="CC94" i="37"/>
  <c r="L12" i="38" l="1"/>
  <c r="J12" i="38"/>
  <c r="D13" i="38"/>
  <c r="F12" i="38"/>
  <c r="G12" i="38"/>
  <c r="G54" i="38"/>
  <c r="F54" i="38"/>
  <c r="E54" i="38"/>
  <c r="CE81" i="37"/>
  <c r="CE93" i="37"/>
  <c r="CF80" i="37"/>
  <c r="CD94" i="37"/>
  <c r="F13" i="38" l="1"/>
  <c r="E13" i="38"/>
  <c r="G13" i="38"/>
  <c r="CF81" i="37"/>
  <c r="CF93" i="37"/>
  <c r="CG80" i="37"/>
  <c r="CE94" i="37"/>
  <c r="CG81" i="37" l="1"/>
  <c r="CG93" i="37"/>
  <c r="CH80" i="37"/>
  <c r="CF94" i="37"/>
  <c r="CH93" i="37" l="1"/>
  <c r="CH81" i="37"/>
  <c r="CI80" i="37"/>
  <c r="CG94" i="37"/>
  <c r="CI93" i="37" l="1"/>
  <c r="CI81" i="37"/>
  <c r="CJ80" i="37"/>
  <c r="CH94" i="37"/>
  <c r="CJ93" i="37" l="1"/>
  <c r="CJ81" i="37"/>
  <c r="AY82" i="37" s="1" a="1"/>
  <c r="AY82" i="37" s="1"/>
  <c r="CK80" i="37"/>
  <c r="CI94" i="37"/>
  <c r="G82" i="37" l="1" a="1"/>
  <c r="G82" i="37" s="1"/>
  <c r="G95" i="37" s="1"/>
  <c r="BE82" i="37" a="1"/>
  <c r="BE82" i="37" s="1"/>
  <c r="BE95" i="37" s="1"/>
  <c r="CA82" i="37" a="1"/>
  <c r="CA82" i="37" s="1"/>
  <c r="CA95" i="37" s="1"/>
  <c r="BP82" i="37" a="1"/>
  <c r="BP82" i="37" s="1"/>
  <c r="BP95" i="37" s="1"/>
  <c r="BA82" i="37" a="1"/>
  <c r="BA82" i="37" s="1"/>
  <c r="BA95" i="37" s="1"/>
  <c r="T82" i="37" a="1"/>
  <c r="T82" i="37" s="1"/>
  <c r="T95" i="37" s="1"/>
  <c r="AA82" i="37" a="1"/>
  <c r="AA82" i="37" s="1"/>
  <c r="AA95" i="37" s="1"/>
  <c r="Q82" i="37" a="1"/>
  <c r="Q82" i="37" s="1"/>
  <c r="Q95" i="37" s="1"/>
  <c r="U82" i="37" a="1"/>
  <c r="U82" i="37" s="1"/>
  <c r="U95" i="37" s="1"/>
  <c r="X82" i="37" a="1"/>
  <c r="X82" i="37" s="1"/>
  <c r="X95" i="37" s="1"/>
  <c r="E82" i="37" a="1"/>
  <c r="E82" i="37" s="1"/>
  <c r="E95" i="37" s="1"/>
  <c r="AP82" i="37" a="1"/>
  <c r="AP82" i="37" s="1"/>
  <c r="AP95" i="37" s="1"/>
  <c r="M82" i="37" a="1"/>
  <c r="M82" i="37" s="1"/>
  <c r="M95" i="37" s="1"/>
  <c r="W82" i="37" a="1"/>
  <c r="W82" i="37" s="1"/>
  <c r="W95" i="37" s="1"/>
  <c r="AF82" i="37" a="1"/>
  <c r="AF82" i="37" s="1"/>
  <c r="AF95" i="37" s="1"/>
  <c r="AN82" i="37" a="1"/>
  <c r="AN82" i="37" s="1"/>
  <c r="AN95" i="37" s="1"/>
  <c r="Y82" i="37" a="1"/>
  <c r="Y82" i="37" s="1"/>
  <c r="Y95" i="37" s="1"/>
  <c r="BC82" i="37" a="1"/>
  <c r="BC82" i="37" s="1"/>
  <c r="BC95" i="37" s="1"/>
  <c r="BU82" i="37" a="1"/>
  <c r="BU82" i="37" s="1"/>
  <c r="BU95" i="37" s="1"/>
  <c r="AE82" i="37" a="1"/>
  <c r="AE82" i="37" s="1"/>
  <c r="AE95" i="37" s="1"/>
  <c r="V82" i="37" a="1"/>
  <c r="V82" i="37" s="1"/>
  <c r="V95" i="37" s="1"/>
  <c r="CC82" i="37" a="1"/>
  <c r="CC82" i="37" s="1"/>
  <c r="CC95" i="37" s="1"/>
  <c r="AJ82" i="37" a="1"/>
  <c r="AJ82" i="37" s="1"/>
  <c r="AJ95" i="37" s="1"/>
  <c r="BR82" i="37" a="1"/>
  <c r="BR82" i="37" s="1"/>
  <c r="BR95" i="37" s="1"/>
  <c r="BW82" i="37" a="1"/>
  <c r="BW82" i="37" s="1"/>
  <c r="BW95" i="37" s="1"/>
  <c r="BK82" i="37" a="1"/>
  <c r="BK82" i="37" s="1"/>
  <c r="BK95" i="37" s="1"/>
  <c r="L82" i="37" a="1"/>
  <c r="L82" i="37" s="1"/>
  <c r="L95" i="37" s="1"/>
  <c r="Z82" i="37" a="1"/>
  <c r="Z82" i="37" s="1"/>
  <c r="Z95" i="37" s="1"/>
  <c r="BX82" i="37" a="1"/>
  <c r="BX82" i="37" s="1"/>
  <c r="BX95" i="37" s="1"/>
  <c r="CE82" i="37" a="1"/>
  <c r="CE82" i="37" s="1"/>
  <c r="CE95" i="37" s="1"/>
  <c r="BY82" i="37" a="1"/>
  <c r="BY82" i="37" s="1"/>
  <c r="BY95" i="37" s="1"/>
  <c r="BM82" i="37" a="1"/>
  <c r="BM82" i="37" s="1"/>
  <c r="BM95" i="37" s="1"/>
  <c r="AX82" i="37" a="1"/>
  <c r="AX82" i="37" s="1"/>
  <c r="AX95" i="37" s="1"/>
  <c r="CG82" i="37" a="1"/>
  <c r="CG82" i="37" s="1"/>
  <c r="CG95" i="37" s="1"/>
  <c r="CI82" i="37" a="1"/>
  <c r="CI82" i="37" s="1"/>
  <c r="CI95" i="37" s="1"/>
  <c r="AM82" i="37" a="1"/>
  <c r="AM82" i="37" s="1"/>
  <c r="AM95" i="37" s="1"/>
  <c r="AT82" i="37" a="1"/>
  <c r="AT82" i="37" s="1"/>
  <c r="AT95" i="37" s="1"/>
  <c r="CK81" i="37"/>
  <c r="CK93" i="37"/>
  <c r="CL80" i="37"/>
  <c r="AY95" i="37"/>
  <c r="CJ94" i="37"/>
  <c r="CJ82" i="37" a="1"/>
  <c r="CJ82" i="37" s="1"/>
  <c r="AK82" i="37" a="1"/>
  <c r="AK82" i="37" s="1"/>
  <c r="BD82" i="37" a="1"/>
  <c r="BD82" i="37" s="1"/>
  <c r="AD82" i="37" a="1"/>
  <c r="AD82" i="37" s="1"/>
  <c r="AU82" i="37" a="1"/>
  <c r="AU82" i="37" s="1"/>
  <c r="P82" i="37" a="1"/>
  <c r="P82" i="37" s="1"/>
  <c r="BL82" i="37" a="1"/>
  <c r="BL82" i="37" s="1"/>
  <c r="AO82" i="37" a="1"/>
  <c r="AO82" i="37" s="1"/>
  <c r="AL82" i="37" a="1"/>
  <c r="AL82" i="37" s="1"/>
  <c r="D82" i="37" a="1"/>
  <c r="D82" i="37" s="1"/>
  <c r="AH82" i="37" a="1"/>
  <c r="AH82" i="37" s="1"/>
  <c r="AW82" i="37" a="1"/>
  <c r="AW82" i="37" s="1"/>
  <c r="K82" i="37" a="1"/>
  <c r="K82" i="37" s="1"/>
  <c r="N82" i="37" a="1"/>
  <c r="N82" i="37" s="1"/>
  <c r="BS82" i="37" a="1"/>
  <c r="BS82" i="37" s="1"/>
  <c r="BH82" i="37" a="1"/>
  <c r="BH82" i="37" s="1"/>
  <c r="AC82" i="37" a="1"/>
  <c r="AC82" i="37" s="1"/>
  <c r="BO82" i="37" a="1"/>
  <c r="BO82" i="37" s="1"/>
  <c r="AB82" i="37" a="1"/>
  <c r="AB82" i="37" s="1"/>
  <c r="R82" i="37" a="1"/>
  <c r="R82" i="37" s="1"/>
  <c r="BV82" i="37" a="1"/>
  <c r="BV82" i="37" s="1"/>
  <c r="H82" i="37" a="1"/>
  <c r="H82" i="37" s="1"/>
  <c r="BJ82" i="37" a="1"/>
  <c r="BJ82" i="37" s="1"/>
  <c r="AI82" i="37" a="1"/>
  <c r="AI82" i="37" s="1"/>
  <c r="BI82" i="37" a="1"/>
  <c r="BI82" i="37" s="1"/>
  <c r="F82" i="37" a="1"/>
  <c r="F82" i="37" s="1"/>
  <c r="AZ82" i="37" a="1"/>
  <c r="AZ82" i="37" s="1"/>
  <c r="S82" i="37" a="1"/>
  <c r="S82" i="37" s="1"/>
  <c r="CF82" i="37" a="1"/>
  <c r="CF82" i="37" s="1"/>
  <c r="CH82" i="37" a="1"/>
  <c r="CH82" i="37" s="1"/>
  <c r="BG82" i="37" a="1"/>
  <c r="BG82" i="37" s="1"/>
  <c r="BN82" i="37" a="1"/>
  <c r="BN82" i="37" s="1"/>
  <c r="I82" i="37" a="1"/>
  <c r="I82" i="37" s="1"/>
  <c r="BF82" i="37" a="1"/>
  <c r="BF82" i="37" s="1"/>
  <c r="CD82" i="37" a="1"/>
  <c r="CD82" i="37" s="1"/>
  <c r="AR82" i="37" a="1"/>
  <c r="AR82" i="37" s="1"/>
  <c r="AQ82" i="37" a="1"/>
  <c r="AQ82" i="37" s="1"/>
  <c r="BB82" i="37" a="1"/>
  <c r="BB82" i="37" s="1"/>
  <c r="AV82" i="37" a="1"/>
  <c r="AV82" i="37" s="1"/>
  <c r="J82" i="37" a="1"/>
  <c r="J82" i="37" s="1"/>
  <c r="BQ82" i="37" a="1"/>
  <c r="BQ82" i="37" s="1"/>
  <c r="CB82" i="37" a="1"/>
  <c r="CB82" i="37" s="1"/>
  <c r="AG82" i="37" a="1"/>
  <c r="AG82" i="37" s="1"/>
  <c r="O82" i="37" a="1"/>
  <c r="O82" i="37" s="1"/>
  <c r="AS82" i="37" a="1"/>
  <c r="AS82" i="37" s="1"/>
  <c r="BZ82" i="37" a="1"/>
  <c r="BZ82" i="37" s="1"/>
  <c r="C99" i="37"/>
  <c r="C98" i="37"/>
  <c r="BT82" i="37" a="1"/>
  <c r="BT82" i="37" s="1"/>
  <c r="AA83" i="37" l="1"/>
  <c r="AA96" i="37" s="1"/>
  <c r="W83" i="37"/>
  <c r="W96" i="37" s="1"/>
  <c r="BC83" i="37"/>
  <c r="BC96" i="37" s="1"/>
  <c r="BU83" i="37"/>
  <c r="BU96" i="37" s="1"/>
  <c r="V83" i="37"/>
  <c r="V96" i="37" s="1"/>
  <c r="CG83" i="37"/>
  <c r="CG96" i="37" s="1"/>
  <c r="CC83" i="37"/>
  <c r="CC96" i="37" s="1"/>
  <c r="AM83" i="37"/>
  <c r="AM96" i="37" s="1"/>
  <c r="AF83" i="37"/>
  <c r="AF96" i="37" s="1"/>
  <c r="CI83" i="37"/>
  <c r="CI96" i="37" s="1"/>
  <c r="BX83" i="37"/>
  <c r="BX96" i="37" s="1"/>
  <c r="AP83" i="37"/>
  <c r="AP96" i="37" s="1"/>
  <c r="Z83" i="37"/>
  <c r="Z96" i="37" s="1"/>
  <c r="BR83" i="37"/>
  <c r="BR96" i="37" s="1"/>
  <c r="CD83" i="37"/>
  <c r="CD96" i="37" s="1"/>
  <c r="CD95" i="37"/>
  <c r="BD95" i="37"/>
  <c r="BD83" i="37"/>
  <c r="BD96" i="37" s="1"/>
  <c r="CL81" i="37"/>
  <c r="CL93" i="37"/>
  <c r="CM80" i="37"/>
  <c r="BO83" i="37"/>
  <c r="BO96" i="37" s="1"/>
  <c r="BO95" i="37"/>
  <c r="I95" i="37"/>
  <c r="I83" i="37"/>
  <c r="I96" i="37" s="1"/>
  <c r="CJ83" i="37"/>
  <c r="CJ96" i="37" s="1"/>
  <c r="CJ95" i="37"/>
  <c r="BH95" i="37"/>
  <c r="BH83" i="37"/>
  <c r="BH96" i="37" s="1"/>
  <c r="AO95" i="37"/>
  <c r="AO83" i="37"/>
  <c r="AO96" i="37" s="1"/>
  <c r="CK94" i="37"/>
  <c r="CK82" i="37" a="1"/>
  <c r="CK82" i="37" s="1"/>
  <c r="Q83" i="37"/>
  <c r="Q96" i="37" s="1"/>
  <c r="X83" i="37"/>
  <c r="X96" i="37" s="1"/>
  <c r="BP83" i="37"/>
  <c r="BP96" i="37" s="1"/>
  <c r="T83" i="37"/>
  <c r="T96" i="37" s="1"/>
  <c r="BM83" i="37"/>
  <c r="BM96" i="37" s="1"/>
  <c r="AV95" i="37"/>
  <c r="AV83" i="37"/>
  <c r="AV96" i="37" s="1"/>
  <c r="BG95" i="37"/>
  <c r="BG83" i="37"/>
  <c r="BG96" i="37" s="1"/>
  <c r="BJ83" i="37"/>
  <c r="BJ96" i="37" s="1"/>
  <c r="BJ95" i="37"/>
  <c r="BS95" i="37"/>
  <c r="BS83" i="37"/>
  <c r="BS96" i="37" s="1"/>
  <c r="BL95" i="37"/>
  <c r="BL83" i="37"/>
  <c r="BL96" i="37" s="1"/>
  <c r="AY83" i="37"/>
  <c r="AY96" i="37" s="1"/>
  <c r="L83" i="37"/>
  <c r="L96" i="37" s="1"/>
  <c r="E83" i="37"/>
  <c r="E96" i="37" s="1"/>
  <c r="AB83" i="37"/>
  <c r="AB96" i="37" s="1"/>
  <c r="AB95" i="37"/>
  <c r="BF95" i="37"/>
  <c r="BF83" i="37"/>
  <c r="BF96" i="37" s="1"/>
  <c r="AK83" i="37"/>
  <c r="AK96" i="37" s="1"/>
  <c r="AK95" i="37"/>
  <c r="BI95" i="37"/>
  <c r="BI83" i="37"/>
  <c r="BI96" i="37" s="1"/>
  <c r="J83" i="37"/>
  <c r="J96" i="37" s="1"/>
  <c r="J95" i="37"/>
  <c r="BZ95" i="37"/>
  <c r="BZ83" i="37"/>
  <c r="BZ96" i="37" s="1"/>
  <c r="BB95" i="37"/>
  <c r="BB83" i="37"/>
  <c r="BB96" i="37" s="1"/>
  <c r="CH83" i="37"/>
  <c r="CH96" i="37" s="1"/>
  <c r="CH95" i="37"/>
  <c r="H83" i="37"/>
  <c r="H96" i="37" s="1"/>
  <c r="H95" i="37"/>
  <c r="N95" i="37"/>
  <c r="N83" i="37"/>
  <c r="N96" i="37" s="1"/>
  <c r="P95" i="37"/>
  <c r="P83" i="37"/>
  <c r="P96" i="37" s="1"/>
  <c r="AT83" i="37"/>
  <c r="AT96" i="37" s="1"/>
  <c r="BA83" i="37"/>
  <c r="BA96" i="37" s="1"/>
  <c r="BE83" i="37"/>
  <c r="BE96" i="37" s="1"/>
  <c r="AG83" i="37"/>
  <c r="AG96" i="37" s="1"/>
  <c r="AG95" i="37"/>
  <c r="AH83" i="37"/>
  <c r="AH96" i="37" s="1"/>
  <c r="AH95" i="37"/>
  <c r="F95" i="37"/>
  <c r="F83" i="37"/>
  <c r="F96" i="37" s="1"/>
  <c r="BQ95" i="37"/>
  <c r="BQ83" i="37"/>
  <c r="BQ96" i="37" s="1"/>
  <c r="AL95" i="37"/>
  <c r="AL83" i="37"/>
  <c r="AL96" i="37" s="1"/>
  <c r="AI95" i="37"/>
  <c r="AI83" i="37"/>
  <c r="AI96" i="37" s="1"/>
  <c r="BT83" i="37"/>
  <c r="BT96" i="37" s="1"/>
  <c r="BT95" i="37"/>
  <c r="AE83" i="37"/>
  <c r="AE96" i="37" s="1"/>
  <c r="CA83" i="37"/>
  <c r="CA96" i="37" s="1"/>
  <c r="G83" i="37"/>
  <c r="G96" i="37" s="1"/>
  <c r="Y83" i="37"/>
  <c r="Y96" i="37" s="1"/>
  <c r="AS83" i="37"/>
  <c r="AS96" i="37" s="1"/>
  <c r="AS95" i="37"/>
  <c r="AQ83" i="37"/>
  <c r="AQ96" i="37" s="1"/>
  <c r="AQ95" i="37"/>
  <c r="CF95" i="37"/>
  <c r="CF83" i="37"/>
  <c r="CF96" i="37" s="1"/>
  <c r="BV83" i="37"/>
  <c r="BV96" i="37" s="1"/>
  <c r="BV95" i="37"/>
  <c r="K83" i="37"/>
  <c r="K96" i="37" s="1"/>
  <c r="K95" i="37"/>
  <c r="AU95" i="37"/>
  <c r="AU83" i="37"/>
  <c r="AU96" i="37" s="1"/>
  <c r="AN83" i="37"/>
  <c r="AN96" i="37" s="1"/>
  <c r="BK83" i="37"/>
  <c r="BK96" i="37" s="1"/>
  <c r="BW83" i="37"/>
  <c r="BW96" i="37" s="1"/>
  <c r="AZ95" i="37"/>
  <c r="AZ83" i="37"/>
  <c r="AZ96" i="37" s="1"/>
  <c r="CB83" i="37"/>
  <c r="CB96" i="37" s="1"/>
  <c r="CB95" i="37"/>
  <c r="D83" i="37"/>
  <c r="D96" i="37" s="1"/>
  <c r="D95" i="37"/>
  <c r="AC83" i="37"/>
  <c r="AC96" i="37" s="1"/>
  <c r="AC95" i="37"/>
  <c r="BN83" i="37"/>
  <c r="BN96" i="37" s="1"/>
  <c r="BN95" i="37"/>
  <c r="AX83" i="37"/>
  <c r="AX96" i="37" s="1"/>
  <c r="U83" i="37"/>
  <c r="U96" i="37" s="1"/>
  <c r="AJ83" i="37"/>
  <c r="AJ96" i="37" s="1"/>
  <c r="BY83" i="37"/>
  <c r="BY96" i="37" s="1"/>
  <c r="O95" i="37"/>
  <c r="O83" i="37"/>
  <c r="O96" i="37" s="1"/>
  <c r="AR95" i="37"/>
  <c r="AR83" i="37"/>
  <c r="AR96" i="37" s="1"/>
  <c r="S95" i="37"/>
  <c r="S83" i="37"/>
  <c r="S96" i="37" s="1"/>
  <c r="R95" i="37"/>
  <c r="R83" i="37"/>
  <c r="R96" i="37" s="1"/>
  <c r="AW95" i="37"/>
  <c r="AW83" i="37"/>
  <c r="AW96" i="37" s="1"/>
  <c r="AD95" i="37"/>
  <c r="AD83" i="37"/>
  <c r="AD96" i="37" s="1"/>
  <c r="CE83" i="37"/>
  <c r="CE96" i="37" s="1"/>
  <c r="M83" i="37"/>
  <c r="M96" i="37" s="1"/>
  <c r="CK83" i="37" l="1"/>
  <c r="CK96" i="37" s="1"/>
  <c r="CK95" i="37"/>
  <c r="CL94" i="37"/>
  <c r="CL82" i="37" a="1"/>
  <c r="CL82" i="37" s="1"/>
  <c r="CM81" i="37"/>
  <c r="CM93" i="37"/>
  <c r="CN80" i="37"/>
  <c r="CN93" i="37" l="1"/>
  <c r="CN81" i="37"/>
  <c r="CO80" i="37"/>
  <c r="CL83" i="37"/>
  <c r="CL96" i="37" s="1"/>
  <c r="CL95" i="37"/>
  <c r="CM94" i="37"/>
  <c r="CM82" i="37" a="1"/>
  <c r="CM82" i="37" s="1"/>
  <c r="CM95" i="37" l="1"/>
  <c r="CM83" i="37"/>
  <c r="CM96" i="37" s="1"/>
  <c r="CO93" i="37"/>
  <c r="CO81" i="37"/>
  <c r="CP80" i="37"/>
  <c r="CN94" i="37"/>
  <c r="CN82" i="37" a="1"/>
  <c r="CN82" i="37" s="1"/>
  <c r="CO94" i="37" l="1"/>
  <c r="CO82" i="37" a="1"/>
  <c r="CO82" i="37" s="1"/>
  <c r="CN95" i="37"/>
  <c r="CN83" i="37"/>
  <c r="CN96" i="37" s="1"/>
  <c r="CP93" i="37"/>
  <c r="CP81" i="37"/>
  <c r="CQ80" i="37"/>
  <c r="CP94" i="37" l="1"/>
  <c r="CP82" i="37" a="1"/>
  <c r="CP82" i="37" s="1"/>
  <c r="CQ81" i="37"/>
  <c r="CQ93" i="37"/>
  <c r="CR80" i="37"/>
  <c r="CO95" i="37"/>
  <c r="CO83" i="37"/>
  <c r="CO96" i="37" s="1"/>
  <c r="CR81" i="37" l="1"/>
  <c r="CR93" i="37"/>
  <c r="CS80" i="37"/>
  <c r="CQ94" i="37"/>
  <c r="CQ82" i="37" a="1"/>
  <c r="CQ82" i="37" s="1"/>
  <c r="CP83" i="37"/>
  <c r="CP96" i="37" s="1"/>
  <c r="CP95" i="37"/>
  <c r="CS81" i="37" l="1"/>
  <c r="CS93" i="37"/>
  <c r="CT80" i="37"/>
  <c r="CQ95" i="37"/>
  <c r="CQ83" i="37"/>
  <c r="CQ96" i="37" s="1"/>
  <c r="CR94" i="37"/>
  <c r="CR82" i="37" a="1"/>
  <c r="CR82" i="37" s="1"/>
  <c r="CR83" i="37" l="1"/>
  <c r="CR96" i="37" s="1"/>
  <c r="CR95" i="37"/>
  <c r="CT81" i="37"/>
  <c r="CT93" i="37"/>
  <c r="CU80" i="37"/>
  <c r="CS94" i="37"/>
  <c r="CS82" i="37" a="1"/>
  <c r="CS82" i="37" s="1"/>
  <c r="CS83" i="37" l="1"/>
  <c r="CS96" i="37" s="1"/>
  <c r="CS95" i="37"/>
  <c r="CU81" i="37"/>
  <c r="CU93" i="37"/>
  <c r="CV80" i="37"/>
  <c r="CT94" i="37"/>
  <c r="CT82" i="37" a="1"/>
  <c r="CT82" i="37" s="1"/>
  <c r="CT95" i="37" l="1"/>
  <c r="CT83" i="37"/>
  <c r="CT96" i="37" s="1"/>
  <c r="CV93" i="37"/>
  <c r="CV81" i="37"/>
  <c r="CW80" i="37"/>
  <c r="CU94" i="37"/>
  <c r="CU82" i="37" a="1"/>
  <c r="CU82" i="37" s="1"/>
  <c r="CV94" i="37" l="1"/>
  <c r="CV82" i="37" a="1"/>
  <c r="CV82" i="37" s="1"/>
  <c r="CU95" i="37"/>
  <c r="CU83" i="37"/>
  <c r="CU96" i="37" s="1"/>
  <c r="CW81" i="37"/>
  <c r="CW93" i="37"/>
  <c r="CX80" i="37"/>
  <c r="CX93" i="37" l="1"/>
  <c r="CX81" i="37"/>
  <c r="CY80" i="37"/>
  <c r="CV95" i="37"/>
  <c r="CV83" i="37"/>
  <c r="CV96" i="37" s="1"/>
  <c r="CW94" i="37"/>
  <c r="CW82" i="37" a="1"/>
  <c r="CW82" i="37" s="1"/>
  <c r="CW83" i="37" l="1"/>
  <c r="CW96" i="37" s="1"/>
  <c r="CW95" i="37"/>
  <c r="CX94" i="37"/>
  <c r="CX82" i="37" a="1"/>
  <c r="CX82" i="37" s="1"/>
  <c r="CY93" i="37"/>
  <c r="CY81" i="37"/>
  <c r="CZ80" i="37"/>
  <c r="CZ81" i="37" l="1"/>
  <c r="CZ93" i="37"/>
  <c r="DA80" i="37"/>
  <c r="CY94" i="37"/>
  <c r="CY82" i="37" a="1"/>
  <c r="CY82" i="37" s="1"/>
  <c r="CX83" i="37"/>
  <c r="CX96" i="37" s="1"/>
  <c r="CX95" i="37"/>
  <c r="CY95" i="37" l="1"/>
  <c r="CY83" i="37"/>
  <c r="CY96" i="37" s="1"/>
  <c r="DA81" i="37"/>
  <c r="DA93" i="37"/>
  <c r="DB80" i="37"/>
  <c r="CZ94" i="37"/>
  <c r="CZ82" i="37" a="1"/>
  <c r="CZ82" i="37" s="1"/>
  <c r="DB81" i="37" l="1"/>
  <c r="DB93" i="37"/>
  <c r="DC80" i="37"/>
  <c r="CZ83" i="37"/>
  <c r="CZ96" i="37" s="1"/>
  <c r="CZ95" i="37"/>
  <c r="DA94" i="37"/>
  <c r="DA82" i="37" a="1"/>
  <c r="DA82" i="37" s="1"/>
  <c r="DA95" i="37" l="1"/>
  <c r="DA83" i="37"/>
  <c r="DA96" i="37" s="1"/>
  <c r="DC81" i="37"/>
  <c r="DC93" i="37"/>
  <c r="DD80" i="37"/>
  <c r="DB94" i="37"/>
  <c r="DB82" i="37" a="1"/>
  <c r="DB82" i="37" s="1"/>
  <c r="DD93" i="37" l="1"/>
  <c r="DD81" i="37"/>
  <c r="DE80" i="37"/>
  <c r="DB95" i="37"/>
  <c r="DB83" i="37"/>
  <c r="DB96" i="37" s="1"/>
  <c r="DC94" i="37"/>
  <c r="DC82" i="37" a="1"/>
  <c r="DC82" i="37" s="1"/>
  <c r="DD94" i="37" l="1"/>
  <c r="DD82" i="37" a="1"/>
  <c r="DD82" i="37" s="1"/>
  <c r="DC95" i="37"/>
  <c r="DC83" i="37"/>
  <c r="DC96" i="37" s="1"/>
  <c r="DE93" i="37"/>
  <c r="DE81" i="37"/>
  <c r="DF80" i="37"/>
  <c r="DF93" i="37" l="1"/>
  <c r="DF81" i="37"/>
  <c r="DG80" i="37"/>
  <c r="DE94" i="37"/>
  <c r="DE82" i="37" a="1"/>
  <c r="DE82" i="37" s="1"/>
  <c r="DD83" i="37"/>
  <c r="DD96" i="37" s="1"/>
  <c r="DD95" i="37"/>
  <c r="DF94" i="37" l="1"/>
  <c r="DF82" i="37" a="1"/>
  <c r="DF82" i="37" s="1"/>
  <c r="DE95" i="37"/>
  <c r="DE83" i="37"/>
  <c r="DE96" i="37" s="1"/>
  <c r="DG81" i="37"/>
  <c r="DG93" i="37"/>
  <c r="DH80" i="37"/>
  <c r="DH81" i="37" l="1"/>
  <c r="DH93" i="37"/>
  <c r="DI80" i="37"/>
  <c r="DF83" i="37"/>
  <c r="DF96" i="37" s="1"/>
  <c r="DF95" i="37"/>
  <c r="DG94" i="37"/>
  <c r="DG82" i="37" a="1"/>
  <c r="DG82" i="37" s="1"/>
  <c r="DG95" i="37" l="1"/>
  <c r="DG83" i="37"/>
  <c r="DG96" i="37" s="1"/>
  <c r="DI93" i="37"/>
  <c r="DI81" i="37"/>
  <c r="DH94" i="37"/>
  <c r="DH82" i="37" a="1"/>
  <c r="DH82" i="37" s="1"/>
  <c r="DH83" i="37" l="1"/>
  <c r="DH96" i="37" s="1"/>
  <c r="DH95" i="37"/>
  <c r="DI94" i="37"/>
  <c r="DI82" i="37" a="1"/>
  <c r="DI82" i="37" s="1"/>
  <c r="DI95" i="37" l="1"/>
  <c r="DI83" i="37"/>
  <c r="DI96" i="37"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Mari Baklund Størseth</author>
    <author>Malene Nerland</author>
    <author>Mai Brit Svendsen</author>
    <author>tc={2EB38048-F937-468D-8792-66E4FB4956FF}</author>
    <author>tc={04F6CEE1-9E09-47FF-8B62-573C91A06E7C}</author>
    <author>tc={D1D545F1-B967-4D1C-89D9-4DC6FE579738}</author>
    <author>Øystein Rembar</author>
    <author>tc={7E46DF1C-86B4-401C-BC15-89B0F99211B4}</author>
    <author>tc={E24B8601-316E-4FD6-8609-D1571BE9615E}</author>
  </authors>
  <commentList>
    <comment ref="F10" authorId="0" shapeId="0" xr:uid="{E2D0A8BD-81F6-4765-9EC9-1FA6E60D94F8}">
      <text>
        <r>
          <rPr>
            <b/>
            <sz val="9"/>
            <color indexed="81"/>
            <rFont val="Tahoma"/>
            <family val="2"/>
          </rPr>
          <t>Mari Baklund Størseth:</t>
        </r>
        <r>
          <rPr>
            <sz val="9"/>
            <color indexed="81"/>
            <rFont val="Tahoma"/>
            <family val="2"/>
          </rPr>
          <t xml:space="preserve">
Samfunnskostnad inaktiv til delvis aktiv, sykkel</t>
        </r>
      </text>
    </comment>
    <comment ref="H10" authorId="0" shapeId="0" xr:uid="{59AEDD23-97AF-4233-9DA0-608863EE7020}">
      <text>
        <r>
          <rPr>
            <b/>
            <sz val="9"/>
            <color indexed="81"/>
            <rFont val="Tahoma"/>
            <family val="2"/>
          </rPr>
          <t>Mari Baklund Størseth:</t>
        </r>
        <r>
          <rPr>
            <sz val="9"/>
            <color indexed="81"/>
            <rFont val="Tahoma"/>
            <family val="2"/>
          </rPr>
          <t xml:space="preserve">
Samfunnskostnad delvis aktiv til aktiv, sykkel</t>
        </r>
      </text>
    </comment>
    <comment ref="J10" authorId="0" shapeId="0" xr:uid="{A97371BC-44C8-40AD-9478-ACB59B5CFCE7}">
      <text>
        <r>
          <rPr>
            <b/>
            <sz val="9"/>
            <color indexed="81"/>
            <rFont val="Tahoma"/>
            <family val="2"/>
          </rPr>
          <t>Mari Baklund Størseth:</t>
        </r>
        <r>
          <rPr>
            <sz val="9"/>
            <color indexed="81"/>
            <rFont val="Tahoma"/>
            <family val="2"/>
          </rPr>
          <t xml:space="preserve">
Samfunnskostnad inaktiv til delvis aktiv, gange</t>
        </r>
      </text>
    </comment>
    <comment ref="L10" authorId="0" shapeId="0" xr:uid="{A15D26B5-EE37-43D4-B82E-243801BE3E6C}">
      <text>
        <r>
          <rPr>
            <b/>
            <sz val="9"/>
            <color indexed="81"/>
            <rFont val="Tahoma"/>
            <family val="2"/>
          </rPr>
          <t>Mari Baklund Størseth:</t>
        </r>
        <r>
          <rPr>
            <sz val="9"/>
            <color indexed="81"/>
            <rFont val="Tahoma"/>
            <family val="2"/>
          </rPr>
          <t xml:space="preserve">
Samfunnskostnad delvis aktiv til aktiv, gange</t>
        </r>
      </text>
    </comment>
    <comment ref="N10" authorId="0" shapeId="0" xr:uid="{52311D7E-F5F1-4624-AC0A-55712E4848C9}">
      <text>
        <r>
          <rPr>
            <b/>
            <sz val="9"/>
            <color indexed="81"/>
            <rFont val="Tahoma"/>
            <family val="2"/>
          </rPr>
          <t>Mari Baklund Størseth:</t>
        </r>
        <r>
          <rPr>
            <sz val="9"/>
            <color indexed="81"/>
            <rFont val="Tahoma"/>
            <family val="2"/>
          </rPr>
          <t xml:space="preserve">
Andel inaktive fra før</t>
        </r>
      </text>
    </comment>
    <comment ref="P10" authorId="0" shapeId="0" xr:uid="{84683F51-5B74-49A6-804E-D32F32478B0F}">
      <text>
        <r>
          <rPr>
            <b/>
            <sz val="9"/>
            <color indexed="81"/>
            <rFont val="Tahoma"/>
            <family val="2"/>
          </rPr>
          <t>Mari Baklund Størseth:</t>
        </r>
        <r>
          <rPr>
            <sz val="9"/>
            <color indexed="81"/>
            <rFont val="Tahoma"/>
            <family val="2"/>
          </rPr>
          <t xml:space="preserve">
Andel delvis aktive fra før</t>
        </r>
      </text>
    </comment>
    <comment ref="L12" authorId="1" shapeId="0" xr:uid="{00000000-0006-0000-0500-00000B000000}">
      <text>
        <r>
          <rPr>
            <b/>
            <sz val="9"/>
            <color indexed="81"/>
            <rFont val="Tahoma"/>
            <family val="2"/>
          </rPr>
          <t>Malene Nerland:</t>
        </r>
        <r>
          <rPr>
            <sz val="9"/>
            <color indexed="81"/>
            <rFont val="Tahoma"/>
            <family val="2"/>
          </rPr>
          <t xml:space="preserve">
Nox-utslipp per liter diesel.</t>
        </r>
      </text>
    </comment>
    <comment ref="P12" authorId="1" shapeId="0" xr:uid="{00000000-0006-0000-0500-00000C000000}">
      <text>
        <r>
          <rPr>
            <b/>
            <sz val="9"/>
            <color indexed="81"/>
            <rFont val="Tahoma"/>
            <family val="2"/>
          </rPr>
          <t>Malene Nerland:</t>
        </r>
        <r>
          <rPr>
            <sz val="9"/>
            <color indexed="81"/>
            <rFont val="Tahoma"/>
            <family val="2"/>
          </rPr>
          <t xml:space="preserve">
Nox-avgift per liter.</t>
        </r>
      </text>
    </comment>
    <comment ref="L14" authorId="1" shapeId="0" xr:uid="{00000000-0006-0000-0500-00000F000000}">
      <text>
        <r>
          <rPr>
            <b/>
            <sz val="9"/>
            <color indexed="81"/>
            <rFont val="Tahoma"/>
            <family val="2"/>
          </rPr>
          <t>Malene Nerland:</t>
        </r>
        <r>
          <rPr>
            <sz val="9"/>
            <color indexed="81"/>
            <rFont val="Tahoma"/>
            <family val="2"/>
          </rPr>
          <t xml:space="preserve">
Nox-utslipp per liter diesel.</t>
        </r>
      </text>
    </comment>
    <comment ref="P14" authorId="1" shapeId="0" xr:uid="{00000000-0006-0000-0500-000010000000}">
      <text>
        <r>
          <rPr>
            <b/>
            <sz val="9"/>
            <color indexed="81"/>
            <rFont val="Tahoma"/>
            <family val="2"/>
          </rPr>
          <t>Malene Nerland:</t>
        </r>
        <r>
          <rPr>
            <sz val="9"/>
            <color indexed="81"/>
            <rFont val="Tahoma"/>
            <family val="2"/>
          </rPr>
          <t xml:space="preserve">
Nox-avgift per liter.</t>
        </r>
      </text>
    </comment>
    <comment ref="V14" authorId="1" shapeId="0" xr:uid="{00000000-0006-0000-0500-000012000000}">
      <text>
        <r>
          <rPr>
            <b/>
            <sz val="9"/>
            <color indexed="81"/>
            <rFont val="Tahoma"/>
            <family val="2"/>
          </rPr>
          <t>Malene Nerland:</t>
        </r>
        <r>
          <rPr>
            <sz val="9"/>
            <color indexed="81"/>
            <rFont val="Tahoma"/>
            <family val="2"/>
          </rPr>
          <t xml:space="preserve">
kjørevegsavgift basert på en avgift per bruttotonnkm*vekten til et godstog*75%avslag.</t>
        </r>
      </text>
    </comment>
    <comment ref="L19" authorId="1" shapeId="0" xr:uid="{00000000-0006-0000-0500-000013000000}">
      <text>
        <r>
          <rPr>
            <b/>
            <sz val="9"/>
            <color indexed="81"/>
            <rFont val="Tahoma"/>
            <family val="2"/>
          </rPr>
          <t>Malene Nerland:</t>
        </r>
        <r>
          <rPr>
            <sz val="9"/>
            <color indexed="81"/>
            <rFont val="Tahoma"/>
            <family val="2"/>
          </rPr>
          <t xml:space="preserve">
Nox-avgift kr/km</t>
        </r>
      </text>
    </comment>
    <comment ref="C25" authorId="0" shapeId="0" xr:uid="{89725D0F-B307-4F13-A291-6A57EEAC44F0}">
      <text>
        <r>
          <rPr>
            <b/>
            <sz val="9"/>
            <color indexed="81"/>
            <rFont val="Tahoma"/>
            <family val="2"/>
          </rPr>
          <t>Mari Baklund Størseth:</t>
        </r>
        <r>
          <rPr>
            <sz val="9"/>
            <color indexed="81"/>
            <rFont val="Tahoma"/>
            <family val="2"/>
          </rPr>
          <t xml:space="preserve">
Person og gods Øvrige strekninger</t>
        </r>
      </text>
    </comment>
    <comment ref="F26" authorId="2" shapeId="0" xr:uid="{D8B17D68-FF55-4FF6-97E5-3DD0887CF725}">
      <text>
        <r>
          <rPr>
            <b/>
            <sz val="9"/>
            <color indexed="81"/>
            <rFont val="Tahoma"/>
            <family val="2"/>
          </rPr>
          <t>Mai Brit Svendsen:</t>
        </r>
        <r>
          <rPr>
            <sz val="9"/>
            <color indexed="81"/>
            <rFont val="Tahoma"/>
            <family val="2"/>
          </rPr>
          <t xml:space="preserve">
Rabatt sporavgift godstog.</t>
        </r>
      </text>
    </comment>
    <comment ref="F28" authorId="1" shapeId="0" xr:uid="{00000000-0006-0000-0500-000014000000}">
      <text>
        <r>
          <rPr>
            <b/>
            <sz val="9"/>
            <color indexed="81"/>
            <rFont val="Tahoma"/>
            <family val="2"/>
          </rPr>
          <t>Malene Nerland:</t>
        </r>
        <r>
          <rPr>
            <sz val="9"/>
            <color indexed="81"/>
            <rFont val="Tahoma"/>
            <family val="2"/>
          </rPr>
          <t xml:space="preserve">
Estimat for slitasjekostnad per bruttotonnkm . Bane NOR (2017) - Infrastrukturavgifter, Implementeringsplan. s. 58.</t>
        </r>
      </text>
    </comment>
    <comment ref="B31" authorId="2" shapeId="0" xr:uid="{6DBE64EB-249C-4B59-BCD3-9918C4AF9846}">
      <text>
        <r>
          <rPr>
            <b/>
            <sz val="9"/>
            <color indexed="81"/>
            <rFont val="Tahoma"/>
            <family val="2"/>
          </rPr>
          <t>Mai Brit Svendsen:</t>
        </r>
        <r>
          <rPr>
            <sz val="9"/>
            <color indexed="81"/>
            <rFont val="Tahoma"/>
            <family val="2"/>
          </rPr>
          <t xml:space="preserve">
Som en forenkling benyttes et uvektet snitt for satsene i vektklassene &gt;7,5 - 50 tonn.</t>
        </r>
      </text>
    </comment>
    <comment ref="F34" authorId="1" shapeId="0" xr:uid="{00000000-0006-0000-0500-000016000000}">
      <text>
        <r>
          <rPr>
            <b/>
            <sz val="9"/>
            <color indexed="81"/>
            <rFont val="Tahoma"/>
            <family val="2"/>
          </rPr>
          <t>Malene Nerland:</t>
        </r>
        <r>
          <rPr>
            <sz val="9"/>
            <color indexed="81"/>
            <rFont val="Tahoma"/>
            <family val="2"/>
          </rPr>
          <t xml:space="preserve">
Gjennomsnittlig brutto årslønn. Gjelder for både lokomotiv og t-banefører. Hentet fra utdanning.no den 19.10.2017 - baserer seg på lønnstabellene fra 2016.</t>
        </r>
      </text>
    </comment>
    <comment ref="H34" authorId="1" shapeId="0" xr:uid="{00000000-0006-0000-0500-000017000000}">
      <text>
        <r>
          <rPr>
            <b/>
            <sz val="9"/>
            <color indexed="81"/>
            <rFont val="Tahoma"/>
            <family val="2"/>
          </rPr>
          <t>Malene Nerland:</t>
        </r>
        <r>
          <rPr>
            <sz val="9"/>
            <color indexed="81"/>
            <rFont val="Tahoma"/>
            <family val="2"/>
          </rPr>
          <t xml:space="preserve">
Arbeidsgiveravgift.</t>
        </r>
      </text>
    </comment>
    <comment ref="J34" authorId="1" shapeId="0" xr:uid="{00000000-0006-0000-0500-000018000000}">
      <text>
        <r>
          <rPr>
            <b/>
            <sz val="9"/>
            <color indexed="81"/>
            <rFont val="Tahoma"/>
            <family val="2"/>
          </rPr>
          <t>Malene Nerland:</t>
        </r>
        <r>
          <rPr>
            <sz val="9"/>
            <color indexed="81"/>
            <rFont val="Tahoma"/>
            <family val="2"/>
          </rPr>
          <t xml:space="preserve">
Sosiale kostnader</t>
        </r>
      </text>
    </comment>
    <comment ref="L34" authorId="1" shapeId="0" xr:uid="{00000000-0006-0000-0500-000019000000}">
      <text>
        <r>
          <rPr>
            <b/>
            <sz val="9"/>
            <color indexed="81"/>
            <rFont val="Tahoma"/>
            <family val="2"/>
          </rPr>
          <t>Malene Nerland:</t>
        </r>
        <r>
          <rPr>
            <sz val="9"/>
            <color indexed="81"/>
            <rFont val="Tahoma"/>
            <family val="2"/>
          </rPr>
          <t xml:space="preserve">
Dødtid</t>
        </r>
      </text>
    </comment>
    <comment ref="N34" authorId="1" shapeId="0" xr:uid="{00000000-0006-0000-0500-00001A000000}">
      <text>
        <r>
          <rPr>
            <b/>
            <sz val="9"/>
            <color indexed="81"/>
            <rFont val="Tahoma"/>
            <family val="2"/>
          </rPr>
          <t>Malene Nerland:</t>
        </r>
        <r>
          <rPr>
            <sz val="9"/>
            <color indexed="81"/>
            <rFont val="Tahoma"/>
            <family val="2"/>
          </rPr>
          <t xml:space="preserve">
Arbeidstimer i året.</t>
        </r>
      </text>
    </comment>
    <comment ref="F35" authorId="1" shapeId="0" xr:uid="{00000000-0006-0000-0500-00001B000000}">
      <text>
        <r>
          <rPr>
            <b/>
            <sz val="9"/>
            <color indexed="81"/>
            <rFont val="Tahoma"/>
            <family val="2"/>
          </rPr>
          <t>Malene Nerland:</t>
        </r>
        <r>
          <rPr>
            <sz val="9"/>
            <color indexed="81"/>
            <rFont val="Tahoma"/>
            <family val="2"/>
          </rPr>
          <t xml:space="preserve">
Gjennomsnittlig brutto årslønn. Hentet fra utdanning.no den 19.10.2017 - baserer seg på lønnstabellene fra 2016.</t>
        </r>
      </text>
    </comment>
    <comment ref="H35" authorId="1" shapeId="0" xr:uid="{00000000-0006-0000-0500-00001C000000}">
      <text>
        <r>
          <rPr>
            <b/>
            <sz val="9"/>
            <color indexed="81"/>
            <rFont val="Tahoma"/>
            <family val="2"/>
          </rPr>
          <t>Malene Nerland:</t>
        </r>
        <r>
          <rPr>
            <sz val="9"/>
            <color indexed="81"/>
            <rFont val="Tahoma"/>
            <family val="2"/>
          </rPr>
          <t xml:space="preserve">
Arbeidsgiveravgift.</t>
        </r>
      </text>
    </comment>
    <comment ref="J35" authorId="1" shapeId="0" xr:uid="{00000000-0006-0000-0500-00001D000000}">
      <text>
        <r>
          <rPr>
            <b/>
            <sz val="9"/>
            <color indexed="81"/>
            <rFont val="Tahoma"/>
            <family val="2"/>
          </rPr>
          <t>Malene Nerland:</t>
        </r>
        <r>
          <rPr>
            <sz val="9"/>
            <color indexed="81"/>
            <rFont val="Tahoma"/>
            <family val="2"/>
          </rPr>
          <t xml:space="preserve">
Sosiale kostnader</t>
        </r>
      </text>
    </comment>
    <comment ref="L35" authorId="1" shapeId="0" xr:uid="{00000000-0006-0000-0500-00001E000000}">
      <text>
        <r>
          <rPr>
            <b/>
            <sz val="9"/>
            <color indexed="81"/>
            <rFont val="Tahoma"/>
            <family val="2"/>
          </rPr>
          <t>Malene Nerland:</t>
        </r>
        <r>
          <rPr>
            <sz val="9"/>
            <color indexed="81"/>
            <rFont val="Tahoma"/>
            <family val="2"/>
          </rPr>
          <t xml:space="preserve">
Dødtid</t>
        </r>
      </text>
    </comment>
    <comment ref="N35" authorId="1" shapeId="0" xr:uid="{00000000-0006-0000-0500-00001F000000}">
      <text>
        <r>
          <rPr>
            <b/>
            <sz val="9"/>
            <color indexed="81"/>
            <rFont val="Tahoma"/>
            <family val="2"/>
          </rPr>
          <t>Malene Nerland:</t>
        </r>
        <r>
          <rPr>
            <sz val="9"/>
            <color indexed="81"/>
            <rFont val="Tahoma"/>
            <family val="2"/>
          </rPr>
          <t xml:space="preserve">
Arbeidstimer i året.</t>
        </r>
      </text>
    </comment>
    <comment ref="F80" authorId="0" shapeId="0" xr:uid="{05284416-77F2-4E78-92B5-4D09FFAFC8A4}">
      <text>
        <r>
          <rPr>
            <b/>
            <sz val="9"/>
            <color indexed="81"/>
            <rFont val="Tahoma"/>
            <family val="2"/>
          </rPr>
          <t>Mari Baklund Størseth:</t>
        </r>
        <r>
          <rPr>
            <sz val="9"/>
            <color indexed="81"/>
            <rFont val="Tahoma"/>
            <family val="2"/>
          </rPr>
          <t xml:space="preserve">
B2030 i NVEs langsiktige kraftmarkedsundersøkelse 2025</t>
        </r>
      </text>
    </comment>
    <comment ref="H80" authorId="1" shapeId="0" xr:uid="{00000000-0006-0000-0500-000021000000}">
      <text>
        <r>
          <rPr>
            <b/>
            <sz val="9"/>
            <color indexed="81"/>
            <rFont val="Tahoma"/>
            <family val="2"/>
          </rPr>
          <t>Malene Nerland:</t>
        </r>
        <r>
          <rPr>
            <sz val="9"/>
            <color indexed="81"/>
            <rFont val="Tahoma"/>
            <family val="2"/>
          </rPr>
          <t xml:space="preserve">
Avtgiftene Bane NOR inkluderer er nettleie eksternt nett, administrasjonskostnader for nett og administrasjonskostnad for krafthandel .
</t>
        </r>
      </text>
    </comment>
    <comment ref="J84" authorId="3" shapeId="0" xr:uid="{2EB38048-F937-468D-8792-66E4FB4956FF}">
      <text>
        <t>[Kommentartråd]
Din versjon av Excel lar deg lese denne kommentartråden. Eventuelle endringer i den vil imidlertid bli fjernet hvis filen åpnes i en nyere versjon av Excel. Finn ut mer: https://go.microsoft.com/fwlink/?linkid=870924
Kommentar:
    Inkl. 50 % ”Annet tog”</t>
      </text>
    </comment>
    <comment ref="J85" authorId="4" shapeId="0" xr:uid="{04F6CEE1-9E09-47FF-8B62-573C91A06E7C}">
      <text>
        <t>[Kommentartråd]
Din versjon av Excel lar deg lese denne kommentartråden. Eventuelle endringer i den vil imidlertid bli fjernet hvis filen åpnes i en nyere versjon av Excel. Finn ut mer: https://go.microsoft.com/fwlink/?linkid=870924
Kommentar:
    Inkl. 50 % ”Annet tog”</t>
      </text>
    </comment>
    <comment ref="J86" authorId="5" shapeId="0" xr:uid="{D1D545F1-B967-4D1C-89D9-4DC6FE579738}">
      <text>
        <t>[Kommentartråd]
Din versjon av Excel lar deg lese denne kommentartråden. Eventuelle endringer i den vil imidlertid bli fjernet hvis filen åpnes i en nyere versjon av Excel. Finn ut mer: https://go.microsoft.com/fwlink/?linkid=870924
Kommentar:
    Inkl. 50 % ”Annet tog”.</t>
      </text>
    </comment>
    <comment ref="B100" authorId="2" shapeId="0" xr:uid="{19924805-04E1-4E34-9F86-4D088CAC3941}">
      <text>
        <r>
          <rPr>
            <b/>
            <sz val="9"/>
            <color indexed="81"/>
            <rFont val="Tahoma"/>
            <family val="2"/>
          </rPr>
          <t>Mai Brit Svendsen:</t>
        </r>
        <r>
          <rPr>
            <sz val="9"/>
            <color indexed="81"/>
            <rFont val="Tahoma"/>
            <family val="2"/>
          </rPr>
          <t xml:space="preserve">
Som en forenkling benyttes et uvektet snitt for satsene i vektklassene &gt;7,5 - 50 tonn.</t>
        </r>
      </text>
    </comment>
    <comment ref="F109" authorId="1" shapeId="0" xr:uid="{00000000-0006-0000-0500-000022000000}">
      <text>
        <r>
          <rPr>
            <b/>
            <sz val="9"/>
            <color indexed="81"/>
            <rFont val="Tahoma"/>
            <family val="2"/>
          </rPr>
          <t>Malene Nerland:</t>
        </r>
        <r>
          <rPr>
            <sz val="9"/>
            <color indexed="81"/>
            <rFont val="Tahoma"/>
            <family val="2"/>
          </rPr>
          <t xml:space="preserve">
Bensindrevne personbiler.</t>
        </r>
      </text>
    </comment>
    <comment ref="H109" authorId="1" shapeId="0" xr:uid="{00000000-0006-0000-0500-000023000000}">
      <text>
        <r>
          <rPr>
            <b/>
            <sz val="9"/>
            <color indexed="81"/>
            <rFont val="Tahoma"/>
            <family val="2"/>
          </rPr>
          <t>Malene Nerland:</t>
        </r>
        <r>
          <rPr>
            <sz val="9"/>
            <color indexed="81"/>
            <rFont val="Tahoma"/>
            <family val="2"/>
          </rPr>
          <t xml:space="preserve">
Dieseldrevne personbiler.</t>
        </r>
      </text>
    </comment>
    <comment ref="F110" authorId="1" shapeId="0" xr:uid="{00000000-0006-0000-0500-000024000000}">
      <text>
        <r>
          <rPr>
            <b/>
            <sz val="9"/>
            <color indexed="81"/>
            <rFont val="Tahoma"/>
            <family val="2"/>
          </rPr>
          <t>Malene Nerland:</t>
        </r>
        <r>
          <rPr>
            <sz val="9"/>
            <color indexed="81"/>
            <rFont val="Tahoma"/>
            <family val="2"/>
          </rPr>
          <t xml:space="preserve">
Bensindrevne personbiler.</t>
        </r>
      </text>
    </comment>
    <comment ref="H110" authorId="1" shapeId="0" xr:uid="{00000000-0006-0000-0500-000025000000}">
      <text>
        <r>
          <rPr>
            <b/>
            <sz val="9"/>
            <color indexed="81"/>
            <rFont val="Tahoma"/>
            <family val="2"/>
          </rPr>
          <t>Malene Nerland:</t>
        </r>
        <r>
          <rPr>
            <sz val="9"/>
            <color indexed="81"/>
            <rFont val="Tahoma"/>
            <family val="2"/>
          </rPr>
          <t xml:space="preserve">
Dieseldrevne personbiler.</t>
        </r>
      </text>
    </comment>
    <comment ref="F111" authorId="1" shapeId="0" xr:uid="{B7D47F26-6103-4A59-9BC6-2703B06F834B}">
      <text>
        <r>
          <rPr>
            <b/>
            <sz val="9"/>
            <color indexed="81"/>
            <rFont val="Tahoma"/>
            <family val="2"/>
          </rPr>
          <t>Malene Nerland:</t>
        </r>
        <r>
          <rPr>
            <sz val="9"/>
            <color indexed="81"/>
            <rFont val="Tahoma"/>
            <family val="2"/>
          </rPr>
          <t xml:space="preserve">
Bensindrevne personbiler.</t>
        </r>
      </text>
    </comment>
    <comment ref="H111" authorId="1" shapeId="0" xr:uid="{63399BA5-B40B-474E-8872-F06C05CA6FEF}">
      <text>
        <r>
          <rPr>
            <b/>
            <sz val="9"/>
            <color indexed="81"/>
            <rFont val="Tahoma"/>
            <family val="2"/>
          </rPr>
          <t>Malene Nerland:</t>
        </r>
        <r>
          <rPr>
            <sz val="9"/>
            <color indexed="81"/>
            <rFont val="Tahoma"/>
            <family val="2"/>
          </rPr>
          <t xml:space="preserve">
Dieseldrevne personbiler.</t>
        </r>
      </text>
    </comment>
    <comment ref="F112" authorId="2" shapeId="0" xr:uid="{830B3A0B-9ED7-4F4D-8F33-899E7858091C}">
      <text>
        <r>
          <rPr>
            <b/>
            <sz val="9"/>
            <color indexed="81"/>
            <rFont val="Tahoma"/>
            <family val="2"/>
          </rPr>
          <t>Mai Brit Svendsen:</t>
        </r>
        <r>
          <rPr>
            <sz val="9"/>
            <color indexed="81"/>
            <rFont val="Tahoma"/>
            <family val="2"/>
          </rPr>
          <t xml:space="preserve">
7,5-14t</t>
        </r>
      </text>
    </comment>
    <comment ref="H112" authorId="2" shapeId="0" xr:uid="{420A86C4-6206-4F31-A9C1-13D993251044}">
      <text>
        <r>
          <rPr>
            <b/>
            <sz val="9"/>
            <color indexed="81"/>
            <rFont val="Tahoma"/>
            <family val="2"/>
          </rPr>
          <t>Mai Brit Svendsen:</t>
        </r>
        <r>
          <rPr>
            <sz val="9"/>
            <color indexed="81"/>
            <rFont val="Tahoma"/>
            <family val="2"/>
          </rPr>
          <t xml:space="preserve">
14-20t
</t>
        </r>
      </text>
    </comment>
    <comment ref="J112" authorId="1" shapeId="0" xr:uid="{5ADA3884-8D2D-498E-9509-53897F7DD6E9}">
      <text>
        <r>
          <rPr>
            <b/>
            <sz val="9"/>
            <color indexed="81"/>
            <rFont val="Tahoma"/>
            <family val="2"/>
          </rPr>
          <t>Malene Nerland:</t>
        </r>
        <r>
          <rPr>
            <sz val="9"/>
            <color indexed="81"/>
            <rFont val="Tahoma"/>
            <family val="2"/>
          </rPr>
          <t xml:space="preserve">
20-28t
</t>
        </r>
      </text>
    </comment>
    <comment ref="L112" authorId="1" shapeId="0" xr:uid="{BDBB737E-59E1-4B32-A099-A0335E5700CD}">
      <text>
        <r>
          <rPr>
            <b/>
            <sz val="9"/>
            <color indexed="81"/>
            <rFont val="Tahoma"/>
            <family val="2"/>
          </rPr>
          <t>Malene Nerland:</t>
        </r>
        <r>
          <rPr>
            <sz val="9"/>
            <color indexed="81"/>
            <rFont val="Tahoma"/>
            <family val="2"/>
          </rPr>
          <t xml:space="preserve">
28-40t</t>
        </r>
      </text>
    </comment>
    <comment ref="N112" authorId="1" shapeId="0" xr:uid="{90B74DD8-9E9B-47F0-8E94-AA2588F073B3}">
      <text>
        <r>
          <rPr>
            <b/>
            <sz val="9"/>
            <color indexed="81"/>
            <rFont val="Tahoma"/>
            <family val="2"/>
          </rPr>
          <t>Malene Nerland:</t>
        </r>
        <r>
          <rPr>
            <sz val="9"/>
            <color indexed="81"/>
            <rFont val="Tahoma"/>
            <family val="2"/>
          </rPr>
          <t xml:space="preserve">
40-50t</t>
        </r>
      </text>
    </comment>
    <comment ref="F115" authorId="2" shapeId="0" xr:uid="{8180278E-57FE-4E8F-8D15-3081EF868D8D}">
      <text>
        <r>
          <rPr>
            <b/>
            <sz val="9"/>
            <color indexed="81"/>
            <rFont val="Tahoma"/>
            <family val="2"/>
          </rPr>
          <t>Mai Brit Svendsen:</t>
        </r>
        <r>
          <rPr>
            <sz val="9"/>
            <color indexed="81"/>
            <rFont val="Tahoma"/>
            <family val="2"/>
          </rPr>
          <t xml:space="preserve">
Container Lo/Lo &lt;9000 dwt</t>
        </r>
      </text>
    </comment>
    <comment ref="H115" authorId="2" shapeId="0" xr:uid="{3F744A6F-0534-463D-ABA5-5878404A77DE}">
      <text>
        <r>
          <rPr>
            <b/>
            <sz val="9"/>
            <color indexed="81"/>
            <rFont val="Tahoma"/>
            <family val="2"/>
          </rPr>
          <t>Mai Brit Svendsen:</t>
        </r>
        <r>
          <rPr>
            <sz val="9"/>
            <color indexed="81"/>
            <rFont val="Tahoma"/>
            <family val="2"/>
          </rPr>
          <t xml:space="preserve">
Container Lo/Lo 9000-11000 dwt</t>
        </r>
      </text>
    </comment>
    <comment ref="J115" authorId="2" shapeId="0" xr:uid="{042BF2E8-3044-4982-A04B-A48F3A676016}">
      <text>
        <r>
          <rPr>
            <b/>
            <sz val="9"/>
            <color indexed="81"/>
            <rFont val="Tahoma"/>
            <family val="2"/>
          </rPr>
          <t>Mai Brit Svendsen:</t>
        </r>
        <r>
          <rPr>
            <sz val="9"/>
            <color indexed="81"/>
            <rFont val="Tahoma"/>
            <family val="2"/>
          </rPr>
          <t xml:space="preserve">
Container Lo/Lo 11000-15000 dwt</t>
        </r>
      </text>
    </comment>
    <comment ref="L115" authorId="2" shapeId="0" xr:uid="{9C7F0D93-490E-49E0-BC70-9B5B2DE3C5A6}">
      <text>
        <r>
          <rPr>
            <b/>
            <sz val="9"/>
            <color indexed="81"/>
            <rFont val="Tahoma"/>
            <family val="2"/>
          </rPr>
          <t>Mai Brit Svendsen:</t>
        </r>
        <r>
          <rPr>
            <sz val="9"/>
            <color indexed="81"/>
            <rFont val="Tahoma"/>
            <family val="2"/>
          </rPr>
          <t xml:space="preserve">
Ro-Ro cargo &lt;9000 dwt</t>
        </r>
      </text>
    </comment>
    <comment ref="N115" authorId="2" shapeId="0" xr:uid="{6E219E5A-1B32-4E4D-85F5-E45972DDCB67}">
      <text>
        <r>
          <rPr>
            <b/>
            <sz val="9"/>
            <color indexed="81"/>
            <rFont val="Tahoma"/>
            <family val="2"/>
          </rPr>
          <t>Mai Brit Svendsen:</t>
        </r>
        <r>
          <rPr>
            <sz val="9"/>
            <color indexed="81"/>
            <rFont val="Tahoma"/>
            <family val="2"/>
          </rPr>
          <t xml:space="preserve">
Ro-Ro cargo 9000-11000 dwt</t>
        </r>
      </text>
    </comment>
    <comment ref="P115" authorId="2" shapeId="0" xr:uid="{40D3B95C-B3AA-4218-9D50-3904781794C0}">
      <text>
        <r>
          <rPr>
            <b/>
            <sz val="9"/>
            <color indexed="81"/>
            <rFont val="Tahoma"/>
            <family val="2"/>
          </rPr>
          <t>Mai Brit Svendsen:</t>
        </r>
        <r>
          <rPr>
            <sz val="9"/>
            <color indexed="81"/>
            <rFont val="Tahoma"/>
            <family val="2"/>
          </rPr>
          <t xml:space="preserve">
Ro-Ro cargo 11000-15000 dwt</t>
        </r>
      </text>
    </comment>
    <comment ref="F135" authorId="6" shapeId="0" xr:uid="{DCB26436-3223-40AA-B36A-EADD3FA21EE2}">
      <text>
        <r>
          <rPr>
            <b/>
            <sz val="9"/>
            <color indexed="81"/>
            <rFont val="Tahoma"/>
            <family val="2"/>
          </rPr>
          <t>Øystein Rembar:</t>
        </r>
        <r>
          <rPr>
            <sz val="9"/>
            <color indexed="81"/>
            <rFont val="Tahoma"/>
            <family val="2"/>
          </rPr>
          <t xml:space="preserve">
Selskapsskattesats</t>
        </r>
      </text>
    </comment>
    <comment ref="H135" authorId="1" shapeId="0" xr:uid="{00000000-0006-0000-0500-000027000000}">
      <text>
        <r>
          <rPr>
            <b/>
            <sz val="9"/>
            <color indexed="81"/>
            <rFont val="Tahoma"/>
            <family val="2"/>
          </rPr>
          <t>Malene Nerland:</t>
        </r>
        <r>
          <rPr>
            <sz val="9"/>
            <color indexed="81"/>
            <rFont val="Tahoma"/>
            <family val="2"/>
          </rPr>
          <t xml:space="preserve">
Faktor for størrelsen på utbyttet</t>
        </r>
      </text>
    </comment>
    <comment ref="J135" authorId="6" shapeId="0" xr:uid="{6A3CC32A-EB70-4852-A73F-4D5ACB8F5210}">
      <text>
        <r>
          <rPr>
            <b/>
            <sz val="9"/>
            <color indexed="81"/>
            <rFont val="Tahoma"/>
            <family val="2"/>
          </rPr>
          <t>Øystein Rembar:</t>
        </r>
        <r>
          <rPr>
            <sz val="9"/>
            <color indexed="81"/>
            <rFont val="Tahoma"/>
            <family val="2"/>
          </rPr>
          <t xml:space="preserve">
Oppjusteringsfaktor for utbytte</t>
        </r>
      </text>
    </comment>
    <comment ref="L135" authorId="1" shapeId="0" xr:uid="{00000000-0006-0000-0500-000028000000}">
      <text>
        <r>
          <rPr>
            <b/>
            <sz val="9"/>
            <color indexed="81"/>
            <rFont val="Tahoma"/>
            <family val="2"/>
          </rPr>
          <t>Malene Nerland:</t>
        </r>
        <r>
          <rPr>
            <sz val="9"/>
            <color indexed="81"/>
            <rFont val="Tahoma"/>
            <family val="2"/>
          </rPr>
          <t xml:space="preserve">
Skatt på utbytte.</t>
        </r>
      </text>
    </comment>
    <comment ref="F137" authorId="1" shapeId="0" xr:uid="{00000000-0006-0000-0500-000029000000}">
      <text>
        <r>
          <rPr>
            <b/>
            <sz val="9"/>
            <color indexed="81"/>
            <rFont val="Tahoma"/>
            <family val="2"/>
          </rPr>
          <t>Malene Nerland:</t>
        </r>
        <r>
          <rPr>
            <sz val="9"/>
            <color indexed="81"/>
            <rFont val="Tahoma"/>
            <family val="2"/>
          </rPr>
          <t xml:space="preserve">
0-4,9 km</t>
        </r>
      </text>
    </comment>
    <comment ref="H137" authorId="1" shapeId="0" xr:uid="{00000000-0006-0000-0500-00002A000000}">
      <text>
        <r>
          <rPr>
            <b/>
            <sz val="9"/>
            <color indexed="81"/>
            <rFont val="Tahoma"/>
            <family val="2"/>
          </rPr>
          <t>Malene Nerland:</t>
        </r>
        <r>
          <rPr>
            <sz val="9"/>
            <color indexed="81"/>
            <rFont val="Tahoma"/>
            <family val="2"/>
          </rPr>
          <t xml:space="preserve">
5-9,9 km</t>
        </r>
      </text>
    </comment>
    <comment ref="J137" authorId="1" shapeId="0" xr:uid="{00000000-0006-0000-0500-00002B000000}">
      <text>
        <r>
          <rPr>
            <b/>
            <sz val="9"/>
            <color indexed="81"/>
            <rFont val="Tahoma"/>
            <family val="2"/>
          </rPr>
          <t>Malene Nerland:</t>
        </r>
        <r>
          <rPr>
            <sz val="9"/>
            <color indexed="81"/>
            <rFont val="Tahoma"/>
            <family val="2"/>
          </rPr>
          <t xml:space="preserve">
10-19,9 km</t>
        </r>
      </text>
    </comment>
    <comment ref="L137" authorId="1" shapeId="0" xr:uid="{00000000-0006-0000-0500-00002C000000}">
      <text>
        <r>
          <rPr>
            <b/>
            <sz val="9"/>
            <color indexed="81"/>
            <rFont val="Tahoma"/>
            <family val="2"/>
          </rPr>
          <t>Malene Nerland:</t>
        </r>
        <r>
          <rPr>
            <sz val="9"/>
            <color indexed="81"/>
            <rFont val="Tahoma"/>
            <family val="2"/>
          </rPr>
          <t xml:space="preserve">
20-29,9 km</t>
        </r>
      </text>
    </comment>
    <comment ref="N137" authorId="1" shapeId="0" xr:uid="{00000000-0006-0000-0500-00002D000000}">
      <text>
        <r>
          <rPr>
            <b/>
            <sz val="9"/>
            <color indexed="81"/>
            <rFont val="Tahoma"/>
            <family val="2"/>
          </rPr>
          <t>Malene Nerland:</t>
        </r>
        <r>
          <rPr>
            <sz val="9"/>
            <color indexed="81"/>
            <rFont val="Tahoma"/>
            <family val="2"/>
          </rPr>
          <t xml:space="preserve">
30-49,9 km</t>
        </r>
      </text>
    </comment>
    <comment ref="F138" authorId="1" shapeId="0" xr:uid="{00000000-0006-0000-0500-00002E000000}">
      <text>
        <r>
          <rPr>
            <b/>
            <sz val="9"/>
            <color indexed="81"/>
            <rFont val="Tahoma"/>
            <family val="2"/>
          </rPr>
          <t>Malene Nerland:</t>
        </r>
        <r>
          <rPr>
            <sz val="9"/>
            <color indexed="81"/>
            <rFont val="Tahoma"/>
            <family val="2"/>
          </rPr>
          <t xml:space="preserve">
Gjennomsnittlig belegg for handle-/serviceturer</t>
        </r>
      </text>
    </comment>
    <comment ref="H138" authorId="1" shapeId="0" xr:uid="{00000000-0006-0000-0500-00002F000000}">
      <text>
        <r>
          <rPr>
            <b/>
            <sz val="9"/>
            <color indexed="81"/>
            <rFont val="Tahoma"/>
            <family val="2"/>
          </rPr>
          <t>Malene Nerland:</t>
        </r>
        <r>
          <rPr>
            <sz val="9"/>
            <color indexed="81"/>
            <rFont val="Tahoma"/>
            <family val="2"/>
          </rPr>
          <t xml:space="preserve">
Gjennomsnittlig belegg for følge-/omsorgturer</t>
        </r>
      </text>
    </comment>
    <comment ref="J138" authorId="1" shapeId="0" xr:uid="{00000000-0006-0000-0500-000030000000}">
      <text>
        <r>
          <rPr>
            <b/>
            <sz val="9"/>
            <color indexed="81"/>
            <rFont val="Tahoma"/>
            <family val="2"/>
          </rPr>
          <t>Malene Nerland:</t>
        </r>
        <r>
          <rPr>
            <sz val="9"/>
            <color indexed="81"/>
            <rFont val="Tahoma"/>
            <family val="2"/>
          </rPr>
          <t xml:space="preserve">
Gjennomsnittlig belegg for besøks- og fritidsturer.</t>
        </r>
      </text>
    </comment>
    <comment ref="L138" authorId="1" shapeId="0" xr:uid="{00000000-0006-0000-0500-000031000000}">
      <text>
        <r>
          <rPr>
            <b/>
            <sz val="9"/>
            <color indexed="81"/>
            <rFont val="Tahoma"/>
            <family val="2"/>
          </rPr>
          <t>Malene Nerland:</t>
        </r>
        <r>
          <rPr>
            <sz val="9"/>
            <color indexed="81"/>
            <rFont val="Tahoma"/>
            <family val="2"/>
          </rPr>
          <t xml:space="preserve">
Gjennomsnittlig belegg for andre reiser.</t>
        </r>
      </text>
    </comment>
    <comment ref="F140" authorId="1" shapeId="0" xr:uid="{00000000-0006-0000-0500-000032000000}">
      <text>
        <r>
          <rPr>
            <b/>
            <sz val="9"/>
            <color indexed="81"/>
            <rFont val="Tahoma"/>
            <family val="2"/>
          </rPr>
          <t>Malene Nerland:</t>
        </r>
        <r>
          <rPr>
            <sz val="9"/>
            <color indexed="81"/>
            <rFont val="Tahoma"/>
            <family val="2"/>
          </rPr>
          <t xml:space="preserve">
Vektfaktor for ventetid 0 - 5 min</t>
        </r>
      </text>
    </comment>
    <comment ref="H140" authorId="1" shapeId="0" xr:uid="{00000000-0006-0000-0500-000033000000}">
      <text>
        <r>
          <rPr>
            <b/>
            <sz val="9"/>
            <color indexed="81"/>
            <rFont val="Tahoma"/>
            <family val="2"/>
          </rPr>
          <t>Malene Nerland:</t>
        </r>
        <r>
          <rPr>
            <sz val="9"/>
            <color indexed="81"/>
            <rFont val="Tahoma"/>
            <family val="2"/>
          </rPr>
          <t xml:space="preserve">
Vektfaktor for ventetid 6 – 15 min</t>
        </r>
      </text>
    </comment>
    <comment ref="F142" authorId="1" shapeId="0" xr:uid="{00000000-0006-0000-0500-000034000000}">
      <text>
        <r>
          <rPr>
            <b/>
            <sz val="9"/>
            <color indexed="81"/>
            <rFont val="Tahoma"/>
            <family val="2"/>
          </rPr>
          <t>Malene Nerland:</t>
        </r>
        <r>
          <rPr>
            <sz val="9"/>
            <color indexed="81"/>
            <rFont val="Tahoma"/>
            <family val="2"/>
          </rPr>
          <t xml:space="preserve">
Totalt trafikkarbeid. </t>
        </r>
      </text>
    </comment>
    <comment ref="H142" authorId="1" shapeId="0" xr:uid="{00000000-0006-0000-0500-000035000000}">
      <text>
        <r>
          <rPr>
            <b/>
            <sz val="9"/>
            <color indexed="81"/>
            <rFont val="Tahoma"/>
            <family val="2"/>
          </rPr>
          <t>Malene Nerland:</t>
        </r>
        <r>
          <rPr>
            <sz val="9"/>
            <color indexed="81"/>
            <rFont val="Tahoma"/>
            <family val="2"/>
          </rPr>
          <t xml:space="preserve">
Trafikkarbeid fordelt på store tettsteder. </t>
        </r>
      </text>
    </comment>
    <comment ref="F143" authorId="1" shapeId="0" xr:uid="{00000000-0006-0000-0500-000036000000}">
      <text>
        <r>
          <rPr>
            <b/>
            <sz val="9"/>
            <color indexed="81"/>
            <rFont val="Tahoma"/>
            <family val="2"/>
          </rPr>
          <t>Malene Nerland:</t>
        </r>
        <r>
          <rPr>
            <sz val="9"/>
            <color indexed="81"/>
            <rFont val="Tahoma"/>
            <family val="2"/>
          </rPr>
          <t xml:space="preserve">
Totalt trafikkarbeid. </t>
        </r>
      </text>
    </comment>
    <comment ref="H143" authorId="1" shapeId="0" xr:uid="{00000000-0006-0000-0500-000037000000}">
      <text>
        <r>
          <rPr>
            <b/>
            <sz val="9"/>
            <color indexed="81"/>
            <rFont val="Tahoma"/>
            <family val="2"/>
          </rPr>
          <t>Malene Nerland:</t>
        </r>
        <r>
          <rPr>
            <sz val="9"/>
            <color indexed="81"/>
            <rFont val="Tahoma"/>
            <family val="2"/>
          </rPr>
          <t xml:space="preserve">
Trafikkarbeid fordelt på små tettsteder. </t>
        </r>
      </text>
    </comment>
    <comment ref="F144" authorId="1" shapeId="0" xr:uid="{00000000-0006-0000-0500-000038000000}">
      <text>
        <r>
          <rPr>
            <b/>
            <sz val="9"/>
            <color indexed="81"/>
            <rFont val="Tahoma"/>
            <family val="2"/>
          </rPr>
          <t>Malene Nerland:</t>
        </r>
        <r>
          <rPr>
            <sz val="9"/>
            <color indexed="81"/>
            <rFont val="Tahoma"/>
            <family val="2"/>
          </rPr>
          <t xml:space="preserve">
Totalt trafikkarbeid. </t>
        </r>
      </text>
    </comment>
    <comment ref="H144" authorId="1" shapeId="0" xr:uid="{00000000-0006-0000-0500-000039000000}">
      <text>
        <r>
          <rPr>
            <b/>
            <sz val="9"/>
            <color indexed="81"/>
            <rFont val="Tahoma"/>
            <family val="2"/>
          </rPr>
          <t>Malene Nerland:</t>
        </r>
        <r>
          <rPr>
            <sz val="9"/>
            <color indexed="81"/>
            <rFont val="Tahoma"/>
            <family val="2"/>
          </rPr>
          <t xml:space="preserve">
Trafikkarbeid fordelt på spredt bebyggelse.</t>
        </r>
      </text>
    </comment>
    <comment ref="F145" authorId="1" shapeId="0" xr:uid="{00000000-0006-0000-0500-00003A000000}">
      <text>
        <r>
          <rPr>
            <b/>
            <sz val="9"/>
            <color indexed="81"/>
            <rFont val="Tahoma"/>
            <family val="2"/>
          </rPr>
          <t>Malene Nerland:</t>
        </r>
        <r>
          <rPr>
            <sz val="9"/>
            <color indexed="81"/>
            <rFont val="Tahoma"/>
            <family val="2"/>
          </rPr>
          <t xml:space="preserve">
Tettsteder over 100' bensin
</t>
        </r>
      </text>
    </comment>
    <comment ref="H145" authorId="1" shapeId="0" xr:uid="{00000000-0006-0000-0500-00003B000000}">
      <text>
        <r>
          <rPr>
            <b/>
            <sz val="9"/>
            <color indexed="81"/>
            <rFont val="Tahoma"/>
            <family val="2"/>
          </rPr>
          <t>Malene Nerland:</t>
        </r>
        <r>
          <rPr>
            <sz val="9"/>
            <color indexed="81"/>
            <rFont val="Tahoma"/>
            <family val="2"/>
          </rPr>
          <t xml:space="preserve">
Tettsteder over 100' diesel</t>
        </r>
      </text>
    </comment>
    <comment ref="J145" authorId="1" shapeId="0" xr:uid="{00000000-0006-0000-0500-00003C000000}">
      <text>
        <r>
          <rPr>
            <b/>
            <sz val="9"/>
            <color indexed="81"/>
            <rFont val="Tahoma"/>
            <family val="2"/>
          </rPr>
          <t>Malene Nerland:</t>
        </r>
        <r>
          <rPr>
            <sz val="9"/>
            <color indexed="81"/>
            <rFont val="Tahoma"/>
            <family val="2"/>
          </rPr>
          <t xml:space="preserve">
Totalt mill. kjøretøykm bensin
</t>
        </r>
      </text>
    </comment>
    <comment ref="L145" authorId="1" shapeId="0" xr:uid="{00000000-0006-0000-0500-00003D000000}">
      <text>
        <r>
          <rPr>
            <b/>
            <sz val="9"/>
            <color indexed="81"/>
            <rFont val="Tahoma"/>
            <family val="2"/>
          </rPr>
          <t>Malene Nerland:</t>
        </r>
        <r>
          <rPr>
            <sz val="9"/>
            <color indexed="81"/>
            <rFont val="Tahoma"/>
            <family val="2"/>
          </rPr>
          <t xml:space="preserve">
Totalt mill. kjøretøykm diesel</t>
        </r>
      </text>
    </comment>
    <comment ref="F146" authorId="1" shapeId="0" xr:uid="{00000000-0006-0000-0500-00003E000000}">
      <text>
        <r>
          <rPr>
            <b/>
            <sz val="9"/>
            <color indexed="81"/>
            <rFont val="Tahoma"/>
            <family val="2"/>
          </rPr>
          <t>Malene Nerland:</t>
        </r>
        <r>
          <rPr>
            <sz val="9"/>
            <color indexed="81"/>
            <rFont val="Tahoma"/>
            <family val="2"/>
          </rPr>
          <t xml:space="preserve">
Tettsteder under 100' bensin</t>
        </r>
      </text>
    </comment>
    <comment ref="H146" authorId="1" shapeId="0" xr:uid="{00000000-0006-0000-0500-00003F000000}">
      <text>
        <r>
          <rPr>
            <b/>
            <sz val="9"/>
            <color indexed="81"/>
            <rFont val="Tahoma"/>
            <family val="2"/>
          </rPr>
          <t>Malene Nerland:</t>
        </r>
        <r>
          <rPr>
            <sz val="9"/>
            <color indexed="81"/>
            <rFont val="Tahoma"/>
            <family val="2"/>
          </rPr>
          <t xml:space="preserve">
Tettsteder under 100' diesel</t>
        </r>
      </text>
    </comment>
    <comment ref="J146" authorId="1" shapeId="0" xr:uid="{00000000-0006-0000-0500-000040000000}">
      <text>
        <r>
          <rPr>
            <b/>
            <sz val="9"/>
            <color indexed="81"/>
            <rFont val="Tahoma"/>
            <family val="2"/>
          </rPr>
          <t>Malene Nerland:</t>
        </r>
        <r>
          <rPr>
            <sz val="9"/>
            <color indexed="81"/>
            <rFont val="Tahoma"/>
            <family val="2"/>
          </rPr>
          <t xml:space="preserve">
Totalt mill. kjøretøykm bensin
</t>
        </r>
      </text>
    </comment>
    <comment ref="L146" authorId="1" shapeId="0" xr:uid="{00000000-0006-0000-0500-000041000000}">
      <text>
        <r>
          <rPr>
            <b/>
            <sz val="9"/>
            <color indexed="81"/>
            <rFont val="Tahoma"/>
            <family val="2"/>
          </rPr>
          <t>Malene Nerland:</t>
        </r>
        <r>
          <rPr>
            <sz val="9"/>
            <color indexed="81"/>
            <rFont val="Tahoma"/>
            <family val="2"/>
          </rPr>
          <t xml:space="preserve">
Totalt mill. kjøretøykm diesel</t>
        </r>
      </text>
    </comment>
    <comment ref="F147" authorId="1" shapeId="0" xr:uid="{00000000-0006-0000-0500-000042000000}">
      <text>
        <r>
          <rPr>
            <b/>
            <sz val="9"/>
            <color indexed="81"/>
            <rFont val="Tahoma"/>
            <family val="2"/>
          </rPr>
          <t xml:space="preserve">Malene Nerland:
</t>
        </r>
        <r>
          <rPr>
            <sz val="9"/>
            <color indexed="81"/>
            <rFont val="Tahoma"/>
            <family val="2"/>
          </rPr>
          <t>Spredt bebyggelse, bensin</t>
        </r>
      </text>
    </comment>
    <comment ref="H147" authorId="1" shapeId="0" xr:uid="{00000000-0006-0000-0500-000043000000}">
      <text>
        <r>
          <rPr>
            <b/>
            <sz val="9"/>
            <color indexed="81"/>
            <rFont val="Tahoma"/>
            <family val="2"/>
          </rPr>
          <t>Malene Nerland:</t>
        </r>
        <r>
          <rPr>
            <sz val="9"/>
            <color indexed="81"/>
            <rFont val="Tahoma"/>
            <family val="2"/>
          </rPr>
          <t xml:space="preserve">
Spredt bebyggelse, diesel</t>
        </r>
      </text>
    </comment>
    <comment ref="J147" authorId="1" shapeId="0" xr:uid="{00000000-0006-0000-0500-000044000000}">
      <text>
        <r>
          <rPr>
            <b/>
            <sz val="9"/>
            <color indexed="81"/>
            <rFont val="Tahoma"/>
            <family val="2"/>
          </rPr>
          <t>Malene Nerland:</t>
        </r>
        <r>
          <rPr>
            <sz val="9"/>
            <color indexed="81"/>
            <rFont val="Tahoma"/>
            <family val="2"/>
          </rPr>
          <t xml:space="preserve">
Totalt mill. kjøretøykm bensin
</t>
        </r>
      </text>
    </comment>
    <comment ref="L147" authorId="1" shapeId="0" xr:uid="{00000000-0006-0000-0500-000045000000}">
      <text>
        <r>
          <rPr>
            <b/>
            <sz val="9"/>
            <color indexed="81"/>
            <rFont val="Tahoma"/>
            <family val="2"/>
          </rPr>
          <t>Malene Nerland:</t>
        </r>
        <r>
          <rPr>
            <sz val="9"/>
            <color indexed="81"/>
            <rFont val="Tahoma"/>
            <family val="2"/>
          </rPr>
          <t xml:space="preserve">
Totalt mill. kjøretøykm diesel</t>
        </r>
      </text>
    </comment>
    <comment ref="F148" authorId="1" shapeId="0" xr:uid="{00000000-0006-0000-0500-000046000000}">
      <text>
        <r>
          <rPr>
            <b/>
            <sz val="9"/>
            <color indexed="81"/>
            <rFont val="Tahoma"/>
            <family val="2"/>
          </rPr>
          <t>Malene Nerland:</t>
        </r>
        <r>
          <rPr>
            <sz val="9"/>
            <color indexed="81"/>
            <rFont val="Tahoma"/>
            <family val="2"/>
          </rPr>
          <t xml:space="preserve">
Tettsteder over 100' diesel</t>
        </r>
      </text>
    </comment>
    <comment ref="H148" authorId="1" shapeId="0" xr:uid="{00000000-0006-0000-0500-000047000000}">
      <text>
        <r>
          <rPr>
            <b/>
            <sz val="9"/>
            <color indexed="81"/>
            <rFont val="Tahoma"/>
            <family val="2"/>
          </rPr>
          <t>Malene Nerland:</t>
        </r>
        <r>
          <rPr>
            <sz val="9"/>
            <color indexed="81"/>
            <rFont val="Tahoma"/>
            <family val="2"/>
          </rPr>
          <t xml:space="preserve">
Totalt mill. kjøretøykm, diesel</t>
        </r>
      </text>
    </comment>
    <comment ref="F149" authorId="1" shapeId="0" xr:uid="{00000000-0006-0000-0500-000048000000}">
      <text>
        <r>
          <rPr>
            <b/>
            <sz val="9"/>
            <color indexed="81"/>
            <rFont val="Tahoma"/>
            <family val="2"/>
          </rPr>
          <t>Malene Nerland:</t>
        </r>
        <r>
          <rPr>
            <sz val="9"/>
            <color indexed="81"/>
            <rFont val="Tahoma"/>
            <family val="2"/>
          </rPr>
          <t xml:space="preserve">
Tettsteder under 100' diesel</t>
        </r>
      </text>
    </comment>
    <comment ref="H149" authorId="1" shapeId="0" xr:uid="{00000000-0006-0000-0500-000049000000}">
      <text>
        <r>
          <rPr>
            <b/>
            <sz val="9"/>
            <color indexed="81"/>
            <rFont val="Tahoma"/>
            <family val="2"/>
          </rPr>
          <t>Malene Nerland:</t>
        </r>
        <r>
          <rPr>
            <sz val="9"/>
            <color indexed="81"/>
            <rFont val="Tahoma"/>
            <family val="2"/>
          </rPr>
          <t xml:space="preserve">
Totalt mill. kjøretøykm, diesel</t>
        </r>
      </text>
    </comment>
    <comment ref="F150" authorId="1" shapeId="0" xr:uid="{00000000-0006-0000-0500-00004A000000}">
      <text>
        <r>
          <rPr>
            <b/>
            <sz val="9"/>
            <color indexed="81"/>
            <rFont val="Tahoma"/>
            <family val="2"/>
          </rPr>
          <t>Malene Nerland:</t>
        </r>
        <r>
          <rPr>
            <sz val="9"/>
            <color indexed="81"/>
            <rFont val="Tahoma"/>
            <family val="2"/>
          </rPr>
          <t xml:space="preserve">
Spredt bebyggelse, diesel
</t>
        </r>
      </text>
    </comment>
    <comment ref="H150" authorId="1" shapeId="0" xr:uid="{00000000-0006-0000-0500-00004B000000}">
      <text>
        <r>
          <rPr>
            <b/>
            <sz val="9"/>
            <color indexed="81"/>
            <rFont val="Tahoma"/>
            <family val="2"/>
          </rPr>
          <t>Malene Nerland:</t>
        </r>
        <r>
          <rPr>
            <sz val="9"/>
            <color indexed="81"/>
            <rFont val="Tahoma"/>
            <family val="2"/>
          </rPr>
          <t xml:space="preserve">
Totalt mill. kjøretøykm, diesel</t>
        </r>
      </text>
    </comment>
    <comment ref="F151" authorId="1" shapeId="0" xr:uid="{00000000-0006-0000-0500-00004C000000}">
      <text>
        <r>
          <rPr>
            <b/>
            <sz val="9"/>
            <color indexed="81"/>
            <rFont val="Tahoma"/>
            <family val="2"/>
          </rPr>
          <t>Malene Nerland:</t>
        </r>
        <r>
          <rPr>
            <sz val="9"/>
            <color indexed="81"/>
            <rFont val="Tahoma"/>
            <family val="2"/>
          </rPr>
          <t xml:space="preserve">
Tettsteder over 100', lett lastebil
</t>
        </r>
      </text>
    </comment>
    <comment ref="H151" authorId="1" shapeId="0" xr:uid="{00000000-0006-0000-0500-00004D000000}">
      <text>
        <r>
          <rPr>
            <b/>
            <sz val="9"/>
            <color indexed="81"/>
            <rFont val="Tahoma"/>
            <family val="2"/>
          </rPr>
          <t>Malene Nerland:</t>
        </r>
        <r>
          <rPr>
            <sz val="9"/>
            <color indexed="81"/>
            <rFont val="Tahoma"/>
            <family val="2"/>
          </rPr>
          <t xml:space="preserve">
Totalt mill. kjøretøykm, lett lastebil</t>
        </r>
      </text>
    </comment>
    <comment ref="F152" authorId="1" shapeId="0" xr:uid="{00000000-0006-0000-0500-00004E000000}">
      <text>
        <r>
          <rPr>
            <b/>
            <sz val="9"/>
            <color indexed="81"/>
            <rFont val="Tahoma"/>
            <family val="2"/>
          </rPr>
          <t>Malene Nerland:</t>
        </r>
        <r>
          <rPr>
            <sz val="9"/>
            <color indexed="81"/>
            <rFont val="Tahoma"/>
            <family val="2"/>
          </rPr>
          <t xml:space="preserve">
Tettsteder under 100', lett lastebil
</t>
        </r>
      </text>
    </comment>
    <comment ref="H152" authorId="1" shapeId="0" xr:uid="{00000000-0006-0000-0500-00004F000000}">
      <text>
        <r>
          <rPr>
            <b/>
            <sz val="9"/>
            <color indexed="81"/>
            <rFont val="Tahoma"/>
            <family val="2"/>
          </rPr>
          <t>Malene Nerland:</t>
        </r>
        <r>
          <rPr>
            <sz val="9"/>
            <color indexed="81"/>
            <rFont val="Tahoma"/>
            <family val="2"/>
          </rPr>
          <t xml:space="preserve">
Totalt mill. kjøretøykm, lett lastebil</t>
        </r>
      </text>
    </comment>
    <comment ref="F153" authorId="1" shapeId="0" xr:uid="{00000000-0006-0000-0500-000050000000}">
      <text>
        <r>
          <rPr>
            <b/>
            <sz val="9"/>
            <color indexed="81"/>
            <rFont val="Tahoma"/>
            <family val="2"/>
          </rPr>
          <t>Malene Nerland:</t>
        </r>
        <r>
          <rPr>
            <sz val="9"/>
            <color indexed="81"/>
            <rFont val="Tahoma"/>
            <family val="2"/>
          </rPr>
          <t xml:space="preserve">
Spredt bebyggelse, lett lastebil
</t>
        </r>
      </text>
    </comment>
    <comment ref="H153" authorId="1" shapeId="0" xr:uid="{00000000-0006-0000-0500-000051000000}">
      <text>
        <r>
          <rPr>
            <b/>
            <sz val="9"/>
            <color indexed="81"/>
            <rFont val="Tahoma"/>
            <family val="2"/>
          </rPr>
          <t>Malene Nerland:</t>
        </r>
        <r>
          <rPr>
            <sz val="9"/>
            <color indexed="81"/>
            <rFont val="Tahoma"/>
            <family val="2"/>
          </rPr>
          <t xml:space="preserve">
Totalt mill. kjøretøykm, lett lastebil</t>
        </r>
      </text>
    </comment>
    <comment ref="F154" authorId="1" shapeId="0" xr:uid="{00000000-0006-0000-0500-000052000000}">
      <text>
        <r>
          <rPr>
            <b/>
            <sz val="9"/>
            <color indexed="81"/>
            <rFont val="Tahoma"/>
            <family val="2"/>
          </rPr>
          <t>Malene Nerland:</t>
        </r>
        <r>
          <rPr>
            <sz val="9"/>
            <color indexed="81"/>
            <rFont val="Tahoma"/>
            <family val="2"/>
          </rPr>
          <t xml:space="preserve">
Tettsteder over 100', tung lastebil</t>
        </r>
      </text>
    </comment>
    <comment ref="H154" authorId="1" shapeId="0" xr:uid="{00000000-0006-0000-0500-000053000000}">
      <text>
        <r>
          <rPr>
            <b/>
            <sz val="9"/>
            <color indexed="81"/>
            <rFont val="Tahoma"/>
            <family val="2"/>
          </rPr>
          <t>Malene Nerland:</t>
        </r>
        <r>
          <rPr>
            <sz val="9"/>
            <color indexed="81"/>
            <rFont val="Tahoma"/>
            <family val="2"/>
          </rPr>
          <t xml:space="preserve">
Totalt mill. kjøretøykm, tung lastebil</t>
        </r>
      </text>
    </comment>
    <comment ref="F155" authorId="1" shapeId="0" xr:uid="{00000000-0006-0000-0500-000054000000}">
      <text>
        <r>
          <rPr>
            <b/>
            <sz val="9"/>
            <color indexed="81"/>
            <rFont val="Tahoma"/>
            <family val="2"/>
          </rPr>
          <t>Malene Nerland:</t>
        </r>
        <r>
          <rPr>
            <sz val="9"/>
            <color indexed="81"/>
            <rFont val="Tahoma"/>
            <family val="2"/>
          </rPr>
          <t xml:space="preserve">
Tettsteder under 100', tung lastebil</t>
        </r>
      </text>
    </comment>
    <comment ref="H155" authorId="1" shapeId="0" xr:uid="{00000000-0006-0000-0500-000055000000}">
      <text>
        <r>
          <rPr>
            <b/>
            <sz val="9"/>
            <color indexed="81"/>
            <rFont val="Tahoma"/>
            <family val="2"/>
          </rPr>
          <t>Malene Nerland:</t>
        </r>
        <r>
          <rPr>
            <sz val="9"/>
            <color indexed="81"/>
            <rFont val="Tahoma"/>
            <family val="2"/>
          </rPr>
          <t xml:space="preserve">
Totalt mill. kjøretøykm, tung lastebil</t>
        </r>
      </text>
    </comment>
    <comment ref="F156" authorId="1" shapeId="0" xr:uid="{00000000-0006-0000-0500-000056000000}">
      <text>
        <r>
          <rPr>
            <b/>
            <sz val="9"/>
            <color indexed="81"/>
            <rFont val="Tahoma"/>
            <family val="2"/>
          </rPr>
          <t>Malene Nerland:</t>
        </r>
        <r>
          <rPr>
            <sz val="9"/>
            <color indexed="81"/>
            <rFont val="Tahoma"/>
            <family val="2"/>
          </rPr>
          <t xml:space="preserve">
Spredt bebyggelse, tung lastebil</t>
        </r>
      </text>
    </comment>
    <comment ref="H156" authorId="1" shapeId="0" xr:uid="{00000000-0006-0000-0500-000057000000}">
      <text>
        <r>
          <rPr>
            <b/>
            <sz val="9"/>
            <color indexed="81"/>
            <rFont val="Tahoma"/>
            <family val="2"/>
          </rPr>
          <t>Malene Nerland:</t>
        </r>
        <r>
          <rPr>
            <sz val="9"/>
            <color indexed="81"/>
            <rFont val="Tahoma"/>
            <family val="2"/>
          </rPr>
          <t xml:space="preserve">
Totalt mill. kjøretøykm, tung lastebil</t>
        </r>
      </text>
    </comment>
    <comment ref="F157" authorId="1" shapeId="0" xr:uid="{00000000-0006-0000-0500-000058000000}">
      <text>
        <r>
          <rPr>
            <b/>
            <sz val="9"/>
            <color indexed="81"/>
            <rFont val="Tahoma"/>
            <family val="2"/>
          </rPr>
          <t>Malene Nerland:</t>
        </r>
        <r>
          <rPr>
            <sz val="9"/>
            <color indexed="81"/>
            <rFont val="Tahoma"/>
            <family val="2"/>
          </rPr>
          <t xml:space="preserve">
Tettsteder over 100', tung lastebil</t>
        </r>
      </text>
    </comment>
    <comment ref="H157" authorId="1" shapeId="0" xr:uid="{00000000-0006-0000-0500-000059000000}">
      <text>
        <r>
          <rPr>
            <b/>
            <sz val="9"/>
            <color indexed="81"/>
            <rFont val="Tahoma"/>
            <family val="2"/>
          </rPr>
          <t>Malene Nerland:</t>
        </r>
        <r>
          <rPr>
            <sz val="9"/>
            <color indexed="81"/>
            <rFont val="Tahoma"/>
            <family val="2"/>
          </rPr>
          <t xml:space="preserve">
Totalt mill. kjøretøykm, tung lastebil</t>
        </r>
      </text>
    </comment>
    <comment ref="F158" authorId="1" shapeId="0" xr:uid="{00000000-0006-0000-0500-00005A000000}">
      <text>
        <r>
          <rPr>
            <b/>
            <sz val="9"/>
            <color indexed="81"/>
            <rFont val="Tahoma"/>
            <family val="2"/>
          </rPr>
          <t>Malene Nerland:</t>
        </r>
        <r>
          <rPr>
            <sz val="9"/>
            <color indexed="81"/>
            <rFont val="Tahoma"/>
            <family val="2"/>
          </rPr>
          <t xml:space="preserve">
Tettsteder under 100', tung lastebil</t>
        </r>
      </text>
    </comment>
    <comment ref="H158" authorId="1" shapeId="0" xr:uid="{00000000-0006-0000-0500-00005B000000}">
      <text>
        <r>
          <rPr>
            <b/>
            <sz val="9"/>
            <color indexed="81"/>
            <rFont val="Tahoma"/>
            <family val="2"/>
          </rPr>
          <t>Malene Nerland:</t>
        </r>
        <r>
          <rPr>
            <sz val="9"/>
            <color indexed="81"/>
            <rFont val="Tahoma"/>
            <family val="2"/>
          </rPr>
          <t xml:space="preserve">
Totalt mill. kjøretøykm, tung lastebil</t>
        </r>
      </text>
    </comment>
    <comment ref="F159" authorId="1" shapeId="0" xr:uid="{00000000-0006-0000-0500-00005C000000}">
      <text>
        <r>
          <rPr>
            <b/>
            <sz val="9"/>
            <color indexed="81"/>
            <rFont val="Tahoma"/>
            <family val="2"/>
          </rPr>
          <t>Malene Nerland:</t>
        </r>
        <r>
          <rPr>
            <sz val="9"/>
            <color indexed="81"/>
            <rFont val="Tahoma"/>
            <family val="2"/>
          </rPr>
          <t xml:space="preserve">
Spredt bebyggelse, tung lastebil</t>
        </r>
      </text>
    </comment>
    <comment ref="H159" authorId="1" shapeId="0" xr:uid="{00000000-0006-0000-0500-00005D000000}">
      <text>
        <r>
          <rPr>
            <b/>
            <sz val="9"/>
            <color indexed="81"/>
            <rFont val="Tahoma"/>
            <family val="2"/>
          </rPr>
          <t>Malene Nerland:</t>
        </r>
        <r>
          <rPr>
            <sz val="9"/>
            <color indexed="81"/>
            <rFont val="Tahoma"/>
            <family val="2"/>
          </rPr>
          <t xml:space="preserve">
Totalt mill. kjøretøykm, tung lastebil</t>
        </r>
      </text>
    </comment>
    <comment ref="B161" authorId="7" shapeId="0" xr:uid="{7E46DF1C-86B4-401C-BC15-89B0F99211B4}">
      <text>
        <t>[Kommentartråd]
Din versjon av Excel lar deg lese denne kommentartråden. Eventuelle endringer i den vil imidlertid bli fjernet hvis filen åpnes i en nyere versjon av Excel. Finn ut mer: https://go.microsoft.com/fwlink/?linkid=870924
Kommentar:
    Inkl. 50 % ”Annet tog”</t>
      </text>
    </comment>
    <comment ref="B165" authorId="8" shapeId="0" xr:uid="{E24B8601-316E-4FD6-8609-D1571BE9615E}">
      <text>
        <t>[Kommentartråd]
Din versjon av Excel lar deg lese denne kommentartråden. Eventuelle endringer i den vil imidlertid bli fjernet hvis filen åpnes i en nyere versjon av Excel. Finn ut mer: https://go.microsoft.com/fwlink/?linkid=870924
Kommentar:
    Inkl. 50 % ”Annet tog”</t>
      </text>
    </comment>
    <comment ref="B193" authorId="6" shapeId="0" xr:uid="{42250C68-D914-46A9-A1A0-DB871BDDD70A}">
      <text>
        <r>
          <rPr>
            <b/>
            <sz val="9"/>
            <color indexed="81"/>
            <rFont val="Tahoma"/>
            <family val="2"/>
          </rPr>
          <t>Øystein Rembar:</t>
        </r>
        <r>
          <rPr>
            <sz val="9"/>
            <color indexed="81"/>
            <rFont val="Tahoma"/>
            <family val="2"/>
          </rPr>
          <t xml:space="preserve">
Antatt lik "lasteskip" i TØI-rapport 1704/2019</t>
        </r>
      </text>
    </comment>
    <comment ref="L230" authorId="1" shapeId="0" xr:uid="{00000000-0006-0000-0500-00005E000000}">
      <text>
        <r>
          <rPr>
            <b/>
            <sz val="9"/>
            <color indexed="81"/>
            <rFont val="Tahoma"/>
            <family val="2"/>
          </rPr>
          <t>Malene Nerland:</t>
        </r>
        <r>
          <rPr>
            <sz val="9"/>
            <color indexed="81"/>
            <rFont val="Tahoma"/>
            <family val="2"/>
          </rPr>
          <t xml:space="preserve">
Nox-utslipp per liter diesel.</t>
        </r>
      </text>
    </comment>
    <comment ref="L231" authorId="1" shapeId="0" xr:uid="{00000000-0006-0000-0500-00005F000000}">
      <text>
        <r>
          <rPr>
            <b/>
            <sz val="9"/>
            <color indexed="81"/>
            <rFont val="Tahoma"/>
            <family val="2"/>
          </rPr>
          <t>Malene Nerland:</t>
        </r>
        <r>
          <rPr>
            <sz val="9"/>
            <color indexed="81"/>
            <rFont val="Tahoma"/>
            <family val="2"/>
          </rPr>
          <t xml:space="preserve">
Nox-utslipp per liter diesel.</t>
        </r>
      </text>
    </comment>
    <comment ref="F232" authorId="1" shapeId="0" xr:uid="{00000000-0006-0000-0500-000060000000}">
      <text>
        <r>
          <rPr>
            <b/>
            <sz val="9"/>
            <color indexed="81"/>
            <rFont val="Tahoma"/>
            <family val="2"/>
          </rPr>
          <t>Malene Nerland:</t>
        </r>
        <r>
          <rPr>
            <sz val="9"/>
            <color indexed="81"/>
            <rFont val="Tahoma"/>
            <family val="2"/>
          </rPr>
          <t xml:space="preserve">
Gram Nox-utslipp fra en bensinbil.
</t>
        </r>
      </text>
    </comment>
    <comment ref="H232" authorId="1" shapeId="0" xr:uid="{00000000-0006-0000-0500-000061000000}">
      <text>
        <r>
          <rPr>
            <b/>
            <sz val="9"/>
            <color indexed="81"/>
            <rFont val="Tahoma"/>
            <family val="2"/>
          </rPr>
          <t>Malene Nerland:</t>
        </r>
        <r>
          <rPr>
            <sz val="9"/>
            <color indexed="81"/>
            <rFont val="Tahoma"/>
            <family val="2"/>
          </rPr>
          <t xml:space="preserve">
Gram Nox-utslipp fra en dieselbil.</t>
        </r>
      </text>
    </comment>
    <comment ref="F233" authorId="1" shapeId="0" xr:uid="{9EAD9E0B-FCBA-4642-B3E5-588E68A113B6}">
      <text>
        <r>
          <rPr>
            <b/>
            <sz val="9"/>
            <color indexed="81"/>
            <rFont val="Tahoma"/>
            <family val="2"/>
          </rPr>
          <t>Malene Nerland:</t>
        </r>
        <r>
          <rPr>
            <sz val="9"/>
            <color indexed="81"/>
            <rFont val="Tahoma"/>
            <family val="2"/>
          </rPr>
          <t xml:space="preserve">
Gram Nox-utslipp store tettsted</t>
        </r>
      </text>
    </comment>
    <comment ref="H233" authorId="1" shapeId="0" xr:uid="{BBCC312D-FC39-4FDC-9088-BC23DF7EB7F3}">
      <text>
        <r>
          <rPr>
            <b/>
            <sz val="9"/>
            <color indexed="81"/>
            <rFont val="Tahoma"/>
            <family val="2"/>
          </rPr>
          <t>Malene Nerland:</t>
        </r>
        <r>
          <rPr>
            <sz val="9"/>
            <color indexed="81"/>
            <rFont val="Tahoma"/>
            <family val="2"/>
          </rPr>
          <t xml:space="preserve">
Gram Nox-utslipp små tettsted</t>
        </r>
      </text>
    </comment>
    <comment ref="J233" authorId="1" shapeId="0" xr:uid="{F867A98B-4B9E-434B-80B7-CDC18583A278}">
      <text>
        <r>
          <rPr>
            <b/>
            <sz val="9"/>
            <color indexed="81"/>
            <rFont val="Tahoma"/>
            <family val="2"/>
          </rPr>
          <t>Malene Nerland:</t>
        </r>
        <r>
          <rPr>
            <sz val="9"/>
            <color indexed="81"/>
            <rFont val="Tahoma"/>
            <family val="2"/>
          </rPr>
          <t xml:space="preserve">
Gram Nox-utslipp spredt bebyggelse</t>
        </r>
      </text>
    </comment>
    <comment ref="F234" authorId="2" shapeId="0" xr:uid="{30E2248C-5F77-478A-B2B6-6009DBE6D6F2}">
      <text>
        <r>
          <rPr>
            <b/>
            <sz val="9"/>
            <color indexed="81"/>
            <rFont val="Tahoma"/>
            <family val="2"/>
          </rPr>
          <t>Mai Brit Svendsen:</t>
        </r>
        <r>
          <rPr>
            <sz val="9"/>
            <color indexed="81"/>
            <rFont val="Tahoma"/>
            <family val="2"/>
          </rPr>
          <t xml:space="preserve">
Gram Nox-utslipp store tettsted</t>
        </r>
      </text>
    </comment>
    <comment ref="H234" authorId="2" shapeId="0" xr:uid="{ADE085F4-D74C-44BE-8288-F24926D425C9}">
      <text>
        <r>
          <rPr>
            <b/>
            <sz val="9"/>
            <color indexed="81"/>
            <rFont val="Tahoma"/>
            <family val="2"/>
          </rPr>
          <t>Mai Brit Svendsen:</t>
        </r>
        <r>
          <rPr>
            <sz val="9"/>
            <color indexed="81"/>
            <rFont val="Tahoma"/>
            <family val="2"/>
          </rPr>
          <t xml:space="preserve">
Gram Nox-utslipp små tettsted</t>
        </r>
      </text>
    </comment>
    <comment ref="J234" authorId="2" shapeId="0" xr:uid="{E9527C81-9771-474C-B931-E74BEC4DA435}">
      <text>
        <r>
          <rPr>
            <b/>
            <sz val="9"/>
            <color indexed="81"/>
            <rFont val="Tahoma"/>
            <family val="2"/>
          </rPr>
          <t>Mai Brit Svendsen:</t>
        </r>
        <r>
          <rPr>
            <sz val="9"/>
            <color indexed="81"/>
            <rFont val="Tahoma"/>
            <family val="2"/>
          </rPr>
          <t xml:space="preserve">
Gram Nox-utslipp spredt bebyggelse</t>
        </r>
      </text>
    </comment>
    <comment ref="F235" authorId="2" shapeId="0" xr:uid="{CF02DF69-24EB-4381-AE14-BF8D077D209D}">
      <text>
        <r>
          <rPr>
            <b/>
            <sz val="9"/>
            <color indexed="81"/>
            <rFont val="Tahoma"/>
            <family val="2"/>
          </rPr>
          <t>Mai Brit Svendsen:</t>
        </r>
        <r>
          <rPr>
            <sz val="9"/>
            <color indexed="81"/>
            <rFont val="Tahoma"/>
            <family val="2"/>
          </rPr>
          <t xml:space="preserve">
Gram Nox-utslipp 7,5-14 tonn store tettsted</t>
        </r>
      </text>
    </comment>
    <comment ref="H235" authorId="2" shapeId="0" xr:uid="{B5C4B2D1-8E3F-4979-8C13-A6AD942D974A}">
      <text>
        <r>
          <rPr>
            <b/>
            <sz val="9"/>
            <color indexed="81"/>
            <rFont val="Tahoma"/>
            <family val="2"/>
          </rPr>
          <t>Mai Brit Svendsen:</t>
        </r>
        <r>
          <rPr>
            <sz val="9"/>
            <color indexed="81"/>
            <rFont val="Tahoma"/>
            <family val="2"/>
          </rPr>
          <t xml:space="preserve">
Gram Nox-utslipp 7,5-14 tonn små tettsted</t>
        </r>
      </text>
    </comment>
    <comment ref="J235" authorId="2" shapeId="0" xr:uid="{678F1FE9-FA47-498A-9740-06644F7F7820}">
      <text>
        <r>
          <rPr>
            <b/>
            <sz val="9"/>
            <color indexed="81"/>
            <rFont val="Tahoma"/>
            <family val="2"/>
          </rPr>
          <t>Mai Brit Svendsen:</t>
        </r>
        <r>
          <rPr>
            <sz val="9"/>
            <color indexed="81"/>
            <rFont val="Tahoma"/>
            <family val="2"/>
          </rPr>
          <t xml:space="preserve">
Gram Nox-utslipp 7,5-14 tonn spredt bebyggelse</t>
        </r>
      </text>
    </comment>
    <comment ref="L235" authorId="2" shapeId="0" xr:uid="{AD17BD00-8BF7-44FA-8F4B-61519582B043}">
      <text>
        <r>
          <rPr>
            <b/>
            <sz val="9"/>
            <color indexed="81"/>
            <rFont val="Tahoma"/>
            <family val="2"/>
          </rPr>
          <t>Mai Brit Svendsen:</t>
        </r>
        <r>
          <rPr>
            <sz val="9"/>
            <color indexed="81"/>
            <rFont val="Tahoma"/>
            <family val="2"/>
          </rPr>
          <t xml:space="preserve">
Gram Nox-utslipp 14-20 tonn store tettsted</t>
        </r>
      </text>
    </comment>
    <comment ref="N235" authorId="2" shapeId="0" xr:uid="{FE584AB9-5447-43C9-BA25-CE34D815CA65}">
      <text>
        <r>
          <rPr>
            <b/>
            <sz val="9"/>
            <color indexed="81"/>
            <rFont val="Tahoma"/>
            <family val="2"/>
          </rPr>
          <t>Mai Brit Svendsen:</t>
        </r>
        <r>
          <rPr>
            <sz val="9"/>
            <color indexed="81"/>
            <rFont val="Tahoma"/>
            <family val="2"/>
          </rPr>
          <t xml:space="preserve">
Gram Nox-utslipp 14-20 tonn små tettsted</t>
        </r>
      </text>
    </comment>
    <comment ref="P235" authorId="2" shapeId="0" xr:uid="{DE1AE2FD-A4CE-4220-AB46-BC8D6C40257D}">
      <text>
        <r>
          <rPr>
            <b/>
            <sz val="9"/>
            <color indexed="81"/>
            <rFont val="Tahoma"/>
            <family val="2"/>
          </rPr>
          <t>Mai Brit Svendsen:</t>
        </r>
        <r>
          <rPr>
            <sz val="9"/>
            <color indexed="81"/>
            <rFont val="Tahoma"/>
            <family val="2"/>
          </rPr>
          <t xml:space="preserve">
Gram Nox-utslipp 14-20 tonn spredt bebyggelse</t>
        </r>
      </text>
    </comment>
    <comment ref="R235" authorId="2" shapeId="0" xr:uid="{E5A8E264-1806-4429-A507-ED55D7113548}">
      <text>
        <r>
          <rPr>
            <b/>
            <sz val="9"/>
            <color indexed="81"/>
            <rFont val="Tahoma"/>
            <family val="2"/>
          </rPr>
          <t>Mai Brit Svendsen:</t>
        </r>
        <r>
          <rPr>
            <sz val="9"/>
            <color indexed="81"/>
            <rFont val="Tahoma"/>
            <family val="2"/>
          </rPr>
          <t xml:space="preserve">
Gram Nox-utslipp 20-28 tonn store tettsted</t>
        </r>
      </text>
    </comment>
    <comment ref="T235" authorId="2" shapeId="0" xr:uid="{B1843A13-70AC-4517-9FF6-CB1895F620B1}">
      <text>
        <r>
          <rPr>
            <b/>
            <sz val="9"/>
            <color indexed="81"/>
            <rFont val="Tahoma"/>
            <family val="2"/>
          </rPr>
          <t>Mai Brit Svendsen:</t>
        </r>
        <r>
          <rPr>
            <sz val="9"/>
            <color indexed="81"/>
            <rFont val="Tahoma"/>
            <family val="2"/>
          </rPr>
          <t xml:space="preserve">
Gram Nox-utslipp 20-28 tonn små tettsted</t>
        </r>
      </text>
    </comment>
    <comment ref="V235" authorId="2" shapeId="0" xr:uid="{A53B67FA-F3CB-41EA-9AAA-840C172587DE}">
      <text>
        <r>
          <rPr>
            <b/>
            <sz val="9"/>
            <color indexed="81"/>
            <rFont val="Tahoma"/>
            <family val="2"/>
          </rPr>
          <t>Mai Brit Svendsen:</t>
        </r>
        <r>
          <rPr>
            <sz val="9"/>
            <color indexed="81"/>
            <rFont val="Tahoma"/>
            <family val="2"/>
          </rPr>
          <t xml:space="preserve">
Gram Nox-utslipp 20-28 tonn spredt bebyggelse</t>
        </r>
      </text>
    </comment>
    <comment ref="X235" authorId="2" shapeId="0" xr:uid="{316306F9-88C6-4C52-9D06-021F015F5429}">
      <text>
        <r>
          <rPr>
            <b/>
            <sz val="9"/>
            <color indexed="81"/>
            <rFont val="Tahoma"/>
            <family val="2"/>
          </rPr>
          <t>Mai Brit Svendsen:</t>
        </r>
        <r>
          <rPr>
            <sz val="9"/>
            <color indexed="81"/>
            <rFont val="Tahoma"/>
            <family val="2"/>
          </rPr>
          <t xml:space="preserve">
Gram Nox-utslipp 28-40 tonn store tettsted</t>
        </r>
      </text>
    </comment>
    <comment ref="Z235" authorId="2" shapeId="0" xr:uid="{FD2274AB-1E9D-4033-AB9D-7C9715AF9A0C}">
      <text>
        <r>
          <rPr>
            <b/>
            <sz val="9"/>
            <color indexed="81"/>
            <rFont val="Tahoma"/>
            <family val="2"/>
          </rPr>
          <t>Mai Brit Svendsen:</t>
        </r>
        <r>
          <rPr>
            <sz val="9"/>
            <color indexed="81"/>
            <rFont val="Tahoma"/>
            <family val="2"/>
          </rPr>
          <t xml:space="preserve">
Gram Nox-utslipp 28-40 tonn små tettsted</t>
        </r>
      </text>
    </comment>
    <comment ref="AB235" authorId="2" shapeId="0" xr:uid="{0A3D731A-6A23-4434-864D-6DDAE7892EFC}">
      <text>
        <r>
          <rPr>
            <b/>
            <sz val="9"/>
            <color indexed="81"/>
            <rFont val="Tahoma"/>
            <family val="2"/>
          </rPr>
          <t>Mai Brit Svendsen:</t>
        </r>
        <r>
          <rPr>
            <sz val="9"/>
            <color indexed="81"/>
            <rFont val="Tahoma"/>
            <family val="2"/>
          </rPr>
          <t xml:space="preserve">
Gram Nox-utslipp 28-40 tonn spredt bebyggelse</t>
        </r>
      </text>
    </comment>
    <comment ref="AD235" authorId="2" shapeId="0" xr:uid="{82D23A3D-B256-403A-ACB4-787A0E9CD791}">
      <text>
        <r>
          <rPr>
            <b/>
            <sz val="9"/>
            <color indexed="81"/>
            <rFont val="Tahoma"/>
            <family val="2"/>
          </rPr>
          <t>Mai Brit Svendsen:</t>
        </r>
        <r>
          <rPr>
            <sz val="9"/>
            <color indexed="81"/>
            <rFont val="Tahoma"/>
            <family val="2"/>
          </rPr>
          <t xml:space="preserve">
Gram Nox-utslipp 40-50 tonn store tettsted</t>
        </r>
      </text>
    </comment>
    <comment ref="AF235" authorId="2" shapeId="0" xr:uid="{A09FDB92-CE83-4CAF-A679-750298A62613}">
      <text>
        <r>
          <rPr>
            <b/>
            <sz val="9"/>
            <color indexed="81"/>
            <rFont val="Tahoma"/>
            <family val="2"/>
          </rPr>
          <t>Mai Brit Svendsen:</t>
        </r>
        <r>
          <rPr>
            <sz val="9"/>
            <color indexed="81"/>
            <rFont val="Tahoma"/>
            <family val="2"/>
          </rPr>
          <t xml:space="preserve">
Gram Nox-utslipp 40-50 tonn små tettsted</t>
        </r>
      </text>
    </comment>
    <comment ref="AH235" authorId="2" shapeId="0" xr:uid="{E9C74A0E-3E2D-41AB-99F1-A4972C48BC76}">
      <text>
        <r>
          <rPr>
            <b/>
            <sz val="9"/>
            <color indexed="81"/>
            <rFont val="Tahoma"/>
            <family val="2"/>
          </rPr>
          <t>Mai Brit Svendsen:</t>
        </r>
        <r>
          <rPr>
            <sz val="9"/>
            <color indexed="81"/>
            <rFont val="Tahoma"/>
            <family val="2"/>
          </rPr>
          <t xml:space="preserve">
Gram Nox-utslipp 40-50 tonn spredt bebyggelse</t>
        </r>
      </text>
    </comment>
    <comment ref="F236" authorId="1" shapeId="0" xr:uid="{FA9B7F5F-3D04-4D76-B23A-FFD85380E581}">
      <text>
        <r>
          <rPr>
            <b/>
            <sz val="9"/>
            <color indexed="81"/>
            <rFont val="Tahoma"/>
            <family val="2"/>
          </rPr>
          <t>Malene Nerland:</t>
        </r>
        <r>
          <rPr>
            <sz val="9"/>
            <color indexed="81"/>
            <rFont val="Tahoma"/>
            <family val="2"/>
          </rPr>
          <t xml:space="preserve">
Gram NoX-utslipp store tettsted</t>
        </r>
      </text>
    </comment>
    <comment ref="H236" authorId="2" shapeId="0" xr:uid="{34BAF0B6-B343-4845-A235-0AABCB4E2719}">
      <text>
        <r>
          <rPr>
            <b/>
            <sz val="9"/>
            <color indexed="81"/>
            <rFont val="Tahoma"/>
            <family val="2"/>
          </rPr>
          <t>Mai Brit Svendsen:</t>
        </r>
        <r>
          <rPr>
            <sz val="9"/>
            <color indexed="81"/>
            <rFont val="Tahoma"/>
            <family val="2"/>
          </rPr>
          <t xml:space="preserve">
Gram Nox-utslipp små tettsted</t>
        </r>
      </text>
    </comment>
    <comment ref="J236" authorId="2" shapeId="0" xr:uid="{B327308E-5941-401A-A179-E2F7131FE3D3}">
      <text>
        <r>
          <rPr>
            <b/>
            <sz val="9"/>
            <color indexed="81"/>
            <rFont val="Tahoma"/>
            <family val="2"/>
          </rPr>
          <t>Mai Brit Svendsen:</t>
        </r>
        <r>
          <rPr>
            <sz val="9"/>
            <color indexed="81"/>
            <rFont val="Tahoma"/>
            <family val="2"/>
          </rPr>
          <t xml:space="preserve">
Gram Nox-utslipp spredt bebyggelse</t>
        </r>
      </text>
    </comment>
    <comment ref="F237" authorId="1" shapeId="0" xr:uid="{50A18BCF-355D-4AF2-B271-D65FCF7B76EF}">
      <text>
        <r>
          <rPr>
            <b/>
            <sz val="9"/>
            <color indexed="81"/>
            <rFont val="Tahoma"/>
            <family val="2"/>
          </rPr>
          <t>Malene Nerland:</t>
        </r>
        <r>
          <rPr>
            <sz val="9"/>
            <color indexed="81"/>
            <rFont val="Tahoma"/>
            <family val="2"/>
          </rPr>
          <t xml:space="preserve">
Container 8500 dwt</t>
        </r>
      </text>
    </comment>
    <comment ref="H237" authorId="1" shapeId="0" xr:uid="{3169D115-E6B9-47DD-A856-92CC64F3B8E5}">
      <text>
        <r>
          <rPr>
            <b/>
            <sz val="9"/>
            <color indexed="81"/>
            <rFont val="Tahoma"/>
            <family val="2"/>
          </rPr>
          <t>Malene Nerland:</t>
        </r>
        <r>
          <rPr>
            <sz val="9"/>
            <color indexed="81"/>
            <rFont val="Tahoma"/>
            <family val="2"/>
          </rPr>
          <t xml:space="preserve">
Container 5200 dwt</t>
        </r>
      </text>
    </comment>
    <comment ref="J237" authorId="1" shapeId="0" xr:uid="{C2EA60B0-FD31-442C-921E-573F65DCBCE8}">
      <text>
        <r>
          <rPr>
            <b/>
            <sz val="9"/>
            <color indexed="81"/>
            <rFont val="Tahoma"/>
            <family val="2"/>
          </rPr>
          <t>Malene Nerland:</t>
        </r>
        <r>
          <rPr>
            <sz val="9"/>
            <color indexed="81"/>
            <rFont val="Tahoma"/>
            <family val="2"/>
          </rPr>
          <t xml:space="preserve">
Break Bulk 17000 dwt</t>
        </r>
      </text>
    </comment>
    <comment ref="L237" authorId="1" shapeId="0" xr:uid="{E3F40FFC-F881-4BEE-AD3E-1C83D58B49EB}">
      <text>
        <r>
          <rPr>
            <b/>
            <sz val="9"/>
            <color indexed="81"/>
            <rFont val="Tahoma"/>
            <family val="2"/>
          </rPr>
          <t>Malene Nerland:</t>
        </r>
        <r>
          <rPr>
            <sz val="9"/>
            <color indexed="81"/>
            <rFont val="Tahoma"/>
            <family val="2"/>
          </rPr>
          <t xml:space="preserve">
Dry bulk 2500 dwt</t>
        </r>
      </text>
    </comment>
    <comment ref="N237" authorId="1" shapeId="0" xr:uid="{13E3AD8B-C679-4083-92CC-A74583C8813B}">
      <text>
        <r>
          <rPr>
            <b/>
            <sz val="9"/>
            <color indexed="81"/>
            <rFont val="Tahoma"/>
            <family val="2"/>
          </rPr>
          <t>Malene Nerland:</t>
        </r>
        <r>
          <rPr>
            <sz val="9"/>
            <color indexed="81"/>
            <rFont val="Tahoma"/>
            <family val="2"/>
          </rPr>
          <t xml:space="preserve">
Ro-RO 8000 dwt</t>
        </r>
      </text>
    </comment>
    <comment ref="P237" authorId="1" shapeId="0" xr:uid="{7DF75FC6-DA3E-4D99-891E-E2FE01F65748}">
      <text>
        <r>
          <rPr>
            <b/>
            <sz val="9"/>
            <color indexed="81"/>
            <rFont val="Tahoma"/>
            <family val="2"/>
          </rPr>
          <t>Malene Nerland:</t>
        </r>
        <r>
          <rPr>
            <sz val="9"/>
            <color indexed="81"/>
            <rFont val="Tahoma"/>
            <family val="2"/>
          </rPr>
          <t xml:space="preserve">
Tanker vessel 3500 dwt</t>
        </r>
      </text>
    </comment>
    <comment ref="R237" authorId="1" shapeId="0" xr:uid="{D2E619A1-98E4-4426-A16C-4511120E471F}">
      <text>
        <r>
          <rPr>
            <b/>
            <sz val="9"/>
            <color indexed="81"/>
            <rFont val="Tahoma"/>
            <family val="2"/>
          </rPr>
          <t>Malene Nerland:</t>
        </r>
        <r>
          <rPr>
            <sz val="9"/>
            <color indexed="81"/>
            <rFont val="Tahoma"/>
            <family val="2"/>
          </rPr>
          <t xml:space="preserve">
Stykkgodsskip 2530 dwt</t>
        </r>
      </text>
    </comment>
    <comment ref="T237" authorId="1" shapeId="0" xr:uid="{383CB7C8-AF29-4F85-B443-8810F1013B89}">
      <text>
        <r>
          <rPr>
            <b/>
            <sz val="9"/>
            <color indexed="81"/>
            <rFont val="Tahoma"/>
            <family val="2"/>
          </rPr>
          <t>Malene Nerland:</t>
        </r>
        <r>
          <rPr>
            <sz val="9"/>
            <color indexed="81"/>
            <rFont val="Tahoma"/>
            <family val="2"/>
          </rPr>
          <t xml:space="preserve">
Stykkgodsskip 4440 dwt</t>
        </r>
      </text>
    </comment>
    <comment ref="L239" authorId="1" shapeId="0" xr:uid="{030EFAEC-7050-4BBE-AF35-14E942E176C4}">
      <text>
        <r>
          <rPr>
            <b/>
            <sz val="9"/>
            <color indexed="81"/>
            <rFont val="Tahoma"/>
            <family val="2"/>
          </rPr>
          <t>Malene Nerland:</t>
        </r>
        <r>
          <rPr>
            <sz val="9"/>
            <color indexed="81"/>
            <rFont val="Tahoma"/>
            <family val="2"/>
          </rPr>
          <t xml:space="preserve">
PM10-utslipp per liter diesel.</t>
        </r>
      </text>
    </comment>
    <comment ref="L245" authorId="1" shapeId="0" xr:uid="{00000000-0006-0000-0500-000063000000}">
      <text>
        <r>
          <rPr>
            <b/>
            <sz val="9"/>
            <color indexed="81"/>
            <rFont val="Tahoma"/>
            <family val="2"/>
          </rPr>
          <t>Malene Nerland:</t>
        </r>
        <r>
          <rPr>
            <sz val="9"/>
            <color indexed="81"/>
            <rFont val="Tahoma"/>
            <family val="2"/>
          </rPr>
          <t xml:space="preserve">
CO2utslipp per liter diesel.</t>
        </r>
      </text>
    </comment>
    <comment ref="L246" authorId="1" shapeId="0" xr:uid="{00000000-0006-0000-0500-000064000000}">
      <text>
        <r>
          <rPr>
            <b/>
            <sz val="9"/>
            <color indexed="81"/>
            <rFont val="Tahoma"/>
            <family val="2"/>
          </rPr>
          <t>Malene Nerland:</t>
        </r>
        <r>
          <rPr>
            <sz val="9"/>
            <color indexed="81"/>
            <rFont val="Tahoma"/>
            <family val="2"/>
          </rPr>
          <t xml:space="preserve">
CO2utslipp per liter diesel.</t>
        </r>
      </text>
    </comment>
    <comment ref="F252" authorId="1" shapeId="0" xr:uid="{3DE38412-16B7-416C-AE57-9F4ED953D936}">
      <text>
        <r>
          <rPr>
            <b/>
            <sz val="9"/>
            <color indexed="81"/>
            <rFont val="Tahoma"/>
            <family val="2"/>
          </rPr>
          <t>Malene Nerland:</t>
        </r>
        <r>
          <rPr>
            <sz val="9"/>
            <color indexed="81"/>
            <rFont val="Tahoma"/>
            <family val="2"/>
          </rPr>
          <t xml:space="preserve">
Container 8500 dwt</t>
        </r>
      </text>
    </comment>
    <comment ref="H252" authorId="1" shapeId="0" xr:uid="{F2BCE93C-BB88-4B99-8347-F3337A4B7632}">
      <text>
        <r>
          <rPr>
            <b/>
            <sz val="9"/>
            <color indexed="81"/>
            <rFont val="Tahoma"/>
            <family val="2"/>
          </rPr>
          <t>Malene Nerland:</t>
        </r>
        <r>
          <rPr>
            <sz val="9"/>
            <color indexed="81"/>
            <rFont val="Tahoma"/>
            <family val="2"/>
          </rPr>
          <t xml:space="preserve">
Container 5200 dwt</t>
        </r>
      </text>
    </comment>
    <comment ref="J252" authorId="1" shapeId="0" xr:uid="{CE6A7ACE-B785-427D-A760-B017A8F86736}">
      <text>
        <r>
          <rPr>
            <b/>
            <sz val="9"/>
            <color indexed="81"/>
            <rFont val="Tahoma"/>
            <family val="2"/>
          </rPr>
          <t>Malene Nerland:</t>
        </r>
        <r>
          <rPr>
            <sz val="9"/>
            <color indexed="81"/>
            <rFont val="Tahoma"/>
            <family val="2"/>
          </rPr>
          <t xml:space="preserve">
Break Bulk 17000 dwt</t>
        </r>
      </text>
    </comment>
    <comment ref="L252" authorId="1" shapeId="0" xr:uid="{E4C6C98F-5C03-4935-AA02-D84C88B63974}">
      <text>
        <r>
          <rPr>
            <b/>
            <sz val="9"/>
            <color indexed="81"/>
            <rFont val="Tahoma"/>
            <family val="2"/>
          </rPr>
          <t>Malene Nerland:</t>
        </r>
        <r>
          <rPr>
            <sz val="9"/>
            <color indexed="81"/>
            <rFont val="Tahoma"/>
            <family val="2"/>
          </rPr>
          <t xml:space="preserve">
Dry bulk 2500 dwt</t>
        </r>
      </text>
    </comment>
    <comment ref="N252" authorId="1" shapeId="0" xr:uid="{B3436F16-FC37-48B3-AB0D-7A7532CF3489}">
      <text>
        <r>
          <rPr>
            <b/>
            <sz val="9"/>
            <color indexed="81"/>
            <rFont val="Tahoma"/>
            <family val="2"/>
          </rPr>
          <t>Malene Nerland:</t>
        </r>
        <r>
          <rPr>
            <sz val="9"/>
            <color indexed="81"/>
            <rFont val="Tahoma"/>
            <family val="2"/>
          </rPr>
          <t xml:space="preserve">
Ro-RO 8000 dwt</t>
        </r>
      </text>
    </comment>
    <comment ref="P252" authorId="1" shapeId="0" xr:uid="{1808750E-571A-414B-94D8-7F1D28F5B564}">
      <text>
        <r>
          <rPr>
            <b/>
            <sz val="9"/>
            <color indexed="81"/>
            <rFont val="Tahoma"/>
            <family val="2"/>
          </rPr>
          <t>Malene Nerland:</t>
        </r>
        <r>
          <rPr>
            <sz val="9"/>
            <color indexed="81"/>
            <rFont val="Tahoma"/>
            <family val="2"/>
          </rPr>
          <t xml:space="preserve">
Tanker vessel 3500 dwt</t>
        </r>
      </text>
    </comment>
    <comment ref="R252" authorId="1" shapeId="0" xr:uid="{D09B5B78-411F-4A90-955B-51AEFB777516}">
      <text>
        <r>
          <rPr>
            <b/>
            <sz val="9"/>
            <color indexed="81"/>
            <rFont val="Tahoma"/>
            <family val="2"/>
          </rPr>
          <t>Malene Nerland:</t>
        </r>
        <r>
          <rPr>
            <sz val="9"/>
            <color indexed="81"/>
            <rFont val="Tahoma"/>
            <family val="2"/>
          </rPr>
          <t xml:space="preserve">
Stykkgodsskip 2530 dwt</t>
        </r>
      </text>
    </comment>
    <comment ref="T252" authorId="1" shapeId="0" xr:uid="{F2BC8A5A-6041-47D3-BD4D-4C3D1BA8C6BE}">
      <text>
        <r>
          <rPr>
            <b/>
            <sz val="9"/>
            <color indexed="81"/>
            <rFont val="Tahoma"/>
            <family val="2"/>
          </rPr>
          <t>Malene Nerland:</t>
        </r>
        <r>
          <rPr>
            <sz val="9"/>
            <color indexed="81"/>
            <rFont val="Tahoma"/>
            <family val="2"/>
          </rPr>
          <t xml:space="preserve">
Stykkgodsskip 4440 dwt</t>
        </r>
      </text>
    </comment>
    <comment ref="F253" authorId="1" shapeId="0" xr:uid="{AE7A60DD-F04B-4C5F-ADCE-066EE3C5016C}">
      <text>
        <r>
          <rPr>
            <b/>
            <sz val="9"/>
            <color indexed="81"/>
            <rFont val="Tahoma"/>
            <family val="2"/>
          </rPr>
          <t>Malene Nerland:</t>
        </r>
        <r>
          <rPr>
            <sz val="9"/>
            <color indexed="81"/>
            <rFont val="Tahoma"/>
            <family val="2"/>
          </rPr>
          <t xml:space="preserve">
Container 8500 dwt</t>
        </r>
      </text>
    </comment>
    <comment ref="H253" authorId="1" shapeId="0" xr:uid="{CD908964-C385-4CAD-86C9-BA088ABD0031}">
      <text>
        <r>
          <rPr>
            <b/>
            <sz val="9"/>
            <color indexed="81"/>
            <rFont val="Tahoma"/>
            <family val="2"/>
          </rPr>
          <t>Malene Nerland:</t>
        </r>
        <r>
          <rPr>
            <sz val="9"/>
            <color indexed="81"/>
            <rFont val="Tahoma"/>
            <family val="2"/>
          </rPr>
          <t xml:space="preserve">
Container 5200 dwt</t>
        </r>
      </text>
    </comment>
    <comment ref="J253" authorId="1" shapeId="0" xr:uid="{5A704488-09F3-42F7-AC27-D05F679EE12E}">
      <text>
        <r>
          <rPr>
            <b/>
            <sz val="9"/>
            <color indexed="81"/>
            <rFont val="Tahoma"/>
            <family val="2"/>
          </rPr>
          <t>Malene Nerland:</t>
        </r>
        <r>
          <rPr>
            <sz val="9"/>
            <color indexed="81"/>
            <rFont val="Tahoma"/>
            <family val="2"/>
          </rPr>
          <t xml:space="preserve">
Break Bulk 17000 dwt</t>
        </r>
      </text>
    </comment>
    <comment ref="L253" authorId="1" shapeId="0" xr:uid="{BB0C12D5-3297-4854-B02C-36B3946F699C}">
      <text>
        <r>
          <rPr>
            <b/>
            <sz val="9"/>
            <color indexed="81"/>
            <rFont val="Tahoma"/>
            <family val="2"/>
          </rPr>
          <t>Malene Nerland:</t>
        </r>
        <r>
          <rPr>
            <sz val="9"/>
            <color indexed="81"/>
            <rFont val="Tahoma"/>
            <family val="2"/>
          </rPr>
          <t xml:space="preserve">
Dry bulk 2500 dwt</t>
        </r>
      </text>
    </comment>
    <comment ref="N253" authorId="1" shapeId="0" xr:uid="{BF708901-13EE-4761-8E72-10D6CD66D741}">
      <text>
        <r>
          <rPr>
            <b/>
            <sz val="9"/>
            <color indexed="81"/>
            <rFont val="Tahoma"/>
            <family val="2"/>
          </rPr>
          <t>Malene Nerland:</t>
        </r>
        <r>
          <rPr>
            <sz val="9"/>
            <color indexed="81"/>
            <rFont val="Tahoma"/>
            <family val="2"/>
          </rPr>
          <t xml:space="preserve">
Ro-RO 8000 dwt</t>
        </r>
      </text>
    </comment>
    <comment ref="P253" authorId="1" shapeId="0" xr:uid="{DB877BDF-F1E8-4875-8CCA-9412AB685981}">
      <text>
        <r>
          <rPr>
            <b/>
            <sz val="9"/>
            <color indexed="81"/>
            <rFont val="Tahoma"/>
            <family val="2"/>
          </rPr>
          <t>Malene Nerland:</t>
        </r>
        <r>
          <rPr>
            <sz val="9"/>
            <color indexed="81"/>
            <rFont val="Tahoma"/>
            <family val="2"/>
          </rPr>
          <t xml:space="preserve">
Tanker vessel 3500 dwt</t>
        </r>
      </text>
    </comment>
    <comment ref="R253" authorId="1" shapeId="0" xr:uid="{08BF8D93-32D4-4560-98D0-F98BA5DFC9F7}">
      <text>
        <r>
          <rPr>
            <b/>
            <sz val="9"/>
            <color indexed="81"/>
            <rFont val="Tahoma"/>
            <family val="2"/>
          </rPr>
          <t>Malene Nerland:</t>
        </r>
        <r>
          <rPr>
            <sz val="9"/>
            <color indexed="81"/>
            <rFont val="Tahoma"/>
            <family val="2"/>
          </rPr>
          <t xml:space="preserve">
Stykkgodsskip 2530 dwt</t>
        </r>
      </text>
    </comment>
    <comment ref="T253" authorId="1" shapeId="0" xr:uid="{FCD5E432-EC24-456E-9B69-1485C05E3CF1}">
      <text>
        <r>
          <rPr>
            <b/>
            <sz val="9"/>
            <color indexed="81"/>
            <rFont val="Tahoma"/>
            <family val="2"/>
          </rPr>
          <t>Malene Nerland:</t>
        </r>
        <r>
          <rPr>
            <sz val="9"/>
            <color indexed="81"/>
            <rFont val="Tahoma"/>
            <family val="2"/>
          </rPr>
          <t xml:space="preserve">
Stykkgodsskip 4440 dwt</t>
        </r>
      </text>
    </comment>
    <comment ref="F254" authorId="1" shapeId="0" xr:uid="{B07DE4D0-4757-4B2F-B576-4E033A2D4BAF}">
      <text>
        <r>
          <rPr>
            <b/>
            <sz val="9"/>
            <color indexed="81"/>
            <rFont val="Tahoma"/>
            <family val="2"/>
          </rPr>
          <t>Malene Nerland:</t>
        </r>
        <r>
          <rPr>
            <sz val="9"/>
            <color indexed="81"/>
            <rFont val="Tahoma"/>
            <family val="2"/>
          </rPr>
          <t xml:space="preserve">
Container 8500 dwt</t>
        </r>
      </text>
    </comment>
    <comment ref="H254" authorId="1" shapeId="0" xr:uid="{34DAE48C-8537-4B28-B495-9C0C6A8260FB}">
      <text>
        <r>
          <rPr>
            <b/>
            <sz val="9"/>
            <color indexed="81"/>
            <rFont val="Tahoma"/>
            <family val="2"/>
          </rPr>
          <t>Malene Nerland:</t>
        </r>
        <r>
          <rPr>
            <sz val="9"/>
            <color indexed="81"/>
            <rFont val="Tahoma"/>
            <family val="2"/>
          </rPr>
          <t xml:space="preserve">
Container 5200 dwt</t>
        </r>
      </text>
    </comment>
    <comment ref="J254" authorId="1" shapeId="0" xr:uid="{85D3E55A-014C-4BC9-A8D3-6CF06965764B}">
      <text>
        <r>
          <rPr>
            <b/>
            <sz val="9"/>
            <color indexed="81"/>
            <rFont val="Tahoma"/>
            <family val="2"/>
          </rPr>
          <t>Malene Nerland:</t>
        </r>
        <r>
          <rPr>
            <sz val="9"/>
            <color indexed="81"/>
            <rFont val="Tahoma"/>
            <family val="2"/>
          </rPr>
          <t xml:space="preserve">
Break Bulk 17000 dwt</t>
        </r>
      </text>
    </comment>
    <comment ref="L254" authorId="1" shapeId="0" xr:uid="{75408DA4-8F2B-4207-BD77-22E9D2483FE6}">
      <text>
        <r>
          <rPr>
            <b/>
            <sz val="9"/>
            <color indexed="81"/>
            <rFont val="Tahoma"/>
            <family val="2"/>
          </rPr>
          <t>Malene Nerland:</t>
        </r>
        <r>
          <rPr>
            <sz val="9"/>
            <color indexed="81"/>
            <rFont val="Tahoma"/>
            <family val="2"/>
          </rPr>
          <t xml:space="preserve">
Dry bulk 2500 dwt</t>
        </r>
      </text>
    </comment>
    <comment ref="N254" authorId="1" shapeId="0" xr:uid="{5655DF07-EA03-45CA-BB28-1410C6BF0E18}">
      <text>
        <r>
          <rPr>
            <b/>
            <sz val="9"/>
            <color indexed="81"/>
            <rFont val="Tahoma"/>
            <family val="2"/>
          </rPr>
          <t>Malene Nerland:</t>
        </r>
        <r>
          <rPr>
            <sz val="9"/>
            <color indexed="81"/>
            <rFont val="Tahoma"/>
            <family val="2"/>
          </rPr>
          <t xml:space="preserve">
Ro-RO 8000 dwt</t>
        </r>
      </text>
    </comment>
    <comment ref="P254" authorId="1" shapeId="0" xr:uid="{B4726B8D-AD7A-4CB3-A4B7-64B57674A07C}">
      <text>
        <r>
          <rPr>
            <b/>
            <sz val="9"/>
            <color indexed="81"/>
            <rFont val="Tahoma"/>
            <family val="2"/>
          </rPr>
          <t>Malene Nerland:</t>
        </r>
        <r>
          <rPr>
            <sz val="9"/>
            <color indexed="81"/>
            <rFont val="Tahoma"/>
            <family val="2"/>
          </rPr>
          <t xml:space="preserve">
Tanker vessel 3500 dwt</t>
        </r>
      </text>
    </comment>
    <comment ref="R254" authorId="1" shapeId="0" xr:uid="{F040AF70-084E-4731-BFB8-B6DD4B637FAE}">
      <text>
        <r>
          <rPr>
            <b/>
            <sz val="9"/>
            <color indexed="81"/>
            <rFont val="Tahoma"/>
            <family val="2"/>
          </rPr>
          <t>Malene Nerland:</t>
        </r>
        <r>
          <rPr>
            <sz val="9"/>
            <color indexed="81"/>
            <rFont val="Tahoma"/>
            <family val="2"/>
          </rPr>
          <t xml:space="preserve">
Stykkgodsskip 2530 dwt</t>
        </r>
      </text>
    </comment>
    <comment ref="T254" authorId="1" shapeId="0" xr:uid="{08332A40-4279-467A-AB35-3355202C6A13}">
      <text>
        <r>
          <rPr>
            <b/>
            <sz val="9"/>
            <color indexed="81"/>
            <rFont val="Tahoma"/>
            <family val="2"/>
          </rPr>
          <t>Malene Nerland:</t>
        </r>
        <r>
          <rPr>
            <sz val="9"/>
            <color indexed="81"/>
            <rFont val="Tahoma"/>
            <family val="2"/>
          </rPr>
          <t xml:space="preserve">
Stykkgodsskip 4440 dwt</t>
        </r>
      </text>
    </comment>
    <comment ref="F257" authorId="1" shapeId="0" xr:uid="{4DD4490B-B20C-47EF-A7CB-6E06AD6AF683}">
      <text>
        <r>
          <rPr>
            <b/>
            <sz val="9"/>
            <color indexed="81"/>
            <rFont val="Tahoma"/>
            <family val="2"/>
          </rPr>
          <t>Malene Nerland:</t>
        </r>
        <r>
          <rPr>
            <sz val="9"/>
            <color indexed="81"/>
            <rFont val="Tahoma"/>
            <family val="2"/>
          </rPr>
          <t xml:space="preserve">
7,5-14t
</t>
        </r>
      </text>
    </comment>
    <comment ref="H257" authorId="1" shapeId="0" xr:uid="{40223B15-A291-47E5-A9CA-F1E271171C53}">
      <text>
        <r>
          <rPr>
            <b/>
            <sz val="9"/>
            <color indexed="81"/>
            <rFont val="Tahoma"/>
            <family val="2"/>
          </rPr>
          <t>Malene Nerland:</t>
        </r>
        <r>
          <rPr>
            <sz val="9"/>
            <color indexed="81"/>
            <rFont val="Tahoma"/>
            <family val="2"/>
          </rPr>
          <t xml:space="preserve">
14-20t
</t>
        </r>
      </text>
    </comment>
    <comment ref="J257" authorId="1" shapeId="0" xr:uid="{3DDB765C-C3BB-464C-A657-31A268C65EAB}">
      <text>
        <r>
          <rPr>
            <b/>
            <sz val="9"/>
            <color indexed="81"/>
            <rFont val="Tahoma"/>
            <family val="2"/>
          </rPr>
          <t>Malene Nerland:</t>
        </r>
        <r>
          <rPr>
            <sz val="9"/>
            <color indexed="81"/>
            <rFont val="Tahoma"/>
            <family val="2"/>
          </rPr>
          <t xml:space="preserve">
20-28t</t>
        </r>
      </text>
    </comment>
    <comment ref="L257" authorId="1" shapeId="0" xr:uid="{E50B8D22-5C75-4B0F-93B6-98F4AC62B438}">
      <text>
        <r>
          <rPr>
            <b/>
            <sz val="9"/>
            <color indexed="81"/>
            <rFont val="Tahoma"/>
            <family val="2"/>
          </rPr>
          <t>Malene Nerland:</t>
        </r>
        <r>
          <rPr>
            <sz val="9"/>
            <color indexed="81"/>
            <rFont val="Tahoma"/>
            <family val="2"/>
          </rPr>
          <t xml:space="preserve">
28-40t</t>
        </r>
      </text>
    </comment>
    <comment ref="N257" authorId="2" shapeId="0" xr:uid="{086D2B29-68CF-4CC5-AFEA-7C9E49875150}">
      <text>
        <r>
          <rPr>
            <b/>
            <sz val="9"/>
            <color indexed="81"/>
            <rFont val="Tahoma"/>
            <family val="2"/>
          </rPr>
          <t>Mai Brit Svendsen:</t>
        </r>
        <r>
          <rPr>
            <sz val="9"/>
            <color indexed="81"/>
            <rFont val="Tahoma"/>
            <family val="2"/>
          </rPr>
          <t xml:space="preserve">
40-50t</t>
        </r>
      </text>
    </comment>
    <comment ref="F259" authorId="1" shapeId="0" xr:uid="{00000000-0006-0000-0500-000065000000}">
      <text>
        <r>
          <rPr>
            <b/>
            <sz val="9"/>
            <color indexed="81"/>
            <rFont val="Tahoma"/>
            <family val="2"/>
          </rPr>
          <t>Malene Nerland:</t>
        </r>
        <r>
          <rPr>
            <sz val="9"/>
            <color indexed="81"/>
            <rFont val="Tahoma"/>
            <family val="2"/>
          </rPr>
          <t xml:space="preserve">
Forbruk for en container 8500 dwt. Omregnet fra co2-utslipp og utslippsforhold mellom CO2 og HFO-drivstoff.
</t>
        </r>
      </text>
    </comment>
    <comment ref="L259" authorId="1" shapeId="0" xr:uid="{00000000-0006-0000-0500-000066000000}">
      <text>
        <r>
          <rPr>
            <b/>
            <sz val="9"/>
            <color indexed="81"/>
            <rFont val="Tahoma"/>
            <family val="2"/>
          </rPr>
          <t>Malene Nerland:</t>
        </r>
        <r>
          <rPr>
            <sz val="9"/>
            <color indexed="81"/>
            <rFont val="Tahoma"/>
            <family val="2"/>
          </rPr>
          <t xml:space="preserve">
Andelen overført kjøretøykm fra containerksip til jernbane.</t>
        </r>
      </text>
    </comment>
    <comment ref="F260" authorId="1" shapeId="0" xr:uid="{00000000-0006-0000-0500-000067000000}">
      <text>
        <r>
          <rPr>
            <b/>
            <sz val="9"/>
            <color indexed="81"/>
            <rFont val="Tahoma"/>
            <family val="2"/>
          </rPr>
          <t>Malene Nerland:</t>
        </r>
        <r>
          <rPr>
            <sz val="9"/>
            <color indexed="81"/>
            <rFont val="Tahoma"/>
            <family val="2"/>
          </rPr>
          <t xml:space="preserve">
Forbruk for en container 5200 dwt. 
</t>
        </r>
      </text>
    </comment>
    <comment ref="L260" authorId="1" shapeId="0" xr:uid="{00000000-0006-0000-0500-000068000000}">
      <text>
        <r>
          <rPr>
            <b/>
            <sz val="9"/>
            <color indexed="81"/>
            <rFont val="Tahoma"/>
            <family val="2"/>
          </rPr>
          <t>Malene Nerland:</t>
        </r>
        <r>
          <rPr>
            <sz val="9"/>
            <color indexed="81"/>
            <rFont val="Tahoma"/>
            <family val="2"/>
          </rPr>
          <t xml:space="preserve">
Andelen overført kjøretøykm fra containerksip til jernbane.</t>
        </r>
      </text>
    </comment>
    <comment ref="F261" authorId="1" shapeId="0" xr:uid="{00000000-0006-0000-0500-000069000000}">
      <text>
        <r>
          <rPr>
            <b/>
            <sz val="9"/>
            <color indexed="81"/>
            <rFont val="Tahoma"/>
            <family val="2"/>
          </rPr>
          <t>Malene Nerland:</t>
        </r>
        <r>
          <rPr>
            <sz val="9"/>
            <color indexed="81"/>
            <rFont val="Tahoma"/>
            <family val="2"/>
          </rPr>
          <t xml:space="preserve">
Forbruk for en break bulk (bulk skip) 17000 dwt. </t>
        </r>
      </text>
    </comment>
    <comment ref="L261" authorId="1" shapeId="0" xr:uid="{00000000-0006-0000-0500-00006A000000}">
      <text>
        <r>
          <rPr>
            <b/>
            <sz val="9"/>
            <color indexed="81"/>
            <rFont val="Tahoma"/>
            <family val="2"/>
          </rPr>
          <t>Malene Nerland:</t>
        </r>
        <r>
          <rPr>
            <sz val="9"/>
            <color indexed="81"/>
            <rFont val="Tahoma"/>
            <family val="2"/>
          </rPr>
          <t xml:space="preserve">
Andelen overført kjøretøykm fra break bulk til jernbane.</t>
        </r>
      </text>
    </comment>
    <comment ref="F262" authorId="1" shapeId="0" xr:uid="{00000000-0006-0000-0500-00006B000000}">
      <text>
        <r>
          <rPr>
            <b/>
            <sz val="9"/>
            <color indexed="81"/>
            <rFont val="Tahoma"/>
            <family val="2"/>
          </rPr>
          <t>Malene Nerland:</t>
        </r>
        <r>
          <rPr>
            <sz val="9"/>
            <color indexed="81"/>
            <rFont val="Tahoma"/>
            <family val="2"/>
          </rPr>
          <t xml:space="preserve">
Forbruk for en Dry bulk (Bulkskip) 2500 dwt. </t>
        </r>
      </text>
    </comment>
    <comment ref="L262" authorId="1" shapeId="0" xr:uid="{00000000-0006-0000-0500-00006C000000}">
      <text>
        <r>
          <rPr>
            <b/>
            <sz val="9"/>
            <color indexed="81"/>
            <rFont val="Tahoma"/>
            <family val="2"/>
          </rPr>
          <t>Malene Nerland:</t>
        </r>
        <r>
          <rPr>
            <sz val="9"/>
            <color indexed="81"/>
            <rFont val="Tahoma"/>
            <family val="2"/>
          </rPr>
          <t xml:space="preserve">
Andelen overført kjøretøykm fra dry bulk til jernbane.</t>
        </r>
      </text>
    </comment>
    <comment ref="F263" authorId="1" shapeId="0" xr:uid="{00000000-0006-0000-0500-00006D000000}">
      <text>
        <r>
          <rPr>
            <b/>
            <sz val="9"/>
            <color indexed="81"/>
            <rFont val="Tahoma"/>
            <family val="2"/>
          </rPr>
          <t>Malene Nerland:</t>
        </r>
        <r>
          <rPr>
            <sz val="9"/>
            <color indexed="81"/>
            <rFont val="Tahoma"/>
            <family val="2"/>
          </rPr>
          <t xml:space="preserve">
Forbruk for en Ro Ro last 8000 dwt.</t>
        </r>
      </text>
    </comment>
    <comment ref="L263" authorId="1" shapeId="0" xr:uid="{00000000-0006-0000-0500-00006E000000}">
      <text>
        <r>
          <rPr>
            <b/>
            <sz val="9"/>
            <color indexed="81"/>
            <rFont val="Tahoma"/>
            <family val="2"/>
          </rPr>
          <t>Malene Nerland:</t>
        </r>
        <r>
          <rPr>
            <sz val="9"/>
            <color indexed="81"/>
            <rFont val="Tahoma"/>
            <family val="2"/>
          </rPr>
          <t xml:space="preserve">
Andelen overført kjøretøykm fra ro ro last til jernbane.</t>
        </r>
      </text>
    </comment>
    <comment ref="F264" authorId="1" shapeId="0" xr:uid="{00000000-0006-0000-0500-00006F000000}">
      <text>
        <r>
          <rPr>
            <b/>
            <sz val="9"/>
            <color indexed="81"/>
            <rFont val="Tahoma"/>
            <family val="2"/>
          </rPr>
          <t>Malene Nerland:</t>
        </r>
        <r>
          <rPr>
            <sz val="9"/>
            <color indexed="81"/>
            <rFont val="Tahoma"/>
            <family val="2"/>
          </rPr>
          <t xml:space="preserve">
Forbruk for en Tanker vessel 3500 dwt. </t>
        </r>
      </text>
    </comment>
    <comment ref="L264" authorId="1" shapeId="0" xr:uid="{00000000-0006-0000-0500-000070000000}">
      <text>
        <r>
          <rPr>
            <b/>
            <sz val="9"/>
            <color indexed="81"/>
            <rFont val="Tahoma"/>
            <family val="2"/>
          </rPr>
          <t>Malene Nerland:</t>
        </r>
        <r>
          <rPr>
            <sz val="9"/>
            <color indexed="81"/>
            <rFont val="Tahoma"/>
            <family val="2"/>
          </rPr>
          <t xml:space="preserve">
Andelen overført kjøretøykm fra tanker vessel til jernbane.</t>
        </r>
      </text>
    </comment>
    <comment ref="F265" authorId="1" shapeId="0" xr:uid="{00000000-0006-0000-0500-000071000000}">
      <text>
        <r>
          <rPr>
            <b/>
            <sz val="9"/>
            <color indexed="81"/>
            <rFont val="Tahoma"/>
            <family val="2"/>
          </rPr>
          <t>Malene Nerland:</t>
        </r>
        <r>
          <rPr>
            <sz val="9"/>
            <color indexed="81"/>
            <rFont val="Tahoma"/>
            <family val="2"/>
          </rPr>
          <t xml:space="preserve">
Forbruk for en stykkgodsskip 2530 dwt. </t>
        </r>
      </text>
    </comment>
    <comment ref="L265" authorId="1" shapeId="0" xr:uid="{00000000-0006-0000-0500-000072000000}">
      <text>
        <r>
          <rPr>
            <b/>
            <sz val="9"/>
            <color indexed="81"/>
            <rFont val="Tahoma"/>
            <family val="2"/>
          </rPr>
          <t>Malene Nerland:</t>
        </r>
        <r>
          <rPr>
            <sz val="9"/>
            <color indexed="81"/>
            <rFont val="Tahoma"/>
            <family val="2"/>
          </rPr>
          <t xml:space="preserve">
Andelen overført kjøretøykm fra stykkgodsskip til jernbane.</t>
        </r>
      </text>
    </comment>
    <comment ref="F266" authorId="1" shapeId="0" xr:uid="{00000000-0006-0000-0500-000073000000}">
      <text>
        <r>
          <rPr>
            <b/>
            <sz val="9"/>
            <color indexed="81"/>
            <rFont val="Tahoma"/>
            <family val="2"/>
          </rPr>
          <t>Malene Nerland:</t>
        </r>
        <r>
          <rPr>
            <sz val="9"/>
            <color indexed="81"/>
            <rFont val="Tahoma"/>
            <family val="2"/>
          </rPr>
          <t xml:space="preserve">
Forbruk for en stykkgodsskip dwt. 
</t>
        </r>
      </text>
    </comment>
    <comment ref="L266" authorId="1" shapeId="0" xr:uid="{00000000-0006-0000-0500-000074000000}">
      <text>
        <r>
          <rPr>
            <b/>
            <sz val="9"/>
            <color indexed="81"/>
            <rFont val="Tahoma"/>
            <family val="2"/>
          </rPr>
          <t>Malene Nerland:</t>
        </r>
        <r>
          <rPr>
            <sz val="9"/>
            <color indexed="81"/>
            <rFont val="Tahoma"/>
            <family val="2"/>
          </rPr>
          <t xml:space="preserve">
Andelen overført kjøretøykm fra stykkgodsskip til jernbane.</t>
        </r>
      </text>
    </comment>
    <comment ref="F267" authorId="1" shapeId="0" xr:uid="{00000000-0006-0000-0500-000075000000}">
      <text>
        <r>
          <rPr>
            <b/>
            <sz val="9"/>
            <color indexed="81"/>
            <rFont val="Tahoma"/>
            <family val="2"/>
          </rPr>
          <t>Malene Nerland:</t>
        </r>
        <r>
          <rPr>
            <sz val="9"/>
            <color indexed="81"/>
            <rFont val="Tahoma"/>
            <family val="2"/>
          </rPr>
          <t xml:space="preserve">
Antall flyseter i en Airbus A319 fra SAS.</t>
        </r>
      </text>
    </comment>
    <comment ref="J267" authorId="1" shapeId="0" xr:uid="{00000000-0006-0000-0500-000076000000}">
      <text>
        <r>
          <rPr>
            <b/>
            <sz val="9"/>
            <color indexed="81"/>
            <rFont val="Tahoma"/>
            <family val="2"/>
          </rPr>
          <t>Malene Nerland:</t>
        </r>
        <r>
          <rPr>
            <sz val="9"/>
            <color indexed="81"/>
            <rFont val="Tahoma"/>
            <family val="2"/>
          </rPr>
          <t xml:space="preserve">
Antall flyseter i en Airbus A320 fra SAS.</t>
        </r>
      </text>
    </comment>
    <comment ref="N267" authorId="1" shapeId="0" xr:uid="{00000000-0006-0000-0500-000077000000}">
      <text>
        <r>
          <rPr>
            <b/>
            <sz val="9"/>
            <color indexed="81"/>
            <rFont val="Tahoma"/>
            <family val="2"/>
          </rPr>
          <t>Malene Nerland:</t>
        </r>
        <r>
          <rPr>
            <sz val="9"/>
            <color indexed="81"/>
            <rFont val="Tahoma"/>
            <family val="2"/>
          </rPr>
          <t xml:space="preserve">
Antall flyseter i en Airbus A320neo fra SAS.</t>
        </r>
      </text>
    </comment>
    <comment ref="R267" authorId="1" shapeId="0" xr:uid="{00000000-0006-0000-0500-000078000000}">
      <text>
        <r>
          <rPr>
            <b/>
            <sz val="9"/>
            <color indexed="81"/>
            <rFont val="Tahoma"/>
            <family val="2"/>
          </rPr>
          <t>Malene Nerland:</t>
        </r>
        <r>
          <rPr>
            <sz val="9"/>
            <color indexed="81"/>
            <rFont val="Tahoma"/>
            <family val="2"/>
          </rPr>
          <t xml:space="preserve">
Antall flyseter i en Airbus A321 fra SAS.</t>
        </r>
      </text>
    </comment>
    <comment ref="C269" authorId="1" shapeId="0" xr:uid="{BA7CFAE5-20F8-4503-AAE2-0073FDCBF44C}">
      <text>
        <r>
          <rPr>
            <b/>
            <sz val="9"/>
            <color indexed="81"/>
            <rFont val="Tahoma"/>
            <family val="2"/>
          </rPr>
          <t>Malene Nerland:</t>
        </r>
        <r>
          <rPr>
            <sz val="9"/>
            <color indexed="81"/>
            <rFont val="Tahoma"/>
            <family val="2"/>
          </rPr>
          <t xml:space="preserve">
Andelen overført kjøretøykm fra containerksip til jernbane.</t>
        </r>
      </text>
    </comment>
    <comment ref="C270" authorId="1" shapeId="0" xr:uid="{CB68C445-2F2D-440C-AAED-308B77AEB0F0}">
      <text>
        <r>
          <rPr>
            <b/>
            <sz val="9"/>
            <color indexed="81"/>
            <rFont val="Tahoma"/>
            <family val="2"/>
          </rPr>
          <t>Malene Nerland:</t>
        </r>
        <r>
          <rPr>
            <sz val="9"/>
            <color indexed="81"/>
            <rFont val="Tahoma"/>
            <family val="2"/>
          </rPr>
          <t xml:space="preserve">
Andelen overført kjøretøykm fra containerksip til jernbane.</t>
        </r>
      </text>
    </comment>
    <comment ref="C271" authorId="1" shapeId="0" xr:uid="{838BEB35-ED56-4D7F-BE2C-288C2B54C317}">
      <text>
        <r>
          <rPr>
            <b/>
            <sz val="9"/>
            <color indexed="81"/>
            <rFont val="Tahoma"/>
            <family val="2"/>
          </rPr>
          <t>Malene Nerland:</t>
        </r>
        <r>
          <rPr>
            <sz val="9"/>
            <color indexed="81"/>
            <rFont val="Tahoma"/>
            <family val="2"/>
          </rPr>
          <t xml:space="preserve">
Andelen overført kjøretøykm fra break bulk til jernbane.</t>
        </r>
      </text>
    </comment>
    <comment ref="C272" authorId="1" shapeId="0" xr:uid="{CF5F4D6F-1B4E-480B-A140-216CA8F3769F}">
      <text>
        <r>
          <rPr>
            <b/>
            <sz val="9"/>
            <color indexed="81"/>
            <rFont val="Tahoma"/>
            <family val="2"/>
          </rPr>
          <t>Malene Nerland:</t>
        </r>
        <r>
          <rPr>
            <sz val="9"/>
            <color indexed="81"/>
            <rFont val="Tahoma"/>
            <family val="2"/>
          </rPr>
          <t xml:space="preserve">
Andelen overført kjøretøykm fra dry bulk til jernbane.</t>
        </r>
      </text>
    </comment>
    <comment ref="C273" authorId="1" shapeId="0" xr:uid="{F2F687BB-DABC-4BC7-B8AC-DFE86B7DF54D}">
      <text>
        <r>
          <rPr>
            <b/>
            <sz val="9"/>
            <color indexed="81"/>
            <rFont val="Tahoma"/>
            <family val="2"/>
          </rPr>
          <t>Malene Nerland:</t>
        </r>
        <r>
          <rPr>
            <sz val="9"/>
            <color indexed="81"/>
            <rFont val="Tahoma"/>
            <family val="2"/>
          </rPr>
          <t xml:space="preserve">
Andelen overført kjøretøykm fra ro ro last til jernbane.</t>
        </r>
      </text>
    </comment>
    <comment ref="C274" authorId="1" shapeId="0" xr:uid="{EA746178-85A5-43E0-AD6E-185BCD940CDF}">
      <text>
        <r>
          <rPr>
            <b/>
            <sz val="9"/>
            <color indexed="81"/>
            <rFont val="Tahoma"/>
            <family val="2"/>
          </rPr>
          <t>Malene Nerland:</t>
        </r>
        <r>
          <rPr>
            <sz val="9"/>
            <color indexed="81"/>
            <rFont val="Tahoma"/>
            <family val="2"/>
          </rPr>
          <t xml:space="preserve">
Andelen overført kjøretøykm fra tanker vessel til jernbane.</t>
        </r>
      </text>
    </comment>
    <comment ref="B275" authorId="1" shapeId="0" xr:uid="{94DE3A48-4445-47FF-AADD-AB877327778F}">
      <text>
        <r>
          <rPr>
            <b/>
            <sz val="9"/>
            <color indexed="81"/>
            <rFont val="Tahoma"/>
            <family val="2"/>
          </rPr>
          <t>Malene Nerland:</t>
        </r>
        <r>
          <rPr>
            <sz val="9"/>
            <color indexed="81"/>
            <rFont val="Tahoma"/>
            <family val="2"/>
          </rPr>
          <t xml:space="preserve">
Her har Haakon benyttet roro-cargo i tabell til TØI  (Skadekostnader ved transport) og dwt kategori 1-5</t>
        </r>
      </text>
    </comment>
    <comment ref="C275" authorId="1" shapeId="0" xr:uid="{94837E9E-8628-40C3-AF98-DDE315720006}">
      <text>
        <r>
          <rPr>
            <b/>
            <sz val="9"/>
            <color indexed="81"/>
            <rFont val="Tahoma"/>
            <family val="2"/>
          </rPr>
          <t>Malene Nerland:</t>
        </r>
        <r>
          <rPr>
            <sz val="9"/>
            <color indexed="81"/>
            <rFont val="Tahoma"/>
            <family val="2"/>
          </rPr>
          <t xml:space="preserve">
Andelen overført kjøretøykm fra stykkgodsskip til jernbane.</t>
        </r>
      </text>
    </comment>
    <comment ref="C276" authorId="1" shapeId="0" xr:uid="{C73CDF6C-5740-41D0-B676-2E2FD4DE072C}">
      <text>
        <r>
          <rPr>
            <b/>
            <sz val="9"/>
            <color indexed="81"/>
            <rFont val="Tahoma"/>
            <family val="2"/>
          </rPr>
          <t>Malene Nerland:</t>
        </r>
        <r>
          <rPr>
            <sz val="9"/>
            <color indexed="81"/>
            <rFont val="Tahoma"/>
            <family val="2"/>
          </rPr>
          <t xml:space="preserve">
Andelen overført kjøretøykm fra stykkgodsskip til jernbane.</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Øystein Rembar</author>
    <author>Malene Nerland</author>
  </authors>
  <commentList>
    <comment ref="C12" authorId="0" shapeId="0" xr:uid="{EF53DF37-F8FC-49D3-8101-37A36AFBFA2A}">
      <text>
        <r>
          <rPr>
            <b/>
            <sz val="9"/>
            <color indexed="81"/>
            <rFont val="Tahoma"/>
            <family val="2"/>
          </rPr>
          <t>Øystein Rembar:</t>
        </r>
        <r>
          <rPr>
            <sz val="9"/>
            <color indexed="81"/>
            <rFont val="Tahoma"/>
            <family val="2"/>
          </rPr>
          <t xml:space="preserve">
Viser satsen målt i beregningskroneåret. Disse er kun til opplysning her, og brukes ikke videre i verktøyet.</t>
        </r>
      </text>
    </comment>
    <comment ref="D12" authorId="0" shapeId="0" xr:uid="{74BC50DD-D813-4B07-8A99-9307E1C18A19}">
      <text>
        <r>
          <rPr>
            <b/>
            <sz val="9"/>
            <color indexed="81"/>
            <rFont val="Tahoma"/>
            <family val="2"/>
          </rPr>
          <t>Øystein Rembar:</t>
        </r>
        <r>
          <rPr>
            <sz val="9"/>
            <color indexed="81"/>
            <rFont val="Tahoma"/>
            <family val="2"/>
          </rPr>
          <t xml:space="preserve">
Omregner alle satser til siste statistikkroneår. De fleste av disse satsene brukes videre i verktøyet. Et viktig unntak er tidskostnadene, som ikke benyttes ettersom trafikantnytten må beregnes separat i transportanalysen.</t>
        </r>
      </text>
    </comment>
    <comment ref="B140" authorId="1" shapeId="0" xr:uid="{00000000-0006-0000-0600-000001000000}">
      <text>
        <r>
          <rPr>
            <b/>
            <sz val="9"/>
            <color indexed="81"/>
            <rFont val="Tahoma"/>
            <family val="2"/>
          </rPr>
          <t>Malene Nerland:</t>
        </r>
        <r>
          <rPr>
            <sz val="9"/>
            <color indexed="81"/>
            <rFont val="Tahoma"/>
            <family val="2"/>
          </rPr>
          <t xml:space="preserve">
Kjørevegsavgift for gods skal være 0,0535 (2017-kr) pr. bruttotonnmkm når aksellast &gt; 25 tonn. I praksis gjelder dette Ofotbanen.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Malene Nerland</author>
    <author>Mari Baklund Størseth</author>
    <author>tc={29911BB6-EC29-40DB-A587-E01C96C0B83F}</author>
  </authors>
  <commentList>
    <comment ref="D10" authorId="0" shapeId="0" xr:uid="{00000000-0006-0000-0700-000001000000}">
      <text>
        <r>
          <rPr>
            <b/>
            <sz val="9"/>
            <color indexed="81"/>
            <rFont val="Tahoma"/>
            <family val="2"/>
          </rPr>
          <t>Malene Nerland:</t>
        </r>
        <r>
          <rPr>
            <sz val="9"/>
            <color indexed="81"/>
            <rFont val="Tahoma"/>
            <family val="2"/>
          </rPr>
          <t xml:space="preserve">
Her fylles inn informasjon om modellområdet som ligger til grunn i analysen. En del tiltak har ringvirkninger til andre deler av transportsystemet derfor er ofte modellområdet større enn bare én enkelt strekning/linje. </t>
        </r>
      </text>
    </comment>
    <comment ref="B29" authorId="0" shapeId="0" xr:uid="{00000000-0006-0000-0700-000002000000}">
      <text>
        <r>
          <rPr>
            <b/>
            <sz val="9"/>
            <color indexed="81"/>
            <rFont val="Tahoma"/>
            <family val="2"/>
          </rPr>
          <t>Malene Nerland:</t>
        </r>
        <r>
          <rPr>
            <sz val="9"/>
            <color indexed="81"/>
            <rFont val="Tahoma"/>
            <family val="2"/>
          </rPr>
          <t xml:space="preserve">
Kapitalgjenvinningsfaktor.</t>
        </r>
      </text>
    </comment>
    <comment ref="B34" authorId="0" shapeId="0" xr:uid="{00000000-0006-0000-0700-000003000000}">
      <text>
        <r>
          <rPr>
            <b/>
            <sz val="9"/>
            <color indexed="81"/>
            <rFont val="Tahoma"/>
            <family val="2"/>
          </rPr>
          <t>Malene Nerland:</t>
        </r>
        <r>
          <rPr>
            <sz val="9"/>
            <color indexed="81"/>
            <rFont val="Tahoma"/>
            <family val="2"/>
          </rPr>
          <t xml:space="preserve">
Fra 1 til 3 beregningsår.</t>
        </r>
      </text>
    </comment>
    <comment ref="B35" authorId="0" shapeId="0" xr:uid="{00000000-0006-0000-0700-000004000000}">
      <text>
        <r>
          <rPr>
            <b/>
            <sz val="9"/>
            <color indexed="81"/>
            <rFont val="Tahoma"/>
            <family val="2"/>
          </rPr>
          <t>Malene Nerland:</t>
        </r>
        <r>
          <rPr>
            <sz val="9"/>
            <color indexed="81"/>
            <rFont val="Tahoma"/>
            <family val="2"/>
          </rPr>
          <t xml:space="preserve">
Første år med investeringskostnader. "Spaden i jorda"</t>
        </r>
      </text>
    </comment>
    <comment ref="B49" authorId="0" shapeId="0" xr:uid="{00000000-0006-0000-0700-000005000000}">
      <text>
        <r>
          <rPr>
            <b/>
            <sz val="9"/>
            <color indexed="81"/>
            <rFont val="Tahoma"/>
            <family val="2"/>
          </rPr>
          <t>Malene Nerland:</t>
        </r>
        <r>
          <rPr>
            <sz val="9"/>
            <color indexed="81"/>
            <rFont val="Tahoma"/>
            <family val="2"/>
          </rPr>
          <t xml:space="preserve">
Maks 75 år.</t>
        </r>
      </text>
    </comment>
    <comment ref="B50" authorId="1" shapeId="0" xr:uid="{CD05D09A-6FBE-460A-B4B0-2EAB276706BE}">
      <text>
        <r>
          <rPr>
            <b/>
            <sz val="9"/>
            <color indexed="81"/>
            <rFont val="Tahoma"/>
            <family val="2"/>
          </rPr>
          <t>Mari Baklund Størseth:</t>
        </r>
        <r>
          <rPr>
            <sz val="9"/>
            <color indexed="81"/>
            <rFont val="Tahoma"/>
            <family val="2"/>
          </rPr>
          <t xml:space="preserve">
Settes som default lik levetiden i henhold til retningslinjer til NTP 2025-2036. </t>
        </r>
      </text>
    </comment>
    <comment ref="B60" authorId="0" shapeId="0" xr:uid="{00000000-0006-0000-0700-000006000000}">
      <text>
        <r>
          <rPr>
            <b/>
            <sz val="9"/>
            <color indexed="81"/>
            <rFont val="Tahoma"/>
            <family val="2"/>
          </rPr>
          <t>Malene Nerland:</t>
        </r>
        <r>
          <rPr>
            <sz val="9"/>
            <color indexed="81"/>
            <rFont val="Tahoma"/>
            <family val="2"/>
          </rPr>
          <t xml:space="preserve">
Andel av investeringskostnadene må summere seg til 100 %</t>
        </r>
      </text>
    </comment>
    <comment ref="B100" authorId="0" shapeId="0" xr:uid="{00000000-0006-0000-0700-000008000000}">
      <text>
        <r>
          <rPr>
            <b/>
            <sz val="9"/>
            <color indexed="81"/>
            <rFont val="Tahoma"/>
            <family val="2"/>
          </rPr>
          <t>Malene Nerland:</t>
        </r>
        <r>
          <rPr>
            <sz val="9"/>
            <color indexed="81"/>
            <rFont val="Tahoma"/>
            <family val="2"/>
          </rPr>
          <t xml:space="preserve">
Faktor for å gjør om fra virkninger per døgn til årlige virkninger. Det skal fylles ut 365, hvis det er for ÅDT (årsdøgntrafikk). 
Ved bruk av resultater fra Trenklin  avhenger det av døgntypen som spesifiseres i Trenklin modellen. Vanlig virkedøgn er 230 virkedøgn.
Ved bruk av resultater for flere modellkjøringer i et beregningsår som allerede er justert til årlige virkninger settes denne faktoren til 1.</t>
        </r>
      </text>
    </comment>
    <comment ref="H106" authorId="2" shapeId="0" xr:uid="{29911BB6-EC29-40DB-A587-E01C96C0B83F}">
      <text>
        <t>[Kommentartråd]
Din versjon av Excel lar deg lese denne kommentartråden. Eventuelle endringer i den vil imidlertid bli fjernet hvis filen åpnes i en nyere versjon av Excel. Finn ut mer: https://go.microsoft.com/fwlink/?linkid=870924
Kommentar:
    Standard-andelen skal oppdateres med tall fra interne jernbaneundersøkelser (KTU).</t>
      </text>
    </comment>
    <comment ref="B391" authorId="0" shapeId="0" xr:uid="{00000000-0006-0000-0700-000009000000}">
      <text>
        <r>
          <rPr>
            <b/>
            <sz val="9"/>
            <color indexed="81"/>
            <rFont val="Tahoma"/>
            <family val="2"/>
          </rPr>
          <t>Malene Nerland:</t>
        </r>
        <r>
          <rPr>
            <sz val="9"/>
            <color indexed="81"/>
            <rFont val="Tahoma"/>
            <family val="2"/>
          </rPr>
          <t xml:space="preserve">
I denne kategorien ligger det inne bensin-hybrid og diesel-hybrid biler.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Malene Nerland</author>
  </authors>
  <commentList>
    <comment ref="B16" authorId="0" shapeId="0" xr:uid="{00000000-0006-0000-0800-000001000000}">
      <text>
        <r>
          <rPr>
            <b/>
            <sz val="9"/>
            <color indexed="81"/>
            <rFont val="Tahoma"/>
            <family val="2"/>
          </rPr>
          <t>Malene Nerland:</t>
        </r>
        <r>
          <rPr>
            <sz val="9"/>
            <color indexed="81"/>
            <rFont val="Tahoma"/>
            <family val="2"/>
          </rPr>
          <t xml:space="preserve">
Antall reisende er det samme som antall reiser.</t>
        </r>
      </text>
    </comment>
    <comment ref="H16" authorId="0" shapeId="0" xr:uid="{CC20C4D4-4C51-4EF7-8A59-19EC8979BC04}">
      <text>
        <r>
          <rPr>
            <b/>
            <sz val="9"/>
            <color indexed="81"/>
            <rFont val="Tahoma"/>
            <family val="2"/>
          </rPr>
          <t>Malene Nerland:</t>
        </r>
        <r>
          <rPr>
            <sz val="9"/>
            <color indexed="81"/>
            <rFont val="Tahoma"/>
            <family val="2"/>
          </rPr>
          <t xml:space="preserve">
Antall reisende er det samme som antall reiser.</t>
        </r>
      </text>
    </comment>
    <comment ref="N16" authorId="0" shapeId="0" xr:uid="{00000000-0006-0000-0800-000002000000}">
      <text>
        <r>
          <rPr>
            <b/>
            <sz val="9"/>
            <color indexed="81"/>
            <rFont val="Tahoma"/>
            <family val="2"/>
          </rPr>
          <t>Malene Nerland:</t>
        </r>
        <r>
          <rPr>
            <sz val="9"/>
            <color indexed="81"/>
            <rFont val="Tahoma"/>
            <family val="2"/>
          </rPr>
          <t xml:space="preserve">
Antall reisende er det samme som antall reiser.</t>
        </r>
      </text>
    </comment>
    <comment ref="T16" authorId="0" shapeId="0" xr:uid="{00000000-0006-0000-0800-000003000000}">
      <text>
        <r>
          <rPr>
            <b/>
            <sz val="9"/>
            <color indexed="81"/>
            <rFont val="Tahoma"/>
            <family val="2"/>
          </rPr>
          <t>Malene Nerland:</t>
        </r>
        <r>
          <rPr>
            <sz val="9"/>
            <color indexed="81"/>
            <rFont val="Tahoma"/>
            <family val="2"/>
          </rPr>
          <t xml:space="preserve">
Antall reisende er det samme som antall reiser.</t>
        </r>
      </text>
    </comment>
    <comment ref="Z16" authorId="0" shapeId="0" xr:uid="{00000000-0006-0000-0800-000004000000}">
      <text>
        <r>
          <rPr>
            <b/>
            <sz val="9"/>
            <color indexed="81"/>
            <rFont val="Tahoma"/>
            <family val="2"/>
          </rPr>
          <t>Malene Nerland:</t>
        </r>
        <r>
          <rPr>
            <sz val="9"/>
            <color indexed="81"/>
            <rFont val="Tahoma"/>
            <family val="2"/>
          </rPr>
          <t xml:space="preserve">
Antall reisende er det samme som antall reiser.</t>
        </r>
      </text>
    </comment>
    <comment ref="AF16" authorId="0" shapeId="0" xr:uid="{00000000-0006-0000-0800-000005000000}">
      <text>
        <r>
          <rPr>
            <b/>
            <sz val="9"/>
            <color indexed="81"/>
            <rFont val="Tahoma"/>
            <family val="2"/>
          </rPr>
          <t>Malene Nerland:</t>
        </r>
        <r>
          <rPr>
            <sz val="9"/>
            <color indexed="81"/>
            <rFont val="Tahoma"/>
            <family val="2"/>
          </rPr>
          <t xml:space="preserve">
Antall reisende er det samme som antall reiser.
</t>
        </r>
      </text>
    </comment>
    <comment ref="AL16" authorId="0" shapeId="0" xr:uid="{EFE0FE97-4BDE-42C9-88B9-C9627A1C351A}">
      <text>
        <r>
          <rPr>
            <b/>
            <sz val="9"/>
            <color indexed="81"/>
            <rFont val="Tahoma"/>
            <family val="2"/>
          </rPr>
          <t>Malene Nerland:</t>
        </r>
        <r>
          <rPr>
            <sz val="9"/>
            <color indexed="81"/>
            <rFont val="Tahoma"/>
            <family val="2"/>
          </rPr>
          <t xml:space="preserve">
Antall reisende er det samme som antall reiser.
</t>
        </r>
      </text>
    </comment>
    <comment ref="AR16" authorId="0" shapeId="0" xr:uid="{00000000-0006-0000-0800-000006000000}">
      <text>
        <r>
          <rPr>
            <b/>
            <sz val="9"/>
            <color indexed="81"/>
            <rFont val="Tahoma"/>
            <family val="2"/>
          </rPr>
          <t>Malene Nerland:</t>
        </r>
        <r>
          <rPr>
            <sz val="9"/>
            <color indexed="81"/>
            <rFont val="Tahoma"/>
            <family val="2"/>
          </rPr>
          <t xml:space="preserve">
Antall reisende er det samme som antall reiser.</t>
        </r>
      </text>
    </comment>
    <comment ref="AX16" authorId="0" shapeId="0" xr:uid="{00000000-0006-0000-0800-000007000000}">
      <text>
        <r>
          <rPr>
            <b/>
            <sz val="9"/>
            <color indexed="81"/>
            <rFont val="Tahoma"/>
            <family val="2"/>
          </rPr>
          <t>Malene Nerland:</t>
        </r>
        <r>
          <rPr>
            <sz val="9"/>
            <color indexed="81"/>
            <rFont val="Tahoma"/>
            <family val="2"/>
          </rPr>
          <t xml:space="preserve">
Antall reisende er det samme som antall reiser.</t>
        </r>
      </text>
    </comment>
    <comment ref="BD16" authorId="0" shapeId="0" xr:uid="{00000000-0006-0000-0800-000008000000}">
      <text>
        <r>
          <rPr>
            <b/>
            <sz val="9"/>
            <color indexed="81"/>
            <rFont val="Tahoma"/>
            <family val="2"/>
          </rPr>
          <t>Malene Nerland:</t>
        </r>
        <r>
          <rPr>
            <sz val="9"/>
            <color indexed="81"/>
            <rFont val="Tahoma"/>
            <family val="2"/>
          </rPr>
          <t xml:space="preserve">
Antall reisende er det samme som antall reiser.
</t>
        </r>
      </text>
    </comment>
    <comment ref="B21" authorId="0" shapeId="0" xr:uid="{00000000-0006-0000-0800-000009000000}">
      <text>
        <r>
          <rPr>
            <b/>
            <sz val="9"/>
            <color indexed="81"/>
            <rFont val="Tahoma"/>
            <family val="2"/>
          </rPr>
          <t>Malene Nerland:</t>
        </r>
        <r>
          <rPr>
            <sz val="9"/>
            <color indexed="81"/>
            <rFont val="Tahoma"/>
            <family val="2"/>
          </rPr>
          <t xml:space="preserve">
I beregningen for antall enkeltturer teller en togreise med ett togbytte som to reiser.
</t>
        </r>
      </text>
    </comment>
    <comment ref="H21" authorId="0" shapeId="0" xr:uid="{07B15A69-CB36-4CFD-AB73-C621FB63E06A}">
      <text>
        <r>
          <rPr>
            <b/>
            <sz val="9"/>
            <color indexed="81"/>
            <rFont val="Tahoma"/>
            <family val="2"/>
          </rPr>
          <t>Malene Nerland:</t>
        </r>
        <r>
          <rPr>
            <sz val="9"/>
            <color indexed="81"/>
            <rFont val="Tahoma"/>
            <family val="2"/>
          </rPr>
          <t xml:space="preserve">
I beregningen for antall enkeltturer teller en togreise med ett togbytte som to reiser.
</t>
        </r>
      </text>
    </comment>
    <comment ref="AF21" authorId="0" shapeId="0" xr:uid="{00000000-0006-0000-0800-00000A000000}">
      <text>
        <r>
          <rPr>
            <b/>
            <sz val="9"/>
            <color indexed="81"/>
            <rFont val="Tahoma"/>
            <family val="2"/>
          </rPr>
          <t>Malene Nerland:</t>
        </r>
        <r>
          <rPr>
            <sz val="9"/>
            <color indexed="81"/>
            <rFont val="Tahoma"/>
            <family val="2"/>
          </rPr>
          <t xml:space="preserve">
I beregningen for antall enkeltturer teller en togreise med ett togbytte som to reiser.</t>
        </r>
      </text>
    </comment>
    <comment ref="AL21" authorId="0" shapeId="0" xr:uid="{0BB64D99-D7EC-49A2-BE77-094D8509ACD9}">
      <text>
        <r>
          <rPr>
            <b/>
            <sz val="9"/>
            <color indexed="81"/>
            <rFont val="Tahoma"/>
            <family val="2"/>
          </rPr>
          <t>Malene Nerland:</t>
        </r>
        <r>
          <rPr>
            <sz val="9"/>
            <color indexed="81"/>
            <rFont val="Tahoma"/>
            <family val="2"/>
          </rPr>
          <t xml:space="preserve">
I beregningen for antall enkeltturer teller en togreise med ett togbytte som to reiser.</t>
        </r>
      </text>
    </comment>
    <comment ref="B31" authorId="0" shapeId="0" xr:uid="{00000000-0006-0000-0800-00000B000000}">
      <text>
        <r>
          <rPr>
            <b/>
            <sz val="9"/>
            <color indexed="81"/>
            <rFont val="Tahoma"/>
            <family val="2"/>
          </rPr>
          <t>Malene Nerland:</t>
        </r>
        <r>
          <rPr>
            <sz val="9"/>
            <color indexed="81"/>
            <rFont val="Tahoma"/>
            <family val="2"/>
          </rPr>
          <t xml:space="preserve">
Hvis det ikke er mulig å ta ut rutekm fra transportmodellen må dette beregnes utenfor. Ta derfor utgangspunkt i hvor mange km toget kjører og gang det med frekvensen i løpet av en dag.</t>
        </r>
      </text>
    </comment>
    <comment ref="H31" authorId="0" shapeId="0" xr:uid="{FBA607D9-86FD-4204-876E-9194198561F2}">
      <text>
        <r>
          <rPr>
            <b/>
            <sz val="9"/>
            <color indexed="81"/>
            <rFont val="Tahoma"/>
            <family val="2"/>
          </rPr>
          <t>Malene Nerland:</t>
        </r>
        <r>
          <rPr>
            <sz val="9"/>
            <color indexed="81"/>
            <rFont val="Tahoma"/>
            <family val="2"/>
          </rPr>
          <t xml:space="preserve">
Hvis det ikke er mulig å ta ut rutekm fra transportmodellen må dette beregnes utenfor. Ta derfor utgangspunkt i hvor mange km toget kjører og gang det med frekvensen i løpet av en dag.</t>
        </r>
      </text>
    </comment>
    <comment ref="B48" authorId="0" shapeId="0" xr:uid="{00000000-0006-0000-0800-00000C000000}">
      <text>
        <r>
          <rPr>
            <b/>
            <sz val="9"/>
            <color indexed="81"/>
            <rFont val="Tahoma"/>
            <family val="2"/>
          </rPr>
          <t>Malene Nerland:</t>
        </r>
        <r>
          <rPr>
            <sz val="9"/>
            <color indexed="81"/>
            <rFont val="Tahoma"/>
            <family val="2"/>
          </rPr>
          <t xml:space="preserve">
Antall reisende er det samme som antall reiser.</t>
        </r>
      </text>
    </comment>
    <comment ref="H48" authorId="0" shapeId="0" xr:uid="{E406E9E3-7A1B-41F1-AC55-8061D7AD13D2}">
      <text>
        <r>
          <rPr>
            <b/>
            <sz val="9"/>
            <color indexed="81"/>
            <rFont val="Tahoma"/>
            <family val="2"/>
          </rPr>
          <t>Malene Nerland:</t>
        </r>
        <r>
          <rPr>
            <sz val="9"/>
            <color indexed="81"/>
            <rFont val="Tahoma"/>
            <family val="2"/>
          </rPr>
          <t xml:space="preserve">
Antall reisende er det samme som antall reiser.</t>
        </r>
      </text>
    </comment>
    <comment ref="N50" authorId="0" shapeId="0" xr:uid="{00000000-0006-0000-0800-00000D000000}">
      <text>
        <r>
          <rPr>
            <b/>
            <sz val="9"/>
            <color indexed="81"/>
            <rFont val="Tahoma"/>
            <family val="2"/>
          </rPr>
          <t>Malene Nerland:</t>
        </r>
        <r>
          <rPr>
            <sz val="9"/>
            <color indexed="81"/>
            <rFont val="Tahoma"/>
            <family val="2"/>
          </rPr>
          <t xml:space="preserve">
Antall reisende er det samme som antall reiser.</t>
        </r>
      </text>
    </comment>
    <comment ref="T50" authorId="0" shapeId="0" xr:uid="{00000000-0006-0000-0800-00000E000000}">
      <text>
        <r>
          <rPr>
            <b/>
            <sz val="9"/>
            <color indexed="81"/>
            <rFont val="Tahoma"/>
            <family val="2"/>
          </rPr>
          <t>Malene Nerland:</t>
        </r>
        <r>
          <rPr>
            <sz val="9"/>
            <color indexed="81"/>
            <rFont val="Tahoma"/>
            <family val="2"/>
          </rPr>
          <t xml:space="preserve">
Antall reisende er det samme som antall reiser.</t>
        </r>
      </text>
    </comment>
    <comment ref="Z50" authorId="0" shapeId="0" xr:uid="{00000000-0006-0000-0800-00000F000000}">
      <text>
        <r>
          <rPr>
            <b/>
            <sz val="9"/>
            <color indexed="81"/>
            <rFont val="Tahoma"/>
            <family val="2"/>
          </rPr>
          <t>Malene Nerland:</t>
        </r>
        <r>
          <rPr>
            <sz val="9"/>
            <color indexed="81"/>
            <rFont val="Tahoma"/>
            <family val="2"/>
          </rPr>
          <t xml:space="preserve">
Antall reisende er det samme som antall reiser.</t>
        </r>
      </text>
    </comment>
    <comment ref="AF50" authorId="0" shapeId="0" xr:uid="{00000000-0006-0000-0800-000010000000}">
      <text>
        <r>
          <rPr>
            <b/>
            <sz val="9"/>
            <color indexed="81"/>
            <rFont val="Tahoma"/>
            <family val="2"/>
          </rPr>
          <t>Malene Nerland:</t>
        </r>
        <r>
          <rPr>
            <sz val="9"/>
            <color indexed="81"/>
            <rFont val="Tahoma"/>
            <family val="2"/>
          </rPr>
          <t xml:space="preserve">
Antall reisende er det samme som antall reiser.
</t>
        </r>
      </text>
    </comment>
    <comment ref="AL50" authorId="0" shapeId="0" xr:uid="{563069CD-9E73-4205-A625-B940C71ABC57}">
      <text>
        <r>
          <rPr>
            <b/>
            <sz val="9"/>
            <color indexed="81"/>
            <rFont val="Tahoma"/>
            <family val="2"/>
          </rPr>
          <t>Malene Nerland:</t>
        </r>
        <r>
          <rPr>
            <sz val="9"/>
            <color indexed="81"/>
            <rFont val="Tahoma"/>
            <family val="2"/>
          </rPr>
          <t xml:space="preserve">
Antall reisende er det samme som antall reiser.
</t>
        </r>
      </text>
    </comment>
    <comment ref="AR50" authorId="0" shapeId="0" xr:uid="{00000000-0006-0000-0800-000011000000}">
      <text>
        <r>
          <rPr>
            <b/>
            <sz val="9"/>
            <color indexed="81"/>
            <rFont val="Tahoma"/>
            <family val="2"/>
          </rPr>
          <t>Malene Nerland:</t>
        </r>
        <r>
          <rPr>
            <sz val="9"/>
            <color indexed="81"/>
            <rFont val="Tahoma"/>
            <family val="2"/>
          </rPr>
          <t xml:space="preserve">
Antall reisende er det samme som antall reiser.
</t>
        </r>
      </text>
    </comment>
    <comment ref="AX50" authorId="0" shapeId="0" xr:uid="{00000000-0006-0000-0800-000012000000}">
      <text>
        <r>
          <rPr>
            <b/>
            <sz val="9"/>
            <color indexed="81"/>
            <rFont val="Tahoma"/>
            <family val="2"/>
          </rPr>
          <t>Malene Nerland:</t>
        </r>
        <r>
          <rPr>
            <sz val="9"/>
            <color indexed="81"/>
            <rFont val="Tahoma"/>
            <family val="2"/>
          </rPr>
          <t xml:space="preserve">
Antall reisende er det samme som antall reiser.
</t>
        </r>
      </text>
    </comment>
    <comment ref="BD50" authorId="0" shapeId="0" xr:uid="{00000000-0006-0000-0800-000013000000}">
      <text>
        <r>
          <rPr>
            <b/>
            <sz val="9"/>
            <color indexed="81"/>
            <rFont val="Tahoma"/>
            <family val="2"/>
          </rPr>
          <t>Malene Nerland:</t>
        </r>
        <r>
          <rPr>
            <sz val="9"/>
            <color indexed="81"/>
            <rFont val="Tahoma"/>
            <family val="2"/>
          </rPr>
          <t xml:space="preserve">
Antall reisende er det samme som antall reiser.
</t>
        </r>
      </text>
    </comment>
    <comment ref="B53" authorId="0" shapeId="0" xr:uid="{00000000-0006-0000-0800-000014000000}">
      <text>
        <r>
          <rPr>
            <b/>
            <sz val="9"/>
            <color indexed="81"/>
            <rFont val="Tahoma"/>
            <family val="2"/>
          </rPr>
          <t>Malene Nerland:</t>
        </r>
        <r>
          <rPr>
            <sz val="9"/>
            <color indexed="81"/>
            <rFont val="Tahoma"/>
            <family val="2"/>
          </rPr>
          <t xml:space="preserve">
I beregningen for antall enkeltturer teller en togreise med ett togbytte som to reiser.</t>
        </r>
      </text>
    </comment>
    <comment ref="H53" authorId="0" shapeId="0" xr:uid="{E394746A-D639-4C68-A898-6417D6F563B5}">
      <text>
        <r>
          <rPr>
            <b/>
            <sz val="9"/>
            <color indexed="81"/>
            <rFont val="Tahoma"/>
            <family val="2"/>
          </rPr>
          <t>Malene Nerland:</t>
        </r>
        <r>
          <rPr>
            <sz val="9"/>
            <color indexed="81"/>
            <rFont val="Tahoma"/>
            <family val="2"/>
          </rPr>
          <t xml:space="preserve">
I beregningen for antall enkeltturer teller en togreise med ett togbytte som to reiser.</t>
        </r>
      </text>
    </comment>
    <comment ref="AF55" authorId="0" shapeId="0" xr:uid="{00000000-0006-0000-0800-000015000000}">
      <text>
        <r>
          <rPr>
            <b/>
            <sz val="9"/>
            <color indexed="81"/>
            <rFont val="Tahoma"/>
            <family val="2"/>
          </rPr>
          <t>Malene Nerland:</t>
        </r>
        <r>
          <rPr>
            <sz val="9"/>
            <color indexed="81"/>
            <rFont val="Tahoma"/>
            <family val="2"/>
          </rPr>
          <t xml:space="preserve">
I beregningen for antall enkeltturer teller en togreise med ett togbytte som to reiser.</t>
        </r>
      </text>
    </comment>
    <comment ref="AL55" authorId="0" shapeId="0" xr:uid="{77FB9D7A-DFC3-4FEF-8597-DF0E7C35E1A1}">
      <text>
        <r>
          <rPr>
            <b/>
            <sz val="9"/>
            <color indexed="81"/>
            <rFont val="Tahoma"/>
            <family val="2"/>
          </rPr>
          <t>Malene Nerland:</t>
        </r>
        <r>
          <rPr>
            <sz val="9"/>
            <color indexed="81"/>
            <rFont val="Tahoma"/>
            <family val="2"/>
          </rPr>
          <t xml:space="preserve">
I beregningen for antall enkeltturer teller en togreise med ett togbytte som to reiser.</t>
        </r>
      </text>
    </comment>
    <comment ref="B81" authorId="0" shapeId="0" xr:uid="{00000000-0006-0000-0800-000016000000}">
      <text>
        <r>
          <rPr>
            <b/>
            <sz val="9"/>
            <color indexed="81"/>
            <rFont val="Tahoma"/>
            <family val="2"/>
          </rPr>
          <t>Malene Nerland:</t>
        </r>
        <r>
          <rPr>
            <sz val="9"/>
            <color indexed="81"/>
            <rFont val="Tahoma"/>
            <family val="2"/>
          </rPr>
          <t xml:space="preserve">
Antall reisende er det samme som antall reiser.</t>
        </r>
      </text>
    </comment>
    <comment ref="H81" authorId="0" shapeId="0" xr:uid="{22A8E8F5-D620-412E-ACCF-C2E2F38306AA}">
      <text>
        <r>
          <rPr>
            <b/>
            <sz val="9"/>
            <color indexed="81"/>
            <rFont val="Tahoma"/>
            <family val="2"/>
          </rPr>
          <t>Malene Nerland:</t>
        </r>
        <r>
          <rPr>
            <sz val="9"/>
            <color indexed="81"/>
            <rFont val="Tahoma"/>
            <family val="2"/>
          </rPr>
          <t xml:space="preserve">
Antall reisende er det samme som antall reiser.</t>
        </r>
      </text>
    </comment>
    <comment ref="N83" authorId="0" shapeId="0" xr:uid="{00000000-0006-0000-0800-000017000000}">
      <text>
        <r>
          <rPr>
            <b/>
            <sz val="9"/>
            <color indexed="81"/>
            <rFont val="Tahoma"/>
            <family val="2"/>
          </rPr>
          <t>Malene Nerland:</t>
        </r>
        <r>
          <rPr>
            <sz val="9"/>
            <color indexed="81"/>
            <rFont val="Tahoma"/>
            <family val="2"/>
          </rPr>
          <t xml:space="preserve">
Antall reisende er det samme som antall reiser.</t>
        </r>
      </text>
    </comment>
    <comment ref="T83" authorId="0" shapeId="0" xr:uid="{00000000-0006-0000-0800-000018000000}">
      <text>
        <r>
          <rPr>
            <b/>
            <sz val="9"/>
            <color indexed="81"/>
            <rFont val="Tahoma"/>
            <family val="2"/>
          </rPr>
          <t>Malene Nerland:</t>
        </r>
        <r>
          <rPr>
            <sz val="9"/>
            <color indexed="81"/>
            <rFont val="Tahoma"/>
            <family val="2"/>
          </rPr>
          <t xml:space="preserve">
Antall reisende er det samme som antall reiser.</t>
        </r>
      </text>
    </comment>
    <comment ref="Z83" authorId="0" shapeId="0" xr:uid="{00000000-0006-0000-0800-000019000000}">
      <text>
        <r>
          <rPr>
            <b/>
            <sz val="9"/>
            <color indexed="81"/>
            <rFont val="Tahoma"/>
            <family val="2"/>
          </rPr>
          <t>Malene Nerland:</t>
        </r>
        <r>
          <rPr>
            <sz val="9"/>
            <color indexed="81"/>
            <rFont val="Tahoma"/>
            <family val="2"/>
          </rPr>
          <t xml:space="preserve">
Antall reisende er det samme som antall reiser.</t>
        </r>
      </text>
    </comment>
    <comment ref="AF83" authorId="0" shapeId="0" xr:uid="{00000000-0006-0000-0800-00001A000000}">
      <text>
        <r>
          <rPr>
            <b/>
            <sz val="9"/>
            <color indexed="81"/>
            <rFont val="Tahoma"/>
            <family val="2"/>
          </rPr>
          <t>Malene Nerland:</t>
        </r>
        <r>
          <rPr>
            <sz val="9"/>
            <color indexed="81"/>
            <rFont val="Tahoma"/>
            <family val="2"/>
          </rPr>
          <t xml:space="preserve">
Antall reisende er det samme som antall reiser.
</t>
        </r>
      </text>
    </comment>
    <comment ref="AL83" authorId="0" shapeId="0" xr:uid="{DA41CED5-96EA-4F09-84B4-1949B8D0DA06}">
      <text>
        <r>
          <rPr>
            <b/>
            <sz val="9"/>
            <color indexed="81"/>
            <rFont val="Tahoma"/>
            <family val="2"/>
          </rPr>
          <t>Malene Nerland:</t>
        </r>
        <r>
          <rPr>
            <sz val="9"/>
            <color indexed="81"/>
            <rFont val="Tahoma"/>
            <family val="2"/>
          </rPr>
          <t xml:space="preserve">
Antall reisende er det samme som antall reiser.
</t>
        </r>
      </text>
    </comment>
    <comment ref="AR83" authorId="0" shapeId="0" xr:uid="{00000000-0006-0000-0800-00001B000000}">
      <text>
        <r>
          <rPr>
            <b/>
            <sz val="9"/>
            <color indexed="81"/>
            <rFont val="Tahoma"/>
            <family val="2"/>
          </rPr>
          <t>Malene Nerland:</t>
        </r>
        <r>
          <rPr>
            <sz val="9"/>
            <color indexed="81"/>
            <rFont val="Tahoma"/>
            <family val="2"/>
          </rPr>
          <t xml:space="preserve">
Antall reisende er det samme som antall reiser.
</t>
        </r>
      </text>
    </comment>
    <comment ref="AX83" authorId="0" shapeId="0" xr:uid="{00000000-0006-0000-0800-00001C000000}">
      <text>
        <r>
          <rPr>
            <b/>
            <sz val="9"/>
            <color indexed="81"/>
            <rFont val="Tahoma"/>
            <family val="2"/>
          </rPr>
          <t>Malene Nerland:</t>
        </r>
        <r>
          <rPr>
            <sz val="9"/>
            <color indexed="81"/>
            <rFont val="Tahoma"/>
            <family val="2"/>
          </rPr>
          <t xml:space="preserve">
Antall reisende er det samme som antall reiser.
</t>
        </r>
      </text>
    </comment>
    <comment ref="BD83" authorId="0" shapeId="0" xr:uid="{00000000-0006-0000-0800-00001D000000}">
      <text>
        <r>
          <rPr>
            <b/>
            <sz val="9"/>
            <color indexed="81"/>
            <rFont val="Tahoma"/>
            <family val="2"/>
          </rPr>
          <t>Malene Nerland:</t>
        </r>
        <r>
          <rPr>
            <sz val="9"/>
            <color indexed="81"/>
            <rFont val="Tahoma"/>
            <family val="2"/>
          </rPr>
          <t xml:space="preserve">
Antall reisende er det samme som antall reiser.
</t>
        </r>
      </text>
    </comment>
    <comment ref="B86" authorId="0" shapeId="0" xr:uid="{00000000-0006-0000-0800-00001E000000}">
      <text>
        <r>
          <rPr>
            <b/>
            <sz val="9"/>
            <color indexed="81"/>
            <rFont val="Tahoma"/>
            <family val="2"/>
          </rPr>
          <t>Malene Nerland:</t>
        </r>
        <r>
          <rPr>
            <sz val="9"/>
            <color indexed="81"/>
            <rFont val="Tahoma"/>
            <family val="2"/>
          </rPr>
          <t xml:space="preserve">
I beregningen for antall enkeltturer teller en togreise med ett togbytte som to reiser.</t>
        </r>
      </text>
    </comment>
    <comment ref="H86" authorId="0" shapeId="0" xr:uid="{D24DB398-4829-4B53-AD31-4A6A8BE0E934}">
      <text>
        <r>
          <rPr>
            <b/>
            <sz val="9"/>
            <color indexed="81"/>
            <rFont val="Tahoma"/>
            <family val="2"/>
          </rPr>
          <t>Malene Nerland:</t>
        </r>
        <r>
          <rPr>
            <sz val="9"/>
            <color indexed="81"/>
            <rFont val="Tahoma"/>
            <family val="2"/>
          </rPr>
          <t xml:space="preserve">
I beregningen for antall enkeltturer teller en togreise med ett togbytte som to reiser.</t>
        </r>
      </text>
    </comment>
    <comment ref="AF88" authorId="0" shapeId="0" xr:uid="{00000000-0006-0000-0800-00001F000000}">
      <text>
        <r>
          <rPr>
            <b/>
            <sz val="9"/>
            <color indexed="81"/>
            <rFont val="Tahoma"/>
            <family val="2"/>
          </rPr>
          <t>Malene Nerland:</t>
        </r>
        <r>
          <rPr>
            <sz val="9"/>
            <color indexed="81"/>
            <rFont val="Tahoma"/>
            <family val="2"/>
          </rPr>
          <t xml:space="preserve">
I beregningen for antall enkeltturer teller en togreise med ett togbytte som to reiser.</t>
        </r>
      </text>
    </comment>
    <comment ref="AL88" authorId="0" shapeId="0" xr:uid="{1E829942-BA2A-406F-B356-09E32572DA5A}">
      <text>
        <r>
          <rPr>
            <b/>
            <sz val="9"/>
            <color indexed="81"/>
            <rFont val="Tahoma"/>
            <family val="2"/>
          </rPr>
          <t>Malene Nerland:</t>
        </r>
        <r>
          <rPr>
            <sz val="9"/>
            <color indexed="81"/>
            <rFont val="Tahoma"/>
            <family val="2"/>
          </rPr>
          <t xml:space="preserve">
I beregningen for antall enkeltturer teller en togreise med ett togbytte som to reiser.</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Malene Nerland</author>
  </authors>
  <commentList>
    <comment ref="G12" authorId="0" shapeId="0" xr:uid="{00000000-0006-0000-0900-000001000000}">
      <text>
        <r>
          <rPr>
            <b/>
            <sz val="9"/>
            <color indexed="81"/>
            <rFont val="Tahoma"/>
            <family val="2"/>
          </rPr>
          <t>Malene Nerland:</t>
        </r>
        <r>
          <rPr>
            <sz val="9"/>
            <color indexed="81"/>
            <rFont val="Tahoma"/>
            <family val="2"/>
          </rPr>
          <t xml:space="preserve">
Distanse- og tidsavhengige fremføringskostnader. Eksklusive bom- og fergeavgifter.</t>
        </r>
      </text>
    </comment>
    <comment ref="G13" authorId="0" shapeId="0" xr:uid="{00000000-0006-0000-0900-000002000000}">
      <text>
        <r>
          <rPr>
            <b/>
            <sz val="9"/>
            <color indexed="81"/>
            <rFont val="Tahoma"/>
            <family val="2"/>
          </rPr>
          <t>Malene Nerland:</t>
        </r>
        <r>
          <rPr>
            <sz val="9"/>
            <color indexed="81"/>
            <rFont val="Tahoma"/>
            <family val="2"/>
          </rPr>
          <t xml:space="preserve">
Omfatter kostnader knyttet til omlasting mellom transportmidler i en transportkjede. </t>
        </r>
      </text>
    </comment>
    <comment ref="G14" authorId="0" shapeId="0" xr:uid="{00000000-0006-0000-0900-000003000000}">
      <text>
        <r>
          <rPr>
            <b/>
            <sz val="9"/>
            <color indexed="81"/>
            <rFont val="Tahoma"/>
            <family val="2"/>
          </rPr>
          <t>Malene Nerland:</t>
        </r>
        <r>
          <rPr>
            <sz val="9"/>
            <color indexed="81"/>
            <rFont val="Tahoma"/>
            <family val="2"/>
          </rPr>
          <t xml:space="preserve">
Kostnader ved lasting og lossing av gods ved avsender/mottaker.</t>
        </r>
      </text>
    </comment>
    <comment ref="G15" authorId="0" shapeId="0" xr:uid="{00000000-0006-0000-0900-000004000000}">
      <text>
        <r>
          <rPr>
            <b/>
            <sz val="9"/>
            <color indexed="81"/>
            <rFont val="Tahoma"/>
            <family val="2"/>
          </rPr>
          <t>Malene Nerland:</t>
        </r>
        <r>
          <rPr>
            <sz val="9"/>
            <color indexed="81"/>
            <rFont val="Tahoma"/>
            <family val="2"/>
          </rPr>
          <t xml:space="preserve">
Omfatter også degraderingskostnader.</t>
        </r>
      </text>
    </comment>
    <comment ref="G17" authorId="0" shapeId="0" xr:uid="{00000000-0006-0000-0900-000005000000}">
      <text>
        <r>
          <rPr>
            <b/>
            <sz val="9"/>
            <color indexed="81"/>
            <rFont val="Tahoma"/>
            <family val="2"/>
          </rPr>
          <t>Malene Nerland:</t>
        </r>
        <r>
          <rPr>
            <sz val="9"/>
            <color indexed="81"/>
            <rFont val="Tahoma"/>
            <family val="2"/>
          </rPr>
          <t xml:space="preserve">
Inkluderer havneavgifter for gods som omlastes i havn.</t>
        </r>
      </text>
    </comment>
    <comment ref="G19" authorId="0" shapeId="0" xr:uid="{00000000-0006-0000-0900-000006000000}">
      <text>
        <r>
          <rPr>
            <b/>
            <sz val="9"/>
            <color indexed="81"/>
            <rFont val="Tahoma"/>
            <family val="2"/>
          </rPr>
          <t>Malene Nerland:</t>
        </r>
        <r>
          <rPr>
            <sz val="9"/>
            <color indexed="81"/>
            <rFont val="Tahoma"/>
            <family val="2"/>
          </rPr>
          <t xml:space="preserve">
Gjelder i visse områder til sjøs, og ligger i modellens nettverk.</t>
        </r>
      </text>
    </comment>
    <comment ref="G23" authorId="0" shapeId="0" xr:uid="{00000000-0006-0000-0900-000007000000}">
      <text>
        <r>
          <rPr>
            <b/>
            <sz val="9"/>
            <color indexed="81"/>
            <rFont val="Tahoma"/>
            <family val="2"/>
          </rPr>
          <t>Malene Nerland:</t>
        </r>
        <r>
          <rPr>
            <sz val="9"/>
            <color indexed="81"/>
            <rFont val="Tahoma"/>
            <family val="2"/>
          </rPr>
          <t xml:space="preserve">
Kostnader ved å eie eller leie lagerplass og drive lageret.</t>
        </r>
      </text>
    </comment>
    <comment ref="G24" authorId="0" shapeId="0" xr:uid="{00000000-0006-0000-0900-000008000000}">
      <text>
        <r>
          <rPr>
            <b/>
            <sz val="9"/>
            <color indexed="81"/>
            <rFont val="Tahoma"/>
            <family val="2"/>
          </rPr>
          <t>Malene Nerland:</t>
        </r>
        <r>
          <rPr>
            <sz val="9"/>
            <color indexed="81"/>
            <rFont val="Tahoma"/>
            <family val="2"/>
          </rPr>
          <t xml:space="preserve">
Kostnader ved å ha kapital bundet i varer på lager.</t>
        </r>
      </text>
    </comment>
    <comment ref="G36" authorId="0" shapeId="0" xr:uid="{00000000-0006-0000-0900-000009000000}">
      <text>
        <r>
          <rPr>
            <b/>
            <sz val="9"/>
            <color indexed="81"/>
            <rFont val="Tahoma"/>
            <family val="2"/>
          </rPr>
          <t>Malene Nerland:</t>
        </r>
        <r>
          <rPr>
            <sz val="9"/>
            <color indexed="81"/>
            <rFont val="Tahoma"/>
            <family val="2"/>
          </rPr>
          <t xml:space="preserve">
Husk at det samme godset telles flere ganger dersom flere transportmidler benyttes i transportkjeden.</t>
        </r>
      </text>
    </comment>
    <comment ref="G54" authorId="0" shapeId="0" xr:uid="{00000000-0006-0000-0900-00000A000000}">
      <text>
        <r>
          <rPr>
            <b/>
            <sz val="9"/>
            <color indexed="81"/>
            <rFont val="Tahoma"/>
            <family val="2"/>
          </rPr>
          <t>Malene Nerland:</t>
        </r>
        <r>
          <rPr>
            <sz val="9"/>
            <color indexed="81"/>
            <rFont val="Tahoma"/>
            <family val="2"/>
          </rPr>
          <t xml:space="preserve">
"Kjøretøyet" tog er vogn i NGM. For å få togkm deles det på gj.snittlig antall vogner per tog. </t>
        </r>
      </text>
    </comment>
    <comment ref="G55" authorId="0" shapeId="0" xr:uid="{00000000-0006-0000-0900-00000B000000}">
      <text>
        <r>
          <rPr>
            <b/>
            <sz val="9"/>
            <color indexed="81"/>
            <rFont val="Tahoma"/>
            <family val="2"/>
          </rPr>
          <t>Malene Nerland:</t>
        </r>
        <r>
          <rPr>
            <sz val="9"/>
            <color indexed="81"/>
            <rFont val="Tahoma"/>
            <family val="2"/>
          </rPr>
          <t xml:space="preserve">
"Kjøretøyet" tog er vogn i NGM. For å få togkm deles det på gj.snittlig antall vogner per tog. </t>
        </r>
      </text>
    </comment>
    <comment ref="G56" authorId="0" shapeId="0" xr:uid="{00000000-0006-0000-0900-00000C000000}">
      <text>
        <r>
          <rPr>
            <b/>
            <sz val="9"/>
            <color indexed="81"/>
            <rFont val="Tahoma"/>
            <family val="2"/>
          </rPr>
          <t>Malene Nerland:</t>
        </r>
        <r>
          <rPr>
            <sz val="9"/>
            <color indexed="81"/>
            <rFont val="Tahoma"/>
            <family val="2"/>
          </rPr>
          <t xml:space="preserve">
"Kjøretøyet" er biler ombord på ferge.</t>
        </r>
      </text>
    </comment>
    <comment ref="G83" authorId="0" shapeId="0" xr:uid="{00000000-0006-0000-0900-00000D000000}">
      <text>
        <r>
          <rPr>
            <b/>
            <sz val="9"/>
            <color indexed="81"/>
            <rFont val="Tahoma"/>
            <family val="2"/>
          </rPr>
          <t>Malene Nerland:</t>
        </r>
        <r>
          <rPr>
            <sz val="9"/>
            <color indexed="81"/>
            <rFont val="Tahoma"/>
            <family val="2"/>
          </rPr>
          <t xml:space="preserve">
Andeler for hvordan endringen i trafikkarbeidet fra referanse til tiltak fordeler seg på ulike nivåer for bebyggelse</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Mari Baklund Størseth</author>
  </authors>
  <commentList>
    <comment ref="AM75" authorId="0" shapeId="0" xr:uid="{406ABEC1-7394-4E83-B313-B83E73FFF917}">
      <text>
        <r>
          <rPr>
            <b/>
            <sz val="9"/>
            <color indexed="81"/>
            <rFont val="Tahoma"/>
            <family val="2"/>
          </rPr>
          <t>Mari Baklund Størseth:</t>
        </r>
        <r>
          <rPr>
            <sz val="9"/>
            <color indexed="81"/>
            <rFont val="Tahoma"/>
            <family val="2"/>
          </rPr>
          <t xml:space="preserve">
Fremtidig realpris * KPI</t>
        </r>
      </text>
    </comment>
    <comment ref="AM77" authorId="0" shapeId="0" xr:uid="{6236CA5A-B826-45B9-9025-02D31FB68589}">
      <text>
        <r>
          <rPr>
            <b/>
            <sz val="9"/>
            <color indexed="81"/>
            <rFont val="Tahoma"/>
            <family val="2"/>
          </rPr>
          <t>Mari Baklund Størseth:</t>
        </r>
        <r>
          <rPr>
            <sz val="9"/>
            <color indexed="81"/>
            <rFont val="Tahoma"/>
            <family val="2"/>
          </rPr>
          <t xml:space="preserve">
Lagt til grunn KPI-vekst</t>
        </r>
      </text>
    </comment>
    <comment ref="AM79" authorId="0" shapeId="0" xr:uid="{B5690BB7-1961-4B2A-9413-4C5948BC91F0}">
      <text>
        <r>
          <rPr>
            <b/>
            <sz val="9"/>
            <color indexed="81"/>
            <rFont val="Tahoma"/>
            <family val="2"/>
          </rPr>
          <t>Mari Baklund Størseth:</t>
        </r>
        <r>
          <rPr>
            <sz val="9"/>
            <color indexed="81"/>
            <rFont val="Tahoma"/>
            <family val="2"/>
          </rPr>
          <t xml:space="preserve">
Lagt til grunn KPI-vekst</t>
        </r>
      </text>
    </comment>
    <comment ref="AM81" authorId="0" shapeId="0" xr:uid="{6354D259-7C81-4E6B-BEB1-84D198A4B9C6}">
      <text>
        <r>
          <rPr>
            <b/>
            <sz val="9"/>
            <color indexed="81"/>
            <rFont val="Tahoma"/>
            <family val="2"/>
          </rPr>
          <t>Mari Baklund Størseth:</t>
        </r>
        <r>
          <rPr>
            <sz val="9"/>
            <color indexed="81"/>
            <rFont val="Tahoma"/>
            <family val="2"/>
          </rPr>
          <t xml:space="preserve">
Fremtidig realpris * KPI</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Malene Nerland</author>
  </authors>
  <commentList>
    <comment ref="B17" authorId="0" shapeId="0" xr:uid="{00000000-0006-0000-0C00-000001000000}">
      <text>
        <r>
          <rPr>
            <b/>
            <sz val="9"/>
            <color indexed="81"/>
            <rFont val="Tahoma"/>
            <family val="2"/>
          </rPr>
          <t>Malene Nerland:</t>
        </r>
        <r>
          <rPr>
            <sz val="9"/>
            <color indexed="81"/>
            <rFont val="Tahoma"/>
            <family val="2"/>
          </rPr>
          <t xml:space="preserve">
Trafikkinntektene er for hele modellområdet, driftskostnadene er for bare det aktuelle analyseområdet. Derfor vil inntektene se høye ut i forhold til driftskostnadene. Endringen i trafikkinntekter og driftskostnader er riktig</t>
        </r>
      </text>
    </comment>
    <comment ref="P17" authorId="0" shapeId="0" xr:uid="{A2A990E4-DD80-491F-B71D-F6ACB14AF67D}">
      <text>
        <r>
          <rPr>
            <b/>
            <sz val="9"/>
            <color indexed="81"/>
            <rFont val="Tahoma"/>
            <family val="2"/>
          </rPr>
          <t>Malene Nerland:</t>
        </r>
        <r>
          <rPr>
            <sz val="9"/>
            <color indexed="81"/>
            <rFont val="Tahoma"/>
            <family val="2"/>
          </rPr>
          <t xml:space="preserve">
Trafikkinntektene er for hele modellområdet, driftskostnadene er for bare det aktuelle analyseområdet. Derfor vil inntektene se høye ut i forhold til driftskostnadene. Endringen i trafikkinntekter og driftskostnader er riktig</t>
        </r>
      </text>
    </comment>
    <comment ref="AD17" authorId="0" shapeId="0" xr:uid="{B718978F-A886-41E8-AC39-C2AFA0D67ECE}">
      <text>
        <r>
          <rPr>
            <b/>
            <sz val="9"/>
            <color indexed="81"/>
            <rFont val="Tahoma"/>
            <family val="2"/>
          </rPr>
          <t>Malene Nerland:</t>
        </r>
        <r>
          <rPr>
            <sz val="9"/>
            <color indexed="81"/>
            <rFont val="Tahoma"/>
            <family val="2"/>
          </rPr>
          <t xml:space="preserve">
Trafikkinntektene er for hele modellområdet, driftskostnadene er for bare det aktuelle analyseområdet. Derfor vil inntektene se høye ut i forhold til driftskostnadene. Endringen i trafikkinntekter og driftskostnader er riktig</t>
        </r>
      </text>
    </comment>
    <comment ref="B39" authorId="0" shapeId="0" xr:uid="{00000000-0006-0000-0C00-000002000000}">
      <text>
        <r>
          <rPr>
            <b/>
            <sz val="9"/>
            <color indexed="81"/>
            <rFont val="Tahoma"/>
            <family val="2"/>
          </rPr>
          <t>Malene Nerland:</t>
        </r>
        <r>
          <rPr>
            <sz val="9"/>
            <color indexed="81"/>
            <rFont val="Tahoma"/>
            <family val="2"/>
          </rPr>
          <t xml:space="preserve">
Fylles ut ved behov. Hvis det er driftskostnader som ikke fanges opp i de andre beregningene i denne arkfanen.</t>
        </r>
      </text>
    </comment>
    <comment ref="P39" authorId="0" shapeId="0" xr:uid="{A2565600-3AE7-4892-AED7-1EB0062003F6}">
      <text>
        <r>
          <rPr>
            <b/>
            <sz val="9"/>
            <color indexed="81"/>
            <rFont val="Tahoma"/>
            <family val="2"/>
          </rPr>
          <t>Malene Nerland:</t>
        </r>
        <r>
          <rPr>
            <sz val="9"/>
            <color indexed="81"/>
            <rFont val="Tahoma"/>
            <family val="2"/>
          </rPr>
          <t xml:space="preserve">
Fylles ut ved behov. Hvis det er driftskostnader som ikke fanges opp i de andre beregningene i denne arkfanen.</t>
        </r>
      </text>
    </comment>
    <comment ref="AD39" authorId="0" shapeId="0" xr:uid="{41628038-BE45-4EAB-8CD0-87D339A59124}">
      <text>
        <r>
          <rPr>
            <b/>
            <sz val="9"/>
            <color indexed="81"/>
            <rFont val="Tahoma"/>
            <family val="2"/>
          </rPr>
          <t>Malene Nerland:</t>
        </r>
        <r>
          <rPr>
            <sz val="9"/>
            <color indexed="81"/>
            <rFont val="Tahoma"/>
            <family val="2"/>
          </rPr>
          <t xml:space="preserve">
Fylles ut ved behov. Hvis det er driftskostnader som ikke fanges opp i de andre beregningene i denne arkfanen.</t>
        </r>
      </text>
    </comment>
    <comment ref="B45" authorId="0" shapeId="0" xr:uid="{00000000-0006-0000-0C00-000003000000}">
      <text>
        <r>
          <rPr>
            <b/>
            <sz val="9"/>
            <color indexed="81"/>
            <rFont val="Tahoma"/>
            <family val="2"/>
          </rPr>
          <t>Malene Nerland:</t>
        </r>
        <r>
          <rPr>
            <sz val="9"/>
            <color indexed="81"/>
            <rFont val="Tahoma"/>
            <family val="2"/>
          </rPr>
          <t xml:space="preserve">
Fylles ut ved behov. Hvis det er materiellkostnader som ikke fanges opp i de andre beregningene i denne arkfanen.</t>
        </r>
      </text>
    </comment>
    <comment ref="P45" authorId="0" shapeId="0" xr:uid="{A07BF222-A263-4650-8353-832E5B493311}">
      <text>
        <r>
          <rPr>
            <b/>
            <sz val="9"/>
            <color indexed="81"/>
            <rFont val="Tahoma"/>
            <family val="2"/>
          </rPr>
          <t>Malene Nerland:</t>
        </r>
        <r>
          <rPr>
            <sz val="9"/>
            <color indexed="81"/>
            <rFont val="Tahoma"/>
            <family val="2"/>
          </rPr>
          <t xml:space="preserve">
Fylles ut ved behov. Hvis det er materiellkostnader som ikke fanges opp i de andre beregningene i denne arkfanen.</t>
        </r>
      </text>
    </comment>
    <comment ref="AD45" authorId="0" shapeId="0" xr:uid="{FB72ECDB-0F3E-459E-BD29-3625FCEFEC7D}">
      <text>
        <r>
          <rPr>
            <b/>
            <sz val="9"/>
            <color indexed="81"/>
            <rFont val="Tahoma"/>
            <family val="2"/>
          </rPr>
          <t>Malene Nerland:</t>
        </r>
        <r>
          <rPr>
            <sz val="9"/>
            <color indexed="81"/>
            <rFont val="Tahoma"/>
            <family val="2"/>
          </rPr>
          <t xml:space="preserve">
Fylles ut ved behov. Hvis det er materiellkostnader som ikke fanges opp i de andre beregningene i denne arkfanen.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Malene Nerland</author>
  </authors>
  <commentList>
    <comment ref="B19" authorId="0" shapeId="0" xr:uid="{00000000-0006-0000-0D00-000001000000}">
      <text>
        <r>
          <rPr>
            <b/>
            <sz val="9"/>
            <color indexed="81"/>
            <rFont val="Tahoma"/>
            <family val="2"/>
          </rPr>
          <t>Malene Nerland:</t>
        </r>
        <r>
          <rPr>
            <sz val="9"/>
            <color indexed="81"/>
            <rFont val="Tahoma"/>
            <family val="2"/>
          </rPr>
          <t xml:space="preserve">
Hvis personbiltransporten går ned vil avgifteskostnadene til staten gå ned som følge av at færre biler betaler avgift.
</t>
        </r>
      </text>
    </comment>
    <comment ref="B27" authorId="0" shapeId="0" xr:uid="{72B47A82-A8CD-4469-9820-FAD1C07C6F6D}">
      <text>
        <r>
          <rPr>
            <b/>
            <sz val="9"/>
            <color indexed="81"/>
            <rFont val="Tahoma"/>
            <family val="2"/>
          </rPr>
          <t>Malene Nerland:</t>
        </r>
        <r>
          <rPr>
            <sz val="9"/>
            <color indexed="81"/>
            <rFont val="Tahoma"/>
            <family val="2"/>
          </rPr>
          <t xml:space="preserve">
Hvis personbiltransporten går ned vil avgifteskostnadene til staten gå ned som følge av at færre biler betaler avgift.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Malene Nerland</author>
    <author>Øystein Rembar</author>
    <author>tc={5D1FAF02-2B8E-4CE0-B30C-C117A84AFA81}</author>
  </authors>
  <commentList>
    <comment ref="DS9" authorId="0" shapeId="0" xr:uid="{00000000-0006-0000-1000-000001000000}">
      <text>
        <r>
          <rPr>
            <b/>
            <sz val="9"/>
            <color indexed="81"/>
            <rFont val="Tahoma"/>
            <family val="2"/>
          </rPr>
          <t>Malene Nerland:</t>
        </r>
        <r>
          <rPr>
            <sz val="9"/>
            <color indexed="81"/>
            <rFont val="Tahoma"/>
            <family val="2"/>
          </rPr>
          <t xml:space="preserve">
Dette tallet er ment for en beregningsverdi til hjelp for å hente ut riktige verdier som inngår i nåverdi beregningene.
Siste år analyseperiode minus første år nyttestrøm. Inkluderer 10 år i nyttestrømmen før åpningsår.
</t>
        </r>
      </text>
    </comment>
    <comment ref="DT9" authorId="0" shapeId="0" xr:uid="{00000000-0006-0000-1000-000002000000}">
      <text>
        <r>
          <rPr>
            <b/>
            <sz val="9"/>
            <color indexed="81"/>
            <rFont val="Tahoma"/>
            <family val="2"/>
          </rPr>
          <t>Malene Nerland:</t>
        </r>
        <r>
          <rPr>
            <sz val="9"/>
            <color indexed="81"/>
            <rFont val="Tahoma"/>
            <family val="2"/>
          </rPr>
          <t xml:space="preserve">
Antall år med restverdi.
Prosjektetslevetid minus analyseperioden lengde.</t>
        </r>
      </text>
    </comment>
    <comment ref="G10" authorId="1" shapeId="0" xr:uid="{3F6F3082-E55F-456B-9004-8393090AF3F9}">
      <text>
        <r>
          <rPr>
            <b/>
            <sz val="9"/>
            <color indexed="81"/>
            <rFont val="Tahoma"/>
            <family val="2"/>
          </rPr>
          <t>Øystein Rembar:</t>
        </r>
        <r>
          <rPr>
            <sz val="9"/>
            <color indexed="81"/>
            <rFont val="Tahoma"/>
            <family val="2"/>
          </rPr>
          <t xml:space="preserve">
For enkelte av variablene i analysen vil enhetskostnaden endre seg over år, i tillegg til volumet. Med volum menes f.eks. togkm. CO2-utslipp er et eksempel på dette, hvor det f.eks. er forventet at utslippene fra bilparken vil reduseres i årene fremover, samtidig som samfunnets kostnader ved CO2-utslipp vil øke. For CO2-variablene er endringene i CO2-kostnadene per kjørte km beregnet i fane 1.5 Prognoser og indekser. I fanen her isolerer vi effekten av volumendringer (dvs. endring i kjørte km), og sammestiller effektene fra kostnads- og volumendringene i nyttestrømmen.
For øvrige variabler (hvor kun volum endres) benyttes "Resultater før prisjustering".</t>
        </r>
      </text>
    </comment>
    <comment ref="J10" authorId="0" shapeId="0" xr:uid="{00000000-0006-0000-1000-000003000000}">
      <text>
        <r>
          <rPr>
            <b/>
            <sz val="9"/>
            <color indexed="81"/>
            <rFont val="Tahoma"/>
            <family val="2"/>
          </rPr>
          <t>Malene Nerland:</t>
        </r>
        <r>
          <rPr>
            <sz val="9"/>
            <color indexed="81"/>
            <rFont val="Tahoma"/>
            <family val="2"/>
          </rPr>
          <t xml:space="preserve">
Det vil etter siste beregningsår beregnes en volumvekst tilsvarende grunnprognose for persontransport (befolkningsvekst etter prognosene) eller godsprognose.</t>
        </r>
      </text>
    </comment>
    <comment ref="L10" authorId="0" shapeId="0" xr:uid="{00000000-0006-0000-1000-000004000000}">
      <text>
        <r>
          <rPr>
            <b/>
            <sz val="9"/>
            <color indexed="81"/>
            <rFont val="Tahoma"/>
            <family val="2"/>
          </rPr>
          <t>Malene Nerland:</t>
        </r>
        <r>
          <rPr>
            <sz val="9"/>
            <color indexed="81"/>
            <rFont val="Tahoma"/>
            <family val="2"/>
          </rPr>
          <t xml:space="preserve">
Dersom det er valgt framskrivning basert på vekstprognoser etter siste beregningsår, vil det stå 0 i denne kolonnen. Dersom vi velger å framskrive basert på lineær vekst mellom de to siste beregningsårene, vil dette beregnes  her og vekstprognosene i "1.5 Prognoser og indekser" settes til 1.</t>
        </r>
      </text>
    </comment>
    <comment ref="C18" authorId="2" shapeId="0" xr:uid="{5D1FAF02-2B8E-4CE0-B30C-C117A84AFA81}">
      <text>
        <t>[Kommentartråd]
Din versjon av Excel lar deg lese denne kommentartråden. Eventuelle endringer i den vil imidlertid bli fjernet hvis filen åpnes i en nyere versjon av Excel. Finn ut mer: https://go.microsoft.com/fwlink/?linkid=870924
Kommentar:
    Endre navn her?</t>
      </text>
    </comment>
    <comment ref="G29" authorId="1" shapeId="0" xr:uid="{6FF6EB9D-B31B-49F9-8372-BC81F23C59F1}">
      <text>
        <r>
          <rPr>
            <b/>
            <sz val="9"/>
            <color indexed="81"/>
            <rFont val="Tahoma"/>
            <family val="2"/>
          </rPr>
          <t>Øystein Rembar:</t>
        </r>
        <r>
          <rPr>
            <sz val="9"/>
            <color indexed="81"/>
            <rFont val="Tahoma"/>
            <family val="2"/>
          </rPr>
          <t xml:space="preserve">
For enkelte av variablene i analysen vil enhetskostnaden endre seg over år, i tillegg til volumet. Med volum menes f.eks. togkm. CO2-utslipp er et eksempel på dette, hvor det f.eks. er forventet at utslippene fra bilparken vil reduseres i årene fremover, samtidig som samfunnets kostnader ved CO2-utslipp vil øke. For CO2-variablene er endringene i CO2-kostnadene per kjørte km beregnet i fane 1.5 Prognoser og indekser. I fanen her isolerer vi effekten av volumendringer (dvs. endring i kjørte km), og sammestiller effektene fra kostnads- og volumendringene i nyttestrømmen.
For øvrige variabler (hvor kun volum endres) benyttes "Resultater før prisjustering".</t>
        </r>
      </text>
    </comment>
    <comment ref="C32" authorId="1" shapeId="0" xr:uid="{B5A75DF7-76DB-4D85-8E88-A05068EB58BF}">
      <text>
        <r>
          <rPr>
            <b/>
            <sz val="9"/>
            <color indexed="81"/>
            <rFont val="Tahoma"/>
            <family val="2"/>
          </rPr>
          <t>Øystein Rembar:</t>
        </r>
        <r>
          <rPr>
            <sz val="9"/>
            <color indexed="81"/>
            <rFont val="Tahoma"/>
            <family val="2"/>
          </rPr>
          <t xml:space="preserve">
Offentlig kjøp på jernbane dekker per forutsetning operatørenes over- eller underskudd.</t>
        </r>
      </text>
    </comment>
    <comment ref="C40" authorId="1" shapeId="0" xr:uid="{EA8BD2AA-B6BD-4329-BB51-5E41B5F91B33}">
      <text>
        <r>
          <rPr>
            <b/>
            <sz val="9"/>
            <color indexed="81"/>
            <rFont val="Tahoma"/>
            <family val="2"/>
          </rPr>
          <t>Øystein Rembar:</t>
        </r>
        <r>
          <rPr>
            <sz val="9"/>
            <color indexed="81"/>
            <rFont val="Tahoma"/>
            <family val="2"/>
          </rPr>
          <t xml:space="preserve">
Offentlig kjøp for busstransporten dekker per forutsetning operatørenes over- eller underskudd.</t>
        </r>
      </text>
    </comment>
    <comment ref="G43" authorId="1" shapeId="0" xr:uid="{68C12D19-A7C3-496B-B809-DA59D68DA3D3}">
      <text>
        <r>
          <rPr>
            <b/>
            <sz val="9"/>
            <color indexed="81"/>
            <rFont val="Tahoma"/>
            <family val="2"/>
          </rPr>
          <t>Øystein Rembar:</t>
        </r>
        <r>
          <rPr>
            <sz val="9"/>
            <color indexed="81"/>
            <rFont val="Tahoma"/>
            <family val="2"/>
          </rPr>
          <t xml:space="preserve">
For enkelte av variablene i analysen vil enhetskostnaden endre seg over år, i tillegg til volumet. Med volum menes f.eks. togkm. CO2-utslipp er et eksempel på dette, hvor det f.eks. er forventet at utslippene fra bilparken vil reduseres i årene fremover, samtidig som samfunnets kostnader ved CO2-utslipp vil øke. For CO2-variablene er endringene i CO2-kostnadene per kjørte km beregnet i fane 1.5 Prognoser og indekser. I fanen her isolerer vi effekten av volumendringer (dvs. endring i kjørte km), og sammestiller effektene fra kostnads- og volumendringene i nyttestrømmen.
For øvrige variabler (hvor kun volum endres) benyttes "Resultater før prisjustering".</t>
        </r>
      </text>
    </comment>
    <comment ref="C50" authorId="0" shapeId="0" xr:uid="{0D65D6CB-BD44-4285-B356-86EAE87F4295}">
      <text>
        <r>
          <rPr>
            <b/>
            <sz val="9"/>
            <color indexed="81"/>
            <rFont val="Tahoma"/>
            <family val="2"/>
          </rPr>
          <t>Malene Nerland og Øystein Rembar:</t>
        </r>
        <r>
          <rPr>
            <sz val="9"/>
            <color indexed="81"/>
            <rFont val="Tahoma"/>
            <family val="2"/>
          </rPr>
          <t xml:space="preserve">
"Resultat før prisjustering" for CO2-beregningene er spesiell, siden beregningene både inneholder endring i kjøretøykm og endring i CO2 kr/km (som i sin tur inneholder endring i CO2-pris og endring i utslipp per km). Den relative årsveksten er derfor beregnet med utgangspunkt i kjøretøykm, jf. nærmere forklaring i eget notat under "Resultater volum".</t>
        </r>
      </text>
    </comment>
    <comment ref="J51" authorId="1" shapeId="0" xr:uid="{B8DC1D43-90CB-40F9-8DC9-D1C097E663B9}">
      <text>
        <r>
          <rPr>
            <b/>
            <sz val="9"/>
            <color indexed="81"/>
            <rFont val="Tahoma"/>
            <family val="2"/>
          </rPr>
          <t>Øystein Rembar:</t>
        </r>
        <r>
          <rPr>
            <sz val="9"/>
            <color indexed="81"/>
            <rFont val="Tahoma"/>
            <family val="2"/>
          </rPr>
          <t xml:space="preserve">
Årsveksten for CO2-variablene er beregnet med utgangspunkt i "Resultater volum". Dette skyldes at vi i denne fanen ønsker å se på effektene av endringer i både volum og pris. Endringene i pris er allerede beregnet i fane 1.5 Prognoser og indekser, slik at det som her gjenstår er å beregne volumveksten. 
I nyttestrømmene til høyre er både volum- og prisvekst hensyntatt.</t>
        </r>
      </text>
    </comment>
    <comment ref="K51" authorId="1" shapeId="0" xr:uid="{7188800C-4D1F-4A22-A56C-4266C159090D}">
      <text>
        <r>
          <rPr>
            <b/>
            <sz val="9"/>
            <color indexed="81"/>
            <rFont val="Tahoma"/>
            <family val="2"/>
          </rPr>
          <t>Øystein Rembar:</t>
        </r>
        <r>
          <rPr>
            <sz val="9"/>
            <color indexed="81"/>
            <rFont val="Tahoma"/>
            <family val="2"/>
          </rPr>
          <t xml:space="preserve">
Årsveksten for CO2-variablene er beregnet med utgangspunkt i "Resultater volum". Dette skyldes at vi i denne fanen ønsker å se på effektene av endringer i både volum og pris. Endringene i pris er allerede beregnet i fane 1.5 Prognoser og indekser, slik at det som her gjenstår er å beregne volumveksten. 
I nyttestrømmene til høyre er både volum- og prisvekst hensyntatt.</t>
        </r>
      </text>
    </comment>
    <comment ref="L51" authorId="1" shapeId="0" xr:uid="{60E1FE5A-6128-4FA2-97D7-F6A1E3D5DAF4}">
      <text>
        <r>
          <rPr>
            <b/>
            <sz val="9"/>
            <color indexed="81"/>
            <rFont val="Tahoma"/>
            <family val="2"/>
          </rPr>
          <t>Øystein Rembar:</t>
        </r>
        <r>
          <rPr>
            <sz val="9"/>
            <color indexed="81"/>
            <rFont val="Tahoma"/>
            <family val="2"/>
          </rPr>
          <t xml:space="preserve">
Viser volumvekst per år for årene etter siste beregningsår (mill. nye kjøretøykm per år). Er basert på gj.snittlig volumvekst per år mellom de to siste beregningsårene.</t>
        </r>
      </text>
    </comment>
    <comment ref="J52" authorId="1" shapeId="0" xr:uid="{C7ADBD0C-5731-47F3-AE18-EFC27642A2E0}">
      <text>
        <r>
          <rPr>
            <b/>
            <sz val="9"/>
            <color indexed="81"/>
            <rFont val="Tahoma"/>
            <family val="2"/>
          </rPr>
          <t>Øystein Rembar:</t>
        </r>
        <r>
          <rPr>
            <sz val="9"/>
            <color indexed="81"/>
            <rFont val="Tahoma"/>
            <family val="2"/>
          </rPr>
          <t xml:space="preserve">
Årsveksten for CO2-variablene er beregnet med utgangspunkt i "Resultater volum". Dette skyldes at vi i denne fanen ønsker å se på effektene av endringer i både volum og pris. Endringene i pris er allerede beregnet i fane 1.5 Prognoser og indekser, slik at det som her gjenstår er å beregne volumveksten. 
I nyttestrømmene til høyre er både volum- og prisvekst hensyntatt.</t>
        </r>
      </text>
    </comment>
    <comment ref="K52" authorId="1" shapeId="0" xr:uid="{E1561D09-A5CD-4FCE-9B25-703C5EA68B11}">
      <text>
        <r>
          <rPr>
            <b/>
            <sz val="9"/>
            <color indexed="81"/>
            <rFont val="Tahoma"/>
            <family val="2"/>
          </rPr>
          <t>Øystein Rembar:</t>
        </r>
        <r>
          <rPr>
            <sz val="9"/>
            <color indexed="81"/>
            <rFont val="Tahoma"/>
            <family val="2"/>
          </rPr>
          <t xml:space="preserve">
Årsveksten for CO2-variablene er beregnet med utgangspunkt i "Resultater volum". Dette skyldes at vi i denne fanen ønsker å se på effektene av endringer i både volum og pris. Endringene i pris er allerede beregnet i fane 1.5 Prognoser og indekser, slik at det som her gjenstår er å beregne volumveksten. 
I nyttestrømmene til høyre er både volum- og prisvekst hensyntatt.</t>
        </r>
      </text>
    </comment>
    <comment ref="L52" authorId="1" shapeId="0" xr:uid="{763D6533-3B5C-4E74-ADCC-95564D473088}">
      <text>
        <r>
          <rPr>
            <b/>
            <sz val="9"/>
            <color indexed="81"/>
            <rFont val="Tahoma"/>
            <family val="2"/>
          </rPr>
          <t>Øystein Rembar:</t>
        </r>
        <r>
          <rPr>
            <sz val="9"/>
            <color indexed="81"/>
            <rFont val="Tahoma"/>
            <family val="2"/>
          </rPr>
          <t xml:space="preserve">
Viser volumvekst per år for årene etter siste beregningsår (mill. nye kjøretøykm per år). Er basert på gj.snittlig volumvekst per år mellom de to siste beregningsårene.</t>
        </r>
      </text>
    </comment>
    <comment ref="J53" authorId="1" shapeId="0" xr:uid="{9495D476-CCD6-49BB-8DA6-0AE593D078AA}">
      <text>
        <r>
          <rPr>
            <b/>
            <sz val="9"/>
            <color indexed="81"/>
            <rFont val="Tahoma"/>
            <family val="2"/>
          </rPr>
          <t>Øystein Rembar:</t>
        </r>
        <r>
          <rPr>
            <sz val="9"/>
            <color indexed="81"/>
            <rFont val="Tahoma"/>
            <family val="2"/>
          </rPr>
          <t xml:space="preserve">
Årsveksten for CO2-variablene er beregnet med utgangspunkt i "Resultater volum". Dette skyldes at vi i denne fanen ønsker å se på effektene av endringer i både volum og pris. Endringene i pris er allerede beregnet i fane 1.5 Prognoser og indekser, slik at det som her gjenstår er å beregne volumveksten. 
I nyttestrømmene til høyre er både volum- og prisvekst hensyntatt.</t>
        </r>
      </text>
    </comment>
    <comment ref="K53" authorId="1" shapeId="0" xr:uid="{DC7BAC3E-EE62-4B1C-B612-7F7F58B7F8DB}">
      <text>
        <r>
          <rPr>
            <b/>
            <sz val="9"/>
            <color indexed="81"/>
            <rFont val="Tahoma"/>
            <family val="2"/>
          </rPr>
          <t>Øystein Rembar:</t>
        </r>
        <r>
          <rPr>
            <sz val="9"/>
            <color indexed="81"/>
            <rFont val="Tahoma"/>
            <family val="2"/>
          </rPr>
          <t xml:space="preserve">
Årsveksten for CO2-variablene er beregnet med utgangspunkt i "Resultater volum". Dette skyldes at vi i denne fanen ønsker å se på effektene av endringer i både volum og pris. Endringene i pris er allerede beregnet i fane 1.5 Prognoser og indekser, slik at det som her gjenstår er å beregne volumveksten. 
I nyttestrømmene til høyre er både volum- og prisvekst hensyntatt.</t>
        </r>
      </text>
    </comment>
    <comment ref="L53" authorId="1" shapeId="0" xr:uid="{CD960240-EDB7-4506-B34A-6644B0D10E93}">
      <text>
        <r>
          <rPr>
            <b/>
            <sz val="9"/>
            <color indexed="81"/>
            <rFont val="Tahoma"/>
            <family val="2"/>
          </rPr>
          <t>Øystein Rembar:</t>
        </r>
        <r>
          <rPr>
            <sz val="9"/>
            <color indexed="81"/>
            <rFont val="Tahoma"/>
            <family val="2"/>
          </rPr>
          <t xml:space="preserve">
Viser volumvekst per år for årene etter siste beregningsår (mill. nye kjøretøykm per år). Er basert på gj.snittlig volumvekst per år mellom de to siste beregningsårene.</t>
        </r>
      </text>
    </comment>
    <comment ref="J54" authorId="1" shapeId="0" xr:uid="{F4100745-E967-42B3-8E5A-5F12175ED3B6}">
      <text>
        <r>
          <rPr>
            <b/>
            <sz val="9"/>
            <color indexed="81"/>
            <rFont val="Tahoma"/>
            <family val="2"/>
          </rPr>
          <t>Øystein Rembar:</t>
        </r>
        <r>
          <rPr>
            <sz val="9"/>
            <color indexed="81"/>
            <rFont val="Tahoma"/>
            <family val="2"/>
          </rPr>
          <t xml:space="preserve">
Årsveksten for CO2-variablene er beregnet med utgangspunkt i "Resultater volum". Dette skyldes at vi i denne fanen ønsker å se på effektene av endringer i både volum og pris. Endringene i pris er allerede beregnet i fane 1.5 Prognoser og indekser, slik at det som her gjenstår er å beregne volumveksten. 
I nyttestrømmene til høyre er både volum- og prisvekst hensyntatt.</t>
        </r>
      </text>
    </comment>
    <comment ref="K54" authorId="1" shapeId="0" xr:uid="{5FB0FC23-432E-496C-8D52-58D9C7440C91}">
      <text>
        <r>
          <rPr>
            <b/>
            <sz val="9"/>
            <color indexed="81"/>
            <rFont val="Tahoma"/>
            <family val="2"/>
          </rPr>
          <t>Øystein Rembar:</t>
        </r>
        <r>
          <rPr>
            <sz val="9"/>
            <color indexed="81"/>
            <rFont val="Tahoma"/>
            <family val="2"/>
          </rPr>
          <t xml:space="preserve">
Årsveksten for CO2-variablene er beregnet med utgangspunkt i "Resultater volum". Dette skyldes at vi i denne fanen ønsker å se på effektene av endringer i både volum og pris. Endringene i pris er allerede beregnet i fane 1.5 Prognoser og indekser, slik at det som her gjenstår er å beregne volumveksten. 
I nyttestrømmene til høyre er både volum- og prisvekst hensyntatt.</t>
        </r>
      </text>
    </comment>
    <comment ref="L54" authorId="1" shapeId="0" xr:uid="{37A66294-C846-42B7-9D1E-77CB69E79DE5}">
      <text>
        <r>
          <rPr>
            <b/>
            <sz val="9"/>
            <color indexed="81"/>
            <rFont val="Tahoma"/>
            <family val="2"/>
          </rPr>
          <t>Øystein Rembar:</t>
        </r>
        <r>
          <rPr>
            <sz val="9"/>
            <color indexed="81"/>
            <rFont val="Tahoma"/>
            <family val="2"/>
          </rPr>
          <t xml:space="preserve">
Viser volumvekst per år for årene etter siste beregningsår (mill. nye kjøretøykm per år). Er basert på gj.snittlig volumvekst per år mellom de to siste beregningsårene.</t>
        </r>
      </text>
    </comment>
    <comment ref="J55" authorId="1" shapeId="0" xr:uid="{F7AC2140-D52F-4397-8C0D-C1A8B90213B6}">
      <text>
        <r>
          <rPr>
            <b/>
            <sz val="9"/>
            <color indexed="81"/>
            <rFont val="Tahoma"/>
            <family val="2"/>
          </rPr>
          <t>Øystein Rembar:</t>
        </r>
        <r>
          <rPr>
            <sz val="9"/>
            <color indexed="81"/>
            <rFont val="Tahoma"/>
            <family val="2"/>
          </rPr>
          <t xml:space="preserve">
Årsveksten for CO2-variablene er beregnet med utgangspunkt i "Resultater volum". Dette skyldes at vi i denne fanen ønsker å se på effektene av endringer i både volum og pris. Endringene i pris er allerede beregnet i fane 1.5 Prognoser og indekser, slik at det som her gjenstår er å beregne volumveksten. 
I nyttestrømmene til høyre er både volum- og prisvekst hensyntatt.</t>
        </r>
      </text>
    </comment>
    <comment ref="K55" authorId="1" shapeId="0" xr:uid="{32A81F6A-A8B0-4582-8377-D20CACE3BC53}">
      <text>
        <r>
          <rPr>
            <b/>
            <sz val="9"/>
            <color indexed="81"/>
            <rFont val="Tahoma"/>
            <family val="2"/>
          </rPr>
          <t>Øystein Rembar:</t>
        </r>
        <r>
          <rPr>
            <sz val="9"/>
            <color indexed="81"/>
            <rFont val="Tahoma"/>
            <family val="2"/>
          </rPr>
          <t xml:space="preserve">
Årsveksten for CO2-variablene er beregnet med utgangspunkt i "Resultater volum". Dette skyldes at vi i denne fanen ønsker å se på effektene av endringer i både volum og pris. Endringene i pris er allerede beregnet i fane 1.5 Prognoser og indekser, slik at det som her gjenstår er å beregne volumveksten. 
I nyttestrømmene til høyre er både volum- og prisvekst hensyntatt.</t>
        </r>
      </text>
    </comment>
    <comment ref="L55" authorId="1" shapeId="0" xr:uid="{43A90795-93AA-47DE-84FC-5E9D2BCE34AD}">
      <text>
        <r>
          <rPr>
            <b/>
            <sz val="9"/>
            <color indexed="81"/>
            <rFont val="Tahoma"/>
            <family val="2"/>
          </rPr>
          <t>Øystein Rembar:</t>
        </r>
        <r>
          <rPr>
            <sz val="9"/>
            <color indexed="81"/>
            <rFont val="Tahoma"/>
            <family val="2"/>
          </rPr>
          <t xml:space="preserve">
Viser volumvekst per år for årene etter siste beregningsår (mill. nye kjøretøykm per år). Er basert på gj.snittlig volumvekst per år mellom de to siste beregningsårene.</t>
        </r>
      </text>
    </comment>
    <comment ref="J56" authorId="1" shapeId="0" xr:uid="{373A2A8B-81FB-4B80-B172-B42F69F29BED}">
      <text>
        <r>
          <rPr>
            <b/>
            <sz val="9"/>
            <color indexed="81"/>
            <rFont val="Tahoma"/>
            <family val="2"/>
          </rPr>
          <t>Øystein Rembar:</t>
        </r>
        <r>
          <rPr>
            <sz val="9"/>
            <color indexed="81"/>
            <rFont val="Tahoma"/>
            <family val="2"/>
          </rPr>
          <t xml:space="preserve">
Årsveksten for CO2-variablene er beregnet med utgangspunkt i "Resultater volum". Dette skyldes at vi i denne fanen ønsker å se på effektene av endringer i både volum og pris. Endringene i pris er allerede beregnet i fane 1.5 Prognoser og indekser, slik at det som her gjenstår er å beregne volumveksten. 
I nyttestrømmene til høyre er både volum- og prisvekst hensyntatt.</t>
        </r>
      </text>
    </comment>
    <comment ref="K56" authorId="1" shapeId="0" xr:uid="{ED1E17FC-52FF-4A09-8A08-748F8223DBB4}">
      <text>
        <r>
          <rPr>
            <b/>
            <sz val="9"/>
            <color indexed="81"/>
            <rFont val="Tahoma"/>
            <family val="2"/>
          </rPr>
          <t>Øystein Rembar:</t>
        </r>
        <r>
          <rPr>
            <sz val="9"/>
            <color indexed="81"/>
            <rFont val="Tahoma"/>
            <family val="2"/>
          </rPr>
          <t xml:space="preserve">
Årsveksten for CO2-variablene er beregnet med utgangspunkt i "Resultater volum". Dette skyldes at vi i denne fanen ønsker å se på effektene av endringer i både volum og pris. Endringene i pris er allerede beregnet i fane 1.5 Prognoser og indekser, slik at det som her gjenstår er å beregne volumveksten. 
I nyttestrømmene til høyre er både volum- og prisvekst hensyntatt.</t>
        </r>
      </text>
    </comment>
    <comment ref="L56" authorId="1" shapeId="0" xr:uid="{6F8D3092-FEBA-40C8-9880-1D6C0DC001C4}">
      <text>
        <r>
          <rPr>
            <b/>
            <sz val="9"/>
            <color indexed="81"/>
            <rFont val="Tahoma"/>
            <family val="2"/>
          </rPr>
          <t>Øystein Rembar:</t>
        </r>
        <r>
          <rPr>
            <sz val="9"/>
            <color indexed="81"/>
            <rFont val="Tahoma"/>
            <family val="2"/>
          </rPr>
          <t xml:space="preserve">
Viser volumvekst per år for årene etter siste beregningsår (mill. nye kjøretøykm per år). Er basert på gj.snittlig volumvekst per år mellom de to siste beregningsårene.</t>
        </r>
      </text>
    </comment>
    <comment ref="J58" authorId="1" shapeId="0" xr:uid="{696B7C90-64EF-4CE0-B16D-281BD9DCE8A1}">
      <text>
        <r>
          <rPr>
            <b/>
            <sz val="9"/>
            <color indexed="81"/>
            <rFont val="Tahoma"/>
            <family val="2"/>
          </rPr>
          <t>Øystein Rembar:</t>
        </r>
        <r>
          <rPr>
            <sz val="9"/>
            <color indexed="81"/>
            <rFont val="Tahoma"/>
            <family val="2"/>
          </rPr>
          <t xml:space="preserve">
Årsveksten for CO2-variablene er beregnet med utgangspunkt i "Resultater volum". Dette skyldes at vi i denne fanen ønsker å se på effektene av endringer i både volum og pris. Endringene i pris er allerede beregnet i fane 1.5 Prognoser og indekser, slik at det som her gjenstår er å beregne volumveksten. 
I nyttestrømmene til høyre er både volum- og prisvekst hensyntatt.</t>
        </r>
      </text>
    </comment>
    <comment ref="K58" authorId="1" shapeId="0" xr:uid="{9C9BCB0C-D0C6-47AD-9107-92BC46E35FB5}">
      <text>
        <r>
          <rPr>
            <b/>
            <sz val="9"/>
            <color indexed="81"/>
            <rFont val="Tahoma"/>
            <family val="2"/>
          </rPr>
          <t>Øystein Rembar:</t>
        </r>
        <r>
          <rPr>
            <sz val="9"/>
            <color indexed="81"/>
            <rFont val="Tahoma"/>
            <family val="2"/>
          </rPr>
          <t xml:space="preserve">
Årsveksten for CO2-variablene er beregnet med utgangspunkt i "Resultater volum". Dette skyldes at vi i denne fanen ønsker å se på effektene av endringer i både volum og pris. Endringene i pris er allerede beregnet i fane 1.5 Prognoser og indekser, slik at det som her gjenstår er å beregne volumveksten. 
I nyttestrømmene til høyre er både volum- og prisvekst hensyntatt.</t>
        </r>
      </text>
    </comment>
    <comment ref="L58" authorId="1" shapeId="0" xr:uid="{F198910A-866E-4104-9980-B404F7FA5A7A}">
      <text>
        <r>
          <rPr>
            <b/>
            <sz val="9"/>
            <color indexed="81"/>
            <rFont val="Tahoma"/>
            <family val="2"/>
          </rPr>
          <t>Øystein Rembar:</t>
        </r>
        <r>
          <rPr>
            <sz val="9"/>
            <color indexed="81"/>
            <rFont val="Tahoma"/>
            <family val="2"/>
          </rPr>
          <t xml:space="preserve">
Viser volumvekst per år for årene etter siste beregningsår (mill. nye kjøretøykm per år). Er basert på gj.snittlig volumvekst per år mellom de to siste beregningsårene.</t>
        </r>
      </text>
    </comment>
    <comment ref="G67" authorId="1" shapeId="0" xr:uid="{EF8FF46C-D205-4C2D-9298-572018977CAB}">
      <text>
        <r>
          <rPr>
            <b/>
            <sz val="9"/>
            <color indexed="81"/>
            <rFont val="Tahoma"/>
            <family val="2"/>
          </rPr>
          <t>Øystein Rembar:</t>
        </r>
        <r>
          <rPr>
            <sz val="9"/>
            <color indexed="81"/>
            <rFont val="Tahoma"/>
            <family val="2"/>
          </rPr>
          <t xml:space="preserve">
For enkelte av variablene i analysen vil enhetskostnaden endre seg over år, i tillegg til volumet. Med volum menes f.eks. togkm. CO2-utslipp er et eksempel på dette, hvor det f.eks. er forventet at utslippene fra bilparken vil reduseres i årene fremover, samtidig som samfunnets kostnader ved CO2-utslipp vil øke. For CO2-variablene er endringene i CO2-kostnadene per kjørte km beregnet i fane 1.5 Prognoser og indekser. I fanen her isolerer vi effekten av volumendringer (dvs. endring i kjørte km), og sammestiller effektene fra kostnads- og volumendringene i nyttestrømmen.
For øvrige variabler (hvor kun volum endres) benyttes "Resultater før prisjustering".
Merk at negative verdier for CO2-variablene indikerer at transportarbeidet har </t>
        </r>
        <r>
          <rPr>
            <i/>
            <sz val="9"/>
            <color indexed="81"/>
            <rFont val="Tahoma"/>
            <family val="2"/>
          </rPr>
          <t>økt</t>
        </r>
        <r>
          <rPr>
            <sz val="9"/>
            <color indexed="81"/>
            <rFont val="Tahoma"/>
            <family val="2"/>
          </rPr>
          <t>, slik at CO2-utslippene også har økt, som i sin tur isolert sett gir negativ nytte for samfunnet.</t>
        </r>
      </text>
    </comment>
    <comment ref="C75" authorId="0" shapeId="0" xr:uid="{C568AB82-2995-4808-9139-E7C32B3C947F}">
      <text>
        <r>
          <rPr>
            <b/>
            <sz val="9"/>
            <color indexed="81"/>
            <rFont val="Tahoma"/>
            <family val="2"/>
          </rPr>
          <t>Malene Nerland og Øystein Rembar:</t>
        </r>
        <r>
          <rPr>
            <sz val="9"/>
            <color indexed="81"/>
            <rFont val="Tahoma"/>
            <family val="2"/>
          </rPr>
          <t xml:space="preserve">
"Resultat før prisjustering" for CO2-beregningene er spesiell, siden beregningene både inneholder endring i kjøretøykm og endring i CO2 kr/km (som i sin tur inneholder endring i CO2-pris og endring i utslipp per km). Den relative årsveksten er derfor beregnet med utgangspunkt i kjøretøykm, jf. nærmere forklaring i eget notat under "Resultater volum".</t>
        </r>
      </text>
    </comment>
    <comment ref="J76" authorId="1" shapeId="0" xr:uid="{031C6757-8BB5-4CB9-8F8E-F927AD639627}">
      <text>
        <r>
          <rPr>
            <b/>
            <sz val="9"/>
            <color indexed="81"/>
            <rFont val="Tahoma"/>
            <family val="2"/>
          </rPr>
          <t>Øystein Rembar:</t>
        </r>
        <r>
          <rPr>
            <sz val="9"/>
            <color indexed="81"/>
            <rFont val="Tahoma"/>
            <family val="2"/>
          </rPr>
          <t xml:space="preserve">
Årsveksten for CO2-variablene er beregnet med utgangspunkt i "Resultater volum". Dette skyldes at vi i denne fanen ønsker å se på effektene av endringer i både volum og pris. Endringene i pris er allerede beregnet i fane 1.5 Prognoser og indekser, slik at det som her gjenstår er å beregne volumveksten. 
I nyttestrømmene til høyre er både volum- og prisvekst hensyntatt.</t>
        </r>
      </text>
    </comment>
    <comment ref="K76" authorId="1" shapeId="0" xr:uid="{61981A7A-3C45-4C2B-9731-7470699A56F2}">
      <text>
        <r>
          <rPr>
            <b/>
            <sz val="9"/>
            <color indexed="81"/>
            <rFont val="Tahoma"/>
            <family val="2"/>
          </rPr>
          <t>Øystein Rembar:</t>
        </r>
        <r>
          <rPr>
            <sz val="9"/>
            <color indexed="81"/>
            <rFont val="Tahoma"/>
            <family val="2"/>
          </rPr>
          <t xml:space="preserve">
Årsveksten for CO2-variablene er beregnet med utgangspunkt i "Resultater volum". Dette skyldes at vi i denne fanen ønsker å se på effektene av endringer i både volum og pris. Endringene i pris er allerede beregnet i fane 1.5 Prognoser og indekser, slik at det som her gjenstår er å beregne volumveksten. 
I nyttestrømmene til høyre er både volum- og prisvekst hensyntatt.</t>
        </r>
      </text>
    </comment>
    <comment ref="L76" authorId="1" shapeId="0" xr:uid="{C41F2C42-6486-4266-8300-97720155ECC6}">
      <text>
        <r>
          <rPr>
            <b/>
            <sz val="9"/>
            <color indexed="81"/>
            <rFont val="Tahoma"/>
            <family val="2"/>
          </rPr>
          <t>Øystein Rembar:</t>
        </r>
        <r>
          <rPr>
            <sz val="9"/>
            <color indexed="81"/>
            <rFont val="Tahoma"/>
            <family val="2"/>
          </rPr>
          <t xml:space="preserve">
Viser volumvekst per år for årene etter siste beregningsår (mill. nye kjøretøykm per år). Er basert på gj.snittlig volumvekst per år mellom de to siste beregningsårene.</t>
        </r>
      </text>
    </comment>
    <comment ref="J77" authorId="1" shapeId="0" xr:uid="{51C72090-7452-468F-9AC5-D0EB952535F5}">
      <text>
        <r>
          <rPr>
            <b/>
            <sz val="9"/>
            <color indexed="81"/>
            <rFont val="Tahoma"/>
            <family val="2"/>
          </rPr>
          <t>Øystein Rembar:</t>
        </r>
        <r>
          <rPr>
            <sz val="9"/>
            <color indexed="81"/>
            <rFont val="Tahoma"/>
            <family val="2"/>
          </rPr>
          <t xml:space="preserve">
Årsveksten for CO2-variablene er beregnet med utgangspunkt i "Resultater volum". Dette skyldes at vi i denne fanen ønsker å se på effektene av endringer i både volum og pris. Endringene i pris er allerede beregnet i fane 1.5 Prognoser og indekser, slik at det som her gjenstår er å beregne volumveksten. 
I nyttestrømmene til høyre er både volum- og prisvekst hensyntatt.</t>
        </r>
      </text>
    </comment>
    <comment ref="K77" authorId="1" shapeId="0" xr:uid="{642D4E7C-26C7-4167-BAD2-1FEAC4C68CDB}">
      <text>
        <r>
          <rPr>
            <b/>
            <sz val="9"/>
            <color indexed="81"/>
            <rFont val="Tahoma"/>
            <family val="2"/>
          </rPr>
          <t>Øystein Rembar:</t>
        </r>
        <r>
          <rPr>
            <sz val="9"/>
            <color indexed="81"/>
            <rFont val="Tahoma"/>
            <family val="2"/>
          </rPr>
          <t xml:space="preserve">
Årsveksten for CO2-variablene er beregnet med utgangspunkt i "Resultater volum". Dette skyldes at vi i denne fanen ønsker å se på effektene av endringer i både volum og pris. Endringene i pris er allerede beregnet i fane 1.5 Prognoser og indekser, slik at det som her gjenstår er å beregne volumveksten. 
I nyttestrømmene til høyre er både volum- og prisvekst hensyntatt.</t>
        </r>
      </text>
    </comment>
    <comment ref="L77" authorId="1" shapeId="0" xr:uid="{9BC1F8CD-F6CA-4E48-9680-F936913D288E}">
      <text>
        <r>
          <rPr>
            <b/>
            <sz val="9"/>
            <color indexed="81"/>
            <rFont val="Tahoma"/>
            <family val="2"/>
          </rPr>
          <t>Øystein Rembar:</t>
        </r>
        <r>
          <rPr>
            <sz val="9"/>
            <color indexed="81"/>
            <rFont val="Tahoma"/>
            <family val="2"/>
          </rPr>
          <t xml:space="preserve">
Viser volumvekst per år for årene etter siste beregningsår (mill. nye kjøretøykm per år). Er basert på gj.snittlig volumvekst per år mellom de to siste beregningsårene.</t>
        </r>
      </text>
    </comment>
    <comment ref="J78" authorId="1" shapeId="0" xr:uid="{09DF858C-30DF-4217-B306-A3B272BCE2CD}">
      <text>
        <r>
          <rPr>
            <b/>
            <sz val="9"/>
            <color indexed="81"/>
            <rFont val="Tahoma"/>
            <family val="2"/>
          </rPr>
          <t>Øystein Rembar:</t>
        </r>
        <r>
          <rPr>
            <sz val="9"/>
            <color indexed="81"/>
            <rFont val="Tahoma"/>
            <family val="2"/>
          </rPr>
          <t xml:space="preserve">
Årsveksten for CO2-variablene er beregnet med utgangspunkt i "Resultater volum". Dette skyldes at vi i denne fanen ønsker å se på effektene av endringer i både volum og pris. Endringene i pris er allerede beregnet i fane 1.5 Prognoser og indekser, slik at det som her gjenstår er å beregne volumveksten. 
I nyttestrømmene til høyre er både volum- og prisvekst hensyntatt.</t>
        </r>
      </text>
    </comment>
    <comment ref="K78" authorId="1" shapeId="0" xr:uid="{595E234C-C9A3-491C-9844-9878FBE82661}">
      <text>
        <r>
          <rPr>
            <b/>
            <sz val="9"/>
            <color indexed="81"/>
            <rFont val="Tahoma"/>
            <family val="2"/>
          </rPr>
          <t>Øystein Rembar:</t>
        </r>
        <r>
          <rPr>
            <sz val="9"/>
            <color indexed="81"/>
            <rFont val="Tahoma"/>
            <family val="2"/>
          </rPr>
          <t xml:space="preserve">
Årsveksten for CO2-variablene er beregnet med utgangspunkt i "Resultater volum". Dette skyldes at vi i denne fanen ønsker å se på effektene av endringer i både volum og pris. Endringene i pris er allerede beregnet i fane 1.5 Prognoser og indekser, slik at det som her gjenstår er å beregne volumveksten. 
I nyttestrømmene til høyre er både volum- og prisvekst hensyntatt.</t>
        </r>
      </text>
    </comment>
    <comment ref="L78" authorId="1" shapeId="0" xr:uid="{42C979E4-4CAC-4233-AD13-2971A0D9CA55}">
      <text>
        <r>
          <rPr>
            <b/>
            <sz val="9"/>
            <color indexed="81"/>
            <rFont val="Tahoma"/>
            <family val="2"/>
          </rPr>
          <t>Øystein Rembar:</t>
        </r>
        <r>
          <rPr>
            <sz val="9"/>
            <color indexed="81"/>
            <rFont val="Tahoma"/>
            <family val="2"/>
          </rPr>
          <t xml:space="preserve">
Viser volumvekst per år for årene etter siste beregningsår (mill. nye kjøretøykm per år). Er basert på gj.snittlig volumvekst per år mellom de to siste beregningsårene.</t>
        </r>
      </text>
    </comment>
    <comment ref="J79" authorId="1" shapeId="0" xr:uid="{2A43831B-212B-421E-AEB1-8B0BA2CD8675}">
      <text>
        <r>
          <rPr>
            <b/>
            <sz val="9"/>
            <color indexed="81"/>
            <rFont val="Tahoma"/>
            <family val="2"/>
          </rPr>
          <t>Øystein Rembar:</t>
        </r>
        <r>
          <rPr>
            <sz val="9"/>
            <color indexed="81"/>
            <rFont val="Tahoma"/>
            <family val="2"/>
          </rPr>
          <t xml:space="preserve">
Årsveksten for CO2-variablene er beregnet med utgangspunkt i "Resultater volum". Dette skyldes at vi i denne fanen ønsker å se på effektene av endringer i både volum og pris. Endringene i pris er allerede beregnet i fane 1.5 Prognoser og indekser, slik at det som her gjenstår er å beregne volumveksten. 
I nyttestrømmene til høyre er både volum- og prisvekst hensyntatt.</t>
        </r>
      </text>
    </comment>
    <comment ref="K79" authorId="1" shapeId="0" xr:uid="{917E47CB-49F7-477F-8BCA-7484A975AFE6}">
      <text>
        <r>
          <rPr>
            <b/>
            <sz val="9"/>
            <color indexed="81"/>
            <rFont val="Tahoma"/>
            <family val="2"/>
          </rPr>
          <t>Øystein Rembar:</t>
        </r>
        <r>
          <rPr>
            <sz val="9"/>
            <color indexed="81"/>
            <rFont val="Tahoma"/>
            <family val="2"/>
          </rPr>
          <t xml:space="preserve">
Årsveksten for CO2-variablene er beregnet med utgangspunkt i "Resultater volum". Dette skyldes at vi i denne fanen ønsker å se på effektene av endringer i både volum og pris. Endringene i pris er allerede beregnet i fane 1.5 Prognoser og indekser, slik at det som her gjenstår er å beregne volumveksten. 
I nyttestrømmene til høyre er både volum- og prisvekst hensyntatt.</t>
        </r>
      </text>
    </comment>
    <comment ref="L79" authorId="1" shapeId="0" xr:uid="{3BCA65E5-35E7-4346-9961-995CF662CC0A}">
      <text>
        <r>
          <rPr>
            <b/>
            <sz val="9"/>
            <color indexed="81"/>
            <rFont val="Tahoma"/>
            <family val="2"/>
          </rPr>
          <t>Øystein Rembar:</t>
        </r>
        <r>
          <rPr>
            <sz val="9"/>
            <color indexed="81"/>
            <rFont val="Tahoma"/>
            <family val="2"/>
          </rPr>
          <t xml:space="preserve">
Viser volumvekst per år for årene etter siste beregningsår (mill. nye kjøretøykm per år). Er basert på gj.snittlig volumvekst per år mellom de to siste beregningsårene.</t>
        </r>
      </text>
    </comment>
    <comment ref="J80" authorId="1" shapeId="0" xr:uid="{EEC78BD1-546A-4C50-BB81-5DD2C4E5F68D}">
      <text>
        <r>
          <rPr>
            <b/>
            <sz val="9"/>
            <color indexed="81"/>
            <rFont val="Tahoma"/>
            <family val="2"/>
          </rPr>
          <t>Øystein Rembar:</t>
        </r>
        <r>
          <rPr>
            <sz val="9"/>
            <color indexed="81"/>
            <rFont val="Tahoma"/>
            <family val="2"/>
          </rPr>
          <t xml:space="preserve">
Årsveksten for CO2-variablene er beregnet med utgangspunkt i "Resultater volum". Dette skyldes at vi i denne fanen ønsker å se på effektene av endringer i både volum og pris. Endringene i pris er allerede beregnet i fane 1.5 Prognoser og indekser, slik at det som her gjenstår er å beregne volumveksten. 
I nyttestrømmene til høyre er både volum- og prisvekst hensyntatt.</t>
        </r>
      </text>
    </comment>
    <comment ref="K80" authorId="1" shapeId="0" xr:uid="{B653C82C-227F-489C-A5FD-B61E45C99480}">
      <text>
        <r>
          <rPr>
            <b/>
            <sz val="9"/>
            <color indexed="81"/>
            <rFont val="Tahoma"/>
            <family val="2"/>
          </rPr>
          <t>Øystein Rembar:</t>
        </r>
        <r>
          <rPr>
            <sz val="9"/>
            <color indexed="81"/>
            <rFont val="Tahoma"/>
            <family val="2"/>
          </rPr>
          <t xml:space="preserve">
Årsveksten for CO2-variablene er beregnet med utgangspunkt i "Resultater volum". Dette skyldes at vi i denne fanen ønsker å se på effektene av endringer i både volum og pris. Endringene i pris er allerede beregnet i fane 1.5 Prognoser og indekser, slik at det som her gjenstår er å beregne volumveksten. 
I nyttestrømmene til høyre er både volum- og prisvekst hensyntatt.</t>
        </r>
      </text>
    </comment>
    <comment ref="L80" authorId="1" shapeId="0" xr:uid="{10C675ED-06E8-4F12-B936-91DE4D06F49E}">
      <text>
        <r>
          <rPr>
            <b/>
            <sz val="9"/>
            <color indexed="81"/>
            <rFont val="Tahoma"/>
            <family val="2"/>
          </rPr>
          <t>Øystein Rembar:</t>
        </r>
        <r>
          <rPr>
            <sz val="9"/>
            <color indexed="81"/>
            <rFont val="Tahoma"/>
            <family val="2"/>
          </rPr>
          <t xml:space="preserve">
Viser volumvekst per år for årene etter siste beregningsår (mill. nye kjøretøykm per år). Er basert på gj.snittlig volumvekst per år mellom de to siste beregningsårene.</t>
        </r>
      </text>
    </comment>
    <comment ref="J81" authorId="1" shapeId="0" xr:uid="{D33CCAEE-1454-4E28-8A5D-15C29921F925}">
      <text>
        <r>
          <rPr>
            <b/>
            <sz val="9"/>
            <color indexed="81"/>
            <rFont val="Tahoma"/>
            <family val="2"/>
          </rPr>
          <t>Øystein Rembar:</t>
        </r>
        <r>
          <rPr>
            <sz val="9"/>
            <color indexed="81"/>
            <rFont val="Tahoma"/>
            <family val="2"/>
          </rPr>
          <t xml:space="preserve">
Årsveksten for CO2-variablene er beregnet med utgangspunkt i "Resultater volum". Dette skyldes at vi i denne fanen ønsker å se på effektene av endringer i både volum og pris. Endringene i pris er allerede beregnet i fane 1.5 Prognoser og indekser, slik at det som her gjenstår er å beregne volumveksten. 
I nyttestrømmene til høyre er både volum- og prisvekst hensyntatt.</t>
        </r>
      </text>
    </comment>
    <comment ref="K81" authorId="1" shapeId="0" xr:uid="{226948C7-0424-44A1-A20B-8B8136CF4F16}">
      <text>
        <r>
          <rPr>
            <b/>
            <sz val="9"/>
            <color indexed="81"/>
            <rFont val="Tahoma"/>
            <family val="2"/>
          </rPr>
          <t>Øystein Rembar:</t>
        </r>
        <r>
          <rPr>
            <sz val="9"/>
            <color indexed="81"/>
            <rFont val="Tahoma"/>
            <family val="2"/>
          </rPr>
          <t xml:space="preserve">
Årsveksten for CO2-variablene er beregnet med utgangspunkt i "Resultater volum". Dette skyldes at vi i denne fanen ønsker å se på effektene av endringer i både volum og pris. Endringene i pris er allerede beregnet i fane 1.5 Prognoser og indekser, slik at det som her gjenstår er å beregne volumveksten. 
I nyttestrømmene til høyre er både volum- og prisvekst hensyntatt.</t>
        </r>
      </text>
    </comment>
    <comment ref="L81" authorId="1" shapeId="0" xr:uid="{8CFB6032-0DA1-4078-A007-29FA087ACA74}">
      <text>
        <r>
          <rPr>
            <b/>
            <sz val="9"/>
            <color indexed="81"/>
            <rFont val="Tahoma"/>
            <family val="2"/>
          </rPr>
          <t>Øystein Rembar:</t>
        </r>
        <r>
          <rPr>
            <sz val="9"/>
            <color indexed="81"/>
            <rFont val="Tahoma"/>
            <family val="2"/>
          </rPr>
          <t xml:space="preserve">
Viser volumvekst per år for årene etter siste beregningsår (mill. nye kjøretøykm per år). Er basert på gj.snittlig volumvekst per år mellom de to siste beregningsårene.</t>
        </r>
      </text>
    </comment>
    <comment ref="J83" authorId="1" shapeId="0" xr:uid="{E73ECADC-B296-41F0-9BB9-95DF58F81AA3}">
      <text>
        <r>
          <rPr>
            <b/>
            <sz val="9"/>
            <color indexed="81"/>
            <rFont val="Tahoma"/>
            <family val="2"/>
          </rPr>
          <t>Øystein Rembar:</t>
        </r>
        <r>
          <rPr>
            <sz val="9"/>
            <color indexed="81"/>
            <rFont val="Tahoma"/>
            <family val="2"/>
          </rPr>
          <t xml:space="preserve">
Årsveksten for CO2-variablene er beregnet med utgangspunkt i "Resultater volum". Dette skyldes at vi i denne fanen ønsker å se på effektene av endringer i både volum og pris. Endringene i pris er allerede beregnet i fane 1.5 Prognoser og indekser, slik at det som her gjenstår er å beregne volumveksten. 
I nyttestrømmene til høyre er både volum- og prisvekst hensyntatt.</t>
        </r>
      </text>
    </comment>
    <comment ref="K83" authorId="1" shapeId="0" xr:uid="{5F3204AE-6863-4015-8EC3-D35271DD2C78}">
      <text>
        <r>
          <rPr>
            <b/>
            <sz val="9"/>
            <color indexed="81"/>
            <rFont val="Tahoma"/>
            <family val="2"/>
          </rPr>
          <t>Øystein Rembar:</t>
        </r>
        <r>
          <rPr>
            <sz val="9"/>
            <color indexed="81"/>
            <rFont val="Tahoma"/>
            <family val="2"/>
          </rPr>
          <t xml:space="preserve">
Årsveksten for CO2-variablene er beregnet med utgangspunkt i "Resultater volum". Dette skyldes at vi i denne fanen ønsker å se på effektene av endringer i både volum og pris. Endringene i pris er allerede beregnet i fane 1.5 Prognoser og indekser, slik at det som her gjenstår er å beregne volumveksten. 
I nyttestrømmene til høyre er både volum- og prisvekst hensyntatt.</t>
        </r>
      </text>
    </comment>
    <comment ref="L83" authorId="1" shapeId="0" xr:uid="{3CF23030-7B5C-447A-A9E5-727DD14A2725}">
      <text>
        <r>
          <rPr>
            <b/>
            <sz val="9"/>
            <color indexed="81"/>
            <rFont val="Tahoma"/>
            <family val="2"/>
          </rPr>
          <t>Øystein Rembar:</t>
        </r>
        <r>
          <rPr>
            <sz val="9"/>
            <color indexed="81"/>
            <rFont val="Tahoma"/>
            <family val="2"/>
          </rPr>
          <t xml:space="preserve">
Viser volumvekst per år for årene etter siste beregningsår (mill. nye kjøretøykm per år). Er basert på gj.snittlig volumvekst per år mellom de to siste beregningsårene.</t>
        </r>
      </text>
    </comment>
    <comment ref="J84" authorId="1" shapeId="0" xr:uid="{C1F74107-E01C-4A6C-AA00-587CC6D0A32A}">
      <text>
        <r>
          <rPr>
            <b/>
            <sz val="9"/>
            <color indexed="81"/>
            <rFont val="Tahoma"/>
            <family val="2"/>
          </rPr>
          <t>Øystein Rembar:</t>
        </r>
        <r>
          <rPr>
            <sz val="9"/>
            <color indexed="81"/>
            <rFont val="Tahoma"/>
            <family val="2"/>
          </rPr>
          <t xml:space="preserve">
Årsveksten for CO2-variablene er beregnet med utgangspunkt i "Resultater volum". Dette skyldes at vi i denne fanen ønsker å se på effektene av endringer i både volum og pris. Endringene i pris er allerede beregnet i fane 1.5 Prognoser og indekser, slik at det som her gjenstår er å beregne volumveksten. 
I nyttestrømmene til høyre er både volum- og prisvekst hensyntatt.</t>
        </r>
      </text>
    </comment>
    <comment ref="K84" authorId="1" shapeId="0" xr:uid="{6AB2CCD8-0B3A-41B1-8D09-EB1716CA1F63}">
      <text>
        <r>
          <rPr>
            <b/>
            <sz val="9"/>
            <color indexed="81"/>
            <rFont val="Tahoma"/>
            <family val="2"/>
          </rPr>
          <t>Øystein Rembar:</t>
        </r>
        <r>
          <rPr>
            <sz val="9"/>
            <color indexed="81"/>
            <rFont val="Tahoma"/>
            <family val="2"/>
          </rPr>
          <t xml:space="preserve">
Årsveksten for CO2-variablene er beregnet med utgangspunkt i "Resultater volum". Dette skyldes at vi i denne fanen ønsker å se på effektene av endringer i både volum og pris. Endringene i pris er allerede beregnet i fane 1.5 Prognoser og indekser, slik at det som her gjenstår er å beregne volumveksten. 
I nyttestrømmene til høyre er både volum- og prisvekst hensyntatt.</t>
        </r>
      </text>
    </comment>
    <comment ref="L84" authorId="1" shapeId="0" xr:uid="{84DF44E0-E740-4E83-B9DF-D355EEB80E2D}">
      <text>
        <r>
          <rPr>
            <b/>
            <sz val="9"/>
            <color indexed="81"/>
            <rFont val="Tahoma"/>
            <family val="2"/>
          </rPr>
          <t>Øystein Rembar:</t>
        </r>
        <r>
          <rPr>
            <sz val="9"/>
            <color indexed="81"/>
            <rFont val="Tahoma"/>
            <family val="2"/>
          </rPr>
          <t xml:space="preserve">
Viser volumvekst per år for årene etter siste beregningsår (mill. nye kjøretøykm per år). Er basert på gj.snittlig volumvekst per år mellom de to siste beregningsårene.</t>
        </r>
      </text>
    </comment>
    <comment ref="G87" authorId="1" shapeId="0" xr:uid="{6B6BEB01-C53F-4320-BDA2-C5C568A5BE56}">
      <text>
        <r>
          <rPr>
            <b/>
            <sz val="9"/>
            <color indexed="81"/>
            <rFont val="Tahoma"/>
            <family val="2"/>
          </rPr>
          <t>Øystein Rembar:</t>
        </r>
        <r>
          <rPr>
            <sz val="9"/>
            <color indexed="81"/>
            <rFont val="Tahoma"/>
            <family val="2"/>
          </rPr>
          <t xml:space="preserve">
For enkelte av variablene i analysen vil enhetskostnaden endre seg over år, i tillegg til volumet. Med volum menes f.eks. togkm. CO2-utslipp er et eksempel på dette, hvor det f.eks. er forventet at utslippene fra bilparken vil reduseres i årene fremover, samtidig som samfunnets kostnader ved CO2-utslipp vil øke. For CO2-variablene er endringene i CO2-kostnadene per kjørte km beregnet i fane 1.5 Prognoser og indekser. I fanen her isolerer vi effekten av volumendringer (dvs. endring i kjørte km), og sammestiller effektene fra kostnads- og volumendringene i nyttestrømmen.
For øvrige variabler (hvor kun volum endres) benyttes "Resultater før prisjustering".</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Mari Baklund Størseth</author>
  </authors>
  <commentList>
    <comment ref="D14" authorId="0" shapeId="0" xr:uid="{25518F08-7C25-4941-A31F-3B90F66CE6C0}">
      <text>
        <r>
          <rPr>
            <b/>
            <sz val="9"/>
            <color indexed="81"/>
            <rFont val="Tahoma"/>
            <family val="2"/>
          </rPr>
          <t>Mari Baklund Størseth:</t>
        </r>
        <r>
          <rPr>
            <sz val="9"/>
            <color indexed="81"/>
            <rFont val="Tahoma"/>
            <family val="2"/>
          </rPr>
          <t xml:space="preserve">
Antall fastboende som får endret utsyn iht. befolkningsstatistikk på 250x250 rutenett (SSB). Avgrenset til 1000 meter fra tiltaket. </t>
        </r>
      </text>
    </comment>
    <comment ref="F14" authorId="0" shapeId="0" xr:uid="{2C374174-9660-4781-9AB4-D1BC74B04A50}">
      <text>
        <r>
          <rPr>
            <b/>
            <sz val="9"/>
            <color indexed="81"/>
            <rFont val="Tahoma"/>
            <family val="2"/>
          </rPr>
          <t>Mari Baklund Størseth:</t>
        </r>
        <r>
          <rPr>
            <sz val="9"/>
            <color indexed="81"/>
            <rFont val="Tahoma"/>
            <family val="2"/>
          </rPr>
          <t xml:space="preserve">
Hvor mye mer jernbane (målt i lengde) hver berørt kan se. Vurderer kun utsyn til senterlinje, hytter og boliger vektes likt. </t>
        </r>
      </text>
    </comment>
    <comment ref="S14" authorId="0" shapeId="0" xr:uid="{64A25BE0-7105-44BA-92F2-1AC2CFDF8259}">
      <text>
        <r>
          <rPr>
            <b/>
            <sz val="9"/>
            <color indexed="81"/>
            <rFont val="Tahoma"/>
            <family val="2"/>
          </rPr>
          <t>Mari Baklund Størseth:</t>
        </r>
        <r>
          <rPr>
            <sz val="9"/>
            <color indexed="81"/>
            <rFont val="Tahoma"/>
            <family val="2"/>
          </rPr>
          <t xml:space="preserve">
Husstandskilometer økt 
baneutsyn; produktet av 
antall husstander og antall 
km økt utsyn til jernbane. Landskapsbilde er det romlige og visuelle landskapet. </t>
        </r>
      </text>
    </comment>
    <comment ref="D15" authorId="0" shapeId="0" xr:uid="{4E4D529F-AF4D-41D3-B6A6-EDAF13DD85AD}">
      <text>
        <r>
          <rPr>
            <b/>
            <sz val="9"/>
            <color indexed="81"/>
            <rFont val="Tahoma"/>
            <family val="2"/>
          </rPr>
          <t>Mari Baklund Størseth:</t>
        </r>
        <r>
          <rPr>
            <sz val="9"/>
            <color indexed="81"/>
            <rFont val="Tahoma"/>
            <family val="2"/>
          </rPr>
          <t xml:space="preserve">
Antall fritidsbolig/hytter som får endret utsyn iht. befolkningsstatistikk på 250x250 rutenett (SSB). Avgrenset til 1000 m fra tiltaket.</t>
        </r>
      </text>
    </comment>
    <comment ref="F15" authorId="0" shapeId="0" xr:uid="{19882213-FC69-4159-AA88-51764147DC24}">
      <text>
        <r>
          <rPr>
            <b/>
            <sz val="9"/>
            <color indexed="81"/>
            <rFont val="Tahoma"/>
            <family val="2"/>
          </rPr>
          <t>Mari Baklund Størseth:</t>
        </r>
        <r>
          <rPr>
            <sz val="9"/>
            <color indexed="81"/>
            <rFont val="Tahoma"/>
            <family val="2"/>
          </rPr>
          <t xml:space="preserve">
Hvor mye mer jernbane (målt i lengde) hver berørt kan se. Vurderer kun utsyn til senterlinje, hytter og boliger vektes likt. </t>
        </r>
      </text>
    </comment>
    <comment ref="D16" authorId="0" shapeId="0" xr:uid="{A5F3E67A-6701-4F08-8DAF-61396912FC49}">
      <text>
        <r>
          <rPr>
            <b/>
            <sz val="9"/>
            <color indexed="81"/>
            <rFont val="Tahoma"/>
            <family val="2"/>
          </rPr>
          <t>Mari Baklund Størseth:</t>
        </r>
        <r>
          <rPr>
            <sz val="9"/>
            <color indexed="81"/>
            <rFont val="Tahoma"/>
            <family val="2"/>
          </rPr>
          <t xml:space="preserve">
Antall innbyggere innenfor 1000 m av de friluftsområdene som faller innenfor beslags- og influenssonen. Nasjonale brukere telles basert på antall hytter og hoteller i nærområdet, vektet med antatt bruksfrekvens sammenlignet med fastboende.</t>
        </r>
      </text>
    </comment>
    <comment ref="F16" authorId="0" shapeId="0" xr:uid="{8D7BCD67-8188-4DB5-8145-F29B84634A34}">
      <text>
        <r>
          <rPr>
            <b/>
            <sz val="9"/>
            <color indexed="81"/>
            <rFont val="Tahoma"/>
            <family val="2"/>
          </rPr>
          <t>Mari Baklund Størseth:</t>
        </r>
        <r>
          <rPr>
            <sz val="9"/>
            <color indexed="81"/>
            <rFont val="Tahoma"/>
            <family val="2"/>
          </rPr>
          <t xml:space="preserve">
Hvor stor andel av de kartlagte friluftsområdene innenfor 1000 m av de berørte husstandene som faller innenfor beslags og influenssonen.</t>
        </r>
      </text>
    </comment>
    <comment ref="H16" authorId="0" shapeId="0" xr:uid="{A7D3F0C1-9841-49B9-882C-6DD001B7FB07}">
      <text>
        <r>
          <rPr>
            <b/>
            <sz val="9"/>
            <color indexed="81"/>
            <rFont val="Tahoma"/>
            <family val="2"/>
          </rPr>
          <t>Mari Baklund Størseth:</t>
        </r>
        <r>
          <rPr>
            <sz val="9"/>
            <color indexed="81"/>
            <rFont val="Tahoma"/>
            <family val="2"/>
          </rPr>
          <t xml:space="preserve">
Gjennomsnittlig antall rekreasjonsdager i friluftsliv (Naturbase, SSB)</t>
        </r>
      </text>
    </comment>
    <comment ref="S16" authorId="0" shapeId="0" xr:uid="{D5007CE0-AB73-4786-A763-1CF39334F336}">
      <text>
        <r>
          <rPr>
            <b/>
            <sz val="9"/>
            <color indexed="81"/>
            <rFont val="Tahoma"/>
            <family val="2"/>
          </rPr>
          <t>Mari Baklund Størseth:</t>
        </r>
        <r>
          <rPr>
            <sz val="9"/>
            <color indexed="81"/>
            <rFont val="Tahoma"/>
            <family val="2"/>
          </rPr>
          <t xml:space="preserve">
Forventet antall reduserte 
rekreasjonsdager som 
følge av jernbanetiltakets 
arealbeslag. Friluftsliv/by- og bygdeliv er landskapet slik folk oppfatter og bruker det. </t>
        </r>
      </text>
    </comment>
    <comment ref="F17" authorId="0" shapeId="0" xr:uid="{AAFA6585-6531-43C0-8D36-B4403707B063}">
      <text>
        <r>
          <rPr>
            <b/>
            <sz val="9"/>
            <color indexed="81"/>
            <rFont val="Tahoma"/>
            <family val="2"/>
          </rPr>
          <t>Mari Baklund Størseth:</t>
        </r>
        <r>
          <rPr>
            <sz val="9"/>
            <color indexed="81"/>
            <rFont val="Tahoma"/>
            <family val="2"/>
          </rPr>
          <t xml:space="preserve">
Antall kartlagte kulturminner i beslags og influenssonen som vil bli berørt av tiltaket (Askeladden-databasen til Riksantikvaren)</t>
        </r>
      </text>
    </comment>
    <comment ref="S17" authorId="0" shapeId="0" xr:uid="{523E69F9-4C0B-4A0D-BEE8-36F5514C973E}">
      <text>
        <r>
          <rPr>
            <b/>
            <sz val="9"/>
            <color indexed="81"/>
            <rFont val="Tahoma"/>
            <family val="2"/>
          </rPr>
          <t>Mari Baklund Størseth:</t>
        </r>
        <r>
          <rPr>
            <sz val="9"/>
            <color indexed="81"/>
            <rFont val="Tahoma"/>
            <family val="2"/>
          </rPr>
          <t xml:space="preserve">
Antall kulturminner som 
påvirkes av tiltaket. 
Eventuelt berørte 
kulturmiljøer bør omtales 
separat fra indikatoren. Kulturarv er det kulturhistoriske landskapet. </t>
        </r>
      </text>
    </comment>
    <comment ref="F18" authorId="0" shapeId="0" xr:uid="{2D025F79-3140-40AF-91A9-8130428BFC51}">
      <text>
        <r>
          <rPr>
            <b/>
            <sz val="9"/>
            <color indexed="81"/>
            <rFont val="Tahoma"/>
            <family val="2"/>
          </rPr>
          <t>Mari Baklund Størseth:</t>
        </r>
        <r>
          <rPr>
            <sz val="9"/>
            <color indexed="81"/>
            <rFont val="Tahoma"/>
            <family val="2"/>
          </rPr>
          <t xml:space="preserve">
Totalt vernet areal og areal med berørte naturtyper som påvirkes av tiltaket i kvadratkilometer (Naturbase, SSB).</t>
        </r>
      </text>
    </comment>
    <comment ref="S18" authorId="0" shapeId="0" xr:uid="{141A10F9-C895-4D32-B900-6C4D277D37C5}">
      <text>
        <r>
          <rPr>
            <b/>
            <sz val="9"/>
            <color indexed="81"/>
            <rFont val="Tahoma"/>
            <family val="2"/>
          </rPr>
          <t>Mari Baklund Størseth:</t>
        </r>
        <r>
          <rPr>
            <sz val="9"/>
            <color indexed="81"/>
            <rFont val="Tahoma"/>
            <family val="2"/>
          </rPr>
          <t xml:space="preserve">
Totalt vernet areal og areal 
med berørte naturtyper 
som påvirkes av tiltaket. Naturmangfold er det økologiske landskapet.</t>
        </r>
      </text>
    </comment>
    <comment ref="F19" authorId="0" shapeId="0" xr:uid="{397587B7-D4FE-43AC-B4A3-BA8D25B0294D}">
      <text>
        <r>
          <rPr>
            <b/>
            <sz val="9"/>
            <color indexed="81"/>
            <rFont val="Tahoma"/>
            <family val="2"/>
          </rPr>
          <t>Mari Baklund Størseth:</t>
        </r>
        <r>
          <rPr>
            <sz val="9"/>
            <color indexed="81"/>
            <rFont val="Tahoma"/>
            <family val="2"/>
          </rPr>
          <t xml:space="preserve">
Antall kvadratkilometer med fulldyrket og overflatedyrket jord, reinbeiteområder, utmark for beite og mineralressurser. Tell kun påvirkning fra fysisk arealbeslag, ikke influenssonen.</t>
        </r>
      </text>
    </comment>
    <comment ref="S19" authorId="0" shapeId="0" xr:uid="{C24846E9-2AFC-4A79-A2D5-65E5F05D89C0}">
      <text>
        <r>
          <rPr>
            <b/>
            <sz val="9"/>
            <color indexed="81"/>
            <rFont val="Tahoma"/>
            <family val="2"/>
          </rPr>
          <t>Mari Baklund Størseth:</t>
        </r>
        <r>
          <rPr>
            <sz val="9"/>
            <color indexed="81"/>
            <rFont val="Tahoma"/>
            <family val="2"/>
          </rPr>
          <t xml:space="preserve">
Summerte påvirkede 
arealer målt i antall 
kvadratkilometer. Naturressurser er produksjonslandskapet.</t>
        </r>
      </text>
    </comment>
    <comment ref="D22" authorId="0" shapeId="0" xr:uid="{A06B4018-60B1-4817-BA15-3E01BE08BAB8}">
      <text>
        <r>
          <rPr>
            <b/>
            <sz val="9"/>
            <color indexed="81"/>
            <rFont val="Tahoma"/>
            <family val="2"/>
          </rPr>
          <t>Mari Baklund Størseth:</t>
        </r>
        <r>
          <rPr>
            <sz val="9"/>
            <color indexed="81"/>
            <rFont val="Tahoma"/>
            <family val="2"/>
          </rPr>
          <t xml:space="preserve">
Antall passasjerer som vil benytte de berørte linjene og blir påvirket av tiltaket. </t>
        </r>
      </text>
    </comment>
    <comment ref="F22" authorId="0" shapeId="0" xr:uid="{13DFDFBB-1BEC-4D4B-A458-939276C8F595}">
      <text>
        <r>
          <rPr>
            <b/>
            <sz val="9"/>
            <color indexed="81"/>
            <rFont val="Tahoma"/>
            <family val="2"/>
          </rPr>
          <t>Mari Baklund Størseth:</t>
        </r>
        <r>
          <rPr>
            <sz val="9"/>
            <color indexed="81"/>
            <rFont val="Tahoma"/>
            <family val="2"/>
          </rPr>
          <t xml:space="preserve">
Hvordan redusert togtetthet/økt buffertid gir bedret pålitelighet målt i antall passasjertimer.</t>
        </r>
      </text>
    </comment>
    <comment ref="H22" authorId="0" shapeId="0" xr:uid="{DB8A9994-23A4-4C79-87AE-95B7040A4446}">
      <text>
        <r>
          <rPr>
            <b/>
            <sz val="9"/>
            <color indexed="81"/>
            <rFont val="Tahoma"/>
            <family val="2"/>
          </rPr>
          <t>Mari Baklund Størseth:</t>
        </r>
        <r>
          <rPr>
            <sz val="9"/>
            <color indexed="81"/>
            <rFont val="Tahoma"/>
            <family val="2"/>
          </rPr>
          <t xml:space="preserve">
Kr per time for passasjerer iht. TØI-rapport 1762/2020. Benytt generelle antakelser hvis informasjon om reisens lengde ikke er spesifisert. </t>
        </r>
      </text>
    </comment>
    <comment ref="J22" authorId="0" shapeId="0" xr:uid="{3644BE8C-C028-4E46-BCB8-B25CD5C69AA8}">
      <text>
        <r>
          <rPr>
            <b/>
            <sz val="9"/>
            <color indexed="81"/>
            <rFont val="Tahoma"/>
            <family val="2"/>
          </rPr>
          <t>Mari Baklund Størseth:</t>
        </r>
        <r>
          <rPr>
            <sz val="9"/>
            <color indexed="81"/>
            <rFont val="Tahoma"/>
            <family val="2"/>
          </rPr>
          <t xml:space="preserve">
Forsinkelsesfaktor iht. TØI-rapport 1762/2020.</t>
        </r>
      </text>
    </comment>
    <comment ref="S22" authorId="0" shapeId="0" xr:uid="{744BEB94-F9A9-49BB-9AA4-C4C5D60725D4}">
      <text>
        <r>
          <rPr>
            <b/>
            <sz val="9"/>
            <color indexed="81"/>
            <rFont val="Tahoma"/>
            <family val="2"/>
          </rPr>
          <t>Mari Baklund Størseth:</t>
        </r>
        <r>
          <rPr>
            <sz val="9"/>
            <color indexed="81"/>
            <rFont val="Tahoma"/>
            <family val="2"/>
          </rPr>
          <t xml:space="preserve">
Forventet besparelse i
kroner som følge av bedret 
pålitelighet ved økt 
buffertid. Virkningen av togtetthet/buffertider følger av en antatt negativ samvariasjon mellom trafikkapasitetsutnyttelse og pålitelighet.</t>
        </r>
      </text>
    </comment>
    <comment ref="D23" authorId="0" shapeId="0" xr:uid="{C05785C5-6420-4123-A09C-71DA16A04D02}">
      <text>
        <r>
          <rPr>
            <b/>
            <sz val="9"/>
            <color indexed="81"/>
            <rFont val="Tahoma"/>
            <family val="2"/>
          </rPr>
          <t>Mari Baklund Størseth:</t>
        </r>
        <r>
          <rPr>
            <sz val="9"/>
            <color indexed="81"/>
            <rFont val="Tahoma"/>
            <family val="2"/>
          </rPr>
          <t xml:space="preserve">
Antall tonn gods som vil benytte de berørte linjene og blir påvirket av tiltaket. </t>
        </r>
      </text>
    </comment>
    <comment ref="F23" authorId="0" shapeId="0" xr:uid="{AD7AC736-9A15-4188-A645-B2653A7E1471}">
      <text>
        <r>
          <rPr>
            <b/>
            <sz val="9"/>
            <color indexed="81"/>
            <rFont val="Tahoma"/>
            <family val="2"/>
          </rPr>
          <t>Mari Baklund Størseth:</t>
        </r>
        <r>
          <rPr>
            <sz val="9"/>
            <color indexed="81"/>
            <rFont val="Tahoma"/>
            <family val="2"/>
          </rPr>
          <t xml:space="preserve">
Hvordan redusert togtetthet/økt buffertid gir bedret pålitelighet målt i antall godstimer.</t>
        </r>
      </text>
    </comment>
    <comment ref="H23" authorId="0" shapeId="0" xr:uid="{EA5ECCFB-B34D-40FA-AF15-A7F54BF8FBD3}">
      <text>
        <r>
          <rPr>
            <b/>
            <sz val="9"/>
            <color indexed="81"/>
            <rFont val="Tahoma"/>
            <family val="2"/>
          </rPr>
          <t>Mari Baklund Størseth:</t>
        </r>
        <r>
          <rPr>
            <sz val="9"/>
            <color indexed="81"/>
            <rFont val="Tahoma"/>
            <family val="2"/>
          </rPr>
          <t xml:space="preserve">
Kr per time for gods iht. TØI-rapport 1680/2019. Benytt generelle antakelser hvis informasjon om type gods ikke er spesifisert. </t>
        </r>
      </text>
    </comment>
    <comment ref="J23" authorId="0" shapeId="0" xr:uid="{8F269ADA-ECC7-47EE-BBAD-4796793574B4}">
      <text>
        <r>
          <rPr>
            <b/>
            <sz val="9"/>
            <color indexed="81"/>
            <rFont val="Tahoma"/>
            <family val="2"/>
          </rPr>
          <t>Mari Baklund Størseth:</t>
        </r>
        <r>
          <rPr>
            <sz val="9"/>
            <color indexed="81"/>
            <rFont val="Tahoma"/>
            <family val="2"/>
          </rPr>
          <t xml:space="preserve">
Forsinkelsesfaktor iht. TØI-rapport 1680/2019.</t>
        </r>
      </text>
    </comment>
    <comment ref="D24" authorId="0" shapeId="0" xr:uid="{FE48EB11-99FA-4F0B-BFFE-4C73BAA1B66B}">
      <text>
        <r>
          <rPr>
            <b/>
            <sz val="9"/>
            <color indexed="81"/>
            <rFont val="Tahoma"/>
            <family val="2"/>
          </rPr>
          <t>Mari Baklund Størseth:</t>
        </r>
        <r>
          <rPr>
            <sz val="9"/>
            <color indexed="81"/>
            <rFont val="Tahoma"/>
            <family val="2"/>
          </rPr>
          <t xml:space="preserve">
Antall passasjerer som vil benytte de berørte linjene og blir påvirket av tiltaket. </t>
        </r>
      </text>
    </comment>
    <comment ref="F24" authorId="0" shapeId="0" xr:uid="{1E24A372-4984-4E0F-96C4-B85454786A68}">
      <text>
        <r>
          <rPr>
            <b/>
            <sz val="9"/>
            <color indexed="81"/>
            <rFont val="Tahoma"/>
            <family val="2"/>
          </rPr>
          <t>Mari Baklund Størseth:</t>
        </r>
        <r>
          <rPr>
            <sz val="9"/>
            <color indexed="81"/>
            <rFont val="Tahoma"/>
            <family val="2"/>
          </rPr>
          <t xml:space="preserve">
Hvordan økt tilgang på hvite tider gir bedret pålitelighet, målt i antall passasjertimer. </t>
        </r>
      </text>
    </comment>
    <comment ref="H24" authorId="0" shapeId="0" xr:uid="{9102D1CA-7FEE-40DC-9A53-56BF4DDD5CE5}">
      <text>
        <r>
          <rPr>
            <b/>
            <sz val="9"/>
            <color indexed="81"/>
            <rFont val="Tahoma"/>
            <family val="2"/>
          </rPr>
          <t>Mari Baklund Størseth:</t>
        </r>
        <r>
          <rPr>
            <sz val="9"/>
            <color indexed="81"/>
            <rFont val="Tahoma"/>
            <family val="2"/>
          </rPr>
          <t xml:space="preserve">
Kr per time for passasjerer iht. TØI-rapport 1762/2020. Benytt generelle antakelser hvis informasjon om reisens lengde ikke er spesifisert. </t>
        </r>
      </text>
    </comment>
    <comment ref="J24" authorId="0" shapeId="0" xr:uid="{5362685A-EED9-4609-9981-71152DE2AA84}">
      <text>
        <r>
          <rPr>
            <b/>
            <sz val="9"/>
            <color indexed="81"/>
            <rFont val="Tahoma"/>
            <family val="2"/>
          </rPr>
          <t>Mari Baklund Størseth:</t>
        </r>
        <r>
          <rPr>
            <sz val="9"/>
            <color indexed="81"/>
            <rFont val="Tahoma"/>
            <family val="2"/>
          </rPr>
          <t xml:space="preserve">
Forsinkelsesfaktor iht. TØI-rapport 1762/2020.</t>
        </r>
      </text>
    </comment>
    <comment ref="S24" authorId="0" shapeId="0" xr:uid="{8C499A5C-09E9-4CBE-AFC1-2F06F6F4BAF2}">
      <text>
        <r>
          <rPr>
            <b/>
            <sz val="9"/>
            <color indexed="81"/>
            <rFont val="Tahoma"/>
            <family val="2"/>
          </rPr>
          <t>Mari Baklund Størseth:</t>
        </r>
        <r>
          <rPr>
            <sz val="9"/>
            <color indexed="81"/>
            <rFont val="Tahoma"/>
            <family val="2"/>
          </rPr>
          <t xml:space="preserve">
Forventet besparelse i
kroner som følge av bedret 
pålitelighet ved økte hvite 
tider. Hvite tider er tider på døgner der det ikke kjøres tog.</t>
        </r>
      </text>
    </comment>
    <comment ref="D25" authorId="0" shapeId="0" xr:uid="{D74AD278-3B99-4E86-8BCF-8A5265A556ED}">
      <text>
        <r>
          <rPr>
            <b/>
            <sz val="9"/>
            <color indexed="81"/>
            <rFont val="Tahoma"/>
            <family val="2"/>
          </rPr>
          <t>Mari Baklund Størseth:</t>
        </r>
        <r>
          <rPr>
            <sz val="9"/>
            <color indexed="81"/>
            <rFont val="Tahoma"/>
            <family val="2"/>
          </rPr>
          <t xml:space="preserve">
Antall tonn gods som vil benytte de berørte linjene og blir påvirket av tiltaket. </t>
        </r>
      </text>
    </comment>
    <comment ref="F25" authorId="0" shapeId="0" xr:uid="{0021F947-2CFC-4BE9-822E-B2E17DB9B3DD}">
      <text>
        <r>
          <rPr>
            <b/>
            <sz val="9"/>
            <color indexed="81"/>
            <rFont val="Tahoma"/>
            <family val="2"/>
          </rPr>
          <t>Mari Baklund Størseth:</t>
        </r>
        <r>
          <rPr>
            <sz val="9"/>
            <color indexed="81"/>
            <rFont val="Tahoma"/>
            <family val="2"/>
          </rPr>
          <t xml:space="preserve">
Hvordan økt tilgang på hvite tider gir bedret pålitelighet, målt i antall godstimer.</t>
        </r>
      </text>
    </comment>
    <comment ref="H25" authorId="0" shapeId="0" xr:uid="{FCF98EDA-2978-43CC-BFB1-5605743F29FA}">
      <text>
        <r>
          <rPr>
            <b/>
            <sz val="9"/>
            <color indexed="81"/>
            <rFont val="Tahoma"/>
            <family val="2"/>
          </rPr>
          <t>Mari Baklund Størseth:</t>
        </r>
        <r>
          <rPr>
            <sz val="9"/>
            <color indexed="81"/>
            <rFont val="Tahoma"/>
            <family val="2"/>
          </rPr>
          <t xml:space="preserve">
Kr per time for gods iht. TØI-rapport 1680/2019. Benytt generelle antakelser hvis informasjon om type gods ikke er spesifisert. </t>
        </r>
      </text>
    </comment>
    <comment ref="J25" authorId="0" shapeId="0" xr:uid="{EEE6723E-CA3B-4C96-A705-7BF1621E0643}">
      <text>
        <r>
          <rPr>
            <b/>
            <sz val="9"/>
            <color indexed="81"/>
            <rFont val="Tahoma"/>
            <family val="2"/>
          </rPr>
          <t>Mari Baklund Størseth:</t>
        </r>
        <r>
          <rPr>
            <sz val="9"/>
            <color indexed="81"/>
            <rFont val="Tahoma"/>
            <family val="2"/>
          </rPr>
          <t xml:space="preserve">
Forsinkelsesfaktor iht. TØI-rapport 1680/2019.</t>
        </r>
      </text>
    </comment>
    <comment ref="D26" authorId="0" shapeId="0" xr:uid="{A8B46EBB-6038-4C69-9DED-846D1E1DB258}">
      <text>
        <r>
          <rPr>
            <b/>
            <sz val="9"/>
            <color indexed="81"/>
            <rFont val="Tahoma"/>
            <family val="2"/>
          </rPr>
          <t>Mari Baklund Størseth:</t>
        </r>
        <r>
          <rPr>
            <sz val="9"/>
            <color indexed="81"/>
            <rFont val="Tahoma"/>
            <family val="2"/>
          </rPr>
          <t xml:space="preserve">
Antall passasjerer som vil benytte de berørte linjene og blir påvirket av tiltaket. </t>
        </r>
      </text>
    </comment>
    <comment ref="F26" authorId="0" shapeId="0" xr:uid="{8268CFBE-6BEA-46E5-9875-54ED84093017}">
      <text>
        <r>
          <rPr>
            <b/>
            <sz val="9"/>
            <color indexed="81"/>
            <rFont val="Tahoma"/>
            <family val="2"/>
          </rPr>
          <t>Mari Baklund Størseth:</t>
        </r>
        <r>
          <rPr>
            <sz val="9"/>
            <color indexed="81"/>
            <rFont val="Tahoma"/>
            <family val="2"/>
          </rPr>
          <t xml:space="preserve">
Hvordan endret evne til å håndtere naturfarer gir bedret pålitelighet, målt i antall passasjertimer. </t>
        </r>
      </text>
    </comment>
    <comment ref="H26" authorId="0" shapeId="0" xr:uid="{79D1F240-D244-4064-9C2F-32E47CACA4ED}">
      <text>
        <r>
          <rPr>
            <b/>
            <sz val="9"/>
            <color indexed="81"/>
            <rFont val="Tahoma"/>
            <family val="2"/>
          </rPr>
          <t>Mari Baklund Størseth:</t>
        </r>
        <r>
          <rPr>
            <sz val="9"/>
            <color indexed="81"/>
            <rFont val="Tahoma"/>
            <family val="2"/>
          </rPr>
          <t xml:space="preserve">
Kr per time for passasjerer iht. TØI-rapport 1762/2020. Benytt generelle antakelser hvis informasjon om reisens lengde ikke er spesifisert. </t>
        </r>
      </text>
    </comment>
    <comment ref="J26" authorId="0" shapeId="0" xr:uid="{3D3CDB91-43BF-4C8C-A95D-08A6DF7CDF60}">
      <text>
        <r>
          <rPr>
            <b/>
            <sz val="9"/>
            <color indexed="81"/>
            <rFont val="Tahoma"/>
            <family val="2"/>
          </rPr>
          <t>Mari Baklund Størseth:</t>
        </r>
        <r>
          <rPr>
            <sz val="9"/>
            <color indexed="81"/>
            <rFont val="Tahoma"/>
            <family val="2"/>
          </rPr>
          <t xml:space="preserve">
Forsinkelsesfaktor iht. TØI-rapport 1762/2020.</t>
        </r>
      </text>
    </comment>
    <comment ref="L26" authorId="0" shapeId="0" xr:uid="{7BDB21DB-7076-4E52-A5C3-7ECC0C138BFE}">
      <text>
        <r>
          <rPr>
            <b/>
            <sz val="9"/>
            <color indexed="81"/>
            <rFont val="Tahoma"/>
            <family val="2"/>
          </rPr>
          <t>Mari Baklund Størseth:</t>
        </r>
        <r>
          <rPr>
            <sz val="9"/>
            <color indexed="81"/>
            <rFont val="Tahoma"/>
            <family val="2"/>
          </rPr>
          <t xml:space="preserve">
Benytt skred- og flomstatistikk til å anslå  gjennomsnittlig hvor mange hendelser som inntreffer hvert år.</t>
        </r>
      </text>
    </comment>
    <comment ref="S26" authorId="0" shapeId="0" xr:uid="{BA7446C2-E723-4FB1-8A43-AEB5214291CB}">
      <text>
        <r>
          <rPr>
            <b/>
            <sz val="9"/>
            <color indexed="81"/>
            <rFont val="Tahoma"/>
            <family val="2"/>
          </rPr>
          <t>Mari Baklund Størseth:</t>
        </r>
        <r>
          <rPr>
            <sz val="9"/>
            <color indexed="81"/>
            <rFont val="Tahoma"/>
            <family val="2"/>
          </rPr>
          <t xml:space="preserve">
Forventet besparelse i
kroner som følge av bedret 
pålitelighet ved bedre 
håndtering av naturfare</t>
        </r>
      </text>
    </comment>
    <comment ref="D27" authorId="0" shapeId="0" xr:uid="{7C9CD22E-6C6E-44D4-8E0E-AE544092402B}">
      <text>
        <r>
          <rPr>
            <b/>
            <sz val="9"/>
            <color indexed="81"/>
            <rFont val="Tahoma"/>
            <family val="2"/>
          </rPr>
          <t>Mari Baklund Størseth:</t>
        </r>
        <r>
          <rPr>
            <sz val="9"/>
            <color indexed="81"/>
            <rFont val="Tahoma"/>
            <family val="2"/>
          </rPr>
          <t xml:space="preserve">
Antall tonn gods som vil benytte de berørte linjene og blir påvirket av tiltaket. </t>
        </r>
      </text>
    </comment>
    <comment ref="F27" authorId="0" shapeId="0" xr:uid="{E76011D7-04EE-4F17-AE95-5288D4E6F6B8}">
      <text>
        <r>
          <rPr>
            <b/>
            <sz val="9"/>
            <color indexed="81"/>
            <rFont val="Tahoma"/>
            <family val="2"/>
          </rPr>
          <t>Mari Baklund Størseth:</t>
        </r>
        <r>
          <rPr>
            <sz val="9"/>
            <color indexed="81"/>
            <rFont val="Tahoma"/>
            <family val="2"/>
          </rPr>
          <t xml:space="preserve">
Hvordan endret evne til å håndtere naturfarer gir bedret pålitelighet, målt i antall godstimer. </t>
        </r>
      </text>
    </comment>
    <comment ref="H27" authorId="0" shapeId="0" xr:uid="{D59CB067-5CE3-4E7E-A89B-8840C8C93F6C}">
      <text>
        <r>
          <rPr>
            <b/>
            <sz val="9"/>
            <color indexed="81"/>
            <rFont val="Tahoma"/>
            <family val="2"/>
          </rPr>
          <t>Mari Baklund Størseth:</t>
        </r>
        <r>
          <rPr>
            <sz val="9"/>
            <color indexed="81"/>
            <rFont val="Tahoma"/>
            <family val="2"/>
          </rPr>
          <t xml:space="preserve">
Kr per time for gods iht. TØI-rapport 1680/2019. Benytt generelle antakelser hvis informasjon om type gods ikke er spesifisert. </t>
        </r>
      </text>
    </comment>
    <comment ref="J27" authorId="0" shapeId="0" xr:uid="{5454D6BE-8BAB-4A78-BD96-06F977768F11}">
      <text>
        <r>
          <rPr>
            <b/>
            <sz val="9"/>
            <color indexed="81"/>
            <rFont val="Tahoma"/>
            <family val="2"/>
          </rPr>
          <t>Mari Baklund Størseth:</t>
        </r>
        <r>
          <rPr>
            <sz val="9"/>
            <color indexed="81"/>
            <rFont val="Tahoma"/>
            <family val="2"/>
          </rPr>
          <t xml:space="preserve">
Forsinkelsesfaktor iht. TØI-rapport 1680/2019.</t>
        </r>
      </text>
    </comment>
    <comment ref="L27" authorId="0" shapeId="0" xr:uid="{AC975055-7401-45E0-840A-983CD715F835}">
      <text>
        <r>
          <rPr>
            <b/>
            <sz val="9"/>
            <color indexed="81"/>
            <rFont val="Tahoma"/>
            <family val="2"/>
          </rPr>
          <t>Mari Baklund Størseth:</t>
        </r>
        <r>
          <rPr>
            <sz val="9"/>
            <color indexed="81"/>
            <rFont val="Tahoma"/>
            <family val="2"/>
          </rPr>
          <t xml:space="preserve">
Benytt skred- og flomstatistikk til å anslå  gjennomsnittlig hvor mange hendelser som inntreffer hvert år.</t>
        </r>
      </text>
    </comment>
    <comment ref="D28" authorId="0" shapeId="0" xr:uid="{B680A988-B98B-494E-AA65-F7FFD6985E90}">
      <text>
        <r>
          <rPr>
            <b/>
            <sz val="9"/>
            <color indexed="81"/>
            <rFont val="Tahoma"/>
            <family val="2"/>
          </rPr>
          <t>Mari Baklund Størseth:</t>
        </r>
        <r>
          <rPr>
            <sz val="9"/>
            <color indexed="81"/>
            <rFont val="Tahoma"/>
            <family val="2"/>
          </rPr>
          <t xml:space="preserve">
Antall påvirkede er antall på- og avstigende passasjerer på stasjonen hvert år.</t>
        </r>
      </text>
    </comment>
    <comment ref="H28" authorId="0" shapeId="0" xr:uid="{E5644ABC-8BDF-4351-B24C-16D32008E318}">
      <text>
        <r>
          <rPr>
            <b/>
            <sz val="9"/>
            <color indexed="81"/>
            <rFont val="Tahoma"/>
            <family val="2"/>
          </rPr>
          <t>Mari Baklund Størseth:</t>
        </r>
        <r>
          <rPr>
            <sz val="9"/>
            <color indexed="81"/>
            <rFont val="Tahoma"/>
            <family val="2"/>
          </rPr>
          <t xml:space="preserve">
Enhetsverdi fra TØI-rapport 1757/2020. Uten detaljert info om endret komfortnivå o.l., 
legges til grunn at å øke 
reiseopplevelse fra svært 
lavt til svært høyt nivå kan 
gi en nytte på inntil 11 
kroner per passasjer per tur.</t>
        </r>
      </text>
    </comment>
    <comment ref="S28" authorId="0" shapeId="0" xr:uid="{5AA49689-9EC8-4CD8-B5E7-7CE46AC1C71D}">
      <text>
        <r>
          <rPr>
            <b/>
            <sz val="9"/>
            <color indexed="81"/>
            <rFont val="Tahoma"/>
            <family val="2"/>
          </rPr>
          <t>Mari Baklund Størseth:</t>
        </r>
        <r>
          <rPr>
            <sz val="9"/>
            <color indexed="81"/>
            <rFont val="Tahoma"/>
            <family val="2"/>
          </rPr>
          <t xml:space="preserve">
Forventet besparelse i
kroner som følge av bedret 
reiseopplevelse som følge 
av tiltak på og ved stasjon</t>
        </r>
      </text>
    </comment>
    <comment ref="D29" authorId="0" shapeId="0" xr:uid="{7BC39FD3-9DEA-4404-A5E8-B82D49DFCAFE}">
      <text>
        <r>
          <rPr>
            <b/>
            <sz val="9"/>
            <color indexed="81"/>
            <rFont val="Tahoma"/>
            <family val="2"/>
          </rPr>
          <t>Mari Baklund Størseth:</t>
        </r>
        <r>
          <rPr>
            <sz val="9"/>
            <color indexed="81"/>
            <rFont val="Tahoma"/>
            <family val="2"/>
          </rPr>
          <t xml:space="preserve">
Godset som forflytter seg gjennom knutepunktet, og som kan bli påvirket av tiltaket. </t>
        </r>
      </text>
    </comment>
    <comment ref="F29" authorId="0" shapeId="0" xr:uid="{B567AAFF-4D92-49DF-8FBD-953F4C1D65E3}">
      <text>
        <r>
          <rPr>
            <b/>
            <sz val="9"/>
            <color indexed="81"/>
            <rFont val="Tahoma"/>
            <family val="2"/>
          </rPr>
          <t>Mari Baklund Størseth:</t>
        </r>
        <r>
          <rPr>
            <sz val="9"/>
            <color indexed="81"/>
            <rFont val="Tahoma"/>
            <family val="2"/>
          </rPr>
          <t xml:space="preserve">
Hvordan egenskaper ved tiltaket reduserer tiden gods bindes opp på terminalen, og øker vareflyten.</t>
        </r>
      </text>
    </comment>
    <comment ref="H29" authorId="0" shapeId="0" xr:uid="{8DB0FEE6-580A-416F-86A9-76028F46E611}">
      <text>
        <r>
          <rPr>
            <b/>
            <sz val="9"/>
            <color indexed="81"/>
            <rFont val="Tahoma"/>
            <family val="2"/>
          </rPr>
          <t>Mari Baklund Størseth:</t>
        </r>
        <r>
          <rPr>
            <sz val="9"/>
            <color indexed="81"/>
            <rFont val="Tahoma"/>
            <family val="2"/>
          </rPr>
          <t xml:space="preserve">
Kr per time for gods iht. TØI-rapport 1680/2019. Benytt generelle antakelser hvis informasjon om type gods ikke er spesifisert. </t>
        </r>
      </text>
    </comment>
    <comment ref="S29" authorId="0" shapeId="0" xr:uid="{19968912-6DA7-4CAE-AE96-14224979E23C}">
      <text>
        <r>
          <rPr>
            <b/>
            <sz val="9"/>
            <color indexed="81"/>
            <rFont val="Tahoma"/>
            <family val="2"/>
          </rPr>
          <t>Mari Baklund Størseth:</t>
        </r>
        <r>
          <rPr>
            <sz val="9"/>
            <color indexed="81"/>
            <rFont val="Tahoma"/>
            <family val="2"/>
          </rPr>
          <t xml:space="preserve">
Forventet besparelse i
kroner som følge av bedre 
vareflyt gjennom 
knutepunktet. Inngå som 
prissatt virkning om det er 
mulig å kvantifisere.</t>
        </r>
      </text>
    </comment>
    <comment ref="D30" authorId="0" shapeId="0" xr:uid="{47648D30-F391-4745-9F17-DD6A2C3B53CA}">
      <text>
        <r>
          <rPr>
            <b/>
            <sz val="9"/>
            <color indexed="81"/>
            <rFont val="Tahoma"/>
            <family val="2"/>
          </rPr>
          <t>Mari Baklund Størseth:</t>
        </r>
        <r>
          <rPr>
            <sz val="9"/>
            <color indexed="81"/>
            <rFont val="Tahoma"/>
            <family val="2"/>
          </rPr>
          <t xml:space="preserve">
Antall påvirkede er antall på- og avstigende passasjerer på stasjonen hvert år som opplever redusert reisetid, differensiert så langt som hensiktsmessig etter endelig destinasjon og tilbringertransport. </t>
        </r>
      </text>
    </comment>
    <comment ref="F30" authorId="0" shapeId="0" xr:uid="{6829CE42-308F-455F-AE95-0603B4CB8FE4}">
      <text>
        <r>
          <rPr>
            <b/>
            <sz val="9"/>
            <color indexed="81"/>
            <rFont val="Tahoma"/>
            <family val="2"/>
          </rPr>
          <t>Mari Baklund Størseth:</t>
        </r>
        <r>
          <rPr>
            <sz val="9"/>
            <color indexed="81"/>
            <rFont val="Tahoma"/>
            <family val="2"/>
          </rPr>
          <t xml:space="preserve">
Grov vurdering i tidlig fase. 
Kartlegg konkrete 
attributter som driver 
tidsbruken på stasjonen,
problemer, og om tilbudet 
er dårligere enn man kan 
forvente av ny 
stasjon/etter tiltak; 
overgangsmuligheter, P tilbud, avstander, oversikt
og informasjon.</t>
        </r>
      </text>
    </comment>
    <comment ref="H30" authorId="0" shapeId="0" xr:uid="{E8360B80-47AC-4EF1-B957-2961CE439BB6}">
      <text>
        <r>
          <rPr>
            <b/>
            <sz val="9"/>
            <color indexed="81"/>
            <rFont val="Tahoma"/>
            <family val="2"/>
          </rPr>
          <t>Mari Baklund Størseth:</t>
        </r>
        <r>
          <rPr>
            <sz val="9"/>
            <color indexed="81"/>
            <rFont val="Tahoma"/>
            <family val="2"/>
          </rPr>
          <t xml:space="preserve">
Kr per time for passasjerer og gods iht. TØI-rapport 1680/2019 og TØI-rapport 1762/2020. Benytt generelle antakelser hvis informasjon om reisens lengde eller type gods ikke er spesifisert. </t>
        </r>
      </text>
    </comment>
    <comment ref="S30" authorId="0" shapeId="0" xr:uid="{22B17D24-0EF6-4AB1-B999-0EC9AD81F853}">
      <text>
        <r>
          <rPr>
            <b/>
            <sz val="9"/>
            <color indexed="81"/>
            <rFont val="Tahoma"/>
            <family val="2"/>
          </rPr>
          <t>Mari Baklund Størseth:</t>
        </r>
        <r>
          <rPr>
            <sz val="9"/>
            <color indexed="81"/>
            <rFont val="Tahoma"/>
            <family val="2"/>
          </rPr>
          <t xml:space="preserve">
Forventet besparelse i
kroner som følge av spart 
reisetid som følge av tiltak 
på og ved stasjon.</t>
        </r>
      </text>
    </comment>
    <comment ref="D31" authorId="0" shapeId="0" xr:uid="{61264E4A-EFA4-4E18-9B1F-937CA81E0D7B}">
      <text>
        <r>
          <rPr>
            <b/>
            <sz val="9"/>
            <color indexed="81"/>
            <rFont val="Tahoma"/>
            <family val="2"/>
          </rPr>
          <t>Mari Baklund Størseth:</t>
        </r>
        <r>
          <rPr>
            <sz val="9"/>
            <color indexed="81"/>
            <rFont val="Tahoma"/>
            <family val="2"/>
          </rPr>
          <t xml:space="preserve">
Antall påvirkede er antall på- og avstigende passasjerer på stasjonen hvert år som opplever økt reisetid, differensiert så langt som hensiktsmessig etter endelig destinasjon og tilbringertransport. </t>
        </r>
      </text>
    </comment>
    <comment ref="F31" authorId="0" shapeId="0" xr:uid="{3D0C1B64-C3DD-422B-AD6F-F6F0B7557E2A}">
      <text>
        <r>
          <rPr>
            <b/>
            <sz val="9"/>
            <color indexed="81"/>
            <rFont val="Tahoma"/>
            <family val="2"/>
          </rPr>
          <t>Mari Baklund Størseth:</t>
        </r>
        <r>
          <rPr>
            <sz val="9"/>
            <color indexed="81"/>
            <rFont val="Tahoma"/>
            <family val="2"/>
          </rPr>
          <t xml:space="preserve">
Grov vurdering i tidlig fase. 
Kartlegg konkrete 
attributter som driver 
tidsbruken på stasjonen,
problemer, og om tilbudet 
er dårligere enn man kan 
forvente av ny 
stasjon/etter tiltak; 
overgangsmuligheter, P tilbud, avstander, oversikt
og informasjon.</t>
        </r>
      </text>
    </comment>
    <comment ref="H31" authorId="0" shapeId="0" xr:uid="{DA82F9F0-732D-4199-897F-5A21FACCD8DD}">
      <text>
        <r>
          <rPr>
            <b/>
            <sz val="9"/>
            <color indexed="81"/>
            <rFont val="Tahoma"/>
            <family val="2"/>
          </rPr>
          <t>Mari Baklund Størseth:</t>
        </r>
        <r>
          <rPr>
            <sz val="9"/>
            <color indexed="81"/>
            <rFont val="Tahoma"/>
            <family val="2"/>
          </rPr>
          <t xml:space="preserve">
Kr per time for passasjerer og gods iht. TØI-rapport 1680/2019 og TØI-rapport 1762/2020. Benytt generelle antakelser hvis informasjon om reisens lengde eller type gods ikke er spesifisert.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Malene Nerland</author>
  </authors>
  <commentList>
    <comment ref="D9" authorId="0" shapeId="0" xr:uid="{00000000-0006-0000-1100-000001000000}">
      <text>
        <r>
          <rPr>
            <b/>
            <sz val="9"/>
            <color indexed="81"/>
            <rFont val="Tahoma"/>
            <family val="2"/>
          </rPr>
          <t>Malene Nerland:</t>
        </r>
        <r>
          <rPr>
            <sz val="9"/>
            <color indexed="81"/>
            <rFont val="Tahoma"/>
            <family val="2"/>
          </rPr>
          <t xml:space="preserve">
Positiv betyr at det er en forbedring for de som allerede tar toget.
</t>
        </r>
      </text>
    </comment>
    <comment ref="D10" authorId="0" shapeId="0" xr:uid="{00000000-0006-0000-1100-000002000000}">
      <text>
        <r>
          <rPr>
            <b/>
            <sz val="9"/>
            <color indexed="81"/>
            <rFont val="Tahoma"/>
            <family val="2"/>
          </rPr>
          <t>Malene Nerland:</t>
        </r>
        <r>
          <rPr>
            <sz val="9"/>
            <color indexed="81"/>
            <rFont val="Tahoma"/>
            <family val="2"/>
          </rPr>
          <t xml:space="preserve">
Positiv betyr at det er en forbedring for de som starter å ta toget.</t>
        </r>
      </text>
    </comment>
    <comment ref="D11" authorId="0" shapeId="0" xr:uid="{00000000-0006-0000-1100-000003000000}">
      <text>
        <r>
          <rPr>
            <b/>
            <sz val="9"/>
            <color indexed="81"/>
            <rFont val="Tahoma"/>
            <family val="2"/>
          </rPr>
          <t>Malene Nerland:</t>
        </r>
        <r>
          <rPr>
            <sz val="9"/>
            <color indexed="81"/>
            <rFont val="Tahoma"/>
            <family val="2"/>
          </rPr>
          <t xml:space="preserve">
Positiv betyr at det er en forbedring for de som fortsatt bruker bil/buss/fly.</t>
        </r>
      </text>
    </comment>
    <comment ref="D13" authorId="0" shapeId="0" xr:uid="{00000000-0006-0000-1100-000004000000}">
      <text>
        <r>
          <rPr>
            <b/>
            <sz val="9"/>
            <color indexed="81"/>
            <rFont val="Tahoma"/>
            <family val="2"/>
          </rPr>
          <t>Malene Nerland:</t>
        </r>
        <r>
          <rPr>
            <sz val="9"/>
            <color indexed="81"/>
            <rFont val="Tahoma"/>
            <family val="2"/>
          </rPr>
          <t xml:space="preserve">
Positiv betyr bedre helse.</t>
        </r>
      </text>
    </comment>
    <comment ref="D16" authorId="0" shapeId="0" xr:uid="{00000000-0006-0000-1100-000005000000}">
      <text>
        <r>
          <rPr>
            <b/>
            <sz val="9"/>
            <color indexed="81"/>
            <rFont val="Tahoma"/>
            <family val="2"/>
          </rPr>
          <t>Malene Nerland:</t>
        </r>
        <r>
          <rPr>
            <sz val="9"/>
            <color indexed="81"/>
            <rFont val="Tahoma"/>
            <family val="2"/>
          </rPr>
          <t xml:space="preserve">
Positiv hvis billettinntekten øker. (billettinntekter+ andre inntekter)
</t>
        </r>
      </text>
    </comment>
    <comment ref="D17" authorId="0" shapeId="0" xr:uid="{00000000-0006-0000-1100-000006000000}">
      <text>
        <r>
          <rPr>
            <b/>
            <sz val="9"/>
            <color indexed="81"/>
            <rFont val="Tahoma"/>
            <family val="2"/>
          </rPr>
          <t>Malene Nerland:</t>
        </r>
        <r>
          <rPr>
            <sz val="9"/>
            <color indexed="81"/>
            <rFont val="Tahoma"/>
            <family val="2"/>
          </rPr>
          <t xml:space="preserve">
Positiv med mer inntekter fra det offentlige til togoperatør. Negativt for samfunnet (ikke fly - ingen offentlig kjøp).  (både drift- og anskaffelse nye togsett) </t>
        </r>
      </text>
    </comment>
    <comment ref="D18" authorId="0" shapeId="0" xr:uid="{00000000-0006-0000-1100-000007000000}">
      <text>
        <r>
          <rPr>
            <b/>
            <sz val="9"/>
            <color indexed="81"/>
            <rFont val="Tahoma"/>
            <family val="2"/>
          </rPr>
          <t>Malene Nerland:</t>
        </r>
        <r>
          <rPr>
            <sz val="9"/>
            <color indexed="81"/>
            <rFont val="Tahoma"/>
            <family val="2"/>
          </rPr>
          <t xml:space="preserve">
Negativ hvis utgiftene for togoperatøren går opp.</t>
        </r>
      </text>
    </comment>
    <comment ref="I19" authorId="0" shapeId="0" xr:uid="{00000000-0006-0000-1100-000009000000}">
      <text>
        <r>
          <rPr>
            <b/>
            <sz val="9"/>
            <color indexed="81"/>
            <rFont val="Tahoma"/>
            <family val="2"/>
          </rPr>
          <t>Malene Nerland:</t>
        </r>
        <r>
          <rPr>
            <sz val="9"/>
            <color indexed="81"/>
            <rFont val="Tahoma"/>
            <family val="2"/>
          </rPr>
          <t xml:space="preserve">
Er denne negativ betyr det at det er en kostnad ved tiltaket.</t>
        </r>
      </text>
    </comment>
    <comment ref="D20" authorId="0" shapeId="0" xr:uid="{00000000-0006-0000-1100-000008000000}">
      <text>
        <r>
          <rPr>
            <b/>
            <sz val="9"/>
            <color indexed="81"/>
            <rFont val="Tahoma"/>
            <family val="2"/>
          </rPr>
          <t>Malene Nerland:</t>
        </r>
        <r>
          <rPr>
            <sz val="9"/>
            <color indexed="81"/>
            <rFont val="Tahoma"/>
            <family val="2"/>
          </rPr>
          <t xml:space="preserve">
Positiv hvis utgiftene for buss- og flyselskapene går ned. </t>
        </r>
      </text>
    </comment>
    <comment ref="I20" authorId="0" shapeId="0" xr:uid="{00000000-0006-0000-1100-00000A000000}">
      <text>
        <r>
          <rPr>
            <b/>
            <sz val="9"/>
            <color indexed="81"/>
            <rFont val="Tahoma"/>
            <family val="2"/>
          </rPr>
          <t>Malene Nerland:</t>
        </r>
        <r>
          <rPr>
            <sz val="9"/>
            <color indexed="81"/>
            <rFont val="Tahoma"/>
            <family val="2"/>
          </rPr>
          <t xml:space="preserve">
Er endring i offentlig kjøp per åpningsåret for tog. Er denne negativ betyr det at det offentlige må kjøpe mer av persontransport på tog.</t>
        </r>
      </text>
    </comment>
    <comment ref="I22" authorId="0" shapeId="0" xr:uid="{00000000-0006-0000-1100-00000C000000}">
      <text>
        <r>
          <rPr>
            <b/>
            <sz val="9"/>
            <color indexed="81"/>
            <rFont val="Tahoma"/>
            <family val="2"/>
          </rPr>
          <t>Malene Nerland:</t>
        </r>
        <r>
          <rPr>
            <sz val="9"/>
            <color indexed="81"/>
            <rFont val="Tahoma"/>
            <family val="2"/>
          </rPr>
          <t xml:space="preserve">
Hvis tiltaket gjennomføres, er det lønnsomt å drifte tiltaket.</t>
        </r>
      </text>
    </comment>
    <comment ref="D23" authorId="0" shapeId="0" xr:uid="{00000000-0006-0000-1100-00000B000000}">
      <text>
        <r>
          <rPr>
            <b/>
            <sz val="9"/>
            <color indexed="81"/>
            <rFont val="Tahoma"/>
            <family val="2"/>
          </rPr>
          <t>Malene Nerland:</t>
        </r>
        <r>
          <rPr>
            <sz val="9"/>
            <color indexed="81"/>
            <rFont val="Tahoma"/>
            <family val="2"/>
          </rPr>
          <t xml:space="preserve">
Negativ hvis staten får mindre inntekter, fra bil og buss. Kan få økt inntekt fra tog hvis det er diesel. Elektrisk har ingen avgift.</t>
        </r>
      </text>
    </comment>
    <comment ref="D24" authorId="0" shapeId="0" xr:uid="{00000000-0006-0000-1100-00000D000000}">
      <text>
        <r>
          <rPr>
            <b/>
            <sz val="9"/>
            <color indexed="81"/>
            <rFont val="Tahoma"/>
            <family val="2"/>
          </rPr>
          <t>Malene Nerland:</t>
        </r>
        <r>
          <rPr>
            <sz val="9"/>
            <color indexed="81"/>
            <rFont val="Tahoma"/>
            <family val="2"/>
          </rPr>
          <t xml:space="preserve">
Negativ ved økt togproduksjon for tog. Mindre utgifter for buss og bil hvis det er overført trafikk.</t>
        </r>
      </text>
    </comment>
    <comment ref="I24" authorId="0" shapeId="0" xr:uid="{00000000-0006-0000-1100-00000F000000}">
      <text>
        <r>
          <rPr>
            <b/>
            <sz val="9"/>
            <color indexed="81"/>
            <rFont val="Tahoma"/>
            <family val="2"/>
          </rPr>
          <t>Malene Nerland:</t>
        </r>
        <r>
          <rPr>
            <sz val="9"/>
            <color indexed="81"/>
            <rFont val="Tahoma"/>
            <family val="2"/>
          </rPr>
          <t xml:space="preserve">
Trafikantnytte for persontransporten.</t>
        </r>
      </text>
    </comment>
    <comment ref="D25" authorId="0" shapeId="0" xr:uid="{00000000-0006-0000-1100-00000E000000}">
      <text>
        <r>
          <rPr>
            <b/>
            <sz val="9"/>
            <color indexed="81"/>
            <rFont val="Tahoma"/>
            <family val="2"/>
          </rPr>
          <t>Malene Nerland:</t>
        </r>
        <r>
          <rPr>
            <sz val="9"/>
            <color indexed="81"/>
            <rFont val="Tahoma"/>
            <family val="2"/>
          </rPr>
          <t xml:space="preserve">
Positiv hvis total offentlig kjøp blir mindre, negativ hvis offentlig kjøp blir høyere. </t>
        </r>
      </text>
    </comment>
    <comment ref="I25" authorId="0" shapeId="0" xr:uid="{00000000-0006-0000-1100-000011000000}">
      <text>
        <r>
          <rPr>
            <b/>
            <sz val="9"/>
            <color indexed="81"/>
            <rFont val="Tahoma"/>
            <family val="2"/>
          </rPr>
          <t>Malene Nerland:</t>
        </r>
        <r>
          <rPr>
            <sz val="9"/>
            <color indexed="81"/>
            <rFont val="Tahoma"/>
            <family val="2"/>
          </rPr>
          <t xml:space="preserve">
Trafikantnytte for godskunder.</t>
        </r>
      </text>
    </comment>
    <comment ref="D26" authorId="0" shapeId="0" xr:uid="{00000000-0006-0000-1100-000010000000}">
      <text>
        <r>
          <rPr>
            <b/>
            <sz val="9"/>
            <color indexed="81"/>
            <rFont val="Tahoma"/>
            <family val="2"/>
          </rPr>
          <t>Malene Nerland:</t>
        </r>
        <r>
          <rPr>
            <sz val="9"/>
            <color indexed="81"/>
            <rFont val="Tahoma"/>
            <family val="2"/>
          </rPr>
          <t xml:space="preserve">
Negativ betyr det er en kostnad ved å investere.</t>
        </r>
      </text>
    </comment>
    <comment ref="I26" authorId="0" shapeId="0" xr:uid="{00000000-0006-0000-1100-000012000000}">
      <text>
        <r>
          <rPr>
            <b/>
            <sz val="9"/>
            <color indexed="81"/>
            <rFont val="Tahoma"/>
            <family val="2"/>
          </rPr>
          <t>Malene Nerland:</t>
        </r>
        <r>
          <rPr>
            <sz val="9"/>
            <color indexed="81"/>
            <rFont val="Tahoma"/>
            <family val="2"/>
          </rPr>
          <t xml:space="preserve">
Settes til null. Finnes ingen god måte å beregne dette for jernbane.</t>
        </r>
      </text>
    </comment>
    <comment ref="D30" authorId="0" shapeId="0" xr:uid="{00000000-0006-0000-1100-000013000000}">
      <text>
        <r>
          <rPr>
            <b/>
            <sz val="9"/>
            <color indexed="81"/>
            <rFont val="Tahoma"/>
            <family val="2"/>
          </rPr>
          <t>Malene Nerland:</t>
        </r>
        <r>
          <rPr>
            <sz val="9"/>
            <color indexed="81"/>
            <rFont val="Tahoma"/>
            <family val="2"/>
          </rPr>
          <t xml:space="preserve">
Positiv betyr at det blir færre ulykker.</t>
        </r>
      </text>
    </comment>
    <comment ref="I30" authorId="0" shapeId="0" xr:uid="{00000000-0006-0000-1100-000016000000}">
      <text>
        <r>
          <rPr>
            <b/>
            <sz val="9"/>
            <color indexed="81"/>
            <rFont val="Tahoma"/>
            <family val="2"/>
          </rPr>
          <t>Malene Nerland:</t>
        </r>
        <r>
          <rPr>
            <sz val="9"/>
            <color indexed="81"/>
            <rFont val="Tahoma"/>
            <family val="2"/>
          </rPr>
          <t xml:space="preserve">
Antall reiser i hele modellområdet. For å isolere en strekning eller  området må reiser avgrenses i transportmodellen. </t>
        </r>
      </text>
    </comment>
    <comment ref="D31" authorId="0" shapeId="0" xr:uid="{00000000-0006-0000-1100-000014000000}">
      <text>
        <r>
          <rPr>
            <b/>
            <sz val="9"/>
            <color indexed="81"/>
            <rFont val="Tahoma"/>
            <family val="2"/>
          </rPr>
          <t>Malene Nerland:</t>
        </r>
        <r>
          <rPr>
            <sz val="9"/>
            <color indexed="81"/>
            <rFont val="Tahoma"/>
            <family val="2"/>
          </rPr>
          <t xml:space="preserve">
Positiv betyr mindre støy</t>
        </r>
      </text>
    </comment>
    <comment ref="I31" authorId="0" shapeId="0" xr:uid="{00000000-0006-0000-1100-000018000000}">
      <text>
        <r>
          <rPr>
            <b/>
            <sz val="9"/>
            <color indexed="81"/>
            <rFont val="Tahoma"/>
            <family val="2"/>
          </rPr>
          <t>Malene Nerland:</t>
        </r>
        <r>
          <rPr>
            <sz val="9"/>
            <color indexed="81"/>
            <rFont val="Tahoma"/>
            <family val="2"/>
          </rPr>
          <t xml:space="preserve">
Antall reiser i hele modellområdet. For å isolere en strekning eller  området må reiser avgrenses i transportmodellen. </t>
        </r>
      </text>
    </comment>
    <comment ref="D32" authorId="0" shapeId="0" xr:uid="{00000000-0006-0000-1100-000015000000}">
      <text>
        <r>
          <rPr>
            <b/>
            <sz val="9"/>
            <color indexed="81"/>
            <rFont val="Tahoma"/>
            <family val="2"/>
          </rPr>
          <t>Malene Nerland:</t>
        </r>
        <r>
          <rPr>
            <sz val="9"/>
            <color indexed="81"/>
            <rFont val="Tahoma"/>
            <family val="2"/>
          </rPr>
          <t xml:space="preserve">
Positiv betyr mindre utslipp.</t>
        </r>
      </text>
    </comment>
    <comment ref="I32" authorId="0" shapeId="0" xr:uid="{00000000-0006-0000-1100-000019000000}">
      <text>
        <r>
          <rPr>
            <b/>
            <sz val="9"/>
            <color indexed="81"/>
            <rFont val="Tahoma"/>
            <family val="2"/>
          </rPr>
          <t>Malene Nerland:</t>
        </r>
        <r>
          <rPr>
            <sz val="9"/>
            <color indexed="81"/>
            <rFont val="Tahoma"/>
            <family val="2"/>
          </rPr>
          <t xml:space="preserve">
Antall reiser i hele modellområdet. For å isolere en strekning eller  området må reiser avgrenses i transportmodellen. </t>
        </r>
      </text>
    </comment>
    <comment ref="D33" authorId="0" shapeId="0" xr:uid="{00000000-0006-0000-1100-000017000000}">
      <text>
        <r>
          <rPr>
            <b/>
            <sz val="9"/>
            <color indexed="81"/>
            <rFont val="Tahoma"/>
            <family val="2"/>
          </rPr>
          <t>Malene Nerland:</t>
        </r>
        <r>
          <rPr>
            <sz val="9"/>
            <color indexed="81"/>
            <rFont val="Tahoma"/>
            <family val="2"/>
          </rPr>
          <t xml:space="preserve">
Positiv betyr mindre klimagasser.</t>
        </r>
      </text>
    </comment>
    <comment ref="D36" authorId="0" shapeId="0" xr:uid="{00000000-0006-0000-1100-00001A000000}">
      <text>
        <r>
          <rPr>
            <b/>
            <sz val="9"/>
            <color indexed="81"/>
            <rFont val="Tahoma"/>
            <family val="2"/>
          </rPr>
          <t>Malene Nerland:</t>
        </r>
        <r>
          <rPr>
            <sz val="9"/>
            <color indexed="81"/>
            <rFont val="Tahoma"/>
            <family val="2"/>
          </rPr>
          <t xml:space="preserve">
Positiv verdi betyr at det er positiv restverdi.</t>
        </r>
      </text>
    </comment>
    <comment ref="D37" authorId="0" shapeId="0" xr:uid="{00000000-0006-0000-1100-00001B000000}">
      <text>
        <r>
          <rPr>
            <b/>
            <sz val="9"/>
            <color indexed="81"/>
            <rFont val="Tahoma"/>
            <family val="2"/>
          </rPr>
          <t>Malene Nerland:</t>
        </r>
        <r>
          <rPr>
            <sz val="9"/>
            <color indexed="81"/>
            <rFont val="Tahoma"/>
            <family val="2"/>
          </rPr>
          <t xml:space="preserve">
Negativ betyr økt skattefinansiering gjennom budsjett, den er 20 % av investeringkostnaden og offentlige utgifter.</t>
        </r>
      </text>
    </comment>
    <comment ref="D39" authorId="0" shapeId="0" xr:uid="{00000000-0006-0000-1100-00001C000000}">
      <text>
        <r>
          <rPr>
            <b/>
            <sz val="9"/>
            <color indexed="81"/>
            <rFont val="Tahoma"/>
            <family val="2"/>
          </rPr>
          <t>Malene Nerland:</t>
        </r>
        <r>
          <rPr>
            <sz val="9"/>
            <color indexed="81"/>
            <rFont val="Tahoma"/>
            <family val="2"/>
          </rPr>
          <t xml:space="preserve">
Negativ verdi betyr at det ikke er lønnsomt å drifte tiltaket. Ved bruttonåverdi er ikke investeringskostnaden og skattefinansieringskostnaden av investeringkostnaden medregnet.</t>
        </r>
      </text>
    </comment>
    <comment ref="I41" authorId="0" shapeId="0" xr:uid="{00000000-0006-0000-1100-00001D000000}">
      <text>
        <r>
          <rPr>
            <b/>
            <sz val="9"/>
            <color indexed="81"/>
            <rFont val="Tahoma"/>
            <family val="2"/>
          </rPr>
          <t>Malene Nerland:</t>
        </r>
        <r>
          <rPr>
            <sz val="9"/>
            <color indexed="81"/>
            <rFont val="Tahoma"/>
            <family val="2"/>
          </rPr>
          <t xml:space="preserve">
Antall bilreiser per år delt på 365 og bilbelegg per reise.</t>
        </r>
      </text>
    </comment>
    <comment ref="I57" authorId="0" shapeId="0" xr:uid="{00000000-0006-0000-1100-00001E000000}">
      <text>
        <r>
          <rPr>
            <b/>
            <sz val="9"/>
            <color indexed="81"/>
            <rFont val="Tahoma"/>
            <family val="2"/>
          </rPr>
          <t>Malene Nerland:</t>
        </r>
        <r>
          <rPr>
            <sz val="9"/>
            <color indexed="81"/>
            <rFont val="Tahoma"/>
            <family val="2"/>
          </rPr>
          <t xml:space="preserve">
Er denne verdien positiv betyr det at det er flere drepte på jernbane som følge av tiltaket.</t>
        </r>
      </text>
    </comment>
    <comment ref="I58" authorId="0" shapeId="0" xr:uid="{00000000-0006-0000-1100-00001F000000}">
      <text>
        <r>
          <rPr>
            <b/>
            <sz val="9"/>
            <color indexed="81"/>
            <rFont val="Tahoma"/>
            <family val="2"/>
          </rPr>
          <t>Malene Nerland:</t>
        </r>
        <r>
          <rPr>
            <sz val="9"/>
            <color indexed="81"/>
            <rFont val="Tahoma"/>
            <family val="2"/>
          </rPr>
          <t xml:space="preserve">
Er denne verdien positiv betyr det at det er flere skadde på jernbane som følge av tiltaket.</t>
        </r>
      </text>
    </comment>
    <comment ref="I60" authorId="0" shapeId="0" xr:uid="{00000000-0006-0000-1100-000020000000}">
      <text>
        <r>
          <rPr>
            <b/>
            <sz val="9"/>
            <color indexed="81"/>
            <rFont val="Tahoma"/>
            <family val="2"/>
          </rPr>
          <t>Malene Nerland:</t>
        </r>
        <r>
          <rPr>
            <sz val="9"/>
            <color indexed="81"/>
            <rFont val="Tahoma"/>
            <family val="2"/>
          </rPr>
          <t xml:space="preserve">
Er denne verdien positiv betyr det at det er flere drepte og skadde på jernbane som følge av tiltaket.</t>
        </r>
      </text>
    </comment>
    <comment ref="I62" authorId="0" shapeId="0" xr:uid="{00000000-0006-0000-1100-000021000000}">
      <text>
        <r>
          <rPr>
            <b/>
            <sz val="9"/>
            <color indexed="81"/>
            <rFont val="Tahoma"/>
            <family val="2"/>
          </rPr>
          <t>Malene Nerland:</t>
        </r>
        <r>
          <rPr>
            <sz val="9"/>
            <color indexed="81"/>
            <rFont val="Tahoma"/>
            <family val="2"/>
          </rPr>
          <t xml:space="preserve">
Er denne verdien negativ betyr det at det er færre drepte  på vei (på grunn av overført trafikk) som følge av tiltaket.
</t>
        </r>
      </text>
    </comment>
    <comment ref="I63" authorId="0" shapeId="0" xr:uid="{00000000-0006-0000-1100-000022000000}">
      <text>
        <r>
          <rPr>
            <b/>
            <sz val="9"/>
            <color indexed="81"/>
            <rFont val="Tahoma"/>
            <family val="2"/>
          </rPr>
          <t>Malene Nerland:</t>
        </r>
        <r>
          <rPr>
            <sz val="9"/>
            <color indexed="81"/>
            <rFont val="Tahoma"/>
            <family val="2"/>
          </rPr>
          <t xml:space="preserve">
Er denne verdien negativ betyr det at det er færre hardt skadet på vei (på grunn av overført trafikk) som følge av tiltaket.</t>
        </r>
      </text>
    </comment>
    <comment ref="I64" authorId="0" shapeId="0" xr:uid="{04341FC6-8837-4F1F-A7B3-1441F487600B}">
      <text>
        <r>
          <rPr>
            <b/>
            <sz val="9"/>
            <color indexed="81"/>
            <rFont val="Tahoma"/>
            <family val="2"/>
          </rPr>
          <t>Malene Nerland:</t>
        </r>
        <r>
          <rPr>
            <sz val="9"/>
            <color indexed="81"/>
            <rFont val="Tahoma"/>
            <family val="2"/>
          </rPr>
          <t xml:space="preserve">
Er denne verdien negativ betyr det at det er færre lettere skadet på vei (på grunn av overført trafikk) som følge av tiltaket.</t>
        </r>
      </text>
    </comment>
    <comment ref="I65" authorId="0" shapeId="0" xr:uid="{00000000-0006-0000-1100-000023000000}">
      <text>
        <r>
          <rPr>
            <b/>
            <sz val="9"/>
            <color indexed="81"/>
            <rFont val="Tahoma"/>
            <family val="2"/>
          </rPr>
          <t>Malene Nerland:</t>
        </r>
        <r>
          <rPr>
            <sz val="9"/>
            <color indexed="81"/>
            <rFont val="Tahoma"/>
            <family val="2"/>
          </rPr>
          <t xml:space="preserve">
Er denne verdien negativ betyr det at det er færre drepte og hardt skadet på vei (på grunn av overført trafikk) som følge av tiltaket.</t>
        </r>
      </text>
    </comment>
    <comment ref="I67" authorId="0" shapeId="0" xr:uid="{00000000-0006-0000-1100-000024000000}">
      <text>
        <r>
          <rPr>
            <b/>
            <sz val="9"/>
            <color indexed="81"/>
            <rFont val="Tahoma"/>
            <family val="2"/>
          </rPr>
          <t>Malene Nerland:</t>
        </r>
        <r>
          <rPr>
            <sz val="9"/>
            <color indexed="81"/>
            <rFont val="Tahoma"/>
            <family val="2"/>
          </rPr>
          <t xml:space="preserve">
Er denne verdien negativ betyr det at det er færre drepte  på vei (på grunn av overført trafikk) som følge av tiltaket.
</t>
        </r>
      </text>
    </comment>
    <comment ref="I68" authorId="0" shapeId="0" xr:uid="{00000000-0006-0000-1100-000025000000}">
      <text>
        <r>
          <rPr>
            <b/>
            <sz val="9"/>
            <color indexed="81"/>
            <rFont val="Tahoma"/>
            <family val="2"/>
          </rPr>
          <t>Malene Nerland:</t>
        </r>
        <r>
          <rPr>
            <sz val="9"/>
            <color indexed="81"/>
            <rFont val="Tahoma"/>
            <family val="2"/>
          </rPr>
          <t xml:space="preserve">
Er denne verdien negativ betyr det at det er færre hardt skadet på vei (på grunn av overført trafikk) som følge av tiltaket.</t>
        </r>
      </text>
    </comment>
    <comment ref="I69" authorId="0" shapeId="0" xr:uid="{AD3A02C1-C6B6-41F0-A8D3-0F1973B717D4}">
      <text>
        <r>
          <rPr>
            <b/>
            <sz val="9"/>
            <color indexed="81"/>
            <rFont val="Tahoma"/>
            <family val="2"/>
          </rPr>
          <t>Malene Nerland:</t>
        </r>
        <r>
          <rPr>
            <sz val="9"/>
            <color indexed="81"/>
            <rFont val="Tahoma"/>
            <family val="2"/>
          </rPr>
          <t xml:space="preserve">
Er denne verdien negativ betyr det at det er færre lettere skadet på vei (på grunn av overført trafikk) som følge av tiltaket.</t>
        </r>
      </text>
    </comment>
    <comment ref="I70" authorId="0" shapeId="0" xr:uid="{00000000-0006-0000-1100-000026000000}">
      <text>
        <r>
          <rPr>
            <b/>
            <sz val="9"/>
            <color indexed="81"/>
            <rFont val="Tahoma"/>
            <family val="2"/>
          </rPr>
          <t>Malene Nerland:</t>
        </r>
        <r>
          <rPr>
            <sz val="9"/>
            <color indexed="81"/>
            <rFont val="Tahoma"/>
            <family val="2"/>
          </rPr>
          <t xml:space="preserve">
Er denne verdien negativ betyr det at det er færre drepte og hardt skadet på vei (på grunn av overført trafikk) som følge av tiltaket.</t>
        </r>
      </text>
    </comment>
    <comment ref="I72" authorId="0" shapeId="0" xr:uid="{00000000-0006-0000-1100-000027000000}">
      <text>
        <r>
          <rPr>
            <b/>
            <sz val="9"/>
            <color indexed="81"/>
            <rFont val="Tahoma"/>
            <family val="2"/>
          </rPr>
          <t>Malene Nerland:</t>
        </r>
        <r>
          <rPr>
            <sz val="9"/>
            <color indexed="81"/>
            <rFont val="Tahoma"/>
            <family val="2"/>
          </rPr>
          <t xml:space="preserve">
Er denne verdien negativ betyr det at det er færre drepte  totalt av tiltaket.</t>
        </r>
      </text>
    </comment>
    <comment ref="I73" authorId="0" shapeId="0" xr:uid="{00000000-0006-0000-1100-000028000000}">
      <text>
        <r>
          <rPr>
            <b/>
            <sz val="9"/>
            <color indexed="81"/>
            <rFont val="Tahoma"/>
            <family val="2"/>
          </rPr>
          <t>Malene Nerland:</t>
        </r>
        <r>
          <rPr>
            <sz val="9"/>
            <color indexed="81"/>
            <rFont val="Tahoma"/>
            <family val="2"/>
          </rPr>
          <t xml:space="preserve">
Er denne verdien negativ betyr det at det er færre hardt skadet  totalt av tiltaket. Merk at skadde for jernbane inngår i kategorien hardt skadet. </t>
        </r>
      </text>
    </comment>
    <comment ref="I75" authorId="0" shapeId="0" xr:uid="{00000000-0006-0000-1100-000029000000}">
      <text>
        <r>
          <rPr>
            <b/>
            <sz val="9"/>
            <color indexed="81"/>
            <rFont val="Tahoma"/>
            <family val="2"/>
          </rPr>
          <t>Malene Nerland:</t>
        </r>
        <r>
          <rPr>
            <sz val="9"/>
            <color indexed="81"/>
            <rFont val="Tahoma"/>
            <family val="2"/>
          </rPr>
          <t xml:space="preserve">
Er denne verdien negativ betyr det at det er færre drepte og hardt skadet totalt av tiltaket.
Merk at skadde for jernbane inngår i kategorien hardt skadet. </t>
        </r>
      </text>
    </comment>
    <comment ref="I78" authorId="0" shapeId="0" xr:uid="{64F66652-A317-454C-9B85-766A86B69012}">
      <text>
        <r>
          <rPr>
            <b/>
            <sz val="9"/>
            <color indexed="81"/>
            <rFont val="Tahoma"/>
            <family val="2"/>
          </rPr>
          <t>Malene Nerland:</t>
        </r>
        <r>
          <rPr>
            <sz val="9"/>
            <color indexed="81"/>
            <rFont val="Tahoma"/>
            <family val="2"/>
          </rPr>
          <t xml:space="preserve">
Er denne verdien positiv betyr det at det er flere drepte på jernbane som følge av tiltaket.</t>
        </r>
      </text>
    </comment>
    <comment ref="I79" authorId="0" shapeId="0" xr:uid="{E8EBE7A6-28FF-4B3B-BD72-7FA17FDE4839}">
      <text>
        <r>
          <rPr>
            <b/>
            <sz val="9"/>
            <color indexed="81"/>
            <rFont val="Tahoma"/>
            <family val="2"/>
          </rPr>
          <t>Malene Nerland:</t>
        </r>
        <r>
          <rPr>
            <sz val="9"/>
            <color indexed="81"/>
            <rFont val="Tahoma"/>
            <family val="2"/>
          </rPr>
          <t xml:space="preserve">
Er denne verdien positiv betyr det at det er flere skadde på jernbane som følge av tiltaket.</t>
        </r>
      </text>
    </comment>
    <comment ref="I81" authorId="0" shapeId="0" xr:uid="{2966FD3F-5EC9-4E35-958D-AF405D6D971C}">
      <text>
        <r>
          <rPr>
            <b/>
            <sz val="9"/>
            <color indexed="81"/>
            <rFont val="Tahoma"/>
            <family val="2"/>
          </rPr>
          <t>Malene Nerland:</t>
        </r>
        <r>
          <rPr>
            <sz val="9"/>
            <color indexed="81"/>
            <rFont val="Tahoma"/>
            <family val="2"/>
          </rPr>
          <t xml:space="preserve">
Er denne verdien positiv betyr det at det er flere drepte og skadde på jernbane som følge av tiltaket.</t>
        </r>
      </text>
    </comment>
    <comment ref="I83" authorId="0" shapeId="0" xr:uid="{21889804-E290-40C2-B1DF-91BE99F56DDE}">
      <text>
        <r>
          <rPr>
            <b/>
            <sz val="9"/>
            <color indexed="81"/>
            <rFont val="Tahoma"/>
            <family val="2"/>
          </rPr>
          <t>Malene Nerland:</t>
        </r>
        <r>
          <rPr>
            <sz val="9"/>
            <color indexed="81"/>
            <rFont val="Tahoma"/>
            <family val="2"/>
          </rPr>
          <t xml:space="preserve">
Er denne verdien negativ betyr det at det er færre drepte  på vei (på grunn av overført trafikk) som følge av tiltaket.
</t>
        </r>
      </text>
    </comment>
    <comment ref="I84" authorId="0" shapeId="0" xr:uid="{7AADE2FD-FCDF-4DB0-B4A5-C26A9C4D0C8F}">
      <text>
        <r>
          <rPr>
            <b/>
            <sz val="9"/>
            <color indexed="81"/>
            <rFont val="Tahoma"/>
            <family val="2"/>
          </rPr>
          <t>Malene Nerland:</t>
        </r>
        <r>
          <rPr>
            <sz val="9"/>
            <color indexed="81"/>
            <rFont val="Tahoma"/>
            <family val="2"/>
          </rPr>
          <t xml:space="preserve">
Er denne verdien negativ betyr det at det er færre hardt skadet på vei (på grunn av overført trafikk) som følge av tiltaket.</t>
        </r>
      </text>
    </comment>
    <comment ref="I85" authorId="0" shapeId="0" xr:uid="{9FA11232-054C-444A-987E-E93B4DF22D5D}">
      <text>
        <r>
          <rPr>
            <b/>
            <sz val="9"/>
            <color indexed="81"/>
            <rFont val="Tahoma"/>
            <family val="2"/>
          </rPr>
          <t>Malene Nerland:</t>
        </r>
        <r>
          <rPr>
            <sz val="9"/>
            <color indexed="81"/>
            <rFont val="Tahoma"/>
            <family val="2"/>
          </rPr>
          <t xml:space="preserve">
Er denne verdien negativ betyr det at det er færre lettere skadet på vei (på grunn av overført trafikk) som følge av tiltaket.</t>
        </r>
      </text>
    </comment>
    <comment ref="I86" authorId="0" shapeId="0" xr:uid="{51005BDA-8876-4FB1-8E92-995284E81055}">
      <text>
        <r>
          <rPr>
            <b/>
            <sz val="9"/>
            <color indexed="81"/>
            <rFont val="Tahoma"/>
            <family val="2"/>
          </rPr>
          <t>Malene Nerland:</t>
        </r>
        <r>
          <rPr>
            <sz val="9"/>
            <color indexed="81"/>
            <rFont val="Tahoma"/>
            <family val="2"/>
          </rPr>
          <t xml:space="preserve">
Er denne verdien negativ betyr det at det er færre drepte og hardt skadet på vei (på grunn av overført trafikk) som følge av tiltaket.</t>
        </r>
      </text>
    </comment>
    <comment ref="I88" authorId="0" shapeId="0" xr:uid="{9CADC8B0-7751-45C7-9C72-593BD4ADF053}">
      <text>
        <r>
          <rPr>
            <b/>
            <sz val="9"/>
            <color indexed="81"/>
            <rFont val="Tahoma"/>
            <family val="2"/>
          </rPr>
          <t>Malene Nerland:</t>
        </r>
        <r>
          <rPr>
            <sz val="9"/>
            <color indexed="81"/>
            <rFont val="Tahoma"/>
            <family val="2"/>
          </rPr>
          <t xml:space="preserve">
Er denne verdien negativ betyr det at det er færre drepte  på vei (på grunn av overført trafikk) som følge av tiltaket.
</t>
        </r>
      </text>
    </comment>
    <comment ref="I89" authorId="0" shapeId="0" xr:uid="{1D7E3965-1186-4CA3-9BB0-3F66581ECFEA}">
      <text>
        <r>
          <rPr>
            <b/>
            <sz val="9"/>
            <color indexed="81"/>
            <rFont val="Tahoma"/>
            <family val="2"/>
          </rPr>
          <t>Malene Nerland:</t>
        </r>
        <r>
          <rPr>
            <sz val="9"/>
            <color indexed="81"/>
            <rFont val="Tahoma"/>
            <family val="2"/>
          </rPr>
          <t xml:space="preserve">
Er denne verdien negativ betyr det at det er færre hardt skadet på vei (på grunn av overført trafikk) som følge av tiltaket.</t>
        </r>
      </text>
    </comment>
    <comment ref="I90" authorId="0" shapeId="0" xr:uid="{9EBA7FBE-A7DC-4A20-B604-E79B329E8D99}">
      <text>
        <r>
          <rPr>
            <b/>
            <sz val="9"/>
            <color indexed="81"/>
            <rFont val="Tahoma"/>
            <family val="2"/>
          </rPr>
          <t>Malene Nerland:</t>
        </r>
        <r>
          <rPr>
            <sz val="9"/>
            <color indexed="81"/>
            <rFont val="Tahoma"/>
            <family val="2"/>
          </rPr>
          <t xml:space="preserve">
Er denne verdien negativ betyr det at det er færre lettere skadet på vei (på grunn av overført trafikk) som følge av tiltaket.</t>
        </r>
      </text>
    </comment>
    <comment ref="I91" authorId="0" shapeId="0" xr:uid="{3F8ED561-9766-404D-898F-892015640608}">
      <text>
        <r>
          <rPr>
            <b/>
            <sz val="9"/>
            <color indexed="81"/>
            <rFont val="Tahoma"/>
            <family val="2"/>
          </rPr>
          <t>Malene Nerland:</t>
        </r>
        <r>
          <rPr>
            <sz val="9"/>
            <color indexed="81"/>
            <rFont val="Tahoma"/>
            <family val="2"/>
          </rPr>
          <t xml:space="preserve">
Er denne verdien negativ betyr det at det er færre drepte og hardt skadet på vei (på grunn av overført trafikk) som følge av tiltaket.</t>
        </r>
      </text>
    </comment>
    <comment ref="I93" authorId="0" shapeId="0" xr:uid="{69B7F23C-BC6C-419F-9FF1-3CF9E9AD8C62}">
      <text>
        <r>
          <rPr>
            <b/>
            <sz val="9"/>
            <color indexed="81"/>
            <rFont val="Tahoma"/>
            <family val="2"/>
          </rPr>
          <t>Malene Nerland:</t>
        </r>
        <r>
          <rPr>
            <sz val="9"/>
            <color indexed="81"/>
            <rFont val="Tahoma"/>
            <family val="2"/>
          </rPr>
          <t xml:space="preserve">
Er denne verdien negativ betyr det at det er færre drepte  totalt av tiltaket.</t>
        </r>
      </text>
    </comment>
    <comment ref="I94" authorId="0" shapeId="0" xr:uid="{3AD8094D-6AFD-4E16-B5A3-5C934CBCA0B6}">
      <text>
        <r>
          <rPr>
            <b/>
            <sz val="9"/>
            <color indexed="81"/>
            <rFont val="Tahoma"/>
            <family val="2"/>
          </rPr>
          <t>Malene Nerland:</t>
        </r>
        <r>
          <rPr>
            <sz val="9"/>
            <color indexed="81"/>
            <rFont val="Tahoma"/>
            <family val="2"/>
          </rPr>
          <t xml:space="preserve">
Er denne verdien negativ betyr det at det er færre hardt skadet  totalt av tiltaket. Merk at skadde for jernbane inngår i kategorien hardt skadet. </t>
        </r>
      </text>
    </comment>
    <comment ref="I96" authorId="0" shapeId="0" xr:uid="{ABEF8C22-625A-4593-B041-628CF1CF2355}">
      <text>
        <r>
          <rPr>
            <b/>
            <sz val="9"/>
            <color indexed="81"/>
            <rFont val="Tahoma"/>
            <family val="2"/>
          </rPr>
          <t>Malene Nerland:</t>
        </r>
        <r>
          <rPr>
            <sz val="9"/>
            <color indexed="81"/>
            <rFont val="Tahoma"/>
            <family val="2"/>
          </rPr>
          <t xml:space="preserve">
Er denne verdien negativ betyr det at det er færre drepte og hardt skadet totalt av tiltaket.
Merk at skadde for jernbane inngår i kategorien hardt skadet. </t>
        </r>
      </text>
    </comment>
    <comment ref="I99" authorId="0" shapeId="0" xr:uid="{00000000-0006-0000-1100-00002A000000}">
      <text>
        <r>
          <rPr>
            <b/>
            <sz val="9"/>
            <color indexed="81"/>
            <rFont val="Tahoma"/>
            <family val="2"/>
          </rPr>
          <t>Malene Nerland:</t>
        </r>
        <r>
          <rPr>
            <sz val="9"/>
            <color indexed="81"/>
            <rFont val="Tahoma"/>
            <family val="2"/>
          </rPr>
          <t xml:space="preserve">
Er denne verdien positiv betyr det at det er en reduksjon i antall kg utslipp av Nox. Konsekvensene ved lokale utslipp har sammenheng med hvor det skjer. Skjer det i storby har det mye å si, skjer det i spredtebygd strøk antar vi at det ikke har noen påvirkning. Er endring i NOx i det første bergeningsåret.</t>
        </r>
      </text>
    </comment>
    <comment ref="I100" authorId="0" shapeId="0" xr:uid="{00000000-0006-0000-1100-00002B000000}">
      <text>
        <r>
          <rPr>
            <b/>
            <sz val="9"/>
            <color indexed="81"/>
            <rFont val="Tahoma"/>
            <family val="2"/>
          </rPr>
          <t>Malene Nerland:</t>
        </r>
        <r>
          <rPr>
            <sz val="9"/>
            <color indexed="81"/>
            <rFont val="Tahoma"/>
            <family val="2"/>
          </rPr>
          <t xml:space="preserve">
Er denne verdien positiv betyr det at det er en nedgang i støy etter tiltaket. Konsekvensene ved støy har sammenheng med hvor det skjer. Skjer det i storby har det mye å si, skjer det i spredtebygd strøk vil ikke påvirkningen være den samme. Er støy i det første beregningsåret.</t>
        </r>
      </text>
    </comment>
    <comment ref="I102" authorId="0" shapeId="0" xr:uid="{00000000-0006-0000-1100-00002C000000}">
      <text>
        <r>
          <rPr>
            <b/>
            <sz val="9"/>
            <color indexed="81"/>
            <rFont val="Tahoma"/>
            <family val="2"/>
          </rPr>
          <t>Malene Nerland:</t>
        </r>
        <r>
          <rPr>
            <sz val="9"/>
            <color indexed="81"/>
            <rFont val="Tahoma"/>
            <family val="2"/>
          </rPr>
          <t xml:space="preserve">
Er denne verdien positiv betyr det at det er en reduksjon i antall tonn utslipp av CO2. Er CO2 utslipp det første beregningsåret.</t>
        </r>
      </text>
    </comment>
    <comment ref="I103" authorId="0" shapeId="0" xr:uid="{00000000-0006-0000-1100-00002D000000}">
      <text>
        <r>
          <rPr>
            <b/>
            <sz val="9"/>
            <color indexed="81"/>
            <rFont val="Tahoma"/>
            <family val="2"/>
          </rPr>
          <t>Malene Nerland:</t>
        </r>
        <r>
          <rPr>
            <sz val="9"/>
            <color indexed="81"/>
            <rFont val="Tahoma"/>
            <family val="2"/>
          </rPr>
          <t xml:space="preserve">
Antar at årlig CO2 endring er konstant gjennom levetiden. Fordeles på udiskonterte investeringskostnader.</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tc={6DCF984E-2E23-4D8D-9BC5-2C78D5137D5E}</author>
    <author>tc={289C2450-CA11-49CF-AD82-9FD7A9E5290F}</author>
    <author>tc={09E879D8-CE32-45C5-9760-1C251E0B0114}</author>
  </authors>
  <commentList>
    <comment ref="U24" authorId="0" shapeId="0" xr:uid="{6DCF984E-2E23-4D8D-9BC5-2C78D5137D5E}">
      <text>
        <t>[Kommentartråd]
Din versjon av Excel lar deg lese denne kommentartråden. Eventuelle endringer i den vil imidlertid bli fjernet hvis filen åpnes i en nyere versjon av Excel. Finn ut mer: https://go.microsoft.com/fwlink/?linkid=870924
Kommentar:
    Basisprognosen for årlig prosentvis vekst i persontrafikk etter siste beregningsår er avtagende over tid. Basisprognosen kan gjennom følsomhetsanalyse enten skaleres med en bestemt prosentendring slik at prognosens relative struktur beholdes, eller erstattes med en fast årlig prosentsats (tallverdi) for hele perioden.</t>
      </text>
    </comment>
    <comment ref="U25" authorId="1" shapeId="0" xr:uid="{289C2450-CA11-49CF-AD82-9FD7A9E5290F}">
      <text>
        <t>[Kommentartråd]
Din versjon av Excel lar deg lese denne kommentartråden. Eventuelle endringer i den vil imidlertid bli fjernet hvis filen åpnes i en nyere versjon av Excel. Finn ut mer: https://go.microsoft.com/fwlink/?linkid=870924
Kommentar:
    Basisprognosen for årlig prosentvis vekst i godstrafikk etter siste beregningsår er avtagende over tid. Basisprognosen kan gjennom følsomhetsanalyse enten skaleres med en bestemt prosentendring slik at prognosens relative struktur beholdes, eller erstattes med en fast årlig prosentsats (tallverdi) for hele perioden.</t>
      </text>
    </comment>
    <comment ref="U26" authorId="2" shapeId="0" xr:uid="{09E879D8-CE32-45C5-9760-1C251E0B0114}">
      <text>
        <t>[Kommentartråd]
Din versjon av Excel lar deg lese denne kommentartråden. Eventuelle endringer i den vil imidlertid bli fjernet hvis filen åpnes i en nyere versjon av Excel. Finn ut mer: https://go.microsoft.com/fwlink/?linkid=870924
Kommentar:
    Forutsatt fremtidig vekst i BNP per innbygger bestemmer i SAGA realprisjusteringen miljø, ulykker og helse.</t>
      </text>
    </comment>
  </commentList>
</comments>
</file>

<file path=xl/comments13.xml><?xml version="1.0" encoding="utf-8"?>
<comments xmlns="http://schemas.openxmlformats.org/spreadsheetml/2006/main" xmlns:mc="http://schemas.openxmlformats.org/markup-compatibility/2006" xmlns:xr="http://schemas.microsoft.com/office/spreadsheetml/2014/revision" mc:Ignorable="xr">
  <authors>
    <author>tc={B921D94B-ED12-4EAF-9454-C0A2A67C2612}</author>
    <author>tc={BDF3F9E1-A436-4CAC-9D39-5F18081D5047}</author>
    <author>tc={35B83F18-5E9D-4B67-8479-3E5EB5E6C77C}</author>
    <author>tc={FB2A7C69-0901-41F8-9EC4-6440C995B82F}</author>
    <author>tc={E8608B01-A468-4E03-AC92-19F01BD4DBBE}</author>
    <author>tc={5AABE35F-B151-4D01-B380-69E859BC28A4}</author>
    <author>tc={FD242E81-44B7-4966-A173-3A22228D012D}</author>
    <author>tc={CF310E61-F43C-4ACA-8574-192E4DE42014}</author>
    <author>tc={75C1A9B4-AF9A-4CA5-AD09-EEB56BCB9876}</author>
    <author>tc={EC600BF4-009C-4822-AA0F-22903ACC36B8}</author>
    <author>tc={26378A7D-DD66-4503-869C-9F8686445FFD}</author>
    <author>tc={09B40CDA-A6B5-4596-8F7B-13F94F8ECF72}</author>
    <author>tc={F363B542-F080-41ED-88E6-5EC563305DF9}</author>
    <author>tc={46BC401C-AA31-48F1-A5D1-606EE033C634}</author>
    <author>tc={10CE67D8-727D-43BF-8CE5-6A9AEF1F986B}</author>
    <author>tc={48FF3B8A-AEA3-4DA7-9259-674ABBE3F262}</author>
  </authors>
  <commentList>
    <comment ref="B12" authorId="0" shapeId="0" xr:uid="{B921D94B-ED12-4EAF-9454-C0A2A67C2612}">
      <text>
        <t>[Kommentartråd]
Din versjon av Excel lar deg lese denne kommentartråden. Eventuelle endringer i den vil imidlertid bli fjernet hvis filen åpnes i en nyere versjon av Excel. Finn ut mer: https://go.microsoft.com/fwlink/?linkid=870924
Kommentar:
    Velg antall stokastisk eksogene variabler som skal simuleres, samt antall trekninger som gjennomføres for hver variabel. Antall stokastiske eksogene variabler kan enten spesifiseres direkte ved å taste inn et tall, eller ved å «klikke» seg til det ønskede tallet. 
For hver stokastiske eksogene variabel må div grønne områder fylles ut.</t>
      </text>
    </comment>
    <comment ref="Q12" authorId="1" shapeId="0" xr:uid="{BDF3F9E1-A436-4CAC-9D39-5F18081D5047}">
      <text>
        <t>[Kommentartråd]
Din versjon av Excel lar deg lese denne kommentartråden. Eventuelle endringer i den vil imidlertid bli fjernet hvis filen åpnes i en nyere versjon av Excel. Finn ut mer: https://go.microsoft.com/fwlink/?linkid=870924
Kommentar:
    Hvis input er endret må man velge variabel på nytt for at figuren skal oppdateres</t>
      </text>
    </comment>
    <comment ref="W12" authorId="2" shapeId="0" xr:uid="{35B83F18-5E9D-4B67-8479-3E5EB5E6C77C}">
      <text>
        <t>[Kommentartråd]
Din versjon av Excel lar deg lese denne kommentartråden. Eventuelle endringer i den vil imidlertid bli fjernet hvis filen åpnes i en nyere versjon av Excel. Finn ut mer: https://go.microsoft.com/fwlink/?linkid=870924
Kommentar:
    Velg antall og hvilke stokastiske endogene variabler som skal lagres under simulering (og som senere kan illustreres). Klikk "Lagre alle mulige hovedresultater" for å automatisk fylle tabellen over utvalgte resultater med alle de endogene variablene det er mulig å lagre, slik at disse blir lagret ved neste simulering.
Tabellen over utvalgte resultater viser forventningsverdier fra siste simulering og basisverdier fra hovedberegningen for de stokastiske endogene variablene.</t>
      </text>
    </comment>
    <comment ref="AA12" authorId="3" shapeId="0" xr:uid="{FB2A7C69-0901-41F8-9EC4-6440C995B82F}">
      <text>
        <t>[Kommentartråd]
Din versjon av Excel lar deg lese denne kommentartråden. Eventuelle endringer i den vil imidlertid bli fjernet hvis filen åpnes i en nyere versjon av Excel. Finn ut mer: https://go.microsoft.com/fwlink/?linkid=870924
Kommentar:
    Velg en stokastisk endogen variabel fra siste simulering. I tabellen under vises da deskriptiv statistikk for den valgte variabelen. Samtidig vises figurer for kumulativ fordeling, histogram og løpende simulert gjennomsnitt for den samme variabelen. 
Man kan bestemme om antall desimaler i tabeller og figurer skal formateres automatisk, eller kunne endres manuelt.</t>
      </text>
    </comment>
    <comment ref="AD12" authorId="4" shapeId="0" xr:uid="{E8608B01-A468-4E03-AC92-19F01BD4DBBE}">
      <text>
        <t>[Kommentartråd]
Din versjon av Excel lar deg lese denne kommentartråden. Eventuelle endringer i den vil imidlertid bli fjernet hvis filen åpnes i en nyere versjon av Excel. Finn ut mer: https://go.microsoft.com/fwlink/?linkid=870924
Kommentar:
    I figuren for kumulativ fordeling kan det fremheves verdier knyttet til tre valgfrie persentiler.</t>
      </text>
    </comment>
    <comment ref="AI12" authorId="5" shapeId="0" xr:uid="{5AABE35F-B151-4D01-B380-69E859BC28A4}">
      <text>
        <t>[Kommentartråd]
Din versjon av Excel lar deg lese denne kommentartråden. Eventuelle endringer i den vil imidlertid bli fjernet hvis filen åpnes i en nyere versjon av Excel. Finn ut mer: https://go.microsoft.com/fwlink/?linkid=870924
Kommentar:
    I histogrammet beregnes automatisk bredden på bolkene/stolpene. Det er imidlertid også mulig å bestemme antall og bredden på de bolkene selv, ved å velge «Ja» på spørsmålet om det skal brukes egendefinerte bolker.</t>
      </text>
    </comment>
    <comment ref="AO12" authorId="6" shapeId="0" xr:uid="{FD242E81-44B7-4966-A173-3A22228D012D}">
      <text>
        <t>[Kommentartråd]
Din versjon av Excel lar deg lese denne kommentartråden. Eventuelle endringer i den vil imidlertid bli fjernet hvis filen åpnes i en nyere versjon av Excel. Finn ut mer: https://go.microsoft.com/fwlink/?linkid=870924
Kommentar:
    Løpende simulerte gjennomsnitt for valgt endogene variabelen gir sammen med det oppgitte konfidensintervallet en indikasjon på om resultatene av simuleringen har konvergert i tilstrekkelig grad, og om simuleringen er basert på for få, passe eller unødvendig mange trekninger.</t>
      </text>
    </comment>
    <comment ref="B18" authorId="7" shapeId="0" xr:uid="{CF310E61-F43C-4ACA-8574-192E4DE42014}">
      <text>
        <t>[Kommentartråd]
Din versjon av Excel lar deg lese denne kommentartråden. Eventuelle endringer i den vil imidlertid bli fjernet hvis filen åpnes i en nyere versjon av Excel. Finn ut mer: https://go.microsoft.com/fwlink/?linkid=870924
Kommentar:
    Navn på valgte stokastiske eksogene variabler i simuleringen. Enkelte variabler forklares ytterligere helt til høyre i tabellen.</t>
      </text>
    </comment>
    <comment ref="C18" authorId="8" shapeId="0" xr:uid="{75C1A9B4-AF9A-4CA5-AD09-EEB56BCB9876}">
      <text>
        <t>[Kommentartråd]
Din versjon av Excel lar deg lese denne kommentartråden. Eventuelle endringer i den vil imidlertid bli fjernet hvis filen åpnes i en nyere versjon av Excel. Finn ut mer: https://go.microsoft.com/fwlink/?linkid=870924
Kommentar:
    Formatet kan enten være en tallverdi eller prosent endring fra basisverdi. Valgmuligheten avhenger av den eksogene variabelen.</t>
      </text>
    </comment>
    <comment ref="D18" authorId="9" shapeId="0" xr:uid="{EC600BF4-009C-4822-AA0F-22903ACC36B8}">
      <text>
        <t>[Kommentartråd]
Din versjon av Excel lar deg lese denne kommentartråden. Eventuelle endringer i den vil imidlertid bli fjernet hvis filen åpnes i en nyere versjon av Excel. Finn ut mer: https://go.microsoft.com/fwlink/?linkid=870924
Kommentar:
    For lognormale fordelinger er de simulerte verdiene av variabelen alltid positive (logaritmen av fordelingen er normalfordelt). Oppgitt spredningsmål og sentralitetsmål må da også bestå av positive verdier.</t>
      </text>
    </comment>
    <comment ref="E18" authorId="10" shapeId="0" xr:uid="{26378A7D-DD66-4503-869C-9F8686445FFD}">
      <text>
        <t>[Kommentartråd]
Din versjon av Excel lar deg lese denne kommentartråden. Eventuelle endringer i den vil imidlertid bli fjernet hvis filen åpnes i en nyere versjon av Excel. Finn ut mer: https://go.microsoft.com/fwlink/?linkid=870924
Kommentar:
    Spredningsmålet bestemmer sannsynlighetsfordelingens variasjon. Ved normal og lognormal fordeling kan man enten oppgi standardavviket, eller en valgfri persentil som spredningsmål . Ved triangulær fordeling er første spredningsmål fordelingens minimummsverdi (P0).</t>
      </text>
    </comment>
    <comment ref="G18" authorId="11" shapeId="0" xr:uid="{09B40CDA-A6B5-4596-8F7B-13F94F8ECF72}">
      <text>
        <t>[Kommentartråd]
Din versjon av Excel lar deg lese denne kommentartråden. Eventuelle endringer i den vil imidlertid bli fjernet hvis filen åpnes i en nyere versjon av Excel. Finn ut mer: https://go.microsoft.com/fwlink/?linkid=870924
Kommentar:
    Sentralitetsmålet bestemmer sannsynlighetsfordelingens sentralitet. Ved normalfordeling skal det aritmetiske gjennomsnittet/medianen oppgis. Ved lognormal fordeling skal det aritmetiske gjennomsnittet oppgis hvis standardavviket er valgt som spredningsmål, mens medianen skal oppgis hvis en persentil er valgt som spredningsmål. Ved triangulær fordeling kan kun modus (typetallet) oppgis som sentralitetsmål. Modus er verdien som inntreffer oftest for en stokastisk variabel, altså verdien det er størst sannsynlighet for at en variabel trekkes til ved Monte Carlo-simulering</t>
      </text>
    </comment>
    <comment ref="I18" authorId="12" shapeId="0" xr:uid="{F363B542-F080-41ED-88E6-5EC563305DF9}">
      <text>
        <t>[Kommentartråd]
Din versjon av Excel lar deg lese denne kommentartråden. Eventuelle endringer i den vil imidlertid bli fjernet hvis filen åpnes i en nyere versjon av Excel. Finn ut mer: https://go.microsoft.com/fwlink/?linkid=870924
Kommentar:
    Det andre spredningsmålet skal kun oppgis ved triangulær sannsynlighetssfordeling og består da av fordelingens maksimumsverdi (P100).</t>
      </text>
    </comment>
    <comment ref="K18" authorId="13" shapeId="0" xr:uid="{46BC401C-AA31-48F1-A5D1-606EE033C634}">
      <text>
        <t>[Kommentartråd]
Din versjon av Excel lar deg lese denne kommentartråden. Eventuelle endringer i den vil imidlertid bli fjernet hvis filen åpnes i en nyere versjon av Excel. Finn ut mer: https://go.microsoft.com/fwlink/?linkid=870924
Kommentar:
    Her kan et valgfritt sprednings- eller sentralitetsmål oppgis. Valgene og verdiene brukes ikke som input i simuleringene, men er ment for å gi brukeren nyttig informasjon om den forutsatte sannsynlighetsfordelingen.</t>
      </text>
    </comment>
    <comment ref="M18" authorId="14" shapeId="0" xr:uid="{10CE67D8-727D-43BF-8CE5-6A9AEF1F986B}">
      <text>
        <t>[Kommentartråd]
Din versjon av Excel lar deg lese denne kommentartråden. Eventuelle endringer i den vil imidlertid bli fjernet hvis filen åpnes i en nyere versjon av Excel. Finn ut mer: https://go.microsoft.com/fwlink/?linkid=870924
Kommentar:
    De eksogene variablenes opprinnelige verdi hentes fra de relevante cellene i SAGA. Verdier vil ikke oppgis hvis variabelen representerer forutsetninger som er fordelt over flere celler (f.eks. prisbanen for CO2).</t>
      </text>
    </comment>
    <comment ref="O18" authorId="15" shapeId="0" xr:uid="{48FF3B8A-AEA3-4DA7-9259-674ABBE3F262}">
      <text>
        <t>[Kommentartråd]
Din versjon av Excel lar deg lese denne kommentartråden. Eventuelle endringer i den vil imidlertid bli fjernet hvis filen åpnes i en nyere versjon av Excel. Finn ut mer: https://go.microsoft.com/fwlink/?linkid=870924
Kommentar:
    Ytterligere forklaring er forsøkt gitt for variabler som ikke er selvforklarende.</t>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<sst xmlns="http://schemas.openxmlformats.org/spreadsheetml/2006/main" count="9196" uniqueCount="2599">
  <si>
    <t>SAGA V3</t>
  </si>
  <si>
    <t>Innhold i SAGA:</t>
  </si>
  <si>
    <t>0.1 Innhold</t>
  </si>
  <si>
    <t>Generelt om SAGA og hovedformålet med verktøyet.</t>
  </si>
  <si>
    <t>0.2 Brukerveiledning</t>
  </si>
  <si>
    <t>Visuell fremstilling og brukerveiledning av hvordan SAGA fungerer og hvilke moduler og beregninger som tilhører i hvert nivå.</t>
  </si>
  <si>
    <t>0.3 Endringslogg</t>
  </si>
  <si>
    <t>Alle endringer som gjøres i SAGA skrives inn med navn og dato.</t>
  </si>
  <si>
    <t>0.4 Kilder</t>
  </si>
  <si>
    <t>Alle kilder som inngår i SAGA legges inn i denne arkfanen.</t>
  </si>
  <si>
    <t>Standardsatser - Forutsetninger</t>
  </si>
  <si>
    <t>Skjult arkfane. Hvis en sats eller forutsetning avhenger av flere komponenter, beregnes dette i denne arkfanen.</t>
  </si>
  <si>
    <t>1.1 Standardsatser</t>
  </si>
  <si>
    <t>Alle standardsatser i SAGA ligger i denne arkfanen. De skal ikke endres uten begrunnelse, og ligger fast i alle analyser.</t>
  </si>
  <si>
    <t>1.2 Forutsetninger</t>
  </si>
  <si>
    <t>Her finnes prosjektavhengige forutsetninger og standardforutsetninger som skal vurderes og fylles inn for hvert enkelt tiltak.</t>
  </si>
  <si>
    <t>1.3 Persontransportmodell</t>
  </si>
  <si>
    <t xml:space="preserve">Resultatet fra persontransportmodeller legges inn her. Typiske modeller er Trenklin og regional eller nasjonal transportmodell (RTM/NTM). </t>
  </si>
  <si>
    <t>1.4 Godsmodell</t>
  </si>
  <si>
    <t xml:space="preserve">Resultater fra nasjonal godsmodell legges inn her. </t>
  </si>
  <si>
    <t>1.5 Prognoser og indekser</t>
  </si>
  <si>
    <t xml:space="preserve">Alle nyttestrømmene blir beregnet med prognoser og indekser fra denne arkfanen. </t>
  </si>
  <si>
    <t>2.1 Trafikanter</t>
  </si>
  <si>
    <t>Den årlige endringen for trafikantene blir beregnet.</t>
  </si>
  <si>
    <t>2.2 Operatører</t>
  </si>
  <si>
    <t>Den årlige endringen for operatørene blir beregnet.</t>
  </si>
  <si>
    <t>2.3 Det Offentlige</t>
  </si>
  <si>
    <t>Den årlige endringen for det offentlige blir beregnet.</t>
  </si>
  <si>
    <t>2.4 Samfunnet for øvrig</t>
  </si>
  <si>
    <t>Den årlige endringen for samfunnet for øvrig blir beregnet.</t>
  </si>
  <si>
    <t>2.5 Investeringer + Vedlikehold</t>
  </si>
  <si>
    <t>Investeringer og drift/vedlikehold av tiltaket beregnes her.</t>
  </si>
  <si>
    <t>3.1 Nyttestrøm</t>
  </si>
  <si>
    <t>Alle nyttestrømmene blir beregnet i denne arkfanen, samt nåverdi (NNV/NNB) og restverdi blir presentert.</t>
  </si>
  <si>
    <t>3.2 Ikke-prissatte virkninger</t>
  </si>
  <si>
    <t>Støtteark for å gjennomføre analyse av ikke-prissatte virkninger.</t>
  </si>
  <si>
    <t>4.1 Resultatark</t>
  </si>
  <si>
    <t>Alle resultatene er vist i tabellformat i denne arkfanen. Det er en hovedtabell og analysetabell med relevante størrelser.</t>
  </si>
  <si>
    <t>4.1.2 Superside NTP 25-36</t>
  </si>
  <si>
    <t>Arkfane for delvis automatisk utfylling av superside.</t>
  </si>
  <si>
    <t>4.1.3 Geofordelingsmodell</t>
  </si>
  <si>
    <t>Arkfane for input til geofordelingsmodellen.</t>
  </si>
  <si>
    <t>Parametere</t>
  </si>
  <si>
    <t>Skjult arkfane. Denne arkfanen inneholder lister over parametere som kan velges i følsomhetsanalysen.</t>
  </si>
  <si>
    <t>4.2.1 Følsomhetsanalyse</t>
  </si>
  <si>
    <t>Her kan man gjennomføre følsomhetsanalyser på ulike parametere for å undersøke påvirkningen på NNV og NNB.</t>
  </si>
  <si>
    <t>4.2.2 Monte Carlo-simulering</t>
  </si>
  <si>
    <t>Her kan man gjennomføre Monte Carlo-simulering basert på ulike stokastiske forutsetninger</t>
  </si>
  <si>
    <t>4.2.3 Monte Carlo resultater</t>
  </si>
  <si>
    <t>Skjult arkfane. Resultater fra Monte Carlo-simulering lagres her.</t>
  </si>
  <si>
    <t>4.3.1 Tversnittfigurer</t>
  </si>
  <si>
    <t>Tidsseriedata fra analysen vises i tidsseriediagrammer.</t>
  </si>
  <si>
    <t>4.3.1 Data_Tverrsnittfigurer</t>
  </si>
  <si>
    <t xml:space="preserve">Skjult arkfane. Mellomberegninger for figurer i 4.3.1 Tverrsnittfigurer. </t>
  </si>
  <si>
    <t>4.3.2 Tidsseriefigurer</t>
  </si>
  <si>
    <t>Resultater vises i tverrsnittdiagrammer.</t>
  </si>
  <si>
    <t>4.3.2 Data_Tidsseriefigurer</t>
  </si>
  <si>
    <t>Skjult arkfane. Mellomberegninger for figurer i 4.5 Tidsseriefigurer.</t>
  </si>
  <si>
    <t>Endringslogg</t>
  </si>
  <si>
    <t>Navn</t>
  </si>
  <si>
    <t>Dato</t>
  </si>
  <si>
    <t>Versjon</t>
  </si>
  <si>
    <t>Navn på fil</t>
  </si>
  <si>
    <t>Hva er endret</t>
  </si>
  <si>
    <t>Malene Nerland</t>
  </si>
  <si>
    <t>SAGA V1</t>
  </si>
  <si>
    <t>Første versjon av SAGA</t>
  </si>
  <si>
    <t>1.1</t>
  </si>
  <si>
    <t>SAGA V1.1</t>
  </si>
  <si>
    <t>"1.2 Forutsetninger": Det er gjort endring i CRF formelen, som påvirker avskrivningen av materiellkostnader for togsett, rekkefølgen på prosjektavhengige forutsetninger har også blitt endret. Det er gjort endring i formel for rente og avskrivning i "2.2 Operatører", det lå inne referanse i tiltaksberegningen. Gjort noen justeringer på tekst i "0.1 Innhold" og "0.3 Endringslogg". Lagt inn serievolumvekstperson for vedlikehold av jernbane i "3.1 Nyttestrøm".</t>
  </si>
  <si>
    <t>1.2</t>
  </si>
  <si>
    <t>SAGA V1.2</t>
  </si>
  <si>
    <t>"1.2 Forutsetninger": Inflasjonsmålet (fremtidig KPI) er endret fra 2,5 % til 2 %. Moms på billettinntekter er endret  fra 10 % til 12 %. Det er gjort endringer i valg av modellresultater og farger for betinget formatering (påvirker ikke resultatet). Skrevet om tekst i informasjonsboksen "1.1 Standardsatser": Celler er fryst for bedre brukeropplevelse. "4.1 Resultatark": Lagt inn Hvis formel på % endring for ulike resultater slik at det ikke skal bli feilmelding når det ikke er lagt inn noen resultater, men det blir 0. Endret navn på skjult ark til "mellomberegning satser-forutsetninger".</t>
  </si>
  <si>
    <t>1.3</t>
  </si>
  <si>
    <t>SAGA V1.3</t>
  </si>
  <si>
    <t>"Standardsatser-forutsetninger": Energikostnad for togene er oppdatert med en ny pris per kWh. «1.1 Standardsatser»: Beregning av energikostnad for Type 72 og Oaris var byttet om med hverandre, endret slik at det ble riktig.  "1.2 Forutsetninger": Endret og tatt vekk tabellen med forutsetninger til Trenklin. Flyttet virkninger per døgn (het før døgntrafikk) forutsetningen under prosjektavhengige forutsetninger og moms på billettinntekter under generelle forutsetninger.  Lagt til forutsetning om siste år med realprisjustering. Endret navn på "sammenligningsår/diskonteringsår" til "Diskonteringsår". Flyttet oppstartsår til å stå over åpningsår. Skilt forutsetningen åpningsår og første beregningsår, og gjort endringer i formler som følge av forskjell på åpningsår og første beregningsår. Dette gjelder i samme arkfane, og alle andre arkfaner som blir påvirket. "1.5 Prognoser og indekser": Forenklet formel karbonprisbane.   Realprisjustering gjøres med informasjon fra siste perspektivmelding frem til 2060. Deretter går veksten gradvis mot 0 i år 2100. Trafikkvekst for gods- og persontransport følger prognoser fram til 2050, etter dette går veksten gradvis mot 0 i år 2100.  "2.2 Operatører": Formelen for punktlighet endret til å bare inkludere lønnskostnader og ikke energikostnader. "4.1 Resultat": Endret inndelingen til aktørene (påvirker ikke resultatet). Flyttet investeringskostnader under aktøren "Det offentlige". Flyttet helsevirkninger fra "samfunnet for øvrig" til "trafikanter". Endret navn i resultattabell fra "(Brutto NNV - Investeringer)" til "(NNV)". Generelt: Endret beskrivelsen av "Tredjepart" til "Samfunnet for øvrig".</t>
  </si>
  <si>
    <t>1.4</t>
  </si>
  <si>
    <t>SAGA V1.4</t>
  </si>
  <si>
    <r>
      <t>"Standardsatser-forutsetninger": Endret sporavgiften og alle de andre avgiftene til 2018 kroner. "1.1 Standardsatser": Oppdatert prisjustering med formler fra arkfane "1.5 prognoser og indekser", alle priser justert til 2017 kroner.  "1.2 Forutsetninger": Endret navn på</t>
    </r>
    <r>
      <rPr>
        <i/>
        <sz val="11"/>
        <rFont val="Calibri"/>
        <family val="2"/>
        <scheme val="minor"/>
      </rPr>
      <t xml:space="preserve"> kroneår i innlagte satser </t>
    </r>
    <r>
      <rPr>
        <sz val="11"/>
        <rFont val="Calibri"/>
        <family val="2"/>
        <scheme val="minor"/>
      </rPr>
      <t xml:space="preserve">til </t>
    </r>
    <r>
      <rPr>
        <i/>
        <sz val="11"/>
        <rFont val="Calibri"/>
        <family val="2"/>
        <scheme val="minor"/>
      </rPr>
      <t>siste statistikkår, siste statistikkår</t>
    </r>
    <r>
      <rPr>
        <sz val="11"/>
        <rFont val="Calibri"/>
        <family val="2"/>
        <scheme val="minor"/>
      </rPr>
      <t xml:space="preserve"> er endret fra 2016 til 2017 kroner på grunn av oppdatert statistikk. Endret betinget formatering til å være avhengig av førsteberegningsår i stedet for åpningsår. Vil bare påvirke hvordan fargene endrer seg i ulike arkfaner som er betinget på denne forutsetningen. Endret navn på komponent innenfor investering fra Elektroanlegg til Lavspenning. "1.5 Prognoser og indekser": Gjort forenklinger i formler og slettet rader som ikke ble brukt. Tatt vekk 2009 teksten i karbonprisbanen (vet ikke hvorfor det stod at det var 2009, det er 2013 kroner). Oppdatert statistikk for KPI, Reallønn, BNP og BKI til 2017 som fører til at siste statistikkår er 2017.  "2.3 Det offentlig": Endret overskrift fra infrastrukturavgifter til avgifter. "3.1 Nyttestrøm": Funnet feil i nyttestrøm formler for det offentlige og tredjepart som henviser til årstall, er rettet opp.  </t>
    </r>
  </si>
  <si>
    <t>SAGA V2</t>
  </si>
  <si>
    <t xml:space="preserve">Lagt inn arkfane for diagram, "4.2 Diagram". Lagt inn arkfane for følsomhetsanalyse. Er makrokoding med resultater i "4.3 Følsomhetsanalyse". "1.2 Forutsetninger": Endret formel for antall år investeringer, skal foredeles med  minimum  1 år. "1.3 Persontransportmodell": Endret rekkefølge for passasjerkm, fra By, Land, Tettbygd strøk til By, Tettbygd strøk, Land. Endret alle referanser som har vært basert på denne inndelingen. "1.5 Prognoser og indekser": Funnet feil i C21, det var ikke mulig å legge inn kroneår for investeringskostnader som var et årstall etter siste statistikk år. Rettet opp til at året for investering_kroneår kan være etter SistestatistikkÅr, men automatisk 100 %. Sistestatistikkår må oppdateres januar hvert år. "2.4 Samfunnet for øvrig": Funnet feil i C59. Stod multiplisert, men skal deles på 1000. Dette er endret til riktig, delt på 1000. "2.5 Invetsering + Vedlikehold": Endret formel for vedlikeholdskostnad. Det var inne en feil som gjorde at det ble feilmelding når tiltaket hadde en levetid på under 75 år. Endret fra "" til 0 slik at formelen under endring summerte seg. </t>
  </si>
  <si>
    <t>2.1</t>
  </si>
  <si>
    <t>SAGA V2.1</t>
  </si>
  <si>
    <t>Endret overskrifter i VBA-koden for følsomhetsanalysen. Påvirker ikke beregningene. "1.3 Persontransportmodell": Endret rekkefølge til By, tettbygd strøk og land for buss beregningsår 1. Var en skrivefeil fra forrige gang, påvirker ikke resultatet. "Standardsatser-Forutsetninger": For vedlikeholdskostnader er benevningen for slitasje endret til kr/togkm og ikke per år. "4.1 Resultatark": Endret inndeling for skadde for bil og lastebil til hardt skadet og lettere skadet under sikkerhetseffekter. Påvirker ikke det totale resultatet, men gjør det enklere å se forskjell på skadegrad (hardt og lettere skadet).</t>
  </si>
  <si>
    <t>2.2</t>
  </si>
  <si>
    <t>SAGA V2.2</t>
  </si>
  <si>
    <t>"0.2 Struktur og brukerveiledning": Tatt vekk undertekst (prosjektuavhengig og prosjektavhengig) i illustrasjon. "Standardsatser-Forutsetninger": Endret helseeffekt verdiene for gående og syklende. "1.1 Standardsatser": Endret begrepsbruken fra helsegevinster til helseeffekter og endret kilden til hvor disse tallene er hentet fra etter oppdateringen i "Standardsatser-Forutsetninger"."1.5 Prognoser og indekser": Oppdatert statistikk fra SSB for 2018 for KPI, BKI, Reallønn og BNP. "1.2 Forutsetninger": SisteStatistikkÅr er endret til 2018 basert på den oppdaterte statistikken fra SSB som er fylt ut i arkfane "1.5 Prognoser og indekser".  "1.2 Forutsetninger": Implementert mulighet for å legge inn kroneår for verdier for tidskostnader, takst og transportkostnader som er beregnet i transportmodellen/transportanalysen/godsmodellen. "1.5 Prognoser og indekser": For å kunne legge inn annet kroneår for tidskostnader og takster fra transportmodell/transportanalyse og transportkostnader for gods er det lagt til en del nytt under denne arkfanen. Under «faktorer for statistikk og prognose» er det lagt inn SerieRealprisjustering_Tid for bruk til å realprisjustere tidskostnadene (trafikantnytte for togreisende og andre transportmidler). Det er lagt inn KPI justering for tidskostnader, takster og transportkostnader for gods (23:25). Formelen for KPI justering investeringskostnader er endret så det er en mer fleksibel formel slik at det er mulig å legge inn kroneår for investeringskostnader som er et årstall etter SisteStatistikkÅr. En slik fleksibel formel gjelder for alle formlene for KPI justering og reallønn justering. Under «Statistikk og prognoser» er det lagt inn KPI indeks og Reallønn Indeks for bruk i beregning av KPI justering og Reallønn justering. «3.1 Nyttestrøm»: Det er lagt inn KPIJustering_Tid og SerieRealprisjustering_Tid for rad (12:20). Det er lagt inn KPIJustering_Gods for rad (22) og KPIJustering_Takst for rad (27). "4.1 Resultatark": Endret tekstlige forklaringer i arkfanen og endret benevning for klima og miljø til kroner siden det bare er for ett år.</t>
  </si>
  <si>
    <t>2.3_Beta1</t>
  </si>
  <si>
    <t>SAGA V2.3_Beta1</t>
  </si>
  <si>
    <t>NB: Ikke publisert. Det er gjort en del tilpasninger i verktøyet etter utkast levert fra TØI om marginale eksterne kostnader som er gjennomført i den tverretatlig gruppen for Samfunnsøkonomi/transportanalyse og Godsgruppen. Rapporten fra TØI er ikke ferdigstilt, og det er antatt at det vil være noe justering av støysatsen i endelig rapport. Denne versjonen (Beta 1) har heller ikke tatt med enring for drift og vedlikehold på jernbanen. Satsene for drift og vedlikehold fra TØI rapporten er per km og det må gjøres en større tilpasningsjobb i SAGA. Det lages derfor en Beta 1 versjon som ikke er en offentlig SAGA versjon, men som benyttes i analyser som skal gjennomføres før vi får endelig rapport. Denne versjonen er heller ikke tilstrekkelig kvalitetssikret, så det kan forekomme feil. Det har vært spesielt vanskelig å tilpasse ny karbonpris og teknologiutvikling i arkfanen "3.1 Nyttestrøm" under Globale utslipp - CO2. Det er noe rart med lineær vekst hvis dette alternativet velges, men vil ikke påvirke analysen hvis vekstprognosen brukes. De som benytter Beta 1 versjon bør være oppmerksom på dette. Er lagt inn makrokode "Module 1" som skal lese ut tall fra access resultatfil fra RTM. Det er gjort noen forenklinger forløpig, blant annet er det bare mulig å ta ut for ett beregningsår. Det er behov for å kopi-paste tallene for de andre beregningsårene siden resultatene for de ulike beregningsårene leses inn i samme celler.</t>
  </si>
  <si>
    <t>2.3_Beta2</t>
  </si>
  <si>
    <t>SAGA V2.3_Beta2</t>
  </si>
  <si>
    <t xml:space="preserve">NB: Ikke publisert. "3.1 Nyttestrøm": Funnet en feil formelen for den relative vekstraten for første beregningsår for CO2 for passasjerfly og lastebil, endret. Påvirker ikke resultatet. Endret fortegn med minus for resultatene for Det offentlige - avgifter, det var ikke lagt inn før, men vi så det ble feil likevel, så endret til slik det var opprinnelig i V2.2.  </t>
  </si>
  <si>
    <t>2.3_Beta3</t>
  </si>
  <si>
    <t>SAGA V2.3_Beta3</t>
  </si>
  <si>
    <t>NB: Ikke publisert. "Standardsatser-Forutsetninger": Oppdatert med endring i CO2utslipp for skip for 2018, 2030 og 2050, som påvirker SerieCO2krkm_Skip. Det er lagt inn NOx kr/fatøykm, SO2 kr/fatøykm og PM10 kr/fatøykm for skip."1.1 Standardsatser": Etter en ny versjon av rapport om MEK mottatt 19.06 er det lagt inn oppdaterte satser for støy og ulykker, det er også oppdatert med nye satser for lokale utslipp og ulykker for skip.  "1.2 Forutsetninger": Tabell om "Forutsetninger (Fylles ut ved bruk av RTM/NTM)" er tatt vekk, er ikke i bruk når den nye makrokoden for uttak av RTM/NTM resultater er lagt inn i SAGA. "2.4 Samfunnet for øvrig": Endret formel for beregning av tonn CO2 utslipp for alle transportformene så det ligger inne med utslipp som er avhengig av hvilket år det skjer. Påvirker ikke resultatet i kroneverdier. Lagt inn at endring i ulykkeskostnad for skip er ganget med fartøykm i stedet for tonnkm siden de nye satsene som er lagt inn er for fartøykm. Mangler i denne oppdatering: Endring i drift/vedlikehold og reinvestering for tog. Det kreves en større tilrettelegging i SAGA som ikke er mulig å gjennomføre nå.</t>
  </si>
  <si>
    <t>2.3</t>
  </si>
  <si>
    <t>SAGA V2.3</t>
  </si>
  <si>
    <t>Generelt: Lagt inn makrokode HentData for innlesing av RTM/NTM uttak for flere beregningsår. "Standardsatser-Forutsetninger": Oppdatert med endring i CO2utslipp for skip for 2018, 2030 og 2050, som påvirker SerieCO2krkm_Skip. Det er lagt inn NOx kr/fartøykm, SO2 kr/fartøykm og PM10 kr/fartøykm for skip."1.1 Standardsatser": Lagt inn nye tidsverdier fra verdsettingsstudien. Det er nå tre inndelinger, under 70 km, mellom 70 og 200 km og over 200 km. Det er lagt inn nye verdier for kø, slitasje for andre transportmidler, ulykker, støy, utslipp til luft og karbonpris. Drift/vedlikehold og reinvestering for tog er ikke oppdatert foreløpig. "1.2 Forutsetninger": Tabell om "Forutsetninger (Fylles ut ved bruk av RTM/NTM)" er tatt vekk, er ikke i bruk når den nye makrokoden for uttak av RTM/NTM resultater er lagt inn i SAGA. Linker til trafikkvolumer for persontog under "Standardsatser-Forutsetninger" slik at prosenten hentes fra mellombergeningene i stedet for å stå inne i en formel. Endret formlene slik at de leser av "" - tom celle og endret rekkefølge i hvor det står i HVIS formel. Lagt inn nye vekter for tidskostnader for de reisende, disse vektene benyttes ikke direkte i SAGA. Fra TØI-rapport "Skadekostnader ved transport" er en del forutsetninger for ulykkesfrekvens, utslipp, utslippsfaktor og drivstofforbruk endret slik at det er lik det TØI la til grunn for utregning av ulike enhetssatser. Disse forutsetningene påvirker blant annet avgifter under «1.1 Standardsatser» siden drivstofforbruket er noe endret.   "1.4 Godsmodell": Navnebehandling - Det er endret navn på cellene som bruker input som er oppgitt i millioner. Detter gjelder alle endringer i km, tonn, tonnkm og kroner fra godsmodellen. "1.5 Prognoser og indekser": Lagt inn Karbonprisbane for hovedalternativ (som er det samme som de satsene som ligger i "1.1 Standardsatser", men gjort om til riktig kroneår) og følsomhet. Det er lagt inn Co2-utslipp og Co2-pris for alle transportmidler. "2.4 Samfunnet for øvrig": Gjort tilpasning av Co2 prisen slik at karbonprisbanen benyttes. Gjort flere tilpasninger i formel for Co2 slik at det skal bli riktig.  Endret formel for beregning av tonn CO2 utslipp for alle transportformene så det ligger inne med utslipp som er avhengig av hvilket år det skjer. Påvirker ikke resultatet i kroneverdier. Lagt inn at endring i ulykkeskostnad for skip er ganget med fartøykm i stedet for tonnkm siden de nye satsene som er lagt inn er for fartøykm. "3.1 Nyttestrøm": Gjort tilpasning av formel for CO2 beregningen - den var feil og tok med karbonprisbanen dobbelt. Dette påvirket ikke analysen så mye når CO2-prisen var lav, men feilen ble oppdaget når det ble jobbet med implementering av ny karbonprisbane. Har også rettet formelen for lineær vekst for CO2-utslipp, ved at den nå gjengir volumvekst i utslipp (uavhengig av CO2-prisbanen). Videre er en feil i nyttestrømmene for CO2-utslipp rettet (i årene etter siste beregningsår ble tidligere lineær vekst ikke beregnet riktig). Har også gjort enkelte mindre forkortinger/forenklinger i CO2-formlene. Relativ årsvekst kunne tidligere ikke beregnes når verdiene i beregningsårene hadde ulike fortegn. Dette er nå rettet ved å legge til et mellomregningsledd (1,1*(abs(x1)+abs(x2))) i formlene. Nyttestrømmene er justert for å hensynta dette. "4.1 Resultatark": Lagt inn informasjon om lettere skadet for jernbane.</t>
  </si>
  <si>
    <t>2.4</t>
  </si>
  <si>
    <t>SAGA V2.4</t>
  </si>
  <si>
    <t xml:space="preserve">Generelt: Endret kontaktperson for SAGA til Øystein Rembar. "0.2 Struktur og brukerveiledning": Lagt inn ny informasjon om RTM/NTM siden vi benytter makroen og ikke scriptet. "1.2 Forutsetninger": Rettet en skrivefeil - innspill. Lagt inn mulighet for å fylle inn Skalering til årlige virkninger - Togmateriell (AntallDøgn_Materiell) når resultatene fra transportmodellen er skalert på utsiden av SAGA. Oppdatert drivstofforbruk for type 93 og Di4 etter ny informasjon fra Vy.  "1.5 Prognoser og indekser": Endret formel for CO2-utslipp fra tog til å være 0 fra 2050 og utover for person og gods.  "2.2 Operatører": Endret formel for klargjøring og renhold så det henter AntallDøgn_Materiell. "2.4 Samfunnet for øvrig": Endret formel for tog til å hente beregning av CO2 utslipp fra SerieCO2krkm og SeirieCO2utslipp, slik som det er for de andre transportformene. Endret formel 67C/D/E slik at det ikke er delt på 1000 siden det allerede er oppgitt i millioner tonn. «3.1 Nyttestrøm»: Det er rettet opp en feil i nyttestrømsformelen som brukes når fortegnet endrer seg mellom beregningsårene. Feilen ville gitt feil resultater i tilfeller hvor fortegnet endret seg. Det er lagt inn justering av formlene for CO2-variablene, slik at det nå er mulig å beregne nyttestrømmen i tilfeller hvor fortegnet endrer seg. Nye kolonner ("Resultater volum") som benyttes når både enhetskostnad og volum endres over tid. Dette er foreløpig kun av betydning for CO2-variablene (hvor både kostnaden per kjørte km og antall kjørte km kan endre seg over tid). "4.1 Resultatark": Forenklet formlene med delsum, påvirker ikke beregningene. Endret formel for endring i antall biler på vegen så det henter AntallDøgn_Materiell. "Parameter": Endret rangen for Co2KvotePriser_Opprinnelig til å gjelde de nye kvoteprisene slik at følsomhetsmodulen fungerer riktig. </t>
  </si>
  <si>
    <t>Øystein Rembar</t>
  </si>
  <si>
    <t>2.5</t>
  </si>
  <si>
    <t>SAGA V2.5</t>
  </si>
  <si>
    <t>"3.1 Nyttestrøm": Har satt parentes rundt de ulike lastebilene i G62:I62, slik at fortegnet blir riktig. Har konsekvens for godsberegninger.</t>
  </si>
  <si>
    <t xml:space="preserve"> </t>
  </si>
  <si>
    <t>"1.1 Standardsatser": Har oppdatert gjennomsnittlig ulykkeskostnad i E207:E209 (disse var tidligere ved en feil oppgitt i 2012-kr). Ingen konsekvens for beregninger.</t>
  </si>
  <si>
    <t>Flere faner: Togtype 74BMU har endret navn til type 76, og flytogene til type 78. Type 75D er fjernet, og type 77 er lagt til.</t>
  </si>
  <si>
    <t>"3.1 Nyttestrøm": Har forenklet formlene for relativ årsvekst og nyttestrømmene noe. Ingen konsekvens for beregninger.</t>
  </si>
  <si>
    <t>"1.5 Prognoser og indekser": Har forenklet formlene for prisjustering til felles kroneår (C35:C40). Ingen konsekvens for beregninger.</t>
  </si>
  <si>
    <t>"1.5 Prognoser og indekser": Har lagt til KPI-justering ("Fremtidig_KPI") i BNP-indeksen i rad 52 og BKI i rad 53. Dette fordi disse skal vise nominell utvikling. Begge brukes kun i "1.1 Standardsater" for å prisjustere fra opprinnelig kroneår til siste statistikkår. Mindre konsekvens for beregninger.</t>
  </si>
  <si>
    <r>
      <t xml:space="preserve">"1.2 Forutsetninger": Har endret navn på C22 fra </t>
    </r>
    <r>
      <rPr>
        <i/>
        <sz val="11"/>
        <rFont val="Calibri"/>
        <family val="2"/>
        <scheme val="minor"/>
      </rPr>
      <t>Skattefinansieringseffekt</t>
    </r>
    <r>
      <rPr>
        <sz val="11"/>
        <rFont val="Calibri"/>
        <family val="2"/>
        <scheme val="minor"/>
      </rPr>
      <t xml:space="preserve"> til </t>
    </r>
    <r>
      <rPr>
        <i/>
        <sz val="11"/>
        <rFont val="Calibri"/>
        <family val="2"/>
        <scheme val="minor"/>
      </rPr>
      <t>Skattefinansieringsfaktor_utbytte</t>
    </r>
    <r>
      <rPr>
        <sz val="11"/>
        <rFont val="Calibri"/>
        <family val="2"/>
        <scheme val="minor"/>
      </rPr>
      <t>.</t>
    </r>
  </si>
  <si>
    <t>"Standardsatser-Forutsetninger": Har lagt inn avgifter for 2020 (til staten og sporavgift)</t>
  </si>
  <si>
    <t>"Standardsatser-Forutsetninger": Har lagt inn skattesatser for 2020 (marginalskatt godsoperatører)</t>
  </si>
  <si>
    <t>"1.2 Forutsetninger": Passasjerbelegg for buss er oppdatert</t>
  </si>
  <si>
    <t>Nivå 0-faner: Fjernet fanen "0.4 Definisjoner" ("Kilder" blir da ny fane 0.4). Endret navn på fane 0.2 fra "Struktur &amp; brukerveiledning" til "0.2 Brukerveiledning".</t>
  </si>
  <si>
    <t>Tormod Wergeland Haug</t>
  </si>
  <si>
    <t>"1.2 Forutsetninger": Endret navngivning i nedtrekksmeny for hvilken modell som er benyttet</t>
  </si>
  <si>
    <t>"1.2 Forutsetninger": Endret beskrivelsen av punktlighet.</t>
  </si>
  <si>
    <t>"1.1 Standardsatser" og "Standardsatser-Forutsetninger": Har oppdatert beregning av ulykkeskostnader med veid snitt. Gir betydelig redusert kostnad for lette lastebiler, litt red. for tunge lastebiler og noe økt for skip.</t>
  </si>
  <si>
    <t>"1.2 Forutsetninger", "Standardsatser-Forutsetninger" og "4.1 Resultatark": Ulykkesfrekvens er oppdatert. Har lagt inn buss og skip, og endret inndelingen mellom tung og lett lastebil (så frekvensen samsvarer med kostnadene). Bilulykker beregnes nå med kjøretøykm (isf. personkm).</t>
  </si>
  <si>
    <t>"1.3 Persontransportmodell": Fjernet raden for trengsel, ettersom denne ikke brukes i verktøyet.</t>
  </si>
  <si>
    <t>"1.5 Prognoser og indekser": Oppdatert befolkningsprognose.</t>
  </si>
  <si>
    <t>"1.1 Standardsater": Lagt inn nye tidsverdier og gruppert radene i arkfanen.</t>
  </si>
  <si>
    <t>Flere faner: Endret benevning "tung lastebil" til "tung lastebil og modulvogntog"</t>
  </si>
  <si>
    <t>"1.5 Prognoser og indekser": Oppdatert grunnprognosene for person- og godstransport.</t>
  </si>
  <si>
    <t>"1.1 Standardsatser": Lagt inn ny karbonprisbane (1 500 kr i 2020, realprisjustering med diskonteringsraten). Har fjernet 25- og 75 %-persentiler fra 1.5 Prognoser og indekser.</t>
  </si>
  <si>
    <t>Flere faner: Har lagt inn bane for utvikling i CO2-avgiften, og mulighet for å realprisjustere denne (dette velges i 1.2 Forutsetninger). Avgiften er skilt ut fra øvrige avgifter, og hensyntar elektrifisering av kjøretøyparken. I nyttestrømsarket interpoleres volumveksten isolert fra prisveksten (tilsvarende som for CO2-utslipp under "Samfunnet for øvrig"). Gitt at man velger å realprisjustere, gir endringen to effekter som trekker i hver sin retning; 1) realprisjusteringen gir økte avgifter over tid, mens 2) elektrifisering gir reduserte avgifter over tid. Samlet sett er det derfor ikke gitt hvordan endringen slår ut i den enkelte analyse.</t>
  </si>
  <si>
    <t>"3.1 Nyttestrøm": Fjernet skattefinansieringseffekten på CO2-avgiften.</t>
  </si>
  <si>
    <t>Haakon Gjersum</t>
  </si>
  <si>
    <t>"3.1 Nyttestrøm": Endret fra person- til godsprognose for logistikkostnader.</t>
  </si>
  <si>
    <t>"1.2 Forutsetninger": Lagt inn varslingsmakro i for når oppstartsår settes senere enn åpningsår.</t>
  </si>
  <si>
    <t>Adrian Balachandran</t>
  </si>
  <si>
    <t>2.5.1</t>
  </si>
  <si>
    <t>SAGA V2.5.1</t>
  </si>
  <si>
    <t>Makrokode for overføring av transportmodelldata fra RTM/NTM er fikset (var feil i V2.5 pga. fjerning av rad for trengsel i fane 1.3).</t>
  </si>
  <si>
    <t>"3.1 Nyttestrøm": Fremskrivning etter siste beregningsår av CO2-effekter og avgifter for gods er endret fra å være basert på grunnprognosen for persontransport til grunnprognosen for godstransport.</t>
  </si>
  <si>
    <t>"2.1 Trafikanter": Fjernet NTM fra formler for køkostnader.</t>
  </si>
  <si>
    <t>Generelt: Endret kontaktperson for SAGA til Haakon Gjersum.</t>
  </si>
  <si>
    <t>"3.1 Nyttestrøm": CO2-utslipp fra skip er endret fra å beregnes med utgangspunkt i trafikk mellom norske havner ("InnlandSkip") til total skipstrafikk ("Skip"). CO2-avgiftene fra skip er endret til å kun beregnes med utgangspunkt i skipstrafikk mellom norske havner (altså ikke interansjonal trafikk).</t>
  </si>
  <si>
    <t>Haakon Gjersum/Oslo Economics</t>
  </si>
  <si>
    <t xml:space="preserve">Laget visualiseringer for tversnittfigurer og tidsseriedata i arkene "4.3 Tversnittfigurer" og "4.4 Tidsseriefigurer". Figurene henter data fra de to skjulte arkene "4.3.1 Data_Tversnittfigurer" og "4.4.1 Data_Tidsseriedata". Endringene er dokumentert i egen rapport lagret i prosjektrommet. Se her for sårbarheter ift endringer i SAGA. Spesielt endringer i cellenavn kan føre til feil i figurmodulene. </t>
  </si>
  <si>
    <t>2.6</t>
  </si>
  <si>
    <t>SAGA 2.6</t>
  </si>
  <si>
    <t>Rettet beregningen av nytte for andre transportmidler. Før var kø personbil og lastebil slått sammen og man fikk ikke med gevinsten av færre lastebiler hvis celle c42 i 1.2 forutsetninger ikke ble inkludert, samtidig som begge nytte-elementene ble justert med "volumvekst person". Nå er køgevisnt fra lastebiler tatt ut og justeres med godsprognose. Dette fører til mindre endring i beregning av køgevinst.</t>
  </si>
  <si>
    <t>Har endret utviklingsbanen for utslipp per km for lastebil så den er flat før den avtar i 2034. Tidligere økte den litt pga innfasing av MVT, uten å ta høyde for økt tonn per kjøretøy i MVT. Nå er den 1,14 til den begynner å avta.</t>
  </si>
  <si>
    <t>Henning Wahlquist</t>
  </si>
  <si>
    <t>SAGA V2.7</t>
  </si>
  <si>
    <t>Videreutviklet følsomhetsmodul i SAGA: Feilrettet og gjort mindre endringer i verktøyet for følsomhetsanalyse knyttet til "4.2.1 Følsomhetsanalyse". Utviklet funksjonalitet for Monte Carlo-simulering. Simulering styres fra arket, "4.2.2 Monte Carlo-simulering".</t>
  </si>
  <si>
    <t>2.7</t>
  </si>
  <si>
    <t>Saga V2.7</t>
  </si>
  <si>
    <t>Endret slitasjekostnader basert på SINTEF(2021) Gjennomgang av slitasjekostnader for godstransport på jernbane og veg</t>
  </si>
  <si>
    <t xml:space="preserve">Skilt lette og tunge lastebiler i co2 avgift og utslipp. </t>
  </si>
  <si>
    <t>Lagt inn funksjonalitet for utslipp i byggefase. I resultatark. Splittet "investering og reinvestering" og skilt ut "Endringer i materiell persontog" fra "Endring i drift, avgifter og persontog".</t>
  </si>
  <si>
    <t>Rettet Nox utslipp for gods jernbane i 2.4 samfunnet for øvrig. Trafikkarbeidet er i mill. og sats for utslipp i g/kjtkm. Multiplisert med 1000 for å få kg nox.</t>
  </si>
  <si>
    <t>Endret fremtidig vekst i BNP ihht Perspektivmeldingen 2021</t>
  </si>
  <si>
    <t>Endret kontaktperson for SAGA til Tormod Wergeland Haug</t>
  </si>
  <si>
    <t>"1.2 Forutsetninger" Oppdatert standard reisehensiktsfordeling og bilbelegg basert på RVU 2019</t>
  </si>
  <si>
    <t>"1.2 Forutsetninger" Oppdatert bilpark etter drivstofftype til 2020 registerdata fra SSB</t>
  </si>
  <si>
    <t>Anders Halvorsen</t>
  </si>
  <si>
    <t>"4.3 Tverrsnittfigurer" og "4.4 Tidsseriefigurer" er oppdatert med endringer i V2.7 og enkelte andre justeringer. Oslo Economics har utvidet dokumentasjonen av figurmodulen for å lette figuroppdateringer i fremtidige SAGA-versjoner. Inndataarkene 4.3.1 og 4.4.1 er skjult.</t>
  </si>
  <si>
    <t>Endret en del formler i "2.2 Operattører" for å unngå #REF-feil når man gjør godsanalyser.</t>
  </si>
  <si>
    <t>Endret lagt inn en enkel interpolasjon i utslipsbanen for lastebilutslipp (rad 70 i "prognoser og indekser") for å glatte ut banen mellom år 2050 og 2051</t>
  </si>
  <si>
    <t>Lagt til et felt med beskrivelse av parametere i "4.2.1 Følsomhetsanalyse"</t>
  </si>
  <si>
    <t xml:space="preserve">Mai Brit Svendsen </t>
  </si>
  <si>
    <t xml:space="preserve">Lagt til ny link for kilden NSB(2015) ettersom den nå tilhører vy.no </t>
  </si>
  <si>
    <t xml:space="preserve">Endret fra 75% rabatt til 0% rabatt på sporavgiften til godstog. </t>
  </si>
  <si>
    <t xml:space="preserve">Oppdaterte flybelegget fra 50 personer i gjennomsnitt til 56. Basert på Avinors trafikkstatistikk for 2019. </t>
  </si>
  <si>
    <t xml:space="preserve">Oppdaterte "1.1 Standardsatser" og "1.5 Prognoser og indekser" med ny CO2-avgiftsbane, og realprisjusterte den med kalkulasjonsrenten. </t>
  </si>
  <si>
    <t xml:space="preserve">Oppdaterte "1.1 Standardsatser" og "1.5 Prognoser og indekser" med ny karbonprisbane, samt la inn alternativ for lav og høy karbonprisbane. </t>
  </si>
  <si>
    <t xml:space="preserve">Oppdaterte "1.1 Standardsatser" og "1.5 Prognoser og indekser" med prisbane for opptak og utslipp i skog og arealbruk. </t>
  </si>
  <si>
    <t xml:space="preserve">La inn CO2-utslipp fra arealbeslag i "1.2 Forutsetninger", "1.5 Prognoser og indekser", "2.5 Investeringer + vedlikehold", "3.1 Nyttestrøm" og "4.4.1 Data_Tidsseriefigurer". </t>
  </si>
  <si>
    <t>Mari Baklund Størseth</t>
  </si>
  <si>
    <t>La inn CO2-utslipp fra arealbeslag og i byggefasen i beregningen av "Skattefinansieringeffekt av det offentlige" i arket "3.1 Nyttestrøm".</t>
  </si>
  <si>
    <t xml:space="preserve">Lagt inn valg av karbonprisbane i "1.2 Forutsetninger" og endring av bane for linje 15 i "1.5 Prognoser og indekser" </t>
  </si>
  <si>
    <t xml:space="preserve">Lagt inn valg av karbonprisbane i "1.2 Forutsetninger" og endring av bane for linje 18 i "1.5 Prognoser og indekser" </t>
  </si>
  <si>
    <t xml:space="preserve">Endret betinget formatering for skalering til årlige virkninger- togmateriell i "1.2 Forutsetninger". Cellen blir  grønn (og skal fylles inn) dersom det er en endring i enten togtype (celle E75) eller togsett (celle E79), eller begge. </t>
  </si>
  <si>
    <t xml:space="preserve">Lagt inn valg for rabatt for sporavgiften til godstog i "1.2 Forutsetninger" og endret i "Standardsatser-Forutsetninger". </t>
  </si>
  <si>
    <t xml:space="preserve">Lagt inn en komprimert tabell for resultater i "4.1 Resultatark". </t>
  </si>
  <si>
    <t xml:space="preserve">Lagt inn kategorien "annen" under levetid for komponenter og under andel av investeringskostnaden i "1.2 Forutsetninger", og oppdatert formelen i "2.5 Investeringer + vedlikehold". </t>
  </si>
  <si>
    <t xml:space="preserve">Oppdatert tidsverdier for reisende i "1.2 Forutsetninger". </t>
  </si>
  <si>
    <t xml:space="preserve">Oppdatert sporavgiften for persontog i henhold til Network Statement 2022, i "Standardsatser-Forutsetninger" og "1.1 Standardsatser". </t>
  </si>
  <si>
    <t xml:space="preserve">Lagt inn mulighet for å endre andelen tomtogkjøring mellom referanse og tiltak i "1.2 Forutsetninger" og endret formelen i "1.3 Persontransportmodell". </t>
  </si>
  <si>
    <t>Separert køkostnader og nytte for andre transportmidler i "3.1 Nyttestrøm" slik at nytte som følge av redusert trafikk (køkostnader) bruker KPIJustering og SerieRealprisjustering, mens annen nytte bruker KPIJustering_Tid og SerieRealprisjustering_Tid. Summeringen i "4.1 Resultatark" er også oppdatert.</t>
  </si>
  <si>
    <t xml:space="preserve">Fikset formelen for CRF i "1.2 Forutsetninger". </t>
  </si>
  <si>
    <t>Lagt inn ny arkfane 3.2 Ikke-prissatte virkninger for mulighet til å inkludere resultatark fra IPV-vurderinger.</t>
  </si>
  <si>
    <t>Lagt inn støykostnader for gods som går om natten i "1.1 Standardsatser", Nattogandel for godstog i "1.2 Forutsetninger" og endret formel for støykostnader for gods i "2.4 Samfunnet for øvrig"</t>
  </si>
  <si>
    <t xml:space="preserve">Oppdatert energikostnaden for dieseltog i "Standardsatser-Forutsetninger". </t>
  </si>
  <si>
    <t>Oppdatert energikostnaden (kraftpris og avgifter) for eltog i "Standardsatser-Forutsetninger"</t>
  </si>
  <si>
    <t xml:space="preserve">Oppdatert indekser til siste tilgjengelige statistikkår. Lagt inn prognose for KPI 2022-2025 og for BKI 2022 og 2023. </t>
  </si>
  <si>
    <t xml:space="preserve">Lagt inn Bimodalt som valg av energikilde i 1.2. Forutsetninger. Lagt inn rad for andel av strekningen som kjøres med diesel i 1.2 Forutsetninger. Lagt inn formel som regner ut togproduksjon for andelen som kjøres med el og diesel for bimodale tog i 1.3 Persontransportmodell. Endret formel for togproduksjon i 2.2 operatører, formel for avgifter til staten i 2.3 Det offentlige,  formel for utslipp i 2.4 samfunnet for øvrig til å inkludere bimodal drift og formel for vedlikehold i 2.5. </t>
  </si>
  <si>
    <t>Splittet utslipp i byggfasen i henhold til metode for internaliserte avgifter, flyttet utslipp i byggefasen og fra arealbeslag til 1.5</t>
  </si>
  <si>
    <t xml:space="preserve">Flyttet restverdi og skattefinansieringskostnad til samfunnet for øvrig. </t>
  </si>
  <si>
    <t>Endret NNK fra netto nytte per investerte krone til netto nytte per kostnadskrone</t>
  </si>
  <si>
    <t xml:space="preserve">Oppdatert avgiftssatser i Standardsatser-Forutsetninger. </t>
  </si>
  <si>
    <t>Opprettet ny arkfane "4.1.2 Superside NTP 25-36"</t>
  </si>
  <si>
    <t xml:space="preserve">Lagt inn el-forbruk for togtype 76 i Standardsatser-Forutsetninger og kostnaden i 1.1 Standardsatser. Endret formelen for energikostnader i 2.2 Operatører slik at den tar høyde for bimodal kjøring. </t>
  </si>
  <si>
    <t xml:space="preserve">Lagt inn nye karbonprisbaner for 2023 i 1.1 Standardsatser. </t>
  </si>
  <si>
    <t xml:space="preserve">Oppdatert CO2-avgiften for 2023 i 1.1 Standardsatser. </t>
  </si>
  <si>
    <t xml:space="preserve">Oppdatert bilparken i 1.2 Forutsetninger. </t>
  </si>
  <si>
    <t xml:space="preserve">Oppdatert vedlikeholdskostnadene per settkm i 1.1 Standardsatser for de togtypene vi har fått oppdaterte tall for. </t>
  </si>
  <si>
    <t>2.8</t>
  </si>
  <si>
    <t>Saga V2.8</t>
  </si>
  <si>
    <t xml:space="preserve">Oppdatert indekser til siste tilgjengelige statistikkår. Lagt inn prognoser for KPI, BKI og BNP. </t>
  </si>
  <si>
    <t>2.8.1</t>
  </si>
  <si>
    <t>Saga V2.8.1</t>
  </si>
  <si>
    <t>Oppdatert vegbruksavgift for bensin og diesel til 2023</t>
  </si>
  <si>
    <t>Oppdatert beregninger av utslipp fra arealbeslag og byggefase, inklusive andre eksterne kostnader fra massetransport til/fra byggeplass</t>
  </si>
  <si>
    <t>Opprettet ny arkfane "4.1.3 Geofordelingsmodell"</t>
  </si>
  <si>
    <t>Laget resultatuttakt for Co2-utslipp for hele levetiden</t>
  </si>
  <si>
    <t>Saga V2.8.2</t>
  </si>
  <si>
    <t>Justering av kroneår for investeringskostnader er endret fra KPI til byggekostnadsindeks. Rettet resultatvisning av Co2-utslipp for bimodale tog</t>
  </si>
  <si>
    <t>2.8.2</t>
  </si>
  <si>
    <t>Rettet formelen for NNK i 4.1 Resultatark.</t>
  </si>
  <si>
    <t>2.8.3</t>
  </si>
  <si>
    <t>Saga v2.8.3</t>
  </si>
  <si>
    <t xml:space="preserve">Ikke publisert: Rettet opp karbonprisbane </t>
  </si>
  <si>
    <t>Ikke publisert: Oppdatert indekser i 1.5. Lagt inn ny indeks for lønnskostnad som bruker nominell årslønn for alle sektorer (SSB-tabell 11536). Denne brukes til å justere verdsettingen av tid til siste statistikkår. Verdien av liv og helse verdsettes fortsatt med BNP per innbygger.</t>
  </si>
  <si>
    <t xml:space="preserve">Ikke publisert: Rettet opp formel for reinvestering for komponenten annen. Levetiden kan settes til 5 år eller mer og vil da reinvesteres riktig antall ganger. </t>
  </si>
  <si>
    <t>2.8.4</t>
  </si>
  <si>
    <t>Saga v2.8.4</t>
  </si>
  <si>
    <t>Ikke publisert: Rettet opp indekser i prognoser og indekser</t>
  </si>
  <si>
    <t>Ikke publisert: Rettet opp feil for lastebilkilometer i data_tidsseriefigurer</t>
  </si>
  <si>
    <t>Ikke publisert: Økt alle tidsserier med 24 år</t>
  </si>
  <si>
    <t>Ikke publisert: Flere mindre feilrettinger i 1.5 Prognoser og indekser</t>
  </si>
  <si>
    <t>Ikke publisert: Flere mindre feilrettinger for prisjustering i 1.1 Standardsatser</t>
  </si>
  <si>
    <t>Ikke publisert: Lagt inn siste år med prognoser i 1.2 Forutsetninger</t>
  </si>
  <si>
    <t>Ikke publisert: Lagt inn BKI-justering for drift og vedlikeholde i 1.5 Prognoser og indekser</t>
  </si>
  <si>
    <t>Ikke publisert: Flyttet karbonprisbaner fra 1.1 Standardsatser til 1.5 Prognoser og indekser</t>
  </si>
  <si>
    <t>Ikke publisert: Endret formler i 3.1 Nyttestrøm fra å være avhengig av plasseringen av SerieÅr i riktig kolonne</t>
  </si>
  <si>
    <t>Ikke publisert: Endret prisjustering fra KPI til BKI DV for vedlikehold av infrastruktur i 1.1 Standardsatser og 3.1 Nyttestrøm</t>
  </si>
  <si>
    <t>Ikke publisert: Flyttet CO2-avgiftsbane fra 1.1 Standardsatser til 1.5 Prognoser og indekser</t>
  </si>
  <si>
    <t>2.9</t>
  </si>
  <si>
    <t>Saga v2.9</t>
  </si>
  <si>
    <t xml:space="preserve">Oppdatert prognoser for utslipp og kjøretøykilometer for veitrafikk basert på TØI og NB23-banen. Se inndataark. </t>
  </si>
  <si>
    <t xml:space="preserve">Lagt inn KPI-justering i 3.1 Nyttestrøm for byggeutslipp og utslipp fra arealbeslag. </t>
  </si>
  <si>
    <t>Rettet opp feil i prognose for CO2-utslipp for veitransport og kjøretøykm for buss.</t>
  </si>
  <si>
    <t>Funksjonalitet for å vurdere to forskjellige togtyper samtidig</t>
  </si>
  <si>
    <t xml:space="preserve">Oppdatert avgiftssatser og energikostnader i Standardsatser-Forutsetninger. Rettet kroneår for avgifter til staten. </t>
  </si>
  <si>
    <t>Oppdatert karbonprisbaner for 2024</t>
  </si>
  <si>
    <t xml:space="preserve">Rettet opp summeringer i 2.1 Trafikanter, overført trafikk i 1.3 Persontransportmodell, vedlikeholdskostnader i 2.5 Investeringer + vedlikehold og togkm i 2.4 Samfunnet for øvrig slik at alle verdiene av togtype 2 kommer med. </t>
  </si>
  <si>
    <t>Oppdatert 1.5 Prognoser og indekser</t>
  </si>
  <si>
    <t xml:space="preserve">Justert serie for utslipp fra lastebil, bruker ikke lenger en flat utvikling frem til 2034. </t>
  </si>
  <si>
    <t>2.9.1</t>
  </si>
  <si>
    <t>Saga v2.9.1</t>
  </si>
  <si>
    <t>Netto nytte per kostnadskrone fjernet fra hovedresultater.</t>
  </si>
  <si>
    <t>2.9.2</t>
  </si>
  <si>
    <t>Saga v2.9.2</t>
  </si>
  <si>
    <t xml:space="preserve">Endret beregning for marginale slitasjekostnader. EzFreight beregner kun endring i trafikkarbeid, dersom dette kun legges inn i differansefeltet blir ikke endring i marginale slitasjekostnader beregnet. Det er derfor lagt inn en =HVIS() i differansekolonnen i beregningsarket for vedlikeholdskostnader på jernbane (arkfane 2.5), slik at beregningen av den marginale slitasjekostnaden skjer der istedenfor i både referanse og tiltakskolonnen. </t>
  </si>
  <si>
    <t>Justert diselforbruk for godstog basert på nye datakilder fra 7,7 (TØI) til 4,9 l/km.</t>
  </si>
  <si>
    <t>Rettet opp feil i formel i celle I81 arkfane 3.1</t>
  </si>
  <si>
    <t>Oppdatert framtidig vekst i BNP per innbygger iht. Perpektivmeldingen 2024.</t>
  </si>
  <si>
    <t>Oppdatert befolkningsframskrivinger fra SSB.</t>
  </si>
  <si>
    <t>2.9.3</t>
  </si>
  <si>
    <t>Saga v2.9.3</t>
  </si>
  <si>
    <t>Oppdatert avgiftssatser for 2025</t>
  </si>
  <si>
    <t>Oppdatert karbonprisbaner for 2025</t>
  </si>
  <si>
    <t xml:space="preserve">Oppdatert prisprognoser og -indekser. </t>
  </si>
  <si>
    <t>2.9.4</t>
  </si>
  <si>
    <t>Saga v2.9.4</t>
  </si>
  <si>
    <t>Oppdatert satser for helsevirkninger fra Helsedirektoratet</t>
  </si>
  <si>
    <t>Oppdatert vedlikeholdskostnader for infrastruktur</t>
  </si>
  <si>
    <t xml:space="preserve">Rettet opp i feil hasitghetspåslag. </t>
  </si>
  <si>
    <t>Oppdatert tariffer for avregning av energikostnader</t>
  </si>
  <si>
    <t>Rettet opp feil i formel for slitasje for godstog i 2.5 Investeringer + vedlikehold</t>
  </si>
  <si>
    <t>Rettet opp i formel for volumvekst vedlikehold</t>
  </si>
  <si>
    <t>Rettet opp formel for godsslitasje slik at den håndterer 2 og 3 beregningsår i arkfane 2.5 Investering + vedlikehold</t>
  </si>
  <si>
    <t>3</t>
  </si>
  <si>
    <t>Saga v3</t>
  </si>
  <si>
    <t xml:space="preserve">Oppdatert karbonpriser, avgiftssatser, prisindekser og prognoser 2026. </t>
  </si>
  <si>
    <t>Kilder</t>
  </si>
  <si>
    <t>Navn på kilde i verktøyet</t>
  </si>
  <si>
    <t>Full kilde</t>
  </si>
  <si>
    <t>Nettside</t>
  </si>
  <si>
    <t>Kommentar</t>
  </si>
  <si>
    <t>Bane NOR (2017)</t>
  </si>
  <si>
    <t>Teknisk regelverk: Kontaktledning/Prosjektering/Generelle tekniske krav</t>
  </si>
  <si>
    <t>https://trv.jbv.no/wiki/Kontaktledning/Prosjektering/Generelle_tekniske_krav</t>
  </si>
  <si>
    <t>Teknisk regelverk: Bruer og konstruksjoner/Prosjektering og bygging/Generelle tekniske krav</t>
  </si>
  <si>
    <t>https://trv.jbv.no/wiki/Bruer_og_konstruksjoner/Prosjektering_og_bygging/Generelle_tekniske_krav</t>
  </si>
  <si>
    <t>Teknisk regelverk: 4 Tekniske løsninger</t>
  </si>
  <si>
    <t>https://trv.jbv.no/wiki/Kontaktledning/Prosjektering/Generelle_tekniske_krav#Tekniske_l.C3.B8sninger</t>
  </si>
  <si>
    <r>
      <t xml:space="preserve">Bane NOR: </t>
    </r>
    <r>
      <rPr>
        <i/>
        <sz val="11"/>
        <color theme="1"/>
        <rFont val="Calibri"/>
        <family val="2"/>
        <scheme val="minor"/>
      </rPr>
      <t>Infrastrukturavgifter, Implementeringsplan</t>
    </r>
  </si>
  <si>
    <t>http://www.banenor.no/globalassets/kundeportal/dokumenter/infrastrukturpriser/implementeringsplan_infrastrukturavgifter_20170714.pdf</t>
  </si>
  <si>
    <t>Bane NOR (2020)</t>
  </si>
  <si>
    <t>Network Statement: 6.3.1 Den minste pakken med tjenester</t>
  </si>
  <si>
    <t>http://networkstatement.jbv.no/doku.php?id=ns2020no:priser#den_minste_pakken_med_tjenester2</t>
  </si>
  <si>
    <t>Bane NOR (2022)</t>
  </si>
  <si>
    <t>Network Statement: 5.3 Den minste pakken med tjenester og priser</t>
  </si>
  <si>
    <t>5. Tjenester og priser [Network statement] (banenor.no)</t>
  </si>
  <si>
    <t>Bane NOR (2023)</t>
  </si>
  <si>
    <t>Netword Statement: 5.3.3 Priser for den minste pakken med tjenester</t>
  </si>
  <si>
    <t>Chalmers University of Technology (2012)</t>
  </si>
  <si>
    <r>
      <t xml:space="preserve">Chalmers University of Technology: </t>
    </r>
    <r>
      <rPr>
        <i/>
        <sz val="11"/>
        <color theme="1"/>
        <rFont val="Calibri"/>
        <family val="2"/>
        <scheme val="minor"/>
      </rPr>
      <t xml:space="preserve">Particle Emissions from Ships: Dependence on Fuel Type. </t>
    </r>
  </si>
  <si>
    <t>https://www.tandfonline.com/doi/abs/10.3155/1047-3289.59.12.1391</t>
  </si>
  <si>
    <t>ECON-rapport 2003-054</t>
  </si>
  <si>
    <r>
      <t xml:space="preserve">ECON-rapport 2003-054. </t>
    </r>
    <r>
      <rPr>
        <i/>
        <sz val="11"/>
        <rFont val="Calibri"/>
        <family val="2"/>
        <scheme val="minor"/>
      </rPr>
      <t>Eksterne marginale kostnader ved transport.</t>
    </r>
    <r>
      <rPr>
        <sz val="11"/>
        <rFont val="Calibri"/>
        <family val="2"/>
        <scheme val="minor"/>
      </rPr>
      <t xml:space="preserve"> </t>
    </r>
  </si>
  <si>
    <t>https://www.jernbanedirektoratet.no/contentassets/03a365b2dcf04eb6a1779a34752a0fb6/econ-054-2003_eksterne-marginale-kostnader-ved-transport.pdf</t>
  </si>
  <si>
    <t>European Commission (2014)</t>
  </si>
  <si>
    <r>
      <t xml:space="preserve">European Commission: </t>
    </r>
    <r>
      <rPr>
        <i/>
        <sz val="11"/>
        <rFont val="Calibri"/>
        <family val="2"/>
        <scheme val="minor"/>
      </rPr>
      <t>Update of the Handbook on External Costs of Transport</t>
    </r>
  </si>
  <si>
    <t>https://ec.europa.eu/transport/sites/transport/files/themes/sustainable/studies/doc/2014-handbook-external-costs-transport.pdf</t>
  </si>
  <si>
    <t>Finansdepartementet (2016-2017)</t>
  </si>
  <si>
    <r>
      <t xml:space="preserve">Finansdepartementet (2016): </t>
    </r>
    <r>
      <rPr>
        <i/>
        <sz val="11"/>
        <color theme="1"/>
        <rFont val="Calibri"/>
        <family val="2"/>
        <scheme val="minor"/>
      </rPr>
      <t xml:space="preserve">Prop.1 LS: Skatter, avgifter og toll 2017. </t>
    </r>
  </si>
  <si>
    <t>https://www.regjeringen.no/no/dokumenter/prop.-1-ls-ls0-20162017/id2514108/</t>
  </si>
  <si>
    <t>Helsedirektoratet (2010)</t>
  </si>
  <si>
    <r>
      <t xml:space="preserve">Helsedirektoratet (2010): </t>
    </r>
    <r>
      <rPr>
        <i/>
        <sz val="11"/>
        <color theme="1"/>
        <rFont val="Calibri"/>
        <family val="2"/>
        <scheme val="minor"/>
      </rPr>
      <t xml:space="preserve">Forslag til oppdatering av reduserte helsekostnader for gående og syklende i Håndbok 140. </t>
    </r>
  </si>
  <si>
    <t>https://helsedirektoratet.no/Documents/Statistikk%20og%20analyse/Samfunns%C3%B8konomiske%20analyser/Notat%20til%20Vegdirektoratet%20om%20oppdaterte%20helsekostnader.pdf</t>
  </si>
  <si>
    <t>Helsedirektoratet (IS-1794)</t>
  </si>
  <si>
    <r>
      <t xml:space="preserve">Helsedirektoratet (2010): </t>
    </r>
    <r>
      <rPr>
        <i/>
        <sz val="11"/>
        <color theme="1"/>
        <rFont val="Calibri"/>
        <family val="2"/>
        <scheme val="minor"/>
      </rPr>
      <t xml:space="preserve">Vunne kvalitetsjusterte leveår (QALYs) ved fysisk aktivitet. </t>
    </r>
    <r>
      <rPr>
        <sz val="11"/>
        <color theme="1"/>
        <rFont val="Calibri"/>
        <family val="2"/>
        <scheme val="minor"/>
      </rPr>
      <t xml:space="preserve">Rapport IS-1794. </t>
    </r>
  </si>
  <si>
    <t xml:space="preserve">https://helsedirektoratet.no/Lists/Publikasjoner/Attachments/92/Vunne-kvalitetsjusterte-levear-qalys-ved-fysisk-aktivitet-IS-1794.pdf </t>
  </si>
  <si>
    <t>Helsedirektoratet (2014)</t>
  </si>
  <si>
    <r>
      <t xml:space="preserve">Helsedirektoratet (2014): </t>
    </r>
    <r>
      <rPr>
        <i/>
        <sz val="11"/>
        <rFont val="Calibri"/>
        <family val="2"/>
        <scheme val="minor"/>
      </rPr>
      <t xml:space="preserve">Innspill til ny oppdatering av reduserte helsekostnader for gående og syklende, samt konsistensvurderinger av verdsetting av liv og helse anvendt i ulike sammenhenger i Statens vegvesens Håndbok 140. </t>
    </r>
  </si>
  <si>
    <t>https://helsedirektoratet.no/Documents/Statistikk%20og%20analyse/Samfunns%C3%B8konomiske%20analyser/Notat%20til%20Vegdirektoratet%20om%20oppdaterte%20helsekostnader%20versjon%2029%20januar%202014.pdf</t>
  </si>
  <si>
    <t>Helsedirektoratet (2017)</t>
  </si>
  <si>
    <r>
      <t>Helsedirektoratet (2017):</t>
    </r>
    <r>
      <rPr>
        <i/>
        <sz val="11"/>
        <rFont val="Calibri"/>
        <family val="2"/>
        <scheme val="minor"/>
      </rPr>
      <t xml:space="preserve"> Verdi på et kvalitetsjustert leveår (QALY) for sektorovergripende anvendelse i nytte-kostnadsanalyser. Eksempler på anvendelse for ulike skadegrader ved ulykker, luftforurensning, støy og fysisk aktivitet. Bakgrunnsdokument utarbeidet i forbindelse med revisjon av Helsedirektoratets veileder «Helseeffekter i samfunnsøkonomiske analyser».</t>
    </r>
  </si>
  <si>
    <t>https://helsedirektoratet.no/Documents/Statistikk%20og%20analyse/Samfunns%C3%B8konomiske%20analyser/Verdi%20QALY%20og%20eksempler%20-%20Bakgrunnsdokument%20-%20Notat%20til%20DF%C3%98%20og%20VD%20versjon%204%20mai.pdf</t>
  </si>
  <si>
    <t>Jernbanedirektoratet (2017)</t>
  </si>
  <si>
    <r>
      <t xml:space="preserve">Jernbanedirektoratet (2017): </t>
    </r>
    <r>
      <rPr>
        <i/>
        <sz val="11"/>
        <rFont val="Calibri"/>
        <family val="2"/>
        <scheme val="minor"/>
      </rPr>
      <t>Trenklin versjon 3 - Dokumentasjon og brukerveiledning.</t>
    </r>
  </si>
  <si>
    <t>https://www.jernbanedirektoratet.no/contentassets/c645017befc9469b8bc9ff1af7f27976/trenklin---versjon-3.pdf</t>
  </si>
  <si>
    <r>
      <t xml:space="preserve">Jernbanedirektoratet (2017): </t>
    </r>
    <r>
      <rPr>
        <i/>
        <sz val="11"/>
        <rFont val="Calibri"/>
        <family val="2"/>
        <scheme val="minor"/>
      </rPr>
      <t xml:space="preserve">Jernbanedirektoratets begrepskatalog. 2. utgave. </t>
    </r>
  </si>
  <si>
    <t>https://www.jernbanedirektoratet.no/globalassets/documenter/handboker/kapasitet-og-begrepskatalog/jernbanedirektoratets-begrepskatalog-2017-versjon-2.pdf</t>
  </si>
  <si>
    <t>Jernbanedirektoratet (2019)</t>
  </si>
  <si>
    <t>https://www.jernbanedirektoratet.no/saga</t>
  </si>
  <si>
    <r>
      <t>Jernbanedirektoratet (2019):</t>
    </r>
    <r>
      <rPr>
        <i/>
        <sz val="11"/>
        <rFont val="Calibri"/>
        <family val="2"/>
        <scheme val="minor"/>
      </rPr>
      <t xml:space="preserve"> Helseeffekter i transportetatenes nyttekostnadsanalyser</t>
    </r>
  </si>
  <si>
    <t>https://www.jernbanedirektoratet.no/contentassets/03a365b2dcf04eb6a1779a34752a0fb6/helseeffekter-i-transportetatenes-nyttekostnadsanalyser.pdf</t>
  </si>
  <si>
    <t>Jernbanedirektoratet (2020)</t>
  </si>
  <si>
    <r>
      <t xml:space="preserve">Jernbanedirektoratet: </t>
    </r>
    <r>
      <rPr>
        <i/>
        <sz val="11"/>
        <color theme="1"/>
        <rFont val="Calibri"/>
        <family val="2"/>
        <scheme val="minor"/>
      </rPr>
      <t>Passasjerbelegg buss 2018</t>
    </r>
  </si>
  <si>
    <t>Regnearket er ikke publisert. Kan fås ved henvendelse til Jernbanedirektoratet.</t>
  </si>
  <si>
    <t>Jernbaneverket (2015)</t>
  </si>
  <si>
    <r>
      <t xml:space="preserve">Jernbaneverket (2015): </t>
    </r>
    <r>
      <rPr>
        <i/>
        <sz val="11"/>
        <color theme="1"/>
        <rFont val="Calibri"/>
        <family val="2"/>
        <scheme val="minor"/>
      </rPr>
      <t xml:space="preserve">Samlede vedlegg til metodehåndbok. </t>
    </r>
  </si>
  <si>
    <t xml:space="preserve">http://www.jernbaneverket.no/contentassets/a3e2c5d145d04eaa95c04e6ebe036e44/metodehandbok-2015.pdf </t>
  </si>
  <si>
    <t>Jernbaneverket (2016)</t>
  </si>
  <si>
    <r>
      <t xml:space="preserve">Jernbaneverket (2016): </t>
    </r>
    <r>
      <rPr>
        <i/>
        <sz val="11"/>
        <color theme="1"/>
        <rFont val="Calibri"/>
        <family val="2"/>
        <scheme val="minor"/>
      </rPr>
      <t xml:space="preserve">Estimering av kostnadsdrivere for vedlikehold ved jernbanen.  </t>
    </r>
  </si>
  <si>
    <t>https://www.jernbanedirektoratet.no/contentassets/03a365b2dcf04eb6a1779a34752a0fb6/estimering-av-vedlikeholdskostnader-jernbanen.pdf</t>
  </si>
  <si>
    <t>NLF (2017)</t>
  </si>
  <si>
    <r>
      <t xml:space="preserve">NLF (2017): </t>
    </r>
    <r>
      <rPr>
        <i/>
        <sz val="11"/>
        <color theme="1"/>
        <rFont val="Calibri"/>
        <family val="2"/>
        <scheme val="minor"/>
      </rPr>
      <t xml:space="preserve">Infobank, Faktabank, Ordliste. </t>
    </r>
    <r>
      <rPr>
        <sz val="11"/>
        <color theme="1"/>
        <rFont val="Calibri"/>
        <family val="2"/>
        <scheme val="minor"/>
      </rPr>
      <t>Norges Lastebileier Forbund</t>
    </r>
  </si>
  <si>
    <t>https://lastebil.no/Infobank/Faktabank/Ordliste</t>
  </si>
  <si>
    <t>Norges Bank (2018)</t>
  </si>
  <si>
    <r>
      <t xml:space="preserve">Norges Bank (2017): </t>
    </r>
    <r>
      <rPr>
        <i/>
        <sz val="11"/>
        <color theme="1"/>
        <rFont val="Calibri"/>
        <family val="2"/>
        <scheme val="minor"/>
      </rPr>
      <t>Inflasjon</t>
    </r>
  </si>
  <si>
    <t>https://www.norges-bank.no/Statistikk/Inflasjon/</t>
  </si>
  <si>
    <t>Se også Lovdata, forskrift om pengepolitikken. § 1, tredje ledd.</t>
  </si>
  <si>
    <t>NOU (2012)</t>
  </si>
  <si>
    <t>NOU (2012): 16. Samfunnsøkonomiske analyser. Norges offentlig utredning</t>
  </si>
  <si>
    <t>https://www.regjeringen.no/no/dokumenter/nou-2012-16/id700821/?ch=1&amp;q=</t>
  </si>
  <si>
    <t>NSB (2015)</t>
  </si>
  <si>
    <r>
      <t xml:space="preserve">NSB (2015): </t>
    </r>
    <r>
      <rPr>
        <i/>
        <sz val="11"/>
        <color theme="1"/>
        <rFont val="Calibri"/>
        <family val="2"/>
        <scheme val="minor"/>
      </rPr>
      <t>Miljø- og samfunnsrapport, NSB persontog</t>
    </r>
  </si>
  <si>
    <t>https://www.vy.no/globalassets/vy.no/filer-no/barekraft-og-samfunnsansvar/2015-miljo--og-samfunnsrapport.pdf</t>
  </si>
  <si>
    <t xml:space="preserve">NTP (2014-2023) </t>
  </si>
  <si>
    <r>
      <t xml:space="preserve">NTP (2014-2013): </t>
    </r>
    <r>
      <rPr>
        <i/>
        <sz val="11"/>
        <color theme="1"/>
        <rFont val="Calibri"/>
        <family val="2"/>
        <scheme val="minor"/>
      </rPr>
      <t xml:space="preserve">Meld. St. 26. </t>
    </r>
    <r>
      <rPr>
        <sz val="11"/>
        <color theme="1"/>
        <rFont val="Calibri"/>
        <family val="2"/>
        <scheme val="minor"/>
      </rPr>
      <t xml:space="preserve">Samferdselsdepartementet </t>
    </r>
  </si>
  <si>
    <t>http://www.ntp.dep.no/Forside/_attachment/502793/binary/813774?_ts=1400c273da8</t>
  </si>
  <si>
    <t>Oslo Economics (2017)</t>
  </si>
  <si>
    <r>
      <t xml:space="preserve">Oslo Economics (2017): </t>
    </r>
    <r>
      <rPr>
        <i/>
        <sz val="11"/>
        <color theme="1"/>
        <rFont val="Calibri"/>
        <family val="2"/>
        <scheme val="minor"/>
      </rPr>
      <t>Beregning av elastisiteter for togreiser.</t>
    </r>
    <r>
      <rPr>
        <sz val="11"/>
        <color theme="1"/>
        <rFont val="Calibri"/>
        <family val="2"/>
        <scheme val="minor"/>
      </rPr>
      <t xml:space="preserve"> Utført på vegne av Jernbanedirektoratet </t>
    </r>
  </si>
  <si>
    <t>https://www.jernbanedirektoratet.no/contentassets/03a365b2dcf04eb6a1779a34752a0fb6/beregning-av-elastisiteter-for-togreiser.pdf</t>
  </si>
  <si>
    <t>Regjeringen (2010)</t>
  </si>
  <si>
    <r>
      <t xml:space="preserve">Regjeringen (2010): </t>
    </r>
    <r>
      <rPr>
        <i/>
        <sz val="11"/>
        <color theme="1"/>
        <rFont val="Calibri"/>
        <family val="2"/>
        <scheme val="minor"/>
      </rPr>
      <t>Klimakur 2020</t>
    </r>
  </si>
  <si>
    <t>https://www.regjeringen.no/contentassets/3fd187d0cd8e49d48841d7f552d6e2f9/klimakur_170210.pdf</t>
  </si>
  <si>
    <t>Regjeringen (2014)</t>
  </si>
  <si>
    <r>
      <t xml:space="preserve">Regjeringen (2014): </t>
    </r>
    <r>
      <rPr>
        <i/>
        <sz val="11"/>
        <color theme="1"/>
        <rFont val="Calibri"/>
        <family val="2"/>
        <scheme val="minor"/>
      </rPr>
      <t xml:space="preserve">Rundskriv R. Nr. R-109/14. </t>
    </r>
    <r>
      <rPr>
        <sz val="11"/>
        <color theme="1"/>
        <rFont val="Calibri"/>
        <family val="2"/>
        <scheme val="minor"/>
      </rPr>
      <t>Det Kongelige Finansdepartement.</t>
    </r>
  </si>
  <si>
    <t>https://www.regjeringen.no/globalassets/upload/fin/vedlegg/okstyring/rundskriv/faste/r_109_2014.pdf</t>
  </si>
  <si>
    <r>
      <t xml:space="preserve">Regjeringen.no (2014): </t>
    </r>
    <r>
      <rPr>
        <i/>
        <sz val="11"/>
        <color theme="1"/>
        <rFont val="Calibri"/>
        <family val="2"/>
        <scheme val="minor"/>
      </rPr>
      <t>Avgiftssatser 2015.</t>
    </r>
  </si>
  <si>
    <t>https://www.regjeringen.no/no/dokumentarkiv/regjeringen-solberg/fin/Avgiftssatser-2015/id2005679/</t>
  </si>
  <si>
    <t>Regjeringen (2015)</t>
  </si>
  <si>
    <r>
      <t xml:space="preserve">Regjeringen.no (2015): </t>
    </r>
    <r>
      <rPr>
        <i/>
        <sz val="11"/>
        <color theme="1"/>
        <rFont val="Calibri"/>
        <family val="2"/>
        <scheme val="minor"/>
      </rPr>
      <t>Avgiftssatser 2016.</t>
    </r>
  </si>
  <si>
    <t>https://www.regjeringen.no/no/dokumentarkiv/regjeringen-solberg/fin/avgiftssatser-i-2015-og-foreslatte-satser-for-2016/id2457142/</t>
  </si>
  <si>
    <t>Regjeringen (2016)</t>
  </si>
  <si>
    <r>
      <t xml:space="preserve">Regjeringen.no (2016): </t>
    </r>
    <r>
      <rPr>
        <i/>
        <sz val="11"/>
        <color theme="1"/>
        <rFont val="Calibri"/>
        <family val="2"/>
        <scheme val="minor"/>
      </rPr>
      <t>Avgiftssatser 2017.</t>
    </r>
  </si>
  <si>
    <t>https://www.regjeringen.no/no/tema/okonomi-og-budsjett/skatter-og-avgifter/avgiftssatser-2017/id2514838/</t>
  </si>
  <si>
    <r>
      <t xml:space="preserve">Regjeringen (2016): </t>
    </r>
    <r>
      <rPr>
        <i/>
        <sz val="11"/>
        <color theme="1"/>
        <rFont val="Calibri"/>
        <family val="2"/>
        <scheme val="minor"/>
      </rPr>
      <t>Skattesatser 2017</t>
    </r>
  </si>
  <si>
    <t>https://www.regjeringen.no/no/tema/okonomi-og-budsjett/skatter-og-avgifter/skattesatser-2017/id2514837/</t>
  </si>
  <si>
    <t>Regjeringen (2017)</t>
  </si>
  <si>
    <r>
      <t xml:space="preserve">Regjeringen.no (2017): </t>
    </r>
    <r>
      <rPr>
        <i/>
        <sz val="11"/>
        <color theme="1"/>
        <rFont val="Calibri"/>
        <family val="2"/>
        <scheme val="minor"/>
      </rPr>
      <t>Avgiftssatser 2018.</t>
    </r>
  </si>
  <si>
    <t>https://www.regjeringen.no/no/tema/okonomi-og-budsjett/skatter-og-avgifter/avgiftssatser-2018/id2575160/</t>
  </si>
  <si>
    <r>
      <t xml:space="preserve">Regjeringen (2017): </t>
    </r>
    <r>
      <rPr>
        <i/>
        <sz val="11"/>
        <color theme="1"/>
        <rFont val="Calibri"/>
        <family val="2"/>
        <scheme val="minor"/>
      </rPr>
      <t>Meld.St. 29 (2016-2017), Perspektivmeldingen 2017.</t>
    </r>
  </si>
  <si>
    <t>https://www.regjeringen.no/contentassets/aefd9d12738d43078cbc647448bbeca1/no/pdfs/stm201620170029000dddpdfs.pdf</t>
  </si>
  <si>
    <t>Regjeringen (2018)</t>
  </si>
  <si>
    <r>
      <t xml:space="preserve">Regjeringen.no (2018): </t>
    </r>
    <r>
      <rPr>
        <i/>
        <sz val="11"/>
        <color theme="1"/>
        <rFont val="Calibri"/>
        <family val="2"/>
        <scheme val="minor"/>
      </rPr>
      <t>Avgiftssatser 2019.</t>
    </r>
  </si>
  <si>
    <t>https://www.regjeringen.no/no/tema/okonomi-og-budsjett/skatter-og-avgifter/avgiftssatser-2019/id2614443/</t>
  </si>
  <si>
    <t>Regjeringen (2019)</t>
  </si>
  <si>
    <r>
      <t xml:space="preserve">Regjeringen.no (2019): </t>
    </r>
    <r>
      <rPr>
        <i/>
        <sz val="11"/>
        <color theme="1"/>
        <rFont val="Calibri"/>
        <family val="2"/>
        <scheme val="minor"/>
      </rPr>
      <t xml:space="preserve">Avgiftssatser 2020. </t>
    </r>
  </si>
  <si>
    <t>https://www.regjeringen.no/no/tema/okonomi-og-budsjett/skatter-og-avgifter/avgiftssatser-2020/id2671008/</t>
  </si>
  <si>
    <t>Regjeringen (2023)</t>
  </si>
  <si>
    <r>
      <t xml:space="preserve">Regjeringen.no (2023): </t>
    </r>
    <r>
      <rPr>
        <i/>
        <sz val="11"/>
        <color theme="1"/>
        <rFont val="Calibri"/>
        <family val="2"/>
        <scheme val="minor"/>
      </rPr>
      <t xml:space="preserve">Avgiftssatser 2024. </t>
    </r>
  </si>
  <si>
    <t>https://www.regjeringen.no/no/tema/okonomi-og-budsjett/skatter-og-avgifter/avgiftssatser-2024/id2997383/</t>
  </si>
  <si>
    <t>RVU (2005)</t>
  </si>
  <si>
    <r>
      <rPr>
        <sz val="11"/>
        <color theme="1"/>
        <rFont val="Calibri"/>
        <family val="2"/>
        <scheme val="minor"/>
      </rPr>
      <t>TØI:</t>
    </r>
    <r>
      <rPr>
        <i/>
        <sz val="11"/>
        <color theme="1"/>
        <rFont val="Calibri"/>
        <family val="2"/>
        <scheme val="minor"/>
      </rPr>
      <t xml:space="preserve"> Den nasjonale reisevaneundersøkelsen 2005. </t>
    </r>
    <r>
      <rPr>
        <sz val="11"/>
        <color theme="1"/>
        <rFont val="Calibri"/>
        <family val="2"/>
        <scheme val="minor"/>
      </rPr>
      <t xml:space="preserve">TØI-rapport 844/2006. </t>
    </r>
  </si>
  <si>
    <t xml:space="preserve">https://www.toi.no/getfile.php?mmfileid=4186 </t>
  </si>
  <si>
    <t>RVU (2009)</t>
  </si>
  <si>
    <r>
      <rPr>
        <sz val="11"/>
        <color theme="1"/>
        <rFont val="Calibri"/>
        <family val="2"/>
        <scheme val="minor"/>
      </rPr>
      <t>TØI:</t>
    </r>
    <r>
      <rPr>
        <i/>
        <sz val="11"/>
        <color theme="1"/>
        <rFont val="Calibri"/>
        <family val="2"/>
        <scheme val="minor"/>
      </rPr>
      <t xml:space="preserve"> Den nasjonale reisevaneundersøkelsen 2009. </t>
    </r>
    <r>
      <rPr>
        <sz val="11"/>
        <color theme="1"/>
        <rFont val="Calibri"/>
        <family val="2"/>
        <scheme val="minor"/>
      </rPr>
      <t>TØI-rapport 1130/2011.</t>
    </r>
  </si>
  <si>
    <t xml:space="preserve">https://www.toi.no/getfile.php?mmfileid=16282 </t>
  </si>
  <si>
    <t>RVU (2013/2014)</t>
  </si>
  <si>
    <r>
      <rPr>
        <sz val="11"/>
        <color theme="1"/>
        <rFont val="Calibri"/>
        <family val="2"/>
        <scheme val="minor"/>
      </rPr>
      <t>TØI:</t>
    </r>
    <r>
      <rPr>
        <i/>
        <sz val="11"/>
        <color theme="1"/>
        <rFont val="Calibri"/>
        <family val="2"/>
        <scheme val="minor"/>
      </rPr>
      <t xml:space="preserve"> Den nasjonale reisevaneundersøkelsen 2013/14. </t>
    </r>
    <r>
      <rPr>
        <sz val="11"/>
        <color theme="1"/>
        <rFont val="Calibri"/>
        <family val="2"/>
        <scheme val="minor"/>
      </rPr>
      <t xml:space="preserve">TØI-rapport 1383/2014. </t>
    </r>
  </si>
  <si>
    <t xml:space="preserve">https://www.toi.no/getfile.php?mmfileid=39511 </t>
  </si>
  <si>
    <t>Samferdselsdepartementet (2020)</t>
  </si>
  <si>
    <r>
      <rPr>
        <sz val="11"/>
        <color theme="1"/>
        <rFont val="Calibri"/>
        <family val="2"/>
        <scheme val="minor"/>
      </rPr>
      <t xml:space="preserve">Samferdselsdepartementet (2020): </t>
    </r>
    <r>
      <rPr>
        <i/>
        <sz val="11"/>
        <color theme="1"/>
        <rFont val="Calibri"/>
        <family val="2"/>
        <scheme val="minor"/>
      </rPr>
      <t>Anbefaling om bruk av CO2-prisbane i NTP 2022-2033</t>
    </r>
  </si>
  <si>
    <r>
      <t xml:space="preserve">Se under </t>
    </r>
    <r>
      <rPr>
        <i/>
        <sz val="11"/>
        <color theme="1"/>
        <rFont val="Calibri"/>
        <family val="2"/>
        <scheme val="minor"/>
      </rPr>
      <t>Kilder</t>
    </r>
  </si>
  <si>
    <t>SINTEF(2003)</t>
  </si>
  <si>
    <r>
      <rPr>
        <sz val="11"/>
        <color theme="1"/>
        <rFont val="Calibri"/>
        <family val="2"/>
        <scheme val="minor"/>
      </rPr>
      <t xml:space="preserve">SINTEF (2003): </t>
    </r>
    <r>
      <rPr>
        <i/>
        <sz val="11"/>
        <color theme="1"/>
        <rFont val="Calibri"/>
        <family val="2"/>
        <scheme val="minor"/>
      </rPr>
      <t xml:space="preserve">Vurdering av fremtidig stallingsbehov for lokaltog i Oslo. </t>
    </r>
  </si>
  <si>
    <t xml:space="preserve">http://jernbaneforskning.no/files/pages/555/2003-vurdering-av-framtidig-stallingsbehov-for-lokaltog-i-oslo-apen.pdf </t>
  </si>
  <si>
    <t>SINTEF(2021)</t>
  </si>
  <si>
    <t>SINTEF (2021) Gjennomgang av slitasjekostnader for godstransport på veg og jernbane</t>
  </si>
  <si>
    <t>Gjennomgang av slitasjekostnader for godstransport på veg og jernbane - SINTEF</t>
  </si>
  <si>
    <t>Skattedirektoratet (2017)</t>
  </si>
  <si>
    <r>
      <t xml:space="preserve">Skattedirektoratet (2017): </t>
    </r>
    <r>
      <rPr>
        <i/>
        <sz val="11"/>
        <color theme="1"/>
        <rFont val="Calibri"/>
        <family val="2"/>
        <scheme val="minor"/>
      </rPr>
      <t xml:space="preserve">Avgifter på mineralske produkter mv. </t>
    </r>
  </si>
  <si>
    <t>http://www.skatteetaten.no/globalassets/saravgifter/avgiftsrundskriv/2017-mineralske-produkter.pdf</t>
  </si>
  <si>
    <t>Skatteetaten (2020)</t>
  </si>
  <si>
    <r>
      <t xml:space="preserve">Skatteetaten (2020). </t>
    </r>
    <r>
      <rPr>
        <i/>
        <sz val="11"/>
        <color theme="1"/>
        <rFont val="Calibri"/>
        <family val="2"/>
        <scheme val="minor"/>
      </rPr>
      <t>Merverdiavgift.</t>
    </r>
  </si>
  <si>
    <t>https://www.skatteetaten.no/satser/merverdiavgift/</t>
  </si>
  <si>
    <t xml:space="preserve">SSB (2001) </t>
  </si>
  <si>
    <r>
      <rPr>
        <sz val="11"/>
        <color theme="1"/>
        <rFont val="Calibri"/>
        <family val="2"/>
        <scheme val="minor"/>
      </rPr>
      <t xml:space="preserve">SSB (2001): </t>
    </r>
    <r>
      <rPr>
        <i/>
        <sz val="11"/>
        <color theme="1"/>
        <rFont val="Calibri"/>
        <family val="2"/>
        <scheme val="minor"/>
      </rPr>
      <t>Godstransport med norske lastebiler, 3. kvartal 2001.</t>
    </r>
    <r>
      <rPr>
        <i/>
        <sz val="11"/>
        <color rgb="FFFF0000"/>
        <rFont val="Calibri"/>
        <family val="2"/>
        <scheme val="minor"/>
      </rPr>
      <t/>
    </r>
  </si>
  <si>
    <t>https://www.ssb.no/transport-og-reiseliv/statistikker/lbunasj/kvartal/2001-12-14</t>
  </si>
  <si>
    <t>SSB (2017)</t>
  </si>
  <si>
    <r>
      <t xml:space="preserve">SSB (2017): </t>
    </r>
    <r>
      <rPr>
        <i/>
        <sz val="11"/>
        <color theme="1"/>
        <rFont val="Calibri"/>
        <family val="2"/>
        <scheme val="minor"/>
      </rPr>
      <t xml:space="preserve">Statistikkområde: Arbeid og lønn. </t>
    </r>
  </si>
  <si>
    <t>http://www.ssb.no/arbeid-og-lonn?de=L%C3%B8nn+og+arbeidskraftkostnader</t>
  </si>
  <si>
    <t>For utregning av lønnsvekst</t>
  </si>
  <si>
    <r>
      <t xml:space="preserve">SSB (2017): </t>
    </r>
    <r>
      <rPr>
        <i/>
        <sz val="11"/>
        <color theme="1"/>
        <rFont val="Calibri"/>
        <family val="2"/>
        <scheme val="minor"/>
      </rPr>
      <t>Lønn, alle ansatte, 2016</t>
    </r>
  </si>
  <si>
    <t>https://www.ssb.no/arbeid-og-lonn/statistikker/lonnansatt/aar</t>
  </si>
  <si>
    <t>SSB (2020)</t>
  </si>
  <si>
    <t>SSB (2020): Konsumprisindeksen</t>
  </si>
  <si>
    <t>https://www.ssb.no/kpi</t>
  </si>
  <si>
    <t>SSB (2020): Statistikkbanken, Nasjonalregnskap. Tabell: 09786. Reallønn</t>
  </si>
  <si>
    <t>https://www.ssb.no/statbank/table/09786</t>
  </si>
  <si>
    <t>Reallønn. Årslønn, påløpt i 2010-priser. Indeks (2010=100)</t>
  </si>
  <si>
    <t>SSB (2020): Statistikkbanken, Nasjonalregnskap. Tabell: 09842. BNP</t>
  </si>
  <si>
    <t>https://www.ssb.no/statbank/table/09842</t>
  </si>
  <si>
    <t>BNP og andre hovedstørrelser (kr per innbygger) 1970 - 2016</t>
  </si>
  <si>
    <t>SSB (2020): Statistikkbanken, Nasjonalregnskap. Tabell 09842. BKI</t>
  </si>
  <si>
    <t>https://www.ssb.no/statbank/table/08658/</t>
  </si>
  <si>
    <t>Byggekostnadsindeks for veganlegg (1. kv. 2004=100), etter veganlegg.</t>
  </si>
  <si>
    <r>
      <t xml:space="preserve">SSB (2020): </t>
    </r>
    <r>
      <rPr>
        <i/>
        <sz val="11"/>
        <color theme="1"/>
        <rFont val="Calibri"/>
        <family val="2"/>
        <scheme val="minor"/>
      </rPr>
      <t>Nasjonale befolkningsframskrivinger</t>
    </r>
    <r>
      <rPr>
        <sz val="11"/>
        <color theme="1"/>
        <rFont val="Calibri"/>
        <family val="2"/>
        <scheme val="minor"/>
      </rPr>
      <t>. Tabell 12881. Hovedalternativ MMM</t>
    </r>
  </si>
  <si>
    <t>https://www.ssb.no/statbank/table/12881/</t>
  </si>
  <si>
    <t>Folkemengden per 1. januar frem til år 2100</t>
  </si>
  <si>
    <t>SSB (2022)</t>
  </si>
  <si>
    <r>
      <t xml:space="preserve">SSB (2022): </t>
    </r>
    <r>
      <rPr>
        <i/>
        <sz val="11"/>
        <color theme="1"/>
        <rFont val="Calibri"/>
        <family val="2"/>
        <scheme val="minor"/>
      </rPr>
      <t xml:space="preserve">Nasjonale befolkningsframskrivninger. </t>
    </r>
    <r>
      <rPr>
        <sz val="11"/>
        <color theme="1"/>
        <rFont val="Calibri"/>
        <family val="2"/>
        <scheme val="minor"/>
      </rPr>
      <t>Tabell 13599. Hovedalternativ MMM</t>
    </r>
  </si>
  <si>
    <t>https://www.ssb.no/statbank/table/13599</t>
  </si>
  <si>
    <t>Statsbudsjettet (2009)</t>
  </si>
  <si>
    <r>
      <t xml:space="preserve">Statsbudsjettet (2009): </t>
    </r>
    <r>
      <rPr>
        <i/>
        <sz val="11"/>
        <color theme="1"/>
        <rFont val="Calibri"/>
        <family val="2"/>
        <scheme val="minor"/>
      </rPr>
      <t>Finansdepartementet 2008-2009.</t>
    </r>
  </si>
  <si>
    <t>http://www.statsbudsjettet.no/Upload/Statsbudsjett_2009/dokumenter/pdf/gulbok.pdf</t>
  </si>
  <si>
    <t>Statsbudsjettet (2013)</t>
  </si>
  <si>
    <r>
      <t xml:space="preserve">Statsbudsjettet (2013): </t>
    </r>
    <r>
      <rPr>
        <i/>
        <sz val="11"/>
        <color theme="1"/>
        <rFont val="Calibri"/>
        <family val="2"/>
        <scheme val="minor"/>
      </rPr>
      <t xml:space="preserve">Finansdepartementet 2012-2013. </t>
    </r>
  </si>
  <si>
    <t>http://www.statsbudsjettet.no/upload/Statsbudsjett_2013/dokumenter/pdf/gulbok.pdf</t>
  </si>
  <si>
    <t xml:space="preserve">Statens vegvesen (1995) </t>
  </si>
  <si>
    <r>
      <t xml:space="preserve">Statens vegvesen (1995): </t>
    </r>
    <r>
      <rPr>
        <i/>
        <sz val="11"/>
        <color theme="1"/>
        <rFont val="Calibri"/>
        <family val="2"/>
        <scheme val="minor"/>
      </rPr>
      <t xml:space="preserve">Håndbok 140 (2014). Konsekvensanalyser. </t>
    </r>
  </si>
  <si>
    <t>http://www.vegvesen.no/_attachment/603144/binary/951955?fast_title=Revidert+HB+140+%E2%80%93+h%C3%B8ringsutgave.pdf</t>
  </si>
  <si>
    <t xml:space="preserve">Statens vegvesen (2007) </t>
  </si>
  <si>
    <r>
      <t xml:space="preserve">Statens vegvesen (2007): </t>
    </r>
    <r>
      <rPr>
        <i/>
        <sz val="11"/>
        <color theme="1"/>
        <rFont val="Calibri"/>
        <family val="2"/>
        <scheme val="minor"/>
      </rPr>
      <t xml:space="preserve">Håndbok 115 (2007). Analyse av ulykkessteder. Vedleggsdel for manuelle beregninger. </t>
    </r>
  </si>
  <si>
    <t xml:space="preserve">http://www.vegvesen.no/_attachment/61432/binary/14139 </t>
  </si>
  <si>
    <t>TØI-rapport 1081/1997</t>
  </si>
  <si>
    <r>
      <t xml:space="preserve">TØI (1997): </t>
    </r>
    <r>
      <rPr>
        <i/>
        <sz val="11"/>
        <color theme="1"/>
        <rFont val="Calibri"/>
        <family val="2"/>
        <scheme val="minor"/>
      </rPr>
      <t xml:space="preserve">Ulykkeskostnader for jernbanen. </t>
    </r>
    <r>
      <rPr>
        <sz val="11"/>
        <color theme="1"/>
        <rFont val="Calibri"/>
        <family val="2"/>
        <scheme val="minor"/>
      </rPr>
      <t xml:space="preserve">TØI-rapport 1081/1997. </t>
    </r>
  </si>
  <si>
    <t xml:space="preserve">https://www.toi.no/getfile.php?mmfileid=12239 </t>
  </si>
  <si>
    <t>TØI-rapport 464/1999</t>
  </si>
  <si>
    <r>
      <t xml:space="preserve">TØI (1999): </t>
    </r>
    <r>
      <rPr>
        <i/>
        <sz val="11"/>
        <rFont val="Calibri"/>
        <family val="2"/>
        <scheme val="minor"/>
      </rPr>
      <t>Marginale kostnader ved transportvirksomhet</t>
    </r>
    <r>
      <rPr>
        <sz val="11"/>
        <rFont val="Calibri"/>
        <family val="2"/>
        <scheme val="minor"/>
      </rPr>
      <t xml:space="preserve">.Transportøkonomisk Institutt (1999). TØI-rapport 464/1999: </t>
    </r>
  </si>
  <si>
    <t>https://www.toi.no/getfile.php?mmfileid=1929</t>
  </si>
  <si>
    <t>TØI-rapport 472/2000</t>
  </si>
  <si>
    <r>
      <t xml:space="preserve">TØI (2000): </t>
    </r>
    <r>
      <rPr>
        <i/>
        <sz val="11"/>
        <color theme="1"/>
        <rFont val="Calibri"/>
        <family val="2"/>
        <scheme val="minor"/>
      </rPr>
      <t xml:space="preserve">Jernbanens kjørevegsavgift. </t>
    </r>
    <r>
      <rPr>
        <sz val="11"/>
        <color theme="1"/>
        <rFont val="Calibri"/>
        <family val="2"/>
        <scheme val="minor"/>
      </rPr>
      <t>TØI-rapport 472/2000.</t>
    </r>
  </si>
  <si>
    <t xml:space="preserve">https://www.toi.no/getfile.php?mmfileid=5998 </t>
  </si>
  <si>
    <t xml:space="preserve">TØI-rapport 567/2002 </t>
  </si>
  <si>
    <r>
      <t xml:space="preserve">TØI (2002): </t>
    </r>
    <r>
      <rPr>
        <i/>
        <sz val="11"/>
        <color theme="1"/>
        <rFont val="Calibri"/>
        <family val="2"/>
        <scheme val="minor"/>
      </rPr>
      <t xml:space="preserve">Gang- og sykkelvegnett i norske byer. Nytte-kostnadsanalyser inkludert helseeffekter og eksterne kostnader av motorisert vegtrafikk. </t>
    </r>
    <r>
      <rPr>
        <sz val="11"/>
        <color theme="1"/>
        <rFont val="Calibri"/>
        <family val="2"/>
        <scheme val="minor"/>
      </rPr>
      <t>TØI-rapport 567/2002.</t>
    </r>
  </si>
  <si>
    <t>https://www.toi.no/getfile.php?mmfileid=2385</t>
  </si>
  <si>
    <t>TØI-rapport 1050/2009</t>
  </si>
  <si>
    <r>
      <rPr>
        <i/>
        <sz val="11"/>
        <color theme="1"/>
        <rFont val="Calibri"/>
        <family val="2"/>
        <scheme val="minor"/>
      </rPr>
      <t xml:space="preserve">TØI (2009): Flere i hver bil? Status og potensial for endring av bilbelegget i Norge. </t>
    </r>
    <r>
      <rPr>
        <sz val="11"/>
        <color theme="1"/>
        <rFont val="Calibri"/>
        <family val="2"/>
        <scheme val="minor"/>
      </rPr>
      <t xml:space="preserve">TØI-rapport 1050/2009. </t>
    </r>
  </si>
  <si>
    <t xml:space="preserve">https://www.toi.no/getfile.php?mmfileid=13925 </t>
  </si>
  <si>
    <t>TØI-rapport 1053/2010</t>
  </si>
  <si>
    <r>
      <t>TØI (2010):</t>
    </r>
    <r>
      <rPr>
        <i/>
        <sz val="11"/>
        <rFont val="Calibri"/>
        <family val="2"/>
        <scheme val="minor"/>
      </rPr>
      <t xml:space="preserve"> Den norske verdsettingsstudien. </t>
    </r>
    <r>
      <rPr>
        <sz val="11"/>
        <rFont val="Calibri"/>
        <family val="2"/>
        <scheme val="minor"/>
      </rPr>
      <t xml:space="preserve">TØI-rapport 1053/2010. </t>
    </r>
  </si>
  <si>
    <t>https://www.toi.no/getfile.php?mmfileid=16111</t>
  </si>
  <si>
    <t>TØI-rapport 1053B/2010</t>
  </si>
  <si>
    <r>
      <t xml:space="preserve">TØI (2010): </t>
    </r>
    <r>
      <rPr>
        <i/>
        <sz val="11"/>
        <color theme="1"/>
        <rFont val="Calibri"/>
        <family val="2"/>
        <scheme val="minor"/>
      </rPr>
      <t xml:space="preserve">Den norske verdsettingsstudien. Tid. </t>
    </r>
    <r>
      <rPr>
        <sz val="11"/>
        <color theme="1"/>
        <rFont val="Calibri"/>
        <family val="2"/>
        <scheme val="minor"/>
      </rPr>
      <t xml:space="preserve">TØI-rapport 1053B/2010. </t>
    </r>
  </si>
  <si>
    <t xml:space="preserve">https://www.toi.no/getfile.php?mmfileid=16693 </t>
  </si>
  <si>
    <t>TØI-rapport 1307/2014</t>
  </si>
  <si>
    <r>
      <t xml:space="preserve">TØI (2014): </t>
    </r>
    <r>
      <rPr>
        <i/>
        <sz val="11"/>
        <rFont val="Calibri"/>
        <family val="2"/>
        <scheme val="minor"/>
      </rPr>
      <t xml:space="preserve">Marginale eksterne kostnader ved vegtrafikk. </t>
    </r>
    <r>
      <rPr>
        <sz val="11"/>
        <rFont val="Calibri"/>
        <family val="2"/>
        <scheme val="minor"/>
      </rPr>
      <t xml:space="preserve"> (revidert 2016). TØI-rapport 1307/2014.</t>
    </r>
  </si>
  <si>
    <t>https://www.toi.no/getfile.php?mmfileid=38978</t>
  </si>
  <si>
    <t>TØI-rapport 1313/2014</t>
  </si>
  <si>
    <r>
      <t>TØI (2014):</t>
    </r>
    <r>
      <rPr>
        <i/>
        <sz val="11"/>
        <color theme="1"/>
        <rFont val="Calibri"/>
        <family val="2"/>
        <scheme val="minor"/>
      </rPr>
      <t xml:space="preserve"> Marginale eksterne kostnader for godstransport på sjø og jernbane – en forstudie. </t>
    </r>
    <r>
      <rPr>
        <sz val="11"/>
        <color theme="1"/>
        <rFont val="Calibri"/>
        <family val="2"/>
        <scheme val="minor"/>
      </rPr>
      <t>TØI-rapport 1313/2014.</t>
    </r>
  </si>
  <si>
    <t>https://www.toi.no/getfile.php?mmfileid=36274</t>
  </si>
  <si>
    <t xml:space="preserve">TØI-rapport 1446/2015 </t>
  </si>
  <si>
    <r>
      <t xml:space="preserve">TØI (2015): </t>
    </r>
    <r>
      <rPr>
        <i/>
        <sz val="11"/>
        <color theme="1"/>
        <rFont val="Calibri"/>
        <family val="2"/>
        <scheme val="minor"/>
      </rPr>
      <t>Dokumentasjon: GodsNytte-modellen.</t>
    </r>
    <r>
      <rPr>
        <sz val="11"/>
        <color theme="1"/>
        <rFont val="Calibri"/>
        <family val="2"/>
        <scheme val="minor"/>
      </rPr>
      <t xml:space="preserve"> TØI-rapport 1446/2015.</t>
    </r>
  </si>
  <si>
    <t>https://www.toi.no/getfile.php?mmfileid=43463</t>
  </si>
  <si>
    <t>TØI-rapport 1424/2015</t>
  </si>
  <si>
    <r>
      <rPr>
        <sz val="11"/>
        <color theme="1"/>
        <rFont val="Calibri"/>
        <family val="2"/>
        <scheme val="minor"/>
      </rPr>
      <t>TØI (2015):</t>
    </r>
    <r>
      <rPr>
        <i/>
        <sz val="11"/>
        <color theme="1"/>
        <rFont val="Calibri"/>
        <family val="2"/>
        <scheme val="minor"/>
      </rPr>
      <t xml:space="preserve"> Potensiale og virkemidler for overføring av gods fra veg- til sjøtransport. TØI-rapport 1424/2015. </t>
    </r>
  </si>
  <si>
    <t xml:space="preserve">https://www.toi.no/getfile.php/Publikasjoner/T%C3%98I%20rapporter/2015/1424-2015/1424-2015-sam.pdf </t>
  </si>
  <si>
    <t>TØI-rapport 1429/2015</t>
  </si>
  <si>
    <r>
      <rPr>
        <sz val="11"/>
        <color theme="1"/>
        <rFont val="Calibri"/>
        <family val="2"/>
        <scheme val="minor"/>
      </rPr>
      <t xml:space="preserve">TØI (2015): </t>
    </r>
    <r>
      <rPr>
        <i/>
        <sz val="11"/>
        <color theme="1"/>
        <rFont val="Calibri"/>
        <family val="2"/>
        <scheme val="minor"/>
      </rPr>
      <t xml:space="preserve">Nasjonal godstransportmodell. En innføring i bruk av modellen. </t>
    </r>
    <r>
      <rPr>
        <sz val="11"/>
        <color theme="1"/>
        <rFont val="Calibri"/>
        <family val="2"/>
        <scheme val="minor"/>
      </rPr>
      <t xml:space="preserve">TØI-rapport 1429/2015. </t>
    </r>
  </si>
  <si>
    <t>TØI-rapport 1718/2019</t>
  </si>
  <si>
    <r>
      <t xml:space="preserve">TØI (2019): </t>
    </r>
    <r>
      <rPr>
        <i/>
        <sz val="11"/>
        <color theme="1"/>
        <rFont val="Calibri"/>
        <family val="2"/>
        <scheme val="minor"/>
      </rPr>
      <t>Framtidens transporter. Framskrivinger for person- og godstransport 2018-2050</t>
    </r>
  </si>
  <si>
    <t>https://www.toi.no/getfile.php?mmfileid=51596</t>
  </si>
  <si>
    <t>TØI-rapport 1558/2017</t>
  </si>
  <si>
    <r>
      <t>TØI (2017):</t>
    </r>
    <r>
      <rPr>
        <i/>
        <sz val="11"/>
        <color theme="1"/>
        <rFont val="Calibri"/>
        <family val="2"/>
        <scheme val="minor"/>
      </rPr>
      <t xml:space="preserve"> Modellering av reisehensikts- og døgnfordelinger for togreiser. </t>
    </r>
    <r>
      <rPr>
        <sz val="11"/>
        <color theme="1"/>
        <rFont val="Calibri"/>
        <family val="2"/>
        <scheme val="minor"/>
      </rPr>
      <t xml:space="preserve">TØI-rapport 1558/2017. </t>
    </r>
  </si>
  <si>
    <t>https://www.toi.no/getfile.php?mmfileid=44646</t>
  </si>
  <si>
    <t>TØI-rapport 1762/2020</t>
  </si>
  <si>
    <r>
      <t xml:space="preserve">TØI (2020): </t>
    </r>
    <r>
      <rPr>
        <i/>
        <sz val="11"/>
        <color theme="1"/>
        <rFont val="Calibri"/>
        <family val="2"/>
        <scheme val="minor"/>
      </rPr>
      <t>Verdsetting av reisetid og tidsavhengige faktorer (Verdsettingsstudien 2018-2020)</t>
    </r>
  </si>
  <si>
    <t>https://www.toi.no/getfile.php?mmfileid=53108</t>
  </si>
  <si>
    <t>TØI-rapport 1689/2019</t>
  </si>
  <si>
    <r>
      <t xml:space="preserve">TØI (2019): </t>
    </r>
    <r>
      <rPr>
        <i/>
        <sz val="11"/>
        <color theme="1"/>
        <rFont val="Calibri"/>
        <family val="2"/>
        <scheme val="minor"/>
      </rPr>
      <t>Framskriving av kjøretøyparken i samsvar med nasjonalbudsjettet 2019.</t>
    </r>
    <r>
      <rPr>
        <sz val="11"/>
        <color theme="1"/>
        <rFont val="Calibri"/>
        <family val="2"/>
        <scheme val="minor"/>
      </rPr>
      <t xml:space="preserve"> TØI rapport 1689/2019.</t>
    </r>
  </si>
  <si>
    <t xml:space="preserve">https://www.toi.no/getfile.php?mmfileid=50202  </t>
  </si>
  <si>
    <t>TØI-rapport 1704/2019</t>
  </si>
  <si>
    <r>
      <t xml:space="preserve">TØI (2019): </t>
    </r>
    <r>
      <rPr>
        <i/>
        <sz val="11"/>
        <color theme="1"/>
        <rFont val="Calibri"/>
        <family val="2"/>
        <scheme val="minor"/>
      </rPr>
      <t>Eksterne kostnader ved transport i Norge</t>
    </r>
  </si>
  <si>
    <t>https://www.toi.no/getfile.php?mmfileid=52408</t>
  </si>
  <si>
    <t>Vista analyse (2015)</t>
  </si>
  <si>
    <r>
      <t xml:space="preserve">Vista analyse (2015): </t>
    </r>
    <r>
      <rPr>
        <i/>
        <sz val="11"/>
        <color theme="1"/>
        <rFont val="Calibri"/>
        <family val="2"/>
        <scheme val="minor"/>
      </rPr>
      <t>Marginale eksterne kostnader ved  transport av gods på sjø og bane. (54/2015)</t>
    </r>
  </si>
  <si>
    <t>http://www.ntp.dep.no/Forside/_attachment/1595499/binary/1143639?_ts=15823d19e90</t>
  </si>
  <si>
    <t>Vista analyse (2020)</t>
  </si>
  <si>
    <r>
      <t xml:space="preserve">Vista (2020): </t>
    </r>
    <r>
      <rPr>
        <i/>
        <sz val="11"/>
        <color theme="1"/>
        <rFont val="Calibri"/>
        <family val="2"/>
        <scheme val="minor"/>
      </rPr>
      <t>Kalkulasjonspris for CO2 og utslipp av CO2 i transportmodellene (2020/03)</t>
    </r>
  </si>
  <si>
    <t>https://vista-analyse.no/site/assets/files/6776/va-rapport_2020-03_klimapris_og_utslipp_transport.pdf</t>
  </si>
  <si>
    <t>Wikipedia (2017)</t>
  </si>
  <si>
    <t>Wikipedia (2017): Diesel (oppdatert 5.5.2017)</t>
  </si>
  <si>
    <t>https://no.wikipedia.org/wiki/Diesel</t>
  </si>
  <si>
    <t>Regjeringen (2021)</t>
  </si>
  <si>
    <t>Regjeringen (2021): Meld.St. 14 (2020-2021), Perspektivmeldingen 2021.</t>
  </si>
  <si>
    <t>Meld. St. 14 (2020–2021) (regjeringen.no)</t>
  </si>
  <si>
    <t>Regjeringen (2020)</t>
  </si>
  <si>
    <r>
      <t xml:space="preserve">Regjeringen.no (2020): </t>
    </r>
    <r>
      <rPr>
        <i/>
        <sz val="11"/>
        <color theme="1"/>
        <rFont val="Calibri"/>
        <family val="2"/>
        <scheme val="minor"/>
      </rPr>
      <t>Avgiftssatser 2021.</t>
    </r>
  </si>
  <si>
    <t>Avgiftssatser 2021 - regjeringen.no</t>
  </si>
  <si>
    <t xml:space="preserve">Regjeringen (2021) Avgiftssatser </t>
  </si>
  <si>
    <r>
      <t xml:space="preserve">Regjeringen.no (2021): </t>
    </r>
    <r>
      <rPr>
        <i/>
        <sz val="11"/>
        <color theme="1"/>
        <rFont val="Calibri"/>
        <family val="2"/>
        <scheme val="minor"/>
      </rPr>
      <t xml:space="preserve">Avgiftssatser 2022. </t>
    </r>
    <r>
      <rPr>
        <sz val="11"/>
        <color theme="1"/>
        <rFont val="Calibri"/>
        <family val="2"/>
        <scheme val="minor"/>
      </rPr>
      <t xml:space="preserve"> </t>
    </r>
  </si>
  <si>
    <t>Avgiftssatser 2022 - regjeringen.no</t>
  </si>
  <si>
    <t>Regjeringen (2022)Avgiftssatser</t>
  </si>
  <si>
    <r>
      <t xml:space="preserve">Regjeringen (2022): </t>
    </r>
    <r>
      <rPr>
        <i/>
        <sz val="11"/>
        <color theme="1"/>
        <rFont val="Calibri"/>
        <family val="2"/>
        <scheme val="minor"/>
      </rPr>
      <t>Avgiftssatser 2023.</t>
    </r>
  </si>
  <si>
    <t>Avgiftssatser 2023 - regjeringen.no</t>
  </si>
  <si>
    <t>Regjeringen (2022) Karbonprisbaner</t>
  </si>
  <si>
    <r>
      <t xml:space="preserve">Regjeringen.no (2022): </t>
    </r>
    <r>
      <rPr>
        <i/>
        <sz val="11"/>
        <color theme="1"/>
        <rFont val="Calibri"/>
        <family val="2"/>
        <scheme val="minor"/>
      </rPr>
      <t xml:space="preserve">Karbonprisbaner for bruk i samfunnsøkonomiske analyser. </t>
    </r>
  </si>
  <si>
    <t>Karbonprisbaner for bruk i samfunnsøkonomiske analyser - regjeringen.no</t>
  </si>
  <si>
    <t>TØI-rapport 1918/2022, rev. 1</t>
  </si>
  <si>
    <t>TØI (2022): Framskrivinger for godstransport til NTP 2025-2036</t>
  </si>
  <si>
    <t>Framskrivinger for godstransport til NTP 2025-2036 (toi.no)</t>
  </si>
  <si>
    <t>TØI-rapport 1926/2022</t>
  </si>
  <si>
    <t>TØI (2022): Framskrivinger for persontransport til NTP 2025-2036</t>
  </si>
  <si>
    <t>Framskrivinger for persontransport til NTP 2025-2036 (toi.no)</t>
  </si>
  <si>
    <t>Helsedirektoratet (2025)</t>
  </si>
  <si>
    <t>Dokumentasjonsrapport: Helseeffekter av fysisk aktivitet per km gange og sykling</t>
  </si>
  <si>
    <t>Økonomisk verdsetting av helsegevinster - Helsedirektoratet</t>
  </si>
  <si>
    <t xml:space="preserve">TØI (2025): Eksterne kostnader ved jernbanetransport </t>
  </si>
  <si>
    <t>Eksterne kostnader ved jernbanetransport</t>
  </si>
  <si>
    <t>Beregning til "1.1 Standardsatser"</t>
  </si>
  <si>
    <t xml:space="preserve">Sats </t>
  </si>
  <si>
    <t>Benevning</t>
  </si>
  <si>
    <t>Opprinnelig Kroneår</t>
  </si>
  <si>
    <t xml:space="preserve">Kr/km </t>
  </si>
  <si>
    <t>Kr/km</t>
  </si>
  <si>
    <t>andel</t>
  </si>
  <si>
    <t xml:space="preserve">Representerer helseeffekten for at  gående/syklende ikke tar ut sykefravær på kort sikt og redusert risiko for kronisk sykdom. Antar lik fordeling av kortvarig sykefravær og kronisk sykdom, og at det summeres for gående og syklende. Det forutsettes at verdien på et statistisk liv er 30 mill. 2012-kr. Se Jernbanedirektoratet.no/Saga for eksakte tall. </t>
  </si>
  <si>
    <t xml:space="preserve">Kr/togkm </t>
  </si>
  <si>
    <t>Kg/l</t>
  </si>
  <si>
    <t>Kr/l</t>
  </si>
  <si>
    <t>Beregnet ut i fra drivstofforbruket og de ulike avgiftene som påløper per liter drivstoff.</t>
  </si>
  <si>
    <t>Prosent</t>
  </si>
  <si>
    <t>kr/togkm</t>
  </si>
  <si>
    <t>l/km</t>
  </si>
  <si>
    <t>Kr/kg</t>
  </si>
  <si>
    <t>Kr/togkm</t>
  </si>
  <si>
    <t>Kr/kjøretøykm</t>
  </si>
  <si>
    <t>Beregnet ut i fra drivstofforbruket og de ulike avgiftene som påløper per liter drivstoff. Det er forskjell mellom bensin og diesel, derfor er disse satsene vektet med andel av bilparken.</t>
  </si>
  <si>
    <t>Kr/fartøykm</t>
  </si>
  <si>
    <t>Avgiftssatser</t>
  </si>
  <si>
    <t>Veibruksavgift diesel</t>
  </si>
  <si>
    <t>Kr/tonn</t>
  </si>
  <si>
    <t>Avgift satt av staten. Kilde: Regjeringen (2023), Avgiftssatser 2024</t>
  </si>
  <si>
    <t>Veibruksavgift bensin</t>
  </si>
  <si>
    <t xml:space="preserve">NOx-avgift </t>
  </si>
  <si>
    <t>Svovelavgift</t>
  </si>
  <si>
    <t>Sporavgift - person</t>
  </si>
  <si>
    <t>Sporavgift: grunnpris persontog øvrige strekninger. Bane NOR, Network statement (2023)</t>
  </si>
  <si>
    <t>Sporavgift - gods</t>
  </si>
  <si>
    <t>Sporavgift: grunnpris godstog øvrige strekninger. Bane NOR, Network statement (2023)</t>
  </si>
  <si>
    <t>Kr/settkm</t>
  </si>
  <si>
    <t>Sett</t>
  </si>
  <si>
    <t xml:space="preserve">Slitasjekostnad per bruttotonn km*gjennomsnittsvekt av et persontog. </t>
  </si>
  <si>
    <t>Omfatter kun marginalkostnaden for vedlikehold, reinvestering dekkes i 2.5 investeringer og reinvesteringer. SINTEF rapport 2020 som oppfølging av TØI 1704/2019 konkluderer med at satsene for reinvestering er i 1704 er for usikre pga for kort tidsserie.</t>
  </si>
  <si>
    <t xml:space="preserve">Kr/kjøretøykm </t>
  </si>
  <si>
    <t>Kr per time</t>
  </si>
  <si>
    <t>Kr</t>
  </si>
  <si>
    <t>prosent</t>
  </si>
  <si>
    <t>Timer</t>
  </si>
  <si>
    <t>Det er antatt en gjennomsnittlig årslønn uavhengig av ansiennitet og alder.</t>
  </si>
  <si>
    <t>Kr per settkm</t>
  </si>
  <si>
    <t>kWh/settkm</t>
  </si>
  <si>
    <t xml:space="preserve">Energikostnaden for elektriske tog er beregnet ved å bruke forutsetningen om energiforbruket og energikostnaden per kWh. </t>
  </si>
  <si>
    <t>Kr per kWh</t>
  </si>
  <si>
    <t xml:space="preserve">Energikostnaden for dieseltog er basert på en dieselpris og et gjennomsnittlig forbruk til det aktuelle materiellet. </t>
  </si>
  <si>
    <t>Kr per dag</t>
  </si>
  <si>
    <t>Rengjøringskostnaden er antall vogner ganget med rengjøring per vogn.</t>
  </si>
  <si>
    <t>Generelt</t>
  </si>
  <si>
    <t>Energikostnader Elektrisk</t>
  </si>
  <si>
    <t>Kr/MWh</t>
  </si>
  <si>
    <t xml:space="preserve">Energikostnaden per kWh  er basert på NVEs langsiktige kraftmarkedsundersøkelse med B2030 (https://publikasjoner.nve.no/rapport/2023/rapport2023_25.pdf)  og avgifter Bane NOR krever inn (https://trv.banenor.no/portaler/!energiavregning/doku.php?id=tariffer:tariffer_for_kostnadselementer). </t>
  </si>
  <si>
    <t>Energikostnader Diesel</t>
  </si>
  <si>
    <t>Energikostnaden for dieseltog er hentet fra https://www.circlek.no/bedrift/drivstoff/drivstoffpriser, og er prisen for anleggsdiesel nok/l eks. mva.</t>
  </si>
  <si>
    <t>Rengjøringskostnad per vogn</t>
  </si>
  <si>
    <t>Kr per vogn</t>
  </si>
  <si>
    <t>Rengjøringskostnaden er basert på erfaringstall og at det tar ca 1-1,5 time å rengjøre en vogn. Det er antatt at det koster i gjennomsnitt 750 kroner å vaske en vogn per dag.</t>
  </si>
  <si>
    <t>Vektet snitt</t>
  </si>
  <si>
    <t>Kjøretøykm snitt 2006-2023</t>
  </si>
  <si>
    <t>Død</t>
  </si>
  <si>
    <t>Hard skade</t>
  </si>
  <si>
    <t>Lett skade</t>
  </si>
  <si>
    <t>Sum</t>
  </si>
  <si>
    <t>Persontog</t>
  </si>
  <si>
    <t>Godstog</t>
  </si>
  <si>
    <t>- Bil &lt; 1200 kg</t>
  </si>
  <si>
    <t>Vektet fire ulike vektklasser for tung lastebil</t>
  </si>
  <si>
    <t>- Bil 12-1400 kg</t>
  </si>
  <si>
    <t>- Bil 14-1600 kg</t>
  </si>
  <si>
    <t>- Bil &gt; 1600 kg</t>
  </si>
  <si>
    <t>Personbil</t>
  </si>
  <si>
    <t>Buss</t>
  </si>
  <si>
    <t>Skip</t>
  </si>
  <si>
    <t>Lett lastebil</t>
  </si>
  <si>
    <t>Tung lastebil og modulvogntog</t>
  </si>
  <si>
    <t>Tonn/km</t>
  </si>
  <si>
    <t>Beregnet ut i fra drivstofforbruket og enhetsprisene ganget med de lokale utslippene til luft.</t>
  </si>
  <si>
    <t>Ha gjennomsnitt av alle drivstofftypene</t>
  </si>
  <si>
    <t>NOx-utslipp</t>
  </si>
  <si>
    <t>PM10-utslipp</t>
  </si>
  <si>
    <t>SO2-utslipp</t>
  </si>
  <si>
    <t>Satser</t>
  </si>
  <si>
    <t>Svevestøv (PM10) - Store tettsteder - vektet for eksos og veistøv</t>
  </si>
  <si>
    <r>
      <t xml:space="preserve">Anslag for enhetspriser ved utslipp av svevestøv (PM10) per kg/tonn utslipp, Store tettsteder. Benyttet i rapporten fra </t>
    </r>
    <r>
      <rPr>
        <i/>
        <sz val="11"/>
        <rFont val="Calibri"/>
        <family val="2"/>
        <scheme val="minor"/>
      </rPr>
      <t>TØI (2019): Skadekostnader ved transport.</t>
    </r>
  </si>
  <si>
    <t>Svevestøv (PM10) - Små tettsteder - vektet for eksos og veistøv</t>
  </si>
  <si>
    <t>Anslag for enhetspriser ved utslipp av svevestøv (PM10) per kg/tonn utslipp, Små tettsteder. Benyttet i rapporten fra TØI (2019): Skadekostnader ved transport.</t>
  </si>
  <si>
    <t>Svevestøv (PM10) - Spredt bebyggelse - vektet for eksos og veistøv</t>
  </si>
  <si>
    <t>Anslag for enhetspriser ved utslipp av svevestøv (PM10) per kg/tonn utslipp, Spredt bebyggelse. Benyttet i rapporten fra TØI (2019): Skadekostnader ved transport.</t>
  </si>
  <si>
    <t>Svevestøv (PM10) - Store tettsteder - eksos</t>
  </si>
  <si>
    <t>Svevestøv (PM10) - Små tettsteder - eksos</t>
  </si>
  <si>
    <t>Svevestøv (PM10) - Spredt bebyggelse - eksos</t>
  </si>
  <si>
    <t>Svevestøv (PM10) - Store tettsteder - veistøv mm</t>
  </si>
  <si>
    <t>Svevestøv (PM10) - Små tettsteder - veistøv mm</t>
  </si>
  <si>
    <t>Svevestøv (PM10) - Spredt bebyggelse - veistøv mm</t>
  </si>
  <si>
    <t>Nitrogenoksider (NOx) - Store tettsteder</t>
  </si>
  <si>
    <t>Anslag for enhetspriser ved utslipp av nitrogenoksider (NOx) per kg/tonn utslipp, Store tettsteder. Benyttet i rapporten fra TØI (2019): Skadekostnader ved transport.</t>
  </si>
  <si>
    <t>Nitrogenoksider (NOx) - Små tettsteder</t>
  </si>
  <si>
    <t>Anslag for enhetspriser ved utslipp av nitrogenoksider (NOx) per kg/tonn utslipp, Små tettsteder. Benyttet i rapporten fra TØI (2019): Skadekostnader ved transport.</t>
  </si>
  <si>
    <t>Nitrogenoksider (NOx) - Spredt bebyggelse</t>
  </si>
  <si>
    <t>Anslag for enhetspriser ved utslipp av nitrogenoksider (NOx) per kg/tonn utslipp, Spredt bebyggelse. Benyttet i rapporten fra TØI (2019): Skadekostnader ved transport.</t>
  </si>
  <si>
    <t>Svoveldioksid (SO2) - Store tettsteder</t>
  </si>
  <si>
    <t>Anslag for enhetspriser ved utslipp av svoveldioksid (SO2) per kg/tonn utslipp, Store tettsteder. Benyttet i rapporten fra TØI (2019): Skadekostnader ved transport.</t>
  </si>
  <si>
    <t>Svoveldioksid (SO2) - Små tettsteder</t>
  </si>
  <si>
    <t>Anslag for enhetspriser ved utslipp av svoveldioksid (SO2) per kg/tonn utslipp, Små tettsteder. Benyttet i rapporten fra TØI (2019): Skadekostnader ved transport.</t>
  </si>
  <si>
    <t>Svoveldioksid (SO2) - Spredt bebyggelse</t>
  </si>
  <si>
    <t>Anslag for enhetspriser ved utslipp av svoveldioksid (SO2), per kg/tonn utslipp, Spredt bebyggelse. Benyttet i rapporten fra TØI (2019): Skadekostnader ved transport.</t>
  </si>
  <si>
    <t>Beregning til "1.2 Forutsetninger"</t>
  </si>
  <si>
    <t>Forutsetning</t>
  </si>
  <si>
    <t>faktor</t>
  </si>
  <si>
    <t>Er lik summen av selskaps- og utbytteskatt. Grunnlaget for utbytteskatt er lik overskuddet (dvs. selskapsskattegrunnlaget fratrukket selskapsskatten) multiplisert med 1) en myndighetsbestemt faktor for utbytte og 2) satsen for selskapsskatt. Se forklaring i fotnote 7 på https://www.regjeringen.no/no/tema/okonomi-og-budsjett/skatter-og-avgifter/skattesatser-2020/id2671009/.</t>
  </si>
  <si>
    <t>Personer pr. bil</t>
  </si>
  <si>
    <t>Snittet av tallene utgjør satsen. Statistikken gjelder alle turer opp til 50 km. Kilden oppgir ikke tall for reiser i intervallet 50-100 km.</t>
  </si>
  <si>
    <t>Vekt</t>
  </si>
  <si>
    <t>Vektfaktor</t>
  </si>
  <si>
    <t>Det vektede snittet mellom vekt-faktor for ventetid på henholdsvis 0-5 min. og 6-15 min. utgjør satsen.</t>
  </si>
  <si>
    <t>Trafikkarbeid (mill. kjøretøykm.)</t>
  </si>
  <si>
    <t>Trafikkarbeid i store tettsteder i mill. kjøretøykm./Totalt trafikkarbeid målt i mill. kjøretøykm.</t>
  </si>
  <si>
    <t>Trafikkarbeid i små tettsteder i mill. kjøretøykm./Totalt trafikkarbeid målt i mill. kjøretøykm.</t>
  </si>
  <si>
    <t>Trafikkarbeid i spredt bebyggelse i mill. kjøretøykm./Totalt trafikkarbeid målt i mill. kjøretøykm.</t>
  </si>
  <si>
    <t xml:space="preserve">Mill. kjøretøykm </t>
  </si>
  <si>
    <t>Summerer andel kjøretøykm for bensin og diesel i tettsteder over 100 000, og deler det på totalt antall kjøretøykm</t>
  </si>
  <si>
    <t>Summerer andel kjøretøykm for bensin og diesel i tettsteder mellom 15' -100 000, og deler det på totalt antall kjøretøykm</t>
  </si>
  <si>
    <t>Summerer andel kjøretøykm for bensin og diesel i spredt bebyggelse, og deler det på totalt antall kjøretøykm</t>
  </si>
  <si>
    <t>Andel kjøretøykm for diesel i tettsteder over 100 000, og deler det på totalt antall kjøretøykm</t>
  </si>
  <si>
    <t>Andel kjøretøykm for diesel i tettsteder under 100 000, og deler det på totalt antall kjøretøykm</t>
  </si>
  <si>
    <t>Andel kjøretøykm for diesel i spredt bebyggelse, og deler det på totalt antall kjøretøykm</t>
  </si>
  <si>
    <t>Andel kjøretøykm for lett lastebil i tettsteder over 100 000, og deler det på totalt antall kjøretøykm</t>
  </si>
  <si>
    <t>Andel kjøretøykm for lett lastebil i tettsteder under 100 000, og deler det på totalt antall kjøretøykm</t>
  </si>
  <si>
    <t>Andel kjøretøykm for lett lastebil i spredt bebyggelse, og deler det på totalt antall kjøretøykm</t>
  </si>
  <si>
    <t>Andel kjøretøykm for tung lastebil i tettsteder over 100 000, og deler det på totalt antall kjøretøykm</t>
  </si>
  <si>
    <t>Andel kjøretøykm for tung lastebil i tettsteder under 100 000, og deler det på totalt antall kjøretøykm</t>
  </si>
  <si>
    <t>Andel kjøretøykm for tung lastebil i spredt bebyggelse, og deler det på totalt antall kjøretøykm</t>
  </si>
  <si>
    <t>Antar at modulvogn har samme fordeling som tung lastebil</t>
  </si>
  <si>
    <t>Vektet snitt (ulykker/ mill. kjøretøykm</t>
  </si>
  <si>
    <t>Kjøretøykm snitt 2006-2023 for tog, 2006-2017 for øvrige</t>
  </si>
  <si>
    <t>Fotgjenger</t>
  </si>
  <si>
    <t>Sykkel</t>
  </si>
  <si>
    <t>Moped</t>
  </si>
  <si>
    <t>Lett MC</t>
  </si>
  <si>
    <t>Tung MC</t>
  </si>
  <si>
    <t>Bil &lt; 1200 kg</t>
  </si>
  <si>
    <t>Bil 12-1400 kg</t>
  </si>
  <si>
    <t>Bil 14-1600 kg</t>
  </si>
  <si>
    <t>Bil &gt; 1600 kg</t>
  </si>
  <si>
    <t>Kombibil</t>
  </si>
  <si>
    <t>Varebil</t>
  </si>
  <si>
    <t>Lastebil</t>
  </si>
  <si>
    <t>Tankbil</t>
  </si>
  <si>
    <t>Semitrailer</t>
  </si>
  <si>
    <t>Vogntog</t>
  </si>
  <si>
    <t>Trikk</t>
  </si>
  <si>
    <t>Annet (vegtr.sp.)</t>
  </si>
  <si>
    <t>Ingen motpart</t>
  </si>
  <si>
    <t>Lettere skadet</t>
  </si>
  <si>
    <t>Kolonnene bortover viser sannsynligheten for at transportmiddelet i den angitte raden forårsaker skade på transportmiddelet i kolonnen. Summen av disse sannsynlighetene utgjør ulykkesfrekvensen for transportmiddelet i raden. Biler, lette og tunge lastebiler består av flere underkategorier av transportmidler. Underkategoriene er samlet i vektede snitt basert på kjøretøykm i perioden 2006-2017.</t>
  </si>
  <si>
    <t>Hardt skadet</t>
  </si>
  <si>
    <t>G/togkm</t>
  </si>
  <si>
    <t>Antall gram NOx-utslipp per kjøretøykm er beregnet ut i fra drivstofforbruket og hvor mye NOx-utslipp det er per kg liter drivstoff. Antall gram Nox-utslipp varierer etter hva slags forbrenningsmotor det er, måten kjøretøyet blir brukt og er ikke nødvendigvis et én til én forhold når det gjelder mengden utslipp og liter forbrent per togkm/kjøretøykm. Satsen som er beregnet for tog er ansett som høy, men det er det beste estimatet vi har foreløpig.</t>
  </si>
  <si>
    <t>G/kjøretøykm</t>
  </si>
  <si>
    <t>Antall gram NOx-utslipp per kjøretøykm er beregnet ut i fra drivstofforbruket og hvor mye NOx-utslipp det er per kg liter drivstoff. Det er forskjell mellom bensin og diesel, derfor er disse utslippene vektet med andel av bilparken.</t>
  </si>
  <si>
    <t>Antall gram NOx-utslipp per kjøretøykm er beregnet ut i fra drivstofforbruket og hvor mye NOx-utslipp det er per kg liter drivstoff. Det er tatt utgangspunkt i en diesel turbus og tatt gjennomsnitt av de tre områdetypene.</t>
  </si>
  <si>
    <t>G/fartøykm</t>
  </si>
  <si>
    <t>Antall gram NOx-utslipp per kjøretøykm er beregnet ut i fra drivstofforbruket og hvor mye NOx-utslipp det er per kg liter drivstoff. Hentet fra vedlagt excelark til TØI (2019): Skadekostnader ved transport.</t>
  </si>
  <si>
    <t>Kg/togkm</t>
  </si>
  <si>
    <t>Antall kg CO2-utslipp per kjøretøykm er beregnet ut i fra drivstofforbruket og hvor mye CO2-utslipp det er per kg liter drivstoff.</t>
  </si>
  <si>
    <t>Kg/kjøretøykm</t>
  </si>
  <si>
    <t>Kg/fartøykm</t>
  </si>
  <si>
    <t>Antall kg CO2-utslipp per fartøykm er beregnet ut i fra drivstofforbruket og hvor mye CO2-utslipp det er per kg liter drivstoff.</t>
  </si>
  <si>
    <t>kg/km</t>
  </si>
  <si>
    <t>Hentet fra vedlagt excelark til TØI (2019): Skadekostnader ved transport.</t>
  </si>
  <si>
    <t>tonn/km</t>
  </si>
  <si>
    <t>For å finne drivstofforbruk for skip er det sett på forholdet mellom CO2-utslipp kg/km fra ulike skipstyper og delt det på utslippsfaktor per kg drivstoff for HFO (heavy fuel oil).</t>
  </si>
  <si>
    <t>Seter</t>
  </si>
  <si>
    <t>l/setekm</t>
  </si>
  <si>
    <t xml:space="preserve">Det er beregnet drivstofforbruk for fire typer passasjerfly fra SAS flåten, med bakgrunn i antagelsen om et gjennomsnittlig passasjerfly som flyr innenriks i Norge. </t>
  </si>
  <si>
    <t>Andelen skipstyper hvor det blir overført gods fra sjø til bane</t>
  </si>
  <si>
    <t>Container 8500 dwt</t>
  </si>
  <si>
    <t>For å finne et gjennomsnitt som er representativt i en analyse hvor vi ser på potensialet for overføring av gods fra sjø til bane er det gjennomført en analyse i nasjonal godsmodell der det er antatt at det er en 30 prosent reduksjon i distanse- og tidsavhengige kostnader på jernbanen for å se andelen av skipstyper hvor det blir overført gods fra sjø til bane.</t>
  </si>
  <si>
    <t>Container 5200 dwt</t>
  </si>
  <si>
    <t>Break Bulk 17000 dwt</t>
  </si>
  <si>
    <t>Dry bulk 2500 dwt</t>
  </si>
  <si>
    <t>Ro-RO 8000 dwt</t>
  </si>
  <si>
    <t>Tanker vessel 3500 dwt</t>
  </si>
  <si>
    <t>Stykkgodsskip 2530 dwt</t>
  </si>
  <si>
    <t>Stykkgodsskip 4440 dwt</t>
  </si>
  <si>
    <t xml:space="preserve">Fargeforklaring: </t>
  </si>
  <si>
    <t>Gule celler er 'Default'-verdier. Kan endres hvis det finnes nye og oppdaterte kilder.</t>
  </si>
  <si>
    <t>Endres ved oppdaterte kilder</t>
  </si>
  <si>
    <t>Røde celler er formler. Skal ikke endres.</t>
  </si>
  <si>
    <t>Formel - skal ikke endres</t>
  </si>
  <si>
    <t>Standardsatser</t>
  </si>
  <si>
    <t xml:space="preserve">Informasjon </t>
  </si>
  <si>
    <t>Fylles ut ved endring:</t>
  </si>
  <si>
    <t>Prisjustering</t>
  </si>
  <si>
    <t>Opprinnelig kroneår</t>
  </si>
  <si>
    <t>Kilde</t>
  </si>
  <si>
    <t>Indeks for prisjustering</t>
  </si>
  <si>
    <t>Bakgrunn til satsen</t>
  </si>
  <si>
    <t xml:space="preserve">Dato </t>
  </si>
  <si>
    <t>Lagt inn (Navn):</t>
  </si>
  <si>
    <t>Billettkostnader for transportmidler</t>
  </si>
  <si>
    <t>Takster for tog</t>
  </si>
  <si>
    <t>Grunntakst (per reise) - Arbeidsreiser</t>
  </si>
  <si>
    <t>KPI</t>
  </si>
  <si>
    <t>Det er antatt at det er en fastpris for billetten, så påløper det kilometeravhengige kostnader. Billettprisen blir derfor grunntaksten + antall km*kr/km for hver reisehensikt.</t>
  </si>
  <si>
    <t>Grunntakst (per reise) - Fritidsreiser</t>
  </si>
  <si>
    <t>Grunntakst (per reise) - Forretningsreiser</t>
  </si>
  <si>
    <t>Grunntakst (per reise) - Vektet Gjennomsnitt</t>
  </si>
  <si>
    <t>Distanseavhengig - Arbeidsreiser</t>
  </si>
  <si>
    <t>Distanseavhengig - Fritidsreiser</t>
  </si>
  <si>
    <t>Distanseavhengig - Forretningsreiser</t>
  </si>
  <si>
    <t>Distanseavhengig - Vektet Gjennomsnitt</t>
  </si>
  <si>
    <t>Tidskostnader for reisende</t>
  </si>
  <si>
    <r>
      <t>Reiser under</t>
    </r>
    <r>
      <rPr>
        <b/>
        <sz val="11"/>
        <color theme="1"/>
        <rFont val="Calibri"/>
        <family val="2"/>
      </rPr>
      <t xml:space="preserve"> 70 km</t>
    </r>
  </si>
  <si>
    <t>Arbeidsreiser - Tog (gj.snittlig trengsel)</t>
  </si>
  <si>
    <t>Kr/time</t>
  </si>
  <si>
    <t>TØI (2020)</t>
  </si>
  <si>
    <t xml:space="preserve">Lønnskostnad </t>
  </si>
  <si>
    <t>TØIs studie er basert på stated preferences (SP), med hypotetiske valg mellom reisetid, ventetid, omstigning, pålitelighet og kø. For gående og syklende er det også gjort en undersøkelse basert på endring i faktisk atferd (revealed preferences, RP). For tog, buss og bane/trikk er verdsettingen gjennomført med ulike forutsetninger om trengsel om bord. Dersom man i trafikantnytteberegningen ikke skal beregne nyttevirkninger fra endret trengselsnivå separat, bør man bruke verdiene for gjennomsnittlig trengsel. Dersom man skal beregne trengselsvirkninger separat (f.eks. i Trenklin), bør man bruke verdiene uten trengsel. Merk at SAGA ikke beregner trafikantnytten, slik at disse verdiene kun er ment som oppslagsverk.</t>
  </si>
  <si>
    <t>Arbeidsreiser - Tog (uten trengsel)</t>
  </si>
  <si>
    <t>Arbeidsreiser - Bilfører</t>
  </si>
  <si>
    <t>Arbeidsreiser - Bilpassasjer</t>
  </si>
  <si>
    <t>Arbeidsreiser - Buss (gj.snittlig trengsel)</t>
  </si>
  <si>
    <t>Arbeidsreiser - Sykkel (kontrollert for ulykkesrisiko)</t>
  </si>
  <si>
    <t>Arbeidsreiser - Gange (kontrollert for ulykkesrisiko)</t>
  </si>
  <si>
    <t>Arbeidsreiser - Hutigbåt</t>
  </si>
  <si>
    <t>Arbeidsreiser - T-bane/trikk/bybane (gj.snittlig trengsel)</t>
  </si>
  <si>
    <t>Fritidsreiser - Tog (gj.snittlig trengsel)</t>
  </si>
  <si>
    <t>Fritidsreiser - Tog (uten trengsel)</t>
  </si>
  <si>
    <t>Fritidsreiser - Bilfører</t>
  </si>
  <si>
    <t>Fritidsreiser - Bilpassasjer</t>
  </si>
  <si>
    <t>Fritidsreiser - Buss (gj.snittlig trengsel)</t>
  </si>
  <si>
    <t>Fritidsreiser - Sykkel (kontrollert for ulykkesrisiko)</t>
  </si>
  <si>
    <t>Fritidsreiser - Gange (kontrollert for ulykkesrisiko)</t>
  </si>
  <si>
    <t>Fritidsreiser - Hurtigbåt</t>
  </si>
  <si>
    <t>Fritidsreiser - T-bane/trikk/bybane (gj.snittlig trengsel)</t>
  </si>
  <si>
    <t>Forretningsreiser - Tog (gj.snittlig trengsel)</t>
  </si>
  <si>
    <t>Forretningsreiser - Tog (uten trengsel)</t>
  </si>
  <si>
    <t>Forretningsreiser - Bilfører</t>
  </si>
  <si>
    <t>Forretningsreiser - Bilpassasjer</t>
  </si>
  <si>
    <t>Forretningsreiser - Buss (gj.snittlig trengsel)</t>
  </si>
  <si>
    <t>Forretningsreiser - Hurtigbåt</t>
  </si>
  <si>
    <t>Forretningsreiser - T-bane/trikk/bybane (gj.snittlig trengsel)</t>
  </si>
  <si>
    <t>Alle formål - Tog (gj.snittlig trengsel)</t>
  </si>
  <si>
    <t>Alle formål - Tog (uten trengsel)</t>
  </si>
  <si>
    <t>Alle formål - Bilfører</t>
  </si>
  <si>
    <t>Alle formål - Bilpassasjer</t>
  </si>
  <si>
    <t>Alle formål - Buss (gj.snittlig trengsel)</t>
  </si>
  <si>
    <t>Alle formål - Sykkel (kontrollert for ulykkesrisiko)</t>
  </si>
  <si>
    <t>Alle formål - Gange (kontrollert for ulykkesrisiko)</t>
  </si>
  <si>
    <t>Alle formål - Hurtigbåt</t>
  </si>
  <si>
    <t>Alle formål - T-bane/trikk/bybane (gj.snittlig trengsel)</t>
  </si>
  <si>
    <r>
      <t>Reiser 7</t>
    </r>
    <r>
      <rPr>
        <b/>
        <sz val="11"/>
        <color theme="1"/>
        <rFont val="Calibri"/>
        <family val="2"/>
      </rPr>
      <t>0 - 200 km</t>
    </r>
  </si>
  <si>
    <t>Arbeidsreiser - Fly</t>
  </si>
  <si>
    <t>Fritidsreiser - Fly</t>
  </si>
  <si>
    <t>Forretningsreiser - Fly</t>
  </si>
  <si>
    <t>Alle formål - Fly</t>
  </si>
  <si>
    <r>
      <t xml:space="preserve">Reiser over </t>
    </r>
    <r>
      <rPr>
        <b/>
        <sz val="11"/>
        <color theme="1"/>
        <rFont val="Calibri"/>
        <family val="2"/>
      </rPr>
      <t>200 km</t>
    </r>
  </si>
  <si>
    <t>Køkostnader</t>
  </si>
  <si>
    <t>Store tettsteder</t>
  </si>
  <si>
    <t>Det antas at rundt 90 % av trengselskostnaden er knyttet til reisetid. De resterende kostnadene er knyttet til upålitelighet, økte drivstoffkostnader, ubekvemkostnader og kjøretøyenes driftskostnader (depresiering av kjøretøy og personalkostnader). Enhetsprisene (tidsverdiene) er justert i forhold til "normale" tidsverdier og beregningene gjøres kun for forventet kø. Modellberegningene fokuserer utelukkende på antall kjøretøy i nettverket og tidskostnader</t>
  </si>
  <si>
    <t>Små tettsteder</t>
  </si>
  <si>
    <t>Spredt bebyggelse</t>
  </si>
  <si>
    <t>Gjennomsnitt</t>
  </si>
  <si>
    <t>Vei (gods)</t>
  </si>
  <si>
    <t>Helseeffekter</t>
  </si>
  <si>
    <t>Tilbringerreiser med gang/sykkel</t>
  </si>
  <si>
    <t>Verdsetting av helseeffekter</t>
  </si>
  <si>
    <t>BNP</t>
  </si>
  <si>
    <t xml:space="preserve">Det legges vekt på at det er en usikkerhet knyttet til tallene – personer som i utgangspunktet har et lavt aktivitetsnivå får størst helsegevinst av økt gang- og sykkelbruk (estimert effekt).  </t>
  </si>
  <si>
    <t>Bakgrunn for sats</t>
  </si>
  <si>
    <t>Avgifter til staten (ekskl. CO2-avgift)</t>
  </si>
  <si>
    <t xml:space="preserve">Elektrisk </t>
  </si>
  <si>
    <t>Sporprisavgift er satt til 0 kroner siden det er antatt at en utgift for operatøren vil bli dekket av det offentlige, og resultere i et nullsum regnskap for samfunnet.</t>
  </si>
  <si>
    <t xml:space="preserve">Diesel </t>
  </si>
  <si>
    <t xml:space="preserve">Nedjustering lik fremtidig reallønnsvekst i perioden 2017-2018. </t>
  </si>
  <si>
    <t>Mai Brit Svendsen</t>
  </si>
  <si>
    <t>Andre transportmidler</t>
  </si>
  <si>
    <t xml:space="preserve">Personbil </t>
  </si>
  <si>
    <t xml:space="preserve">Avgifter fra CNG-drevne busser er ikke inkludert i satsen da togbruk antas å kun påvirke brukere av dieseldrevne busser. Nedjustering lik fremtidig reallønnsvekst i perioden 2017-2018. </t>
  </si>
  <si>
    <t>Vedlikeholdskostnader infrastruktur</t>
  </si>
  <si>
    <t>Tog</t>
  </si>
  <si>
    <t>Sporveksel</t>
  </si>
  <si>
    <t>Kr per stk, per år</t>
  </si>
  <si>
    <t>BKI D&amp;V</t>
  </si>
  <si>
    <t xml:space="preserve">Stasjon </t>
  </si>
  <si>
    <t>Jernbaneverket (2016), s. 3</t>
  </si>
  <si>
    <t>En marginal endring i antall stasjoner endrer vedlikeholdskostnadene med 2,34 % av de opprinnelige vedlikeholdskostnadene.</t>
  </si>
  <si>
    <t>Hovedspor</t>
  </si>
  <si>
    <t>Kr/km, per år</t>
  </si>
  <si>
    <t xml:space="preserve">Tunnel </t>
  </si>
  <si>
    <t>Bruer</t>
  </si>
  <si>
    <t xml:space="preserve">Persontog - slitasje </t>
  </si>
  <si>
    <t>TØI-rapport 2126/2025</t>
  </si>
  <si>
    <t>Slitasjekostnad på infrastrukturen ved en ekstra togkm.</t>
  </si>
  <si>
    <t>Godstog - slitasje</t>
  </si>
  <si>
    <t>Personbil - slitasje</t>
  </si>
  <si>
    <t>Beregningen er basert på marginalkostnad etter vekt, slitasjeelastisiteten, kostnad per kvadratmeter og gjennomsnittlig vegbredde. Beregningene følger svensk metodikk fra VIT, men tilpasset slik at den skal reflektere norske forhold best mulig.</t>
  </si>
  <si>
    <t>Buss - slitasje</t>
  </si>
  <si>
    <t>Lett lastebil - slitasje</t>
  </si>
  <si>
    <t>Lønnkostnader for personell på tog</t>
  </si>
  <si>
    <t>Lønn per time inkl. sosiale kostnader</t>
  </si>
  <si>
    <t>Lokomotivfører</t>
  </si>
  <si>
    <t>Lønnskostnad</t>
  </si>
  <si>
    <t>Beregningene er basert på gjennomsnittslønn fra utdanning.no</t>
  </si>
  <si>
    <t>Konduktør</t>
  </si>
  <si>
    <t>Driftskostnader tog</t>
  </si>
  <si>
    <t>S tog</t>
  </si>
  <si>
    <t>Mill. kr</t>
  </si>
  <si>
    <t xml:space="preserve">Kostnadene per sett nyanskaffelser basert på siste anskaffelser. </t>
  </si>
  <si>
    <t>Type 75</t>
  </si>
  <si>
    <t>Type 74</t>
  </si>
  <si>
    <t>Type 72</t>
  </si>
  <si>
    <t xml:space="preserve">Type 78 </t>
  </si>
  <si>
    <t>Type 77</t>
  </si>
  <si>
    <t>Type 93D</t>
  </si>
  <si>
    <t>Type 76</t>
  </si>
  <si>
    <t>Elektrisk lokomotiv (EL18)</t>
  </si>
  <si>
    <t>Diesel lokomotiv (Di4)</t>
  </si>
  <si>
    <t>Sittevogn (type 5 og 7)</t>
  </si>
  <si>
    <t>Sovevogn</t>
  </si>
  <si>
    <t xml:space="preserve">Energikostnad </t>
  </si>
  <si>
    <t>Energikostnaden ved elektrisk- og dieselkraft</t>
  </si>
  <si>
    <t>Type 76 (diesel)</t>
  </si>
  <si>
    <t>Type 76 (elektrisk)</t>
  </si>
  <si>
    <t>Vedlikeholdskostnader togsett</t>
  </si>
  <si>
    <t xml:space="preserve">I vedlikeholdskostnader ligge teknisk vedlikehold av togene, for eksempel service ved faste intervaller og reparasjoner. Vedlikeholdskostnadene er erfaringstall fra 2015 på Flirt togsett, lokomotiver og vogner. </t>
  </si>
  <si>
    <t xml:space="preserve">I vedlikeholdskostnader ligge teknisk vedlikehold av togene, for eksempel service ved faste intervaller og reparasjoner. Vedlikeholdskostnadene er erfaringstall fra 2021 på Flirt togsett, lokomotiver og vogner. </t>
  </si>
  <si>
    <t>Forutsatt å være 80 % av kostnadene for type 75 inntil leverandør er valgt</t>
  </si>
  <si>
    <t>Klargjøringskostnad</t>
  </si>
  <si>
    <t>I klargjøringskostnader er det kostnader for tømming av toaletter, utvendig vask av toget, etterfylling av såpedispensere, bytte sengetøy (gjelder sovevogner) og snu seter.</t>
  </si>
  <si>
    <t>Forutsatt å være lik kostnadene for type 75 inntil leverandør er valgt</t>
  </si>
  <si>
    <t>Rengjøringskostnad</t>
  </si>
  <si>
    <t>I disse kostnadene er det innvendig renhold og dette er ofte konkurranseutsatt siden det ikke kreves spesiell kompetanse for å kunne gjennomføre dette. På mange anlegg utføres renhold av underleverandør og det gis ofte en enhetspris per vogn.</t>
  </si>
  <si>
    <t>Ulykkeskostnader</t>
  </si>
  <si>
    <t>Gjennomsnittskostnad per hendelse</t>
  </si>
  <si>
    <t>Dødsfall</t>
  </si>
  <si>
    <t xml:space="preserve">BNP </t>
  </si>
  <si>
    <t>Summen av verdien av et statistisk liv (VSL) og ex-post kostnadsestimater for samfunnet. Basert på "reelle tilfeller" (ser bort fra underrapportering)</t>
  </si>
  <si>
    <t>Summen av verdien av et statistiske skader (VSS) og ex-post kostnadsestimater for samfunnet. Basert på "reelle tilfeller" (ser bort fra underrapportering)</t>
  </si>
  <si>
    <t>Lettere skade</t>
  </si>
  <si>
    <t>Marginalkostnad per kjøretøykilometer</t>
  </si>
  <si>
    <t>Sum marginale eksterne kostnader pga. skade- og dødsfallsrisiko. Beregnet ved å summere fysisk eksternalitet (kostnader som påføres motpart i ulykker), system eksternalitet (kostnader som påføres samfunnet) og trafikkvolumeksternalitet (kostnader som påføres andre transportbrukere)</t>
  </si>
  <si>
    <t>Fly</t>
  </si>
  <si>
    <t>TØI-rapport 464/1999, vedlegg A, tabell 7 s.42.</t>
  </si>
  <si>
    <t>Det er forutsatt at antall personskader under ruteflygning utgjør samme andel av det totale antall skader for alle typer flygninger som antall dødsfall under ruteflygning utgjør av total antall dødsfall for alle typer flygninger. Ingen flere forutsetninger redegjort for i kilde.</t>
  </si>
  <si>
    <t>Sum marginale eksterne kostnader pga. skade- og dødsfallsrisiko. I beregningen inkluderes personskader eller dødsfall for alle personer, uavhengig om det er ansatt eller eksterne siden datagrunnlaget er for dårlig til å skille på dette.</t>
  </si>
  <si>
    <t>Støykostnader</t>
  </si>
  <si>
    <t>Elektrisk - Store tettsteder</t>
  </si>
  <si>
    <t>Støykostnaden er fordelt på dag, kveld og natt. Det er i hovedresultatene rapportert på dagtid. Det er særlig større kostnad ved støy om natten for godstog. Dersom det gjennomføres en analyse av endring i godstogtilbudet, bør analytikeren vurdere å legge inn andel nattkjøring i 1.2 Forutsetninger. SAGA vil da benytte satsen for natt.  Øvrige satser er ment som oppslagsverk, og kan benyttes i egne beregninger dersom analytikeren finner det mer hensiktsmessig. 
To trinn: 1) Beregne økningen i støybelastning for en marginal endring (et ekstra kjøretøy/togsett), 2) Gange denne endringen med marginalkostnaden for 1DB støyendring og antall eksponerte. Marginalkostnaden består av helsekostnader grunnet søvnforstyrrelse og iskemiske hjertekarsykdommer. Ulempekostnader (tilpasningskostnader) er utelatt. (Eks. holder vinduer og dører stengt for å unngå støyen, de reduserer bruken av og oppholder seg kortere tid i uteområder, reduserer aktiviteter i nabolag)</t>
  </si>
  <si>
    <t>Elektrisk - Små tettsteder</t>
  </si>
  <si>
    <t>Elektrisk - Spredt bebyggelse</t>
  </si>
  <si>
    <t/>
  </si>
  <si>
    <t>Diesel - Store tettsteder</t>
  </si>
  <si>
    <t>Diesel - Små tettsteder</t>
  </si>
  <si>
    <t>Diesel - Spredt bebyggelse</t>
  </si>
  <si>
    <t>Diesel - Gjennomsnitt</t>
  </si>
  <si>
    <t>Elektrisk - Store tettsteder (kveld)</t>
  </si>
  <si>
    <t>Elektrisk - Små tettsteder (kveld)</t>
  </si>
  <si>
    <t>Elektrisk - Spredt bebyggelse (kveld)</t>
  </si>
  <si>
    <t>Diesel - Store tettsteder (kveld)</t>
  </si>
  <si>
    <t>Diesel - Små tettsteder (kveld)</t>
  </si>
  <si>
    <t>Diesel - Spredt bebyggelse (kveld)</t>
  </si>
  <si>
    <t>Elektrisk - Store tettsteder (natt)</t>
  </si>
  <si>
    <t>Elektrisk - Små tettsteder (natt)</t>
  </si>
  <si>
    <t>Elektrisk - Spredt bebyggelse (natt)</t>
  </si>
  <si>
    <t>Diesel - Store tettsteder (natt)</t>
  </si>
  <si>
    <t>Diesel - Små tettsteder (natt)</t>
  </si>
  <si>
    <t>Diesel - Spredt bebyggelse (natt)</t>
  </si>
  <si>
    <t>Støykostnaden er lik for alle typer personbiler, uavhengig av drivstoff. To trinn: 1) Beregne økningen i støybelastning for en marginal endring (et ekstra kjøretøy/togsett), 2) Gange denne endringen med marginalkostnaden for 1DB støyendring og antall eksponerte. Marginalkostnaden består av helsekostnader grunnet søvnforstyrrelse og iskemiske hjertekarsykdommer og lettere plager og ulemper. Ulempekostnader (tilpasningskostnader) er utelatt. (Eks. holder vinduer og dører stengt for å unngå støyen, de reduserer bruken av og oppholder seg kortere tid i uteområder, reduserer aktiviteter i nabolag)</t>
  </si>
  <si>
    <t>Støykostnaden er lik for turbuss og bybuss med CNG og diesel. To trinn: 1) Beregne økningen i støybelastning for en marginal endring (et ekstra kjøretøy/togsett), 2) Gange denne endringen med marginalkostnaden for 1DB støyendring og antall eksponerte. Marginalkostnaden består av helsekostnader grunnet søvnforstyrrelse og iskemiske hjertekarsykdommer og lettere plager og ulemper. Ulempekostnader (tilpasningskostnader) er utelatt. (Eks. holder vinduer og dører stengt for å unngå støyen, de reduserer bruken av og oppholder seg kortere tid i uteområder, reduserer aktiviteter i nabolag)</t>
  </si>
  <si>
    <t>Lokale utslipp (svevestøv (PM10), NOx, SO2)</t>
  </si>
  <si>
    <t>Siden alternativ anvendelse av strøm ikke tas med i beregningene, settes kostnaden til null for elektriske tog.</t>
  </si>
  <si>
    <t>Elektrisk - Gjennomsnitt</t>
  </si>
  <si>
    <t>Lokal luftforurensing fra transportaktiviteter knyttes til utslipp av miljø- og helseskadelige stoffer fra kjøretøy. Transportaktivtetene forurenser gjennom eksosutslipp, og for vegtrafikk oppstår forurensing også fra slitasje på dekk og bremser og oppvirvling av vegstøv.</t>
  </si>
  <si>
    <t>Gjennomsnitt av diesel- og bensindrevne biler. Lokal luftforurensing fra transportaktiviteter knyttes til utslipp av miljø- og helseskadelige stoffer fra kjøretøy. Transportaktivtetene forurenser gjennom eksosutslipp, og for vegtrafikk oppstår forurensing også fra slitasje på dekk og bremser og oppvirvling av vegstøv.</t>
  </si>
  <si>
    <t>Antar bare dieseldrevne busser. Turbuss. Det er mulig å hente ut resultater for Bybuss, de er litt lavere. Lokal luftforurensing fra transportaktiviteter knyttes til utslipp av miljø- og helseskadelige stoffer fra kjøretøy. Transportaktivtetene forurenser gjennom eksosutslipp, og for vegtrafikk oppstår forurensing også fra slitasje på dekk og bremser og oppvirvling av vegstøv.</t>
  </si>
  <si>
    <t>Jernbanedirektoratet (2018)</t>
  </si>
  <si>
    <t xml:space="preserve">Det vil være utslipp fra fly ved avgang og landing, men det er antatt at dette vil være minimalt som kan tilskrives et lokalt område som blir påvirket.  </t>
  </si>
  <si>
    <t>Grønne celler må fylles ut for tiltaket/prosjektet.</t>
  </si>
  <si>
    <t>Fylles ut</t>
  </si>
  <si>
    <t>Gule celler er "standard"-verdier eller celler som ikke alltid skal fylles ut. Kan endres når tiltaket/prosjektet vurderes eller det en ny kilde.</t>
  </si>
  <si>
    <t xml:space="preserve">Skal vurderes </t>
  </si>
  <si>
    <t>Røde celler er formler eller skal ikke ikke fylles ut.</t>
  </si>
  <si>
    <t>Skal ikke endres</t>
  </si>
  <si>
    <t>Transportmodell</t>
  </si>
  <si>
    <t>Modell som benyttes i analysen</t>
  </si>
  <si>
    <t>Informasjon om modellområdet</t>
  </si>
  <si>
    <t>Modell Person</t>
  </si>
  <si>
    <t>-</t>
  </si>
  <si>
    <t>Modell Gods</t>
  </si>
  <si>
    <t>Forutsetninger (Prosjektuavhengige)</t>
  </si>
  <si>
    <t>Informasjon</t>
  </si>
  <si>
    <t>Fylles ut ved endring</t>
  </si>
  <si>
    <t>Kalkulasjonsrente</t>
  </si>
  <si>
    <t>År</t>
  </si>
  <si>
    <t>Bakgrunn til forutsetning</t>
  </si>
  <si>
    <t>Startår for de ulike kalkulasjonsrentene.</t>
  </si>
  <si>
    <t>Kalkulasjonsrente/Diskonteringsrente</t>
  </si>
  <si>
    <t>NOU (2012): 16 (2012), s. 75</t>
  </si>
  <si>
    <t xml:space="preserve">Kalkulasjonsrenten begynner ved første år med investering, og det er antatt 40 år med samme kalkulasjonsrente etter åpning (samme som Statens vegvesen). I noen sammenhenger blir det også kalt diskonteringsrente. </t>
  </si>
  <si>
    <t>Generelle forutsetninger</t>
  </si>
  <si>
    <t>Gjeldene tom år</t>
  </si>
  <si>
    <t>Kildeår</t>
  </si>
  <si>
    <t>Skattefinansieringsfaktor</t>
  </si>
  <si>
    <t>Regjeringen (2014), s. 6</t>
  </si>
  <si>
    <t>For alle tiltak som skal finansieres over offentlige budsjetter skal en skattefinansieringskostnad inngå i analysen. Skattefinansieringskostnaden er den marginale kostnaden ved å hente inn en ekstra skattekrone.</t>
  </si>
  <si>
    <t>Skattekostnaden settes til 20 øre per krone. Denne skal benyttes av alle sektorer. Grunnlaget for beregning av skattekostnaden vil være tiltakets nettovirkning for offentlige budsjetter, dvs. det offentlige finansieringsbehovet.</t>
  </si>
  <si>
    <t>Skattesats, overskudd og utbytte operatører</t>
  </si>
  <si>
    <t>Skatt på alminnelig inntekt for bedrift, pluss skatt på overskudd. Det blir den maksimale effektive marginale skattesatsen.</t>
  </si>
  <si>
    <t>Skattefinansieringsfaktor for utbytte i privat sektor</t>
  </si>
  <si>
    <t xml:space="preserve">Skattefinansieringsfaktor for utbytte er den maksimale effektive marginale skattesatsen på utbytte * skattefinansieringsfaktoren. Hvis tiltaket øker overskuddet i godsnæringen, øker også skatteinngangen til det offentlige. Det reduserer behovet for annen skatteinnkreving, og bidrar således isolert sett til å redusere skattefinansieringskostnaden av tiltaket. </t>
  </si>
  <si>
    <t>Merverdiavgift, investeringer</t>
  </si>
  <si>
    <t xml:space="preserve">Merverdiavgift (mva.), tidligere kalt merverdiomsetningsavgift (moms), er en generell forbruksavgift (skatt) på verdien som blir lagt til varer eller tjenester (avanse) i hvert produksjons- eller handelsledd i innenlandsk omsetning. </t>
  </si>
  <si>
    <t>Den generelle satsen for varer og tjenester benyttes.</t>
  </si>
  <si>
    <t>Merverdiavgift, billettinntekter</t>
  </si>
  <si>
    <t>Billettinntektene i Trenklin beregnes ved fullpris/voksenpris enkeltbillet (inkl. moms) Se s. 55 i Trenklin 3 dokumentasjon.</t>
  </si>
  <si>
    <t>Alle beregninger i i nyttekostnadsanalyser skal være uten moms.</t>
  </si>
  <si>
    <t>Fremtidig vekst i reelt BNP (reallønnsvekst)</t>
  </si>
  <si>
    <t>Regjeringen (2024)</t>
  </si>
  <si>
    <t>Bruttonasjonalproduktet (BNP) viser verdien av alt som produseres i et land i en viss periode, vanligvis et år, og omfatter verdiskapingen (value added) i all næringsvirksomhet, offentlig forvaltning og ideelle organisasjoner. BNP er et mål for den samlede verdiskapingen i et land</t>
  </si>
  <si>
    <t>Siste år med realprisjustering</t>
  </si>
  <si>
    <t>Tidshorisonten i Perspektivmeldingen 2017 er til 2060. Etter dette antas det at veksten synker og går til 0 i 2100.</t>
  </si>
  <si>
    <t>Jon-Kristian Hovland</t>
  </si>
  <si>
    <t>Fremtidig konsumprisvekst (KPI)</t>
  </si>
  <si>
    <t xml:space="preserve">Regjeringen har fastsatt et inflasjonsmål for pengepolitikken i Norge. </t>
  </si>
  <si>
    <t>Pengepolitikken er innrettet mot at konsumprisene over tid skal vokse med nær 2 prosent årlig.</t>
  </si>
  <si>
    <t>Regjeringen (2017), s.121, tabell 6.1</t>
  </si>
  <si>
    <t>Antar at den er lik forventet BNP vekst</t>
  </si>
  <si>
    <t>CRF (Capital Recovery Factor)</t>
  </si>
  <si>
    <t>Faktor</t>
  </si>
  <si>
    <t>Forutsetninger (må alltid fylles ut)</t>
  </si>
  <si>
    <t>Antall beregningsår</t>
  </si>
  <si>
    <t>Antall</t>
  </si>
  <si>
    <t>Antall beregningsår er de årene det gjennomføres trafikk-, inntekts- og kostnadsberegninger for trafikken som påvirkes av tiltaket.</t>
  </si>
  <si>
    <t xml:space="preserve">Oppstartsår </t>
  </si>
  <si>
    <t xml:space="preserve">Det året investeringen i tiltaket starter. </t>
  </si>
  <si>
    <t>Åpningsår</t>
  </si>
  <si>
    <t>Er det året prosjektet er ferdigstilt, åpner og begynner å generere nytte. Dette er det første året i prosjektets levetid.</t>
  </si>
  <si>
    <t>Første beregningsår</t>
  </si>
  <si>
    <t xml:space="preserve">Det første året som er forutsatt i transportmodellkjøringen. </t>
  </si>
  <si>
    <t>Andre beregningsår</t>
  </si>
  <si>
    <t>Det andre året som er forutsatt i transportmodellkjøringen (hvis det er gjennomført transportmodellkjøring for to år).</t>
  </si>
  <si>
    <t>Tredje beregningsår</t>
  </si>
  <si>
    <t>Det tredje året som er forutsatt i transportmodellkjøringen (hvis det er gjennomført transportmodellkjøring for tre år).</t>
  </si>
  <si>
    <t>Diskonteringsår</t>
  </si>
  <si>
    <t>Angir hvilket år de årlige nytte- og kostnadsbeløpene skal neddiskonteres til.</t>
  </si>
  <si>
    <t>Kroneår i beregninger</t>
  </si>
  <si>
    <t xml:space="preserve">Hvilket kroneår som det skal justeres til i analysen fylles inn her. </t>
  </si>
  <si>
    <t>Kroneår - Tidskostnader i transportmodell/analyse</t>
  </si>
  <si>
    <t>Kroneåret for tisdverdiene som inngår for å beregne trafikantnytten i transportmodellen/transportanalysen i "1.3 Persontransportmodell"</t>
  </si>
  <si>
    <t>Kroneår - Takster i transportmodell/analyse</t>
  </si>
  <si>
    <t>Kroneåret for takstene som inngår for å beregne billettinntekter i transportmodellen/transportanalysen i "1.3 Persontransportmodell"</t>
  </si>
  <si>
    <t>Kroneår - Transportkostnader gods</t>
  </si>
  <si>
    <t>Kroneåret for logistikkostnadene for gods som inngår for å beregne transportkostnader i transportmodellen/transportanalysen i "1.4 Godsmodell"</t>
  </si>
  <si>
    <t>Siste statistikkår</t>
  </si>
  <si>
    <t>Dette er en forutsetning som ikke endrer seg uten at vi prisjusterer alle standardsatsene.</t>
  </si>
  <si>
    <t>Alle standardsatsene er justert med prisindekser slik at de er oppdatert til det året vi sist har statistikk for.</t>
  </si>
  <si>
    <t>Siste år med prognose</t>
  </si>
  <si>
    <t>Siste år med volumvekst</t>
  </si>
  <si>
    <t>Er det siste året som det beregnes nytte- og kostnadsstrøm for.</t>
  </si>
  <si>
    <t>Framskrivning etter siste beregningsår</t>
  </si>
  <si>
    <t>Vekstprognose</t>
  </si>
  <si>
    <t>Brukeren skal velge om vekstprognose  skal brukes til å framskrive nyttestrøm fra siste beregningsår, eller om det skal brukes lineærtrend basert på de to siste beregningsårene.</t>
  </si>
  <si>
    <t>Jon-Kristian Ryan Hovland</t>
  </si>
  <si>
    <t>Prosjektets levetid</t>
  </si>
  <si>
    <t>Antall år</t>
  </si>
  <si>
    <t>Regjeringen (2014), s. 5</t>
  </si>
  <si>
    <t>Angir i hvor mange år tiltaket vil generere en samfunnsnytte. Maksimalt 75 år.</t>
  </si>
  <si>
    <t>Levetiden som benyttes i analysen av investeringsprosjekter må reflektere den perioden tiltaket som analyseres faktisk vil være i bruk eller yte en samfunnstjeneste.</t>
  </si>
  <si>
    <t xml:space="preserve">Analyseperiodens lengde </t>
  </si>
  <si>
    <t>Som hovedprinsipp skal analyseperioden være så nær levetiden som praktisk mulig.</t>
  </si>
  <si>
    <t>For infrastrukturtiltak i samferdselssektoren settes analyseperioden til 40 år. Avvik fra dette prinsippet må begrunnes.</t>
  </si>
  <si>
    <t>Investering</t>
  </si>
  <si>
    <t>Kroneår - Investeringskostnader</t>
  </si>
  <si>
    <t xml:space="preserve">Dette er hvilket kroneår investeringskostnadene av tiltaket er oppgitt i. </t>
  </si>
  <si>
    <t xml:space="preserve">Investeringskostnad - Referanse </t>
  </si>
  <si>
    <t>Mill. NOK</t>
  </si>
  <si>
    <t>Investeringskostnader for referansealternativet (hvis det er noe)</t>
  </si>
  <si>
    <t xml:space="preserve">Hvis det er investeringer som inngår i referansealternativet så er det antatt at disse kostnadene fordeles likt på antall år som ved utbygging (forenkling). </t>
  </si>
  <si>
    <t xml:space="preserve">Investeringskostnad - Tiltak </t>
  </si>
  <si>
    <t>Investeringskostnaden for tiltaket</t>
  </si>
  <si>
    <t xml:space="preserve">Investeringskostnaden blir likt fordelt på antall år fra første år med investering til åpningsåret. </t>
  </si>
  <si>
    <t>Antall år investeringen skal fordeles på</t>
  </si>
  <si>
    <t>Antall år med investering beregnes automatisk fra oppstartsår til åpningsår.</t>
  </si>
  <si>
    <t>Co2-utslipp i byggefasen (på byggeplassen)</t>
  </si>
  <si>
    <t>Tonn Co2</t>
  </si>
  <si>
    <t xml:space="preserve">Antall tonn Co2-utslipp beregnet fra utslipp på byggeplassen. Dette vil typisk være utslipp fra anleggsmaskiner og utslipp ifm. sprenging. Her skal det kun inngå Co2-utslipp som er geografisk avgrenset til byggeplassen. </t>
  </si>
  <si>
    <t>Co2-utslipp i byggefasen (massetransport)</t>
  </si>
  <si>
    <t xml:space="preserve">Antall tonn Co2-utslipp beregnet fra massetransport til og fra byggeplassen. </t>
  </si>
  <si>
    <t>Sum Co2-utslipp i byggefasen</t>
  </si>
  <si>
    <t>Co2-utslipp arealbeslag</t>
  </si>
  <si>
    <t>Totale antall tonn Co2-utslipp beregnet fra arealbeslag</t>
  </si>
  <si>
    <t>Andel av investeringskostnaden</t>
  </si>
  <si>
    <t>Underbygg</t>
  </si>
  <si>
    <t xml:space="preserve">Disse andelene benyttes dersom alle komponentene inngår i et infrastrukturtiltak. Andelen av investeringskostnaden for de ulike komponentene vil være svært varierende fra tiltak til tiltak. Det må gjøres en vurdering for hvert enkelt tiltak hvordan investeringskostnadene fordeler seg, men vi vil her foreslå noen sjablongmessige tilnærminger hvis den informasjonen ikke er tilgjengelig. Det er hovedsakelig underbygning som varierer i størst grad og det er inndelt etter lav, middels og høy grad av underbygning. Når det er lav grad av underbygning vil de andre komponentene være en større del av investeringskostnadene og motsatt ved en høy grad av underbygning. Lav (60 %) - Middels (70 %) - Høy (80 %). Kategorien "Annen" kan benyttes dersom andel av investeringskostnaden ikke går under de øvrige kategoriene.  </t>
  </si>
  <si>
    <t>Overbygg</t>
  </si>
  <si>
    <t>KL-anlegg</t>
  </si>
  <si>
    <t>Lavspenning</t>
  </si>
  <si>
    <t>Signalanlegg</t>
  </si>
  <si>
    <t>Annen</t>
  </si>
  <si>
    <t xml:space="preserve">Disse andelene benyttes dersom alle komponentene inngår i et infrastrukturtiltak. Andelen av investeringskostnaden for de ulike komponentene vil være svært varierende fra tiltak til tiltak. Det må gjøres en vurdering for hvert enkelt tiltak hvordan investeringskostnadene fordeler seg, men vi vil her foreslå noen sjablongmessige tilnærminger hvis den informasjonen ikke er tilgjengelig. Det er hovedsakelig underbygning som varierer i størst grad og det er inndelt etter lav, middels og høy grad av underbygning. Når det er lav grad av underbygning vil de andre komponentene være en større del av investeringskostnadene og motsatt ved en høy grad av underbygning. Lav (60 %) - Middels (70 %) - Høy (80 %). Kategorien "Annen" kan benyttes dersom en andel av investeringskostnaden ikke går under de øvrige kategoriene, da må det fylles ut levetid for denne komponenten.  </t>
  </si>
  <si>
    <t>Sum andel av investeringskostnader</t>
  </si>
  <si>
    <t>Vedlikehold</t>
  </si>
  <si>
    <t>Referanse</t>
  </si>
  <si>
    <t>Tiltak</t>
  </si>
  <si>
    <t>Endring</t>
  </si>
  <si>
    <t>Sporveksler</t>
  </si>
  <si>
    <t xml:space="preserve">Antall sporveksler. </t>
  </si>
  <si>
    <t xml:space="preserve">Stasjoner </t>
  </si>
  <si>
    <t xml:space="preserve">Antall stasjoner. </t>
  </si>
  <si>
    <t>Daglinje</t>
  </si>
  <si>
    <t>Km</t>
  </si>
  <si>
    <t>Antall km daglinje (vanlig spor i "åpent" terreng, som ikke er tunnel eller bro).</t>
  </si>
  <si>
    <t>Tunnel</t>
  </si>
  <si>
    <t>Antall km tunnel</t>
  </si>
  <si>
    <t>Antall km bro</t>
  </si>
  <si>
    <t xml:space="preserve">Gjennomsnittlig hastighet </t>
  </si>
  <si>
    <t>km/t</t>
  </si>
  <si>
    <t>Gjennomsnittlig hastighet på toget.</t>
  </si>
  <si>
    <t>Hastighet påslag</t>
  </si>
  <si>
    <t xml:space="preserve">Endring i snitthastighet på 1 km/t endrer vedlikeholdskostnadene med 0,84 %. </t>
  </si>
  <si>
    <t xml:space="preserve">Høyere hastighet utsetter under- og overbygning for større krefter og mer slitasje. </t>
  </si>
  <si>
    <t>Energikilde</t>
  </si>
  <si>
    <t>Elektrisk</t>
  </si>
  <si>
    <t xml:space="preserve">Fyller inn om det er elektrisk, diesel eller bimodal strekning </t>
  </si>
  <si>
    <t>Andel diesel</t>
  </si>
  <si>
    <t>Dersom det er en bimodal strekning legges det inn andel av strekningen som kjøres med diesel</t>
  </si>
  <si>
    <t xml:space="preserve">Togmateriell </t>
  </si>
  <si>
    <t>Togtype</t>
  </si>
  <si>
    <t>Motorvogn eller lok+vogn</t>
  </si>
  <si>
    <t>Velg den mest brukte togtypen (motorvogn eller lok+vogn) for persontrafikk på strekningen. Hvis det velges lokomotiv (EL18 eller Di4) må også vogntype (sittevogn) og antall vogner fylles inn. NB: Når det bare ligger inne resultater for gods velges "Godstog"</t>
  </si>
  <si>
    <t>Vogner</t>
  </si>
  <si>
    <t>Vogntype</t>
  </si>
  <si>
    <t>Velge vogntype hvis den  mest brukste togtypen på strekningen er lok+vogn.</t>
  </si>
  <si>
    <t>Vogner per lokomotiv</t>
  </si>
  <si>
    <t>Antall vogner som i gjennomsnitt er festet på et lokomotiv.</t>
  </si>
  <si>
    <t xml:space="preserve">Togsett </t>
  </si>
  <si>
    <t>Motorvogner eller lok+vogn</t>
  </si>
  <si>
    <t>Fyll inn antall togsett som er nødvendig for å avvikle togtilbudet i analysen.</t>
  </si>
  <si>
    <t>Togtype 2</t>
  </si>
  <si>
    <t>Dersom to materielltyper skal analyseres må data for Togype 2 og Togsett 2 fylles ut</t>
  </si>
  <si>
    <t>Togsett 2</t>
  </si>
  <si>
    <t>Andre forutsetninger</t>
  </si>
  <si>
    <t>Punktlighet tog (NB: påvirker kun operatørenes driftskostnader)</t>
  </si>
  <si>
    <t>Anslått punktlighet for togtrafikk. Det er foreløpig ikke lagt inn funksjonalitet i SAGA for å beregne trafikantenes nytte av endret punktlighet. Dette fordi det er vanskelig å presist modellere hvordan et tiltak påvirker punktligheten. Punktlighetsanslaget her benyttes derfor kun som et grovt anslag på operatørenes økte driftskostnader (særlig pga. overtid for personell på toget) som følge av forsinkelser. Trafiktantenes nytte må beskrives som en ikke-prissatt virkning, eller beregnes utenfor SAGA.</t>
  </si>
  <si>
    <t xml:space="preserve">Tomtogkjøring </t>
  </si>
  <si>
    <t>Tomtogkilometer er den tilbakelagte distansen mellom stasjoner uten transporttilbud, også kalt posisjonskjøring. Det regnes normalt kun regelmessig tomtogkjøring mellom stedet et kjøretøy bytter til og fra kundedrift, til driftspause og det stedet kjøretøyet hensettes.</t>
  </si>
  <si>
    <t>Bruker foreløpig 10 % påslag på rutekm (det samme som har blitt brukt i R2027)</t>
  </si>
  <si>
    <t xml:space="preserve">Rabatt sporavgift godstog </t>
  </si>
  <si>
    <t>Nei</t>
  </si>
  <si>
    <t>Nei/Ja</t>
  </si>
  <si>
    <t>BaneNOR_2023</t>
  </si>
  <si>
    <t xml:space="preserve">Hvis "Ja" er valgt her, legges det inn 75 % rabatt på sporavgiften til godstog dersom åpningsåret er 2023 eller mindre, rabatten reduseres deretter gradvis til den blir null i 2028. Rabatten gjelder for utvalgte strekninger og delstrekninger. For deltaljer, se Network Statement (2024). Det skal velges "Nei" her dersom det er en analyse av persontransport. </t>
  </si>
  <si>
    <t>Mari B. Størseth</t>
  </si>
  <si>
    <t>Anta realprisjustering av fremtidig CO2-avgift</t>
  </si>
  <si>
    <t>Hvis "Ja" er valgt her, realprisjusteres CO2-avgiften med diskonteringsraten i fremtidige år. Hvis "Nei" er valgt, vil CO2-avgiften videreføres flatt på dagens nivå. Dersom CO2-avgiften er realprisjustert i transportmodellen, bør tilsvarende realprisjustering gjøres i SAGA. Samme avgiftsforutsetninger bør legges til grunn for trafikantnytten (beregnet i transportmodellen) og for operatørene og det offentlige (beregnes i SAGA), siden avgiften er en overføring mellom disse aktørene.</t>
  </si>
  <si>
    <t>Valg av karbonprisbane</t>
  </si>
  <si>
    <t>Hovedalternativ</t>
  </si>
  <si>
    <t>Høy/Lav/Hoved</t>
  </si>
  <si>
    <t xml:space="preserve">Hvis "Hovedalternativ" er valgt her, vil den årlige karbonprisbanen fra Finansdepartementet benyttes videre i analysen og det gjøres ikke følsomhetsbergegninger. Hvis "Høyt alternativ" er valgt her, benyttes karbonprisbanen som trengs for å begrense oppvarming til 1,5 grader (median-anslag). Hvis "Lavt alternativ" er valgt her, benyttes en karbonprisbane som er satt til 75 prosent av kvoteprisen i det første året og vokser deretter med kalkulasjonsrenten. </t>
  </si>
  <si>
    <t>Nattogandel (gods)</t>
  </si>
  <si>
    <t>Virkninger per døgn</t>
  </si>
  <si>
    <t>Skalering til årlige virkninger</t>
  </si>
  <si>
    <t>Fra transportmodellene hentes det ut virkninger per døgn som kan være forskjellig etter hvilken modell som brukes og hva som spesifiseres i modellen. Virkninger per døgn må gjøres om til årlige virkninger.</t>
  </si>
  <si>
    <t>Fylles ut ved input av virkninger per døgn. Er det en gjennomsnittsdag fylles det ut 365.</t>
  </si>
  <si>
    <t>Skalering til årlige virkninger - Togmateriell</t>
  </si>
  <si>
    <t>Denne faktoren benyttes under "2.2 Operatører"</t>
  </si>
  <si>
    <t xml:space="preserve">Fylles ut når input av virkninger per døgn er satt til 1 og dersom det er en endring i togtype og/eller antall togsett. Ved bruk av resultater for flere modellkjøringer i et beregningsår som allerede er justert til årlige virkninger vil faktor være satt til 1, men faktor for å beregne driftskostnader for operatør må skaleres med den samme faktoren som er brukt for å justere til årlige virkninger utenfor SAGA. </t>
  </si>
  <si>
    <t>Forutsetninger (vurderes opp mot tiltaket)</t>
  </si>
  <si>
    <t>Fylles ut ved endring av sats</t>
  </si>
  <si>
    <t>Reisehensiktsfordeling</t>
  </si>
  <si>
    <t>Arbeidsreiser</t>
  </si>
  <si>
    <t>RVU 2019 eget uttak</t>
  </si>
  <si>
    <t>Summerer arbeid og skole for å finne andelen arbeidsreiser.</t>
  </si>
  <si>
    <t>Blir beregnet fra modellresultatene eller en standard. Standard-andelen er beregnet fra RVU-data (2019): Rapportert reisehensikt og avreisetidspunkt for personreiser, stadfesting på grunnkretsnivå. Tabell 4.1 s. 20. Standard-andelen er summen av reiser med formål arbeid og skole.</t>
  </si>
  <si>
    <t>Fritidsreiser</t>
  </si>
  <si>
    <t>Summerer handle/service, følge/omsorg, fritid, besøk og annet.</t>
  </si>
  <si>
    <t>Blir beregnet fra modellresultatene eller en standard. Standard andelen er beregnet fra RVU-data (2013/14): Rapportert reisehensikt og avreisetidspunkt for personreiser, stadfesting på grunnkretsnivå. Tabell 4.1 s. 20. Standard-andelen er summen av reiser med formål handle/service, følge/omsorg, fritid, besøk og annet.</t>
  </si>
  <si>
    <t>Forretningsreiser</t>
  </si>
  <si>
    <t>Det samme som tjenestereiser</t>
  </si>
  <si>
    <t>Blir beregnet fra modellresultatene eller en standard. Standard andelen er beregnet fra RVU-data (2013/14): Rapportert reisehensikt og avreisetidspunkt for personreiser, stadfesting på grunnkretsnivå. Tabell 4.1 s. 20. Standard-andelen er lik tallet for tjenestereiser fra kilde.</t>
  </si>
  <si>
    <t>Elastisitet</t>
  </si>
  <si>
    <t>Reallønnsvekst</t>
  </si>
  <si>
    <t>Tjenestereiser</t>
  </si>
  <si>
    <t>TØI-rapport 1053B/2010, s.44.</t>
  </si>
  <si>
    <t>Hovedfunn er at lavinntektsgrupper har lavere elastisitet enn høyinntektsgrupper. Endringer i inntektsfordelingene over tid har derfor betydning for hvordan gjennomsnittlig elastisitet utvikler seg over tid. I rapporten anbefales det videre forskning på denne elastisiteten, men foreslår å bruke elastisiteten på 1 enn så lenge. Hvis elastisiteten tar verdien 1, innebærer det at tidsverdiene vokser i takt med realinntekten. Hvis den er 0,5, vil tidsverdiene stige med halve veksttakten til realinntekten.</t>
  </si>
  <si>
    <t xml:space="preserve"> Anbefalinger fra Sverige og Storbritannia (begge for samferdselssektoren er å benytte elastisitet på 1. (Ref. https://www.regjeringen.no/no/dokumenter/nou-2012-16/id700821/?ch=5).</t>
  </si>
  <si>
    <t>Øvrige reiser</t>
  </si>
  <si>
    <t>Miljø, ulykker og helse</t>
  </si>
  <si>
    <t xml:space="preserve">Hovedfunn er at lavinntektsgrupper har lavere elastisitet enn høyinntektsgrupper. Endringer i inntektsfordelingene over tid har derfor betydning for hvordan gjennomsnittlig elastisitet utvikler seg over tid. I rapporten anbefales det videre forskning på denne elastisiteten, men foreslår å bruke elastisiteten på 1 enn så lenge. </t>
  </si>
  <si>
    <t>Persontrafikk</t>
  </si>
  <si>
    <t>Priselastisitet</t>
  </si>
  <si>
    <t>[-0,20; -0,54]</t>
  </si>
  <si>
    <t>Oslo Economics (2017), s. 4</t>
  </si>
  <si>
    <t xml:space="preserve">Det benyttes priser på periodekort for ulike prissoner i Osloområdet til å belyse prisutvikling, og beregne priselastisiteten. Det er en betinget elastisitet, som betyr at andre transportmidler endrer sin pris tilsvarende som togprisene. </t>
  </si>
  <si>
    <t xml:space="preserve">Elastisitetene som presenteres kan tolkes som effekter av passasjerenes tilpasninger på mellomlang horisont og det gjelder for antall turer (data fra 2012-2015). Elastisitetene er beregnet for ulike geografiske inndelinger av strekninger og fjerntogstrekninger med og uten konkurranse fra fly. Det er ikke beregnet generelle elastisiteter, men satt opp intervall som fremkommer av de ulike inndelingene. Det er derfor nødvendig å vurdere elastisiteten i forhold til hvilken effekt tiltaket har. </t>
  </si>
  <si>
    <t>Ombordtidselastisitet</t>
  </si>
  <si>
    <t>[-0,26; -0,69]</t>
  </si>
  <si>
    <t>Sammenstilling av ombordtider med passasjervolumer og hvordan passasjerantallet har variert over perioden med hvordan ombordtidene på reiser på de samme strekningene har variert gir et mål på etterspørselens følsomhet for endringer i ombordtid.</t>
  </si>
  <si>
    <t>Ventetidselastisitet</t>
  </si>
  <si>
    <t>[-0,04; -0,50]</t>
  </si>
  <si>
    <t>Ventetiden er beregnet til halvparten av tiden mellom avgangene mellom det aktuelle stasjonsparet. Sammenstilling av ventetider med passasjervolumer og endringer i passasjerantallet med hvordan ventetiden på de samme strekningene har variert gjør det mulig å måle etterspørselens følsomhet for endringer i ventetid.</t>
  </si>
  <si>
    <t>GJT-elastisitet</t>
  </si>
  <si>
    <t>[-0,31; -1,21]</t>
  </si>
  <si>
    <t>Summen av ombordtid, ventetid og eventuell bytteventetid blir omtalt som generalisert reisetid (GJT).</t>
  </si>
  <si>
    <t>Infrastruktur</t>
  </si>
  <si>
    <t>Levetid for ulike komponenter</t>
  </si>
  <si>
    <t>år</t>
  </si>
  <si>
    <t>Underbygning innbefatter her også jernbanebruer, overgangsbruer, andre bærende konstruksjoner, tunneler, støttemurer osv. Teknisk regelverk sier at konstruksjoner skal regnes med en dimensjonerende brukstid på 100 år dersom ikke annet er angitt. Hentet tilbakemelding fra Asbjørn Rasdal i seksjon "Fagstøtte jernbaneteknikk og sikkerhet" i Jernbanedirektoratet.</t>
  </si>
  <si>
    <t>Med teknisk levetid menes den forventede levetiden et objekt har før de tekniske krav objektet er laget etter ikke lenger er oppfylte. Teknisk regelverk sier ingenting om eksakt levetid for underbygning men 100 års levetid for underbygning inkludert konstruksjoner høres fornuftig ut.</t>
  </si>
  <si>
    <t>I teknisk regelverk er det ikke angitt noen eksakt levetid for overbygning men 40 års levetid er nok riktig vurdering. Hentet tilbakemelding fra Asbjørn Rasdal i seksjon "Fagstøtte jernbaneteknikk og sikkerhet" i Jernbanedirektoratet.</t>
  </si>
  <si>
    <t xml:space="preserve">Med teknisk levetid menes den forventede levetiden et objekt har før de tekniske krav objektet er laget etter ikke lenger er oppfylte. </t>
  </si>
  <si>
    <t>I teknisk regelverk er det ikke angitt eksakt levetid for lavspenning, men 40 års levetid er nok en riktig vurdering. Denne forutsetningen het før elektroanlegg, men i samråd med Bane NOR er den endret til Lavspenning. Hentet tilbakemelding fra Asbjørn Rasdal i seksjon "Fagstøtte jernbaneteknikk og sikkerhet" i Jernbanedirektoratet.</t>
  </si>
  <si>
    <t>I teknisk regelverk skal forriglingsutrustningen ha en levetid på minimum 25 år. Signalanlegg er mer enn bare forriglingsutrustning men 25 års levetid for signalanlegg høres greit ut. Hentet tilbakemelding fra Asbjørn Rasdal i seksjon "Fagstøtte jernbaneteknikk og sikkerhet" i Jernbanedirektoratet.</t>
  </si>
  <si>
    <t xml:space="preserve">Kan være 5 år eller mer for å få riktig antall reinvesteringer. Er levetiden kortere må reinvesteringene justeres manuelt i 2.5. </t>
  </si>
  <si>
    <t>Belegg på transportmiddel</t>
  </si>
  <si>
    <t>Bilbelegg</t>
  </si>
  <si>
    <t xml:space="preserve">Andel av bilreiser </t>
  </si>
  <si>
    <t>Under eller lik 50 km</t>
  </si>
  <si>
    <t>Andel av daglige reiser som er under eller lik 50 km.</t>
  </si>
  <si>
    <t>Over 50 km</t>
  </si>
  <si>
    <t>Andel av daglige reiser som er over 50 km.</t>
  </si>
  <si>
    <t>Personer per bil</t>
  </si>
  <si>
    <t xml:space="preserve">Totalt </t>
  </si>
  <si>
    <t>Vektet gjennomsnitt av andelen som reiser over og under 50km, og hvor stor andel som er arbeidsreiser, fritidsreiser og forretningsreiser.</t>
  </si>
  <si>
    <t>Bussbelegg</t>
  </si>
  <si>
    <t>Personer per buss</t>
  </si>
  <si>
    <t>Gjennomsnittlig bussbelegg</t>
  </si>
  <si>
    <t>Regnet ut basert på SSBs kollektivstatistikk</t>
  </si>
  <si>
    <t>Flybelegg</t>
  </si>
  <si>
    <t>Personer per fly</t>
  </si>
  <si>
    <t xml:space="preserve">Basert på Avinors trafikkstatistikk. Dette gjelder kun innenlandsflyvninger. </t>
  </si>
  <si>
    <t>Verdi av omstigning</t>
  </si>
  <si>
    <t>Forretningsreiser &lt; 70 km</t>
  </si>
  <si>
    <t>Minutter</t>
  </si>
  <si>
    <t xml:space="preserve">Undersøkelser som i all hovedsak er basert på stated preferences (SP) med hypotetiske valg (Reisetid, ventetid, omstigning, pålitelighet og kø), men inneholder også en undersøkelse av endring i faktisk atferd (revealed preferences, RP). </t>
  </si>
  <si>
    <t xml:space="preserve">Anbefalte enhetsverdier for omstigningsulempe, relativt til reisetid om bord. Alle kollektive transportmidler. </t>
  </si>
  <si>
    <t>Andre reiser &lt; 70 km</t>
  </si>
  <si>
    <t>Forretningsreiser ≥ 70 km</t>
  </si>
  <si>
    <t>Forretningsreiser - Flyreiser ≥ 70 km</t>
  </si>
  <si>
    <t xml:space="preserve">Anbefalte enhetsverdier for omstigningsulempe for fly, angitt som minutter reisetid om bord, etter reiseformål for alle distanser. </t>
  </si>
  <si>
    <t>Andre reiser ≥ 70 km</t>
  </si>
  <si>
    <t>Andre reiser- Flyreiser ≥ 70 km</t>
  </si>
  <si>
    <t>Tid mellom avganger, faktor per intervall</t>
  </si>
  <si>
    <t xml:space="preserve">Ventetid 0 - 15 min </t>
  </si>
  <si>
    <t xml:space="preserve">Anbefalte faktorer for tid mellom avganger, relativt til reisetid om bord. Alle distanser og kollektive transportmidler. Faktoren viser nytten av endringer i tid mellom avganger innenfor det aktuelle intervallet. Vektingsfaktoren skal ganges med tidsverdien om bord for å finne nytten av en endring i avgangsintervallet. </t>
  </si>
  <si>
    <t xml:space="preserve">Ventetid 16-30  min </t>
  </si>
  <si>
    <t xml:space="preserve">Ventetid 31-60 min </t>
  </si>
  <si>
    <t xml:space="preserve">Ventetid 61-120 min </t>
  </si>
  <si>
    <t xml:space="preserve">Over 120  min </t>
  </si>
  <si>
    <t>Tid mellom avganger, faktor for generalisert kostnad</t>
  </si>
  <si>
    <t xml:space="preserve">Anbefalte faktorer for tid mellom avganger, relativt til reisetid om bord. Alle distanser og kollektive transportmidler. Vektingsfaktoren er et vektet gjennomsnitt av vektingsfaktorene for alle intervaller til og med det aktuelle intervallet. </t>
  </si>
  <si>
    <t>Tilbringtid til og fra kollektive transportmidler</t>
  </si>
  <si>
    <t>Alle distanser og reiseformål</t>
  </si>
  <si>
    <t xml:space="preserve">Anbefalt faktor for verdsetting av reisetid til og fra holdeplass/stasjon på kollektive reiser, relativt til reisetid om bord. Alle distanser og alle reiseformål. </t>
  </si>
  <si>
    <t>Tilbringertid for flyreiser, alle reiseformål og distanser</t>
  </si>
  <si>
    <t>Bil</t>
  </si>
  <si>
    <t xml:space="preserve">Anbefalte vektingsfaktorer for tilbringertid for flyreiser, relativt til reisetid om bord. Alle reiseformål og alle distanser. </t>
  </si>
  <si>
    <t>Flytog</t>
  </si>
  <si>
    <t>Flybuss</t>
  </si>
  <si>
    <t>Rutebuss</t>
  </si>
  <si>
    <t>Taxi</t>
  </si>
  <si>
    <t>Trafikkvolumer</t>
  </si>
  <si>
    <t>Fordeling på overført og nyskapt trafikk - Persontog</t>
  </si>
  <si>
    <t>Overført fra bil</t>
  </si>
  <si>
    <t>Denne satsen vil være veldig varierende avhengig av hvilket tiltak det er snakk om, og hvor dette tiltaket eventuelt skal utføres. For eksempel vil det på steder hvor ekspressbusser opererer, være større konkurranse mot jernbane. Dermed vil denne satsen være varierende i ulike markeder. Disse standardforutsetningene bør derfor - hvis mulig- erstattes av prosjektspesifikke forutsetninger.</t>
  </si>
  <si>
    <t>Overført fra buss</t>
  </si>
  <si>
    <t>Overført fra fly</t>
  </si>
  <si>
    <t>Nyskapt trafikk</t>
  </si>
  <si>
    <t>Prosentandel</t>
  </si>
  <si>
    <t>Econ 2003-054, tabell V.B.1 s.105, tabell V.B.2 s.106.</t>
  </si>
  <si>
    <t xml:space="preserve">Satsen skiller ikke mellom typer drivstoff. Disse satsene er satser som i kilden brukes om prosentandel trafikkarbeid etter område. </t>
  </si>
  <si>
    <t>Econ 2003-054, tabell V.B.1 s.105, tabell V.B.3 s.107.</t>
  </si>
  <si>
    <t>Econ 2003-054, tabell V.B.1 s.105, tabell V.B.4 s.108.</t>
  </si>
  <si>
    <t>TØI-rapport 1307/2014, s. 6 Tabell 2.2.2</t>
  </si>
  <si>
    <t>Disse satsene er basert på andel kjøretøykm i de ulike tettstedskategoriene</t>
  </si>
  <si>
    <t xml:space="preserve">Når det gjelder luftfart deles det ikke inn i områder. Det forutsettes at alt oppstår i spredt bebyggelse. </t>
  </si>
  <si>
    <t>Vei (gods) - Lett lastebil</t>
  </si>
  <si>
    <t>Vei (gods) - Tung lastebil</t>
  </si>
  <si>
    <t>Vei (gods) - Modulvogntog</t>
  </si>
  <si>
    <t>Sjø</t>
  </si>
  <si>
    <t xml:space="preserve">Når det gjelder sjø deles det ikke inn i områder. Det forutsettes at alt oppstår i spredt bebyggelse. </t>
  </si>
  <si>
    <t>Helsegevinster</t>
  </si>
  <si>
    <t>Gjennomsnittlig gang/sykkellengde per overført bilreise (km) til tog, inntil 50 km:</t>
  </si>
  <si>
    <t>TØI-rapport 567/2002, s.5.</t>
  </si>
  <si>
    <t xml:space="preserve">I rapporten antas det at en ny reise per dag som syklist er på 3 km og at en ny reise per dag som gåede er på 1 km i gjennomsnitt. </t>
  </si>
  <si>
    <t>Togtype  - Persontog</t>
  </si>
  <si>
    <t>Energiforbruk (el)</t>
  </si>
  <si>
    <t>Inntil leverandør er valgt, forutsettes 80 % av energiforbruket til type 75</t>
  </si>
  <si>
    <t>Antall seter pr sett</t>
  </si>
  <si>
    <t>Levetid materiell</t>
  </si>
  <si>
    <t>Levetid motorvogn</t>
  </si>
  <si>
    <t>Togvekt</t>
  </si>
  <si>
    <t>Godstog - Elektrisk og diesel</t>
  </si>
  <si>
    <t>Tonn</t>
  </si>
  <si>
    <t>Bane NOR (2017), s.25</t>
  </si>
  <si>
    <t>Vekten er kombitog  (50/50 tom-/fullastet)</t>
  </si>
  <si>
    <t>Persontog - Elektrisk og diesel</t>
  </si>
  <si>
    <t>Vekten er uten last, gjennomsnitt for ulike persontog</t>
  </si>
  <si>
    <t>Lokomotiv</t>
  </si>
  <si>
    <t>Vekten er uten last</t>
  </si>
  <si>
    <t>Sittevogner og sovevogner</t>
  </si>
  <si>
    <t>Vogner per togsett</t>
  </si>
  <si>
    <t>Vogn</t>
  </si>
  <si>
    <t>Kostnadsforutsetninger</t>
  </si>
  <si>
    <t>Punktlighet</t>
  </si>
  <si>
    <t>Tillegg driftskostnader</t>
  </si>
  <si>
    <t xml:space="preserve"> Formelen som benyttes til beregningene er: -LN(andel tog i rute)*parameter</t>
  </si>
  <si>
    <t>Det er antatt at det vil være 50 % tillegg på driftskostnadene ved punktlighet som ikke er 100.</t>
  </si>
  <si>
    <t>Administrasjon</t>
  </si>
  <si>
    <t>Tillegg på driftskostnader</t>
  </si>
  <si>
    <t>Det er antatt at en endring i driftskostnader vil føre til endring i administrasjonskostnader. Endrer driftskostnadene seg vil det endre administrasjonskostnadene med 10 %.</t>
  </si>
  <si>
    <t>Tillegg på inntekter</t>
  </si>
  <si>
    <t>Det er antatt at en endring i inntekter vil føre til endring i administrasjonskostnader. Øker inntektene vil det påløpe 10 % administrasjonskostnader.</t>
  </si>
  <si>
    <t>Ulykkesfrekvens</t>
  </si>
  <si>
    <t>Ulykker per mill. kjøretøykm</t>
  </si>
  <si>
    <t xml:space="preserve">Hentet fra tabell 3.18 del 3 ulykker. Beregnet ved å legge sammen alle kolonner for det aktuelle transportmiddelet </t>
  </si>
  <si>
    <t xml:space="preserve">Hentet fra tabell 3.17 del 3 ulykker. Beregnet ved å legge sammen alle kolonner for det aktuelle transportmiddelet </t>
  </si>
  <si>
    <t xml:space="preserve">Hentet fra tabell 3.16 del 3 ulykker.  Beregnet ved å legge sammen alle kolonner for det aktuelle transportmiddelet </t>
  </si>
  <si>
    <t xml:space="preserve">Hentet fra tabell 3.18 del 3 ulykker.  Beregnet ved å legge sammen alle kolonner for det aktuelle transportmiddelet </t>
  </si>
  <si>
    <t xml:space="preserve">Hentet fra tabell 3.17 del 3 ulykker.  Beregnet ved å legge sammen alle kolonner for det aktuelle transportmiddelet </t>
  </si>
  <si>
    <t>Antall gram NOx-utslipp per kjøretøykm er beregnet ut i fra drivstofforbruket og hvor mye NOx-utslipp det er per kg liter drivstoff.</t>
  </si>
  <si>
    <t>TØI-rapport 1704/2019, se vedlagt excelark til rapport for utregning</t>
  </si>
  <si>
    <t>Antall gram NOx-utslipp per kjøretøykm. Gjennomsnitt av alle områdetypene og vekted med andel diesel- og bensinbil</t>
  </si>
  <si>
    <t>Antar bare dieselbuss - turbuss</t>
  </si>
  <si>
    <t>Antar 0 gram NOx-utslipp for fly.</t>
  </si>
  <si>
    <t>Antall gram NOx-utslipp per kjøretøykm</t>
  </si>
  <si>
    <t>Antall gram PM10-utslipp per kjøretøykm er beregnet ut i fra drivstofforbruket og hvor mye PM10-utslipp det er per kg liter drivstoff.</t>
  </si>
  <si>
    <t>Antall gram SO2-utslipp per kjøretøykm er beregnet ut i fra drivstofforbruket og hvor mye SO2-utslipp det er per kg liter drivstoff.</t>
  </si>
  <si>
    <t>CO2-utslipp</t>
  </si>
  <si>
    <t>Antall kg CO2-utslipp per kjøretøykm er beregnet ut i fra drivstofforbruket og hvor mye CO2-utslipp det er per kg liter drivstoff. Basert på samme forutsetninger som er brukt i TØI (2019): Skadekostnader ved transport. Denne forutsetningen vil endre seg over tid og benyttes ikke direkte i dette verktøyet.</t>
  </si>
  <si>
    <t xml:space="preserve">Antall kg CO2-utslipp per kjøretøykm er beregnet ut i fra drivstofforbruket og hvor mye CO2-utslipp det er per kg liter drivstoff. </t>
  </si>
  <si>
    <t>Skip - 2018</t>
  </si>
  <si>
    <t>Skip - 2030</t>
  </si>
  <si>
    <t>Antall kg CO2-utslipp per kjøretøykm er beregnet ut i fra drivstofforbruket og hvor mye CO2-utslipp det er forventet per kg liter drivstoff når sammensetningen av skip endrer seg i fremtiden.</t>
  </si>
  <si>
    <t>Skip - 2050</t>
  </si>
  <si>
    <t>Utslippsfaktorer</t>
  </si>
  <si>
    <t>CO2-utslipp, diesel</t>
  </si>
  <si>
    <t>European Commission (2014), Tabell 34 s. 57</t>
  </si>
  <si>
    <t>Utslipp av CO2 per kg diesel</t>
  </si>
  <si>
    <t>CO2-utslipp, flydrivstoff</t>
  </si>
  <si>
    <t>CO2-utslipp, dieseltog</t>
  </si>
  <si>
    <t>tonn/tonn</t>
  </si>
  <si>
    <t>CO2-utslipp, skip (HFO)</t>
  </si>
  <si>
    <t>kg/l</t>
  </si>
  <si>
    <t>Nox-utslipp, diesel tog</t>
  </si>
  <si>
    <t>Kg/tonn</t>
  </si>
  <si>
    <t>PM10-utslipp, dieseltog</t>
  </si>
  <si>
    <t>SO2, dieseltog</t>
  </si>
  <si>
    <t>Massetetthet - Diesel</t>
  </si>
  <si>
    <t xml:space="preserve">Diesel tetthet/1000. Kg. Diesel per liter. </t>
  </si>
  <si>
    <t>Drivstofforbruk</t>
  </si>
  <si>
    <t>Persontog (diesel)</t>
  </si>
  <si>
    <t>Type 93</t>
  </si>
  <si>
    <t>Drivstofforbruk Type 93</t>
  </si>
  <si>
    <t>Drivstofforbruk Di4</t>
  </si>
  <si>
    <t>Gjennomsnittlig - Diesel</t>
  </si>
  <si>
    <t>Gjennomsnittlig energieffektivitet (drivstofforbruk) diesel persontog.</t>
  </si>
  <si>
    <t>Diesel</t>
  </si>
  <si>
    <t>Drivstofforbruk dieseldrevet godstog.</t>
  </si>
  <si>
    <t>Personbil - Bensin</t>
  </si>
  <si>
    <t>Drivstofforbruk bensindrevne personbiler. Det er tatt utgangspunkt i store og små tettsteder.</t>
  </si>
  <si>
    <t>Personbil - Diesel</t>
  </si>
  <si>
    <t>Drivstofforbruk dieseldrevne personbiler. Det er tatt utgangspunkt i store og små tettsteder.</t>
  </si>
  <si>
    <t>Drivstofforbruk dieseldrevne busser. Det er tatt utgangspunkt i store og små tettsteder for turbuss.</t>
  </si>
  <si>
    <t>Drivstofforbruk dieseldreven skip</t>
  </si>
  <si>
    <t>Bilparken</t>
  </si>
  <si>
    <t>Personbiler</t>
  </si>
  <si>
    <t>Andelen av personbilparken som er dieseldrevet</t>
  </si>
  <si>
    <t>Bensin</t>
  </si>
  <si>
    <t>Andelen av personbilparken som er bensindrevet</t>
  </si>
  <si>
    <t>El. Bil</t>
  </si>
  <si>
    <t>Andelen av personbilparken som er el. drevet</t>
  </si>
  <si>
    <t>Annet</t>
  </si>
  <si>
    <t>Andelen av personbilparken som er hybriddrevet</t>
  </si>
  <si>
    <t>Grønne celler kan endres fritt/fylles ut.</t>
  </si>
  <si>
    <t>(Virkninger per døgn)</t>
  </si>
  <si>
    <t>(Årlig tall)</t>
  </si>
  <si>
    <t>Trafikantnytte</t>
  </si>
  <si>
    <t>Endring i %</t>
  </si>
  <si>
    <t>Referansetrafikk</t>
  </si>
  <si>
    <t>Nyskapt og overført trafikk</t>
  </si>
  <si>
    <t>Antall reisende</t>
  </si>
  <si>
    <t>Arbeid</t>
  </si>
  <si>
    <t>Fritid</t>
  </si>
  <si>
    <t>Forretning</t>
  </si>
  <si>
    <t>Antall enkeltturer</t>
  </si>
  <si>
    <t>Billettinntekter</t>
  </si>
  <si>
    <t>Passasjerkm</t>
  </si>
  <si>
    <t>Personkm</t>
  </si>
  <si>
    <t>By</t>
  </si>
  <si>
    <t>Tettbygd strøk</t>
  </si>
  <si>
    <t>Land</t>
  </si>
  <si>
    <t>Uten bytter</t>
  </si>
  <si>
    <t>Togproduksjon</t>
  </si>
  <si>
    <t>Settkm</t>
  </si>
  <si>
    <t>Rutekm (elektrisk)</t>
  </si>
  <si>
    <t>Togkm (elektrisk)</t>
  </si>
  <si>
    <t>Rutekm (diesel)</t>
  </si>
  <si>
    <t>Togkm (diesel)</t>
  </si>
  <si>
    <t>Togtimer</t>
  </si>
  <si>
    <t>Togkm (bimodalt-elektrisk)</t>
  </si>
  <si>
    <t>Settimer</t>
  </si>
  <si>
    <t>Togkm (bimodalt-diesel)</t>
  </si>
  <si>
    <t>Togkm(bimodalt-diesel)</t>
  </si>
  <si>
    <t>Transportkostnader (mill. kroner)</t>
  </si>
  <si>
    <t>Forklaring</t>
  </si>
  <si>
    <t>Fremføringskostnader</t>
  </si>
  <si>
    <t>Omlastingskostnader</t>
  </si>
  <si>
    <t>Kostnader ved lasting og lossing</t>
  </si>
  <si>
    <t>Tidskostnad for varene under transport</t>
  </si>
  <si>
    <t>Bom- og fergeavgifter</t>
  </si>
  <si>
    <t>Havneavgifter og vederlag</t>
  </si>
  <si>
    <t>Kostnader knyttet til losing av skip</t>
  </si>
  <si>
    <t>Sikkerhetsavgift på sjø</t>
  </si>
  <si>
    <t>Annet (fylles inn av bruker)</t>
  </si>
  <si>
    <t>Øvrige logistikkostnader (mill. kroner)</t>
  </si>
  <si>
    <t>Ordrekostnader</t>
  </si>
  <si>
    <t>Lagerkostnader</t>
  </si>
  <si>
    <t>Kapitalkostnader av varer på lager</t>
  </si>
  <si>
    <t>Sum logistikkostnader (mill. kroner)</t>
  </si>
  <si>
    <t>Godsmengder (1000 tonn)</t>
  </si>
  <si>
    <t>Tung lastebil</t>
  </si>
  <si>
    <t>Modulvogntog</t>
  </si>
  <si>
    <t>Elektriske tog</t>
  </si>
  <si>
    <t>Dieseltog</t>
  </si>
  <si>
    <t>Utenlandsferge</t>
  </si>
  <si>
    <t>Sum godsmengder</t>
  </si>
  <si>
    <t>NB: Les forklaring</t>
  </si>
  <si>
    <t>Transportarbeid (mill. tonnkm)</t>
  </si>
  <si>
    <t>Innenlands</t>
  </si>
  <si>
    <t>Sum innenlands transportarbeid</t>
  </si>
  <si>
    <t>Trafikkarbeid (mill. kjøretøykm)</t>
  </si>
  <si>
    <t>Mellom norske havner og lufthavner</t>
  </si>
  <si>
    <t xml:space="preserve">Skip </t>
  </si>
  <si>
    <t xml:space="preserve">Fly </t>
  </si>
  <si>
    <t>Fremføringskostnader fordelt på transportmidler (mill. kroner)</t>
  </si>
  <si>
    <t xml:space="preserve">Endring i </t>
  </si>
  <si>
    <t>Andre beregningsår, 2050</t>
  </si>
  <si>
    <t>Containerskip</t>
  </si>
  <si>
    <t>Andre skipstyper</t>
  </si>
  <si>
    <t>Vognlasttog og biltog</t>
  </si>
  <si>
    <t>Elektriske tog (kombi, tømmer, system)</t>
  </si>
  <si>
    <t>Overført trafikk, fordeling på geografiske soner</t>
  </si>
  <si>
    <t xml:space="preserve">Store </t>
  </si>
  <si>
    <t xml:space="preserve">Mindre </t>
  </si>
  <si>
    <t>tettsteder</t>
  </si>
  <si>
    <t>Spredtbygd</t>
  </si>
  <si>
    <t xml:space="preserve">Røde celler er formler. </t>
  </si>
  <si>
    <t>Grå celler er statistikk/prognoser</t>
  </si>
  <si>
    <t>Endres hvis oppdaterte kilder</t>
  </si>
  <si>
    <t>Info til satsene</t>
  </si>
  <si>
    <t>Faktorer for statistikk og prognose</t>
  </si>
  <si>
    <t>Bakgrunn</t>
  </si>
  <si>
    <t>Beregning</t>
  </si>
  <si>
    <t>Diskontering</t>
  </si>
  <si>
    <t xml:space="preserve">Realprisjustering miljø, ulykker og helse </t>
  </si>
  <si>
    <t>Realprisjustering tid</t>
  </si>
  <si>
    <t xml:space="preserve">Vekstprognose for person </t>
  </si>
  <si>
    <t>Vekstprognose for gods</t>
  </si>
  <si>
    <t>Årlig befolkningsendring (%)</t>
  </si>
  <si>
    <t>Personprognose</t>
  </si>
  <si>
    <t>Godsprognose</t>
  </si>
  <si>
    <t>CO2-utslipp - Personbil (kg/km)</t>
  </si>
  <si>
    <t>CO2-utslipp - Lastebil (kg/km)</t>
  </si>
  <si>
    <t>CO2-utslipp - Lett Lastebil (kg/km)</t>
  </si>
  <si>
    <t>CO2-utslipp - Buss (kg/km)</t>
  </si>
  <si>
    <t>CO2-utslipp - Persontog diesel (kg/km)</t>
  </si>
  <si>
    <t>CO2-utslipp - Godstog diesel (kg/km)</t>
  </si>
  <si>
    <t>CO2-utslipp - Fly (kg/km)</t>
  </si>
  <si>
    <t>CO2-utslipp - Skip (kg/km)</t>
  </si>
  <si>
    <t>CO2-utslipp i byggefasen tonn (kun Co2-avgift)</t>
  </si>
  <si>
    <t>Liter drivstoff-forbruk i byggefasen (til avgiftsberegning)</t>
  </si>
  <si>
    <t>Kjørte km fra massetransport i byggefasen</t>
  </si>
  <si>
    <t>CO2-utslipp arealbeslag (tonn)</t>
  </si>
  <si>
    <t>Kalkulasjonspris CO2 - Personbil (kr/km)</t>
  </si>
  <si>
    <t>Kalkulasjonspris CO2  - Lastebil (kr/km)</t>
  </si>
  <si>
    <t>Kalkulasjonspris CO2  - Lett Lastebil (kr/km)</t>
  </si>
  <si>
    <t>Kalkulasjonspris CO2  - Buss (kr/km)</t>
  </si>
  <si>
    <t>Kalkulasjonspris CO2 - Persontog diesel (kr/km)</t>
  </si>
  <si>
    <t>Kalkulasjonspris CO2 - Godstog diesel (kr/km)</t>
  </si>
  <si>
    <t>Kalkulasjonspris CO2 - Fly (kr/km)</t>
  </si>
  <si>
    <t>Kalkulasjonspris CO2 - Skip (kr/km)</t>
  </si>
  <si>
    <t>CO2-avgift - Personbil (kr/km)</t>
  </si>
  <si>
    <t>CO2-avgift  - Lastebil (kr/km)</t>
  </si>
  <si>
    <t>CO2-avgift  - Lett Lastebil (kr/km)</t>
  </si>
  <si>
    <t>CO2-avgift  - Buss (kr/km)</t>
  </si>
  <si>
    <t>CO2-avgift - Persontog diesel (kr/km)</t>
  </si>
  <si>
    <t>CO2-avgift - Godstog diesel (kr/km)</t>
  </si>
  <si>
    <t>CO2-avgift - Fly (kr/km)</t>
  </si>
  <si>
    <t>CO2-avgift - Skip (kr/km)</t>
  </si>
  <si>
    <t>Indekser</t>
  </si>
  <si>
    <t>Hensyntar både inflasjons- og realprisjustering (dvs. er lik nominell vekst i BNP per innbygger). Brukes kun til å regne om enkelte av satsene i "1.1 Standardsatser" fra opprinnelig kroneår til det siste statistikkroneåret. OBS: Formelen hensyntar ikke at realprisveksten skal gå mot null fra 2060 og frem mot år 2100. Dette er imidlertid ikke så farlig gitt at opprinnelig kroneår for satsene i "1.1 Standardsatser" er før 2060.</t>
  </si>
  <si>
    <t>Brukes til å regne om satsene for vedlikeholdskostnader på jernbaneinfrastruktur i "1.1 Standardsatser" fra opprinnelig kroneår til det siste statistikkroneåret.</t>
  </si>
  <si>
    <t>Byggekostnadsindeks for drift og vedlikehold (2022=1)</t>
  </si>
  <si>
    <t>Brukes til å realprisjustere verdien av tid</t>
  </si>
  <si>
    <t>Statistikk og prognoser (oppdateres årlig)</t>
  </si>
  <si>
    <t>KPI (2015=100) kortsiktig prognose</t>
  </si>
  <si>
    <t>Konsumprisindeksen (KPI) beskriver utviklingen i konsumpriser for varer og tjenester etterspurt av private husholdninger bosatt i Norge. Endringen i KPI er et vanlig mål for inflasjon.</t>
  </si>
  <si>
    <t>Hentet ut statistikk fra SSB sine nettsider. Referanseår er 2015. Får oppgitt på nivå 100 med en desimal. Blir oppdatert den 10. hver måned. Nye tall for et helt år hentes ut 10. januar.</t>
  </si>
  <si>
    <t>KPI (2015=100)</t>
  </si>
  <si>
    <t>BNP, kroner per innbygger, nominelt, kortsiktig prognose</t>
  </si>
  <si>
    <t>Bruttonasjonalprodukt (BNP) er verdien av de varer og tjenester som er produsert i løpet av et år i et land.</t>
  </si>
  <si>
    <t>Hentet ut statistikk fra SSB sine nettsider, tabell 09842. Løpende priser. Nye tall for et helt år hentes ut ca. 8. februar. Tallene kan endre seg flere år bakover ved statistikkoppdateringer.</t>
  </si>
  <si>
    <t>BNP, kroner per innbygger, nominelt</t>
  </si>
  <si>
    <t>Byggekostnadsindeks for veganlegg (1. kv. 2004=100) kortsiktig prognose</t>
  </si>
  <si>
    <t>Byggekostnadsindeksen for veganlegg måler prisutviklingen på innsatsfaktorene i anleggsproduksjonen. Prisendringene på materialer, arbeidskraft, maskiner, transport og annet vektes sammen til en indeks.</t>
  </si>
  <si>
    <t>Hentet ut statistikk fra SSB sine nettsider. Tabell 08658.</t>
  </si>
  <si>
    <t>Byggekostnadsindeks for veganlegg (1. kv. 2004=100)</t>
  </si>
  <si>
    <t>Byggekostnadsindeks for drift og vedlikehold (1. kv. 2004=100) kortsiktig prognose</t>
  </si>
  <si>
    <t>Byggekostnadsindeksen for drift og vedlikehold.</t>
  </si>
  <si>
    <t>Hentet ut statistikk fra SSB sine nettsider. Tabell 08660.</t>
  </si>
  <si>
    <t>Byggekostnadsindeks for drift og vedlikehold (1. kv. 2004=100)</t>
  </si>
  <si>
    <t>Årslønn, nominelt, kortsiktig prognose</t>
  </si>
  <si>
    <t>SSB (2023)</t>
  </si>
  <si>
    <t>Lønnsindeks for justering av verdien av tid</t>
  </si>
  <si>
    <t>Hentet ut statistikk fra SSB sine nettsider. Tabell 11536.</t>
  </si>
  <si>
    <t xml:space="preserve">Årslønn, nominelt </t>
  </si>
  <si>
    <t>SSB_2024</t>
  </si>
  <si>
    <t>Befolkningsframskrivinger er beregninger av hvordan befolkningsstørrelsen i Norge utvikler seg framover, gitt ulike forutsetninger om fruktbarhet, dødelighet, flytting, innvandring og utvandring.</t>
  </si>
  <si>
    <t>Observert befolkningsmengde 1. januar for perioden 2016-2022 (Tabell 07459 i SSBs statistikkbank). For 2023-2100 fremskrevet med SSBs MMM-alternativ (Tabell 13599). For 2100-2132 er gjennomsnittlig årlig vekst for 2091-2100 benyttet.</t>
  </si>
  <si>
    <t>MMM-prognose for befolkningsmengde</t>
  </si>
  <si>
    <t>Brukt Perspektivmeldingen 2024 sitt anslag fram til 2060. Antar at veksten synker og går mot 0 i 2100</t>
  </si>
  <si>
    <t>Prognose for realvekst i BNP per innbygger</t>
  </si>
  <si>
    <t>TØI (2022)</t>
  </si>
  <si>
    <t xml:space="preserve">Grunnprognosen for godstransport fra TØI-rapport 1718/2019 tabell 7.1 for årene 2018-2019, for 2020-2060 TØI-rapport 1918/2022 rev 1. tabell S5. Alle varestrømmer ekskl. råolje og naturgass målt i mill. tonn per år. </t>
  </si>
  <si>
    <t xml:space="preserve">Antatt utflating av veksten etter 2060 frem mot 2100. </t>
  </si>
  <si>
    <t>Prognose for vekst i godstransport</t>
  </si>
  <si>
    <t xml:space="preserve">Grunnprognosen for godstransport fra TØI-rapport 1718/2019 tabell 4.12 for årene 2018-2019, for 2020-2060 TØI-rapport 1926/2022 rev 1. tabell S7. </t>
  </si>
  <si>
    <t>Prognose for gjennomsnittlig årlig endring i antall reiser innenlands</t>
  </si>
  <si>
    <t xml:space="preserve">Tabell V.14 TØI-rapport 1718/2019 NB19-banen trafikkarbeid 2015-2019, tabell 6.3 TØI 1926/2022  trafikkarbeid 2020-2060. Millioner kjøretøykilometer. </t>
  </si>
  <si>
    <t>Etter 2060 benyttes grunnprognosen for persontransport</t>
  </si>
  <si>
    <t>Prognose for Kjøretøykm (millioner)</t>
  </si>
  <si>
    <t xml:space="preserve">Tabell V.26 NB19-banen CO2-utslipp i veitrafikk 2015-2020, 2021-2060 fra TØIs klimaberegning til NTP 2025-2036 NB23-banen. Inkludert forbrenning av biodrivstoff, etter kjøretøytype. Tusen tonn CO2. </t>
  </si>
  <si>
    <t>Etter 2060 er fremskrivningene simulert basert på utslipp 2021-2060 og regnet om til å bli utslipp totalt.</t>
  </si>
  <si>
    <t>Prognose for CO2-utslipp (tusen tonn)</t>
  </si>
  <si>
    <t xml:space="preserve">Tabell V.14 TØI-rapport 1718/2019 NB19-banen trafikkarbeid 2015-2019, tabell 6.3 TØI 1918/2022 rev. 1  trafikkarbeid 2020-2060. Millioner kjøretøykilometer. </t>
  </si>
  <si>
    <t>Etter 2060 benyttes grunnprognosen for godstransport. "Lastebil" er her definert som summen av TØIs kategorier for lastebil og trekkbil (dvs. ikke inkl. varebiler).</t>
  </si>
  <si>
    <t xml:space="preserve">Tabell V.26 NB19-banen 2015-2020, 2021-2060 fra TØIs klimaberegning til NTP 2025-2036 NB23-banen. Inkludert forbrenning av biodrivstoff, etter kjøretøytype. Tusen tonn CO2. </t>
  </si>
  <si>
    <t>Etter 2060 er fremskrivningene simulert basert på utslipp 2021-2060 og regnet om til å bli utslipp totalt. "Lastebil" er her definert som summen av TØIs kategorier for lastebil og trekkbil (dvs. ikke inkl. varebiler).</t>
  </si>
  <si>
    <t>Varebil som proxy, benyttet SSB tabell 12577 for 2021-tall, følger deretter veksten til personbil.</t>
  </si>
  <si>
    <t>Lett Lastebil</t>
  </si>
  <si>
    <t xml:space="preserve">2021-2060 fra TØIs klimaberegning til NTP 2025-2036 NB23-banen. Inkludert forbrenning av biodrivstoff, etter kjøretøytype. Tusen tonn CO2. </t>
  </si>
  <si>
    <t>Har benyttet "Varebil" som proxy. Etter 2060 er fremskrivningene simulert basert på utslipp 2021-2060 og regnet om til å bli utslipp totalt.</t>
  </si>
  <si>
    <t>Prognose CO2-utslipp (tusen tonn)</t>
  </si>
  <si>
    <t xml:space="preserve">Tabell V.14 NB19-banen trafikkarbeid 2015-2020, Tabell 5.7  og tabell 5.9 for årlig vekst TØI 1926/2022 2020-2060, delt på gjennomsnittlig belegg. Millioner kjøretøykilometer. </t>
  </si>
  <si>
    <t xml:space="preserve">Karbonprisene kan tolkes som tiltakskostnader, hvor alle tilpasninger med kostnad lik eller lavere karbonprisen for et gitt år bør gjennomføres i det året for kostnadseffektiv overholdelse av temperaturmålet på 1,5 grader Celsius. Karbonprisene for ikke-kvotepliktig utslipp øker gradvis til 2000 kr i 2030 (prisnivå 2020). Fra 2030 holdes prisnivået uendret frem til langsiktige karbonpriser for kvotepliktig utslipp når samme nivå. Deretter realprisjusteres karbonprisbanen med diskonteringsraten (dvs. med 4 % de første 40 år etter åpningsåret, deretter 3 % frem til år 75, og deretter 2 %). Banen oppdateres årlig av Finansdepartementet (kildehenvisning finnes i arkfane 0.4 Kilder). </t>
  </si>
  <si>
    <t>Karbonprisbane, hovedalternativ (kr/tonn)</t>
  </si>
  <si>
    <t>kr</t>
  </si>
  <si>
    <t>Karbonprisbane lav, hovedalternativ (kr/tonn)</t>
  </si>
  <si>
    <t>Karbonprisbane høy, hovedalternativ (kr/tonn)</t>
  </si>
  <si>
    <t>Karbonprisbane, opptak og utslipp i skog og arealbruk (kr/tonn)</t>
  </si>
  <si>
    <t>CO2-avgiften for bensin var i 2020 på 1,26 kr/l. CO2-avgiften målt i kr/tonn er regnet ut under antagelse om at det slippes ut 2,32 kg CO2 per liter bensin. I arkfane 1.2 Forutsetninger kan man velge om CO2-avgiften skal realprisjusteres med diskonteringsraten i fremtidige år. I tråd med anbefalingene til Grønn skattekommisjon (NOU 2015: 15) avgiftsbelegges CO2-utslipp nå likt på tvers av transportformer og drivstofftyper, slik at det kan tas utgangpunkt i CO2-avgiften for bensin for samtlige transportformer.</t>
  </si>
  <si>
    <t>CO2-avgiftsbane (kr/tonn)</t>
  </si>
  <si>
    <t>Gule celler er formler. Skal ikke endres.</t>
  </si>
  <si>
    <t>Formel - Henter input fra nivå 1 eller 2</t>
  </si>
  <si>
    <t>Trafikanter</t>
  </si>
  <si>
    <t>Togreisende</t>
  </si>
  <si>
    <t>Trafikantnytte, referanse</t>
  </si>
  <si>
    <t>Referansereisende</t>
  </si>
  <si>
    <t xml:space="preserve">Mill. kr </t>
  </si>
  <si>
    <t>Trafikantnytte, overført og nyskapt trafikk</t>
  </si>
  <si>
    <t xml:space="preserve">Nyskapt trafikk </t>
  </si>
  <si>
    <t>Overført og nyskapt trafikk</t>
  </si>
  <si>
    <t>Kr per reise</t>
  </si>
  <si>
    <t>Endring i nyskapt trafikk</t>
  </si>
  <si>
    <t>Nyskapt med tog (antall reiser)</t>
  </si>
  <si>
    <t>Antall reiser</t>
  </si>
  <si>
    <t>Nyskapt med tog (personkm)</t>
  </si>
  <si>
    <t>Andre transportmidler (bil, buss, fly)</t>
  </si>
  <si>
    <t>Personbil og gods</t>
  </si>
  <si>
    <t>Lastebiler</t>
  </si>
  <si>
    <t>Trafikantnytte, andre transportmidler</t>
  </si>
  <si>
    <t>Godskunder</t>
  </si>
  <si>
    <t>Trafikantnytte, gods</t>
  </si>
  <si>
    <t>Sparte logistikkostnader</t>
  </si>
  <si>
    <t>Helse</t>
  </si>
  <si>
    <t>Overført fra personbil til tog</t>
  </si>
  <si>
    <t>Endring i helsevirkninger</t>
  </si>
  <si>
    <t>Operatører</t>
  </si>
  <si>
    <t>togtype 1</t>
  </si>
  <si>
    <t>Operatører togtype 2</t>
  </si>
  <si>
    <t>Beregninger dersom det er lagt inn flere togtyper</t>
  </si>
  <si>
    <t>Persontransport</t>
  </si>
  <si>
    <t>Jernbane</t>
  </si>
  <si>
    <t>Transport</t>
  </si>
  <si>
    <t>Endring jernbane</t>
  </si>
  <si>
    <t xml:space="preserve">Endring i gjennomsnittlig reiselenge </t>
  </si>
  <si>
    <t>Mill. personkm</t>
  </si>
  <si>
    <t>Inntekter</t>
  </si>
  <si>
    <t>Trafikkinntekter (Billettinntekter)</t>
  </si>
  <si>
    <t>Offentlig kjøp</t>
  </si>
  <si>
    <t>Produksjon</t>
  </si>
  <si>
    <t>Togkm, Elektrisk</t>
  </si>
  <si>
    <t>Togkm, Diesel</t>
  </si>
  <si>
    <t>Totalt (Elektrisk+Diesel)</t>
  </si>
  <si>
    <t>Antall motorvogner/lok+vogn</t>
  </si>
  <si>
    <t>Setekm</t>
  </si>
  <si>
    <t>Kostnader</t>
  </si>
  <si>
    <t>Energi</t>
  </si>
  <si>
    <t>Klargjøring</t>
  </si>
  <si>
    <t>Renhold</t>
  </si>
  <si>
    <t>Andre driftskostnader</t>
  </si>
  <si>
    <t>Totalt drift</t>
  </si>
  <si>
    <t>Avgifter (ekskl. CO2), elektrisk</t>
  </si>
  <si>
    <t>Avgifter (ekskl. CO2), diesel</t>
  </si>
  <si>
    <t>CO2-avgift</t>
  </si>
  <si>
    <t xml:space="preserve">Renter og avskrivninger, materiell </t>
  </si>
  <si>
    <t>Andre materiellkostnader</t>
  </si>
  <si>
    <t>Totalt Materiell</t>
  </si>
  <si>
    <t xml:space="preserve">Totale Kostnader (drift, avgift og materiell) </t>
  </si>
  <si>
    <t>Endring personbil</t>
  </si>
  <si>
    <t xml:space="preserve">Personkm </t>
  </si>
  <si>
    <t>kjøretøykm</t>
  </si>
  <si>
    <t>Endring buss</t>
  </si>
  <si>
    <t xml:space="preserve">Kostnader </t>
  </si>
  <si>
    <t>Endring i innbetaling av avgifter til staten (ekskl. CO2-avgift)</t>
  </si>
  <si>
    <t>Endring i innbetaling av CO2-avgift til staten</t>
  </si>
  <si>
    <t>Endring fly</t>
  </si>
  <si>
    <t>Fartøykm</t>
  </si>
  <si>
    <t>Det offentlige</t>
  </si>
  <si>
    <t>Avgifter (ekskl. CO2-avgift)</t>
  </si>
  <si>
    <t>Persontog elektrisk</t>
  </si>
  <si>
    <t>Persontog diesel</t>
  </si>
  <si>
    <t>Godstog elektrisk</t>
  </si>
  <si>
    <t>Godstog diesel</t>
  </si>
  <si>
    <t>Personbil og lastebil</t>
  </si>
  <si>
    <t>Vedlikeholdskostnader</t>
  </si>
  <si>
    <t>Samfunnet for øvrig</t>
  </si>
  <si>
    <t>Ulykker</t>
  </si>
  <si>
    <t>Endring i ulykkeskostnader, jernbane</t>
  </si>
  <si>
    <t>Endring i ulykkeskostnader, andre transportmidler</t>
  </si>
  <si>
    <t>Støy</t>
  </si>
  <si>
    <t xml:space="preserve">Endring i støykostnader, jernbane </t>
  </si>
  <si>
    <t>Endring i støykostnader, andre transportmidler</t>
  </si>
  <si>
    <t>Lokale utslipp</t>
  </si>
  <si>
    <t>Endring i lokale utslippskostnader, jernbane</t>
  </si>
  <si>
    <t>Kg</t>
  </si>
  <si>
    <t>Endring i NOx, jernbane</t>
  </si>
  <si>
    <t>Passasjerfly</t>
  </si>
  <si>
    <t>Endring i lokale utslippskostnader, andre transportmidler</t>
  </si>
  <si>
    <t>Endring i NOx, andre transportmidler</t>
  </si>
  <si>
    <t>Globale utslipp - CO2</t>
  </si>
  <si>
    <t>Endring i CO2-kostnader, jernbane</t>
  </si>
  <si>
    <t xml:space="preserve">Endring i CO2-utslipp, jernbane </t>
  </si>
  <si>
    <t>Godsfly</t>
  </si>
  <si>
    <t>Endring i CO2-kostnader, andre transportmidler</t>
  </si>
  <si>
    <t>Endring i CO2-utslipp, andre transportmidler</t>
  </si>
  <si>
    <t>Turkise celler viser samlet resultat av nyttestrømmen</t>
  </si>
  <si>
    <t>Formel - Resultat</t>
  </si>
  <si>
    <t>Resultater før prisjustering</t>
  </si>
  <si>
    <t>Resultater volum</t>
  </si>
  <si>
    <t>Relativ årsvekst</t>
  </si>
  <si>
    <t xml:space="preserve">Lineær vekst </t>
  </si>
  <si>
    <t>Nåverdi</t>
  </si>
  <si>
    <t>Restverdi</t>
  </si>
  <si>
    <t>Driftskostnader (ekskl. avgifter)</t>
  </si>
  <si>
    <t>Materiellkostnader</t>
  </si>
  <si>
    <t>Personbil og Lastebil</t>
  </si>
  <si>
    <t>Utslipp i byggefasen</t>
  </si>
  <si>
    <t>Jernbane - Persontog</t>
  </si>
  <si>
    <t>Jernbane - Godstog</t>
  </si>
  <si>
    <t>Ulykker byggefase (massetransport)</t>
  </si>
  <si>
    <t>Støy byggefase (massetransport)</t>
  </si>
  <si>
    <t>Lokale utslipp byggefase (massetransport)</t>
  </si>
  <si>
    <t>Utslipp arealbeslag</t>
  </si>
  <si>
    <t>Investering og skatt</t>
  </si>
  <si>
    <t>Investeringer</t>
  </si>
  <si>
    <t xml:space="preserve">Investeringer  </t>
  </si>
  <si>
    <t>Reinvesteringer</t>
  </si>
  <si>
    <t xml:space="preserve">Skattefinansieringseffekt </t>
  </si>
  <si>
    <t>Skattefinansieringseffekt av godsnytte</t>
  </si>
  <si>
    <t>Skattefinansieringseffekt av investering</t>
  </si>
  <si>
    <t>Skattefinansieringeffekt av det offentlige</t>
  </si>
  <si>
    <t>Røde celler er formler</t>
  </si>
  <si>
    <t>Grønne celler fylles ut der det finnes informasjon</t>
  </si>
  <si>
    <t xml:space="preserve">Fylles ut </t>
  </si>
  <si>
    <t xml:space="preserve">Gule celler er intervallverdi </t>
  </si>
  <si>
    <t>Vurderes ved behov for å anslå intervall</t>
  </si>
  <si>
    <t>Ikke-prissatte virkninger av tiltak</t>
  </si>
  <si>
    <t>Antall berørte</t>
  </si>
  <si>
    <t>Påvirkning</t>
  </si>
  <si>
    <t>Samlet indikator</t>
  </si>
  <si>
    <t>Usikkerhet</t>
  </si>
  <si>
    <t>Natur og miljø</t>
  </si>
  <si>
    <t>Landskapsbilde - husstander</t>
  </si>
  <si>
    <t>Husstandskm.</t>
  </si>
  <si>
    <t>Moderat</t>
  </si>
  <si>
    <t>Symmetrisk</t>
  </si>
  <si>
    <t>Landskapsbilde - fritidsbolig/hytter</t>
  </si>
  <si>
    <t>Friluftsliv/by- og bygdeliv</t>
  </si>
  <si>
    <t>Rekreasjonsdager</t>
  </si>
  <si>
    <t>Kulturarv</t>
  </si>
  <si>
    <t>Kartlagte kulturminner</t>
  </si>
  <si>
    <t>Naturmangfold</t>
  </si>
  <si>
    <t>Km2</t>
  </si>
  <si>
    <t>Naturressurser</t>
  </si>
  <si>
    <t>Sømløs mobilitet og kundeopplevelse</t>
  </si>
  <si>
    <t xml:space="preserve">Pålitelighet (togtetthet/buffertider) Person </t>
  </si>
  <si>
    <t>mill. kr. per år</t>
  </si>
  <si>
    <t>Pålitelighet (togtetthet/buffertider) Gods</t>
  </si>
  <si>
    <t>Pålitelighet (hvite tider) Person</t>
  </si>
  <si>
    <t>Pålitelighet (hvite tider) Gods</t>
  </si>
  <si>
    <t>Pålitelighet (naturfare) Person</t>
  </si>
  <si>
    <t>Pålitelighet (naturfare) Gods</t>
  </si>
  <si>
    <t>Knutepunktutvikling (reiseopplevelse)</t>
  </si>
  <si>
    <t>Knutepunktutvikling (vareflyt)</t>
  </si>
  <si>
    <t>Knutepunktutvikling (redusert reisetid)</t>
  </si>
  <si>
    <t>Knutepunktutvikling (økt reisetid)</t>
  </si>
  <si>
    <t>Aggregerte virkninger</t>
  </si>
  <si>
    <t>Vurdering</t>
  </si>
  <si>
    <t>Landskapsbilde</t>
  </si>
  <si>
    <t>Pålitelighet (togtetthet/buffertider)</t>
  </si>
  <si>
    <t>Pålitelighet (hvite tider)</t>
  </si>
  <si>
    <t>Pålitelighet (naturfare)</t>
  </si>
  <si>
    <t>Knutepunktutvikling (reisetid)</t>
  </si>
  <si>
    <t>Effekter av tiltak</t>
  </si>
  <si>
    <t>Hovedtabell, nyttekostnadsanalyse av tiltak</t>
  </si>
  <si>
    <t>Analysen</t>
  </si>
  <si>
    <t>Forutsetninger for analysen</t>
  </si>
  <si>
    <t>Endring/Effekt</t>
  </si>
  <si>
    <t xml:space="preserve">Forklaring </t>
  </si>
  <si>
    <t>Beregningsforutsetninger</t>
  </si>
  <si>
    <t>Trafikantnytte, overført og nyskapt</t>
  </si>
  <si>
    <t>Helsevirkninger for gående og syklende, overført fra bil</t>
  </si>
  <si>
    <t xml:space="preserve">Endring for trafikanter </t>
  </si>
  <si>
    <t>Markedsinntekter, persontog</t>
  </si>
  <si>
    <t>Punktlighet, referanse</t>
  </si>
  <si>
    <t>Offentlig kjøp av persontransport, persontog</t>
  </si>
  <si>
    <t>Punktlighet, tiltak</t>
  </si>
  <si>
    <t xml:space="preserve">Endring i drift, avgifter og persontog </t>
  </si>
  <si>
    <t>Endring i materiell persontog</t>
  </si>
  <si>
    <t>Investering ved tiltak (udiskontert)</t>
  </si>
  <si>
    <t xml:space="preserve">mill. kr </t>
  </si>
  <si>
    <t>Endring i avgifter og offentlig kjøp, buss og fly</t>
  </si>
  <si>
    <t>Endring i offentlig kjøp (udiskontert)</t>
  </si>
  <si>
    <t>Endring for operatører</t>
  </si>
  <si>
    <t>Anslag anskaffelse av nytt materiell, persontrafikk</t>
  </si>
  <si>
    <t>togsett</t>
  </si>
  <si>
    <t>Brutto nåverdi per budsjettkrone i driftsperioden</t>
  </si>
  <si>
    <t>Endring i avgifter (herunder bom- og fergeavgifter)</t>
  </si>
  <si>
    <t>Endring for ulike samfunnssegmenter</t>
  </si>
  <si>
    <t>Endring i vedlikehold av infrastruktur</t>
  </si>
  <si>
    <t>Endring for samfunnet (trafikantnytte)</t>
  </si>
  <si>
    <t>Offentlig kjøp av persontransport på tog og buss</t>
  </si>
  <si>
    <t>Endring for næringslivet (godskunder)</t>
  </si>
  <si>
    <t>Endringer i samfunnets transportkostnader for distriktene</t>
  </si>
  <si>
    <t>Endring for det offentlige</t>
  </si>
  <si>
    <t>Endring i ulykker</t>
  </si>
  <si>
    <t>Antall reiser før tiltaket</t>
  </si>
  <si>
    <t>mill. reiser</t>
  </si>
  <si>
    <t>Endring i støy</t>
  </si>
  <si>
    <t>Antall reiser etter tiltaket</t>
  </si>
  <si>
    <t xml:space="preserve">mill. reiser </t>
  </si>
  <si>
    <t>Endring i lokale utslipp</t>
  </si>
  <si>
    <t>Endring i antall reiser</t>
  </si>
  <si>
    <t>reiser</t>
  </si>
  <si>
    <t>Endring i CO2-utslipp</t>
  </si>
  <si>
    <t>Endring i CO2-utslipp i byggefasen</t>
  </si>
  <si>
    <t>Endring i trafikkarbeid</t>
  </si>
  <si>
    <t>togkm</t>
  </si>
  <si>
    <t>Endring i CO2-utslipp arealbeslag</t>
  </si>
  <si>
    <t xml:space="preserve">Endring i transportarbeid </t>
  </si>
  <si>
    <t xml:space="preserve">tusen personkm </t>
  </si>
  <si>
    <t>Restverdi av tiltak</t>
  </si>
  <si>
    <t xml:space="preserve">Endring i settkm </t>
  </si>
  <si>
    <t>settkm</t>
  </si>
  <si>
    <t>Endring i skattefinansiering</t>
  </si>
  <si>
    <t xml:space="preserve">Overført </t>
  </si>
  <si>
    <t>Endring for samfunnet for øvrig</t>
  </si>
  <si>
    <t>Antall reiser overført fra bil til tog</t>
  </si>
  <si>
    <t xml:space="preserve">reiser </t>
  </si>
  <si>
    <t xml:space="preserve">Samfunnsøkonomisk brutto nåverdi </t>
  </si>
  <si>
    <t>Antall reiser overført fra buss til tog</t>
  </si>
  <si>
    <t>Samfunnsøkonomisk netto nåverdi (NNV)</t>
  </si>
  <si>
    <t>Antall reiser som er nyskapt</t>
  </si>
  <si>
    <t>Netto nåverdi per budsjettkrone (NNB)</t>
  </si>
  <si>
    <t>Endring i antall biler på veien</t>
  </si>
  <si>
    <t>biler på veien per dag</t>
  </si>
  <si>
    <t>Ikke-prissatte virkninger</t>
  </si>
  <si>
    <t>Godstransport før tiltaket</t>
  </si>
  <si>
    <t>tusen tonn</t>
  </si>
  <si>
    <t>Godstransport etter tiltaket</t>
  </si>
  <si>
    <t xml:space="preserve">Endring i fraktmengde gods </t>
  </si>
  <si>
    <t>Transportarbeid gods før tiltaket</t>
  </si>
  <si>
    <t xml:space="preserve">mill. tonnkm </t>
  </si>
  <si>
    <t xml:space="preserve">Transportarbeid gods etter tiltaket </t>
  </si>
  <si>
    <t>Endring i transportarbeid gods (tonnkm)</t>
  </si>
  <si>
    <t>Endring i transportarbeid gods, prosent (tonnkm)</t>
  </si>
  <si>
    <t>Overført gods fra vei</t>
  </si>
  <si>
    <t>Endring i lastebilkm</t>
  </si>
  <si>
    <t>lastebilkm per dag</t>
  </si>
  <si>
    <t>Sikkerhetseffekter på jernbane</t>
  </si>
  <si>
    <t>Endring i antall drepte, jernbane</t>
  </si>
  <si>
    <t>personer</t>
  </si>
  <si>
    <t xml:space="preserve">Komprimert hovedtabell, nyttekostnadsanalyse av tiltak </t>
  </si>
  <si>
    <t>Endring i antall hardt skadet, jernbane</t>
  </si>
  <si>
    <t>Endring i antall lettere skadet, jernbane</t>
  </si>
  <si>
    <t>Hovedpostene</t>
  </si>
  <si>
    <t>Endring i antall hardt skadet og drepte, jernbane</t>
  </si>
  <si>
    <t>Endring for trafikanter</t>
  </si>
  <si>
    <t>Sikkerhetseffekter som følge av overført bil- og busstrafikk</t>
  </si>
  <si>
    <t>Endring i antall drepte, overført bil- og busstrafikk</t>
  </si>
  <si>
    <t>Endring i antall hardt skadet, overført bil- og busstrafikk</t>
  </si>
  <si>
    <t>Endring i antall lettere skadet, overført bil- og busstrafikk</t>
  </si>
  <si>
    <t xml:space="preserve">Samfunnsøkonomisk netto nåverdi (NNV) </t>
  </si>
  <si>
    <t>Endring i antall hardt skadet og drepte, overført bil- og busstrafikk</t>
  </si>
  <si>
    <t>Sikkerhetseffekter som følge av overført lastebil- og skipstrafikk</t>
  </si>
  <si>
    <t>Endring i antall drepte, overført lastebil- og skipstrafikk</t>
  </si>
  <si>
    <t>Endring i antall hardt skadet, overført lastebil- og skipstrafikk</t>
  </si>
  <si>
    <t>Endring i antall lettere skadet, overført lastebil- og skipstrafikk</t>
  </si>
  <si>
    <t>Endring i antall hardt skadet og drepte, overført lastebil- og skipstrafikk</t>
  </si>
  <si>
    <t>Sikkerhetseffekter totalt</t>
  </si>
  <si>
    <t>Endring i antall drepte</t>
  </si>
  <si>
    <t>Endring i antall hardt skadet</t>
  </si>
  <si>
    <t>Endring i antall lettere skadet</t>
  </si>
  <si>
    <t>Endring i antall hardt skadet og drepte</t>
  </si>
  <si>
    <t>Klima- og miljøeffekter</t>
  </si>
  <si>
    <t>Lokal forurensing</t>
  </si>
  <si>
    <t xml:space="preserve">kg </t>
  </si>
  <si>
    <t>mill. kr</t>
  </si>
  <si>
    <t>Klimagassutslipp</t>
  </si>
  <si>
    <t>tonn</t>
  </si>
  <si>
    <t>Klimagassutslipp for hele levetiden</t>
  </si>
  <si>
    <t>Effektpakke:</t>
  </si>
  <si>
    <t>NTP 2025-2036. XXXX-leveransen</t>
  </si>
  <si>
    <t>Kort beskrivelse av prosjektet og mål</t>
  </si>
  <si>
    <t>Fakta</t>
  </si>
  <si>
    <t>Dagens situasjon:</t>
  </si>
  <si>
    <t>Strekning:</t>
  </si>
  <si>
    <t>Kommuner:</t>
  </si>
  <si>
    <t>Fylker:</t>
  </si>
  <si>
    <t>Omfang:</t>
  </si>
  <si>
    <t>Planstatus:</t>
  </si>
  <si>
    <t>Finansiering:</t>
  </si>
  <si>
    <t>NTP:</t>
  </si>
  <si>
    <t>Tiltaksutløsende behov:</t>
  </si>
  <si>
    <t>Prosjektet:</t>
  </si>
  <si>
    <t>Lenke:</t>
  </si>
  <si>
    <t>Samfunnsmål:</t>
  </si>
  <si>
    <t>Effektmål:</t>
  </si>
  <si>
    <r>
      <t>Avhengighet av andre tiltak:</t>
    </r>
    <r>
      <rPr>
        <sz val="8"/>
        <color rgb="FF000000"/>
        <rFont val="Arial Narrow"/>
        <family val="2"/>
      </rPr>
      <t xml:space="preserve"> </t>
    </r>
  </si>
  <si>
    <t>Hovedresultater</t>
  </si>
  <si>
    <r>
      <t xml:space="preserve">Nettonåverdi </t>
    </r>
    <r>
      <rPr>
        <sz val="8"/>
        <color rgb="FF000000"/>
        <rFont val="Arial Narrow"/>
        <family val="2"/>
      </rPr>
      <t>[ mill. NOK ]</t>
    </r>
  </si>
  <si>
    <t>Nettonytte per budsjettkrone</t>
  </si>
  <si>
    <r>
      <t>Nettonytte per kostnadskrone</t>
    </r>
    <r>
      <rPr>
        <b/>
        <sz val="10"/>
        <color rgb="FF7030A0"/>
        <rFont val="Arial"/>
        <family val="2"/>
      </rPr>
      <t xml:space="preserve">  </t>
    </r>
  </si>
  <si>
    <t>Samlet vurdering av prissatte og ikke-prissatte virkninger</t>
  </si>
  <si>
    <t>Referansebane</t>
  </si>
  <si>
    <t>[Alternativ A]</t>
  </si>
  <si>
    <t>[Alternativ B]</t>
  </si>
  <si>
    <t>[Alternativ C]</t>
  </si>
  <si>
    <t>Delresultater</t>
  </si>
  <si>
    <t>Prissatte virkninger</t>
  </si>
  <si>
    <r>
      <t xml:space="preserve">Nåverdi   </t>
    </r>
    <r>
      <rPr>
        <sz val="9"/>
        <color rgb="FF000000"/>
        <rFont val="Arial Narrow"/>
        <family val="2"/>
      </rPr>
      <t>[ mill. NOK ]</t>
    </r>
  </si>
  <si>
    <t>Investeringskostnader</t>
  </si>
  <si>
    <t>Trafikant- og transportbrukernytte</t>
  </si>
  <si>
    <t>(udiskontert, inkl. mva.)</t>
  </si>
  <si>
    <t>[ mill. NOK ]</t>
  </si>
  <si>
    <t>Operatørnytte</t>
  </si>
  <si>
    <t>P50</t>
  </si>
  <si>
    <t>Forventningsverdi</t>
  </si>
  <si>
    <t>P85</t>
  </si>
  <si>
    <r>
      <t xml:space="preserve">Konsekvensvurdering </t>
    </r>
    <r>
      <rPr>
        <sz val="8"/>
        <color rgb="FF000000"/>
        <rFont val="Arial"/>
        <family val="2"/>
      </rPr>
      <t>(ikke nødvendigvis sammenliknbare på tvers av transportformene)</t>
    </r>
  </si>
  <si>
    <t xml:space="preserve">Samlet vurdering av </t>
  </si>
  <si>
    <t>ikke-prissatte virkninger</t>
  </si>
  <si>
    <t>Landskaps-bilde</t>
  </si>
  <si>
    <t>Kultur-        arv</t>
  </si>
  <si>
    <t>Natur­-    resurser</t>
  </si>
  <si>
    <t>[ Virkning 6 ]</t>
  </si>
  <si>
    <t>[ Virkning 7 ]</t>
  </si>
  <si>
    <t>[ Virkning 8 ]</t>
  </si>
  <si>
    <t>[ Virkning 9 ]</t>
  </si>
  <si>
    <t>[ Virkning 10 ]</t>
  </si>
  <si>
    <t>Klimavirkninger</t>
  </si>
  <si>
    <t>Natur, ulykker og fordelingsvirkninger</t>
  </si>
  <si>
    <r>
      <t>Endring CO</t>
    </r>
    <r>
      <rPr>
        <vertAlign val="subscript"/>
        <sz val="9"/>
        <color rgb="FF000000"/>
        <rFont val="Arial Narrow"/>
        <family val="2"/>
      </rPr>
      <t>2</t>
    </r>
    <r>
      <rPr>
        <sz val="9"/>
        <color rgb="FF000000"/>
        <rFont val="Arial Narrow"/>
        <family val="2"/>
      </rPr>
      <t>e-utslipp, analyseperioden</t>
    </r>
  </si>
  <si>
    <r>
      <t>Endring CO</t>
    </r>
    <r>
      <rPr>
        <vertAlign val="subscript"/>
        <sz val="9"/>
        <color rgb="FF000000"/>
        <rFont val="Arial Narrow"/>
        <family val="2"/>
      </rPr>
      <t>2</t>
    </r>
    <r>
      <rPr>
        <sz val="9"/>
        <color rgb="FF000000"/>
        <rFont val="Arial Narrow"/>
        <family val="2"/>
      </rPr>
      <t>e -utslipp, i åpningsåret</t>
    </r>
  </si>
  <si>
    <t>Antall dekar inngrep</t>
  </si>
  <si>
    <t>[ 1000 tonn CO2e,  inkl. indirekte ]</t>
  </si>
  <si>
    <r>
      <t>[ 1000 tonn CO</t>
    </r>
    <r>
      <rPr>
        <vertAlign val="subscript"/>
        <sz val="9"/>
        <color rgb="FF000000"/>
        <rFont val="Arial Narrow"/>
        <family val="2"/>
      </rPr>
      <t>2</t>
    </r>
    <r>
      <rPr>
        <sz val="9"/>
        <color rgb="FF000000"/>
        <rFont val="Arial Narrow"/>
        <family val="2"/>
      </rPr>
      <t>e,  direkte ]</t>
    </r>
  </si>
  <si>
    <t>Verdifullt naturområde</t>
  </si>
  <si>
    <t>All natur</t>
  </si>
  <si>
    <t>Dyrket mark</t>
  </si>
  <si>
    <t>Anleggsfasen</t>
  </si>
  <si>
    <t>Arealbruksendringer</t>
  </si>
  <si>
    <t>NNV følsomhet for karbonpris</t>
  </si>
  <si>
    <t>Endring i antall drepte og hardt skadde i åpningsåret</t>
  </si>
  <si>
    <t>Drift og vedlikehold</t>
  </si>
  <si>
    <t>Endret trafikkomfang</t>
  </si>
  <si>
    <t>Lav bane</t>
  </si>
  <si>
    <t>Regional fordeling:</t>
  </si>
  <si>
    <t>Grupper som opplever    vesentlig forverring</t>
  </si>
  <si>
    <t>Total utslipp</t>
  </si>
  <si>
    <t>Standard</t>
  </si>
  <si>
    <t>Prosjekt i Distrikts-Norge?</t>
  </si>
  <si>
    <t>herav i klimaregnskapet</t>
  </si>
  <si>
    <t>Høy bane</t>
  </si>
  <si>
    <t>Ja/Delvis/Nei</t>
  </si>
  <si>
    <t>n.a</t>
  </si>
  <si>
    <r>
      <t>Grønne tall = Positivt</t>
    </r>
    <r>
      <rPr>
        <b/>
        <sz val="8"/>
        <color theme="1"/>
        <rFont val="Arial"/>
        <family val="2"/>
      </rPr>
      <t xml:space="preserve">;    </t>
    </r>
    <r>
      <rPr>
        <b/>
        <sz val="8"/>
        <color rgb="FFFF0000"/>
        <rFont val="Arial"/>
        <family val="2"/>
      </rPr>
      <t xml:space="preserve">Røde tall = negativt </t>
    </r>
    <r>
      <rPr>
        <b/>
        <sz val="8"/>
        <color theme="1"/>
        <rFont val="Arial"/>
        <family val="2"/>
      </rPr>
      <t xml:space="preserve">for samfunnet.    </t>
    </r>
    <r>
      <rPr>
        <sz val="8"/>
        <color theme="1"/>
        <rFont val="Arial"/>
        <family val="2"/>
      </rPr>
      <t>Ikke-fet tall = lav/høy rundt sentral verdi.</t>
    </r>
    <r>
      <rPr>
        <b/>
        <sz val="8"/>
        <color theme="1"/>
        <rFont val="Arial"/>
        <family val="2"/>
      </rPr>
      <t xml:space="preserve">    </t>
    </r>
    <r>
      <rPr>
        <i/>
        <sz val="8"/>
        <color theme="1"/>
        <rFont val="Arial"/>
        <family val="2"/>
      </rPr>
      <t>Kursiverte tal = tidspunkter</t>
    </r>
    <r>
      <rPr>
        <sz val="8"/>
        <color theme="1"/>
        <rFont val="Arial"/>
        <family val="2"/>
      </rPr>
      <t xml:space="preserve">.  </t>
    </r>
  </si>
  <si>
    <t xml:space="preserve">Sentrale prosjektspesifikke forutsetninger </t>
  </si>
  <si>
    <t>Levetid</t>
  </si>
  <si>
    <t>Brukerfinansering</t>
  </si>
  <si>
    <t>Sammenligningsår</t>
  </si>
  <si>
    <r>
      <t xml:space="preserve">Transportmodell - </t>
    </r>
    <r>
      <rPr>
        <i/>
        <sz val="9"/>
        <color rgb="FF000000"/>
        <rFont val="Arial"/>
        <family val="2"/>
      </rPr>
      <t>beregningsdato</t>
    </r>
  </si>
  <si>
    <t xml:space="preserve">Prisår </t>
  </si>
  <si>
    <r>
      <t xml:space="preserve">Beregningsverktøy - </t>
    </r>
    <r>
      <rPr>
        <i/>
        <sz val="9"/>
        <color rgb="FF000000"/>
        <rFont val="Arial"/>
        <family val="2"/>
      </rPr>
      <t>beregningsdato</t>
    </r>
  </si>
  <si>
    <t>Aktør</t>
  </si>
  <si>
    <t>Nytte</t>
  </si>
  <si>
    <t>Kroner</t>
  </si>
  <si>
    <t>Analyse</t>
  </si>
  <si>
    <t>Fordeling</t>
  </si>
  <si>
    <t>Kroneår</t>
  </si>
  <si>
    <t>Analysemetode</t>
  </si>
  <si>
    <t>Trafikant</t>
  </si>
  <si>
    <t>Diskontert</t>
  </si>
  <si>
    <t>Befolkning</t>
  </si>
  <si>
    <t>Endring i drift, avgifter og materiell, persontog</t>
  </si>
  <si>
    <t>Endring i materiell, persontog</t>
  </si>
  <si>
    <t>Investering og reinvestering</t>
  </si>
  <si>
    <t>Investeringskostnad</t>
  </si>
  <si>
    <t xml:space="preserve">Kan og bør endres </t>
  </si>
  <si>
    <t>Input</t>
  </si>
  <si>
    <t>Fra nivå 1/2/3</t>
  </si>
  <si>
    <t>Formel</t>
  </si>
  <si>
    <t>Følsomhetsanalyse</t>
  </si>
  <si>
    <t>Parameternavn</t>
  </si>
  <si>
    <t>Forklaring/kommentar</t>
  </si>
  <si>
    <t>Antall samtidige følsomhetsanalyser</t>
  </si>
  <si>
    <t>-Velg-</t>
  </si>
  <si>
    <t>Parameter 1</t>
  </si>
  <si>
    <t>Parameter 2</t>
  </si>
  <si>
    <t xml:space="preserve">Helsevirkninger </t>
  </si>
  <si>
    <t>For tilbringerreiser med gang/sykkel</t>
  </si>
  <si>
    <t>Antall ulike verdier</t>
  </si>
  <si>
    <t>For all persontransport</t>
  </si>
  <si>
    <t>CO2-prisbane</t>
  </si>
  <si>
    <t>Hele prisbanen</t>
  </si>
  <si>
    <t>Parameter for følsomhetsanalyse</t>
  </si>
  <si>
    <t>CO2-pris i 2020</t>
  </si>
  <si>
    <t>Utgangspunkt for prisbanen</t>
  </si>
  <si>
    <t>Format for følsomhetsanalyse</t>
  </si>
  <si>
    <t>Tallverdi</t>
  </si>
  <si>
    <t>Driftskostnader for operatør</t>
  </si>
  <si>
    <t>Opprinnelig verdi</t>
  </si>
  <si>
    <t>Gods - transportkostnader og trafikkarbeid</t>
  </si>
  <si>
    <t>Sum logistikkostnader (mill. kroner), Trafikkarbeid (mill. kjøretøykm)</t>
  </si>
  <si>
    <t>Kostnader for samfunnet for øvrig</t>
  </si>
  <si>
    <t>Nåverdi/sluttresultat</t>
  </si>
  <si>
    <t>Verdi 1</t>
  </si>
  <si>
    <t>-Ulykkekostnader</t>
  </si>
  <si>
    <t>Verdi 2</t>
  </si>
  <si>
    <t>-Støykostnader</t>
  </si>
  <si>
    <t>Verdi 3</t>
  </si>
  <si>
    <t>-Kostnader av lokale utslipp</t>
  </si>
  <si>
    <t>Verdi 4</t>
  </si>
  <si>
    <t>-Kostnader av CO2-utslipp</t>
  </si>
  <si>
    <t>Nåverdi/sluttresultat, kun fra driftsfasen</t>
  </si>
  <si>
    <t>Verdi 5</t>
  </si>
  <si>
    <t>Trafikkvekst persontrafikk</t>
  </si>
  <si>
    <t>Per år etter siste beregningsår</t>
  </si>
  <si>
    <t>Verdi 6</t>
  </si>
  <si>
    <t>Trafikkvekst godstrafikk</t>
  </si>
  <si>
    <t>Verdi 7</t>
  </si>
  <si>
    <t>Fremtidig vekst i reelt BNP per capita</t>
  </si>
  <si>
    <t>Reallønnsvekst per år</t>
  </si>
  <si>
    <t>Break-even verdi</t>
  </si>
  <si>
    <t>CO2-utslipp - Bil</t>
  </si>
  <si>
    <t xml:space="preserve">CO2-utslipp per kjøretøykm </t>
  </si>
  <si>
    <t>Beskrivelse av/hypotese bak valgt(e) følsomhet(er)</t>
  </si>
  <si>
    <t>CO2-utslipp - Buss</t>
  </si>
  <si>
    <t xml:space="preserve">CO2-utslipp - Lastebil </t>
  </si>
  <si>
    <t>[Beskriv hvorfor følsomhetsanalyse av den/de valgte variabelen(e) er relevant for analysen, og hvorfor de valgte verdiene kan være mulige utfall]</t>
  </si>
  <si>
    <t>CO2-utslipp - Skip</t>
  </si>
  <si>
    <t>CO2-utslipp - Fly</t>
  </si>
  <si>
    <t>Resultater</t>
  </si>
  <si>
    <t>Grafer</t>
  </si>
  <si>
    <t>Resultater for:</t>
  </si>
  <si>
    <t>Beskrivelse av/hypotese bak valgt følsomhet</t>
  </si>
  <si>
    <t>Netto nåverdi</t>
  </si>
  <si>
    <t xml:space="preserve">Netto nåverdi 
Mill. -kroner i </t>
  </si>
  <si>
    <t>% endring fra opprinnelig NNV</t>
  </si>
  <si>
    <t>Netto nåverdi per budsjettkrone</t>
  </si>
  <si>
    <t>% endring fra opprinnelig NNB</t>
  </si>
  <si>
    <t>Resultater for simultan følsomhetsanalyse av:</t>
  </si>
  <si>
    <t>Kan endres</t>
  </si>
  <si>
    <t>Monte Carlo-simulering</t>
  </si>
  <si>
    <t>Stokastiske eksogene variabler</t>
  </si>
  <si>
    <t>Illustrasjon av modellert usikkerhet i stokastiske eksogene variabler</t>
  </si>
  <si>
    <t>Stokastiske endogene variabler</t>
  </si>
  <si>
    <t>Resultater av siste simulering</t>
  </si>
  <si>
    <t>Histogram</t>
  </si>
  <si>
    <t>Løpende simulert gjennomsnitt</t>
  </si>
  <si>
    <t>Stokastisk endogen variabel</t>
  </si>
  <si>
    <t>Fremhevede persentiler</t>
  </si>
  <si>
    <t>P10</t>
  </si>
  <si>
    <t>Bruke egendefinerte bolker?</t>
  </si>
  <si>
    <t>95 %-konfidensintervall for forventningsverdi</t>
  </si>
  <si>
    <t>Trekninger per simulering:</t>
  </si>
  <si>
    <t>Variabel</t>
  </si>
  <si>
    <t>Automatisk bestemme desimaler i tabeller og figurer</t>
  </si>
  <si>
    <t>Ja</t>
  </si>
  <si>
    <t>Antall bolker</t>
  </si>
  <si>
    <t>Avvik fra gj.snitt for grenser i konfidensintervallet</t>
  </si>
  <si>
    <t>Antall variable:</t>
  </si>
  <si>
    <t>Funksjon</t>
  </si>
  <si>
    <t>Sannsynlighetstetthet</t>
  </si>
  <si>
    <t>Antall endogene variable som skal lagres</t>
  </si>
  <si>
    <t>Variabelnr</t>
  </si>
  <si>
    <t>P90</t>
  </si>
  <si>
    <t>Øvre grense i første bolk</t>
  </si>
  <si>
    <t>Nedre grense</t>
  </si>
  <si>
    <t>Antall trekninger</t>
  </si>
  <si>
    <t>Øvre grense</t>
  </si>
  <si>
    <t>Format</t>
  </si>
  <si>
    <t>Type sannsynlighetsfordeling</t>
  </si>
  <si>
    <t>Spredningsmål 1</t>
  </si>
  <si>
    <t>Sentralitetsmål</t>
  </si>
  <si>
    <t>Spredningsmål 2</t>
  </si>
  <si>
    <t>Valgfritt sprednings-/sentralitetsmål</t>
  </si>
  <si>
    <t>Ytterligere forklaring av variabel</t>
  </si>
  <si>
    <t>Forventningverdi</t>
  </si>
  <si>
    <t>Basisverdi</t>
  </si>
  <si>
    <t>Standardavvik</t>
  </si>
  <si>
    <t>Median</t>
  </si>
  <si>
    <t>Min</t>
  </si>
  <si>
    <t>Maks</t>
  </si>
  <si>
    <t>Netto nåverdi per investerte krone</t>
  </si>
  <si>
    <t>Løpende gj.snittTrafikantnytte, referanse</t>
  </si>
  <si>
    <t>Løpende gj.snittTrafikantnytte, overført og nyskapt</t>
  </si>
  <si>
    <t>Løpende gj.snittAndre transportmidler (bil, buss, fly)</t>
  </si>
  <si>
    <t>Løpende gj.snittGodskunder</t>
  </si>
  <si>
    <t>Løpende gj.snittHelsevirkninger for gående og syklende, overført fra bil</t>
  </si>
  <si>
    <t xml:space="preserve">Løpende gj.snittEndring for trafikanter </t>
  </si>
  <si>
    <t>Løpende gj.snittMarkedsinntekter, persontog</t>
  </si>
  <si>
    <t>Løpende gj.snittOffentlig kjøp av persontransport, persontog</t>
  </si>
  <si>
    <t xml:space="preserve">Løpende gj.snittEndring i drift, avgifter og persontog </t>
  </si>
  <si>
    <t>Løpende gj.snittEndring i materiell persontog</t>
  </si>
  <si>
    <t>Løpende gj.snittEndring i avgifter og offentlig kjøp, buss og fly</t>
  </si>
  <si>
    <t>Løpende gj.snittEndring for operatører</t>
  </si>
  <si>
    <t>Løpende gj.snittEndring i avgifter (herunder bom- og fergeavgifter)</t>
  </si>
  <si>
    <t>Løpende gj.snittEndring i vedlikehold av infrastruktur</t>
  </si>
  <si>
    <t>Løpende gj.snittOffentlig kjøp av persontransport på tog og buss</t>
  </si>
  <si>
    <t xml:space="preserve">Løpende gj.snittInvesteringer  </t>
  </si>
  <si>
    <t>Løpende gj.snittReinvesteringer</t>
  </si>
  <si>
    <t>Løpende gj.snittEndring for det offentlige</t>
  </si>
  <si>
    <t>Løpende gj.snittEndring i ulykker</t>
  </si>
  <si>
    <t>Løpende gj.snittEndring i støy</t>
  </si>
  <si>
    <t>Løpende gj.snittEndring i lokale utslipp</t>
  </si>
  <si>
    <t>Løpende gj.snittEndring i CO2-utslipp</t>
  </si>
  <si>
    <t>Løpende gj.snittEndring i CO2-utslipp i byggefasen</t>
  </si>
  <si>
    <t>Løpende gj.snittEndring for samfunnet for øvrig</t>
  </si>
  <si>
    <t>Løpende gj.snittRestverdi av tiltak</t>
  </si>
  <si>
    <t>Løpende gj.snittEndring i skattefinansiering</t>
  </si>
  <si>
    <t xml:space="preserve">Løpende gj.snittSamfunnsøkonomisk brutto nåverdi </t>
  </si>
  <si>
    <t>Løpende gj.snittSamfunnsøkonomisk netto nåverdi (NNV)</t>
  </si>
  <si>
    <t>Løpende gj.snittNetto nåverdi per budsjettkrone (NNB)</t>
  </si>
  <si>
    <t>Løpende gj.snittNetto nåverdi per investerte krone</t>
  </si>
  <si>
    <t>Break-even</t>
  </si>
  <si>
    <t>Persentilnr for break-even</t>
  </si>
  <si>
    <t>Antall trinn:</t>
  </si>
  <si>
    <t>Vekst per trinn før avrunding:</t>
  </si>
  <si>
    <t>Vekst per trinn etter avrunding eller brukerdefinert:</t>
  </si>
  <si>
    <t xml:space="preserve">Data til figur: Nåverdi av hovedstørrelser og netto nåverdi </t>
  </si>
  <si>
    <t>Tittel:</t>
  </si>
  <si>
    <t>Etikett</t>
  </si>
  <si>
    <t>Stolpe</t>
  </si>
  <si>
    <t>Delta</t>
  </si>
  <si>
    <t>Flyt</t>
  </si>
  <si>
    <t>Base+</t>
  </si>
  <si>
    <t>Base-</t>
  </si>
  <si>
    <t>Delta+</t>
  </si>
  <si>
    <t>Delta-</t>
  </si>
  <si>
    <t>Usynlig</t>
  </si>
  <si>
    <t>Etikett+</t>
  </si>
  <si>
    <t>Etikett-</t>
  </si>
  <si>
    <t>Linjer</t>
  </si>
  <si>
    <t>LinjeY</t>
  </si>
  <si>
    <t xml:space="preserve">Endring for Trafikanter </t>
  </si>
  <si>
    <t>Endring for Operatører</t>
  </si>
  <si>
    <t>Endring for Det offentlige</t>
  </si>
  <si>
    <t>Endring for Samfunnet for øvrig</t>
  </si>
  <si>
    <t>x</t>
  </si>
  <si>
    <t>Data til figur: Nåverdi av trafikantnytteelementer</t>
  </si>
  <si>
    <t>Trafikantnytte, Referanse</t>
  </si>
  <si>
    <t>Trafikantnytte, Overført og nyskapt</t>
  </si>
  <si>
    <t>Andre transportmidler (bil, buss,fly)</t>
  </si>
  <si>
    <t>Data til figur: Nåverdi av operatørnytteelementer</t>
  </si>
  <si>
    <t>Offentlig kjøp av persontransport på tog</t>
  </si>
  <si>
    <t>Data til figur: Nåverdi av nytteelement for det offentlige</t>
  </si>
  <si>
    <t>Reinvestering</t>
  </si>
  <si>
    <t>Data til figur: Nåverdi av nytteelementer for samfunnet for øvrig</t>
  </si>
  <si>
    <t>Data til figur: Fordeling av trafikantnytte</t>
  </si>
  <si>
    <t>Kolonne1</t>
  </si>
  <si>
    <t>Kolonne2</t>
  </si>
  <si>
    <t>Kolonne3</t>
  </si>
  <si>
    <t>Kolonne4</t>
  </si>
  <si>
    <t>Togreisende i referanse</t>
  </si>
  <si>
    <t>Nye togreisende</t>
  </si>
  <si>
    <t>Bilreisende</t>
  </si>
  <si>
    <t>Bussreisende</t>
  </si>
  <si>
    <t>Flyreisende</t>
  </si>
  <si>
    <t>Helsevirkninger</t>
  </si>
  <si>
    <t xml:space="preserve">Overført fra andre transportmidler til tog </t>
  </si>
  <si>
    <t xml:space="preserve">Overført: Bil </t>
  </si>
  <si>
    <t>Overført: Buss</t>
  </si>
  <si>
    <t xml:space="preserve">Oveført: Fly </t>
  </si>
  <si>
    <t xml:space="preserve">Data til figur: Stablet stolpediagram </t>
  </si>
  <si>
    <t>tittel:</t>
  </si>
  <si>
    <t>Kolonne14</t>
  </si>
  <si>
    <t>Kolonne12</t>
  </si>
  <si>
    <t>Kolonne13</t>
  </si>
  <si>
    <t>Data til figur: Nyttebidraget fra endret CO2-utslipp og CO2-prisbane</t>
  </si>
  <si>
    <t>Karbonprisbane, KPI-justert</t>
  </si>
  <si>
    <t>CO2-avgiftsbane, KPI-justert</t>
  </si>
  <si>
    <t>Karbonprisbane lav, KPI-justert</t>
  </si>
  <si>
    <t>Karbonprisbane høy, KPI-justert</t>
  </si>
  <si>
    <t>Karbonprisbane-opptak og utslipp i skog og arealbruk, KPI-justert</t>
  </si>
  <si>
    <t>Merknad: Hvis det gjøres endringer i SAGA som legger til flere kategorier kjøretøy (f.eks. skille mellom lett og tung lastebil), må det legges til en ekstra rad med referanse til rett rad i ark 3.1 Nyttestrøm for nye/endrede grupper.</t>
  </si>
  <si>
    <t xml:space="preserve">Til figurtittel: </t>
  </si>
  <si>
    <t>Figurtittel:</t>
  </si>
  <si>
    <t>Hyperkobling:</t>
  </si>
  <si>
    <t>Kolonne5</t>
  </si>
  <si>
    <t>Kolonne6</t>
  </si>
  <si>
    <t>Kolonne7</t>
  </si>
  <si>
    <t>Kolonne8</t>
  </si>
  <si>
    <t>Kolonne9</t>
  </si>
  <si>
    <t>Kolonne92</t>
  </si>
  <si>
    <t>Kolonne10</t>
  </si>
  <si>
    <t>Kolonne11</t>
  </si>
  <si>
    <t>Kolonne15</t>
  </si>
  <si>
    <t>Kolonne16</t>
  </si>
  <si>
    <t>Kolonne17</t>
  </si>
  <si>
    <t>Kolonne18</t>
  </si>
  <si>
    <t>Kolonne19</t>
  </si>
  <si>
    <t>Kolonne20</t>
  </si>
  <si>
    <t>Kolonne21</t>
  </si>
  <si>
    <t>Kolonne22</t>
  </si>
  <si>
    <t>Kolonne23</t>
  </si>
  <si>
    <t>Kolonne24</t>
  </si>
  <si>
    <t>Kolonne25</t>
  </si>
  <si>
    <t>Kolonne26</t>
  </si>
  <si>
    <t>Kolonne27</t>
  </si>
  <si>
    <t>Kolonne28</t>
  </si>
  <si>
    <t>Kolonne29</t>
  </si>
  <si>
    <t>Kolonne30</t>
  </si>
  <si>
    <t>Kolonne31</t>
  </si>
  <si>
    <t>Kolonne32</t>
  </si>
  <si>
    <t>Kolonne33</t>
  </si>
  <si>
    <t>Kolonne34</t>
  </si>
  <si>
    <t>Kolonne35</t>
  </si>
  <si>
    <t>Kolonne36</t>
  </si>
  <si>
    <t>Kolonne37</t>
  </si>
  <si>
    <t>Kolonne38</t>
  </si>
  <si>
    <t>Kolonne39</t>
  </si>
  <si>
    <t>Kolonne40</t>
  </si>
  <si>
    <t>Kolonne41</t>
  </si>
  <si>
    <t>Kolonne42</t>
  </si>
  <si>
    <t>Kolonne43</t>
  </si>
  <si>
    <t>Kolonne44</t>
  </si>
  <si>
    <t>Kolonne45</t>
  </si>
  <si>
    <t>Kolonne46</t>
  </si>
  <si>
    <t>Kolonne47</t>
  </si>
  <si>
    <t>Kolonne48</t>
  </si>
  <si>
    <t>Kolonne49</t>
  </si>
  <si>
    <t>Kolonne50</t>
  </si>
  <si>
    <t>Kolonne51</t>
  </si>
  <si>
    <t>Kolonne52</t>
  </si>
  <si>
    <t>Kolonne53</t>
  </si>
  <si>
    <t>Kolonne54</t>
  </si>
  <si>
    <t>Kolonne55</t>
  </si>
  <si>
    <t>Kolonne56</t>
  </si>
  <si>
    <t>Kolonne57</t>
  </si>
  <si>
    <t>Kolonne58</t>
  </si>
  <si>
    <t>Kolonne59</t>
  </si>
  <si>
    <t>Kolonne60</t>
  </si>
  <si>
    <t>Kolonne61</t>
  </si>
  <si>
    <t>Kolonne62</t>
  </si>
  <si>
    <t>Kolonne63</t>
  </si>
  <si>
    <t>Kolonne64</t>
  </si>
  <si>
    <t>Kolonne65</t>
  </si>
  <si>
    <t>Kolonne66</t>
  </si>
  <si>
    <t>Kolonne67</t>
  </si>
  <si>
    <t>Kolonne68</t>
  </si>
  <si>
    <t>Kolonne69</t>
  </si>
  <si>
    <t>Kolonne70</t>
  </si>
  <si>
    <t>Kolonne71</t>
  </si>
  <si>
    <t>Kolonne72</t>
  </si>
  <si>
    <t>Kolonne73</t>
  </si>
  <si>
    <t>Kolonne74</t>
  </si>
  <si>
    <t>Kolonne75</t>
  </si>
  <si>
    <t>Kolonne76</t>
  </si>
  <si>
    <t>Kolonne77</t>
  </si>
  <si>
    <t>Kolonne78</t>
  </si>
  <si>
    <t>Kolonne79</t>
  </si>
  <si>
    <t>Kolonne80</t>
  </si>
  <si>
    <t>Kolonne81</t>
  </si>
  <si>
    <t>Kolonne82</t>
  </si>
  <si>
    <t>Kolonne83</t>
  </si>
  <si>
    <t>Kolonne84</t>
  </si>
  <si>
    <t>Kolonne85</t>
  </si>
  <si>
    <t>Kolonne86</t>
  </si>
  <si>
    <t>Kolonne87</t>
  </si>
  <si>
    <t>Kolonne88</t>
  </si>
  <si>
    <t>Kolonne89</t>
  </si>
  <si>
    <t>Kolonne90</t>
  </si>
  <si>
    <t>Kolonne91</t>
  </si>
  <si>
    <t>Kolonne912</t>
  </si>
  <si>
    <t>Kolonne913</t>
  </si>
  <si>
    <t>Kolonne914</t>
  </si>
  <si>
    <t>Kolonne915</t>
  </si>
  <si>
    <t>Kolonne916</t>
  </si>
  <si>
    <t>Kolonne917</t>
  </si>
  <si>
    <t>Kolonne918</t>
  </si>
  <si>
    <t>Kolonne919</t>
  </si>
  <si>
    <t>Kolonne920</t>
  </si>
  <si>
    <t>Kolonne921</t>
  </si>
  <si>
    <t>Kolonne922</t>
  </si>
  <si>
    <t>Kolonne923</t>
  </si>
  <si>
    <t>Kolonne924</t>
  </si>
  <si>
    <t>Kolonne925</t>
  </si>
  <si>
    <t>Kolonne926</t>
  </si>
  <si>
    <t>Kolonne927</t>
  </si>
  <si>
    <t>Kolonne928</t>
  </si>
  <si>
    <t>Kolonne929</t>
  </si>
  <si>
    <t>Kolonne930</t>
  </si>
  <si>
    <t>SANN/USANN</t>
  </si>
  <si>
    <t>Endring i totale utslipp</t>
  </si>
  <si>
    <t>Merknad: Hvis det gjøres endringer i SAGA som legger til flere kategorier kjøretøy (f.eks. skille mellom lett og tung lastebil), må det legges til en ekstra rad med referanse til rett rad i tabellen rett over. Det må også legges til avhukingsboks for nytt transportmiddel i figuren for nyttebidrag fra CO2-utslipp, som er koblet til celle i kolonne A i denne tabellen.</t>
  </si>
  <si>
    <t>Data til figur: Endring i budsjettkostnader for det offentlige</t>
  </si>
  <si>
    <t>Budsjettvirkninger ekskl. investering og reinvestering</t>
  </si>
  <si>
    <t>Merknad: Hvis det gjøres endringer i SAGA i tilknytning til kostnader for det offentlige må denne tabellen endres tilsvarende.</t>
  </si>
  <si>
    <t xml:space="preserve">Budsjettvirkninger for det offentlige, mill. kroner </t>
  </si>
  <si>
    <t>Kolonne872</t>
  </si>
  <si>
    <t>Kolonne873</t>
  </si>
  <si>
    <t>Kolonne874</t>
  </si>
  <si>
    <t>Kolonne875</t>
  </si>
  <si>
    <t>Kolonne876</t>
  </si>
  <si>
    <t>Kolonne877</t>
  </si>
  <si>
    <t>Kolonne878</t>
  </si>
  <si>
    <t>Kolonne879</t>
  </si>
  <si>
    <t>Kolonne8710</t>
  </si>
  <si>
    <t>Kolonne8711</t>
  </si>
  <si>
    <t>Kolonne8712</t>
  </si>
  <si>
    <t>Kolonne8713</t>
  </si>
  <si>
    <t>Kolonne8714</t>
  </si>
  <si>
    <t>Kolonne8715</t>
  </si>
  <si>
    <t>Kolonne8716</t>
  </si>
  <si>
    <t>Kolonne8717</t>
  </si>
  <si>
    <t>Kolonne8718</t>
  </si>
  <si>
    <t>Kolonne8719</t>
  </si>
  <si>
    <t>Kolonne8720</t>
  </si>
  <si>
    <t>Kolonne8721</t>
  </si>
  <si>
    <t>Kolonne8722</t>
  </si>
  <si>
    <t>Kolonne8723</t>
  </si>
  <si>
    <t>Kolonne8724</t>
  </si>
  <si>
    <t>Kolonne8725</t>
  </si>
  <si>
    <t>Kolonne8726</t>
  </si>
  <si>
    <t>Merknad: Hvis det gjøres endringer i SAGA i tilknytning til kostnader for det offentlige må denne tabellen endres tilsvarende, med referanse til tabellen over. Det kan også være nødvendig å endre/legge til avhukingsknapper i figuren for budsjettvirkninger som er koblet til celle i kolonne A i denne tabellen.</t>
  </si>
  <si>
    <t xml:space="preserve">Data til figur: Netto nytte akkumulert ved år X, mill. kr </t>
  </si>
  <si>
    <t>Totalt</t>
  </si>
  <si>
    <t>Neddiskontert årlig</t>
  </si>
  <si>
    <t xml:space="preserve">Neddiskontert akkumulert </t>
  </si>
  <si>
    <t xml:space="preserve">Absoluttverdi </t>
  </si>
  <si>
    <t xml:space="preserve">Break-even </t>
  </si>
  <si>
    <t xml:space="preserve">Break-even label </t>
  </si>
  <si>
    <t>Merknad: Hvis det legges til nytte/kostnadsvirkninger i ny rad i ark 3.1 Nyttestrøm på slutten av en av virkningsgruppene må man sjekke om raden har blitt inkludert i summen i Totalt-raden i denne tabellen.</t>
  </si>
  <si>
    <t>Figurtittel</t>
  </si>
  <si>
    <t>Kolonne93</t>
  </si>
  <si>
    <t>Kolonne94</t>
  </si>
  <si>
    <t>Kolonne95</t>
  </si>
  <si>
    <t>Kolonne96</t>
  </si>
  <si>
    <t>Kolonne97</t>
  </si>
  <si>
    <t>Kolonne98</t>
  </si>
  <si>
    <t>Kolonne99</t>
  </si>
  <si>
    <t>Kolonne100</t>
  </si>
  <si>
    <t>Kolonne101</t>
  </si>
  <si>
    <t>Kolonne102</t>
  </si>
  <si>
    <t>Kolonne103</t>
  </si>
  <si>
    <t>Kolonne104</t>
  </si>
  <si>
    <t>Kolonne105</t>
  </si>
  <si>
    <t>Kolonne106</t>
  </si>
  <si>
    <t>Kolonne107</t>
  </si>
  <si>
    <t>Kolonne108</t>
  </si>
  <si>
    <t>Kolonne109</t>
  </si>
  <si>
    <t>Kolonne110</t>
  </si>
  <si>
    <t>Kolonne111</t>
  </si>
  <si>
    <t>Kolonne112</t>
  </si>
  <si>
    <t>Break even</t>
  </si>
  <si>
    <t>Feilfelt i break-even, positiv verdi</t>
  </si>
  <si>
    <t>Feilfelt i break-even, negativ verdi</t>
  </si>
  <si>
    <t>Data til figur: Utvikling i CO2-utslipp</t>
  </si>
  <si>
    <t xml:space="preserve">Utvikling i CO2-utslipp (kg)- Utslipp arealbeslag </t>
  </si>
  <si>
    <t>Merknad: Hvis det gjøres endringer i inndelingen i kjøretøytyper må tilsvarende endringer gjøres i denne tabellen.</t>
  </si>
  <si>
    <t>Kolonne211</t>
  </si>
  <si>
    <t>Kolonne212</t>
  </si>
  <si>
    <t>Kolonne213</t>
  </si>
  <si>
    <t>Kolonne214</t>
  </si>
  <si>
    <t>Kolonne215</t>
  </si>
  <si>
    <t>Kolonne216</t>
  </si>
  <si>
    <t>Kolonne217</t>
  </si>
  <si>
    <t>Kolonne218</t>
  </si>
  <si>
    <t>Kolonne219</t>
  </si>
  <si>
    <t>Kolonne220</t>
  </si>
  <si>
    <t>Kolonne221</t>
  </si>
  <si>
    <t>Kolonne222</t>
  </si>
  <si>
    <t>Kolonne223</t>
  </si>
  <si>
    <t>Kolonne224</t>
  </si>
  <si>
    <t>Kolonne225</t>
  </si>
  <si>
    <t>Kolonne226</t>
  </si>
  <si>
    <t>Kolonne227</t>
  </si>
  <si>
    <t>Kolonne228</t>
  </si>
  <si>
    <t>Kolonne229</t>
  </si>
  <si>
    <t>Kolonne210</t>
  </si>
  <si>
    <t>Kolonne772</t>
  </si>
  <si>
    <t>Kolonne7722</t>
  </si>
  <si>
    <t>Kolonne7723</t>
  </si>
  <si>
    <t>Kolonne7724</t>
  </si>
  <si>
    <t>Kolonne7725</t>
  </si>
  <si>
    <t>Kolonne7726</t>
  </si>
  <si>
    <t>Kolonne7727</t>
  </si>
  <si>
    <t>Kolonne7728</t>
  </si>
  <si>
    <t>Kolonne7729</t>
  </si>
  <si>
    <t>Kolonne77210</t>
  </si>
  <si>
    <t>Kolonne77211</t>
  </si>
  <si>
    <t>Kolonne77212</t>
  </si>
  <si>
    <t>Kolonne77213</t>
  </si>
  <si>
    <t>Kolonne77214</t>
  </si>
  <si>
    <t>Kolonne77215</t>
  </si>
  <si>
    <t>Kolonne77216</t>
  </si>
  <si>
    <t>Kolonne77217</t>
  </si>
  <si>
    <t>Kolonne77218</t>
  </si>
  <si>
    <t>Kolonne77219</t>
  </si>
  <si>
    <t>Kolonne77220</t>
  </si>
  <si>
    <t>Kolonne77221</t>
  </si>
  <si>
    <t>Kolonne77222</t>
  </si>
  <si>
    <t>Kolonne77223</t>
  </si>
  <si>
    <t>Kolonne77224</t>
  </si>
  <si>
    <t>Kolonne77225</t>
  </si>
  <si>
    <t>Merknad: Hvis det gjøres endringer i inndelingen i kjøretøytyper må tilsvarende endringer gjøres i denne tabellen. Det må også endres/legges til avhukingsknapp som kobles til celle i kolonne A i denne tabellen.</t>
  </si>
  <si>
    <t>Data til figur for nyttebidrag fra endringer i ulykker og lokale utslipp</t>
  </si>
  <si>
    <t>Merknad: Hvis det gjøres endringer i strukturen for eksterne kostnader i SAGA må det gjøres tilsvarende endringer i denne tabellen.</t>
  </si>
  <si>
    <t>Merknad: Hvis det gjøres endringer i strukturen for eksterne kostnader i SAGA må tilsvarende endringer gjøres i denne tabellen. Det må også endres/legges til avhukingsknapp som kobles til celle i kolonne A i denne tabellen.</t>
  </si>
  <si>
    <t>Parameternavn i følsomhetsanalyse/navn på eksogen variabel i MC-simulering</t>
  </si>
  <si>
    <t>Ytterligere forklaring</t>
  </si>
  <si>
    <t>Områdenavn</t>
  </si>
  <si>
    <t>Ark</t>
  </si>
  <si>
    <t>Tillatte formater</t>
  </si>
  <si>
    <t>Midlertidig oppbevaring av trukkede verdier ved simulering</t>
  </si>
  <si>
    <t>Antall verdier</t>
  </si>
  <si>
    <t>Antall samtidige</t>
  </si>
  <si>
    <t>Begge</t>
  </si>
  <si>
    <t>Sannsynlighetsfordelinger</t>
  </si>
  <si>
    <t>Mulige input for verdi 1 ved normal eller lognormal fordeling</t>
  </si>
  <si>
    <t>Mulige valg for verdi 2 ved normal eller lognormal fordeling</t>
  </si>
  <si>
    <t>Mulige valg for valgfritt sprednings-/sentralititetsmål</t>
  </si>
  <si>
    <t>Input ved triangulærfordeling</t>
  </si>
  <si>
    <t>Endogene variabler som kan lagres ved Monte Carlo-simulering</t>
  </si>
  <si>
    <t>Til figur for utvalgt sannsynlighetsfordeling (styres av makro)</t>
  </si>
  <si>
    <t>Formater_begge</t>
  </si>
  <si>
    <t>Persentil</t>
  </si>
  <si>
    <t>Kumulativ fordeling</t>
  </si>
  <si>
    <t>Investering_Referanse</t>
  </si>
  <si>
    <t>Mill kr</t>
  </si>
  <si>
    <t>Prosent endring fra basisverdi</t>
  </si>
  <si>
    <t>Normalfordeling</t>
  </si>
  <si>
    <t>Median (P50)</t>
  </si>
  <si>
    <t>Investering_Tiltak</t>
  </si>
  <si>
    <t>Lognormal fordeling</t>
  </si>
  <si>
    <t>P1</t>
  </si>
  <si>
    <t>RES_Trafikantnytte__referanse</t>
  </si>
  <si>
    <t>Helsegevinst_Sats</t>
  </si>
  <si>
    <t>Triangulærfordeling</t>
  </si>
  <si>
    <t>P2</t>
  </si>
  <si>
    <t>RES_Trafikantnytte__overført_og_nyskapt</t>
  </si>
  <si>
    <t>Trafikantnytte_Alt</t>
  </si>
  <si>
    <t>Formater_prosent</t>
  </si>
  <si>
    <t>Kr/år</t>
  </si>
  <si>
    <t>P3</t>
  </si>
  <si>
    <t>RES_Andre_transportmidler__bil__buss__fly</t>
  </si>
  <si>
    <t>CO2KvotePriser_Opprinnelig</t>
  </si>
  <si>
    <t>P4</t>
  </si>
  <si>
    <t>RES_Godskunder</t>
  </si>
  <si>
    <t>CO2KvotePrisStart</t>
  </si>
  <si>
    <t>P5</t>
  </si>
  <si>
    <t>RES_Helsevirkninger_for_gående_og_syklende__overført_fra_bil</t>
  </si>
  <si>
    <t>Totale_Driftskostnader</t>
  </si>
  <si>
    <t>P6</t>
  </si>
  <si>
    <t>RES_Endring_for_trafikanter</t>
  </si>
  <si>
    <t>Gods_Transportkostnader_og_Trafikkarbeid</t>
  </si>
  <si>
    <t>Mill kr, Mill kjøretøykm</t>
  </si>
  <si>
    <t>P7</t>
  </si>
  <si>
    <t>RES_Markedsinntekter__persontog</t>
  </si>
  <si>
    <t>SamfunnetForØvrig_Kostnader</t>
  </si>
  <si>
    <t>P8</t>
  </si>
  <si>
    <t>RES_Offentlig_kjøp_av_persontransport__persontog</t>
  </si>
  <si>
    <t>Ulykke_AlleTransportformer</t>
  </si>
  <si>
    <t>P9</t>
  </si>
  <si>
    <t>RES_Endring_i_drift_og_avgifter__persontog</t>
  </si>
  <si>
    <t>Støy_AlleTransportformer</t>
  </si>
  <si>
    <t>RES_Endring_i_materiell__persontog</t>
  </si>
  <si>
    <t>LokaleUtslipp_AlleTransportformer</t>
  </si>
  <si>
    <t>P11</t>
  </si>
  <si>
    <t>RES_Endring_i_avgifter_og_offentlig_kjøp__buss_og_fly</t>
  </si>
  <si>
    <t>KostnaderCO2Utslipp_AlleTransportformer</t>
  </si>
  <si>
    <t>P12</t>
  </si>
  <si>
    <t>RES_Endring_for_operatører</t>
  </si>
  <si>
    <t>SerieÅrligPersonvekst</t>
  </si>
  <si>
    <t>P13</t>
  </si>
  <si>
    <t>RES_Endring_i_avgifter__herunder_bom__og_fergeavgifter</t>
  </si>
  <si>
    <t>SerieÅrligGodsVekst</t>
  </si>
  <si>
    <t>P14</t>
  </si>
  <si>
    <t>RES_Endring_i_vedlikehold_av_infrastruktur</t>
  </si>
  <si>
    <t>PrognoseRealpris</t>
  </si>
  <si>
    <t>P15</t>
  </si>
  <si>
    <t>RES_Offentlig_kjøp_av_persontransport_på_tog_og_buss</t>
  </si>
  <si>
    <t>SerieCO2utslipp_Bil</t>
  </si>
  <si>
    <t>Kg CO2/kjøretøykm</t>
  </si>
  <si>
    <t>P16</t>
  </si>
  <si>
    <t>RES_Investering</t>
  </si>
  <si>
    <t>SerieCO2Utslipp_Buss</t>
  </si>
  <si>
    <t>P17</t>
  </si>
  <si>
    <t>RES_Reinvestering</t>
  </si>
  <si>
    <t>SerieCO2Utslipp_Lastebil</t>
  </si>
  <si>
    <t>P18</t>
  </si>
  <si>
    <t>RES_Endring_for_det_offentlige</t>
  </si>
  <si>
    <t>SerieCO2Utslipp_Skip</t>
  </si>
  <si>
    <t>P19</t>
  </si>
  <si>
    <t>RES_Endring_i_ulykker</t>
  </si>
  <si>
    <t>SerieCO2Utslipp_Fly</t>
  </si>
  <si>
    <t>P20</t>
  </si>
  <si>
    <t>RES_Endring_i_støy</t>
  </si>
  <si>
    <t>P21</t>
  </si>
  <si>
    <t>RES_Endring_i_lokale_utslipp</t>
  </si>
  <si>
    <t>P22</t>
  </si>
  <si>
    <t>RES_Endring_i_CO2_utslipp</t>
  </si>
  <si>
    <t>P23</t>
  </si>
  <si>
    <t>RES_Endring_i_CO2_utslipp_byggefasen</t>
  </si>
  <si>
    <t>P24</t>
  </si>
  <si>
    <t>RES_Endring_for_samfunnet_for_øvrig</t>
  </si>
  <si>
    <t>P25</t>
  </si>
  <si>
    <t>RES_Restverdi_av_tiltak</t>
  </si>
  <si>
    <t>P26</t>
  </si>
  <si>
    <t>RES_Endring_i_skattefinansiering</t>
  </si>
  <si>
    <t>P27</t>
  </si>
  <si>
    <t>RES_Samfunnsøkonomisk_brutto_nåverdi</t>
  </si>
  <si>
    <t>P28</t>
  </si>
  <si>
    <t>Resultat_NNV</t>
  </si>
  <si>
    <t>P29</t>
  </si>
  <si>
    <t>Resultat_NNB</t>
  </si>
  <si>
    <t>P30</t>
  </si>
  <si>
    <t>RES_Netto_nåverdi_per_investerte_krone</t>
  </si>
  <si>
    <t>P31</t>
  </si>
  <si>
    <t>P32</t>
  </si>
  <si>
    <t>P33</t>
  </si>
  <si>
    <t>P34</t>
  </si>
  <si>
    <t>P35</t>
  </si>
  <si>
    <t>P36</t>
  </si>
  <si>
    <t>P37</t>
  </si>
  <si>
    <t>P38</t>
  </si>
  <si>
    <t>P39</t>
  </si>
  <si>
    <t>P40</t>
  </si>
  <si>
    <t>P41</t>
  </si>
  <si>
    <t>P42</t>
  </si>
  <si>
    <t>P43</t>
  </si>
  <si>
    <t>P44</t>
  </si>
  <si>
    <t>P45</t>
  </si>
  <si>
    <t>P46</t>
  </si>
  <si>
    <t>P47</t>
  </si>
  <si>
    <t>P48</t>
  </si>
  <si>
    <t>P49</t>
  </si>
  <si>
    <t>P51</t>
  </si>
  <si>
    <t>P52</t>
  </si>
  <si>
    <t>P53</t>
  </si>
  <si>
    <t>P54</t>
  </si>
  <si>
    <t>P55</t>
  </si>
  <si>
    <t>P56</t>
  </si>
  <si>
    <t>P57</t>
  </si>
  <si>
    <t>P58</t>
  </si>
  <si>
    <t>P59</t>
  </si>
  <si>
    <t>P60</t>
  </si>
  <si>
    <t>P61</t>
  </si>
  <si>
    <t>P62</t>
  </si>
  <si>
    <t>P63</t>
  </si>
  <si>
    <t>P64</t>
  </si>
  <si>
    <t>P65</t>
  </si>
  <si>
    <t>P66</t>
  </si>
  <si>
    <t>P67</t>
  </si>
  <si>
    <t>P68</t>
  </si>
  <si>
    <t>P69</t>
  </si>
  <si>
    <t>P70</t>
  </si>
  <si>
    <t>P71</t>
  </si>
  <si>
    <t>P72</t>
  </si>
  <si>
    <t>P73</t>
  </si>
  <si>
    <t>P74</t>
  </si>
  <si>
    <t>P75</t>
  </si>
  <si>
    <t>P76</t>
  </si>
  <si>
    <t>P77</t>
  </si>
  <si>
    <t>P78</t>
  </si>
  <si>
    <t>P79</t>
  </si>
  <si>
    <t>P80</t>
  </si>
  <si>
    <t>P81</t>
  </si>
  <si>
    <t>P82</t>
  </si>
  <si>
    <t>P83</t>
  </si>
  <si>
    <t>P84</t>
  </si>
  <si>
    <t>P86</t>
  </si>
  <si>
    <t>P87</t>
  </si>
  <si>
    <t>P88</t>
  </si>
  <si>
    <t>P89</t>
  </si>
  <si>
    <t>P91</t>
  </si>
  <si>
    <t>P92</t>
  </si>
  <si>
    <t>P93</t>
  </si>
  <si>
    <t>P94</t>
  </si>
  <si>
    <t>P95</t>
  </si>
  <si>
    <t>P96</t>
  </si>
  <si>
    <t>P97</t>
  </si>
  <si>
    <t>P98</t>
  </si>
  <si>
    <t>P99</t>
  </si>
  <si>
    <t>Marginalkostnad per passasjerkilometer</t>
  </si>
  <si>
    <t>Kr/passasjerkm</t>
  </si>
  <si>
    <t>RVU 2024 eget uttak</t>
  </si>
  <si>
    <t>Avinor_2024</t>
  </si>
  <si>
    <t>Trafikkstatistikk</t>
  </si>
  <si>
    <t xml:space="preserve">Oppdatert fordeling av overført og nyskapt trafikk fra RVU 2024. </t>
  </si>
  <si>
    <t>Oppdatert belegg på buss og fly.</t>
  </si>
  <si>
    <t>Reiser ≤  50 km</t>
  </si>
  <si>
    <t>Reiser &gt; 50 km</t>
  </si>
  <si>
    <t>Oppdatert marginale eksterne kostnader for jernbane.</t>
  </si>
  <si>
    <t>Oppdatert bilbelegg fra RVU 2024.</t>
  </si>
  <si>
    <t xml:space="preserve">Kostnadene per sett er basert på årlige kostnader innrapportert fra operatørene. </t>
  </si>
  <si>
    <t>I vedlikeholdskostnader ligge teknisk vedlikehold av togene, for eksempel service ved faste intervaller og reparasjoner. Vedlikeholdskostnadene er gjennomsnitt innrapportert fra operatørene.</t>
  </si>
  <si>
    <t>TØI (2023): Eksterne kostnader fra godstransport på veg og til sjøs</t>
  </si>
  <si>
    <t>Eksterne kostnader fra godstransport på veg og til sjøs</t>
  </si>
  <si>
    <t>TØI-rapport 1953/2023</t>
  </si>
  <si>
    <t>&gt;7,5-14t</t>
  </si>
  <si>
    <t>&gt;14-20t</t>
  </si>
  <si>
    <t>&gt;20-28t</t>
  </si>
  <si>
    <t>&gt;28-40t</t>
  </si>
  <si>
    <t>&gt;40-50t</t>
  </si>
  <si>
    <t>Tung lastebil - slitasje</t>
  </si>
  <si>
    <t>Modulvogntog - slitasje</t>
  </si>
  <si>
    <t>Skip- store tettsteder 2022</t>
  </si>
  <si>
    <t>Skip- små tettsteder 2022</t>
  </si>
  <si>
    <t>Skip- spredt bebyggelse 2022</t>
  </si>
  <si>
    <t>Andre transportmidler - Tung lastebil</t>
  </si>
  <si>
    <t>Andre transportmidler - Modulvogntog</t>
  </si>
  <si>
    <t>Antall gram NOx-utslipp per kjøretøykm er beregnet ut i fra drivstofforbruket og hvor mye NOx-utslipp det er per kg liter drivstoff. Det er tatt utgangspunkt i vektklassen &gt;7,5 tonn og tatt gjennomsnitt av de tre områdetypene.</t>
  </si>
  <si>
    <t>Antall gram NOx-utslipp per kjøretøykm er beregnet ut i fra drivstofforbruket og hvor mye NOx-utslipp det er per kg liter drivstoff. Det er tatt utgangspunkt i vektklassen 50-60 tonn og tatt gjennomsnitt av de tre områdetypene.</t>
  </si>
  <si>
    <t>Antall gram NOx-utslipp per kjøretøykm er beregnet ut i fra drivstofforbruket og hvor mye NOx-utslipp det er per kg liter drivstoff. Det er tatt utgangspunkt i vektklassen fra 7,5-50 tonn og tatt gjennomsnitt av de tre områdetypene.</t>
  </si>
  <si>
    <t>Antall gram NOx-utslipp per kjøretøykm. Lett lastebil er definert ved vektklasse under 7,5 tonn, og satsen funnet ved å beregne gjennomnittelig gNOX/km for 3 ulike tettsteder</t>
  </si>
  <si>
    <t>Antall gram NOx-utslipp per kjøretøykm. Lett lastebil er definert ved vektklasser mellom 7,5-50 tonn, og satsen er funnet ved å beregne gjennomnittelig gNOX/km for 3 ulike tettsteder</t>
  </si>
  <si>
    <t>Antall gram NOx-utslipp per kjøretøykm. Tung lastebil er definert ved alle vektklassen 50-60 tonn, og satsen funnet ved å beregne gjennomnittelig gNOX/km for 3 ulike tettsteder</t>
  </si>
  <si>
    <t>Drivstofforbruk dieseldreven lett lastebil. Det er tatt utgangspunkt i under 7,5 tonn.</t>
  </si>
  <si>
    <t xml:space="preserve">Antall kg CO2-utslipp per kjøretøykm er beregnet ut i fra drivstofforbruket og hvor mye CO2-utslipp det er per kg liter drivstoff. Tatt utgangspunkt i små og store tettsteder. </t>
  </si>
  <si>
    <t>Antall kg CO2-utslipp per kjøretøykm er beregnet ut i fra drivstofforbruket og hvor mye CO2-utslipp det er per kg liter drivstoff. Tatt et gjennomsnitt av utslippfaktorene for vektklasser mellom 7,5-40 tonn, med utgangspunkt i små og store tettsteder.</t>
  </si>
  <si>
    <t>Drivstofforbruk dieseldreven tung lastebil. Det er tatt utgangspunkt i store og små tettsteder. Intervaller mellom 7,5-50 tonn.</t>
  </si>
  <si>
    <t xml:space="preserve">Drivstofforbruk dieseldreven tung lastebil. Det er tatt utgangspunkt i store og små tettsteder. Intervallet 50-60 tonn. </t>
  </si>
  <si>
    <t>Det er tatt utgangspunkt i store og små tettsteder, intervaller mellom 7,5-50 tonn.</t>
  </si>
  <si>
    <t>Det er tatt utgangspunkt i store og små tettsteder, intervallet 50-60 tonn.</t>
  </si>
  <si>
    <t>Oppdatert marginale eksterne kostnader for godstransport veg og sjø.</t>
  </si>
  <si>
    <t>Saga v3.1</t>
  </si>
  <si>
    <t>Benyttet sats for Ro-Ro Cargo 1000-5000 dødvektstonn fra Excel-vedlegg til TØI-rapport 1953/2023. Vurderingen er at mindre vektklasser i noen grad konkurrerer med jernbanen, selv om konkurranseflaten i realiteten er lav.</t>
  </si>
  <si>
    <t>Oppdatert vedlikeholdskostnader for infrastruktur, lagt inn sats for KL-anlegg og oppdatert levetid for KL-anlegg.</t>
  </si>
  <si>
    <t>Bane NOR, 2026</t>
  </si>
  <si>
    <t>Benyttet budsjettdata for 2023-2026 og tatt med det om ligger på høyspenning på postene: akutt korrektivt vedlikehold, beredskap, generiske kontroller, mindre fornyelser, utsatt korrektivt vedlikehold og øvrig forbyggende vedlikehold.</t>
  </si>
  <si>
    <t>Antall km kontaktledningsanlegg</t>
  </si>
  <si>
    <t>Oppdatert avregning av energikostnader fra Bane NOR.</t>
  </si>
  <si>
    <t xml:space="preserve">Beregningen er basert på marginalkostnad etter vekt, slitasjeelastisiteten, kostnad per kvadratmeter og gjennomsnittlig vegbredde. Beregningene følger svensk metodikk fra VIT, men tilpasset slik at den skal reflektere norske forhold best mulig. Det er gjennomført enkelte korrigeringer i metodikken sammenlignet med TØI 1704/2019. Satsen for vektklasser under 7,5 tonn er benyttet. </t>
  </si>
  <si>
    <t xml:space="preserve">Beregningen er basert på marginalkostnad etter vekt, slitasjeelastisiteten, kostnad per kvadratmeter og gjennomsnittlig vegbredde. Beregningene følger svensk metodikk fra VIT, men tilpasset slik at den skal reflektere norske forhold best mulig. Det er gjennomført enkelte korrigeringer i metodikken sammenlignet med TØI 1704/2019. Satsen er basert på et gjennomsnitt av vektklassene over 7,5 tonn tom. 50 tonn. </t>
  </si>
  <si>
    <t xml:space="preserve">Beregningen er basert på marginalkostnad etter vekt, slitasjeelastisiteten, kostnad per kvadratmeter og gjennomsnittlig vegbredde. Beregningene følger svensk metodikk fra VIT, men tilpasset slik at den skal reflektere norske forhold best mulig. Det er gjennomført enkelte korrigeringer i metodikken sammenlignet med TØI 1704/2019. Satsen for vektklassen mellom 50-60 tonn er benyttet. </t>
  </si>
  <si>
    <t>3.1</t>
  </si>
  <si>
    <t>Kostnad per sett</t>
  </si>
  <si>
    <t xml:space="preserve">Det er inkludert t-baneførere som har lavere lønn enn lokomotivførerne. </t>
  </si>
  <si>
    <t>Lokomotivfører | Utdanning.no</t>
  </si>
  <si>
    <t>Utdanning (2026): Lokomotivførere</t>
  </si>
  <si>
    <t>Utdanning (2026): Konduktører</t>
  </si>
  <si>
    <t>Konduktør | Utdanning.no</t>
  </si>
  <si>
    <t>Utdanning (2026)</t>
  </si>
  <si>
    <t xml:space="preserve">Sum marginale eksterne kostnader pga. skade- og dødsfallsrisiko. Beregnet ved å summere fysisk eksternalitet (kostander som påføres motpart i ulykker), system eksternalitet (kostander som påføres samfunnet) og trafikkvolumeksternalitet (kostnader som påføres andre transportbrukere).  Satsen er et gjennomsnitt av satser for vektklassene fra over 7,5 tonn tom. 50 tonn. </t>
  </si>
  <si>
    <t>Sum marginale eksterne kostnader pga. skade- og dødsfallsrisiko. Beregnet ved å summere fysisk eksternalitet (kostnader som påføres motpart i ulykker), system eksternalitet (kostnader som påføres samfunnet) og trafikkvolumeksternalitet (kostnader som påføres andre transportbrukere). Satsen for kjøretøy i vektklassen 50-60 tonn er benyttet.</t>
  </si>
  <si>
    <t>Sum marginale eksterne kostnader pga. skade- og dødsfallsrisiko. Beregnet ved å summere fysisk eksternalitet (kostander som påføres motpart i ulykker), system eksternalitet (kostander som påføres samfunnet) og trafikkvolumeksternalitet (kostnader som påføres andre transportbrukere). Satsen for kjøretøy under 7.5 tonn er benyttet.</t>
  </si>
  <si>
    <t>Støykostnaden er lik for alle typer tunge godsbiler. To trinn: 1) Beregne økningen i støybelastning for en marginal endring (et ekstra kjøretøy/togsett), 2) Gange denne endringen med marginalkostnaden for 1DB støyendring og antall eksponerte. Marginalkostnaden består av helsekostnader grunnet søvnforstyrrelse og iskemiske hjertekarsykdommer og lettere plager og ulemper. Ulempekostnader (tilpasningskostnader) er utelatt. (Eks. holder vinduer og dører stengt for å unngå støyen, de reduserer bruken av og oppholder seg kortere tid i uteområder, reduserer aktiviteter i nabolag).</t>
  </si>
  <si>
    <t xml:space="preserve">Støykostnaden er lik for alle typer tunge godsbiler. To trinn: 1) Beregne økningen i støybelastning for en marginal endring (et ekstra kjøretøy/togsett), 2) Gange denne endringen med marginalkostnaden for 1DB støyendring og antall eksponerte. Marginalkostnaden består av helsekostnader grunnet søvnforstyrrelse og iskemiske hjertekarsykdommer og lettere plager og ulemper. Ulempekostnader (tilpasningskostnader) er utelatt. (Eks. holder vinduer og dører stengt for å unngå støyen, de reduserer bruken av og oppholder seg kortere tid i uteområder, reduserer aktiviteter i nabolag). </t>
  </si>
  <si>
    <t>Lokal luftforurensing fra transportaktiviteter knyttes til utslipp av miljø- og helseskadelige stoffer fra kjøretøy. Transportaktivtetene forurenser gjennom eksosutslipp, og for vegtrafikk oppstår forurensing også fra slitasje på dekk og bremser og oppvirvling av vegstøv.  Satsen for kjøretøy under 7.5 tonn er benyttet.</t>
  </si>
  <si>
    <t>Lokal luftforurensing fra transportaktiviteter knyttes til utslipp av miljø- og helseskadelige stoffer fra kjøretøy. Transportaktivtetene forurenser gjennom eksosutslipp, og for vegtrafikk oppstår forurensing også fra slitasje på dekk og bremser og oppvirvling av vegstøv. Satsen for kjøretøy i vektklassen 50-60 tonn er benyttet.</t>
  </si>
  <si>
    <t xml:space="preserve">Lokal luftforurensing fra transportaktiviteter knyttes til utslipp av miljø- og helseskadelige stoffer fra kjøretøy. Transportaktivtetene forurenser gjennom eksosutslipp, og for vegtrafikk oppstår forurensing også fra slitasje på dekk og bremser og oppvirvling av vegstøv. Satsen er et gjennomsnitt av satser for vektklassene fra over 7,5 tonn tom. 50 tonn. </t>
  </si>
  <si>
    <t>Lokal luftforurensing fra transportaktiviteter knyttes til utslipp av miljø- og helseskadelige stoffer fra kjøretøy. Transportaktivtetene forurenser gjennom eksosutslipp, og for vegtrafikk oppstår forurensing også fra slitasje på dekk og bremser og oppvirvling av vegstøv. Satsen for kjøretøy under 7.5 tonn er benyttet.</t>
  </si>
  <si>
    <t>Tatt gjennomsnitt av vektklassene fra 7,5-50 tonn.</t>
  </si>
  <si>
    <t>Lokal luftforurensing fra transportaktiviteter knyttes til utslipp av miljø- og helseskadelige stoffer fra kjøretøy. Transportaktivtetene forurenser gjennom eksosutslipp, og for vegtrafikk oppstår forurensing også fra slitasje på dekk og bremser og oppvirvling av vegstøv. Benyttet sats for Ro-Ro Cargo 1000-5000 dødvektstonn fra Excel-vedlegg til TØI-rapport 1953/2023. Vurderingen er at mindre vektklasser i noen grad konkurrerer med jernbanen, selv om konkurranseflaten i realiteten er lav.</t>
  </si>
  <si>
    <t>Drivstofforbruk Type 76</t>
  </si>
  <si>
    <t xml:space="preserve">Oppdatert operatørkostnader med innrapporterte tall. </t>
  </si>
  <si>
    <t>For å komme fram til vedlikeholdskostnadene har det blitt brukt en strategisk vedlikeholdsplan AFRY lagde for Bane NOR i 2023, basert på InfraStatus 2022 data. Der er det lagt inn hvor mye som burde brukes på forskjellige vedlikeholdsaktiviteter på de forskjellige strekningene per år fra 2025-2029. Det har så blitt hentet ut alt som ligger på de forskjellige hovedanleggstypene, så delt på 5 for å få et gjennomsnittsår, og deretter er det delt på antall km eller antall av hovedanleggstypen for å få en kostnad pr km eller pr stk.</t>
  </si>
  <si>
    <t>Avgiftssatser 2026 - regjeringen.no</t>
  </si>
  <si>
    <t>Regjeringen (2026): Avgiftssatser 2026</t>
  </si>
  <si>
    <t>Regjeringen (2026)</t>
  </si>
  <si>
    <t>Regjeringen (2026): Avgiftssatser</t>
  </si>
  <si>
    <t>Jernbanedirektoratet, 2026</t>
  </si>
  <si>
    <t>Anbefales en levetid på 80 år, på bakgrunn av data fra InfraStatus.</t>
  </si>
  <si>
    <t>Bane NOR (2026)</t>
  </si>
  <si>
    <t>Forventet realvekst i BNP per innbygger, 2024-2060.</t>
  </si>
  <si>
    <t>Fjernet energipåslag.</t>
  </si>
  <si>
    <t>Avinor (2024)</t>
  </si>
  <si>
    <t>Bilparken for 2025</t>
  </si>
  <si>
    <t>07849: Drivstofftype, type kjøring og kjøretøygrupper (K) 2008-2025</t>
  </si>
  <si>
    <t>SSB (2025) Bilpark</t>
  </si>
  <si>
    <t>SSB_2025</t>
  </si>
  <si>
    <t>[Effektpakke]</t>
  </si>
  <si>
    <t>NTP 2029-2040</t>
  </si>
  <si>
    <t>[Dato]</t>
  </si>
  <si>
    <t>Detaljert kart</t>
  </si>
  <si>
    <t>Regionalt kart</t>
  </si>
  <si>
    <t xml:space="preserve">Omfang: </t>
  </si>
  <si>
    <r>
      <t xml:space="preserve">Prosjektomtale: </t>
    </r>
    <r>
      <rPr>
        <sz val="11"/>
        <color theme="1"/>
        <rFont val="Calibri"/>
        <family val="2"/>
        <scheme val="minor"/>
      </rPr>
      <t>(dagens situasjon, utfordringer, tiltaksbeskrivelse, effekter som spart reisetid)</t>
    </r>
  </si>
  <si>
    <t>Nøkkeltall</t>
  </si>
  <si>
    <t>Investeringskostnad P50 (mill. kr)</t>
  </si>
  <si>
    <t>Forventningsverdi (mill. kr)</t>
  </si>
  <si>
    <t>Netto nytte (mill. kr)</t>
  </si>
  <si>
    <t>Samlet vurdering av prisatte og ikke-prissatte virkninger</t>
  </si>
  <si>
    <t>Prissatte virkninger (mill. kr)</t>
  </si>
  <si>
    <t>Klima, natur og ulykker</t>
  </si>
  <si>
    <t>Endring i direkte CO2-utslipp i analyseperioden (1000-tonn)</t>
  </si>
  <si>
    <t>Inngrep i verdifullt naturområde (dekar)</t>
  </si>
  <si>
    <t>Inngrep i dyrket mark (dekar)</t>
  </si>
  <si>
    <t>Reduksjon i drepte og hardt skadde i åpningsåret</t>
  </si>
  <si>
    <t>Samlet vurdering:</t>
  </si>
  <si>
    <t>Tyngst virkning:</t>
  </si>
  <si>
    <t>Samlet vurdering og avbøtende tiltak:</t>
  </si>
  <si>
    <t>Nasjonal eller regional betydning:</t>
  </si>
  <si>
    <t>Samfunnssikkerhet og beredskap:</t>
  </si>
  <si>
    <t>Nasjonalt kart</t>
  </si>
  <si>
    <t>Netto nytte per budsjettkrone (NNB)</t>
  </si>
  <si>
    <t>Ikke samfunnsøkonomisk lønnsomt</t>
  </si>
  <si>
    <t>Sentrale forutsetninger: [Kroneår i  beregninger, levetid og analyseperiode, godsnytte?]</t>
  </si>
  <si>
    <t>Type 73</t>
  </si>
  <si>
    <t>Mill.kr</t>
  </si>
  <si>
    <t>Type N05</t>
  </si>
  <si>
    <t>Type N06</t>
  </si>
  <si>
    <t>Type N11</t>
  </si>
  <si>
    <t>Type N12</t>
  </si>
  <si>
    <t>Type N13</t>
  </si>
  <si>
    <t>Type N10 dag</t>
  </si>
  <si>
    <t>Type N10 natt</t>
  </si>
  <si>
    <t>Elektrisk - Store tettsteder (dag)</t>
  </si>
  <si>
    <t>Elektrisk - Små tettsteder (dag)</t>
  </si>
  <si>
    <t>Elektrisk - Spredt bebyggelse (dag)</t>
  </si>
  <si>
    <t>Diesel - Store tettsteder (dag)</t>
  </si>
  <si>
    <t>Diesel - Små tettsteder (dag)</t>
  </si>
  <si>
    <t>Diesel - Spredt bebyggelse (dag)</t>
  </si>
  <si>
    <t>Type 69</t>
  </si>
  <si>
    <t>Type 70</t>
  </si>
  <si>
    <r>
      <t>Jernbanedirektoratet (2026):</t>
    </r>
    <r>
      <rPr>
        <i/>
        <sz val="11"/>
        <rFont val="Calibri"/>
        <family val="2"/>
        <scheme val="minor"/>
      </rPr>
      <t xml:space="preserve"> Dokumentasjon av SAGA</t>
    </r>
  </si>
  <si>
    <t>Jernbanedirektoratet (2026)</t>
  </si>
  <si>
    <t>Lagt inn flere kjørtetøytyper med operatørkostnader.</t>
  </si>
  <si>
    <t>I klargjøringskostnader er det kostnader for tømming av toaletter, utvendig vask av toget, etterfylling av såpedispensere, bytte sengetøy (gjelder sovevogner) og snu seter. Det eksisterer p.t. ikke klargjøringskostnader for denne kjøretøytypen, og kostnaden er derfor satt som et gjennomsnitt av FLIRT togene.</t>
  </si>
  <si>
    <t>I vedlikeholdskostnader ligge teknisk vedlikehold av togene, for eksempel service ved faste intervaller og reparasjoner. Kostnadene er et estimat ettersom det ikke finnes erfaringsdata p.t.</t>
  </si>
  <si>
    <t>I vedlikeholdskostnader ligge teknisk vedlikehold av togene, for eksempel service ved faste intervaller og reparasjoner.  Kostnadene er et estimat ettersom det ikke finnes erfaringsdata p.t.</t>
  </si>
  <si>
    <t>I klargjøringskostnader er det kostnader for tømming av toaletter, utvendig vask av toget, etterfylling av såpedispensere, bytte sengetøy (gjelder sovevogner) og snu seter. Kostnadene er et estimat ettersom det ikke finnes erfaringsdata p.t.</t>
  </si>
  <si>
    <t>I disse kostnadene er det innvendig renhold og dette er ofte konkurranseutsatt siden det ikke kreves spesiell kompetanse for å kunne gjennomføre dette. På mange anlegg utføres renhold av underleverandør og det gis ofte en enhetspris per vogn. Kostnadene er et estimat ettersom det ikke finnes erfaringsdata p.t.</t>
  </si>
  <si>
    <t>Energikostnaden ved elektrisk- og dieselkraft, basert på testkjøringer under ulike klimatiske forhold</t>
  </si>
  <si>
    <t>Energikostnaden ved elektrisk- og dieselkraft, antar samme energiforbruk som N05</t>
  </si>
  <si>
    <t>Kostnadene per sett er et foreløpig estimat</t>
  </si>
  <si>
    <t>I vedlikeholdskostnader ligge teknisk vedlikehold av togene, for eksempel service ved faste intervaller og reparasjoner. Vedlikeholdskostnadene er livssykluskostnader som er basert på noen forutsetninger om kjørelengde. Kostnadene er et estimat ettersom det ikke finnes erfaringsdata p.t. Omregnet fra 0,92 EUR med kurs EUR/NOK 11,667 - kilde Norske Tog.</t>
  </si>
  <si>
    <t>I vedlikeholdskostnader ligge teknisk vedlikehold av togene, for eksempel service ved faste intervaller og reparasjoner. Vedlikeholdskostnadene er livssykluskostnader som er basert på noen forutsetninger om kjørelengde. Kostnadene er et estimat ettersom det ikke finnes erfaringsdata p.t. Omregnet fra 0,98 EUR med kurs EUR/NOK 11,667 - kilde Norske Tog.</t>
  </si>
  <si>
    <t>I disse kostnadene er det innvendig renhold og dette er ofte konkurranseutsatt siden det ikke kreves spesiell kompetanse for å kunne gjennomføre dette. På mange anlegg utføres renhold av underleverandør og det gis ofte en enhetspris per vogn. Det eksisterer p.t. ikke rengjøringskostnader for denne kjøretøytypen, og kostnaden er derfor satt som et gjennomsnitt av type 74 og type 75.</t>
  </si>
  <si>
    <t xml:space="preserve">I disse kostnadene er det innvendig renhold og dette er ofte konkurranseutsatt siden det ikke kreves spesiell kompetanse for å kunne gjennomføre dette. På mange anlegg utføres renhold av underleverandør og det gis ofte en enhetspris per vogn. Det eksisterer p.t. ikke rengjøringskostnader for denne kjøretøytypen, og kostnaden er derfor satt som et gjennomsnitt av type 74 og type 75. </t>
  </si>
  <si>
    <t>4.1.3 Superside NTP 29-40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</si>
</sst>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9">
    <numFmt numFmtId="43" formatCode="_ * #,##0.00_ ;_ * \-#,##0.00_ ;_ * &quot;-&quot;??_ ;_ @_ "/>
    <numFmt numFmtId="164" formatCode="_-* #,##0.00_-;\-* #,##0.00_-;_-* &quot;-&quot;??_-;_-@_-"/>
    <numFmt numFmtId="165" formatCode="[$-F400]h:mm:ss\ AM/PM"/>
    <numFmt numFmtId="166" formatCode="#,##0.000"/>
    <numFmt numFmtId="167" formatCode="0.0"/>
    <numFmt numFmtId="168" formatCode="0.000"/>
    <numFmt numFmtId="169" formatCode="0.0000"/>
    <numFmt numFmtId="170" formatCode="0.0\ %"/>
    <numFmt numFmtId="171" formatCode="_ * #,##0.0_ ;_ * \-#,##0.0_ ;_ * &quot;-&quot;??_ ;_ @_ "/>
    <numFmt numFmtId="172" formatCode="_ * #,##0_ ;_ * \-#,##0_ ;_ * &quot;-&quot;??_ ;_ @_ "/>
    <numFmt numFmtId="173" formatCode="#,##0_ ;\-#,##0\ "/>
    <numFmt numFmtId="174" formatCode="#,##0.0"/>
    <numFmt numFmtId="175" formatCode="_ * #,##0.000_ ;_ * \-#,##0.000_ ;_ * &quot;-&quot;??_ ;_ @_ "/>
    <numFmt numFmtId="176" formatCode="0.00000"/>
    <numFmt numFmtId="177" formatCode="0.000000"/>
    <numFmt numFmtId="178" formatCode="0.000\ %"/>
    <numFmt numFmtId="179" formatCode="##,##0"/>
    <numFmt numFmtId="180" formatCode="##,##0.00"/>
    <numFmt numFmtId="181" formatCode="#\ ###"/>
    <numFmt numFmtId="182" formatCode="0.0000000"/>
    <numFmt numFmtId="183" formatCode="0.000000000"/>
    <numFmt numFmtId="184" formatCode="#,##0.0000"/>
    <numFmt numFmtId="185" formatCode="0.00000000000000"/>
    <numFmt numFmtId="186" formatCode="_-[$kr-414]\ * #,##0.00_-;\-[$kr-414]\ * #,##0.00_-;_-[$kr-414]\ * &quot;-&quot;??_-;_-@_-"/>
    <numFmt numFmtId="187" formatCode="0.0000000000"/>
    <numFmt numFmtId="188" formatCode="_-* #,##0_-;\-* #,##0_-;_-* &quot;-&quot;??_-;_-@_-"/>
    <numFmt numFmtId="189" formatCode="_-* #,##0.0_-;\-* #,##0.0_-;_-* &quot;-&quot;??_-;_-@_-"/>
    <numFmt numFmtId="190" formatCode="_-* #,##0.0_-;\-* #,##0.0_-;_-* &quot;-&quot;?_-;_-@_-"/>
    <numFmt numFmtId="191" formatCode="#,##0.0000_ ;\-#,##0.0000\ "/>
  </numFmts>
  <fonts count="129" x14ac:knownFonts="1">
    <font>
      <sz val="11"/>
      <color theme="1"/>
      <name val="Calibri"/>
      <family val="2"/>
      <scheme val="minor"/>
    </font>
    <font>
      <sz val="11"/>
      <color rgb="FFFF0000"/>
      <name val="Calibri"/>
      <family val="2"/>
      <scheme val="minor"/>
    </font>
    <font>
      <b/>
      <sz val="11"/>
      <color theme="1"/>
      <name val="Calibri"/>
      <family val="2"/>
      <scheme val="minor"/>
    </font>
    <font>
      <b/>
      <sz val="16"/>
      <color theme="1"/>
      <name val="Calibri"/>
      <family val="2"/>
      <scheme val="minor"/>
    </font>
    <font>
      <i/>
      <sz val="11"/>
      <color theme="1"/>
      <name val="Calibri"/>
      <family val="2"/>
      <scheme val="minor"/>
    </font>
    <font>
      <b/>
      <u/>
      <sz val="11"/>
      <color theme="1"/>
      <name val="Calibri"/>
      <family val="2"/>
      <scheme val="minor"/>
    </font>
    <font>
      <sz val="11"/>
      <name val="Calibri"/>
      <family val="2"/>
      <scheme val="minor"/>
    </font>
    <font>
      <sz val="11"/>
      <color theme="1"/>
      <name val="Calibri"/>
      <family val="2"/>
      <scheme val="minor"/>
    </font>
    <font>
      <b/>
      <sz val="14"/>
      <color theme="1"/>
      <name val="Calibri"/>
      <family val="2"/>
      <scheme val="minor"/>
    </font>
    <font>
      <b/>
      <sz val="11"/>
      <color theme="1"/>
      <name val="Calibri"/>
      <family val="2"/>
    </font>
    <font>
      <u/>
      <sz val="11"/>
      <color theme="10"/>
      <name val="Calibri"/>
      <family val="2"/>
      <scheme val="minor"/>
    </font>
    <font>
      <sz val="11"/>
      <name val="Calibri"/>
      <family val="2"/>
    </font>
    <font>
      <b/>
      <sz val="12"/>
      <color theme="1"/>
      <name val="Calibri"/>
      <family val="2"/>
      <scheme val="minor"/>
    </font>
    <font>
      <sz val="14"/>
      <color theme="1"/>
      <name val="Calibri"/>
      <family val="2"/>
      <scheme val="minor"/>
    </font>
    <font>
      <b/>
      <sz val="11"/>
      <name val="Calibri"/>
      <family val="2"/>
      <scheme val="minor"/>
    </font>
    <font>
      <i/>
      <sz val="11"/>
      <color rgb="FFFF0000"/>
      <name val="Calibri"/>
      <family val="2"/>
      <scheme val="minor"/>
    </font>
    <font>
      <sz val="11"/>
      <color theme="1"/>
      <name val="Calibri"/>
      <family val="2"/>
    </font>
    <font>
      <b/>
      <u/>
      <sz val="16"/>
      <color theme="1"/>
      <name val="Calibri"/>
      <family val="2"/>
      <scheme val="minor"/>
    </font>
    <font>
      <b/>
      <sz val="14"/>
      <name val="Calibri"/>
      <family val="2"/>
    </font>
    <font>
      <sz val="18"/>
      <color rgb="FFFF0000"/>
      <name val="Calibri"/>
      <family val="2"/>
      <scheme val="minor"/>
    </font>
    <font>
      <b/>
      <sz val="14"/>
      <name val="Calibri"/>
      <family val="2"/>
      <scheme val="minor"/>
    </font>
    <font>
      <sz val="14"/>
      <name val="Calibri"/>
      <family val="2"/>
      <scheme val="minor"/>
    </font>
    <font>
      <b/>
      <sz val="14"/>
      <color rgb="FFFF0000"/>
      <name val="Calibri"/>
      <family val="2"/>
      <scheme val="minor"/>
    </font>
    <font>
      <b/>
      <sz val="11"/>
      <color rgb="FFFF0000"/>
      <name val="Calibri"/>
      <family val="2"/>
      <scheme val="minor"/>
    </font>
    <font>
      <b/>
      <sz val="16"/>
      <name val="Calibri"/>
      <family val="2"/>
      <scheme val="minor"/>
    </font>
    <font>
      <sz val="16"/>
      <color theme="1"/>
      <name val="Calibri"/>
      <family val="2"/>
      <scheme val="minor"/>
    </font>
    <font>
      <sz val="9"/>
      <name val="Calibri"/>
      <family val="2"/>
      <scheme val="minor"/>
    </font>
    <font>
      <sz val="9"/>
      <color indexed="81"/>
      <name val="Tahoma"/>
      <family val="2"/>
    </font>
    <font>
      <b/>
      <sz val="9"/>
      <color indexed="81"/>
      <name val="Tahoma"/>
      <family val="2"/>
    </font>
    <font>
      <b/>
      <sz val="20"/>
      <color theme="1"/>
      <name val="Calibri"/>
      <family val="2"/>
      <scheme val="minor"/>
    </font>
    <font>
      <u/>
      <sz val="11"/>
      <name val="Calibri"/>
      <family val="2"/>
      <scheme val="minor"/>
    </font>
    <font>
      <i/>
      <sz val="11"/>
      <name val="Calibri"/>
      <family val="2"/>
      <scheme val="minor"/>
    </font>
    <font>
      <u/>
      <sz val="11"/>
      <color rgb="FF0000FF"/>
      <name val="Calibri"/>
      <family val="2"/>
      <scheme val="minor"/>
    </font>
    <font>
      <b/>
      <u/>
      <sz val="14"/>
      <color theme="10"/>
      <name val="Calibri"/>
      <family val="2"/>
      <scheme val="minor"/>
    </font>
    <font>
      <u/>
      <sz val="14"/>
      <color theme="10"/>
      <name val="Calibri"/>
      <family val="2"/>
      <scheme val="minor"/>
    </font>
    <font>
      <sz val="12"/>
      <name val="Calibri"/>
      <family val="2"/>
      <scheme val="minor"/>
    </font>
    <font>
      <sz val="12"/>
      <color theme="1"/>
      <name val="Calibri"/>
      <family val="2"/>
      <scheme val="minor"/>
    </font>
    <font>
      <u/>
      <sz val="12"/>
      <color theme="10"/>
      <name val="Calibri"/>
      <family val="2"/>
      <scheme val="minor"/>
    </font>
    <font>
      <b/>
      <u/>
      <sz val="11"/>
      <color rgb="FFFF0000"/>
      <name val="Calibri"/>
      <family val="2"/>
      <scheme val="minor"/>
    </font>
    <font>
      <sz val="22"/>
      <color theme="1"/>
      <name val="Calibri"/>
      <family val="2"/>
      <scheme val="minor"/>
    </font>
    <font>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i/>
      <sz val="11"/>
      <color rgb="FF7F7F7F"/>
      <name val="Calibri"/>
      <family val="2"/>
      <scheme val="minor"/>
    </font>
    <font>
      <sz val="11"/>
      <color theme="0"/>
      <name val="Calibri"/>
      <family val="2"/>
      <scheme val="minor"/>
    </font>
    <font>
      <sz val="11"/>
      <color indexed="12"/>
      <name val="Calibri"/>
      <family val="2"/>
      <scheme val="minor"/>
    </font>
    <font>
      <sz val="11"/>
      <color indexed="10"/>
      <name val="Calibri"/>
      <family val="2"/>
      <scheme val="minor"/>
    </font>
    <font>
      <sz val="11"/>
      <color theme="0" tint="-0.14999847407452621"/>
      <name val="Calibri"/>
      <family val="2"/>
      <scheme val="minor"/>
    </font>
    <font>
      <sz val="11"/>
      <color indexed="17"/>
      <name val="Calibri"/>
      <family val="2"/>
      <scheme val="minor"/>
    </font>
    <font>
      <sz val="11"/>
      <color rgb="FFFF0000"/>
      <name val="Calibri"/>
      <family val="2"/>
    </font>
    <font>
      <u/>
      <sz val="11"/>
      <color rgb="FFFF0000"/>
      <name val="Calibri"/>
      <family val="2"/>
      <scheme val="minor"/>
    </font>
    <font>
      <sz val="14"/>
      <color rgb="FFFF0000"/>
      <name val="Calibri"/>
      <family val="2"/>
      <scheme val="minor"/>
    </font>
    <font>
      <sz val="11"/>
      <color theme="3" tint="0.39997558519241921"/>
      <name val="Calibri"/>
      <family val="2"/>
      <scheme val="minor"/>
    </font>
    <font>
      <sz val="11"/>
      <color theme="0" tint="-0.34998626667073579"/>
      <name val="Calibri"/>
      <family val="2"/>
      <scheme val="minor"/>
    </font>
    <font>
      <i/>
      <sz val="9"/>
      <color indexed="81"/>
      <name val="Tahoma"/>
      <family val="2"/>
    </font>
    <font>
      <sz val="8"/>
      <name val="Calibri"/>
      <family val="2"/>
      <scheme val="minor"/>
    </font>
    <font>
      <sz val="11"/>
      <color theme="1" tint="0.499984740745262"/>
      <name val="Calibri"/>
      <family val="2"/>
      <scheme val="minor"/>
    </font>
    <font>
      <b/>
      <sz val="28"/>
      <name val="Calibri"/>
      <family val="2"/>
      <scheme val="minor"/>
    </font>
    <font>
      <sz val="9"/>
      <color theme="1"/>
      <name val="Franklin Gothic Book"/>
      <family val="2"/>
    </font>
    <font>
      <u/>
      <sz val="10"/>
      <color indexed="12"/>
      <name val="Arial"/>
      <family val="2"/>
    </font>
    <font>
      <b/>
      <sz val="10"/>
      <color theme="4" tint="-0.249977111117893"/>
      <name val="Calibri"/>
      <family val="2"/>
      <scheme val="minor"/>
    </font>
    <font>
      <sz val="10"/>
      <color theme="4" tint="-0.249977111117893"/>
      <name val="Calibri"/>
      <family val="2"/>
      <scheme val="minor"/>
    </font>
    <font>
      <sz val="9"/>
      <color theme="0"/>
      <name val="Franklin Gothic Book"/>
      <family val="2"/>
    </font>
    <font>
      <sz val="10"/>
      <color theme="1"/>
      <name val="Calibri"/>
      <family val="2"/>
      <scheme val="minor"/>
    </font>
    <font>
      <sz val="9"/>
      <color theme="0"/>
      <name val="Arial"/>
      <family val="2"/>
    </font>
    <font>
      <sz val="9"/>
      <color theme="1"/>
      <name val="Arial"/>
      <family val="2"/>
    </font>
    <font>
      <sz val="9"/>
      <color theme="1"/>
      <name val="Calibri"/>
      <family val="2"/>
      <scheme val="minor"/>
    </font>
    <font>
      <sz val="11"/>
      <color rgb="FF000000"/>
      <name val="Calibri"/>
      <family val="2"/>
    </font>
    <font>
      <sz val="11"/>
      <color theme="0" tint="-0.249977111117893"/>
      <name val="Calibri"/>
      <family val="2"/>
      <scheme val="minor"/>
    </font>
    <font>
      <sz val="12"/>
      <color theme="1"/>
      <name val="Franklin Gothic Book"/>
      <family val="2"/>
    </font>
    <font>
      <u/>
      <sz val="11"/>
      <color theme="1"/>
      <name val="Calibri"/>
      <family val="2"/>
      <scheme val="minor"/>
    </font>
    <font>
      <sz val="11"/>
      <color theme="10"/>
      <name val="Calibri"/>
      <family val="2"/>
      <scheme val="minor"/>
    </font>
    <font>
      <sz val="10"/>
      <name val="Calibri"/>
      <family val="2"/>
      <scheme val="minor"/>
    </font>
    <font>
      <b/>
      <sz val="14"/>
      <color rgb="FF264C72"/>
      <name val="Arial"/>
      <family val="2"/>
    </font>
    <font>
      <b/>
      <sz val="14"/>
      <color rgb="FFDE8400"/>
      <name val="Arial"/>
      <family val="2"/>
    </font>
    <font>
      <b/>
      <sz val="9"/>
      <color rgb="FF000000"/>
      <name val="Arial"/>
      <family val="2"/>
    </font>
    <font>
      <b/>
      <sz val="8"/>
      <color rgb="FF000000"/>
      <name val="Arial Narrow"/>
      <family val="2"/>
    </font>
    <font>
      <sz val="8"/>
      <color rgb="FF000000"/>
      <name val="Arial Narrow"/>
      <family val="2"/>
    </font>
    <font>
      <b/>
      <sz val="10"/>
      <color rgb="FF000000"/>
      <name val="Arial"/>
      <family val="2"/>
    </font>
    <font>
      <b/>
      <sz val="10"/>
      <color rgb="FF7030A0"/>
      <name val="Arial"/>
      <family val="2"/>
    </font>
    <font>
      <sz val="11"/>
      <color rgb="FF008000"/>
      <name val="Arial Narrow"/>
      <family val="2"/>
    </font>
    <font>
      <b/>
      <sz val="12"/>
      <color rgb="FF264C72"/>
      <name val="Arial"/>
      <family val="2"/>
    </font>
    <font>
      <sz val="9"/>
      <color rgb="FF000000"/>
      <name val="Arial Narrow"/>
      <family val="2"/>
    </font>
    <font>
      <sz val="9"/>
      <color rgb="FF000000"/>
      <name val="Arial"/>
      <family val="2"/>
    </font>
    <font>
      <sz val="8"/>
      <color rgb="FF000000"/>
      <name val="Arial"/>
      <family val="2"/>
    </font>
    <font>
      <sz val="10"/>
      <color rgb="FF000000"/>
      <name val="Arial Narrow"/>
      <family val="2"/>
    </font>
    <font>
      <b/>
      <sz val="9"/>
      <color rgb="FF000000"/>
      <name val="Arial Narrow"/>
      <family val="2"/>
    </font>
    <font>
      <sz val="8"/>
      <color theme="1"/>
      <name val="Arial Narrow"/>
      <family val="2"/>
    </font>
    <font>
      <b/>
      <sz val="10"/>
      <color rgb="FF264C72"/>
      <name val="Arial"/>
      <family val="2"/>
    </font>
    <font>
      <vertAlign val="subscript"/>
      <sz val="9"/>
      <color rgb="FF000000"/>
      <name val="Arial Narrow"/>
      <family val="2"/>
    </font>
    <font>
      <b/>
      <sz val="9"/>
      <color rgb="FFFF0000"/>
      <name val="Arial Narrow"/>
      <family val="2"/>
    </font>
    <font>
      <b/>
      <sz val="9"/>
      <color rgb="FF008000"/>
      <name val="Arial Narrow"/>
      <family val="2"/>
    </font>
    <font>
      <sz val="10"/>
      <color theme="1"/>
      <name val="Times New Roman"/>
      <family val="1"/>
    </font>
    <font>
      <b/>
      <sz val="8"/>
      <color rgb="FF008000"/>
      <name val="Arial"/>
      <family val="2"/>
    </font>
    <font>
      <b/>
      <sz val="8"/>
      <color theme="1"/>
      <name val="Arial"/>
      <family val="2"/>
    </font>
    <font>
      <b/>
      <sz val="8"/>
      <color rgb="FFFF0000"/>
      <name val="Arial"/>
      <family val="2"/>
    </font>
    <font>
      <sz val="8"/>
      <color theme="1"/>
      <name val="Arial"/>
      <family val="2"/>
    </font>
    <font>
      <i/>
      <sz val="8"/>
      <color theme="1"/>
      <name val="Arial"/>
      <family val="2"/>
    </font>
    <font>
      <sz val="14"/>
      <color rgb="FF008000"/>
      <name val="Arial Narrow"/>
      <family val="2"/>
    </font>
    <font>
      <sz val="10"/>
      <color rgb="FFFF5050"/>
      <name val="Arial Narrow"/>
      <family val="2"/>
    </font>
    <font>
      <b/>
      <sz val="11"/>
      <color rgb="FFFF5050"/>
      <name val="Arial Narrow"/>
      <family val="2"/>
    </font>
    <font>
      <b/>
      <sz val="9"/>
      <name val="Arial Narrow"/>
      <family val="2"/>
    </font>
    <font>
      <sz val="9"/>
      <color rgb="FF008000"/>
      <name val="Arial Narrow"/>
      <family val="2"/>
    </font>
    <font>
      <sz val="9"/>
      <color rgb="FFFF0000"/>
      <name val="Arial Narrow"/>
      <family val="2"/>
    </font>
    <font>
      <i/>
      <sz val="9"/>
      <color rgb="FF000000"/>
      <name val="Arial"/>
      <family val="2"/>
    </font>
    <font>
      <sz val="14"/>
      <color theme="1"/>
      <name val="Arial Narrow"/>
      <family val="2"/>
    </font>
    <font>
      <sz val="11"/>
      <color theme="1"/>
      <name val="Arial Narrow"/>
      <family val="2"/>
    </font>
    <font>
      <sz val="11"/>
      <color rgb="FFFF0000"/>
      <name val="Arial Narrow"/>
      <family val="2"/>
    </font>
    <font>
      <sz val="9"/>
      <name val="Arial Narrow"/>
      <family val="2"/>
    </font>
    <font>
      <i/>
      <sz val="9"/>
      <color theme="1"/>
      <name val="Arial"/>
      <family val="2"/>
    </font>
    <font>
      <i/>
      <sz val="9"/>
      <color rgb="FF264C72"/>
      <name val="Arial"/>
      <family val="2"/>
    </font>
    <font>
      <u/>
      <sz val="11"/>
      <color theme="0" tint="-0.499984740745262"/>
      <name val="Calibri"/>
      <family val="2"/>
      <scheme val="minor"/>
    </font>
    <font>
      <b/>
      <sz val="12"/>
      <color rgb="FFFF0000"/>
      <name val="Calibri"/>
      <family val="2"/>
      <scheme val="minor"/>
    </font>
    <font>
      <sz val="14"/>
      <color rgb="FF000000"/>
      <name val="Calibri"/>
      <family val="2"/>
    </font>
    <font>
      <sz val="8"/>
      <color rgb="FF000000"/>
      <name val="Segoe UI"/>
      <family val="2"/>
    </font>
    <font>
      <b/>
      <sz val="10"/>
      <color rgb="FFFF0000"/>
      <name val="Calibri"/>
      <family val="2"/>
      <scheme val="minor"/>
    </font>
    <font>
      <sz val="11"/>
      <name val="Calibri"/>
      <family val="2"/>
    </font>
    <font>
      <sz val="11"/>
      <color theme="1"/>
      <name val="Calibri"/>
      <family val="2"/>
    </font>
    <font>
      <b/>
      <i/>
      <sz val="11"/>
      <color theme="1"/>
      <name val="Calibri"/>
      <family val="2"/>
      <scheme val="minor"/>
    </font>
    <font>
      <b/>
      <sz val="13"/>
      <color theme="1"/>
      <name val="Calibri"/>
      <family val="2"/>
      <scheme val="minor"/>
    </font>
  </fonts>
  <fills count="62">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4" tint="0.39997558519241921"/>
        <bgColor indexed="64"/>
      </patternFill>
    </fill>
    <fill>
      <patternFill patternType="solid">
        <fgColor rgb="FFFFFF99"/>
        <bgColor indexed="64"/>
      </patternFill>
    </fill>
    <fill>
      <patternFill patternType="solid">
        <fgColor theme="0" tint="-0.14999847407452621"/>
        <bgColor indexed="64"/>
      </patternFill>
    </fill>
    <fill>
      <patternFill patternType="solid">
        <fgColor indexed="65"/>
        <bgColor theme="0"/>
      </patternFill>
    </fill>
    <fill>
      <patternFill patternType="solid">
        <fgColor theme="4" tint="0.39997558519241921"/>
        <bgColor theme="0"/>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D9D9D9"/>
        <bgColor indexed="64"/>
      </patternFill>
    </fill>
    <fill>
      <patternFill patternType="solid">
        <fgColor rgb="FFD8E4BC"/>
        <bgColor indexed="64"/>
      </patternFill>
    </fill>
    <fill>
      <patternFill patternType="solid">
        <fgColor rgb="FF95B3D7"/>
        <bgColor indexed="64"/>
      </patternFill>
    </fill>
    <fill>
      <patternFill patternType="solid">
        <fgColor rgb="FFDCE6F1"/>
        <bgColor indexed="64"/>
      </patternFill>
    </fill>
    <fill>
      <patternFill patternType="solid">
        <fgColor rgb="FFF2DCDB"/>
        <bgColor indexed="64"/>
      </patternFill>
    </fill>
    <fill>
      <patternFill patternType="solid">
        <fgColor theme="4" tint="-0.249977111117893"/>
        <bgColor indexed="64"/>
      </patternFill>
    </fill>
    <fill>
      <patternFill patternType="solid">
        <fgColor rgb="FF224268"/>
        <bgColor indexed="64"/>
      </patternFill>
    </fill>
    <fill>
      <patternFill patternType="solid">
        <fgColor rgb="FF9CBADE"/>
        <bgColor theme="0"/>
      </patternFill>
    </fill>
    <fill>
      <patternFill patternType="solid">
        <fgColor rgb="FF92CDDC"/>
        <bgColor indexed="64"/>
      </patternFill>
    </fill>
    <fill>
      <patternFill patternType="solid">
        <fgColor theme="2" tint="0.59999389629810485"/>
        <bgColor indexed="64"/>
      </patternFill>
    </fill>
    <fill>
      <patternFill patternType="solid">
        <fgColor theme="6" tint="0.79998168889431442"/>
        <bgColor indexed="64"/>
      </patternFill>
    </fill>
    <fill>
      <patternFill patternType="solid">
        <fgColor theme="3" tint="0.39997558519241921"/>
        <bgColor indexed="64"/>
      </patternFill>
    </fill>
    <fill>
      <patternFill patternType="solid">
        <fgColor rgb="FFCDDCEF"/>
        <bgColor indexed="64"/>
      </patternFill>
    </fill>
    <fill>
      <patternFill patternType="solid">
        <fgColor rgb="FFBFBFBF"/>
        <bgColor indexed="64"/>
      </patternFill>
    </fill>
    <fill>
      <patternFill patternType="solid">
        <fgColor rgb="FFE5E2DD"/>
        <bgColor indexed="64"/>
      </patternFill>
    </fill>
    <fill>
      <patternFill patternType="solid">
        <fgColor rgb="FFFFFFFF"/>
        <bgColor indexed="64"/>
      </patternFill>
    </fill>
    <fill>
      <patternFill patternType="solid">
        <fgColor rgb="FFD3CFC8"/>
        <bgColor indexed="64"/>
      </patternFill>
    </fill>
    <fill>
      <patternFill patternType="solid">
        <fgColor rgb="FFF2F2F2"/>
        <bgColor indexed="64"/>
      </patternFill>
    </fill>
    <fill>
      <patternFill patternType="solid">
        <fgColor rgb="FFE7E5E1"/>
        <bgColor indexed="64"/>
      </patternFill>
    </fill>
    <fill>
      <patternFill patternType="solid">
        <fgColor theme="0" tint="-0.249977111117893"/>
        <bgColor indexed="64"/>
      </patternFill>
    </fill>
    <fill>
      <patternFill patternType="solid">
        <fgColor theme="8" tint="0.59999389629810485"/>
        <bgColor indexed="64"/>
      </patternFill>
    </fill>
    <fill>
      <patternFill patternType="solid">
        <fgColor theme="0" tint="-4.9989318521683403E-2"/>
        <bgColor indexed="64"/>
      </patternFill>
    </fill>
  </fills>
  <borders count="165">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right style="medium">
        <color indexed="64"/>
      </right>
      <top style="thin">
        <color indexed="64"/>
      </top>
      <bottom/>
      <diagonal/>
    </border>
    <border>
      <left style="medium">
        <color indexed="64"/>
      </left>
      <right style="thin">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top style="thin">
        <color indexed="64"/>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style="medium">
        <color indexed="64"/>
      </bottom>
      <diagonal/>
    </border>
    <border>
      <left style="thin">
        <color indexed="64"/>
      </left>
      <right style="medium">
        <color indexed="64"/>
      </right>
      <top style="thin">
        <color indexed="64"/>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medium">
        <color indexed="64"/>
      </left>
      <right/>
      <top style="thin">
        <color indexed="64"/>
      </top>
      <bottom style="thin">
        <color indexed="64"/>
      </bottom>
      <diagonal/>
    </border>
    <border>
      <left style="thick">
        <color rgb="FFEA8B00"/>
      </left>
      <right/>
      <top style="thick">
        <color rgb="FFEA8B00"/>
      </top>
      <bottom/>
      <diagonal/>
    </border>
    <border>
      <left/>
      <right/>
      <top style="thick">
        <color rgb="FFEA8B00"/>
      </top>
      <bottom/>
      <diagonal/>
    </border>
    <border>
      <left/>
      <right style="thick">
        <color rgb="FFEA8B00"/>
      </right>
      <top style="thick">
        <color rgb="FFEA8B00"/>
      </top>
      <bottom/>
      <diagonal/>
    </border>
    <border>
      <left style="thick">
        <color rgb="FFEA8B00"/>
      </left>
      <right/>
      <top/>
      <bottom/>
      <diagonal/>
    </border>
    <border>
      <left/>
      <right style="thick">
        <color rgb="FFEA8B00"/>
      </right>
      <top/>
      <bottom/>
      <diagonal/>
    </border>
    <border>
      <left/>
      <right style="medium">
        <color rgb="FFA6A6A6"/>
      </right>
      <top/>
      <bottom/>
      <diagonal/>
    </border>
    <border>
      <left style="medium">
        <color rgb="FFA6A6A6"/>
      </left>
      <right/>
      <top/>
      <bottom/>
      <diagonal/>
    </border>
    <border>
      <left style="thick">
        <color rgb="FFEA8B00"/>
      </left>
      <right/>
      <top/>
      <bottom style="medium">
        <color rgb="FFCCC6BC"/>
      </bottom>
      <diagonal/>
    </border>
    <border>
      <left/>
      <right/>
      <top/>
      <bottom style="medium">
        <color rgb="FFCCC6BC"/>
      </bottom>
      <diagonal/>
    </border>
    <border>
      <left/>
      <right style="medium">
        <color rgb="FFA6A6A6"/>
      </right>
      <top/>
      <bottom style="medium">
        <color rgb="FFCCC6BC"/>
      </bottom>
      <diagonal/>
    </border>
    <border>
      <left style="thick">
        <color rgb="FFEA8B00"/>
      </left>
      <right/>
      <top style="medium">
        <color rgb="FFCCC6BC"/>
      </top>
      <bottom/>
      <diagonal/>
    </border>
    <border>
      <left/>
      <right/>
      <top style="medium">
        <color rgb="FFCCC6BC"/>
      </top>
      <bottom/>
      <diagonal/>
    </border>
    <border>
      <left/>
      <right style="medium">
        <color rgb="FFA6A6A6"/>
      </right>
      <top style="medium">
        <color rgb="FFCCC6BC"/>
      </top>
      <bottom/>
      <diagonal/>
    </border>
    <border>
      <left/>
      <right/>
      <top/>
      <bottom style="thick">
        <color indexed="64"/>
      </bottom>
      <diagonal/>
    </border>
    <border>
      <left/>
      <right style="thick">
        <color rgb="FFEA8B00"/>
      </right>
      <top/>
      <bottom style="thick">
        <color indexed="64"/>
      </bottom>
      <diagonal/>
    </border>
    <border>
      <left style="thick">
        <color rgb="FFEA8B00"/>
      </left>
      <right/>
      <top style="thick">
        <color indexed="64"/>
      </top>
      <bottom/>
      <diagonal/>
    </border>
    <border>
      <left/>
      <right/>
      <top style="thick">
        <color indexed="64"/>
      </top>
      <bottom/>
      <diagonal/>
    </border>
    <border>
      <left/>
      <right style="thick">
        <color rgb="FFEA8B00"/>
      </right>
      <top style="thick">
        <color indexed="64"/>
      </top>
      <bottom/>
      <diagonal/>
    </border>
    <border>
      <left/>
      <right style="medium">
        <color rgb="FFCCC6BC"/>
      </right>
      <top/>
      <bottom/>
      <diagonal/>
    </border>
    <border>
      <left style="medium">
        <color rgb="FFCCC6BC"/>
      </left>
      <right/>
      <top/>
      <bottom/>
      <diagonal/>
    </border>
    <border>
      <left/>
      <right style="medium">
        <color rgb="FFCCC6BC"/>
      </right>
      <top/>
      <bottom style="thick">
        <color indexed="64"/>
      </bottom>
      <diagonal/>
    </border>
    <border>
      <left style="medium">
        <color rgb="FFCCC6BC"/>
      </left>
      <right/>
      <top/>
      <bottom style="thick">
        <color indexed="64"/>
      </bottom>
      <diagonal/>
    </border>
    <border>
      <left/>
      <right/>
      <top style="thick">
        <color indexed="64"/>
      </top>
      <bottom style="medium">
        <color rgb="FFCCC6BC"/>
      </bottom>
      <diagonal/>
    </border>
    <border>
      <left/>
      <right style="thick">
        <color rgb="FFEA8B00"/>
      </right>
      <top style="thick">
        <color indexed="64"/>
      </top>
      <bottom style="medium">
        <color rgb="FFCCC6BC"/>
      </bottom>
      <diagonal/>
    </border>
    <border>
      <left style="thick">
        <color rgb="FFEA8B00"/>
      </left>
      <right/>
      <top style="medium">
        <color rgb="FFCCC6BC"/>
      </top>
      <bottom style="medium">
        <color rgb="FFFFFFFF"/>
      </bottom>
      <diagonal/>
    </border>
    <border>
      <left/>
      <right/>
      <top style="medium">
        <color rgb="FFCCC6BC"/>
      </top>
      <bottom style="medium">
        <color rgb="FFFFFFFF"/>
      </bottom>
      <diagonal/>
    </border>
    <border>
      <left/>
      <right style="medium">
        <color rgb="FFCCC6BC"/>
      </right>
      <top style="medium">
        <color rgb="FFCCC6BC"/>
      </top>
      <bottom style="medium">
        <color rgb="FFFFFFFF"/>
      </bottom>
      <diagonal/>
    </border>
    <border>
      <left style="medium">
        <color rgb="FFCCC6BC"/>
      </left>
      <right/>
      <top style="medium">
        <color rgb="FFCCC6BC"/>
      </top>
      <bottom style="medium">
        <color rgb="FFFFFFFF"/>
      </bottom>
      <diagonal/>
    </border>
    <border>
      <left/>
      <right style="thick">
        <color rgb="FFEA8B00"/>
      </right>
      <top style="medium">
        <color rgb="FFCCC6BC"/>
      </top>
      <bottom style="medium">
        <color rgb="FFFFFFFF"/>
      </bottom>
      <diagonal/>
    </border>
    <border>
      <left style="thick">
        <color rgb="FFEA8B00"/>
      </left>
      <right/>
      <top style="medium">
        <color rgb="FFFFFFFF"/>
      </top>
      <bottom style="medium">
        <color rgb="FFFFFFFF"/>
      </bottom>
      <diagonal/>
    </border>
    <border>
      <left/>
      <right/>
      <top style="medium">
        <color rgb="FFFFFFFF"/>
      </top>
      <bottom style="medium">
        <color rgb="FFFFFFFF"/>
      </bottom>
      <diagonal/>
    </border>
    <border>
      <left style="medium">
        <color rgb="FFCCC6BC"/>
      </left>
      <right/>
      <top style="medium">
        <color rgb="FFFFFFFF"/>
      </top>
      <bottom style="medium">
        <color rgb="FFFFFFFF"/>
      </bottom>
      <diagonal/>
    </border>
    <border>
      <left/>
      <right style="thick">
        <color rgb="FFEA8B00"/>
      </right>
      <top style="medium">
        <color rgb="FFFFFFFF"/>
      </top>
      <bottom style="medium">
        <color rgb="FFFFFFFF"/>
      </bottom>
      <diagonal/>
    </border>
    <border>
      <left/>
      <right/>
      <top style="medium">
        <color rgb="FFFFFFFF"/>
      </top>
      <bottom/>
      <diagonal/>
    </border>
    <border>
      <left/>
      <right style="thick">
        <color rgb="FFEA8B00"/>
      </right>
      <top style="medium">
        <color rgb="FFFFFFFF"/>
      </top>
      <bottom/>
      <diagonal/>
    </border>
    <border>
      <left style="thick">
        <color rgb="FFEA8B00"/>
      </left>
      <right/>
      <top style="medium">
        <color rgb="FFFFFFFF"/>
      </top>
      <bottom style="medium">
        <color rgb="FFA6A6A6"/>
      </bottom>
      <diagonal/>
    </border>
    <border>
      <left/>
      <right/>
      <top style="medium">
        <color rgb="FFFFFFFF"/>
      </top>
      <bottom style="medium">
        <color rgb="FFA6A6A6"/>
      </bottom>
      <diagonal/>
    </border>
    <border>
      <left style="medium">
        <color rgb="FFCCC6BC"/>
      </left>
      <right/>
      <top style="medium">
        <color rgb="FFFFFFFF"/>
      </top>
      <bottom style="medium">
        <color rgb="FFA6A6A6"/>
      </bottom>
      <diagonal/>
    </border>
    <border>
      <left/>
      <right style="thick">
        <color rgb="FFEA8B00"/>
      </right>
      <top style="medium">
        <color rgb="FFFFFFFF"/>
      </top>
      <bottom style="medium">
        <color rgb="FFA6A6A6"/>
      </bottom>
      <diagonal/>
    </border>
    <border>
      <left style="thick">
        <color rgb="FFEA8B00"/>
      </left>
      <right/>
      <top style="medium">
        <color rgb="FFA6A6A6"/>
      </top>
      <bottom style="medium">
        <color rgb="FFFFFFFF"/>
      </bottom>
      <diagonal/>
    </border>
    <border>
      <left/>
      <right/>
      <top style="medium">
        <color rgb="FFA6A6A6"/>
      </top>
      <bottom style="medium">
        <color rgb="FFFFFFFF"/>
      </bottom>
      <diagonal/>
    </border>
    <border>
      <left/>
      <right/>
      <top/>
      <bottom style="medium">
        <color rgb="FFFFFFFF"/>
      </bottom>
      <diagonal/>
    </border>
    <border>
      <left/>
      <right style="thick">
        <color rgb="FFEA8B00"/>
      </right>
      <top/>
      <bottom style="medium">
        <color rgb="FFFFFFFF"/>
      </bottom>
      <diagonal/>
    </border>
    <border>
      <left style="thick">
        <color rgb="FFEA8B00"/>
      </left>
      <right/>
      <top style="medium">
        <color rgb="FFFFFFFF"/>
      </top>
      <bottom/>
      <diagonal/>
    </border>
    <border>
      <left style="thick">
        <color rgb="FFEA8B00"/>
      </left>
      <right/>
      <top/>
      <bottom style="medium">
        <color rgb="FFFFFFFF"/>
      </bottom>
      <diagonal/>
    </border>
    <border>
      <left style="medium">
        <color rgb="FFA6A6A6"/>
      </left>
      <right/>
      <top style="medium">
        <color rgb="FFFFFFFF"/>
      </top>
      <bottom/>
      <diagonal/>
    </border>
    <border>
      <left style="medium">
        <color rgb="FFA6A6A6"/>
      </left>
      <right/>
      <top/>
      <bottom style="medium">
        <color rgb="FFFFFFFF"/>
      </bottom>
      <diagonal/>
    </border>
    <border>
      <left style="thick">
        <color rgb="FFBFBFBF"/>
      </left>
      <right/>
      <top style="medium">
        <color rgb="FFFFFFFF"/>
      </top>
      <bottom/>
      <diagonal/>
    </border>
    <border>
      <left style="medium">
        <color rgb="FFBFBFBF"/>
      </left>
      <right/>
      <top/>
      <bottom/>
      <diagonal/>
    </border>
    <border>
      <left style="thick">
        <color rgb="FFEA8B00"/>
      </left>
      <right/>
      <top style="medium">
        <color rgb="FFFFFFFF"/>
      </top>
      <bottom style="medium">
        <color rgb="FFD9D9D9"/>
      </bottom>
      <diagonal/>
    </border>
    <border>
      <left/>
      <right/>
      <top style="medium">
        <color rgb="FFFFFFFF"/>
      </top>
      <bottom style="medium">
        <color rgb="FFD9D9D9"/>
      </bottom>
      <diagonal/>
    </border>
    <border>
      <left style="thick">
        <color rgb="FFEA8B00"/>
      </left>
      <right/>
      <top style="medium">
        <color rgb="FFD9D9D9"/>
      </top>
      <bottom/>
      <diagonal/>
    </border>
    <border>
      <left/>
      <right/>
      <top style="medium">
        <color rgb="FFD9D9D9"/>
      </top>
      <bottom/>
      <diagonal/>
    </border>
    <border>
      <left style="thick">
        <color rgb="FFEA8B00"/>
      </left>
      <right/>
      <top/>
      <bottom style="thick">
        <color rgb="FFEA8B00"/>
      </bottom>
      <diagonal/>
    </border>
    <border>
      <left/>
      <right/>
      <top/>
      <bottom style="thick">
        <color rgb="FFEA8B00"/>
      </bottom>
      <diagonal/>
    </border>
    <border>
      <left style="medium">
        <color rgb="FFBFBFBF"/>
      </left>
      <right/>
      <top/>
      <bottom style="thick">
        <color rgb="FFEA8B00"/>
      </bottom>
      <diagonal/>
    </border>
    <border>
      <left/>
      <right style="thick">
        <color rgb="FFEA8B00"/>
      </right>
      <top/>
      <bottom style="thick">
        <color rgb="FFEA8B00"/>
      </bottom>
      <diagonal/>
    </border>
    <border>
      <left/>
      <right style="medium">
        <color rgb="FFCCC6BC"/>
      </right>
      <top style="medium">
        <color rgb="FFFFFFFF"/>
      </top>
      <bottom/>
      <diagonal/>
    </border>
    <border>
      <left/>
      <right style="medium">
        <color rgb="FFCCC6BC"/>
      </right>
      <top style="medium">
        <color rgb="FFFFFFFF"/>
      </top>
      <bottom style="medium">
        <color rgb="FFA6A6A6"/>
      </bottom>
      <diagonal/>
    </border>
    <border>
      <left style="medium">
        <color rgb="FFCCC6BC"/>
      </left>
      <right/>
      <top style="medium">
        <color rgb="FFFFFFFF"/>
      </top>
      <bottom/>
      <diagonal/>
    </border>
    <border>
      <left/>
      <right style="medium">
        <color rgb="FFA6A6A6"/>
      </right>
      <top style="medium">
        <color rgb="FFFFFFFF"/>
      </top>
      <bottom/>
      <diagonal/>
    </border>
    <border>
      <left/>
      <right style="medium">
        <color rgb="FFA6A6A6"/>
      </right>
      <top/>
      <bottom style="medium">
        <color rgb="FFFFFFFF"/>
      </bottom>
      <diagonal/>
    </border>
    <border>
      <left/>
      <right style="medium">
        <color rgb="FFBFBFBF"/>
      </right>
      <top/>
      <bottom/>
      <diagonal/>
    </border>
    <border>
      <left/>
      <right style="medium">
        <color rgb="FFBFBFBF"/>
      </right>
      <top/>
      <bottom style="thick">
        <color rgb="FFEA8B00"/>
      </bottom>
      <diagonal/>
    </border>
    <border>
      <left style="thick">
        <color rgb="FFDE8400"/>
      </left>
      <right/>
      <top/>
      <bottom/>
      <diagonal/>
    </border>
    <border>
      <left style="thick">
        <color rgb="FFDE8400"/>
      </left>
      <right/>
      <top style="thin">
        <color rgb="FFBFBFBF"/>
      </top>
      <bottom style="thick">
        <color rgb="FFDE8400"/>
      </bottom>
      <diagonal/>
    </border>
    <border>
      <left/>
      <right/>
      <top style="thin">
        <color rgb="FFBFBFBF"/>
      </top>
      <bottom style="thick">
        <color rgb="FFDE8400"/>
      </bottom>
      <diagonal/>
    </border>
    <border>
      <left/>
      <right/>
      <top style="thin">
        <color rgb="FFBFBFBF"/>
      </top>
      <bottom style="thin">
        <color rgb="FFBFBFBF"/>
      </bottom>
      <diagonal/>
    </border>
    <border>
      <left/>
      <right/>
      <top/>
      <bottom style="thin">
        <color rgb="FFBFBFBF"/>
      </bottom>
      <diagonal/>
    </border>
    <border>
      <left/>
      <right style="thick">
        <color rgb="FFDE8400"/>
      </right>
      <top style="thin">
        <color rgb="FFBFBFBF"/>
      </top>
      <bottom style="thin">
        <color rgb="FFBFBFBF"/>
      </bottom>
      <diagonal/>
    </border>
    <border>
      <left style="thin">
        <color rgb="FFBFBFBF"/>
      </left>
      <right/>
      <top style="thin">
        <color rgb="FFBFBFBF"/>
      </top>
      <bottom style="thin">
        <color rgb="FFBFBFBF"/>
      </bottom>
      <diagonal/>
    </border>
    <border>
      <left/>
      <right style="thin">
        <color rgb="FFBFBFBF"/>
      </right>
      <top style="thin">
        <color rgb="FFBFBFBF"/>
      </top>
      <bottom style="thin">
        <color rgb="FFBFBFBF"/>
      </bottom>
      <diagonal/>
    </border>
    <border>
      <left style="thin">
        <color rgb="FFBFBFBF"/>
      </left>
      <right/>
      <top style="thin">
        <color rgb="FFBFBFBF"/>
      </top>
      <bottom style="thick">
        <color rgb="FFDE8400"/>
      </bottom>
      <diagonal/>
    </border>
    <border>
      <left/>
      <right style="thick">
        <color rgb="FFDE8400"/>
      </right>
      <top style="thin">
        <color rgb="FFBFBFBF"/>
      </top>
      <bottom style="thick">
        <color rgb="FFDE8400"/>
      </bottom>
      <diagonal/>
    </border>
    <border>
      <left/>
      <right style="thin">
        <color rgb="FFBFBFBF"/>
      </right>
      <top style="thin">
        <color rgb="FFBFBFBF"/>
      </top>
      <bottom style="thick">
        <color rgb="FFDE8400"/>
      </bottom>
      <diagonal/>
    </border>
    <border>
      <left style="thin">
        <color rgb="FFBFBFBF"/>
      </left>
      <right/>
      <top/>
      <bottom style="thin">
        <color rgb="FFBFBFBF"/>
      </bottom>
      <diagonal/>
    </border>
    <border>
      <left style="thick">
        <color rgb="FFDE8400"/>
      </left>
      <right/>
      <top/>
      <bottom style="thin">
        <color rgb="FFBFBFBF"/>
      </bottom>
      <diagonal/>
    </border>
    <border>
      <left/>
      <right style="thin">
        <color rgb="FFBFBFBF"/>
      </right>
      <top/>
      <bottom style="thin">
        <color rgb="FFBFBFBF"/>
      </bottom>
      <diagonal/>
    </border>
    <border>
      <left/>
      <right style="thick">
        <color rgb="FFDE8400"/>
      </right>
      <top/>
      <bottom style="thin">
        <color rgb="FFBFBFBF"/>
      </bottom>
      <diagonal/>
    </border>
    <border>
      <left style="thick">
        <color rgb="FFDE8400"/>
      </left>
      <right/>
      <top style="thick">
        <color rgb="FFDE8400"/>
      </top>
      <bottom style="thin">
        <color rgb="FFBFBFBF"/>
      </bottom>
      <diagonal/>
    </border>
    <border>
      <left/>
      <right/>
      <top style="thick">
        <color rgb="FFDE8400"/>
      </top>
      <bottom style="thin">
        <color rgb="FFBFBFBF"/>
      </bottom>
      <diagonal/>
    </border>
    <border>
      <left/>
      <right style="thick">
        <color rgb="FFDE8400"/>
      </right>
      <top style="thick">
        <color rgb="FFDE8400"/>
      </top>
      <bottom style="thin">
        <color rgb="FFBFBFBF"/>
      </bottom>
      <diagonal/>
    </border>
    <border>
      <left style="thin">
        <color rgb="FFBFBFBF"/>
      </left>
      <right/>
      <top style="thin">
        <color rgb="FFBFBFBF"/>
      </top>
      <bottom/>
      <diagonal/>
    </border>
    <border>
      <left/>
      <right/>
      <top style="thin">
        <color rgb="FFBFBFBF"/>
      </top>
      <bottom/>
      <diagonal/>
    </border>
    <border>
      <left style="medium">
        <color rgb="FFBFBFBF"/>
      </left>
      <right/>
      <top style="medium">
        <color theme="0"/>
      </top>
      <bottom/>
      <diagonal/>
    </border>
    <border>
      <left/>
      <right/>
      <top style="medium">
        <color theme="0"/>
      </top>
      <bottom/>
      <diagonal/>
    </border>
    <border>
      <left style="medium">
        <color rgb="FFBFBFBF"/>
      </left>
      <right/>
      <top style="medium">
        <color theme="0"/>
      </top>
      <bottom style="thick">
        <color rgb="FFEA8B00"/>
      </bottom>
      <diagonal/>
    </border>
    <border>
      <left/>
      <right/>
      <top style="medium">
        <color theme="0"/>
      </top>
      <bottom style="thick">
        <color rgb="FFEA8B00"/>
      </bottom>
      <diagonal/>
    </border>
    <border>
      <left/>
      <right style="thick">
        <color rgb="FFBFBFBF"/>
      </right>
      <top style="medium">
        <color rgb="FFFFFFFF"/>
      </top>
      <bottom/>
      <diagonal/>
    </border>
    <border>
      <left/>
      <right style="thick">
        <color rgb="FFDE8400"/>
      </right>
      <top/>
      <bottom/>
      <diagonal/>
    </border>
    <border>
      <left/>
      <right style="medium">
        <color rgb="FFBFBFBF"/>
      </right>
      <top/>
      <bottom style="thick">
        <color indexed="64"/>
      </bottom>
      <diagonal/>
    </border>
    <border>
      <left style="medium">
        <color rgb="FFBFBFBF"/>
      </left>
      <right/>
      <top/>
      <bottom style="thick">
        <color indexed="64"/>
      </bottom>
      <diagonal/>
    </border>
    <border>
      <left/>
      <right/>
      <top style="thin">
        <color indexed="64"/>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bottom/>
      <diagonal/>
    </border>
    <border>
      <left style="thick">
        <color theme="0"/>
      </left>
      <right/>
      <top/>
      <bottom/>
      <diagonal/>
    </border>
    <border>
      <left/>
      <right/>
      <top/>
      <bottom style="medium">
        <color theme="0"/>
      </bottom>
      <diagonal/>
    </border>
    <border>
      <left/>
      <right/>
      <top style="medium">
        <color theme="0"/>
      </top>
      <bottom style="medium">
        <color theme="0"/>
      </bottom>
      <diagonal/>
    </border>
    <border>
      <left/>
      <right style="medium">
        <color theme="0"/>
      </right>
      <top style="medium">
        <color theme="0"/>
      </top>
      <bottom/>
      <diagonal/>
    </border>
    <border>
      <left/>
      <right style="medium">
        <color theme="0"/>
      </right>
      <top/>
      <bottom style="medium">
        <color theme="0"/>
      </bottom>
      <diagonal/>
    </border>
    <border>
      <left/>
      <right style="medium">
        <color theme="0"/>
      </right>
      <top/>
      <bottom/>
      <diagonal/>
    </border>
  </borders>
  <cellStyleXfs count="49">
    <xf numFmtId="0" fontId="0" fillId="0" borderId="0"/>
    <xf numFmtId="165" fontId="7" fillId="0" borderId="0"/>
    <xf numFmtId="0" fontId="10" fillId="0" borderId="0" applyNumberFormat="0" applyFill="0" applyBorder="0" applyAlignment="0" applyProtection="0"/>
    <xf numFmtId="43" fontId="7" fillId="0" borderId="0" applyFont="0" applyFill="0" applyBorder="0" applyAlignment="0" applyProtection="0"/>
    <xf numFmtId="9" fontId="7" fillId="0" borderId="0" applyFont="0" applyFill="0" applyBorder="0" applyAlignment="0" applyProtection="0"/>
    <xf numFmtId="0" fontId="32" fillId="0" borderId="0" applyNumberFormat="0" applyFill="0" applyBorder="0" applyAlignment="0" applyProtection="0"/>
    <xf numFmtId="0" fontId="40" fillId="0" borderId="0" applyNumberFormat="0" applyFill="0" applyBorder="0" applyAlignment="0" applyProtection="0"/>
    <xf numFmtId="0" fontId="41" fillId="0" borderId="48" applyNumberFormat="0" applyFill="0" applyAlignment="0" applyProtection="0"/>
    <xf numFmtId="0" fontId="42" fillId="0" borderId="49" applyNumberFormat="0" applyFill="0" applyAlignment="0" applyProtection="0"/>
    <xf numFmtId="0" fontId="43" fillId="0" borderId="50" applyNumberFormat="0" applyFill="0" applyAlignment="0" applyProtection="0"/>
    <xf numFmtId="0" fontId="43" fillId="0" borderId="0" applyNumberFormat="0" applyFill="0" applyBorder="0" applyAlignment="0" applyProtection="0"/>
    <xf numFmtId="0" fontId="44" fillId="9" borderId="0" applyNumberFormat="0" applyBorder="0" applyAlignment="0" applyProtection="0"/>
    <xf numFmtId="0" fontId="45" fillId="10" borderId="0" applyNumberFormat="0" applyBorder="0" applyAlignment="0" applyProtection="0"/>
    <xf numFmtId="0" fontId="46" fillId="11" borderId="0" applyNumberFormat="0" applyBorder="0" applyAlignment="0" applyProtection="0"/>
    <xf numFmtId="0" fontId="47" fillId="12" borderId="51" applyNumberFormat="0" applyAlignment="0" applyProtection="0"/>
    <xf numFmtId="0" fontId="48" fillId="13" borderId="52" applyNumberFormat="0" applyAlignment="0" applyProtection="0"/>
    <xf numFmtId="0" fontId="49" fillId="13" borderId="51" applyNumberFormat="0" applyAlignment="0" applyProtection="0"/>
    <xf numFmtId="0" fontId="50" fillId="0" borderId="53" applyNumberFormat="0" applyFill="0" applyAlignment="0" applyProtection="0"/>
    <xf numFmtId="0" fontId="51" fillId="14" borderId="54" applyNumberFormat="0" applyAlignment="0" applyProtection="0"/>
    <xf numFmtId="0" fontId="1" fillId="0" borderId="0" applyNumberFormat="0" applyFill="0" applyBorder="0" applyAlignment="0" applyProtection="0"/>
    <xf numFmtId="0" fontId="7" fillId="15" borderId="55" applyNumberFormat="0" applyFont="0" applyAlignment="0" applyProtection="0"/>
    <xf numFmtId="0" fontId="52" fillId="0" borderId="0" applyNumberFormat="0" applyFill="0" applyBorder="0" applyAlignment="0" applyProtection="0"/>
    <xf numFmtId="0" fontId="2" fillId="0" borderId="56" applyNumberFormat="0" applyFill="0" applyAlignment="0" applyProtection="0"/>
    <xf numFmtId="0" fontId="53" fillId="16" borderId="0" applyNumberFormat="0" applyBorder="0" applyAlignment="0" applyProtection="0"/>
    <xf numFmtId="0" fontId="7" fillId="17"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53" fillId="20" borderId="0" applyNumberFormat="0" applyBorder="0" applyAlignment="0" applyProtection="0"/>
    <xf numFmtId="0" fontId="7" fillId="21"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53" fillId="24" borderId="0" applyNumberFormat="0" applyBorder="0" applyAlignment="0" applyProtection="0"/>
    <xf numFmtId="0" fontId="7" fillId="25"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53" fillId="28" borderId="0" applyNumberFormat="0" applyBorder="0" applyAlignment="0" applyProtection="0"/>
    <xf numFmtId="0" fontId="7" fillId="29"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53" fillId="32" borderId="0" applyNumberFormat="0" applyBorder="0" applyAlignment="0" applyProtection="0"/>
    <xf numFmtId="0" fontId="7" fillId="33" borderId="0" applyNumberFormat="0" applyBorder="0" applyAlignment="0" applyProtection="0"/>
    <xf numFmtId="0" fontId="7" fillId="34" borderId="0" applyNumberFormat="0" applyBorder="0" applyAlignment="0" applyProtection="0"/>
    <xf numFmtId="0" fontId="7" fillId="35" borderId="0" applyNumberFormat="0" applyBorder="0" applyAlignment="0" applyProtection="0"/>
    <xf numFmtId="0" fontId="53" fillId="36" borderId="0" applyNumberFormat="0" applyBorder="0" applyAlignment="0" applyProtection="0"/>
    <xf numFmtId="0" fontId="7" fillId="37" borderId="0" applyNumberFormat="0" applyBorder="0" applyAlignment="0" applyProtection="0"/>
    <xf numFmtId="0" fontId="7" fillId="38" borderId="0" applyNumberFormat="0" applyBorder="0" applyAlignment="0" applyProtection="0"/>
    <xf numFmtId="0" fontId="7" fillId="39" borderId="0" applyNumberFormat="0" applyBorder="0" applyAlignment="0" applyProtection="0"/>
    <xf numFmtId="0" fontId="68" fillId="0" borderId="0" applyNumberFormat="0" applyFill="0" applyBorder="0" applyAlignment="0" applyProtection="0">
      <alignment vertical="top"/>
      <protection locked="0"/>
    </xf>
    <xf numFmtId="0" fontId="76" fillId="0" borderId="0" applyBorder="0"/>
  </cellStyleXfs>
  <cellXfs count="1598">
    <xf numFmtId="0" fontId="0" fillId="0" borderId="0" xfId="0"/>
    <xf numFmtId="0" fontId="0" fillId="2" borderId="0" xfId="0" applyFill="1"/>
    <xf numFmtId="0" fontId="1" fillId="2" borderId="0" xfId="0" applyFont="1" applyFill="1"/>
    <xf numFmtId="0" fontId="2" fillId="2" borderId="0" xfId="0" applyFont="1" applyFill="1"/>
    <xf numFmtId="0" fontId="2" fillId="0" borderId="0" xfId="0" applyFont="1"/>
    <xf numFmtId="2" fontId="0" fillId="0" borderId="0" xfId="0" applyNumberFormat="1"/>
    <xf numFmtId="0" fontId="1" fillId="0" borderId="0" xfId="0" applyFont="1"/>
    <xf numFmtId="0" fontId="8" fillId="0" borderId="0" xfId="0" applyFont="1"/>
    <xf numFmtId="0" fontId="0" fillId="3" borderId="0" xfId="0" applyFill="1"/>
    <xf numFmtId="0" fontId="2" fillId="3" borderId="0" xfId="0" applyFont="1" applyFill="1"/>
    <xf numFmtId="0" fontId="2" fillId="4" borderId="0" xfId="0" applyFont="1" applyFill="1"/>
    <xf numFmtId="0" fontId="8" fillId="4" borderId="0" xfId="0" applyFont="1" applyFill="1"/>
    <xf numFmtId="0" fontId="0" fillId="5" borderId="9" xfId="0" applyFill="1" applyBorder="1"/>
    <xf numFmtId="10" fontId="0" fillId="5" borderId="9" xfId="0" applyNumberFormat="1" applyFill="1" applyBorder="1"/>
    <xf numFmtId="0" fontId="0" fillId="4" borderId="0" xfId="0" applyFill="1"/>
    <xf numFmtId="9" fontId="0" fillId="5" borderId="9" xfId="0" applyNumberFormat="1" applyFill="1" applyBorder="1"/>
    <xf numFmtId="0" fontId="0" fillId="6" borderId="3" xfId="0" applyFill="1" applyBorder="1"/>
    <xf numFmtId="0" fontId="0" fillId="6" borderId="0" xfId="0" applyFill="1"/>
    <xf numFmtId="0" fontId="1" fillId="6" borderId="0" xfId="0" applyFont="1" applyFill="1"/>
    <xf numFmtId="0" fontId="0" fillId="6" borderId="8" xfId="0" applyFill="1" applyBorder="1"/>
    <xf numFmtId="2" fontId="0" fillId="3" borderId="0" xfId="0" applyNumberFormat="1" applyFill="1"/>
    <xf numFmtId="2" fontId="0" fillId="5" borderId="9" xfId="0" applyNumberFormat="1" applyFill="1" applyBorder="1"/>
    <xf numFmtId="168" fontId="0" fillId="5" borderId="9" xfId="0" applyNumberFormat="1" applyFill="1" applyBorder="1"/>
    <xf numFmtId="0" fontId="2" fillId="6" borderId="0" xfId="0" applyFont="1" applyFill="1"/>
    <xf numFmtId="0" fontId="2" fillId="4" borderId="7" xfId="0" applyFont="1" applyFill="1" applyBorder="1"/>
    <xf numFmtId="4" fontId="2" fillId="3" borderId="0" xfId="0" applyNumberFormat="1" applyFont="1" applyFill="1"/>
    <xf numFmtId="3" fontId="0" fillId="6" borderId="0" xfId="0" applyNumberFormat="1" applyFill="1"/>
    <xf numFmtId="3" fontId="0" fillId="3" borderId="0" xfId="0" applyNumberFormat="1" applyFill="1"/>
    <xf numFmtId="3" fontId="2" fillId="3" borderId="0" xfId="0" applyNumberFormat="1" applyFont="1" applyFill="1"/>
    <xf numFmtId="3" fontId="0" fillId="5" borderId="9" xfId="0" applyNumberFormat="1" applyFill="1" applyBorder="1"/>
    <xf numFmtId="4" fontId="0" fillId="5" borderId="9" xfId="0" applyNumberFormat="1" applyFill="1" applyBorder="1"/>
    <xf numFmtId="0" fontId="6" fillId="3" borderId="0" xfId="0" applyFont="1" applyFill="1"/>
    <xf numFmtId="3" fontId="6" fillId="5" borderId="9" xfId="0" applyNumberFormat="1" applyFont="1" applyFill="1" applyBorder="1"/>
    <xf numFmtId="2" fontId="6" fillId="5" borderId="9" xfId="0" applyNumberFormat="1" applyFont="1" applyFill="1" applyBorder="1"/>
    <xf numFmtId="0" fontId="0" fillId="6" borderId="0" xfId="0" applyFill="1" applyAlignment="1">
      <alignment horizontal="left"/>
    </xf>
    <xf numFmtId="0" fontId="0" fillId="3" borderId="0" xfId="0" applyFill="1" applyAlignment="1">
      <alignment horizontal="left"/>
    </xf>
    <xf numFmtId="0" fontId="14" fillId="3" borderId="0" xfId="0" applyFont="1" applyFill="1" applyAlignment="1">
      <alignment horizontal="left"/>
    </xf>
    <xf numFmtId="3" fontId="1" fillId="0" borderId="0" xfId="0" applyNumberFormat="1" applyFont="1"/>
    <xf numFmtId="4" fontId="1" fillId="0" borderId="0" xfId="0" applyNumberFormat="1" applyFont="1"/>
    <xf numFmtId="0" fontId="1" fillId="4" borderId="0" xfId="0" applyFont="1" applyFill="1"/>
    <xf numFmtId="0" fontId="14" fillId="3" borderId="0" xfId="0" applyFont="1" applyFill="1"/>
    <xf numFmtId="2" fontId="6" fillId="3" borderId="0" xfId="0" applyNumberFormat="1" applyFont="1" applyFill="1"/>
    <xf numFmtId="2" fontId="6" fillId="3" borderId="12" xfId="0" applyNumberFormat="1" applyFont="1" applyFill="1" applyBorder="1"/>
    <xf numFmtId="2" fontId="2" fillId="3" borderId="12" xfId="0" applyNumberFormat="1" applyFont="1" applyFill="1" applyBorder="1"/>
    <xf numFmtId="0" fontId="2" fillId="6" borderId="0" xfId="0" applyFont="1" applyFill="1" applyAlignment="1">
      <alignment horizontal="left"/>
    </xf>
    <xf numFmtId="170" fontId="0" fillId="0" borderId="0" xfId="4" applyNumberFormat="1" applyFont="1"/>
    <xf numFmtId="3" fontId="0" fillId="0" borderId="0" xfId="0" applyNumberFormat="1"/>
    <xf numFmtId="0" fontId="0" fillId="3" borderId="8" xfId="0" applyFill="1" applyBorder="1"/>
    <xf numFmtId="0" fontId="0" fillId="4" borderId="0" xfId="0" applyFill="1" applyAlignment="1">
      <alignment horizontal="left"/>
    </xf>
    <xf numFmtId="3" fontId="0" fillId="4" borderId="0" xfId="0" applyNumberFormat="1" applyFill="1"/>
    <xf numFmtId="170" fontId="0" fillId="4" borderId="0" xfId="4" applyNumberFormat="1" applyFont="1" applyFill="1"/>
    <xf numFmtId="170" fontId="0" fillId="3" borderId="0" xfId="4" applyNumberFormat="1" applyFont="1" applyFill="1"/>
    <xf numFmtId="0" fontId="0" fillId="4" borderId="7" xfId="0" applyFill="1" applyBorder="1"/>
    <xf numFmtId="4" fontId="0" fillId="3" borderId="0" xfId="0" applyNumberFormat="1" applyFill="1"/>
    <xf numFmtId="4" fontId="0" fillId="4" borderId="0" xfId="0" applyNumberFormat="1" applyFill="1"/>
    <xf numFmtId="2" fontId="0" fillId="4" borderId="0" xfId="0" applyNumberFormat="1" applyFill="1"/>
    <xf numFmtId="2" fontId="2" fillId="0" borderId="0" xfId="0" applyNumberFormat="1" applyFont="1"/>
    <xf numFmtId="9" fontId="0" fillId="5" borderId="9" xfId="4" applyFont="1" applyFill="1" applyBorder="1"/>
    <xf numFmtId="0" fontId="6" fillId="5" borderId="9" xfId="0" applyFont="1" applyFill="1" applyBorder="1"/>
    <xf numFmtId="0" fontId="6" fillId="0" borderId="0" xfId="0" applyFont="1"/>
    <xf numFmtId="0" fontId="0" fillId="0" borderId="0" xfId="0" applyAlignment="1">
      <alignment horizontal="right"/>
    </xf>
    <xf numFmtId="168" fontId="6" fillId="0" borderId="0" xfId="0" applyNumberFormat="1" applyFont="1"/>
    <xf numFmtId="9" fontId="8" fillId="4" borderId="0" xfId="4" applyFont="1" applyFill="1"/>
    <xf numFmtId="10" fontId="6" fillId="5" borderId="9" xfId="0" applyNumberFormat="1" applyFont="1" applyFill="1" applyBorder="1"/>
    <xf numFmtId="9" fontId="6" fillId="5" borderId="9" xfId="0" applyNumberFormat="1" applyFont="1" applyFill="1" applyBorder="1"/>
    <xf numFmtId="0" fontId="6" fillId="6" borderId="0" xfId="0" applyFont="1" applyFill="1"/>
    <xf numFmtId="0" fontId="13" fillId="4" borderId="0" xfId="0" applyFont="1" applyFill="1"/>
    <xf numFmtId="9" fontId="0" fillId="6" borderId="0" xfId="4" applyFont="1" applyFill="1"/>
    <xf numFmtId="9" fontId="0" fillId="0" borderId="0" xfId="4" applyFont="1"/>
    <xf numFmtId="14" fontId="0" fillId="6" borderId="0" xfId="0" applyNumberFormat="1" applyFill="1"/>
    <xf numFmtId="0" fontId="1" fillId="3" borderId="0" xfId="0" applyFont="1" applyFill="1"/>
    <xf numFmtId="0" fontId="23" fillId="0" borderId="0" xfId="0" applyFont="1"/>
    <xf numFmtId="0" fontId="10" fillId="6" borderId="0" xfId="2" applyFill="1"/>
    <xf numFmtId="0" fontId="0" fillId="0" borderId="0" xfId="0" quotePrefix="1"/>
    <xf numFmtId="0" fontId="2" fillId="4" borderId="0" xfId="0" applyFont="1" applyFill="1" applyAlignment="1">
      <alignment horizontal="left"/>
    </xf>
    <xf numFmtId="2" fontId="0" fillId="6" borderId="9" xfId="0" applyNumberFormat="1" applyFill="1" applyBorder="1"/>
    <xf numFmtId="0" fontId="0" fillId="3" borderId="0" xfId="0" applyFill="1" applyAlignment="1">
      <alignment horizontal="right"/>
    </xf>
    <xf numFmtId="3" fontId="2" fillId="6" borderId="0" xfId="0" applyNumberFormat="1" applyFont="1" applyFill="1"/>
    <xf numFmtId="3" fontId="0" fillId="6" borderId="9" xfId="0" applyNumberFormat="1" applyFill="1" applyBorder="1"/>
    <xf numFmtId="3" fontId="23" fillId="6" borderId="0" xfId="0" applyNumberFormat="1" applyFont="1" applyFill="1"/>
    <xf numFmtId="3" fontId="1" fillId="6" borderId="0" xfId="0" applyNumberFormat="1" applyFont="1" applyFill="1"/>
    <xf numFmtId="4" fontId="0" fillId="6" borderId="0" xfId="0" applyNumberFormat="1" applyFill="1"/>
    <xf numFmtId="3" fontId="14" fillId="6" borderId="0" xfId="0" applyNumberFormat="1" applyFont="1" applyFill="1"/>
    <xf numFmtId="3" fontId="6" fillId="6" borderId="0" xfId="0" applyNumberFormat="1" applyFont="1" applyFill="1"/>
    <xf numFmtId="0" fontId="0" fillId="0" borderId="3" xfId="0" applyBorder="1" applyAlignment="1">
      <alignment horizontal="left"/>
    </xf>
    <xf numFmtId="0" fontId="0" fillId="7" borderId="0" xfId="0" applyFill="1"/>
    <xf numFmtId="0" fontId="3" fillId="7" borderId="0" xfId="0" applyFont="1" applyFill="1"/>
    <xf numFmtId="0" fontId="19" fillId="7" borderId="0" xfId="0" applyFont="1" applyFill="1"/>
    <xf numFmtId="0" fontId="25" fillId="0" borderId="0" xfId="0" applyFont="1"/>
    <xf numFmtId="0" fontId="13" fillId="0" borderId="0" xfId="0" applyFont="1"/>
    <xf numFmtId="9" fontId="0" fillId="6" borderId="0" xfId="0" applyNumberFormat="1" applyFill="1"/>
    <xf numFmtId="2" fontId="0" fillId="6" borderId="0" xfId="0" applyNumberFormat="1" applyFill="1"/>
    <xf numFmtId="0" fontId="6" fillId="6" borderId="0" xfId="2" applyFont="1" applyFill="1"/>
    <xf numFmtId="0" fontId="2" fillId="3" borderId="8" xfId="0" applyFont="1" applyFill="1" applyBorder="1"/>
    <xf numFmtId="0" fontId="14" fillId="3" borderId="8" xfId="0" applyFont="1" applyFill="1" applyBorder="1"/>
    <xf numFmtId="3" fontId="14" fillId="3" borderId="0" xfId="0" applyNumberFormat="1" applyFont="1" applyFill="1"/>
    <xf numFmtId="0" fontId="2" fillId="3" borderId="0" xfId="0" applyFont="1" applyFill="1" applyAlignment="1">
      <alignment horizontal="center" wrapText="1"/>
    </xf>
    <xf numFmtId="10" fontId="0" fillId="6" borderId="3" xfId="4" applyNumberFormat="1" applyFont="1" applyFill="1" applyBorder="1"/>
    <xf numFmtId="0" fontId="29" fillId="2" borderId="0" xfId="0" applyFont="1" applyFill="1"/>
    <xf numFmtId="9" fontId="0" fillId="0" borderId="0" xfId="0" applyNumberFormat="1"/>
    <xf numFmtId="0" fontId="22" fillId="0" borderId="0" xfId="0" applyFont="1"/>
    <xf numFmtId="14" fontId="6" fillId="6" borderId="0" xfId="0" applyNumberFormat="1" applyFont="1" applyFill="1"/>
    <xf numFmtId="0" fontId="14" fillId="0" borderId="0" xfId="0" applyFont="1"/>
    <xf numFmtId="168" fontId="6" fillId="6" borderId="0" xfId="0" applyNumberFormat="1" applyFont="1" applyFill="1"/>
    <xf numFmtId="168" fontId="6" fillId="6" borderId="0" xfId="0" applyNumberFormat="1" applyFont="1" applyFill="1" applyAlignment="1">
      <alignment horizontal="right"/>
    </xf>
    <xf numFmtId="168" fontId="6" fillId="6" borderId="1" xfId="0" applyNumberFormat="1" applyFont="1" applyFill="1" applyBorder="1" applyAlignment="1">
      <alignment horizontal="right"/>
    </xf>
    <xf numFmtId="168" fontId="6" fillId="6" borderId="7" xfId="0" applyNumberFormat="1" applyFont="1" applyFill="1" applyBorder="1" applyAlignment="1">
      <alignment horizontal="right"/>
    </xf>
    <xf numFmtId="168" fontId="6" fillId="5" borderId="9" xfId="0" applyNumberFormat="1" applyFont="1" applyFill="1" applyBorder="1"/>
    <xf numFmtId="168" fontId="6" fillId="6" borderId="3" xfId="0" applyNumberFormat="1" applyFont="1" applyFill="1" applyBorder="1" applyAlignment="1">
      <alignment horizontal="right"/>
    </xf>
    <xf numFmtId="3" fontId="0" fillId="6" borderId="0" xfId="0" applyNumberFormat="1" applyFill="1" applyAlignment="1">
      <alignment horizontal="right"/>
    </xf>
    <xf numFmtId="0" fontId="0" fillId="6" borderId="0" xfId="0" applyFill="1" applyAlignment="1">
      <alignment horizontal="right"/>
    </xf>
    <xf numFmtId="0" fontId="6" fillId="6" borderId="0" xfId="0" applyFont="1" applyFill="1" applyAlignment="1">
      <alignment horizontal="right"/>
    </xf>
    <xf numFmtId="0" fontId="0" fillId="5" borderId="9" xfId="0" applyFill="1" applyBorder="1" applyAlignment="1">
      <alignment horizontal="right"/>
    </xf>
    <xf numFmtId="166" fontId="6" fillId="6" borderId="8" xfId="0" applyNumberFormat="1" applyFont="1" applyFill="1" applyBorder="1"/>
    <xf numFmtId="168" fontId="20" fillId="4" borderId="0" xfId="0" applyNumberFormat="1" applyFont="1" applyFill="1" applyAlignment="1">
      <alignment horizontal="right"/>
    </xf>
    <xf numFmtId="2" fontId="16" fillId="5" borderId="9" xfId="0" applyNumberFormat="1" applyFont="1" applyFill="1" applyBorder="1" applyAlignment="1" applyProtection="1">
      <alignment horizontal="right"/>
      <protection hidden="1"/>
    </xf>
    <xf numFmtId="2" fontId="6" fillId="6" borderId="3" xfId="0" applyNumberFormat="1" applyFont="1" applyFill="1" applyBorder="1" applyAlignment="1">
      <alignment horizontal="right"/>
    </xf>
    <xf numFmtId="1" fontId="0" fillId="5" borderId="9" xfId="0" applyNumberFormat="1" applyFill="1" applyBorder="1"/>
    <xf numFmtId="2" fontId="0" fillId="3" borderId="8" xfId="0" applyNumberFormat="1" applyFill="1" applyBorder="1"/>
    <xf numFmtId="2" fontId="0" fillId="3" borderId="12" xfId="0" applyNumberFormat="1" applyFill="1" applyBorder="1"/>
    <xf numFmtId="0" fontId="0" fillId="3" borderId="7" xfId="0" applyFill="1" applyBorder="1"/>
    <xf numFmtId="0" fontId="2" fillId="4" borderId="0" xfId="0" applyFont="1" applyFill="1" applyAlignment="1">
      <alignment horizontal="right"/>
    </xf>
    <xf numFmtId="0" fontId="20" fillId="4" borderId="0" xfId="0" applyFont="1" applyFill="1" applyAlignment="1">
      <alignment horizontal="right"/>
    </xf>
    <xf numFmtId="2" fontId="6" fillId="6" borderId="0" xfId="0" applyNumberFormat="1" applyFont="1" applyFill="1" applyAlignment="1">
      <alignment horizontal="right"/>
    </xf>
    <xf numFmtId="167" fontId="6" fillId="6" borderId="0" xfId="0" applyNumberFormat="1" applyFont="1" applyFill="1" applyAlignment="1">
      <alignment horizontal="right"/>
    </xf>
    <xf numFmtId="3" fontId="6" fillId="6" borderId="0" xfId="0" applyNumberFormat="1" applyFont="1" applyFill="1" applyAlignment="1">
      <alignment horizontal="right"/>
    </xf>
    <xf numFmtId="10" fontId="0" fillId="6" borderId="0" xfId="4" applyNumberFormat="1" applyFont="1" applyFill="1" applyAlignment="1">
      <alignment horizontal="right"/>
    </xf>
    <xf numFmtId="10" fontId="0" fillId="6" borderId="0" xfId="0" applyNumberFormat="1" applyFill="1" applyAlignment="1">
      <alignment horizontal="right"/>
    </xf>
    <xf numFmtId="0" fontId="0" fillId="0" borderId="0" xfId="0" applyAlignment="1">
      <alignment horizontal="left"/>
    </xf>
    <xf numFmtId="0" fontId="6" fillId="6" borderId="0" xfId="0" applyFont="1" applyFill="1" applyAlignment="1">
      <alignment horizontal="left"/>
    </xf>
    <xf numFmtId="0" fontId="20" fillId="4" borderId="0" xfId="0" applyFont="1" applyFill="1" applyAlignment="1">
      <alignment horizontal="left"/>
    </xf>
    <xf numFmtId="9" fontId="20" fillId="4" borderId="0" xfId="4" applyFont="1" applyFill="1" applyAlignment="1">
      <alignment horizontal="left"/>
    </xf>
    <xf numFmtId="168" fontId="20" fillId="4" borderId="0" xfId="0" applyNumberFormat="1" applyFont="1" applyFill="1" applyAlignment="1">
      <alignment horizontal="left"/>
    </xf>
    <xf numFmtId="1" fontId="6" fillId="6" borderId="0" xfId="0" applyNumberFormat="1" applyFont="1" applyFill="1" applyAlignment="1">
      <alignment horizontal="right"/>
    </xf>
    <xf numFmtId="0" fontId="2" fillId="4" borderId="0" xfId="0" applyFont="1" applyFill="1" applyAlignment="1">
      <alignment horizontal="center"/>
    </xf>
    <xf numFmtId="173" fontId="13" fillId="4" borderId="7" xfId="3" applyNumberFormat="1" applyFont="1" applyFill="1" applyBorder="1"/>
    <xf numFmtId="168" fontId="6" fillId="6" borderId="0" xfId="0" applyNumberFormat="1" applyFont="1" applyFill="1" applyAlignment="1">
      <alignment horizontal="left"/>
    </xf>
    <xf numFmtId="2" fontId="6" fillId="5" borderId="14" xfId="0" applyNumberFormat="1" applyFont="1" applyFill="1" applyBorder="1"/>
    <xf numFmtId="0" fontId="1" fillId="6" borderId="0" xfId="0" applyFont="1" applyFill="1" applyAlignment="1">
      <alignment horizontal="left"/>
    </xf>
    <xf numFmtId="2" fontId="6" fillId="3" borderId="0" xfId="0" applyNumberFormat="1" applyFont="1" applyFill="1" applyAlignment="1">
      <alignment horizontal="right"/>
    </xf>
    <xf numFmtId="0" fontId="6" fillId="3" borderId="0" xfId="0" applyFont="1" applyFill="1" applyAlignment="1">
      <alignment horizontal="right"/>
    </xf>
    <xf numFmtId="0" fontId="6" fillId="3" borderId="0" xfId="0" applyFont="1" applyFill="1" applyAlignment="1">
      <alignment horizontal="left"/>
    </xf>
    <xf numFmtId="0" fontId="1" fillId="3" borderId="0" xfId="0" applyFont="1" applyFill="1" applyAlignment="1">
      <alignment horizontal="left"/>
    </xf>
    <xf numFmtId="14" fontId="0" fillId="0" borderId="0" xfId="0" applyNumberFormat="1"/>
    <xf numFmtId="2" fontId="6" fillId="6" borderId="0" xfId="0" applyNumberFormat="1" applyFont="1" applyFill="1" applyAlignment="1">
      <alignment horizontal="left"/>
    </xf>
    <xf numFmtId="0" fontId="0" fillId="4" borderId="0" xfId="0" applyFill="1" applyAlignment="1">
      <alignment horizontal="right"/>
    </xf>
    <xf numFmtId="2" fontId="0" fillId="6" borderId="0" xfId="0" applyNumberFormat="1" applyFill="1" applyAlignment="1">
      <alignment horizontal="right"/>
    </xf>
    <xf numFmtId="0" fontId="6" fillId="6" borderId="0" xfId="2" applyFont="1" applyFill="1" applyAlignment="1">
      <alignment horizontal="fill"/>
    </xf>
    <xf numFmtId="0" fontId="6" fillId="6" borderId="0" xfId="0" applyFont="1" applyFill="1" applyAlignment="1">
      <alignment horizontal="fill"/>
    </xf>
    <xf numFmtId="0" fontId="0" fillId="6" borderId="0" xfId="0" applyFill="1" applyAlignment="1">
      <alignment horizontal="fill"/>
    </xf>
    <xf numFmtId="172" fontId="0" fillId="0" borderId="0" xfId="3" applyNumberFormat="1" applyFont="1"/>
    <xf numFmtId="43" fontId="0" fillId="0" borderId="0" xfId="3" applyFont="1"/>
    <xf numFmtId="0" fontId="21" fillId="0" borderId="0" xfId="0" applyFont="1"/>
    <xf numFmtId="172" fontId="1" fillId="0" borderId="0" xfId="3" applyNumberFormat="1" applyFont="1"/>
    <xf numFmtId="0" fontId="0" fillId="5" borderId="13" xfId="0" applyFill="1" applyBorder="1"/>
    <xf numFmtId="171" fontId="0" fillId="0" borderId="0" xfId="3" applyNumberFormat="1" applyFont="1"/>
    <xf numFmtId="171" fontId="1" fillId="0" borderId="0" xfId="3" applyNumberFormat="1" applyFont="1"/>
    <xf numFmtId="0" fontId="0" fillId="3" borderId="0" xfId="0" quotePrefix="1" applyFill="1" applyAlignment="1">
      <alignment horizontal="left"/>
    </xf>
    <xf numFmtId="0" fontId="23" fillId="6" borderId="0" xfId="0" applyFont="1" applyFill="1" applyAlignment="1">
      <alignment horizontal="left"/>
    </xf>
    <xf numFmtId="3" fontId="0" fillId="2" borderId="0" xfId="0" applyNumberFormat="1" applyFill="1"/>
    <xf numFmtId="172" fontId="6" fillId="5" borderId="9" xfId="3" applyNumberFormat="1" applyFont="1" applyFill="1" applyBorder="1"/>
    <xf numFmtId="1" fontId="6" fillId="5" borderId="9" xfId="0" applyNumberFormat="1" applyFont="1" applyFill="1" applyBorder="1"/>
    <xf numFmtId="175" fontId="0" fillId="0" borderId="0" xfId="3" applyNumberFormat="1" applyFont="1"/>
    <xf numFmtId="0" fontId="6" fillId="6" borderId="9" xfId="0" applyFont="1" applyFill="1" applyBorder="1"/>
    <xf numFmtId="0" fontId="36" fillId="0" borderId="0" xfId="0" applyFont="1"/>
    <xf numFmtId="168" fontId="21" fillId="4" borderId="0" xfId="0" applyNumberFormat="1" applyFont="1" applyFill="1" applyAlignment="1">
      <alignment horizontal="left"/>
    </xf>
    <xf numFmtId="0" fontId="21" fillId="4" borderId="0" xfId="0" applyFont="1" applyFill="1" applyAlignment="1">
      <alignment horizontal="left"/>
    </xf>
    <xf numFmtId="1" fontId="6" fillId="6" borderId="0" xfId="0" applyNumberFormat="1" applyFont="1" applyFill="1" applyAlignment="1">
      <alignment horizontal="left"/>
    </xf>
    <xf numFmtId="4" fontId="8" fillId="4" borderId="0" xfId="0" applyNumberFormat="1" applyFont="1" applyFill="1"/>
    <xf numFmtId="3" fontId="13" fillId="4" borderId="0" xfId="0" applyNumberFormat="1" applyFont="1" applyFill="1"/>
    <xf numFmtId="9" fontId="13" fillId="4" borderId="0" xfId="4" applyFont="1" applyFill="1"/>
    <xf numFmtId="3" fontId="8" fillId="4" borderId="0" xfId="0" applyNumberFormat="1" applyFont="1" applyFill="1"/>
    <xf numFmtId="3" fontId="0" fillId="3" borderId="8" xfId="0" applyNumberFormat="1" applyFill="1" applyBorder="1"/>
    <xf numFmtId="10" fontId="0" fillId="3" borderId="8" xfId="4" applyNumberFormat="1" applyFont="1" applyFill="1" applyBorder="1"/>
    <xf numFmtId="174" fontId="2" fillId="3" borderId="0" xfId="0" applyNumberFormat="1" applyFont="1" applyFill="1"/>
    <xf numFmtId="0" fontId="0" fillId="0" borderId="0" xfId="0" applyAlignment="1">
      <alignment wrapText="1"/>
    </xf>
    <xf numFmtId="9" fontId="0" fillId="3" borderId="12" xfId="4" applyFont="1" applyFill="1" applyBorder="1"/>
    <xf numFmtId="0" fontId="0" fillId="0" borderId="0" xfId="0" applyAlignment="1">
      <alignment readingOrder="1"/>
    </xf>
    <xf numFmtId="0" fontId="13" fillId="4" borderId="8" xfId="0" applyFont="1" applyFill="1" applyBorder="1"/>
    <xf numFmtId="1" fontId="6" fillId="3" borderId="0" xfId="0" applyNumberFormat="1" applyFont="1" applyFill="1" applyAlignment="1">
      <alignment horizontal="right"/>
    </xf>
    <xf numFmtId="1" fontId="6" fillId="4" borderId="0" xfId="0" applyNumberFormat="1" applyFont="1" applyFill="1" applyAlignment="1">
      <alignment horizontal="right"/>
    </xf>
    <xf numFmtId="0" fontId="6" fillId="4" borderId="0" xfId="0" applyFont="1" applyFill="1" applyAlignment="1">
      <alignment horizontal="left"/>
    </xf>
    <xf numFmtId="4" fontId="6" fillId="6" borderId="0" xfId="0" applyNumberFormat="1" applyFont="1" applyFill="1" applyAlignment="1">
      <alignment horizontal="right"/>
    </xf>
    <xf numFmtId="0" fontId="2" fillId="4" borderId="8" xfId="0" applyFont="1" applyFill="1" applyBorder="1" applyAlignment="1">
      <alignment horizontal="center"/>
    </xf>
    <xf numFmtId="10" fontId="8" fillId="4" borderId="0" xfId="4" applyNumberFormat="1" applyFont="1" applyFill="1" applyAlignment="1">
      <alignment horizontal="right"/>
    </xf>
    <xf numFmtId="0" fontId="8" fillId="4" borderId="0" xfId="0" applyFont="1" applyFill="1" applyAlignment="1">
      <alignment horizontal="left"/>
    </xf>
    <xf numFmtId="4" fontId="0" fillId="0" borderId="0" xfId="0" applyNumberFormat="1" applyAlignment="1">
      <alignment horizontal="right"/>
    </xf>
    <xf numFmtId="4" fontId="2" fillId="4" borderId="0" xfId="0" applyNumberFormat="1" applyFont="1" applyFill="1" applyAlignment="1">
      <alignment horizontal="right"/>
    </xf>
    <xf numFmtId="4" fontId="20" fillId="4" borderId="0" xfId="0" applyNumberFormat="1" applyFont="1" applyFill="1" applyAlignment="1">
      <alignment horizontal="right"/>
    </xf>
    <xf numFmtId="4" fontId="6" fillId="3" borderId="0" xfId="0" applyNumberFormat="1" applyFont="1" applyFill="1" applyAlignment="1">
      <alignment horizontal="right"/>
    </xf>
    <xf numFmtId="4" fontId="6" fillId="4" borderId="0" xfId="0" applyNumberFormat="1" applyFont="1" applyFill="1" applyAlignment="1">
      <alignment horizontal="right"/>
    </xf>
    <xf numFmtId="4" fontId="0" fillId="6" borderId="0" xfId="0" applyNumberFormat="1" applyFill="1" applyAlignment="1">
      <alignment horizontal="right"/>
    </xf>
    <xf numFmtId="4" fontId="0" fillId="4" borderId="0" xfId="0" applyNumberFormat="1" applyFill="1" applyAlignment="1">
      <alignment horizontal="right"/>
    </xf>
    <xf numFmtId="4" fontId="8" fillId="4" borderId="0" xfId="0" applyNumberFormat="1" applyFont="1" applyFill="1" applyAlignment="1">
      <alignment horizontal="right"/>
    </xf>
    <xf numFmtId="4" fontId="1" fillId="6" borderId="0" xfId="0" applyNumberFormat="1" applyFont="1" applyFill="1" applyAlignment="1">
      <alignment horizontal="right"/>
    </xf>
    <xf numFmtId="4" fontId="1" fillId="3" borderId="0" xfId="0" applyNumberFormat="1" applyFont="1" applyFill="1" applyAlignment="1">
      <alignment horizontal="right"/>
    </xf>
    <xf numFmtId="4" fontId="20" fillId="4" borderId="0" xfId="4" applyNumberFormat="1" applyFont="1" applyFill="1" applyAlignment="1">
      <alignment horizontal="right"/>
    </xf>
    <xf numFmtId="166" fontId="6" fillId="6" borderId="0" xfId="0" applyNumberFormat="1" applyFont="1" applyFill="1" applyAlignment="1">
      <alignment horizontal="right"/>
    </xf>
    <xf numFmtId="3" fontId="6" fillId="0" borderId="0" xfId="0" applyNumberFormat="1" applyFont="1"/>
    <xf numFmtId="166" fontId="0" fillId="6" borderId="0" xfId="0" applyNumberFormat="1" applyFill="1" applyAlignment="1">
      <alignment horizontal="right"/>
    </xf>
    <xf numFmtId="166" fontId="0" fillId="6" borderId="0" xfId="0" applyNumberFormat="1" applyFill="1" applyAlignment="1">
      <alignment horizontal="left"/>
    </xf>
    <xf numFmtId="9" fontId="0" fillId="6" borderId="0" xfId="4" applyFont="1" applyFill="1" applyAlignment="1">
      <alignment horizontal="right"/>
    </xf>
    <xf numFmtId="169" fontId="0" fillId="0" borderId="0" xfId="0" applyNumberFormat="1"/>
    <xf numFmtId="0" fontId="6" fillId="6" borderId="0" xfId="0" applyFont="1" applyFill="1" applyAlignment="1">
      <alignment wrapText="1"/>
    </xf>
    <xf numFmtId="0" fontId="0" fillId="6" borderId="0" xfId="0" applyFill="1" applyAlignment="1">
      <alignment wrapText="1"/>
    </xf>
    <xf numFmtId="0" fontId="4" fillId="6" borderId="0" xfId="0" applyFont="1" applyFill="1" applyAlignment="1">
      <alignment wrapText="1"/>
    </xf>
    <xf numFmtId="177" fontId="0" fillId="0" borderId="0" xfId="0" applyNumberFormat="1"/>
    <xf numFmtId="0" fontId="3" fillId="4" borderId="17" xfId="0" applyFont="1" applyFill="1" applyBorder="1"/>
    <xf numFmtId="0" fontId="0" fillId="4" borderId="18" xfId="0" applyFill="1" applyBorder="1"/>
    <xf numFmtId="0" fontId="0" fillId="4" borderId="19" xfId="0" applyFill="1" applyBorder="1"/>
    <xf numFmtId="0" fontId="12" fillId="3" borderId="20" xfId="0" applyFont="1" applyFill="1" applyBorder="1"/>
    <xf numFmtId="0" fontId="12" fillId="3" borderId="21" xfId="0" applyFont="1" applyFill="1" applyBorder="1"/>
    <xf numFmtId="0" fontId="0" fillId="6" borderId="20" xfId="0" applyFill="1" applyBorder="1"/>
    <xf numFmtId="0" fontId="0" fillId="6" borderId="21" xfId="0" applyFill="1" applyBorder="1"/>
    <xf numFmtId="0" fontId="24" fillId="4" borderId="17" xfId="2" applyFont="1" applyFill="1" applyBorder="1"/>
    <xf numFmtId="0" fontId="2" fillId="3" borderId="20" xfId="0" applyFont="1" applyFill="1" applyBorder="1"/>
    <xf numFmtId="0" fontId="2" fillId="3" borderId="21" xfId="0" applyFont="1" applyFill="1" applyBorder="1"/>
    <xf numFmtId="0" fontId="6" fillId="6" borderId="21" xfId="0" applyFont="1" applyFill="1" applyBorder="1" applyAlignment="1">
      <alignment horizontal="fill"/>
    </xf>
    <xf numFmtId="0" fontId="6" fillId="6" borderId="20" xfId="0" applyFont="1" applyFill="1" applyBorder="1"/>
    <xf numFmtId="0" fontId="0" fillId="6" borderId="21" xfId="0" applyFill="1" applyBorder="1" applyAlignment="1">
      <alignment wrapText="1"/>
    </xf>
    <xf numFmtId="0" fontId="14" fillId="3" borderId="20" xfId="0" applyFont="1" applyFill="1" applyBorder="1"/>
    <xf numFmtId="0" fontId="6" fillId="6" borderId="21" xfId="0" applyFont="1" applyFill="1" applyBorder="1"/>
    <xf numFmtId="0" fontId="8" fillId="3" borderId="8" xfId="0" applyFont="1" applyFill="1" applyBorder="1"/>
    <xf numFmtId="0" fontId="10" fillId="6" borderId="0" xfId="2" applyFill="1" applyAlignment="1">
      <alignment horizontal="fill"/>
    </xf>
    <xf numFmtId="0" fontId="0" fillId="6" borderId="0" xfId="0" applyFill="1" applyAlignment="1">
      <alignment horizontal="left" vertical="top" wrapText="1"/>
    </xf>
    <xf numFmtId="0" fontId="10" fillId="6" borderId="0" xfId="2" applyFill="1" applyAlignment="1">
      <alignment horizontal="fill" wrapText="1"/>
    </xf>
    <xf numFmtId="0" fontId="32" fillId="6" borderId="0" xfId="2" applyFont="1" applyFill="1" applyAlignment="1">
      <alignment horizontal="fill"/>
    </xf>
    <xf numFmtId="0" fontId="8" fillId="3" borderId="25" xfId="0" applyFont="1" applyFill="1" applyBorder="1"/>
    <xf numFmtId="0" fontId="8" fillId="3" borderId="26" xfId="0" applyFont="1" applyFill="1" applyBorder="1"/>
    <xf numFmtId="0" fontId="0" fillId="6" borderId="20" xfId="0" applyFill="1" applyBorder="1" applyAlignment="1">
      <alignment vertical="top"/>
    </xf>
    <xf numFmtId="0" fontId="0" fillId="6" borderId="27" xfId="0" applyFill="1" applyBorder="1"/>
    <xf numFmtId="0" fontId="6" fillId="6" borderId="20" xfId="0" applyFont="1" applyFill="1" applyBorder="1" applyAlignment="1">
      <alignment vertical="top"/>
    </xf>
    <xf numFmtId="0" fontId="1" fillId="6" borderId="21" xfId="0" applyFont="1" applyFill="1" applyBorder="1"/>
    <xf numFmtId="0" fontId="10" fillId="6" borderId="21" xfId="2" applyFill="1" applyBorder="1"/>
    <xf numFmtId="0" fontId="8" fillId="6" borderId="21" xfId="0" applyFont="1" applyFill="1" applyBorder="1"/>
    <xf numFmtId="0" fontId="17" fillId="4" borderId="17" xfId="0" applyFont="1" applyFill="1" applyBorder="1"/>
    <xf numFmtId="0" fontId="25" fillId="4" borderId="18" xfId="0" applyFont="1" applyFill="1" applyBorder="1" applyAlignment="1">
      <alignment horizontal="right"/>
    </xf>
    <xf numFmtId="0" fontId="25" fillId="4" borderId="18" xfId="0" applyFont="1" applyFill="1" applyBorder="1" applyAlignment="1">
      <alignment horizontal="left"/>
    </xf>
    <xf numFmtId="4" fontId="25" fillId="4" borderId="18" xfId="0" applyNumberFormat="1" applyFont="1" applyFill="1" applyBorder="1" applyAlignment="1">
      <alignment horizontal="right"/>
    </xf>
    <xf numFmtId="0" fontId="25" fillId="4" borderId="19" xfId="0" applyFont="1" applyFill="1" applyBorder="1"/>
    <xf numFmtId="0" fontId="20" fillId="4" borderId="20" xfId="0" applyFont="1" applyFill="1" applyBorder="1"/>
    <xf numFmtId="0" fontId="2" fillId="4" borderId="21" xfId="0" applyFont="1" applyFill="1" applyBorder="1"/>
    <xf numFmtId="0" fontId="20" fillId="4" borderId="21" xfId="0" applyFont="1" applyFill="1" applyBorder="1"/>
    <xf numFmtId="0" fontId="6" fillId="3" borderId="21" xfId="0" applyFont="1" applyFill="1" applyBorder="1" applyAlignment="1">
      <alignment horizontal="fill"/>
    </xf>
    <xf numFmtId="0" fontId="6" fillId="4" borderId="21" xfId="0" applyFont="1" applyFill="1" applyBorder="1"/>
    <xf numFmtId="0" fontId="6" fillId="3" borderId="21" xfId="0" applyFont="1" applyFill="1" applyBorder="1"/>
    <xf numFmtId="0" fontId="17" fillId="4" borderId="20" xfId="0" applyFont="1" applyFill="1" applyBorder="1"/>
    <xf numFmtId="0" fontId="8" fillId="4" borderId="20" xfId="0" applyFont="1" applyFill="1" applyBorder="1"/>
    <xf numFmtId="0" fontId="0" fillId="4" borderId="21" xfId="0" applyFill="1" applyBorder="1"/>
    <xf numFmtId="0" fontId="8" fillId="4" borderId="21" xfId="0" applyFont="1" applyFill="1" applyBorder="1"/>
    <xf numFmtId="0" fontId="0" fillId="6" borderId="21" xfId="0" applyFill="1" applyBorder="1" applyAlignment="1">
      <alignment horizontal="fill"/>
    </xf>
    <xf numFmtId="2" fontId="0" fillId="6" borderId="21" xfId="0" applyNumberFormat="1" applyFill="1" applyBorder="1" applyAlignment="1">
      <alignment horizontal="fill"/>
    </xf>
    <xf numFmtId="0" fontId="0" fillId="6" borderId="22" xfId="0" applyFill="1" applyBorder="1"/>
    <xf numFmtId="0" fontId="20" fillId="4" borderId="17" xfId="0" applyFont="1" applyFill="1" applyBorder="1"/>
    <xf numFmtId="0" fontId="6" fillId="6" borderId="28" xfId="0" applyFont="1" applyFill="1" applyBorder="1"/>
    <xf numFmtId="0" fontId="0" fillId="5" borderId="29" xfId="0" applyFill="1" applyBorder="1" applyProtection="1">
      <protection locked="0"/>
    </xf>
    <xf numFmtId="0" fontId="6" fillId="6" borderId="30" xfId="0" applyFont="1" applyFill="1" applyBorder="1"/>
    <xf numFmtId="0" fontId="8" fillId="4" borderId="18" xfId="0" applyFont="1" applyFill="1" applyBorder="1"/>
    <xf numFmtId="0" fontId="2" fillId="4" borderId="20" xfId="0" applyFont="1" applyFill="1" applyBorder="1"/>
    <xf numFmtId="0" fontId="0" fillId="3" borderId="21" xfId="0" applyFill="1" applyBorder="1"/>
    <xf numFmtId="0" fontId="2" fillId="3" borderId="20" xfId="0" applyFont="1" applyFill="1" applyBorder="1" applyAlignment="1">
      <alignment wrapText="1"/>
    </xf>
    <xf numFmtId="1" fontId="6" fillId="6" borderId="21" xfId="0" applyNumberFormat="1" applyFont="1" applyFill="1" applyBorder="1"/>
    <xf numFmtId="1" fontId="0" fillId="6" borderId="21" xfId="0" applyNumberFormat="1" applyFill="1" applyBorder="1"/>
    <xf numFmtId="0" fontId="13" fillId="4" borderId="21" xfId="0" applyFont="1" applyFill="1" applyBorder="1"/>
    <xf numFmtId="0" fontId="6" fillId="3" borderId="20" xfId="0" applyFont="1" applyFill="1" applyBorder="1"/>
    <xf numFmtId="0" fontId="6" fillId="6" borderId="20" xfId="0" applyFont="1" applyFill="1" applyBorder="1" applyAlignment="1">
      <alignment horizontal="left"/>
    </xf>
    <xf numFmtId="0" fontId="6" fillId="6" borderId="22" xfId="0" applyFont="1" applyFill="1" applyBorder="1"/>
    <xf numFmtId="0" fontId="6" fillId="6" borderId="23" xfId="0" applyFont="1" applyFill="1" applyBorder="1"/>
    <xf numFmtId="0" fontId="6" fillId="6" borderId="24" xfId="0" applyFont="1" applyFill="1" applyBorder="1"/>
    <xf numFmtId="0" fontId="20" fillId="4" borderId="18" xfId="0" applyFont="1" applyFill="1" applyBorder="1"/>
    <xf numFmtId="0" fontId="8" fillId="4" borderId="19" xfId="0" applyFont="1" applyFill="1" applyBorder="1"/>
    <xf numFmtId="0" fontId="10" fillId="3" borderId="20" xfId="2" applyFill="1" applyBorder="1"/>
    <xf numFmtId="0" fontId="6" fillId="6" borderId="20" xfId="2" applyFont="1" applyFill="1" applyBorder="1"/>
    <xf numFmtId="0" fontId="1" fillId="6" borderId="20" xfId="0" applyFont="1" applyFill="1" applyBorder="1"/>
    <xf numFmtId="0" fontId="10" fillId="4" borderId="20" xfId="2" applyFill="1" applyBorder="1"/>
    <xf numFmtId="0" fontId="10" fillId="6" borderId="20" xfId="2" applyFill="1" applyBorder="1"/>
    <xf numFmtId="0" fontId="32" fillId="4" borderId="20" xfId="2" applyFont="1" applyFill="1" applyBorder="1"/>
    <xf numFmtId="0" fontId="32" fillId="3" borderId="20" xfId="2" applyFont="1" applyFill="1" applyBorder="1"/>
    <xf numFmtId="0" fontId="6" fillId="3" borderId="20" xfId="2" applyFont="1" applyFill="1" applyBorder="1"/>
    <xf numFmtId="0" fontId="0" fillId="3" borderId="20" xfId="0" applyFill="1" applyBorder="1"/>
    <xf numFmtId="0" fontId="1" fillId="3" borderId="20" xfId="0" applyFont="1" applyFill="1" applyBorder="1"/>
    <xf numFmtId="0" fontId="1" fillId="6" borderId="20" xfId="2" applyFont="1" applyFill="1" applyBorder="1"/>
    <xf numFmtId="0" fontId="13" fillId="4" borderId="20" xfId="0" applyFont="1" applyFill="1" applyBorder="1"/>
    <xf numFmtId="0" fontId="0" fillId="4" borderId="20" xfId="0" applyFill="1" applyBorder="1"/>
    <xf numFmtId="168" fontId="6" fillId="3" borderId="20" xfId="0" applyNumberFormat="1" applyFont="1" applyFill="1" applyBorder="1"/>
    <xf numFmtId="168" fontId="6" fillId="3" borderId="21" xfId="0" applyNumberFormat="1" applyFont="1" applyFill="1" applyBorder="1"/>
    <xf numFmtId="0" fontId="1" fillId="3" borderId="20" xfId="2" applyFont="1" applyFill="1" applyBorder="1"/>
    <xf numFmtId="0" fontId="30" fillId="6" borderId="20" xfId="2" applyFont="1" applyFill="1" applyBorder="1"/>
    <xf numFmtId="0" fontId="30" fillId="3" borderId="20" xfId="2" applyFont="1" applyFill="1" applyBorder="1"/>
    <xf numFmtId="0" fontId="10" fillId="6" borderId="22" xfId="2" applyFill="1" applyBorder="1"/>
    <xf numFmtId="0" fontId="8" fillId="4" borderId="17" xfId="0" applyFont="1" applyFill="1" applyBorder="1"/>
    <xf numFmtId="0" fontId="0" fillId="6" borderId="28" xfId="0" applyFill="1" applyBorder="1"/>
    <xf numFmtId="0" fontId="0" fillId="6" borderId="30" xfId="0" applyFill="1" applyBorder="1"/>
    <xf numFmtId="0" fontId="2" fillId="4" borderId="33" xfId="0" applyFont="1" applyFill="1" applyBorder="1"/>
    <xf numFmtId="0" fontId="2" fillId="4" borderId="34" xfId="0" applyFont="1" applyFill="1" applyBorder="1"/>
    <xf numFmtId="0" fontId="2" fillId="4" borderId="35" xfId="0" applyFont="1" applyFill="1" applyBorder="1"/>
    <xf numFmtId="0" fontId="2" fillId="3" borderId="36" xfId="0" applyFont="1" applyFill="1" applyBorder="1"/>
    <xf numFmtId="0" fontId="2" fillId="3" borderId="37" xfId="0" applyFont="1" applyFill="1" applyBorder="1"/>
    <xf numFmtId="0" fontId="2" fillId="4" borderId="18" xfId="0" applyFont="1" applyFill="1" applyBorder="1"/>
    <xf numFmtId="0" fontId="2" fillId="4" borderId="21" xfId="0" applyFont="1" applyFill="1" applyBorder="1" applyAlignment="1">
      <alignment horizontal="center"/>
    </xf>
    <xf numFmtId="9" fontId="0" fillId="6" borderId="21" xfId="0" applyNumberFormat="1" applyFill="1" applyBorder="1"/>
    <xf numFmtId="0" fontId="0" fillId="6" borderId="23" xfId="0" applyFill="1" applyBorder="1"/>
    <xf numFmtId="0" fontId="0" fillId="6" borderId="24" xfId="0" applyFill="1" applyBorder="1"/>
    <xf numFmtId="0" fontId="36" fillId="3" borderId="21" xfId="0" applyFont="1" applyFill="1" applyBorder="1"/>
    <xf numFmtId="0" fontId="21" fillId="4" borderId="20" xfId="2" applyFont="1" applyFill="1" applyBorder="1"/>
    <xf numFmtId="14" fontId="0" fillId="6" borderId="23" xfId="0" applyNumberFormat="1" applyFill="1" applyBorder="1"/>
    <xf numFmtId="0" fontId="6" fillId="4" borderId="18" xfId="0" applyFont="1" applyFill="1" applyBorder="1"/>
    <xf numFmtId="0" fontId="33" fillId="4" borderId="20" xfId="2" applyFont="1" applyFill="1" applyBorder="1"/>
    <xf numFmtId="0" fontId="37" fillId="3" borderId="20" xfId="2" applyFont="1" applyFill="1" applyBorder="1"/>
    <xf numFmtId="0" fontId="1" fillId="4" borderId="20" xfId="0" applyFont="1" applyFill="1" applyBorder="1"/>
    <xf numFmtId="0" fontId="34" fillId="4" borderId="20" xfId="2" applyFont="1" applyFill="1" applyBorder="1"/>
    <xf numFmtId="9" fontId="0" fillId="6" borderId="21" xfId="4" applyFont="1" applyFill="1" applyBorder="1"/>
    <xf numFmtId="9" fontId="0" fillId="3" borderId="21" xfId="4" applyFont="1" applyFill="1" applyBorder="1"/>
    <xf numFmtId="0" fontId="2" fillId="6" borderId="20" xfId="0" applyFont="1" applyFill="1" applyBorder="1"/>
    <xf numFmtId="0" fontId="14" fillId="6" borderId="20" xfId="0" applyFont="1" applyFill="1" applyBorder="1"/>
    <xf numFmtId="9" fontId="6" fillId="6" borderId="21" xfId="4" applyFont="1" applyFill="1" applyBorder="1"/>
    <xf numFmtId="9" fontId="2" fillId="3" borderId="21" xfId="4" applyFont="1" applyFill="1" applyBorder="1"/>
    <xf numFmtId="0" fontId="0" fillId="4" borderId="19" xfId="0" applyFill="1" applyBorder="1" applyAlignment="1">
      <alignment readingOrder="1"/>
    </xf>
    <xf numFmtId="0" fontId="8" fillId="4" borderId="21" xfId="0" applyFont="1" applyFill="1" applyBorder="1" applyAlignment="1">
      <alignment readingOrder="1"/>
    </xf>
    <xf numFmtId="9" fontId="0" fillId="6" borderId="21" xfId="4" applyFont="1" applyFill="1" applyBorder="1" applyAlignment="1">
      <alignment readingOrder="1"/>
    </xf>
    <xf numFmtId="9" fontId="0" fillId="3" borderId="21" xfId="4" applyFont="1" applyFill="1" applyBorder="1" applyAlignment="1">
      <alignment readingOrder="1"/>
    </xf>
    <xf numFmtId="9" fontId="13" fillId="4" borderId="21" xfId="4" applyFont="1" applyFill="1" applyBorder="1" applyAlignment="1">
      <alignment readingOrder="1"/>
    </xf>
    <xf numFmtId="0" fontId="0" fillId="6" borderId="21" xfId="0" applyFill="1" applyBorder="1" applyAlignment="1">
      <alignment readingOrder="1"/>
    </xf>
    <xf numFmtId="9" fontId="8" fillId="4" borderId="21" xfId="4" applyFont="1" applyFill="1" applyBorder="1" applyAlignment="1">
      <alignment readingOrder="1"/>
    </xf>
    <xf numFmtId="9" fontId="2" fillId="3" borderId="21" xfId="4" applyFont="1" applyFill="1" applyBorder="1" applyAlignment="1">
      <alignment readingOrder="1"/>
    </xf>
    <xf numFmtId="9" fontId="2" fillId="6" borderId="21" xfId="4" applyFont="1" applyFill="1" applyBorder="1" applyAlignment="1">
      <alignment readingOrder="1"/>
    </xf>
    <xf numFmtId="9" fontId="1" fillId="6" borderId="21" xfId="4" applyFont="1" applyFill="1" applyBorder="1" applyAlignment="1">
      <alignment readingOrder="1"/>
    </xf>
    <xf numFmtId="9" fontId="0" fillId="6" borderId="24" xfId="4" applyFont="1" applyFill="1" applyBorder="1" applyAlignment="1">
      <alignment readingOrder="1"/>
    </xf>
    <xf numFmtId="0" fontId="5" fillId="3" borderId="20" xfId="0" applyFont="1" applyFill="1" applyBorder="1"/>
    <xf numFmtId="0" fontId="2" fillId="3" borderId="21" xfId="0" applyFont="1" applyFill="1" applyBorder="1" applyAlignment="1">
      <alignment readingOrder="1"/>
    </xf>
    <xf numFmtId="10" fontId="0" fillId="6" borderId="39" xfId="4" applyNumberFormat="1" applyFont="1" applyFill="1" applyBorder="1"/>
    <xf numFmtId="9" fontId="0" fillId="0" borderId="0" xfId="4" applyFont="1" applyAlignment="1">
      <alignment horizontal="fill"/>
    </xf>
    <xf numFmtId="0" fontId="2" fillId="4" borderId="19" xfId="0" applyFont="1" applyFill="1" applyBorder="1"/>
    <xf numFmtId="9" fontId="13" fillId="4" borderId="21" xfId="4" applyFont="1" applyFill="1" applyBorder="1"/>
    <xf numFmtId="9" fontId="8" fillId="4" borderId="21" xfId="4" applyFont="1" applyFill="1" applyBorder="1"/>
    <xf numFmtId="10" fontId="0" fillId="3" borderId="26" xfId="4" applyNumberFormat="1" applyFont="1" applyFill="1" applyBorder="1"/>
    <xf numFmtId="0" fontId="2" fillId="3" borderId="26" xfId="0" applyFont="1" applyFill="1" applyBorder="1"/>
    <xf numFmtId="0" fontId="2" fillId="3" borderId="21" xfId="0" applyFont="1" applyFill="1" applyBorder="1" applyAlignment="1">
      <alignment horizontal="center" wrapText="1"/>
    </xf>
    <xf numFmtId="10" fontId="0" fillId="6" borderId="41" xfId="4" applyNumberFormat="1" applyFont="1" applyFill="1" applyBorder="1"/>
    <xf numFmtId="10" fontId="0" fillId="6" borderId="42" xfId="4" applyNumberFormat="1" applyFont="1" applyFill="1" applyBorder="1"/>
    <xf numFmtId="0" fontId="24" fillId="4" borderId="17" xfId="0" applyFont="1" applyFill="1" applyBorder="1"/>
    <xf numFmtId="3" fontId="0" fillId="6" borderId="21" xfId="0" applyNumberFormat="1" applyFill="1" applyBorder="1"/>
    <xf numFmtId="0" fontId="3" fillId="4" borderId="17" xfId="0" applyFont="1" applyFill="1" applyBorder="1" applyAlignment="1">
      <alignment horizontal="left"/>
    </xf>
    <xf numFmtId="0" fontId="8" fillId="4" borderId="20" xfId="0" applyFont="1" applyFill="1" applyBorder="1" applyAlignment="1">
      <alignment horizontal="left"/>
    </xf>
    <xf numFmtId="0" fontId="2" fillId="3" borderId="20" xfId="0" applyFont="1" applyFill="1" applyBorder="1" applyAlignment="1">
      <alignment horizontal="left"/>
    </xf>
    <xf numFmtId="0" fontId="0" fillId="6" borderId="20" xfId="0" applyFill="1" applyBorder="1" applyAlignment="1">
      <alignment horizontal="left"/>
    </xf>
    <xf numFmtId="2" fontId="0" fillId="6" borderId="21" xfId="0" applyNumberFormat="1" applyFill="1" applyBorder="1"/>
    <xf numFmtId="4" fontId="0" fillId="3" borderId="21" xfId="0" applyNumberFormat="1" applyFill="1" applyBorder="1"/>
    <xf numFmtId="4" fontId="0" fillId="6" borderId="21" xfId="0" applyNumberFormat="1" applyFill="1" applyBorder="1"/>
    <xf numFmtId="3" fontId="6" fillId="6" borderId="21" xfId="0" applyNumberFormat="1" applyFont="1" applyFill="1" applyBorder="1"/>
    <xf numFmtId="0" fontId="0" fillId="6" borderId="30" xfId="0" applyFill="1" applyBorder="1" applyAlignment="1">
      <alignment horizontal="left"/>
    </xf>
    <xf numFmtId="0" fontId="0" fillId="5" borderId="45" xfId="0" applyFill="1" applyBorder="1" applyProtection="1">
      <protection locked="0"/>
    </xf>
    <xf numFmtId="0" fontId="3" fillId="4" borderId="18" xfId="0" applyFont="1" applyFill="1" applyBorder="1" applyAlignment="1">
      <alignment horizontal="left"/>
    </xf>
    <xf numFmtId="0" fontId="24" fillId="4" borderId="20" xfId="0" applyFont="1" applyFill="1" applyBorder="1" applyAlignment="1">
      <alignment horizontal="left"/>
    </xf>
    <xf numFmtId="0" fontId="0" fillId="3" borderId="21" xfId="0" applyFill="1" applyBorder="1" applyAlignment="1">
      <alignment horizontal="left"/>
    </xf>
    <xf numFmtId="3" fontId="0" fillId="4" borderId="21" xfId="0" applyNumberFormat="1" applyFill="1" applyBorder="1"/>
    <xf numFmtId="2" fontId="6" fillId="3" borderId="21" xfId="0" applyNumberFormat="1" applyFont="1" applyFill="1" applyBorder="1"/>
    <xf numFmtId="0" fontId="14" fillId="3" borderId="20" xfId="0" applyFont="1" applyFill="1" applyBorder="1" applyAlignment="1">
      <alignment horizontal="left"/>
    </xf>
    <xf numFmtId="0" fontId="6" fillId="6" borderId="22" xfId="0" applyFont="1" applyFill="1" applyBorder="1" applyAlignment="1">
      <alignment horizontal="left"/>
    </xf>
    <xf numFmtId="2" fontId="0" fillId="6" borderId="23" xfId="0" applyNumberFormat="1" applyFill="1" applyBorder="1"/>
    <xf numFmtId="0" fontId="2" fillId="6" borderId="23" xfId="0" applyFont="1" applyFill="1" applyBorder="1"/>
    <xf numFmtId="2" fontId="0" fillId="6" borderId="42" xfId="0" applyNumberFormat="1" applyFill="1" applyBorder="1"/>
    <xf numFmtId="0" fontId="0" fillId="5" borderId="31" xfId="0" applyFill="1" applyBorder="1" applyProtection="1">
      <protection locked="0"/>
    </xf>
    <xf numFmtId="2" fontId="0" fillId="3" borderId="21" xfId="0" applyNumberFormat="1" applyFill="1" applyBorder="1"/>
    <xf numFmtId="2" fontId="0" fillId="4" borderId="21" xfId="0" applyNumberFormat="1" applyFill="1" applyBorder="1"/>
    <xf numFmtId="4" fontId="0" fillId="5" borderId="32" xfId="0" applyNumberFormat="1" applyFill="1" applyBorder="1"/>
    <xf numFmtId="0" fontId="0" fillId="6" borderId="46" xfId="0" applyFill="1" applyBorder="1"/>
    <xf numFmtId="0" fontId="2" fillId="3" borderId="25" xfId="0" applyFont="1" applyFill="1" applyBorder="1"/>
    <xf numFmtId="0" fontId="2" fillId="3" borderId="25" xfId="0" applyFont="1" applyFill="1" applyBorder="1" applyAlignment="1">
      <alignment horizontal="center"/>
    </xf>
    <xf numFmtId="0" fontId="2" fillId="3" borderId="26" xfId="0" applyFont="1" applyFill="1" applyBorder="1" applyAlignment="1">
      <alignment horizontal="center"/>
    </xf>
    <xf numFmtId="0" fontId="3" fillId="4" borderId="47" xfId="0" applyFont="1" applyFill="1" applyBorder="1"/>
    <xf numFmtId="0" fontId="2" fillId="4" borderId="27" xfId="0" applyFont="1" applyFill="1" applyBorder="1"/>
    <xf numFmtId="0" fontId="2" fillId="3" borderId="45" xfId="0" applyFont="1" applyFill="1" applyBorder="1"/>
    <xf numFmtId="2" fontId="2" fillId="3" borderId="45" xfId="0" applyNumberFormat="1" applyFont="1" applyFill="1" applyBorder="1"/>
    <xf numFmtId="0" fontId="26" fillId="4" borderId="18" xfId="0" applyFont="1" applyFill="1" applyBorder="1"/>
    <xf numFmtId="0" fontId="5" fillId="6" borderId="20" xfId="0" applyFont="1" applyFill="1" applyBorder="1"/>
    <xf numFmtId="0" fontId="2" fillId="6" borderId="21" xfId="0" applyFont="1" applyFill="1" applyBorder="1"/>
    <xf numFmtId="0" fontId="3" fillId="4" borderId="18" xfId="0" applyFont="1" applyFill="1" applyBorder="1"/>
    <xf numFmtId="0" fontId="3" fillId="4" borderId="19" xfId="0" applyFont="1" applyFill="1" applyBorder="1"/>
    <xf numFmtId="0" fontId="5" fillId="3" borderId="21" xfId="0" applyFont="1" applyFill="1" applyBorder="1"/>
    <xf numFmtId="0" fontId="38" fillId="3" borderId="21" xfId="0" applyFont="1" applyFill="1" applyBorder="1" applyAlignment="1">
      <alignment horizontal="center"/>
    </xf>
    <xf numFmtId="0" fontId="5" fillId="3" borderId="21" xfId="0" applyFont="1" applyFill="1" applyBorder="1" applyAlignment="1">
      <alignment horizontal="center"/>
    </xf>
    <xf numFmtId="0" fontId="0" fillId="6" borderId="21" xfId="0" applyFill="1" applyBorder="1" applyAlignment="1">
      <alignment horizontal="center"/>
    </xf>
    <xf numFmtId="2" fontId="6" fillId="6" borderId="23" xfId="0" applyNumberFormat="1" applyFont="1" applyFill="1" applyBorder="1"/>
    <xf numFmtId="0" fontId="10" fillId="6" borderId="0" xfId="2" applyFill="1" applyAlignment="1">
      <alignment wrapText="1"/>
    </xf>
    <xf numFmtId="0" fontId="1" fillId="3" borderId="20" xfId="0" applyFont="1" applyFill="1" applyBorder="1" applyAlignment="1">
      <alignment horizontal="fill"/>
    </xf>
    <xf numFmtId="0" fontId="39" fillId="7" borderId="0" xfId="0" applyFont="1" applyFill="1"/>
    <xf numFmtId="0" fontId="6" fillId="4" borderId="19" xfId="0" applyFont="1" applyFill="1" applyBorder="1"/>
    <xf numFmtId="0" fontId="14" fillId="4" borderId="18" xfId="0" applyFont="1" applyFill="1" applyBorder="1"/>
    <xf numFmtId="0" fontId="20" fillId="4" borderId="19" xfId="0" applyFont="1" applyFill="1" applyBorder="1"/>
    <xf numFmtId="0" fontId="14" fillId="3" borderId="21" xfId="0" applyFont="1" applyFill="1" applyBorder="1"/>
    <xf numFmtId="3" fontId="6" fillId="3" borderId="0" xfId="0" applyNumberFormat="1" applyFont="1" applyFill="1"/>
    <xf numFmtId="9" fontId="6" fillId="3" borderId="21" xfId="4" applyFont="1" applyFill="1" applyBorder="1"/>
    <xf numFmtId="9" fontId="6" fillId="6" borderId="27" xfId="4" applyFont="1" applyFill="1" applyBorder="1"/>
    <xf numFmtId="9" fontId="14" fillId="3" borderId="21" xfId="4" applyFont="1" applyFill="1" applyBorder="1"/>
    <xf numFmtId="43" fontId="6" fillId="0" borderId="0" xfId="3" applyFont="1"/>
    <xf numFmtId="9" fontId="6" fillId="0" borderId="0" xfId="4" applyFont="1"/>
    <xf numFmtId="172" fontId="6" fillId="0" borderId="0" xfId="3" applyNumberFormat="1" applyFont="1"/>
    <xf numFmtId="2" fontId="6" fillId="6" borderId="7" xfId="0" applyNumberFormat="1" applyFont="1" applyFill="1" applyBorder="1" applyAlignment="1">
      <alignment horizontal="right"/>
    </xf>
    <xf numFmtId="2" fontId="11" fillId="5" borderId="9" xfId="0" applyNumberFormat="1" applyFont="1" applyFill="1" applyBorder="1" applyAlignment="1" applyProtection="1">
      <alignment horizontal="right"/>
      <protection hidden="1"/>
    </xf>
    <xf numFmtId="2" fontId="0" fillId="5" borderId="2" xfId="0" applyNumberFormat="1" applyFill="1" applyBorder="1"/>
    <xf numFmtId="0" fontId="14" fillId="4" borderId="19" xfId="0" applyFont="1" applyFill="1" applyBorder="1"/>
    <xf numFmtId="0" fontId="20" fillId="4" borderId="19" xfId="0" applyFont="1" applyFill="1" applyBorder="1" applyAlignment="1">
      <alignment horizontal="fill"/>
    </xf>
    <xf numFmtId="0" fontId="24" fillId="4" borderId="20" xfId="0" applyFont="1" applyFill="1" applyBorder="1"/>
    <xf numFmtId="0" fontId="14" fillId="4" borderId="20" xfId="0" applyFont="1" applyFill="1" applyBorder="1"/>
    <xf numFmtId="0" fontId="14" fillId="4" borderId="21" xfId="0" applyFont="1" applyFill="1" applyBorder="1" applyAlignment="1">
      <alignment horizontal="fill"/>
    </xf>
    <xf numFmtId="2" fontId="6" fillId="0" borderId="0" xfId="0" applyNumberFormat="1" applyFont="1"/>
    <xf numFmtId="0" fontId="6" fillId="6" borderId="4" xfId="0" applyFont="1" applyFill="1" applyBorder="1"/>
    <xf numFmtId="14" fontId="6" fillId="6" borderId="23" xfId="0" applyNumberFormat="1" applyFont="1" applyFill="1" applyBorder="1"/>
    <xf numFmtId="0" fontId="0" fillId="3" borderId="20" xfId="0" applyFill="1" applyBorder="1" applyAlignment="1">
      <alignment horizontal="fill"/>
    </xf>
    <xf numFmtId="0" fontId="24" fillId="4" borderId="18" xfId="0" applyFont="1" applyFill="1" applyBorder="1"/>
    <xf numFmtId="2" fontId="6" fillId="6" borderId="8" xfId="0" applyNumberFormat="1" applyFont="1" applyFill="1" applyBorder="1"/>
    <xf numFmtId="4" fontId="6" fillId="6" borderId="7" xfId="0" applyNumberFormat="1" applyFont="1" applyFill="1" applyBorder="1" applyAlignment="1">
      <alignment horizontal="right"/>
    </xf>
    <xf numFmtId="4" fontId="14" fillId="6" borderId="0" xfId="0" applyNumberFormat="1" applyFont="1" applyFill="1"/>
    <xf numFmtId="0" fontId="0" fillId="6" borderId="23" xfId="0" applyFill="1" applyBorder="1" applyAlignment="1">
      <alignment horizontal="fill"/>
    </xf>
    <xf numFmtId="0" fontId="1" fillId="6" borderId="23" xfId="0" applyFont="1" applyFill="1" applyBorder="1"/>
    <xf numFmtId="10" fontId="0" fillId="5" borderId="14" xfId="0" applyNumberFormat="1" applyFill="1" applyBorder="1"/>
    <xf numFmtId="10" fontId="6" fillId="6" borderId="9" xfId="4" applyNumberFormat="1" applyFont="1" applyFill="1" applyBorder="1"/>
    <xf numFmtId="0" fontId="2" fillId="3" borderId="8" xfId="0" applyFont="1" applyFill="1" applyBorder="1" applyAlignment="1">
      <alignment horizontal="right"/>
    </xf>
    <xf numFmtId="1" fontId="0" fillId="0" borderId="0" xfId="0" applyNumberFormat="1" applyAlignment="1">
      <alignment horizontal="right"/>
    </xf>
    <xf numFmtId="0" fontId="0" fillId="3" borderId="12" xfId="0" applyFill="1" applyBorder="1"/>
    <xf numFmtId="4" fontId="0" fillId="0" borderId="0" xfId="0" applyNumberFormat="1"/>
    <xf numFmtId="0" fontId="0" fillId="4" borderId="27" xfId="0" applyFill="1" applyBorder="1"/>
    <xf numFmtId="0" fontId="0" fillId="6" borderId="28" xfId="0" applyFill="1" applyBorder="1" applyAlignment="1">
      <alignment horizontal="left"/>
    </xf>
    <xf numFmtId="2" fontId="0" fillId="3" borderId="7" xfId="0" applyNumberFormat="1" applyFill="1" applyBorder="1"/>
    <xf numFmtId="2" fontId="2" fillId="3" borderId="7" xfId="0" applyNumberFormat="1" applyFont="1" applyFill="1" applyBorder="1"/>
    <xf numFmtId="2" fontId="2" fillId="3" borderId="27" xfId="0" applyNumberFormat="1" applyFont="1" applyFill="1" applyBorder="1"/>
    <xf numFmtId="0" fontId="2" fillId="6" borderId="22" xfId="0" applyFont="1" applyFill="1" applyBorder="1"/>
    <xf numFmtId="9" fontId="0" fillId="6" borderId="0" xfId="4" applyFont="1" applyFill="1" applyAlignment="1">
      <alignment horizontal="left"/>
    </xf>
    <xf numFmtId="0" fontId="6" fillId="6" borderId="31" xfId="0" applyFont="1" applyFill="1" applyBorder="1" applyAlignment="1">
      <alignment horizontal="fill"/>
    </xf>
    <xf numFmtId="178" fontId="6" fillId="0" borderId="0" xfId="0" applyNumberFormat="1" applyFont="1"/>
    <xf numFmtId="0" fontId="32" fillId="6" borderId="20" xfId="5" applyFill="1" applyBorder="1"/>
    <xf numFmtId="166" fontId="6" fillId="6" borderId="0" xfId="0" applyNumberFormat="1" applyFont="1" applyFill="1" applyAlignment="1">
      <alignment horizontal="left"/>
    </xf>
    <xf numFmtId="2" fontId="10" fillId="6" borderId="0" xfId="2" applyNumberFormat="1" applyFill="1" applyAlignment="1">
      <alignment horizontal="fill"/>
    </xf>
    <xf numFmtId="0" fontId="8" fillId="4" borderId="57" xfId="0" applyFont="1" applyFill="1" applyBorder="1"/>
    <xf numFmtId="0" fontId="8" fillId="4" borderId="58" xfId="0" applyFont="1" applyFill="1" applyBorder="1"/>
    <xf numFmtId="0" fontId="13" fillId="4" borderId="58" xfId="0" applyFont="1" applyFill="1" applyBorder="1"/>
    <xf numFmtId="0" fontId="13" fillId="4" borderId="59" xfId="0" applyFont="1" applyFill="1" applyBorder="1"/>
    <xf numFmtId="0" fontId="0" fillId="6" borderId="3" xfId="0" applyFill="1" applyBorder="1" applyAlignment="1">
      <alignment vertical="center"/>
    </xf>
    <xf numFmtId="0" fontId="0" fillId="6" borderId="0" xfId="0" applyFill="1" applyAlignment="1">
      <alignment vertical="center"/>
    </xf>
    <xf numFmtId="0" fontId="0" fillId="6" borderId="4" xfId="0" applyFill="1" applyBorder="1" applyAlignment="1">
      <alignment horizontal="right"/>
    </xf>
    <xf numFmtId="2" fontId="0" fillId="6" borderId="4" xfId="0" applyNumberFormat="1" applyFill="1" applyBorder="1"/>
    <xf numFmtId="0" fontId="0" fillId="6" borderId="5" xfId="0" applyFill="1" applyBorder="1"/>
    <xf numFmtId="0" fontId="0" fillId="6" borderId="6" xfId="0" applyFill="1" applyBorder="1"/>
    <xf numFmtId="2" fontId="0" fillId="6" borderId="0" xfId="0" applyNumberFormat="1" applyFill="1" applyAlignment="1">
      <alignment wrapText="1"/>
    </xf>
    <xf numFmtId="0" fontId="6" fillId="0" borderId="20" xfId="0" applyFont="1" applyBorder="1"/>
    <xf numFmtId="0" fontId="0" fillId="40" borderId="0" xfId="0" applyFill="1"/>
    <xf numFmtId="0" fontId="0" fillId="40" borderId="0" xfId="3" applyNumberFormat="1" applyFont="1" applyFill="1"/>
    <xf numFmtId="0" fontId="0" fillId="40" borderId="21" xfId="3" applyNumberFormat="1" applyFont="1" applyFill="1" applyBorder="1"/>
    <xf numFmtId="3" fontId="0" fillId="43" borderId="9" xfId="0" applyNumberFormat="1" applyFill="1" applyBorder="1" applyAlignment="1">
      <alignment horizontal="center" vertical="center" wrapText="1"/>
    </xf>
    <xf numFmtId="0" fontId="0" fillId="6" borderId="0" xfId="0" applyFill="1" applyAlignment="1">
      <alignment horizontal="center"/>
    </xf>
    <xf numFmtId="0" fontId="2" fillId="6" borderId="0" xfId="0" applyFont="1" applyFill="1" applyAlignment="1">
      <alignment horizontal="center"/>
    </xf>
    <xf numFmtId="0" fontId="2" fillId="6" borderId="21" xfId="0" applyFont="1" applyFill="1" applyBorder="1" applyAlignment="1">
      <alignment horizontal="center"/>
    </xf>
    <xf numFmtId="0" fontId="0" fillId="6" borderId="21" xfId="0" applyFill="1" applyBorder="1" applyAlignment="1">
      <alignment horizontal="right"/>
    </xf>
    <xf numFmtId="0" fontId="54" fillId="0" borderId="0" xfId="0" applyFont="1"/>
    <xf numFmtId="0" fontId="54" fillId="6" borderId="0" xfId="0" applyFont="1" applyFill="1"/>
    <xf numFmtId="0" fontId="55" fillId="6" borderId="0" xfId="0" applyFont="1" applyFill="1"/>
    <xf numFmtId="0" fontId="0" fillId="6" borderId="4" xfId="0" applyFill="1" applyBorder="1" applyAlignment="1">
      <alignment vertical="center"/>
    </xf>
    <xf numFmtId="0" fontId="0" fillId="6" borderId="21" xfId="0" applyFill="1" applyBorder="1" applyAlignment="1">
      <alignment vertical="center"/>
    </xf>
    <xf numFmtId="2" fontId="0" fillId="6" borderId="24" xfId="0" applyNumberFormat="1" applyFill="1" applyBorder="1"/>
    <xf numFmtId="0" fontId="54" fillId="6" borderId="21" xfId="0" applyFont="1" applyFill="1" applyBorder="1"/>
    <xf numFmtId="0" fontId="0" fillId="6" borderId="0" xfId="0" applyFill="1" applyAlignment="1">
      <alignment horizontal="left" vertical="center"/>
    </xf>
    <xf numFmtId="179" fontId="0" fillId="6" borderId="9" xfId="0" applyNumberFormat="1" applyFill="1" applyBorder="1" applyAlignment="1">
      <alignment horizontal="left"/>
    </xf>
    <xf numFmtId="2" fontId="0" fillId="44" borderId="9" xfId="0" applyNumberFormat="1" applyFill="1" applyBorder="1"/>
    <xf numFmtId="9" fontId="0" fillId="44" borderId="9" xfId="4" applyFont="1" applyFill="1" applyBorder="1"/>
    <xf numFmtId="49" fontId="0" fillId="0" borderId="0" xfId="0" applyNumberFormat="1"/>
    <xf numFmtId="49" fontId="6" fillId="0" borderId="0" xfId="0" applyNumberFormat="1" applyFont="1"/>
    <xf numFmtId="179" fontId="0" fillId="5" borderId="9" xfId="0" applyNumberFormat="1" applyFill="1" applyBorder="1"/>
    <xf numFmtId="2" fontId="0" fillId="5" borderId="11" xfId="0" applyNumberFormat="1" applyFill="1" applyBorder="1"/>
    <xf numFmtId="180" fontId="0" fillId="5" borderId="9" xfId="0" applyNumberFormat="1" applyFill="1" applyBorder="1"/>
    <xf numFmtId="172" fontId="0" fillId="6" borderId="0" xfId="0" applyNumberFormat="1" applyFill="1"/>
    <xf numFmtId="3" fontId="4" fillId="43" borderId="14" xfId="0" applyNumberFormat="1" applyFont="1" applyFill="1" applyBorder="1" applyAlignment="1">
      <alignment horizontal="left" wrapText="1"/>
    </xf>
    <xf numFmtId="3" fontId="4" fillId="43" borderId="9" xfId="0" applyNumberFormat="1" applyFont="1" applyFill="1" applyBorder="1" applyAlignment="1">
      <alignment horizontal="left" wrapText="1"/>
    </xf>
    <xf numFmtId="179" fontId="4" fillId="5" borderId="9" xfId="0" applyNumberFormat="1" applyFont="1" applyFill="1" applyBorder="1" applyAlignment="1">
      <alignment horizontal="right"/>
    </xf>
    <xf numFmtId="180" fontId="4" fillId="5" borderId="9" xfId="0" applyNumberFormat="1" applyFont="1" applyFill="1" applyBorder="1" applyAlignment="1">
      <alignment horizontal="right"/>
    </xf>
    <xf numFmtId="179" fontId="0" fillId="6" borderId="14" xfId="0" applyNumberFormat="1" applyFill="1" applyBorder="1" applyAlignment="1">
      <alignment horizontal="left"/>
    </xf>
    <xf numFmtId="0" fontId="2" fillId="42" borderId="9" xfId="0" applyFont="1" applyFill="1" applyBorder="1" applyAlignment="1">
      <alignment horizontal="center" vertical="center" wrapText="1"/>
    </xf>
    <xf numFmtId="0" fontId="2" fillId="42" borderId="13" xfId="0" applyFont="1" applyFill="1" applyBorder="1" applyAlignment="1">
      <alignment horizontal="center" vertical="center" wrapText="1"/>
    </xf>
    <xf numFmtId="0" fontId="56" fillId="6" borderId="0" xfId="0" applyFont="1" applyFill="1"/>
    <xf numFmtId="0" fontId="56" fillId="6" borderId="12" xfId="0" applyFont="1" applyFill="1" applyBorder="1"/>
    <xf numFmtId="3" fontId="4" fillId="5" borderId="9" xfId="0" applyNumberFormat="1" applyFont="1" applyFill="1" applyBorder="1" applyAlignment="1">
      <alignment horizontal="right" wrapText="1"/>
    </xf>
    <xf numFmtId="0" fontId="0" fillId="42" borderId="17" xfId="0" applyFill="1" applyBorder="1"/>
    <xf numFmtId="0" fontId="0" fillId="42" borderId="18" xfId="0" applyFill="1" applyBorder="1"/>
    <xf numFmtId="0" fontId="0" fillId="42" borderId="19" xfId="0" applyFill="1" applyBorder="1"/>
    <xf numFmtId="0" fontId="0" fillId="42" borderId="20" xfId="0" applyFill="1" applyBorder="1"/>
    <xf numFmtId="0" fontId="0" fillId="42" borderId="0" xfId="0" applyFill="1"/>
    <xf numFmtId="0" fontId="0" fillId="42" borderId="21" xfId="0" applyFill="1" applyBorder="1"/>
    <xf numFmtId="0" fontId="3" fillId="42" borderId="18" xfId="0" applyFont="1" applyFill="1" applyBorder="1"/>
    <xf numFmtId="0" fontId="25" fillId="42" borderId="18" xfId="0" applyFont="1" applyFill="1" applyBorder="1"/>
    <xf numFmtId="0" fontId="3" fillId="42" borderId="18" xfId="0" applyFont="1" applyFill="1" applyBorder="1" applyAlignment="1">
      <alignment horizontal="center"/>
    </xf>
    <xf numFmtId="179" fontId="4" fillId="5" borderId="9" xfId="3" applyNumberFormat="1" applyFont="1" applyFill="1" applyBorder="1" applyAlignment="1">
      <alignment horizontal="right"/>
    </xf>
    <xf numFmtId="179" fontId="0" fillId="5" borderId="11" xfId="3" applyNumberFormat="1" applyFont="1" applyFill="1" applyBorder="1"/>
    <xf numFmtId="179" fontId="0" fillId="5" borderId="9" xfId="3" applyNumberFormat="1" applyFont="1" applyFill="1" applyBorder="1"/>
    <xf numFmtId="0" fontId="3" fillId="42" borderId="0" xfId="0" applyFont="1" applyFill="1"/>
    <xf numFmtId="181" fontId="0" fillId="5" borderId="6" xfId="0" applyNumberFormat="1" applyFill="1" applyBorder="1"/>
    <xf numFmtId="181" fontId="0" fillId="5" borderId="14" xfId="0" applyNumberFormat="1" applyFill="1" applyBorder="1"/>
    <xf numFmtId="9" fontId="0" fillId="5" borderId="6" xfId="0" applyNumberFormat="1" applyFill="1" applyBorder="1"/>
    <xf numFmtId="9" fontId="0" fillId="5" borderId="14" xfId="0" applyNumberFormat="1" applyFill="1" applyBorder="1"/>
    <xf numFmtId="0" fontId="57" fillId="6" borderId="0" xfId="0" applyFont="1" applyFill="1"/>
    <xf numFmtId="2" fontId="0" fillId="2" borderId="0" xfId="0" applyNumberFormat="1" applyFill="1"/>
    <xf numFmtId="1" fontId="0" fillId="0" borderId="0" xfId="0" applyNumberFormat="1"/>
    <xf numFmtId="1" fontId="0" fillId="4" borderId="18" xfId="0" applyNumberFormat="1" applyFill="1" applyBorder="1"/>
    <xf numFmtId="1" fontId="0" fillId="2" borderId="0" xfId="0" applyNumberFormat="1" applyFill="1"/>
    <xf numFmtId="1" fontId="1" fillId="2" borderId="0" xfId="0" applyNumberFormat="1" applyFont="1" applyFill="1"/>
    <xf numFmtId="16" fontId="6" fillId="6" borderId="20" xfId="0" applyNumberFormat="1" applyFont="1" applyFill="1" applyBorder="1"/>
    <xf numFmtId="0" fontId="24" fillId="4" borderId="47" xfId="0" applyFont="1" applyFill="1" applyBorder="1"/>
    <xf numFmtId="182" fontId="6" fillId="0" borderId="0" xfId="0" applyNumberFormat="1" applyFont="1" applyAlignment="1">
      <alignment horizontal="right"/>
    </xf>
    <xf numFmtId="2" fontId="6" fillId="0" borderId="0" xfId="0" applyNumberFormat="1" applyFont="1" applyAlignment="1">
      <alignment horizontal="right"/>
    </xf>
    <xf numFmtId="0" fontId="59" fillId="6" borderId="20" xfId="2" applyFont="1" applyFill="1" applyBorder="1"/>
    <xf numFmtId="0" fontId="1" fillId="6" borderId="21" xfId="0" applyFont="1" applyFill="1" applyBorder="1" applyAlignment="1">
      <alignment horizontal="fill"/>
    </xf>
    <xf numFmtId="0" fontId="6" fillId="0" borderId="0" xfId="0" applyFont="1" applyAlignment="1">
      <alignment horizontal="right"/>
    </xf>
    <xf numFmtId="0" fontId="1" fillId="0" borderId="0" xfId="0" applyFont="1" applyAlignment="1">
      <alignment horizontal="right"/>
    </xf>
    <xf numFmtId="4" fontId="6" fillId="6" borderId="0" xfId="0" applyNumberFormat="1" applyFont="1" applyFill="1"/>
    <xf numFmtId="166" fontId="6" fillId="6" borderId="0" xfId="0" applyNumberFormat="1" applyFont="1" applyFill="1"/>
    <xf numFmtId="2" fontId="6" fillId="6" borderId="21" xfId="0" applyNumberFormat="1" applyFont="1" applyFill="1" applyBorder="1"/>
    <xf numFmtId="2" fontId="58" fillId="0" borderId="0" xfId="0" applyNumberFormat="1" applyFont="1" applyAlignment="1" applyProtection="1">
      <alignment horizontal="right"/>
      <protection hidden="1"/>
    </xf>
    <xf numFmtId="2" fontId="1" fillId="0" borderId="0" xfId="0" applyNumberFormat="1" applyFont="1" applyAlignment="1">
      <alignment horizontal="right"/>
    </xf>
    <xf numFmtId="182" fontId="1" fillId="0" borderId="0" xfId="0" applyNumberFormat="1" applyFont="1" applyAlignment="1">
      <alignment horizontal="right"/>
    </xf>
    <xf numFmtId="177" fontId="1" fillId="0" borderId="0" xfId="0" applyNumberFormat="1" applyFont="1"/>
    <xf numFmtId="4" fontId="0" fillId="0" borderId="0" xfId="0" quotePrefix="1" applyNumberFormat="1"/>
    <xf numFmtId="0" fontId="14" fillId="3" borderId="20" xfId="0" applyFont="1" applyFill="1" applyBorder="1" applyAlignment="1">
      <alignment wrapText="1"/>
    </xf>
    <xf numFmtId="169" fontId="2" fillId="0" borderId="0" xfId="0" applyNumberFormat="1" applyFont="1"/>
    <xf numFmtId="183" fontId="23" fillId="0" borderId="0" xfId="0" applyNumberFormat="1" applyFont="1"/>
    <xf numFmtId="169" fontId="0" fillId="3" borderId="7" xfId="0" applyNumberFormat="1" applyFill="1" applyBorder="1"/>
    <xf numFmtId="169" fontId="0" fillId="3" borderId="12" xfId="0" applyNumberFormat="1" applyFill="1" applyBorder="1"/>
    <xf numFmtId="172" fontId="0" fillId="0" borderId="0" xfId="0" applyNumberFormat="1"/>
    <xf numFmtId="0" fontId="8" fillId="4" borderId="17" xfId="0" applyFont="1" applyFill="1" applyBorder="1" applyAlignment="1">
      <alignment horizontal="right"/>
    </xf>
    <xf numFmtId="3" fontId="0" fillId="0" borderId="0" xfId="0" applyNumberFormat="1" applyAlignment="1">
      <alignment horizontal="right"/>
    </xf>
    <xf numFmtId="0" fontId="35" fillId="0" borderId="0" xfId="0" applyFont="1" applyAlignment="1">
      <alignment horizontal="right"/>
    </xf>
    <xf numFmtId="0" fontId="14" fillId="0" borderId="0" xfId="0" applyFont="1" applyAlignment="1">
      <alignment horizontal="right"/>
    </xf>
    <xf numFmtId="0" fontId="23" fillId="0" borderId="0" xfId="0" applyFont="1" applyAlignment="1">
      <alignment horizontal="right"/>
    </xf>
    <xf numFmtId="170" fontId="0" fillId="0" borderId="0" xfId="4" quotePrefix="1" applyNumberFormat="1" applyFont="1" applyAlignment="1">
      <alignment horizontal="right"/>
    </xf>
    <xf numFmtId="170" fontId="0" fillId="0" borderId="0" xfId="4" applyNumberFormat="1" applyFont="1" applyAlignment="1">
      <alignment horizontal="right"/>
    </xf>
    <xf numFmtId="9" fontId="0" fillId="0" borderId="0" xfId="4" applyFont="1" applyAlignment="1">
      <alignment horizontal="right"/>
    </xf>
    <xf numFmtId="0" fontId="2" fillId="0" borderId="0" xfId="0" applyFont="1" applyAlignment="1">
      <alignment horizontal="right"/>
    </xf>
    <xf numFmtId="182" fontId="0" fillId="0" borderId="0" xfId="0" applyNumberFormat="1"/>
    <xf numFmtId="10" fontId="6" fillId="6" borderId="0" xfId="4" applyNumberFormat="1" applyFont="1" applyFill="1" applyBorder="1"/>
    <xf numFmtId="2" fontId="6" fillId="6" borderId="0" xfId="0" applyNumberFormat="1" applyFont="1" applyFill="1"/>
    <xf numFmtId="0" fontId="1" fillId="0" borderId="0" xfId="0" applyFont="1" applyAlignment="1">
      <alignment horizontal="left"/>
    </xf>
    <xf numFmtId="0" fontId="60" fillId="0" borderId="0" xfId="0" applyFont="1"/>
    <xf numFmtId="4" fontId="6" fillId="6" borderId="21" xfId="0" applyNumberFormat="1" applyFont="1" applyFill="1" applyBorder="1"/>
    <xf numFmtId="4" fontId="6" fillId="6" borderId="24" xfId="0" applyNumberFormat="1" applyFont="1" applyFill="1" applyBorder="1"/>
    <xf numFmtId="0" fontId="25" fillId="0" borderId="0" xfId="0" applyFont="1" applyAlignment="1">
      <alignment horizontal="right"/>
    </xf>
    <xf numFmtId="168" fontId="0" fillId="0" borderId="0" xfId="0" applyNumberFormat="1" applyAlignment="1">
      <alignment horizontal="right"/>
    </xf>
    <xf numFmtId="4" fontId="0" fillId="3" borderId="0" xfId="0" applyNumberFormat="1" applyFill="1" applyAlignment="1">
      <alignment horizontal="right"/>
    </xf>
    <xf numFmtId="0" fontId="61" fillId="0" borderId="0" xfId="0" applyFont="1" applyAlignment="1">
      <alignment horizontal="right"/>
    </xf>
    <xf numFmtId="0" fontId="61" fillId="0" borderId="0" xfId="0" applyFont="1"/>
    <xf numFmtId="0" fontId="7" fillId="19" borderId="0" xfId="26" applyAlignment="1">
      <alignment horizontal="left"/>
    </xf>
    <xf numFmtId="3" fontId="7" fillId="19" borderId="0" xfId="26" applyNumberFormat="1" applyAlignment="1">
      <alignment horizontal="right"/>
    </xf>
    <xf numFmtId="0" fontId="7" fillId="19" borderId="21" xfId="26" applyBorder="1" applyAlignment="1">
      <alignment horizontal="fill"/>
    </xf>
    <xf numFmtId="0" fontId="8" fillId="19" borderId="20" xfId="26" applyFont="1" applyBorder="1"/>
    <xf numFmtId="168" fontId="61" fillId="0" borderId="0" xfId="0" applyNumberFormat="1" applyFont="1" applyAlignment="1">
      <alignment horizontal="right"/>
    </xf>
    <xf numFmtId="171" fontId="61" fillId="0" borderId="0" xfId="3" applyNumberFormat="1" applyFont="1" applyAlignment="1">
      <alignment horizontal="right"/>
    </xf>
    <xf numFmtId="175" fontId="61" fillId="0" borderId="0" xfId="3" applyNumberFormat="1" applyFont="1" applyAlignment="1">
      <alignment horizontal="right"/>
    </xf>
    <xf numFmtId="43" fontId="61" fillId="0" borderId="0" xfId="3" applyFont="1" applyAlignment="1">
      <alignment horizontal="right"/>
    </xf>
    <xf numFmtId="0" fontId="60" fillId="2" borderId="0" xfId="0" applyFont="1" applyFill="1"/>
    <xf numFmtId="168" fontId="0" fillId="0" borderId="0" xfId="0" applyNumberFormat="1"/>
    <xf numFmtId="0" fontId="23" fillId="2" borderId="0" xfId="0" applyFont="1" applyFill="1"/>
    <xf numFmtId="2" fontId="6" fillId="3" borderId="7" xfId="0" applyNumberFormat="1" applyFont="1" applyFill="1" applyBorder="1"/>
    <xf numFmtId="0" fontId="14" fillId="4" borderId="7" xfId="0" applyFont="1" applyFill="1" applyBorder="1"/>
    <xf numFmtId="0" fontId="14" fillId="3" borderId="8" xfId="0" applyFont="1" applyFill="1" applyBorder="1" applyAlignment="1">
      <alignment horizontal="right"/>
    </xf>
    <xf numFmtId="2" fontId="14" fillId="3" borderId="12" xfId="0" applyNumberFormat="1" applyFont="1" applyFill="1" applyBorder="1"/>
    <xf numFmtId="177" fontId="14" fillId="0" borderId="0" xfId="0" applyNumberFormat="1" applyFont="1"/>
    <xf numFmtId="169" fontId="14" fillId="0" borderId="0" xfId="0" applyNumberFormat="1" applyFont="1"/>
    <xf numFmtId="184" fontId="6" fillId="6" borderId="0" xfId="0" applyNumberFormat="1" applyFont="1" applyFill="1"/>
    <xf numFmtId="1" fontId="6" fillId="5" borderId="9" xfId="0" applyNumberFormat="1" applyFont="1" applyFill="1" applyBorder="1" applyAlignment="1">
      <alignment horizontal="right"/>
    </xf>
    <xf numFmtId="1" fontId="11" fillId="5" borderId="9" xfId="0" applyNumberFormat="1" applyFont="1" applyFill="1" applyBorder="1" applyAlignment="1" applyProtection="1">
      <alignment horizontal="right"/>
      <protection hidden="1"/>
    </xf>
    <xf numFmtId="1" fontId="11" fillId="5" borderId="9" xfId="0" applyNumberFormat="1" applyFont="1" applyFill="1" applyBorder="1" applyAlignment="1" applyProtection="1">
      <alignment horizontal="right"/>
      <protection locked="0"/>
    </xf>
    <xf numFmtId="2" fontId="11" fillId="5" borderId="13" xfId="0" applyNumberFormat="1" applyFont="1" applyFill="1" applyBorder="1" applyAlignment="1" applyProtection="1">
      <alignment horizontal="right"/>
      <protection hidden="1"/>
    </xf>
    <xf numFmtId="0" fontId="6" fillId="6" borderId="8" xfId="0" applyFont="1" applyFill="1" applyBorder="1"/>
    <xf numFmtId="2" fontId="6" fillId="5" borderId="9" xfId="0" applyNumberFormat="1" applyFont="1" applyFill="1" applyBorder="1" applyAlignment="1">
      <alignment horizontal="right"/>
    </xf>
    <xf numFmtId="168" fontId="6" fillId="5" borderId="9" xfId="0" applyNumberFormat="1" applyFont="1" applyFill="1" applyBorder="1" applyAlignment="1">
      <alignment horizontal="right"/>
    </xf>
    <xf numFmtId="4" fontId="6" fillId="5" borderId="1" xfId="0" applyNumberFormat="1" applyFont="1" applyFill="1" applyBorder="1"/>
    <xf numFmtId="2" fontId="11" fillId="5" borderId="9" xfId="0" applyNumberFormat="1" applyFont="1" applyFill="1" applyBorder="1" applyProtection="1">
      <protection hidden="1"/>
    </xf>
    <xf numFmtId="2" fontId="11" fillId="5" borderId="13" xfId="0" applyNumberFormat="1" applyFont="1" applyFill="1" applyBorder="1" applyProtection="1">
      <protection hidden="1"/>
    </xf>
    <xf numFmtId="169" fontId="6" fillId="5" borderId="9" xfId="0" applyNumberFormat="1" applyFont="1" applyFill="1" applyBorder="1"/>
    <xf numFmtId="167" fontId="0" fillId="5" borderId="9" xfId="0" applyNumberFormat="1" applyFill="1" applyBorder="1"/>
    <xf numFmtId="176" fontId="6" fillId="6" borderId="21" xfId="0" applyNumberFormat="1" applyFont="1" applyFill="1" applyBorder="1" applyAlignment="1">
      <alignment horizontal="center"/>
    </xf>
    <xf numFmtId="2" fontId="6" fillId="6" borderId="21" xfId="0" applyNumberFormat="1" applyFont="1" applyFill="1" applyBorder="1" applyAlignment="1">
      <alignment horizontal="fill"/>
    </xf>
    <xf numFmtId="0" fontId="62" fillId="6" borderId="20" xfId="0" applyFont="1" applyFill="1" applyBorder="1"/>
    <xf numFmtId="0" fontId="62" fillId="6" borderId="21" xfId="0" applyFont="1" applyFill="1" applyBorder="1" applyAlignment="1">
      <alignment horizontal="fill"/>
    </xf>
    <xf numFmtId="4" fontId="6" fillId="6" borderId="0" xfId="0" applyNumberFormat="1" applyFont="1" applyFill="1" applyAlignment="1">
      <alignment horizontal="left"/>
    </xf>
    <xf numFmtId="1" fontId="0" fillId="6" borderId="0" xfId="0" applyNumberFormat="1" applyFill="1" applyAlignment="1">
      <alignment horizontal="right"/>
    </xf>
    <xf numFmtId="0" fontId="59" fillId="6" borderId="22" xfId="2" applyFont="1" applyFill="1" applyBorder="1"/>
    <xf numFmtId="1" fontId="6" fillId="44" borderId="32" xfId="4" applyNumberFormat="1" applyFont="1" applyFill="1" applyBorder="1"/>
    <xf numFmtId="169" fontId="14" fillId="3" borderId="12" xfId="0" applyNumberFormat="1" applyFont="1" applyFill="1" applyBorder="1"/>
    <xf numFmtId="0" fontId="6" fillId="3" borderId="12" xfId="0" applyFont="1" applyFill="1" applyBorder="1"/>
    <xf numFmtId="9" fontId="6" fillId="6" borderId="0" xfId="0" applyNumberFormat="1" applyFont="1" applyFill="1" applyAlignment="1">
      <alignment horizontal="left"/>
    </xf>
    <xf numFmtId="174" fontId="6" fillId="6" borderId="9" xfId="0" applyNumberFormat="1" applyFont="1" applyFill="1" applyBorder="1" applyAlignment="1">
      <alignment horizontal="right"/>
    </xf>
    <xf numFmtId="174" fontId="6" fillId="6" borderId="9" xfId="0" applyNumberFormat="1" applyFont="1" applyFill="1" applyBorder="1"/>
    <xf numFmtId="0" fontId="0" fillId="6" borderId="20" xfId="0" quotePrefix="1" applyFill="1" applyBorder="1"/>
    <xf numFmtId="0" fontId="6" fillId="6" borderId="20" xfId="0" quotePrefix="1" applyFont="1" applyFill="1" applyBorder="1"/>
    <xf numFmtId="0" fontId="14" fillId="4" borderId="0" xfId="0" applyFont="1" applyFill="1" applyAlignment="1">
      <alignment horizontal="left"/>
    </xf>
    <xf numFmtId="4" fontId="14" fillId="4" borderId="0" xfId="0" applyNumberFormat="1" applyFont="1" applyFill="1" applyAlignment="1">
      <alignment horizontal="right"/>
    </xf>
    <xf numFmtId="4" fontId="14" fillId="4" borderId="0" xfId="0" applyNumberFormat="1" applyFont="1" applyFill="1" applyAlignment="1">
      <alignment horizontal="right" wrapText="1"/>
    </xf>
    <xf numFmtId="0" fontId="14" fillId="4" borderId="0" xfId="0" applyFont="1" applyFill="1" applyAlignment="1">
      <alignment horizontal="right"/>
    </xf>
    <xf numFmtId="184" fontId="6" fillId="3" borderId="0" xfId="0" applyNumberFormat="1" applyFont="1" applyFill="1" applyAlignment="1">
      <alignment horizontal="right"/>
    </xf>
    <xf numFmtId="0" fontId="65" fillId="3" borderId="20" xfId="0" applyFont="1" applyFill="1" applyBorder="1"/>
    <xf numFmtId="0" fontId="65" fillId="6" borderId="20" xfId="0" applyFont="1" applyFill="1" applyBorder="1"/>
    <xf numFmtId="184" fontId="6" fillId="3" borderId="0" xfId="0" applyNumberFormat="1" applyFont="1" applyFill="1"/>
    <xf numFmtId="184" fontId="65" fillId="6" borderId="0" xfId="0" applyNumberFormat="1" applyFont="1" applyFill="1"/>
    <xf numFmtId="184" fontId="65" fillId="3" borderId="0" xfId="0" applyNumberFormat="1" applyFont="1" applyFill="1"/>
    <xf numFmtId="0" fontId="6" fillId="2" borderId="0" xfId="0" applyFont="1" applyFill="1"/>
    <xf numFmtId="0" fontId="6" fillId="40" borderId="0" xfId="0" applyFont="1" applyFill="1" applyAlignment="1">
      <alignment horizontal="right"/>
    </xf>
    <xf numFmtId="0" fontId="21" fillId="2" borderId="0" xfId="0" applyFont="1" applyFill="1"/>
    <xf numFmtId="0" fontId="65" fillId="3" borderId="0" xfId="0" applyFont="1" applyFill="1" applyAlignment="1">
      <alignment horizontal="right"/>
    </xf>
    <xf numFmtId="0" fontId="65" fillId="3" borderId="21" xfId="0" applyFont="1" applyFill="1" applyBorder="1" applyAlignment="1">
      <alignment horizontal="fill"/>
    </xf>
    <xf numFmtId="0" fontId="13" fillId="2" borderId="0" xfId="0" applyFont="1" applyFill="1"/>
    <xf numFmtId="0" fontId="65" fillId="6" borderId="0" xfId="0" applyFont="1" applyFill="1" applyAlignment="1">
      <alignment horizontal="right"/>
    </xf>
    <xf numFmtId="0" fontId="65" fillId="40" borderId="0" xfId="0" applyFont="1" applyFill="1" applyAlignment="1">
      <alignment horizontal="right"/>
    </xf>
    <xf numFmtId="0" fontId="65" fillId="6" borderId="21" xfId="0" applyFont="1" applyFill="1" applyBorder="1" applyAlignment="1">
      <alignment horizontal="fill"/>
    </xf>
    <xf numFmtId="0" fontId="7" fillId="19" borderId="0" xfId="26" applyAlignment="1">
      <alignment horizontal="right"/>
    </xf>
    <xf numFmtId="169" fontId="6" fillId="3" borderId="0" xfId="0" applyNumberFormat="1" applyFont="1" applyFill="1"/>
    <xf numFmtId="0" fontId="65" fillId="3" borderId="0" xfId="0" applyFont="1" applyFill="1"/>
    <xf numFmtId="0" fontId="65" fillId="6" borderId="0" xfId="0" applyFont="1" applyFill="1"/>
    <xf numFmtId="0" fontId="7" fillId="19" borderId="0" xfId="26" applyAlignment="1">
      <alignment horizontal="right" wrapText="1"/>
    </xf>
    <xf numFmtId="10" fontId="7" fillId="19" borderId="0" xfId="26" applyNumberFormat="1" applyAlignment="1">
      <alignment horizontal="right" wrapText="1"/>
    </xf>
    <xf numFmtId="4" fontId="7" fillId="19" borderId="0" xfId="26" applyNumberFormat="1" applyAlignment="1">
      <alignment horizontal="right" wrapText="1"/>
    </xf>
    <xf numFmtId="0" fontId="66" fillId="8" borderId="16" xfId="0" applyFont="1" applyFill="1" applyBorder="1" applyAlignment="1">
      <alignment horizontal="center"/>
    </xf>
    <xf numFmtId="0" fontId="6" fillId="6" borderId="28" xfId="0" applyFont="1" applyFill="1" applyBorder="1" applyAlignment="1">
      <alignment horizontal="left"/>
    </xf>
    <xf numFmtId="0" fontId="6" fillId="6" borderId="30" xfId="0" applyFont="1" applyFill="1" applyBorder="1" applyAlignment="1">
      <alignment horizontal="left"/>
    </xf>
    <xf numFmtId="0" fontId="20" fillId="4" borderId="17" xfId="0" applyFont="1" applyFill="1" applyBorder="1" applyAlignment="1">
      <alignment horizontal="left"/>
    </xf>
    <xf numFmtId="0" fontId="0" fillId="0" borderId="18" xfId="0" applyBorder="1"/>
    <xf numFmtId="10" fontId="6" fillId="6" borderId="0" xfId="0" applyNumberFormat="1" applyFont="1" applyFill="1"/>
    <xf numFmtId="0" fontId="6" fillId="6" borderId="0" xfId="2" applyFont="1" applyFill="1" applyBorder="1"/>
    <xf numFmtId="1" fontId="6" fillId="6" borderId="13" xfId="0" applyNumberFormat="1" applyFont="1" applyFill="1" applyBorder="1"/>
    <xf numFmtId="0" fontId="6" fillId="5" borderId="9" xfId="0" quotePrefix="1" applyFont="1" applyFill="1" applyBorder="1" applyAlignment="1">
      <alignment horizontal="right"/>
    </xf>
    <xf numFmtId="1" fontId="6" fillId="3" borderId="0" xfId="0" applyNumberFormat="1" applyFont="1" applyFill="1" applyAlignment="1">
      <alignment horizontal="left"/>
    </xf>
    <xf numFmtId="3" fontId="0" fillId="3" borderId="12" xfId="0" applyNumberFormat="1" applyFill="1" applyBorder="1"/>
    <xf numFmtId="3" fontId="0" fillId="4" borderId="7" xfId="0" applyNumberFormat="1" applyFill="1" applyBorder="1"/>
    <xf numFmtId="3" fontId="6" fillId="5" borderId="13" xfId="0" applyNumberFormat="1" applyFont="1" applyFill="1" applyBorder="1"/>
    <xf numFmtId="1" fontId="0" fillId="44" borderId="9" xfId="0" applyNumberFormat="1" applyFill="1" applyBorder="1"/>
    <xf numFmtId="0" fontId="67" fillId="0" borderId="0" xfId="0" applyFont="1" applyAlignment="1">
      <alignment horizontal="right"/>
    </xf>
    <xf numFmtId="0" fontId="67" fillId="0" borderId="0" xfId="0" applyFont="1" applyAlignment="1">
      <alignment horizontal="right" shrinkToFit="1"/>
    </xf>
    <xf numFmtId="2" fontId="67" fillId="0" borderId="0" xfId="0" applyNumberFormat="1" applyFont="1" applyAlignment="1">
      <alignment horizontal="right" shrinkToFit="1"/>
    </xf>
    <xf numFmtId="0" fontId="67" fillId="6" borderId="0" xfId="0" applyFont="1" applyFill="1" applyAlignment="1">
      <alignment horizontal="right"/>
    </xf>
    <xf numFmtId="0" fontId="67" fillId="6" borderId="0" xfId="0" applyFont="1" applyFill="1" applyAlignment="1">
      <alignment horizontal="right" shrinkToFit="1"/>
    </xf>
    <xf numFmtId="2" fontId="67" fillId="6" borderId="0" xfId="0" applyNumberFormat="1" applyFont="1" applyFill="1" applyAlignment="1">
      <alignment horizontal="right" shrinkToFit="1"/>
    </xf>
    <xf numFmtId="3" fontId="67" fillId="0" borderId="0" xfId="0" applyNumberFormat="1" applyFont="1" applyAlignment="1">
      <alignment horizontal="right"/>
    </xf>
    <xf numFmtId="0" fontId="69" fillId="0" borderId="0" xfId="0" applyFont="1"/>
    <xf numFmtId="0" fontId="70" fillId="0" borderId="0" xfId="0" applyFont="1"/>
    <xf numFmtId="0" fontId="72" fillId="0" borderId="0" xfId="0" applyFont="1"/>
    <xf numFmtId="0" fontId="74" fillId="0" borderId="0" xfId="0" applyFont="1" applyAlignment="1">
      <alignment horizontal="right" shrinkToFit="1"/>
    </xf>
    <xf numFmtId="2" fontId="74" fillId="0" borderId="0" xfId="0" applyNumberFormat="1" applyFont="1" applyAlignment="1">
      <alignment horizontal="right" shrinkToFit="1"/>
    </xf>
    <xf numFmtId="0" fontId="74" fillId="6" borderId="0" xfId="0" applyFont="1" applyFill="1" applyAlignment="1">
      <alignment horizontal="right" shrinkToFit="1"/>
    </xf>
    <xf numFmtId="2" fontId="74" fillId="6" borderId="0" xfId="0" applyNumberFormat="1" applyFont="1" applyFill="1" applyAlignment="1">
      <alignment horizontal="right" shrinkToFit="1"/>
    </xf>
    <xf numFmtId="0" fontId="67" fillId="0" borderId="62" xfId="0" applyFont="1" applyBorder="1"/>
    <xf numFmtId="0" fontId="67" fillId="0" borderId="62" xfId="0" applyFont="1" applyBorder="1" applyAlignment="1">
      <alignment horizontal="center"/>
    </xf>
    <xf numFmtId="3" fontId="67" fillId="0" borderId="62" xfId="0" applyNumberFormat="1" applyFont="1" applyBorder="1"/>
    <xf numFmtId="0" fontId="67" fillId="6" borderId="62" xfId="0" applyFont="1" applyFill="1" applyBorder="1" applyAlignment="1">
      <alignment horizontal="center"/>
    </xf>
    <xf numFmtId="0" fontId="75" fillId="0" borderId="0" xfId="0" applyFont="1"/>
    <xf numFmtId="0" fontId="74" fillId="0" borderId="62" xfId="0" applyFont="1" applyBorder="1"/>
    <xf numFmtId="0" fontId="74" fillId="0" borderId="62" xfId="0" applyFont="1" applyBorder="1" applyAlignment="1">
      <alignment horizontal="center"/>
    </xf>
    <xf numFmtId="3" fontId="74" fillId="0" borderId="62" xfId="0" applyNumberFormat="1" applyFont="1" applyBorder="1"/>
    <xf numFmtId="3" fontId="74" fillId="0" borderId="0" xfId="0" applyNumberFormat="1" applyFont="1" applyAlignment="1">
      <alignment horizontal="right"/>
    </xf>
    <xf numFmtId="0" fontId="74" fillId="0" borderId="0" xfId="0" applyFont="1" applyAlignment="1">
      <alignment horizontal="right"/>
    </xf>
    <xf numFmtId="0" fontId="74" fillId="6" borderId="62" xfId="0" applyFont="1" applyFill="1" applyBorder="1" applyAlignment="1">
      <alignment horizontal="center"/>
    </xf>
    <xf numFmtId="0" fontId="74" fillId="6" borderId="0" xfId="0" applyFont="1" applyFill="1" applyAlignment="1">
      <alignment horizontal="right"/>
    </xf>
    <xf numFmtId="0" fontId="67" fillId="6" borderId="62" xfId="0" applyFont="1" applyFill="1" applyBorder="1"/>
    <xf numFmtId="1" fontId="67" fillId="6" borderId="62" xfId="0" applyNumberFormat="1" applyFont="1" applyFill="1" applyBorder="1"/>
    <xf numFmtId="0" fontId="67" fillId="2" borderId="0" xfId="0" applyFont="1" applyFill="1"/>
    <xf numFmtId="0" fontId="67" fillId="2" borderId="0" xfId="0" applyFont="1" applyFill="1" applyAlignment="1">
      <alignment horizontal="center"/>
    </xf>
    <xf numFmtId="1" fontId="67" fillId="2" borderId="0" xfId="0" applyNumberFormat="1" applyFont="1" applyFill="1"/>
    <xf numFmtId="0" fontId="67" fillId="2" borderId="0" xfId="0" applyFont="1" applyFill="1" applyAlignment="1">
      <alignment horizontal="right"/>
    </xf>
    <xf numFmtId="0" fontId="67" fillId="2" borderId="0" xfId="0" applyFont="1" applyFill="1" applyAlignment="1">
      <alignment horizontal="right" shrinkToFit="1"/>
    </xf>
    <xf numFmtId="2" fontId="67" fillId="2" borderId="0" xfId="0" applyNumberFormat="1" applyFont="1" applyFill="1" applyAlignment="1">
      <alignment horizontal="right" shrinkToFit="1"/>
    </xf>
    <xf numFmtId="0" fontId="36" fillId="2" borderId="0" xfId="0" applyFont="1" applyFill="1"/>
    <xf numFmtId="0" fontId="69" fillId="2" borderId="0" xfId="0" applyFont="1" applyFill="1"/>
    <xf numFmtId="0" fontId="74" fillId="6" borderId="62" xfId="0" applyFont="1" applyFill="1" applyBorder="1"/>
    <xf numFmtId="3" fontId="74" fillId="6" borderId="62" xfId="0" applyNumberFormat="1" applyFont="1" applyFill="1" applyBorder="1"/>
    <xf numFmtId="0" fontId="71" fillId="45" borderId="0" xfId="0" applyFont="1" applyFill="1" applyAlignment="1">
      <alignment horizontal="left"/>
    </xf>
    <xf numFmtId="0" fontId="73" fillId="45" borderId="0" xfId="0" applyFont="1" applyFill="1" applyAlignment="1">
      <alignment horizontal="left"/>
    </xf>
    <xf numFmtId="0" fontId="6" fillId="40" borderId="20" xfId="0" applyFont="1" applyFill="1" applyBorder="1"/>
    <xf numFmtId="0" fontId="0" fillId="40" borderId="20" xfId="0" applyFill="1" applyBorder="1" applyAlignment="1">
      <alignment vertical="top"/>
    </xf>
    <xf numFmtId="0" fontId="0" fillId="40" borderId="17" xfId="0" applyFill="1" applyBorder="1"/>
    <xf numFmtId="0" fontId="0" fillId="40" borderId="18" xfId="0" applyFill="1" applyBorder="1"/>
    <xf numFmtId="0" fontId="0" fillId="40" borderId="19" xfId="0" applyFill="1" applyBorder="1"/>
    <xf numFmtId="0" fontId="0" fillId="40" borderId="20" xfId="0" applyFill="1" applyBorder="1"/>
    <xf numFmtId="0" fontId="0" fillId="40" borderId="21" xfId="0" applyFill="1" applyBorder="1"/>
    <xf numFmtId="0" fontId="0" fillId="40" borderId="22" xfId="0" applyFill="1" applyBorder="1"/>
    <xf numFmtId="0" fontId="0" fillId="40" borderId="23" xfId="0" applyFill="1" applyBorder="1"/>
    <xf numFmtId="0" fontId="0" fillId="40" borderId="24" xfId="0" applyFill="1" applyBorder="1"/>
    <xf numFmtId="0" fontId="0" fillId="41" borderId="9" xfId="0" applyFill="1" applyBorder="1"/>
    <xf numFmtId="0" fontId="6" fillId="40" borderId="28" xfId="0" applyFont="1" applyFill="1" applyBorder="1"/>
    <xf numFmtId="0" fontId="0" fillId="0" borderId="17" xfId="0" applyBorder="1"/>
    <xf numFmtId="0" fontId="0" fillId="0" borderId="20" xfId="0" applyBorder="1"/>
    <xf numFmtId="0" fontId="0" fillId="0" borderId="21" xfId="0" applyBorder="1"/>
    <xf numFmtId="0" fontId="0" fillId="0" borderId="22" xfId="0" applyBorder="1"/>
    <xf numFmtId="0" fontId="0" fillId="0" borderId="23" xfId="0" applyBorder="1"/>
    <xf numFmtId="0" fontId="0" fillId="0" borderId="24" xfId="0" applyBorder="1"/>
    <xf numFmtId="0" fontId="2" fillId="40" borderId="18" xfId="0" applyFont="1" applyFill="1" applyBorder="1"/>
    <xf numFmtId="185" fontId="0" fillId="0" borderId="0" xfId="0" applyNumberFormat="1"/>
    <xf numFmtId="0" fontId="10" fillId="0" borderId="0" xfId="2"/>
    <xf numFmtId="185" fontId="0" fillId="40" borderId="18" xfId="0" applyNumberFormat="1" applyFill="1" applyBorder="1"/>
    <xf numFmtId="2" fontId="0" fillId="40" borderId="18" xfId="0" applyNumberFormat="1" applyFill="1" applyBorder="1"/>
    <xf numFmtId="2" fontId="0" fillId="0" borderId="21" xfId="0" applyNumberFormat="1" applyBorder="1"/>
    <xf numFmtId="0" fontId="53" fillId="0" borderId="0" xfId="0" applyFont="1"/>
    <xf numFmtId="16" fontId="0" fillId="0" borderId="0" xfId="0" applyNumberFormat="1"/>
    <xf numFmtId="186" fontId="0" fillId="0" borderId="0" xfId="0" applyNumberFormat="1"/>
    <xf numFmtId="0" fontId="0" fillId="47" borderId="0" xfId="0" applyFill="1"/>
    <xf numFmtId="0" fontId="0" fillId="41" borderId="29" xfId="0" applyFill="1" applyBorder="1" applyProtection="1">
      <protection locked="0"/>
    </xf>
    <xf numFmtId="0" fontId="6" fillId="41" borderId="29" xfId="0" applyFont="1" applyFill="1" applyBorder="1"/>
    <xf numFmtId="0" fontId="0" fillId="41" borderId="32" xfId="0" applyFill="1" applyBorder="1"/>
    <xf numFmtId="0" fontId="6" fillId="41" borderId="31" xfId="0" applyFont="1" applyFill="1" applyBorder="1"/>
    <xf numFmtId="0" fontId="6" fillId="41" borderId="13" xfId="0" applyFont="1" applyFill="1" applyBorder="1"/>
    <xf numFmtId="3" fontId="0" fillId="41" borderId="9" xfId="0" applyNumberFormat="1" applyFill="1" applyBorder="1"/>
    <xf numFmtId="9" fontId="6" fillId="41" borderId="9" xfId="0" applyNumberFormat="1" applyFont="1" applyFill="1" applyBorder="1"/>
    <xf numFmtId="173" fontId="0" fillId="41" borderId="9" xfId="3" applyNumberFormat="1" applyFont="1" applyFill="1" applyBorder="1"/>
    <xf numFmtId="1" fontId="0" fillId="41" borderId="9" xfId="3" applyNumberFormat="1" applyFont="1" applyFill="1" applyBorder="1"/>
    <xf numFmtId="9" fontId="0" fillId="41" borderId="9" xfId="0" applyNumberFormat="1" applyFill="1" applyBorder="1"/>
    <xf numFmtId="1" fontId="0" fillId="41" borderId="9" xfId="4" applyNumberFormat="1" applyFont="1" applyFill="1" applyBorder="1"/>
    <xf numFmtId="0" fontId="0" fillId="44" borderId="31" xfId="0" applyFill="1" applyBorder="1"/>
    <xf numFmtId="0" fontId="0" fillId="44" borderId="9" xfId="0" applyFill="1" applyBorder="1"/>
    <xf numFmtId="170" fontId="0" fillId="44" borderId="9" xfId="4" applyNumberFormat="1" applyFont="1" applyFill="1" applyBorder="1"/>
    <xf numFmtId="170" fontId="11" fillId="44" borderId="9" xfId="4" applyNumberFormat="1" applyFont="1" applyFill="1" applyBorder="1" applyAlignment="1" applyProtection="1">
      <alignment horizontal="right"/>
      <protection hidden="1"/>
    </xf>
    <xf numFmtId="1" fontId="6" fillId="44" borderId="13" xfId="0" applyNumberFormat="1" applyFont="1" applyFill="1" applyBorder="1"/>
    <xf numFmtId="2" fontId="6" fillId="44" borderId="32" xfId="0" applyNumberFormat="1" applyFont="1" applyFill="1" applyBorder="1"/>
    <xf numFmtId="1" fontId="0" fillId="44" borderId="9" xfId="0" quotePrefix="1" applyNumberFormat="1" applyFill="1" applyBorder="1"/>
    <xf numFmtId="0" fontId="6" fillId="44" borderId="9" xfId="0" applyFont="1" applyFill="1" applyBorder="1"/>
    <xf numFmtId="9" fontId="0" fillId="44" borderId="9" xfId="0" applyNumberFormat="1" applyFill="1" applyBorder="1"/>
    <xf numFmtId="173" fontId="0" fillId="44" borderId="9" xfId="3" applyNumberFormat="1" applyFont="1" applyFill="1" applyBorder="1"/>
    <xf numFmtId="10" fontId="0" fillId="44" borderId="14" xfId="0" applyNumberFormat="1" applyFill="1" applyBorder="1"/>
    <xf numFmtId="1" fontId="0" fillId="44" borderId="9" xfId="3" applyNumberFormat="1" applyFont="1" applyFill="1" applyBorder="1"/>
    <xf numFmtId="9" fontId="7" fillId="44" borderId="9" xfId="4" applyFill="1" applyBorder="1"/>
    <xf numFmtId="10" fontId="6" fillId="44" borderId="9" xfId="4" applyNumberFormat="1" applyFont="1" applyFill="1" applyBorder="1"/>
    <xf numFmtId="0" fontId="6" fillId="41" borderId="29" xfId="0" applyFont="1" applyFill="1" applyBorder="1" applyProtection="1">
      <protection locked="0"/>
    </xf>
    <xf numFmtId="0" fontId="6" fillId="44" borderId="31" xfId="0" applyFont="1" applyFill="1" applyBorder="1"/>
    <xf numFmtId="3" fontId="6" fillId="44" borderId="9" xfId="0" applyNumberFormat="1" applyFont="1" applyFill="1" applyBorder="1"/>
    <xf numFmtId="9" fontId="6" fillId="44" borderId="29" xfId="4" applyFont="1" applyFill="1" applyBorder="1"/>
    <xf numFmtId="10" fontId="6" fillId="44" borderId="29" xfId="4" applyNumberFormat="1" applyFont="1" applyFill="1" applyBorder="1"/>
    <xf numFmtId="3" fontId="6" fillId="44" borderId="29" xfId="0" applyNumberFormat="1" applyFont="1" applyFill="1" applyBorder="1"/>
    <xf numFmtId="3" fontId="6" fillId="44" borderId="32" xfId="0" applyNumberFormat="1" applyFont="1" applyFill="1" applyBorder="1"/>
    <xf numFmtId="9" fontId="6" fillId="44" borderId="31" xfId="4" applyFont="1" applyFill="1" applyBorder="1"/>
    <xf numFmtId="3" fontId="0" fillId="44" borderId="9" xfId="0" applyNumberFormat="1" applyFill="1" applyBorder="1"/>
    <xf numFmtId="10" fontId="0" fillId="44" borderId="9" xfId="4" applyNumberFormat="1" applyFont="1" applyFill="1" applyBorder="1"/>
    <xf numFmtId="10" fontId="0" fillId="44" borderId="29" xfId="4" applyNumberFormat="1" applyFont="1" applyFill="1" applyBorder="1"/>
    <xf numFmtId="3" fontId="2" fillId="44" borderId="9" xfId="0" applyNumberFormat="1" applyFont="1" applyFill="1" applyBorder="1"/>
    <xf numFmtId="3" fontId="2" fillId="44" borderId="29" xfId="0" applyNumberFormat="1" applyFont="1" applyFill="1" applyBorder="1"/>
    <xf numFmtId="10" fontId="2" fillId="44" borderId="9" xfId="4" applyNumberFormat="1" applyFont="1" applyFill="1" applyBorder="1"/>
    <xf numFmtId="10" fontId="2" fillId="44" borderId="29" xfId="4" applyNumberFormat="1" applyFont="1" applyFill="1" applyBorder="1"/>
    <xf numFmtId="3" fontId="0" fillId="44" borderId="14" xfId="0" applyNumberFormat="1" applyFill="1" applyBorder="1"/>
    <xf numFmtId="174" fontId="0" fillId="44" borderId="14" xfId="0" applyNumberFormat="1" applyFill="1" applyBorder="1"/>
    <xf numFmtId="10" fontId="0" fillId="44" borderId="40" xfId="4" applyNumberFormat="1" applyFont="1" applyFill="1" applyBorder="1"/>
    <xf numFmtId="174" fontId="0" fillId="44" borderId="9" xfId="0" applyNumberFormat="1" applyFill="1" applyBorder="1"/>
    <xf numFmtId="3" fontId="0" fillId="44" borderId="32" xfId="0" applyNumberFormat="1" applyFill="1" applyBorder="1"/>
    <xf numFmtId="174" fontId="0" fillId="44" borderId="32" xfId="0" applyNumberFormat="1" applyFill="1" applyBorder="1"/>
    <xf numFmtId="10" fontId="0" fillId="44" borderId="32" xfId="4" applyNumberFormat="1" applyFont="1" applyFill="1" applyBorder="1"/>
    <xf numFmtId="10" fontId="0" fillId="44" borderId="31" xfId="4" applyNumberFormat="1" applyFont="1" applyFill="1" applyBorder="1"/>
    <xf numFmtId="9" fontId="0" fillId="44" borderId="10" xfId="4" applyFont="1" applyFill="1" applyBorder="1"/>
    <xf numFmtId="9" fontId="0" fillId="44" borderId="32" xfId="4" applyFont="1" applyFill="1" applyBorder="1"/>
    <xf numFmtId="9" fontId="0" fillId="44" borderId="38" xfId="4" applyFont="1" applyFill="1" applyBorder="1"/>
    <xf numFmtId="0" fontId="6" fillId="44" borderId="29" xfId="0" applyFont="1" applyFill="1" applyBorder="1"/>
    <xf numFmtId="2" fontId="6" fillId="44" borderId="9" xfId="0" applyNumberFormat="1" applyFont="1" applyFill="1" applyBorder="1"/>
    <xf numFmtId="2" fontId="6" fillId="44" borderId="29" xfId="0" applyNumberFormat="1" applyFont="1" applyFill="1" applyBorder="1"/>
    <xf numFmtId="1" fontId="6" fillId="44" borderId="9" xfId="0" applyNumberFormat="1" applyFont="1" applyFill="1" applyBorder="1"/>
    <xf numFmtId="2" fontId="6" fillId="44" borderId="11" xfId="4" applyNumberFormat="1" applyFont="1" applyFill="1" applyBorder="1"/>
    <xf numFmtId="2" fontId="6" fillId="44" borderId="29" xfId="4" applyNumberFormat="1" applyFont="1" applyFill="1" applyBorder="1"/>
    <xf numFmtId="2" fontId="6" fillId="44" borderId="9" xfId="4" applyNumberFormat="1" applyFont="1" applyFill="1" applyBorder="1"/>
    <xf numFmtId="2" fontId="6" fillId="44" borderId="13" xfId="4" applyNumberFormat="1" applyFont="1" applyFill="1" applyBorder="1"/>
    <xf numFmtId="2" fontId="6" fillId="44" borderId="32" xfId="4" applyNumberFormat="1" applyFont="1" applyFill="1" applyBorder="1"/>
    <xf numFmtId="2" fontId="6" fillId="44" borderId="31" xfId="4" applyNumberFormat="1" applyFont="1" applyFill="1" applyBorder="1"/>
    <xf numFmtId="2" fontId="0" fillId="44" borderId="9" xfId="0" applyNumberFormat="1" applyFill="1" applyBorder="1" applyAlignment="1">
      <alignment horizontal="right"/>
    </xf>
    <xf numFmtId="2" fontId="0" fillId="44" borderId="13" xfId="0" applyNumberFormat="1" applyFill="1" applyBorder="1"/>
    <xf numFmtId="1" fontId="0" fillId="44" borderId="9" xfId="0" applyNumberFormat="1" applyFill="1" applyBorder="1" applyAlignment="1">
      <alignment horizontal="right"/>
    </xf>
    <xf numFmtId="1" fontId="11" fillId="44" borderId="9" xfId="0" applyNumberFormat="1" applyFont="1" applyFill="1" applyBorder="1" applyAlignment="1">
      <alignment horizontal="right"/>
    </xf>
    <xf numFmtId="2" fontId="11" fillId="44" borderId="9" xfId="0" applyNumberFormat="1" applyFont="1" applyFill="1" applyBorder="1" applyAlignment="1" applyProtection="1">
      <alignment horizontal="right"/>
      <protection hidden="1"/>
    </xf>
    <xf numFmtId="2" fontId="0" fillId="44" borderId="10" xfId="0" applyNumberFormat="1" applyFill="1" applyBorder="1" applyAlignment="1">
      <alignment horizontal="right"/>
    </xf>
    <xf numFmtId="2" fontId="0" fillId="44" borderId="8" xfId="0" applyNumberFormat="1" applyFill="1" applyBorder="1" applyAlignment="1">
      <alignment horizontal="right"/>
    </xf>
    <xf numFmtId="2" fontId="6" fillId="44" borderId="10" xfId="0" applyNumberFormat="1" applyFont="1" applyFill="1" applyBorder="1"/>
    <xf numFmtId="1" fontId="0" fillId="44" borderId="13" xfId="0" applyNumberFormat="1" applyFill="1" applyBorder="1"/>
    <xf numFmtId="4" fontId="0" fillId="44" borderId="9" xfId="0" applyNumberFormat="1" applyFill="1" applyBorder="1"/>
    <xf numFmtId="2" fontId="11" fillId="44" borderId="9" xfId="0" applyNumberFormat="1" applyFont="1" applyFill="1" applyBorder="1" applyProtection="1">
      <protection hidden="1"/>
    </xf>
    <xf numFmtId="2" fontId="11" fillId="44" borderId="11" xfId="0" applyNumberFormat="1" applyFont="1" applyFill="1" applyBorder="1" applyProtection="1">
      <protection hidden="1"/>
    </xf>
    <xf numFmtId="2" fontId="6" fillId="44" borderId="15" xfId="0" applyNumberFormat="1" applyFont="1" applyFill="1" applyBorder="1"/>
    <xf numFmtId="2" fontId="6" fillId="44" borderId="10" xfId="0" applyNumberFormat="1" applyFont="1" applyFill="1" applyBorder="1" applyAlignment="1">
      <alignment horizontal="right"/>
    </xf>
    <xf numFmtId="2" fontId="6" fillId="44" borderId="9" xfId="0" applyNumberFormat="1" applyFont="1" applyFill="1" applyBorder="1" applyAlignment="1">
      <alignment horizontal="right"/>
    </xf>
    <xf numFmtId="2" fontId="16" fillId="44" borderId="9" xfId="0" applyNumberFormat="1" applyFont="1" applyFill="1" applyBorder="1" applyAlignment="1" applyProtection="1">
      <alignment horizontal="right"/>
      <protection hidden="1"/>
    </xf>
    <xf numFmtId="2" fontId="6" fillId="44" borderId="13" xfId="0" applyNumberFormat="1" applyFont="1" applyFill="1" applyBorder="1"/>
    <xf numFmtId="0" fontId="0" fillId="44" borderId="44" xfId="0" applyFill="1" applyBorder="1"/>
    <xf numFmtId="4" fontId="6" fillId="44" borderId="9" xfId="0" applyNumberFormat="1" applyFont="1" applyFill="1" applyBorder="1"/>
    <xf numFmtId="3" fontId="0" fillId="44" borderId="10" xfId="0" applyNumberFormat="1" applyFill="1" applyBorder="1"/>
    <xf numFmtId="1" fontId="6" fillId="44" borderId="10" xfId="0" applyNumberFormat="1" applyFont="1" applyFill="1" applyBorder="1"/>
    <xf numFmtId="3" fontId="6" fillId="44" borderId="13" xfId="0" applyNumberFormat="1" applyFont="1" applyFill="1" applyBorder="1"/>
    <xf numFmtId="3" fontId="0" fillId="44" borderId="13" xfId="0" applyNumberFormat="1" applyFill="1" applyBorder="1"/>
    <xf numFmtId="1" fontId="0" fillId="44" borderId="14" xfId="0" applyNumberFormat="1" applyFill="1" applyBorder="1"/>
    <xf numFmtId="1" fontId="0" fillId="44" borderId="40" xfId="0" applyNumberFormat="1" applyFill="1" applyBorder="1"/>
    <xf numFmtId="3" fontId="0" fillId="44" borderId="40" xfId="0" applyNumberFormat="1" applyFill="1" applyBorder="1"/>
    <xf numFmtId="0" fontId="6" fillId="44" borderId="14" xfId="0" applyFont="1" applyFill="1" applyBorder="1"/>
    <xf numFmtId="0" fontId="0" fillId="44" borderId="40" xfId="0" applyFill="1" applyBorder="1"/>
    <xf numFmtId="0" fontId="0" fillId="44" borderId="29" xfId="0" applyFill="1" applyBorder="1"/>
    <xf numFmtId="169" fontId="0" fillId="44" borderId="9" xfId="0" applyNumberFormat="1" applyFill="1" applyBorder="1"/>
    <xf numFmtId="2" fontId="0" fillId="44" borderId="11" xfId="0" applyNumberFormat="1" applyFill="1" applyBorder="1"/>
    <xf numFmtId="2" fontId="6" fillId="44" borderId="14" xfId="0" applyNumberFormat="1" applyFont="1" applyFill="1" applyBorder="1"/>
    <xf numFmtId="0" fontId="14" fillId="44" borderId="14" xfId="0" applyFont="1" applyFill="1" applyBorder="1"/>
    <xf numFmtId="2" fontId="14" fillId="44" borderId="14" xfId="0" applyNumberFormat="1" applyFont="1" applyFill="1" applyBorder="1"/>
    <xf numFmtId="2" fontId="14" fillId="44" borderId="13" xfId="0" applyNumberFormat="1" applyFont="1" applyFill="1" applyBorder="1"/>
    <xf numFmtId="0" fontId="0" fillId="44" borderId="11" xfId="0" applyFill="1" applyBorder="1"/>
    <xf numFmtId="4" fontId="0" fillId="44" borderId="11" xfId="0" applyNumberFormat="1" applyFill="1" applyBorder="1"/>
    <xf numFmtId="2" fontId="0" fillId="44" borderId="43" xfId="0" applyNumberFormat="1" applyFill="1" applyBorder="1"/>
    <xf numFmtId="2" fontId="0" fillId="44" borderId="32" xfId="0" applyNumberFormat="1" applyFill="1" applyBorder="1"/>
    <xf numFmtId="0" fontId="0" fillId="48" borderId="31" xfId="0" applyFill="1" applyBorder="1"/>
    <xf numFmtId="2" fontId="2" fillId="48" borderId="9" xfId="0" applyNumberFormat="1" applyFont="1" applyFill="1" applyBorder="1"/>
    <xf numFmtId="2" fontId="2" fillId="48" borderId="29" xfId="0" applyNumberFormat="1" applyFont="1" applyFill="1" applyBorder="1"/>
    <xf numFmtId="2" fontId="14" fillId="48" borderId="13" xfId="0" applyNumberFormat="1" applyFont="1" applyFill="1" applyBorder="1"/>
    <xf numFmtId="2" fontId="14" fillId="48" borderId="61" xfId="0" applyNumberFormat="1" applyFont="1" applyFill="1" applyBorder="1"/>
    <xf numFmtId="2" fontId="0" fillId="0" borderId="20" xfId="0" applyNumberFormat="1" applyBorder="1"/>
    <xf numFmtId="0" fontId="53" fillId="46" borderId="0" xfId="0" applyFont="1" applyFill="1" applyAlignment="1">
      <alignment horizontal="center" wrapText="1"/>
    </xf>
    <xf numFmtId="0" fontId="53" fillId="45" borderId="0" xfId="0" applyFont="1" applyFill="1" applyAlignment="1">
      <alignment horizontal="center"/>
    </xf>
    <xf numFmtId="0" fontId="53" fillId="46" borderId="0" xfId="0" applyFont="1" applyFill="1" applyAlignment="1">
      <alignment horizontal="left"/>
    </xf>
    <xf numFmtId="0" fontId="53" fillId="45" borderId="0" xfId="0" applyFont="1" applyFill="1" applyAlignment="1">
      <alignment horizontal="left"/>
    </xf>
    <xf numFmtId="10" fontId="7" fillId="44" borderId="9" xfId="4" applyNumberFormat="1" applyFont="1" applyFill="1" applyBorder="1"/>
    <xf numFmtId="10" fontId="7" fillId="44" borderId="14" xfId="4" applyNumberFormat="1" applyFont="1" applyFill="1" applyBorder="1"/>
    <xf numFmtId="174" fontId="0" fillId="3" borderId="0" xfId="0" applyNumberFormat="1" applyFill="1"/>
    <xf numFmtId="9" fontId="7" fillId="3" borderId="0" xfId="4" applyFont="1" applyFill="1"/>
    <xf numFmtId="10" fontId="7" fillId="44" borderId="32" xfId="4" applyNumberFormat="1" applyFont="1" applyFill="1" applyBorder="1"/>
    <xf numFmtId="0" fontId="17" fillId="47" borderId="17" xfId="0" applyFont="1" applyFill="1" applyBorder="1"/>
    <xf numFmtId="0" fontId="0" fillId="47" borderId="18" xfId="0" applyFill="1" applyBorder="1"/>
    <xf numFmtId="0" fontId="0" fillId="47" borderId="19" xfId="0" applyFill="1" applyBorder="1"/>
    <xf numFmtId="0" fontId="10" fillId="47" borderId="20" xfId="2" applyFill="1" applyBorder="1"/>
    <xf numFmtId="0" fontId="0" fillId="47" borderId="21" xfId="0" applyFill="1" applyBorder="1"/>
    <xf numFmtId="0" fontId="0" fillId="47" borderId="23" xfId="0" applyFill="1" applyBorder="1"/>
    <xf numFmtId="0" fontId="0" fillId="47" borderId="24" xfId="0" applyFill="1" applyBorder="1"/>
    <xf numFmtId="0" fontId="6" fillId="0" borderId="0" xfId="0" quotePrefix="1" applyFont="1"/>
    <xf numFmtId="0" fontId="0" fillId="0" borderId="0" xfId="0" applyProtection="1">
      <protection locked="0"/>
    </xf>
    <xf numFmtId="0" fontId="8" fillId="4" borderId="17" xfId="0" applyFont="1" applyFill="1" applyBorder="1" applyProtection="1">
      <protection locked="0"/>
    </xf>
    <xf numFmtId="0" fontId="0" fillId="0" borderId="21" xfId="0" applyBorder="1" applyProtection="1">
      <protection locked="0"/>
    </xf>
    <xf numFmtId="0" fontId="3" fillId="4" borderId="18" xfId="0" applyFont="1" applyFill="1" applyBorder="1" applyProtection="1">
      <protection locked="0"/>
    </xf>
    <xf numFmtId="0" fontId="0" fillId="4" borderId="18" xfId="0" applyFill="1" applyBorder="1" applyProtection="1">
      <protection locked="0"/>
    </xf>
    <xf numFmtId="0" fontId="2" fillId="4" borderId="18" xfId="0" applyFont="1" applyFill="1" applyBorder="1" applyProtection="1">
      <protection locked="0"/>
    </xf>
    <xf numFmtId="0" fontId="0" fillId="4" borderId="19" xfId="0" applyFill="1" applyBorder="1" applyProtection="1">
      <protection locked="0"/>
    </xf>
    <xf numFmtId="0" fontId="8" fillId="4" borderId="0" xfId="0" applyFont="1" applyFill="1" applyProtection="1">
      <protection locked="0"/>
    </xf>
    <xf numFmtId="0" fontId="0" fillId="4" borderId="0" xfId="0" applyFill="1" applyProtection="1">
      <protection locked="0"/>
    </xf>
    <xf numFmtId="0" fontId="2" fillId="4" borderId="0" xfId="0" applyFont="1" applyFill="1" applyProtection="1">
      <protection locked="0"/>
    </xf>
    <xf numFmtId="0" fontId="2" fillId="4" borderId="21" xfId="0" applyFont="1" applyFill="1" applyBorder="1" applyProtection="1">
      <protection locked="0"/>
    </xf>
    <xf numFmtId="0" fontId="8" fillId="6" borderId="0" xfId="0" applyFont="1" applyFill="1" applyProtection="1">
      <protection locked="0"/>
    </xf>
    <xf numFmtId="0" fontId="0" fillId="6" borderId="0" xfId="0" applyFill="1" applyProtection="1">
      <protection locked="0"/>
    </xf>
    <xf numFmtId="0" fontId="2" fillId="6" borderId="0" xfId="0" applyFont="1" applyFill="1" applyProtection="1">
      <protection locked="0"/>
    </xf>
    <xf numFmtId="0" fontId="2" fillId="6" borderId="21" xfId="0" applyFont="1" applyFill="1" applyBorder="1" applyProtection="1">
      <protection locked="0"/>
    </xf>
    <xf numFmtId="0" fontId="2" fillId="49" borderId="11" xfId="0" applyFont="1" applyFill="1" applyBorder="1" applyProtection="1">
      <protection locked="0"/>
    </xf>
    <xf numFmtId="0" fontId="2" fillId="49" borderId="9" xfId="0" applyFont="1" applyFill="1" applyBorder="1" applyProtection="1">
      <protection locked="0"/>
    </xf>
    <xf numFmtId="170" fontId="6" fillId="0" borderId="0" xfId="4" applyNumberFormat="1" applyFont="1"/>
    <xf numFmtId="0" fontId="0" fillId="6" borderId="20" xfId="0" applyFill="1" applyBorder="1" applyProtection="1">
      <protection locked="0"/>
    </xf>
    <xf numFmtId="0" fontId="0" fillId="6" borderId="22" xfId="0" applyFill="1" applyBorder="1" applyProtection="1">
      <protection locked="0"/>
    </xf>
    <xf numFmtId="3" fontId="0" fillId="41" borderId="36" xfId="0" applyNumberFormat="1" applyFill="1" applyBorder="1" applyAlignment="1" applyProtection="1">
      <alignment vertical="center"/>
      <protection locked="0"/>
    </xf>
    <xf numFmtId="3" fontId="0" fillId="41" borderId="9" xfId="0" applyNumberFormat="1" applyFill="1" applyBorder="1" applyAlignment="1" applyProtection="1">
      <alignment vertical="center"/>
      <protection locked="0"/>
    </xf>
    <xf numFmtId="49" fontId="14" fillId="0" borderId="0" xfId="0" applyNumberFormat="1" applyFont="1"/>
    <xf numFmtId="0" fontId="8" fillId="4" borderId="21" xfId="0" applyFont="1" applyFill="1" applyBorder="1" applyProtection="1">
      <protection locked="0"/>
    </xf>
    <xf numFmtId="0" fontId="0" fillId="4" borderId="20" xfId="0" applyFill="1" applyBorder="1" applyProtection="1">
      <protection locked="0"/>
    </xf>
    <xf numFmtId="0" fontId="0" fillId="0" borderId="20" xfId="0" applyBorder="1" applyProtection="1">
      <protection locked="0"/>
    </xf>
    <xf numFmtId="0" fontId="2" fillId="49" borderId="10" xfId="0" applyFont="1" applyFill="1" applyBorder="1" applyProtection="1">
      <protection locked="0"/>
    </xf>
    <xf numFmtId="0" fontId="2" fillId="49" borderId="29" xfId="0" applyFont="1" applyFill="1" applyBorder="1" applyProtection="1">
      <protection locked="0"/>
    </xf>
    <xf numFmtId="172" fontId="0" fillId="41" borderId="9" xfId="3" applyNumberFormat="1" applyFont="1" applyFill="1" applyBorder="1" applyProtection="1"/>
    <xf numFmtId="188" fontId="0" fillId="0" borderId="0" xfId="3" applyNumberFormat="1" applyFont="1"/>
    <xf numFmtId="0" fontId="0" fillId="6" borderId="27" xfId="0" applyFill="1" applyBorder="1" applyProtection="1">
      <protection locked="0"/>
    </xf>
    <xf numFmtId="0" fontId="0" fillId="41" borderId="29" xfId="0" applyFill="1" applyBorder="1" applyAlignment="1">
      <alignment horizontal="right"/>
    </xf>
    <xf numFmtId="172" fontId="77" fillId="6" borderId="21" xfId="3" applyNumberFormat="1" applyFont="1" applyFill="1" applyBorder="1" applyProtection="1"/>
    <xf numFmtId="172" fontId="77" fillId="6" borderId="26" xfId="3" applyNumberFormat="1" applyFont="1" applyFill="1" applyBorder="1" applyProtection="1"/>
    <xf numFmtId="0" fontId="0" fillId="6" borderId="7" xfId="0" applyFill="1" applyBorder="1" applyProtection="1">
      <protection locked="0"/>
    </xf>
    <xf numFmtId="172" fontId="0" fillId="50" borderId="29" xfId="3" applyNumberFormat="1" applyFont="1" applyFill="1" applyBorder="1" applyAlignment="1">
      <alignment horizontal="right"/>
    </xf>
    <xf numFmtId="172" fontId="0" fillId="50" borderId="31" xfId="3" applyNumberFormat="1" applyFont="1" applyFill="1" applyBorder="1" applyAlignment="1">
      <alignment horizontal="right"/>
    </xf>
    <xf numFmtId="190" fontId="0" fillId="0" borderId="0" xfId="0" applyNumberFormat="1" applyProtection="1">
      <protection locked="0"/>
    </xf>
    <xf numFmtId="0" fontId="0" fillId="6" borderId="21" xfId="0" applyFill="1" applyBorder="1" applyProtection="1">
      <protection locked="0"/>
    </xf>
    <xf numFmtId="9" fontId="0" fillId="0" borderId="0" xfId="0" applyNumberFormat="1" applyProtection="1">
      <protection locked="0"/>
    </xf>
    <xf numFmtId="0" fontId="0" fillId="0" borderId="0" xfId="3" applyNumberFormat="1" applyFont="1" applyAlignment="1">
      <alignment horizontal="left"/>
    </xf>
    <xf numFmtId="169" fontId="0" fillId="0" borderId="0" xfId="0" applyNumberFormat="1" applyProtection="1">
      <protection locked="0"/>
    </xf>
    <xf numFmtId="0" fontId="0" fillId="0" borderId="8" xfId="0" applyBorder="1" applyProtection="1">
      <protection locked="0"/>
    </xf>
    <xf numFmtId="189" fontId="0" fillId="0" borderId="0" xfId="3" applyNumberFormat="1" applyFont="1" applyFill="1"/>
    <xf numFmtId="0" fontId="0" fillId="41" borderId="9" xfId="0" applyFill="1" applyBorder="1" applyProtection="1">
      <protection locked="0"/>
    </xf>
    <xf numFmtId="0" fontId="0" fillId="6" borderId="45" xfId="0" applyFill="1" applyBorder="1" applyAlignment="1">
      <alignment horizontal="right"/>
    </xf>
    <xf numFmtId="0" fontId="0" fillId="0" borderId="23" xfId="0" applyBorder="1" applyProtection="1">
      <protection locked="0"/>
    </xf>
    <xf numFmtId="0" fontId="0" fillId="51" borderId="20" xfId="0" applyFill="1" applyBorder="1" applyProtection="1">
      <protection locked="0"/>
    </xf>
    <xf numFmtId="0" fontId="0" fillId="51" borderId="0" xfId="0" applyFill="1" applyProtection="1">
      <protection locked="0"/>
    </xf>
    <xf numFmtId="0" fontId="0" fillId="51" borderId="21" xfId="0" applyFill="1" applyBorder="1" applyProtection="1">
      <protection locked="0"/>
    </xf>
    <xf numFmtId="0" fontId="0" fillId="51" borderId="25" xfId="0" applyFill="1" applyBorder="1" applyProtection="1">
      <protection locked="0"/>
    </xf>
    <xf numFmtId="0" fontId="0" fillId="51" borderId="8" xfId="0" applyFill="1" applyBorder="1" applyProtection="1">
      <protection locked="0"/>
    </xf>
    <xf numFmtId="0" fontId="0" fillId="51" borderId="26" xfId="0" applyFill="1" applyBorder="1" applyProtection="1">
      <protection locked="0"/>
    </xf>
    <xf numFmtId="0" fontId="0" fillId="5" borderId="14" xfId="0" applyFill="1" applyBorder="1" applyAlignment="1" applyProtection="1">
      <alignment horizontal="right"/>
      <protection locked="0"/>
    </xf>
    <xf numFmtId="0" fontId="0" fillId="6" borderId="8" xfId="0" applyFill="1" applyBorder="1" applyProtection="1">
      <protection locked="0"/>
    </xf>
    <xf numFmtId="0" fontId="0" fillId="6" borderId="26" xfId="0" applyFill="1" applyBorder="1" applyProtection="1">
      <protection locked="0"/>
    </xf>
    <xf numFmtId="0" fontId="0" fillId="6" borderId="25" xfId="0" applyFill="1" applyBorder="1"/>
    <xf numFmtId="0" fontId="0" fillId="0" borderId="22" xfId="0" applyBorder="1" applyProtection="1">
      <protection locked="0"/>
    </xf>
    <xf numFmtId="0" fontId="0" fillId="0" borderId="24" xfId="0" applyBorder="1" applyProtection="1">
      <protection locked="0"/>
    </xf>
    <xf numFmtId="0" fontId="77" fillId="6" borderId="20" xfId="0" applyFont="1" applyFill="1" applyBorder="1" applyProtection="1">
      <protection locked="0"/>
    </xf>
    <xf numFmtId="0" fontId="77" fillId="6" borderId="25" xfId="0" applyFont="1" applyFill="1" applyBorder="1" applyProtection="1">
      <protection locked="0"/>
    </xf>
    <xf numFmtId="0" fontId="0" fillId="5" borderId="9" xfId="0" applyFill="1" applyBorder="1" applyAlignment="1">
      <alignment horizontal="left"/>
    </xf>
    <xf numFmtId="172" fontId="0" fillId="50" borderId="9" xfId="3" applyNumberFormat="1" applyFont="1" applyFill="1" applyBorder="1" applyAlignment="1">
      <alignment horizontal="right"/>
    </xf>
    <xf numFmtId="0" fontId="0" fillId="6" borderId="47" xfId="0" applyFill="1" applyBorder="1" applyAlignment="1">
      <alignment horizontal="left"/>
    </xf>
    <xf numFmtId="0" fontId="0" fillId="6" borderId="25" xfId="0" applyFill="1" applyBorder="1" applyProtection="1">
      <protection locked="0"/>
    </xf>
    <xf numFmtId="0" fontId="2" fillId="49" borderId="63" xfId="0" applyFont="1" applyFill="1" applyBorder="1" applyAlignment="1" applyProtection="1">
      <alignment horizontal="left"/>
      <protection locked="0"/>
    </xf>
    <xf numFmtId="0" fontId="0" fillId="0" borderId="8" xfId="0" applyBorder="1"/>
    <xf numFmtId="0" fontId="78" fillId="0" borderId="0" xfId="0" applyFont="1" applyProtection="1">
      <protection locked="0"/>
    </xf>
    <xf numFmtId="9" fontId="0" fillId="50" borderId="9" xfId="4" applyFont="1" applyFill="1" applyBorder="1" applyAlignment="1">
      <alignment horizontal="right"/>
    </xf>
    <xf numFmtId="172" fontId="0" fillId="0" borderId="0" xfId="3" applyNumberFormat="1" applyFont="1" applyProtection="1">
      <protection locked="0"/>
    </xf>
    <xf numFmtId="0" fontId="79" fillId="6" borderId="47" xfId="0" applyFont="1" applyFill="1" applyBorder="1" applyProtection="1">
      <protection locked="0"/>
    </xf>
    <xf numFmtId="0" fontId="8" fillId="6" borderId="20" xfId="0" applyFont="1" applyFill="1" applyBorder="1" applyProtection="1">
      <protection locked="0"/>
    </xf>
    <xf numFmtId="3" fontId="0" fillId="5" borderId="36" xfId="0" applyNumberFormat="1" applyFill="1" applyBorder="1" applyAlignment="1" applyProtection="1">
      <alignment horizontal="left" vertical="center"/>
      <protection locked="0"/>
    </xf>
    <xf numFmtId="167" fontId="0" fillId="0" borderId="0" xfId="0" applyNumberFormat="1" applyProtection="1">
      <protection locked="0"/>
    </xf>
    <xf numFmtId="0" fontId="2" fillId="49" borderId="45" xfId="0" applyFont="1" applyFill="1" applyBorder="1" applyAlignment="1" applyProtection="1">
      <alignment horizontal="left"/>
      <protection locked="0"/>
    </xf>
    <xf numFmtId="0" fontId="0" fillId="50" borderId="29" xfId="0" applyFill="1" applyBorder="1" applyAlignment="1">
      <alignment horizontal="left"/>
    </xf>
    <xf numFmtId="0" fontId="2" fillId="0" borderId="0" xfId="0" applyFont="1" applyProtection="1">
      <protection locked="0"/>
    </xf>
    <xf numFmtId="0" fontId="2" fillId="0" borderId="0" xfId="0" applyFont="1" applyAlignment="1" applyProtection="1">
      <alignment horizontal="left"/>
      <protection locked="0"/>
    </xf>
    <xf numFmtId="0" fontId="2" fillId="4" borderId="20" xfId="0" applyFont="1" applyFill="1" applyBorder="1" applyProtection="1">
      <protection locked="0"/>
    </xf>
    <xf numFmtId="0" fontId="2" fillId="6" borderId="20" xfId="0" applyFont="1" applyFill="1" applyBorder="1" applyProtection="1">
      <protection locked="0"/>
    </xf>
    <xf numFmtId="0" fontId="2" fillId="6" borderId="8" xfId="0" applyFont="1" applyFill="1" applyBorder="1" applyProtection="1">
      <protection locked="0"/>
    </xf>
    <xf numFmtId="0" fontId="2" fillId="6" borderId="26" xfId="0" applyFont="1" applyFill="1" applyBorder="1" applyProtection="1">
      <protection locked="0"/>
    </xf>
    <xf numFmtId="0" fontId="2" fillId="0" borderId="20" xfId="0" applyFont="1" applyBorder="1" applyAlignment="1" applyProtection="1">
      <alignment horizontal="left"/>
      <protection locked="0"/>
    </xf>
    <xf numFmtId="0" fontId="0" fillId="0" borderId="20" xfId="0" applyBorder="1" applyAlignment="1">
      <alignment horizontal="left"/>
    </xf>
    <xf numFmtId="0" fontId="1" fillId="0" borderId="0" xfId="0" applyFont="1" applyProtection="1">
      <protection locked="0"/>
    </xf>
    <xf numFmtId="170" fontId="0" fillId="0" borderId="0" xfId="4" applyNumberFormat="1" applyFont="1" applyProtection="1">
      <protection locked="0"/>
    </xf>
    <xf numFmtId="170" fontId="0" fillId="0" borderId="0" xfId="0" applyNumberFormat="1" applyProtection="1">
      <protection locked="0"/>
    </xf>
    <xf numFmtId="170" fontId="0" fillId="50" borderId="9" xfId="4" applyNumberFormat="1" applyFont="1" applyFill="1" applyBorder="1" applyProtection="1"/>
    <xf numFmtId="170" fontId="0" fillId="6" borderId="11" xfId="4" applyNumberFormat="1" applyFont="1" applyFill="1" applyBorder="1" applyProtection="1"/>
    <xf numFmtId="181" fontId="0" fillId="41" borderId="11" xfId="0" applyNumberFormat="1" applyFill="1" applyBorder="1" applyProtection="1">
      <protection locked="0"/>
    </xf>
    <xf numFmtId="181" fontId="0" fillId="6" borderId="11" xfId="0" applyNumberFormat="1" applyFill="1" applyBorder="1" applyProtection="1">
      <protection locked="0"/>
    </xf>
    <xf numFmtId="170" fontId="0" fillId="0" borderId="0" xfId="4" applyNumberFormat="1" applyFont="1" applyFill="1" applyProtection="1">
      <protection locked="0"/>
    </xf>
    <xf numFmtId="10" fontId="0" fillId="0" borderId="0" xfId="0" applyNumberFormat="1"/>
    <xf numFmtId="181" fontId="0" fillId="0" borderId="0" xfId="0" applyNumberFormat="1" applyProtection="1">
      <protection locked="0"/>
    </xf>
    <xf numFmtId="181" fontId="0" fillId="50" borderId="11" xfId="0" applyNumberFormat="1" applyFill="1" applyBorder="1" applyProtection="1">
      <protection locked="0"/>
    </xf>
    <xf numFmtId="181" fontId="0" fillId="5" borderId="11" xfId="0" applyNumberFormat="1" applyFill="1" applyBorder="1" applyProtection="1">
      <protection locked="0"/>
    </xf>
    <xf numFmtId="0" fontId="0" fillId="50" borderId="9" xfId="0" applyFill="1" applyBorder="1"/>
    <xf numFmtId="0" fontId="0" fillId="6" borderId="47" xfId="0" applyFill="1" applyBorder="1"/>
    <xf numFmtId="0" fontId="6" fillId="6" borderId="20" xfId="0" applyFont="1" applyFill="1" applyBorder="1" applyProtection="1">
      <protection locked="0"/>
    </xf>
    <xf numFmtId="0" fontId="0" fillId="5" borderId="40" xfId="0" applyFill="1" applyBorder="1" applyAlignment="1" applyProtection="1">
      <alignment horizontal="right"/>
      <protection locked="0"/>
    </xf>
    <xf numFmtId="172" fontId="0" fillId="50" borderId="12" xfId="3" applyNumberFormat="1" applyFont="1" applyFill="1" applyBorder="1" applyProtection="1"/>
    <xf numFmtId="172" fontId="0" fillId="50" borderId="29" xfId="3" applyNumberFormat="1" applyFont="1" applyFill="1" applyBorder="1" applyProtection="1"/>
    <xf numFmtId="181" fontId="0" fillId="41" borderId="11" xfId="3" applyNumberFormat="1" applyFont="1" applyFill="1" applyBorder="1" applyAlignment="1" applyProtection="1">
      <protection locked="0"/>
    </xf>
    <xf numFmtId="181" fontId="0" fillId="6" borderId="11" xfId="3" applyNumberFormat="1" applyFont="1" applyFill="1" applyBorder="1" applyAlignment="1" applyProtection="1">
      <protection locked="0"/>
    </xf>
    <xf numFmtId="181" fontId="0" fillId="50" borderId="11" xfId="3" applyNumberFormat="1" applyFont="1" applyFill="1" applyBorder="1" applyAlignment="1" applyProtection="1">
      <protection locked="0"/>
    </xf>
    <xf numFmtId="181" fontId="0" fillId="50" borderId="12" xfId="0" applyNumberFormat="1" applyFill="1" applyBorder="1" applyAlignment="1">
      <alignment horizontal="right"/>
    </xf>
    <xf numFmtId="172" fontId="0" fillId="0" borderId="0" xfId="3" applyNumberFormat="1" applyFont="1" applyAlignment="1">
      <alignment horizontal="right"/>
    </xf>
    <xf numFmtId="43" fontId="0" fillId="0" borderId="0" xfId="3" applyFont="1" applyAlignment="1">
      <alignment horizontal="right"/>
    </xf>
    <xf numFmtId="0" fontId="0" fillId="0" borderId="0" xfId="3" applyNumberFormat="1" applyFont="1" applyFill="1" applyAlignment="1" applyProtection="1">
      <alignment horizontal="right"/>
      <protection locked="0"/>
    </xf>
    <xf numFmtId="0" fontId="1" fillId="0" borderId="0" xfId="3" applyNumberFormat="1" applyFont="1"/>
    <xf numFmtId="0" fontId="0" fillId="0" borderId="0" xfId="3" applyNumberFormat="1" applyFont="1"/>
    <xf numFmtId="164" fontId="0" fillId="0" borderId="0" xfId="3" applyNumberFormat="1" applyFont="1" applyFill="1"/>
    <xf numFmtId="0" fontId="0" fillId="0" borderId="0" xfId="0" quotePrefix="1" applyProtection="1">
      <protection locked="0"/>
    </xf>
    <xf numFmtId="2" fontId="14" fillId="48" borderId="7" xfId="0" applyNumberFormat="1" applyFont="1" applyFill="1" applyBorder="1"/>
    <xf numFmtId="2" fontId="14" fillId="48" borderId="27" xfId="0" applyNumberFormat="1" applyFont="1" applyFill="1" applyBorder="1"/>
    <xf numFmtId="0" fontId="12" fillId="3" borderId="0" xfId="0" applyFont="1" applyFill="1"/>
    <xf numFmtId="1" fontId="12" fillId="3" borderId="0" xfId="0" applyNumberFormat="1" applyFont="1" applyFill="1"/>
    <xf numFmtId="1" fontId="0" fillId="6" borderId="0" xfId="0" applyNumberFormat="1" applyFill="1"/>
    <xf numFmtId="1" fontId="6" fillId="6" borderId="0" xfId="0" applyNumberFormat="1" applyFont="1" applyFill="1"/>
    <xf numFmtId="49" fontId="6" fillId="6" borderId="0" xfId="0" applyNumberFormat="1" applyFont="1" applyFill="1" applyAlignment="1">
      <alignment horizontal="right"/>
    </xf>
    <xf numFmtId="14" fontId="62" fillId="6" borderId="0" xfId="0" applyNumberFormat="1" applyFont="1" applyFill="1"/>
    <xf numFmtId="49" fontId="62" fillId="6" borderId="0" xfId="0" applyNumberFormat="1" applyFont="1" applyFill="1" applyAlignment="1">
      <alignment horizontal="right"/>
    </xf>
    <xf numFmtId="0" fontId="80" fillId="6" borderId="20" xfId="2" applyFont="1" applyFill="1" applyBorder="1"/>
    <xf numFmtId="9" fontId="8" fillId="4" borderId="0" xfId="4" applyFont="1" applyFill="1" applyBorder="1"/>
    <xf numFmtId="9" fontId="0" fillId="4" borderId="0" xfId="0" applyNumberFormat="1" applyFill="1"/>
    <xf numFmtId="0" fontId="36" fillId="3" borderId="0" xfId="0" applyFont="1" applyFill="1"/>
    <xf numFmtId="168" fontId="22" fillId="4" borderId="0" xfId="0" applyNumberFormat="1" applyFont="1" applyFill="1" applyAlignment="1">
      <alignment horizontal="right"/>
    </xf>
    <xf numFmtId="0" fontId="22" fillId="4" borderId="0" xfId="0" applyFont="1" applyFill="1"/>
    <xf numFmtId="1" fontId="0" fillId="3" borderId="0" xfId="0" applyNumberFormat="1" applyFill="1"/>
    <xf numFmtId="10" fontId="13" fillId="4" borderId="0" xfId="0" applyNumberFormat="1" applyFont="1" applyFill="1"/>
    <xf numFmtId="10" fontId="0" fillId="3" borderId="0" xfId="0" applyNumberFormat="1" applyFill="1"/>
    <xf numFmtId="168" fontId="2" fillId="3" borderId="0" xfId="0" applyNumberFormat="1" applyFont="1" applyFill="1" applyAlignment="1">
      <alignment horizontal="right"/>
    </xf>
    <xf numFmtId="9" fontId="8" fillId="4" borderId="0" xfId="0" applyNumberFormat="1" applyFont="1" applyFill="1"/>
    <xf numFmtId="168" fontId="8" fillId="4" borderId="0" xfId="0" applyNumberFormat="1" applyFont="1" applyFill="1" applyAlignment="1">
      <alignment horizontal="right"/>
    </xf>
    <xf numFmtId="168" fontId="0" fillId="6" borderId="0" xfId="0" applyNumberFormat="1" applyFill="1"/>
    <xf numFmtId="14" fontId="8" fillId="4" borderId="0" xfId="0" applyNumberFormat="1" applyFont="1" applyFill="1"/>
    <xf numFmtId="0" fontId="10" fillId="6" borderId="0" xfId="2" applyFill="1" applyBorder="1"/>
    <xf numFmtId="0" fontId="34" fillId="4" borderId="0" xfId="2" applyFont="1" applyFill="1" applyBorder="1"/>
    <xf numFmtId="14" fontId="13" fillId="4" borderId="0" xfId="0" applyNumberFormat="1" applyFont="1" applyFill="1"/>
    <xf numFmtId="0" fontId="10" fillId="3" borderId="0" xfId="2" applyFill="1" applyBorder="1"/>
    <xf numFmtId="14" fontId="0" fillId="3" borderId="0" xfId="0" applyNumberFormat="1" applyFill="1"/>
    <xf numFmtId="2" fontId="6" fillId="6" borderId="0" xfId="0" applyNumberFormat="1" applyFont="1" applyFill="1" applyAlignment="1">
      <alignment horizontal="fill"/>
    </xf>
    <xf numFmtId="2" fontId="6" fillId="3" borderId="0" xfId="0" applyNumberFormat="1" applyFont="1" applyFill="1" applyAlignment="1">
      <alignment horizontal="fill"/>
    </xf>
    <xf numFmtId="14" fontId="6" fillId="3" borderId="0" xfId="0" applyNumberFormat="1" applyFont="1" applyFill="1"/>
    <xf numFmtId="0" fontId="6" fillId="4" borderId="0" xfId="0" applyFont="1" applyFill="1"/>
    <xf numFmtId="3" fontId="74" fillId="0" borderId="0" xfId="0" applyNumberFormat="1" applyFont="1" applyAlignment="1">
      <alignment horizontal="right" shrinkToFit="1"/>
    </xf>
    <xf numFmtId="0" fontId="0" fillId="5" borderId="9" xfId="3" applyNumberFormat="1" applyFont="1" applyFill="1" applyBorder="1"/>
    <xf numFmtId="49" fontId="6" fillId="6" borderId="0" xfId="0" applyNumberFormat="1" applyFont="1" applyFill="1"/>
    <xf numFmtId="49" fontId="0" fillId="6" borderId="0" xfId="0" applyNumberFormat="1" applyFill="1"/>
    <xf numFmtId="0" fontId="10" fillId="40" borderId="0" xfId="2" applyFill="1"/>
    <xf numFmtId="0" fontId="14" fillId="4" borderId="0" xfId="0" applyFont="1" applyFill="1"/>
    <xf numFmtId="2" fontId="8" fillId="4" borderId="0" xfId="0" applyNumberFormat="1" applyFont="1" applyFill="1" applyAlignment="1">
      <alignment horizontal="right"/>
    </xf>
    <xf numFmtId="167" fontId="6" fillId="6" borderId="0" xfId="0" applyNumberFormat="1" applyFont="1" applyFill="1"/>
    <xf numFmtId="0" fontId="20" fillId="4" borderId="0" xfId="0" applyFont="1" applyFill="1"/>
    <xf numFmtId="2" fontId="8" fillId="4" borderId="0" xfId="0" applyNumberFormat="1" applyFont="1" applyFill="1"/>
    <xf numFmtId="1" fontId="6" fillId="3" borderId="0" xfId="0" applyNumberFormat="1" applyFont="1" applyFill="1"/>
    <xf numFmtId="2" fontId="2" fillId="3" borderId="0" xfId="0" applyNumberFormat="1" applyFont="1" applyFill="1"/>
    <xf numFmtId="2" fontId="13" fillId="4" borderId="0" xfId="0" applyNumberFormat="1" applyFont="1" applyFill="1"/>
    <xf numFmtId="168" fontId="13" fillId="4" borderId="0" xfId="0" applyNumberFormat="1" applyFont="1" applyFill="1"/>
    <xf numFmtId="168" fontId="6" fillId="3" borderId="0" xfId="0" applyNumberFormat="1" applyFont="1" applyFill="1"/>
    <xf numFmtId="167" fontId="6" fillId="3" borderId="0" xfId="0" applyNumberFormat="1" applyFont="1" applyFill="1"/>
    <xf numFmtId="2" fontId="18" fillId="4" borderId="0" xfId="4" applyNumberFormat="1" applyFont="1" applyFill="1" applyBorder="1" applyAlignment="1" applyProtection="1">
      <alignment horizontal="right"/>
      <protection hidden="1"/>
    </xf>
    <xf numFmtId="170" fontId="18" fillId="4" borderId="0" xfId="4" applyNumberFormat="1" applyFont="1" applyFill="1" applyBorder="1" applyAlignment="1" applyProtection="1">
      <alignment horizontal="right"/>
      <protection hidden="1"/>
    </xf>
    <xf numFmtId="169" fontId="6" fillId="6" borderId="0" xfId="0" applyNumberFormat="1" applyFont="1" applyFill="1"/>
    <xf numFmtId="2" fontId="8" fillId="4" borderId="0" xfId="4" applyNumberFormat="1" applyFont="1" applyFill="1" applyBorder="1"/>
    <xf numFmtId="4" fontId="6" fillId="3" borderId="0" xfId="0" applyNumberFormat="1" applyFont="1" applyFill="1"/>
    <xf numFmtId="0" fontId="30" fillId="6" borderId="0" xfId="2" applyFont="1" applyFill="1" applyBorder="1"/>
    <xf numFmtId="0" fontId="10" fillId="4" borderId="0" xfId="2" applyFill="1" applyBorder="1"/>
    <xf numFmtId="14" fontId="6" fillId="6" borderId="0" xfId="2" applyNumberFormat="1" applyFont="1" applyFill="1" applyBorder="1"/>
    <xf numFmtId="0" fontId="6" fillId="3" borderId="0" xfId="0" applyFont="1" applyFill="1" applyAlignment="1">
      <alignment horizontal="fill"/>
    </xf>
    <xf numFmtId="0" fontId="30" fillId="3" borderId="0" xfId="2" applyFont="1" applyFill="1" applyBorder="1"/>
    <xf numFmtId="168" fontId="6" fillId="6" borderId="0" xfId="0" applyNumberFormat="1" applyFont="1" applyFill="1" applyAlignment="1">
      <alignment horizontal="fill"/>
    </xf>
    <xf numFmtId="14" fontId="6" fillId="6" borderId="0" xfId="0" applyNumberFormat="1" applyFont="1" applyFill="1" applyAlignment="1">
      <alignment horizontal="right"/>
    </xf>
    <xf numFmtId="0" fontId="23" fillId="6" borderId="23" xfId="0" applyFont="1" applyFill="1" applyBorder="1"/>
    <xf numFmtId="0" fontId="6" fillId="0" borderId="23" xfId="0" applyFont="1" applyBorder="1"/>
    <xf numFmtId="3" fontId="6" fillId="6" borderId="32" xfId="0" applyNumberFormat="1" applyFont="1" applyFill="1" applyBorder="1"/>
    <xf numFmtId="1" fontId="6" fillId="6" borderId="32" xfId="0" applyNumberFormat="1" applyFont="1" applyFill="1" applyBorder="1"/>
    <xf numFmtId="2" fontId="6" fillId="44" borderId="14" xfId="4" applyNumberFormat="1" applyFont="1" applyFill="1" applyBorder="1"/>
    <xf numFmtId="2" fontId="14" fillId="48" borderId="9" xfId="0" applyNumberFormat="1" applyFont="1" applyFill="1" applyBorder="1"/>
    <xf numFmtId="1" fontId="0" fillId="44" borderId="9" xfId="3" applyNumberFormat="1" applyFont="1" applyFill="1" applyBorder="1" applyAlignment="1">
      <alignment horizontal="right"/>
    </xf>
    <xf numFmtId="0" fontId="2" fillId="51" borderId="20" xfId="0" applyFont="1" applyFill="1" applyBorder="1"/>
    <xf numFmtId="0" fontId="2" fillId="51" borderId="22" xfId="0" applyFont="1" applyFill="1" applyBorder="1"/>
    <xf numFmtId="1" fontId="2" fillId="6" borderId="21" xfId="0" applyNumberFormat="1" applyFont="1" applyFill="1" applyBorder="1"/>
    <xf numFmtId="2" fontId="2" fillId="51" borderId="24" xfId="0" applyNumberFormat="1" applyFont="1" applyFill="1" applyBorder="1"/>
    <xf numFmtId="0" fontId="14" fillId="52" borderId="20" xfId="0" applyFont="1" applyFill="1" applyBorder="1"/>
    <xf numFmtId="0" fontId="0" fillId="52" borderId="0" xfId="0" applyFill="1"/>
    <xf numFmtId="0" fontId="0" fillId="52" borderId="21" xfId="0" applyFill="1" applyBorder="1"/>
    <xf numFmtId="0" fontId="6" fillId="6" borderId="0" xfId="0" applyFont="1" applyFill="1" applyAlignment="1">
      <alignment horizontal="fill" wrapText="1"/>
    </xf>
    <xf numFmtId="1" fontId="2" fillId="51" borderId="21" xfId="0" applyNumberFormat="1" applyFont="1" applyFill="1" applyBorder="1"/>
    <xf numFmtId="2" fontId="0" fillId="52" borderId="0" xfId="0" applyNumberFormat="1" applyFill="1"/>
    <xf numFmtId="169" fontId="0" fillId="52" borderId="0" xfId="0" applyNumberFormat="1" applyFill="1"/>
    <xf numFmtId="2" fontId="6" fillId="52" borderId="0" xfId="0" applyNumberFormat="1" applyFont="1" applyFill="1"/>
    <xf numFmtId="2" fontId="2" fillId="52" borderId="0" xfId="0" applyNumberFormat="1" applyFont="1" applyFill="1"/>
    <xf numFmtId="2" fontId="2" fillId="52" borderId="21" xfId="0" applyNumberFormat="1" applyFont="1" applyFill="1" applyBorder="1"/>
    <xf numFmtId="0" fontId="2" fillId="3" borderId="0" xfId="0" applyFont="1" applyFill="1" applyAlignment="1">
      <alignment horizontal="right"/>
    </xf>
    <xf numFmtId="0" fontId="14" fillId="3" borderId="0" xfId="0" applyFont="1" applyFill="1" applyAlignment="1">
      <alignment horizontal="right"/>
    </xf>
    <xf numFmtId="169" fontId="0" fillId="3" borderId="0" xfId="0" applyNumberFormat="1" applyFill="1"/>
    <xf numFmtId="2" fontId="14" fillId="3" borderId="45" xfId="0" applyNumberFormat="1" applyFont="1" applyFill="1" applyBorder="1"/>
    <xf numFmtId="2" fontId="14" fillId="48" borderId="29" xfId="0" applyNumberFormat="1" applyFont="1" applyFill="1" applyBorder="1"/>
    <xf numFmtId="2" fontId="2" fillId="48" borderId="32" xfId="0" applyNumberFormat="1" applyFont="1" applyFill="1" applyBorder="1"/>
    <xf numFmtId="2" fontId="2" fillId="48" borderId="31" xfId="0" applyNumberFormat="1" applyFont="1" applyFill="1" applyBorder="1"/>
    <xf numFmtId="2" fontId="2" fillId="51" borderId="22" xfId="0" applyNumberFormat="1" applyFont="1" applyFill="1" applyBorder="1"/>
    <xf numFmtId="2" fontId="2" fillId="51" borderId="23" xfId="0" applyNumberFormat="1" applyFont="1" applyFill="1" applyBorder="1"/>
    <xf numFmtId="0" fontId="0" fillId="41" borderId="9" xfId="0" applyFill="1" applyBorder="1" applyAlignment="1" applyProtection="1">
      <alignment wrapText="1"/>
      <protection locked="0"/>
    </xf>
    <xf numFmtId="0" fontId="5" fillId="6" borderId="20" xfId="0" applyFont="1" applyFill="1" applyBorder="1" applyAlignment="1">
      <alignment vertical="top"/>
    </xf>
    <xf numFmtId="3" fontId="0" fillId="41" borderId="9" xfId="0" applyNumberFormat="1" applyFill="1" applyBorder="1" applyAlignment="1" applyProtection="1">
      <alignment wrapText="1"/>
      <protection locked="0"/>
    </xf>
    <xf numFmtId="0" fontId="0" fillId="44" borderId="29" xfId="0" applyFill="1" applyBorder="1" applyAlignment="1">
      <alignment wrapText="1"/>
    </xf>
    <xf numFmtId="2" fontId="0" fillId="44" borderId="9" xfId="0" applyNumberFormat="1" applyFill="1" applyBorder="1" applyAlignment="1">
      <alignment wrapText="1"/>
    </xf>
    <xf numFmtId="2" fontId="0" fillId="41" borderId="9" xfId="0" applyNumberFormat="1" applyFill="1" applyBorder="1" applyAlignment="1" applyProtection="1">
      <alignment wrapText="1"/>
      <protection locked="0"/>
    </xf>
    <xf numFmtId="167" fontId="0" fillId="41" borderId="9" xfId="0" applyNumberFormat="1" applyFill="1" applyBorder="1" applyAlignment="1" applyProtection="1">
      <alignment wrapText="1"/>
      <protection locked="0"/>
    </xf>
    <xf numFmtId="0" fontId="0" fillId="44" borderId="9" xfId="0" applyFill="1" applyBorder="1" applyAlignment="1">
      <alignment wrapText="1"/>
    </xf>
    <xf numFmtId="0" fontId="0" fillId="41" borderId="9" xfId="0" applyFill="1" applyBorder="1" applyAlignment="1" applyProtection="1">
      <alignment horizontal="center"/>
      <protection locked="0"/>
    </xf>
    <xf numFmtId="0" fontId="0" fillId="6" borderId="0" xfId="0" applyFill="1" applyAlignment="1">
      <alignment horizontal="center" wrapText="1"/>
    </xf>
    <xf numFmtId="2" fontId="0" fillId="44" borderId="9" xfId="0" applyNumberFormat="1" applyFill="1" applyBorder="1" applyAlignment="1">
      <alignment horizontal="right" wrapText="1"/>
    </xf>
    <xf numFmtId="2" fontId="0" fillId="44" borderId="10" xfId="0" applyNumberFormat="1" applyFill="1" applyBorder="1" applyAlignment="1">
      <alignment wrapText="1"/>
    </xf>
    <xf numFmtId="2" fontId="0" fillId="44" borderId="10" xfId="0" applyNumberFormat="1" applyFill="1" applyBorder="1" applyAlignment="1">
      <alignment horizontal="right" wrapText="1"/>
    </xf>
    <xf numFmtId="3" fontId="0" fillId="5" borderId="9" xfId="0" applyNumberFormat="1" applyFill="1" applyBorder="1" applyAlignment="1" applyProtection="1">
      <alignment wrapText="1"/>
      <protection locked="0"/>
    </xf>
    <xf numFmtId="0" fontId="0" fillId="5" borderId="9" xfId="0" applyFill="1" applyBorder="1" applyAlignment="1" applyProtection="1">
      <alignment wrapText="1"/>
      <protection locked="0"/>
    </xf>
    <xf numFmtId="167" fontId="0" fillId="5" borderId="9" xfId="0" applyNumberFormat="1" applyFill="1" applyBorder="1" applyAlignment="1" applyProtection="1">
      <alignment wrapText="1"/>
      <protection locked="0"/>
    </xf>
    <xf numFmtId="2" fontId="0" fillId="5" borderId="9" xfId="0" applyNumberFormat="1" applyFill="1" applyBorder="1" applyAlignment="1" applyProtection="1">
      <alignment wrapText="1"/>
      <protection locked="0"/>
    </xf>
    <xf numFmtId="0" fontId="0" fillId="5" borderId="31" xfId="0" applyFill="1" applyBorder="1" applyAlignment="1" applyProtection="1">
      <alignment wrapText="1"/>
      <protection locked="0"/>
    </xf>
    <xf numFmtId="1" fontId="0" fillId="44" borderId="9" xfId="0" applyNumberFormat="1" applyFill="1" applyBorder="1" applyAlignment="1">
      <alignment wrapText="1"/>
    </xf>
    <xf numFmtId="1" fontId="0" fillId="0" borderId="9" xfId="0" applyNumberFormat="1" applyBorder="1" applyAlignment="1">
      <alignment horizontal="center"/>
    </xf>
    <xf numFmtId="167" fontId="0" fillId="0" borderId="9" xfId="0" applyNumberFormat="1" applyBorder="1" applyAlignment="1">
      <alignment horizontal="center"/>
    </xf>
    <xf numFmtId="2" fontId="0" fillId="0" borderId="9" xfId="0" applyNumberFormat="1" applyBorder="1" applyAlignment="1">
      <alignment horizontal="center"/>
    </xf>
    <xf numFmtId="2" fontId="11" fillId="5" borderId="11" xfId="0" applyNumberFormat="1" applyFont="1" applyFill="1" applyBorder="1" applyProtection="1">
      <protection hidden="1"/>
    </xf>
    <xf numFmtId="9" fontId="6" fillId="5" borderId="9" xfId="0" quotePrefix="1" applyNumberFormat="1" applyFont="1" applyFill="1" applyBorder="1" applyAlignment="1">
      <alignment horizontal="right"/>
    </xf>
    <xf numFmtId="0" fontId="8" fillId="4" borderId="19" xfId="0" applyFont="1" applyFill="1" applyBorder="1" applyAlignment="1">
      <alignment horizontal="center"/>
    </xf>
    <xf numFmtId="2" fontId="2" fillId="51" borderId="24" xfId="0" applyNumberFormat="1" applyFont="1" applyFill="1" applyBorder="1" applyAlignment="1">
      <alignment horizontal="center"/>
    </xf>
    <xf numFmtId="0" fontId="0" fillId="0" borderId="21" xfId="0" applyBorder="1" applyAlignment="1">
      <alignment horizontal="left" vertical="top" wrapText="1"/>
    </xf>
    <xf numFmtId="0" fontId="0" fillId="0" borderId="21" xfId="0" applyBorder="1" applyAlignment="1">
      <alignment horizontal="left" vertical="top"/>
    </xf>
    <xf numFmtId="0" fontId="2" fillId="4" borderId="22" xfId="0" applyFont="1" applyFill="1" applyBorder="1"/>
    <xf numFmtId="0" fontId="12" fillId="4" borderId="18" xfId="0" applyFont="1" applyFill="1" applyBorder="1"/>
    <xf numFmtId="0" fontId="12" fillId="4" borderId="19" xfId="0" applyFont="1" applyFill="1" applyBorder="1"/>
    <xf numFmtId="9" fontId="6" fillId="6" borderId="0" xfId="0" applyNumberFormat="1" applyFont="1" applyFill="1" applyAlignment="1">
      <alignment horizontal="right"/>
    </xf>
    <xf numFmtId="0" fontId="6" fillId="6" borderId="0" xfId="4" applyNumberFormat="1" applyFont="1" applyFill="1" applyBorder="1"/>
    <xf numFmtId="0" fontId="6" fillId="6" borderId="9" xfId="4" applyNumberFormat="1" applyFont="1" applyFill="1" applyBorder="1"/>
    <xf numFmtId="191" fontId="0" fillId="41" borderId="9" xfId="3" applyNumberFormat="1" applyFont="1" applyFill="1" applyBorder="1"/>
    <xf numFmtId="0" fontId="0" fillId="41" borderId="13" xfId="0" applyFill="1" applyBorder="1" applyAlignment="1" applyProtection="1">
      <alignment horizontal="center" vertical="center"/>
      <protection locked="0"/>
    </xf>
    <xf numFmtId="0" fontId="0" fillId="41" borderId="9" xfId="0" applyFill="1" applyBorder="1" applyAlignment="1" applyProtection="1">
      <alignment horizontal="center" vertical="center"/>
      <protection locked="0"/>
    </xf>
    <xf numFmtId="0" fontId="0" fillId="6" borderId="22" xfId="0" applyFill="1" applyBorder="1" applyAlignment="1">
      <alignment vertical="top"/>
    </xf>
    <xf numFmtId="3" fontId="0" fillId="41" borderId="32" xfId="0" applyNumberFormat="1" applyFill="1" applyBorder="1" applyAlignment="1" applyProtection="1">
      <alignment wrapText="1"/>
      <protection locked="0"/>
    </xf>
    <xf numFmtId="3" fontId="0" fillId="5" borderId="32" xfId="0" applyNumberFormat="1" applyFill="1" applyBorder="1" applyAlignment="1" applyProtection="1">
      <alignment wrapText="1"/>
      <protection locked="0"/>
    </xf>
    <xf numFmtId="0" fontId="0" fillId="41" borderId="32" xfId="0" applyFill="1" applyBorder="1" applyAlignment="1" applyProtection="1">
      <alignment wrapText="1"/>
      <protection locked="0"/>
    </xf>
    <xf numFmtId="0" fontId="0" fillId="5" borderId="32" xfId="0" applyFill="1" applyBorder="1" applyAlignment="1" applyProtection="1">
      <alignment wrapText="1"/>
      <protection locked="0"/>
    </xf>
    <xf numFmtId="0" fontId="0" fillId="6" borderId="23" xfId="0" applyFill="1" applyBorder="1" applyAlignment="1">
      <alignment wrapText="1"/>
    </xf>
    <xf numFmtId="2" fontId="0" fillId="44" borderId="38" xfId="0" applyNumberFormat="1" applyFill="1" applyBorder="1" applyAlignment="1">
      <alignment wrapText="1"/>
    </xf>
    <xf numFmtId="2" fontId="0" fillId="44" borderId="32" xfId="0" applyNumberFormat="1" applyFill="1" applyBorder="1" applyAlignment="1">
      <alignment wrapText="1"/>
    </xf>
    <xf numFmtId="0" fontId="5" fillId="3" borderId="0" xfId="0" applyFont="1" applyFill="1"/>
    <xf numFmtId="167" fontId="0" fillId="6" borderId="0" xfId="0" applyNumberFormat="1" applyFill="1"/>
    <xf numFmtId="170" fontId="0" fillId="6" borderId="0" xfId="4" applyNumberFormat="1" applyFont="1" applyFill="1" applyBorder="1"/>
    <xf numFmtId="9" fontId="6" fillId="6" borderId="0" xfId="4" applyFont="1" applyFill="1" applyBorder="1"/>
    <xf numFmtId="1" fontId="5" fillId="3" borderId="0" xfId="0" applyNumberFormat="1" applyFont="1" applyFill="1"/>
    <xf numFmtId="174" fontId="6" fillId="6" borderId="23" xfId="0" applyNumberFormat="1" applyFont="1" applyFill="1" applyBorder="1"/>
    <xf numFmtId="0" fontId="10" fillId="6" borderId="0" xfId="2" quotePrefix="1" applyFill="1" applyBorder="1"/>
    <xf numFmtId="10" fontId="6" fillId="0" borderId="0" xfId="0" applyNumberFormat="1" applyFont="1"/>
    <xf numFmtId="0" fontId="81" fillId="6" borderId="0" xfId="0" applyFont="1" applyFill="1" applyAlignment="1">
      <alignment horizontal="left"/>
    </xf>
    <xf numFmtId="0" fontId="85" fillId="55" borderId="67" xfId="0" applyFont="1" applyFill="1" applyBorder="1" applyAlignment="1">
      <alignment horizontal="left" vertical="top" wrapText="1"/>
    </xf>
    <xf numFmtId="0" fontId="85" fillId="55" borderId="0" xfId="0" applyFont="1" applyFill="1" applyAlignment="1">
      <alignment horizontal="left" vertical="top" wrapText="1"/>
    </xf>
    <xf numFmtId="0" fontId="85" fillId="55" borderId="69" xfId="0" applyFont="1" applyFill="1" applyBorder="1" applyAlignment="1">
      <alignment horizontal="left" vertical="top" wrapText="1"/>
    </xf>
    <xf numFmtId="0" fontId="99" fillId="55" borderId="94" xfId="0" applyFont="1" applyFill="1" applyBorder="1" applyAlignment="1">
      <alignment vertical="center" wrapText="1"/>
    </xf>
    <xf numFmtId="0" fontId="100" fillId="55" borderId="114" xfId="0" applyFont="1" applyFill="1" applyBorder="1" applyAlignment="1">
      <alignment vertical="center" wrapText="1"/>
    </xf>
    <xf numFmtId="9" fontId="99" fillId="55" borderId="118" xfId="0" applyNumberFormat="1" applyFont="1" applyFill="1" applyBorder="1" applyAlignment="1">
      <alignment vertical="center" wrapText="1"/>
    </xf>
    <xf numFmtId="0" fontId="101" fillId="0" borderId="0" xfId="0" applyFont="1" applyAlignment="1">
      <alignment vertical="center" wrapText="1"/>
    </xf>
    <xf numFmtId="0" fontId="102" fillId="0" borderId="0" xfId="0" applyFont="1" applyAlignment="1">
      <alignment vertical="center"/>
    </xf>
    <xf numFmtId="0" fontId="86" fillId="54" borderId="94" xfId="0" applyFont="1" applyFill="1" applyBorder="1" applyAlignment="1">
      <alignment horizontal="center" vertical="center" wrapText="1"/>
    </xf>
    <xf numFmtId="0" fontId="82" fillId="53" borderId="65" xfId="0" applyFont="1" applyFill="1" applyBorder="1" applyAlignment="1">
      <alignment horizontal="left" vertical="center" wrapText="1"/>
    </xf>
    <xf numFmtId="0" fontId="91" fillId="58" borderId="0" xfId="0" applyFont="1" applyFill="1" applyAlignment="1">
      <alignment vertical="center" wrapText="1"/>
    </xf>
    <xf numFmtId="168" fontId="1" fillId="0" borderId="0" xfId="0" applyNumberFormat="1" applyFont="1"/>
    <xf numFmtId="167" fontId="6" fillId="6" borderId="9" xfId="4" applyNumberFormat="1" applyFont="1" applyFill="1" applyBorder="1"/>
    <xf numFmtId="167" fontId="6" fillId="44" borderId="9" xfId="0" applyNumberFormat="1" applyFont="1" applyFill="1" applyBorder="1"/>
    <xf numFmtId="174" fontId="0" fillId="6" borderId="9" xfId="0" applyNumberFormat="1" applyFill="1" applyBorder="1"/>
    <xf numFmtId="183" fontId="0" fillId="0" borderId="0" xfId="0" applyNumberFormat="1"/>
    <xf numFmtId="0" fontId="0" fillId="41" borderId="0" xfId="0" applyFill="1"/>
    <xf numFmtId="172" fontId="0" fillId="0" borderId="0" xfId="3" applyNumberFormat="1" applyFont="1" applyFill="1"/>
    <xf numFmtId="172" fontId="0" fillId="0" borderId="0" xfId="3" applyNumberFormat="1" applyFont="1" applyFill="1" applyAlignment="1">
      <alignment horizontal="right"/>
    </xf>
    <xf numFmtId="167" fontId="0" fillId="44" borderId="9" xfId="0" applyNumberFormat="1" applyFill="1" applyBorder="1"/>
    <xf numFmtId="172" fontId="0" fillId="0" borderId="0" xfId="3" applyNumberFormat="1" applyFont="1" applyAlignment="1"/>
    <xf numFmtId="0" fontId="0" fillId="0" borderId="128" xfId="0" applyBorder="1"/>
    <xf numFmtId="3" fontId="99" fillId="55" borderId="97" xfId="0" applyNumberFormat="1" applyFont="1" applyFill="1" applyBorder="1" applyAlignment="1">
      <alignment vertical="center" wrapText="1"/>
    </xf>
    <xf numFmtId="4" fontId="112" fillId="55" borderId="94" xfId="0" applyNumberFormat="1" applyFont="1" applyFill="1" applyBorder="1" applyAlignment="1">
      <alignment vertical="center" wrapText="1"/>
    </xf>
    <xf numFmtId="174" fontId="6" fillId="6" borderId="0" xfId="0" applyNumberFormat="1" applyFont="1" applyFill="1"/>
    <xf numFmtId="3" fontId="6" fillId="6" borderId="14" xfId="0" applyNumberFormat="1" applyFont="1" applyFill="1" applyBorder="1" applyAlignment="1">
      <alignment horizontal="right"/>
    </xf>
    <xf numFmtId="4" fontId="99" fillId="55" borderId="116" xfId="0" applyNumberFormat="1" applyFont="1" applyFill="1" applyBorder="1" applyAlignment="1">
      <alignment vertical="center" wrapText="1"/>
    </xf>
    <xf numFmtId="174" fontId="6" fillId="6" borderId="0" xfId="0" applyNumberFormat="1" applyFont="1" applyFill="1" applyAlignment="1">
      <alignment horizontal="right"/>
    </xf>
    <xf numFmtId="3" fontId="6" fillId="6" borderId="9" xfId="0" applyNumberFormat="1" applyFont="1" applyFill="1" applyBorder="1" applyAlignment="1">
      <alignment horizontal="right"/>
    </xf>
    <xf numFmtId="0" fontId="91" fillId="54" borderId="0" xfId="0" applyFont="1" applyFill="1" applyAlignment="1">
      <alignment vertical="center" wrapText="1"/>
    </xf>
    <xf numFmtId="0" fontId="91" fillId="54" borderId="68" xfId="0" applyFont="1" applyFill="1" applyBorder="1" applyAlignment="1">
      <alignment vertical="center" wrapText="1"/>
    </xf>
    <xf numFmtId="0" fontId="110" fillId="55" borderId="0" xfId="0" applyFont="1" applyFill="1" applyAlignment="1">
      <alignment vertical="center" wrapText="1"/>
    </xf>
    <xf numFmtId="0" fontId="110" fillId="55" borderId="68" xfId="0" applyFont="1" applyFill="1" applyBorder="1" applyAlignment="1">
      <alignment vertical="center" wrapText="1"/>
    </xf>
    <xf numFmtId="0" fontId="86" fillId="54" borderId="0" xfId="0" applyFont="1" applyFill="1" applyAlignment="1">
      <alignment vertical="center"/>
    </xf>
    <xf numFmtId="0" fontId="0" fillId="0" borderId="153" xfId="0" applyBorder="1"/>
    <xf numFmtId="0" fontId="6" fillId="6" borderId="21" xfId="4" applyNumberFormat="1" applyFont="1" applyFill="1" applyBorder="1"/>
    <xf numFmtId="169" fontId="6" fillId="0" borderId="0" xfId="0" applyNumberFormat="1" applyFont="1"/>
    <xf numFmtId="1" fontId="6" fillId="0" borderId="0" xfId="0" applyNumberFormat="1" applyFont="1"/>
    <xf numFmtId="10" fontId="6" fillId="0" borderId="0" xfId="4" applyNumberFormat="1" applyFont="1"/>
    <xf numFmtId="170" fontId="6" fillId="44" borderId="29" xfId="4" applyNumberFormat="1" applyFont="1" applyFill="1" applyBorder="1"/>
    <xf numFmtId="170" fontId="6" fillId="44" borderId="61" xfId="4" applyNumberFormat="1" applyFont="1" applyFill="1" applyBorder="1"/>
    <xf numFmtId="1" fontId="0" fillId="3" borderId="0" xfId="4" applyNumberFormat="1" applyFont="1" applyFill="1" applyBorder="1"/>
    <xf numFmtId="0" fontId="1" fillId="0" borderId="21" xfId="0" applyFont="1" applyBorder="1"/>
    <xf numFmtId="174" fontId="6" fillId="6" borderId="8" xfId="0" applyNumberFormat="1" applyFont="1" applyFill="1" applyBorder="1" applyAlignment="1">
      <alignment horizontal="right"/>
    </xf>
    <xf numFmtId="174" fontId="6" fillId="6" borderId="8" xfId="0" applyNumberFormat="1" applyFont="1" applyFill="1" applyBorder="1"/>
    <xf numFmtId="174" fontId="0" fillId="6" borderId="8" xfId="0" applyNumberFormat="1" applyFill="1" applyBorder="1"/>
    <xf numFmtId="10" fontId="6" fillId="44" borderId="10" xfId="4" applyNumberFormat="1" applyFont="1" applyFill="1" applyBorder="1"/>
    <xf numFmtId="2" fontId="6" fillId="44" borderId="10" xfId="4" applyNumberFormat="1" applyFont="1" applyFill="1" applyBorder="1"/>
    <xf numFmtId="2" fontId="6" fillId="44" borderId="12" xfId="4" applyNumberFormat="1" applyFont="1" applyFill="1" applyBorder="1"/>
    <xf numFmtId="2" fontId="6" fillId="44" borderId="5" xfId="4" applyNumberFormat="1" applyFont="1" applyFill="1" applyBorder="1"/>
    <xf numFmtId="2" fontId="6" fillId="44" borderId="1" xfId="4" applyNumberFormat="1" applyFont="1" applyFill="1" applyBorder="1"/>
    <xf numFmtId="2" fontId="6" fillId="44" borderId="38" xfId="4" applyNumberFormat="1" applyFont="1" applyFill="1" applyBorder="1"/>
    <xf numFmtId="10" fontId="6" fillId="6" borderId="10" xfId="4" applyNumberFormat="1" applyFont="1" applyFill="1" applyBorder="1"/>
    <xf numFmtId="1" fontId="6" fillId="6" borderId="1" xfId="0" applyNumberFormat="1" applyFont="1" applyFill="1" applyBorder="1"/>
    <xf numFmtId="1" fontId="6" fillId="6" borderId="38" xfId="0" applyNumberFormat="1" applyFont="1" applyFill="1" applyBorder="1"/>
    <xf numFmtId="170" fontId="6" fillId="44" borderId="42" xfId="4" applyNumberFormat="1" applyFont="1" applyFill="1" applyBorder="1"/>
    <xf numFmtId="174" fontId="6" fillId="6" borderId="23" xfId="0" applyNumberFormat="1" applyFont="1" applyFill="1" applyBorder="1" applyAlignment="1">
      <alignment horizontal="right"/>
    </xf>
    <xf numFmtId="3" fontId="6" fillId="6" borderId="23" xfId="0" applyNumberFormat="1" applyFont="1" applyFill="1" applyBorder="1" applyAlignment="1">
      <alignment horizontal="right"/>
    </xf>
    <xf numFmtId="2" fontId="6" fillId="44" borderId="38" xfId="0" applyNumberFormat="1" applyFont="1" applyFill="1" applyBorder="1"/>
    <xf numFmtId="2" fontId="6" fillId="44" borderId="31" xfId="0" applyNumberFormat="1" applyFont="1" applyFill="1" applyBorder="1"/>
    <xf numFmtId="172" fontId="6" fillId="6" borderId="0" xfId="3" applyNumberFormat="1" applyFont="1" applyFill="1" applyBorder="1"/>
    <xf numFmtId="178" fontId="6" fillId="6" borderId="0" xfId="0" applyNumberFormat="1" applyFont="1" applyFill="1"/>
    <xf numFmtId="172" fontId="6" fillId="6" borderId="0" xfId="3" applyNumberFormat="1" applyFont="1" applyFill="1"/>
    <xf numFmtId="172" fontId="6" fillId="6" borderId="9" xfId="3" applyNumberFormat="1" applyFont="1" applyFill="1" applyBorder="1"/>
    <xf numFmtId="178" fontId="6" fillId="6" borderId="0" xfId="4" applyNumberFormat="1" applyFont="1" applyFill="1" applyBorder="1"/>
    <xf numFmtId="10" fontId="6" fillId="6" borderId="29" xfId="4" applyNumberFormat="1" applyFont="1" applyFill="1" applyBorder="1"/>
    <xf numFmtId="0" fontId="6" fillId="6" borderId="21" xfId="0" applyFont="1" applyFill="1" applyBorder="1" applyAlignment="1">
      <alignment horizontal="fill" wrapText="1"/>
    </xf>
    <xf numFmtId="1" fontId="6" fillId="0" borderId="20" xfId="0" applyNumberFormat="1" applyFont="1" applyBorder="1"/>
    <xf numFmtId="1" fontId="6" fillId="6" borderId="29" xfId="0" applyNumberFormat="1" applyFont="1" applyFill="1" applyBorder="1"/>
    <xf numFmtId="172" fontId="6" fillId="6" borderId="10" xfId="3" applyNumberFormat="1" applyFont="1" applyFill="1" applyBorder="1"/>
    <xf numFmtId="0" fontId="6" fillId="44" borderId="15" xfId="0" applyFont="1" applyFill="1" applyBorder="1"/>
    <xf numFmtId="0" fontId="0" fillId="44" borderId="41" xfId="0" applyFill="1" applyBorder="1"/>
    <xf numFmtId="0" fontId="6" fillId="44" borderId="32" xfId="0" applyFont="1" applyFill="1" applyBorder="1"/>
    <xf numFmtId="2" fontId="1" fillId="6" borderId="0" xfId="0" applyNumberFormat="1" applyFont="1" applyFill="1"/>
    <xf numFmtId="0" fontId="10" fillId="6" borderId="23" xfId="2" applyFill="1" applyBorder="1"/>
    <xf numFmtId="14" fontId="6" fillId="6" borderId="23" xfId="2" applyNumberFormat="1" applyFont="1" applyFill="1" applyBorder="1"/>
    <xf numFmtId="2" fontId="0" fillId="44" borderId="0" xfId="0" applyNumberFormat="1" applyFill="1"/>
    <xf numFmtId="0" fontId="0" fillId="44" borderId="0" xfId="0" applyFill="1"/>
    <xf numFmtId="1" fontId="0" fillId="40" borderId="0" xfId="0" applyNumberFormat="1" applyFill="1"/>
    <xf numFmtId="10" fontId="0" fillId="41" borderId="11" xfId="3" applyNumberFormat="1" applyFont="1" applyFill="1" applyBorder="1" applyAlignment="1" applyProtection="1">
      <protection locked="0"/>
    </xf>
    <xf numFmtId="1" fontId="6" fillId="6" borderId="2" xfId="0" applyNumberFormat="1" applyFont="1" applyFill="1" applyBorder="1"/>
    <xf numFmtId="1" fontId="6" fillId="6" borderId="9" xfId="0" applyNumberFormat="1" applyFont="1" applyFill="1" applyBorder="1"/>
    <xf numFmtId="1" fontId="6" fillId="6" borderId="61" xfId="0" applyNumberFormat="1" applyFont="1" applyFill="1" applyBorder="1"/>
    <xf numFmtId="1" fontId="0" fillId="3" borderId="21" xfId="0" applyNumberFormat="1" applyFill="1" applyBorder="1"/>
    <xf numFmtId="1" fontId="0" fillId="4" borderId="21" xfId="0" applyNumberFormat="1" applyFill="1" applyBorder="1"/>
    <xf numFmtId="0" fontId="2" fillId="40" borderId="0" xfId="0" applyFont="1" applyFill="1"/>
    <xf numFmtId="2" fontId="0" fillId="44" borderId="21" xfId="0" applyNumberFormat="1" applyFill="1" applyBorder="1"/>
    <xf numFmtId="2" fontId="0" fillId="40" borderId="0" xfId="0" applyNumberFormat="1" applyFill="1"/>
    <xf numFmtId="187" fontId="0" fillId="0" borderId="0" xfId="0" applyNumberFormat="1"/>
    <xf numFmtId="0" fontId="2" fillId="42" borderId="0" xfId="0" applyFont="1" applyFill="1"/>
    <xf numFmtId="0" fontId="0" fillId="44" borderId="21" xfId="0" applyFill="1" applyBorder="1"/>
    <xf numFmtId="0" fontId="0" fillId="0" borderId="19" xfId="0" applyBorder="1"/>
    <xf numFmtId="2" fontId="0" fillId="0" borderId="23" xfId="0" applyNumberFormat="1" applyBorder="1"/>
    <xf numFmtId="2" fontId="0" fillId="0" borderId="24" xfId="0" applyNumberFormat="1" applyBorder="1"/>
    <xf numFmtId="0" fontId="0" fillId="40" borderId="0" xfId="0" applyFill="1" applyAlignment="1">
      <alignment horizontal="center"/>
    </xf>
    <xf numFmtId="4" fontId="0" fillId="44" borderId="0" xfId="0" applyNumberFormat="1" applyFill="1"/>
    <xf numFmtId="1" fontId="0" fillId="44" borderId="0" xfId="0" applyNumberFormat="1" applyFill="1"/>
    <xf numFmtId="1" fontId="0" fillId="40" borderId="21" xfId="0" applyNumberFormat="1" applyFill="1" applyBorder="1"/>
    <xf numFmtId="1" fontId="14" fillId="0" borderId="0" xfId="0" applyNumberFormat="1" applyFont="1"/>
    <xf numFmtId="2" fontId="6" fillId="6" borderId="4" xfId="0" applyNumberFormat="1" applyFont="1" applyFill="1" applyBorder="1"/>
    <xf numFmtId="10" fontId="6" fillId="6" borderId="1" xfId="4" applyNumberFormat="1" applyFont="1" applyFill="1" applyBorder="1"/>
    <xf numFmtId="0" fontId="6" fillId="0" borderId="0" xfId="0" applyFont="1" applyAlignment="1">
      <alignment horizontal="left"/>
    </xf>
    <xf numFmtId="0" fontId="21" fillId="4" borderId="0" xfId="0" applyFont="1" applyFill="1"/>
    <xf numFmtId="173" fontId="13" fillId="4" borderId="0" xfId="3" applyNumberFormat="1" applyFont="1" applyFill="1" applyBorder="1"/>
    <xf numFmtId="0" fontId="14" fillId="6" borderId="22" xfId="0" applyFont="1" applyFill="1" applyBorder="1"/>
    <xf numFmtId="3" fontId="2" fillId="6" borderId="23" xfId="0" applyNumberFormat="1" applyFont="1" applyFill="1" applyBorder="1"/>
    <xf numFmtId="3" fontId="0" fillId="6" borderId="23" xfId="0" applyNumberFormat="1" applyFill="1" applyBorder="1"/>
    <xf numFmtId="4" fontId="0" fillId="44" borderId="32" xfId="0" applyNumberFormat="1" applyFill="1" applyBorder="1"/>
    <xf numFmtId="1" fontId="0" fillId="44" borderId="157" xfId="0" applyNumberFormat="1" applyFill="1" applyBorder="1"/>
    <xf numFmtId="1" fontId="0" fillId="44" borderId="42" xfId="0" applyNumberFormat="1" applyFill="1" applyBorder="1"/>
    <xf numFmtId="49" fontId="62" fillId="6" borderId="0" xfId="0" applyNumberFormat="1" applyFont="1" applyFill="1"/>
    <xf numFmtId="0" fontId="62" fillId="6" borderId="0" xfId="0" applyFont="1" applyFill="1"/>
    <xf numFmtId="0" fontId="62" fillId="6" borderId="21" xfId="0" applyFont="1" applyFill="1" applyBorder="1"/>
    <xf numFmtId="0" fontId="14" fillId="4" borderId="21" xfId="0" applyFont="1" applyFill="1" applyBorder="1"/>
    <xf numFmtId="2" fontId="6" fillId="44" borderId="45" xfId="4" applyNumberFormat="1" applyFont="1" applyFill="1" applyBorder="1"/>
    <xf numFmtId="0" fontId="23" fillId="6" borderId="0" xfId="0" applyFont="1" applyFill="1"/>
    <xf numFmtId="174" fontId="0" fillId="5" borderId="9" xfId="0" applyNumberFormat="1" applyFill="1" applyBorder="1"/>
    <xf numFmtId="0" fontId="0" fillId="5" borderId="9" xfId="0" applyFill="1" applyBorder="1" applyProtection="1">
      <protection locked="0"/>
    </xf>
    <xf numFmtId="9" fontId="0" fillId="44" borderId="9" xfId="4" applyFont="1" applyFill="1" applyBorder="1" applyAlignment="1">
      <alignment horizontal="right"/>
    </xf>
    <xf numFmtId="167" fontId="6" fillId="0" borderId="0" xfId="0" applyNumberFormat="1" applyFont="1"/>
    <xf numFmtId="0" fontId="6" fillId="0" borderId="58" xfId="0" applyFont="1" applyBorder="1"/>
    <xf numFmtId="3" fontId="6" fillId="44" borderId="31" xfId="0" applyNumberFormat="1" applyFont="1" applyFill="1" applyBorder="1"/>
    <xf numFmtId="170" fontId="6" fillId="6" borderId="0" xfId="4" applyNumberFormat="1" applyFont="1" applyFill="1" applyBorder="1"/>
    <xf numFmtId="0" fontId="120" fillId="47" borderId="22" xfId="2" applyFont="1" applyFill="1" applyBorder="1"/>
    <xf numFmtId="0" fontId="120" fillId="47" borderId="20" xfId="2" applyFont="1" applyFill="1" applyBorder="1"/>
    <xf numFmtId="3" fontId="2" fillId="4" borderId="0" xfId="0" applyNumberFormat="1" applyFont="1" applyFill="1"/>
    <xf numFmtId="4" fontId="14" fillId="4" borderId="23" xfId="0" applyNumberFormat="1" applyFont="1" applyFill="1" applyBorder="1"/>
    <xf numFmtId="2" fontId="1" fillId="4" borderId="24" xfId="0" applyNumberFormat="1" applyFont="1" applyFill="1" applyBorder="1"/>
    <xf numFmtId="1" fontId="76" fillId="0" borderId="0" xfId="48" applyNumberFormat="1"/>
    <xf numFmtId="14" fontId="1" fillId="6" borderId="0" xfId="0" applyNumberFormat="1" applyFont="1" applyFill="1"/>
    <xf numFmtId="2" fontId="1" fillId="0" borderId="0" xfId="0" applyNumberFormat="1" applyFont="1"/>
    <xf numFmtId="3" fontId="0" fillId="44" borderId="42" xfId="0" applyNumberFormat="1" applyFill="1" applyBorder="1"/>
    <xf numFmtId="170" fontId="6" fillId="6" borderId="0" xfId="4" applyNumberFormat="1" applyFont="1" applyFill="1"/>
    <xf numFmtId="0" fontId="23" fillId="0" borderId="21" xfId="0" applyFont="1" applyBorder="1" applyAlignment="1">
      <alignment horizontal="center"/>
    </xf>
    <xf numFmtId="0" fontId="121" fillId="0" borderId="21" xfId="0" applyFont="1" applyBorder="1" applyAlignment="1">
      <alignment horizontal="center" textRotation="90"/>
    </xf>
    <xf numFmtId="0" fontId="59" fillId="6" borderId="0" xfId="2" applyFont="1" applyFill="1" applyBorder="1"/>
    <xf numFmtId="14" fontId="6" fillId="6" borderId="0" xfId="2" applyNumberFormat="1" applyFont="1" applyFill="1"/>
    <xf numFmtId="4" fontId="6" fillId="6" borderId="0" xfId="0" applyNumberFormat="1" applyFont="1" applyFill="1" applyAlignment="1">
      <alignment wrapText="1"/>
    </xf>
    <xf numFmtId="9" fontId="0" fillId="5" borderId="32" xfId="4" applyFont="1" applyFill="1" applyBorder="1"/>
    <xf numFmtId="0" fontId="0" fillId="0" borderId="158" xfId="0" applyBorder="1"/>
    <xf numFmtId="2" fontId="1" fillId="6" borderId="0" xfId="0" applyNumberFormat="1" applyFont="1" applyFill="1" applyAlignment="1">
      <alignment horizontal="center" vertical="top" wrapText="1"/>
    </xf>
    <xf numFmtId="4" fontId="6" fillId="5" borderId="9" xfId="0" applyNumberFormat="1" applyFont="1" applyFill="1" applyBorder="1"/>
    <xf numFmtId="0" fontId="124" fillId="0" borderId="0" xfId="0" applyFont="1"/>
    <xf numFmtId="166" fontId="6" fillId="44" borderId="9" xfId="0" applyNumberFormat="1" applyFont="1" applyFill="1" applyBorder="1"/>
    <xf numFmtId="166" fontId="0" fillId="44" borderId="9" xfId="0" applyNumberFormat="1" applyFill="1" applyBorder="1"/>
    <xf numFmtId="10" fontId="6" fillId="6" borderId="0" xfId="4" applyNumberFormat="1" applyFont="1" applyFill="1"/>
    <xf numFmtId="0" fontId="6" fillId="59" borderId="9" xfId="4" applyNumberFormat="1" applyFont="1" applyFill="1" applyBorder="1"/>
    <xf numFmtId="1" fontId="6" fillId="59" borderId="9" xfId="4" applyNumberFormat="1" applyFont="1" applyFill="1" applyBorder="1"/>
    <xf numFmtId="0" fontId="65" fillId="60" borderId="20" xfId="0" applyFont="1" applyFill="1" applyBorder="1"/>
    <xf numFmtId="184" fontId="65" fillId="60" borderId="0" xfId="0" applyNumberFormat="1" applyFont="1" applyFill="1"/>
    <xf numFmtId="0" fontId="65" fillId="60" borderId="0" xfId="0" applyFont="1" applyFill="1"/>
    <xf numFmtId="0" fontId="65" fillId="60" borderId="0" xfId="0" applyFont="1" applyFill="1" applyAlignment="1">
      <alignment horizontal="right"/>
    </xf>
    <xf numFmtId="0" fontId="65" fillId="60" borderId="21" xfId="0" applyFont="1" applyFill="1" applyBorder="1" applyAlignment="1">
      <alignment horizontal="fill"/>
    </xf>
    <xf numFmtId="43" fontId="6" fillId="5" borderId="9" xfId="3" applyFont="1" applyFill="1" applyBorder="1"/>
    <xf numFmtId="2" fontId="125" fillId="44" borderId="11" xfId="0" applyNumberFormat="1" applyFont="1" applyFill="1" applyBorder="1" applyProtection="1">
      <protection hidden="1"/>
    </xf>
    <xf numFmtId="2" fontId="125" fillId="5" borderId="9" xfId="0" applyNumberFormat="1" applyFont="1" applyFill="1" applyBorder="1" applyProtection="1">
      <protection hidden="1"/>
    </xf>
    <xf numFmtId="2" fontId="125" fillId="5" borderId="13" xfId="0" applyNumberFormat="1" applyFont="1" applyFill="1" applyBorder="1" applyProtection="1">
      <protection hidden="1"/>
    </xf>
    <xf numFmtId="2" fontId="126" fillId="44" borderId="9" xfId="0" applyNumberFormat="1" applyFont="1" applyFill="1" applyBorder="1" applyAlignment="1" applyProtection="1">
      <alignment horizontal="right"/>
      <protection hidden="1"/>
    </xf>
    <xf numFmtId="2" fontId="125" fillId="5" borderId="9" xfId="0" applyNumberFormat="1" applyFont="1" applyFill="1" applyBorder="1" applyAlignment="1" applyProtection="1">
      <alignment horizontal="right"/>
      <protection hidden="1"/>
    </xf>
    <xf numFmtId="2" fontId="0" fillId="44" borderId="38" xfId="0" applyNumberFormat="1" applyFill="1" applyBorder="1"/>
    <xf numFmtId="2" fontId="126" fillId="44" borderId="13" xfId="0" applyNumberFormat="1" applyFont="1" applyFill="1" applyBorder="1" applyAlignment="1" applyProtection="1">
      <alignment horizontal="right"/>
      <protection hidden="1"/>
    </xf>
    <xf numFmtId="2" fontId="0" fillId="44" borderId="38" xfId="0" applyNumberFormat="1" applyFill="1" applyBorder="1" applyAlignment="1">
      <alignment horizontal="right"/>
    </xf>
    <xf numFmtId="2" fontId="125" fillId="5" borderId="13" xfId="0" applyNumberFormat="1" applyFont="1" applyFill="1" applyBorder="1" applyAlignment="1" applyProtection="1">
      <alignment horizontal="right"/>
      <protection hidden="1"/>
    </xf>
    <xf numFmtId="168" fontId="6" fillId="6" borderId="38" xfId="0" applyNumberFormat="1" applyFont="1" applyFill="1" applyBorder="1" applyAlignment="1">
      <alignment horizontal="right"/>
    </xf>
    <xf numFmtId="168" fontId="6" fillId="6" borderId="156" xfId="0" applyNumberFormat="1" applyFont="1" applyFill="1" applyBorder="1" applyAlignment="1">
      <alignment horizontal="right"/>
    </xf>
    <xf numFmtId="0" fontId="13" fillId="0" borderId="20" xfId="0" applyFont="1" applyBorder="1"/>
    <xf numFmtId="0" fontId="6" fillId="0" borderId="0" xfId="0" applyFont="1" applyAlignment="1">
      <alignment horizontal="fill"/>
    </xf>
    <xf numFmtId="0" fontId="80" fillId="6" borderId="22" xfId="2" applyFont="1" applyFill="1" applyBorder="1"/>
    <xf numFmtId="0" fontId="0" fillId="61" borderId="0" xfId="0" applyFill="1"/>
    <xf numFmtId="0" fontId="13" fillId="6" borderId="0" xfId="0" applyFont="1" applyFill="1" applyAlignment="1">
      <alignment vertical="top"/>
    </xf>
    <xf numFmtId="0" fontId="128" fillId="6" borderId="0" xfId="0" applyFont="1" applyFill="1"/>
    <xf numFmtId="43" fontId="0" fillId="0" borderId="0" xfId="0" applyNumberFormat="1"/>
    <xf numFmtId="2" fontId="0" fillId="6" borderId="0" xfId="4" applyNumberFormat="1" applyFont="1" applyFill="1" applyAlignment="1">
      <alignment horizontal="right"/>
    </xf>
    <xf numFmtId="2" fontId="1" fillId="6" borderId="0" xfId="0" applyNumberFormat="1" applyFont="1" applyFill="1" applyAlignment="1">
      <alignment horizontal="center" vertical="top" wrapText="1"/>
    </xf>
    <xf numFmtId="0" fontId="23" fillId="0" borderId="21" xfId="0" applyFont="1" applyBorder="1" applyAlignment="1">
      <alignment horizontal="center"/>
    </xf>
    <xf numFmtId="0" fontId="6" fillId="50" borderId="20" xfId="0" applyFont="1" applyFill="1" applyBorder="1" applyAlignment="1">
      <alignment horizontal="left"/>
    </xf>
    <xf numFmtId="0" fontId="6" fillId="50" borderId="4" xfId="0" applyFont="1" applyFill="1" applyBorder="1" applyAlignment="1">
      <alignment horizontal="left"/>
    </xf>
    <xf numFmtId="0" fontId="6" fillId="6" borderId="22" xfId="0" applyFont="1" applyFill="1" applyBorder="1" applyAlignment="1">
      <alignment horizontal="left"/>
    </xf>
    <xf numFmtId="0" fontId="6" fillId="6" borderId="60" xfId="0" applyFont="1" applyFill="1" applyBorder="1" applyAlignment="1">
      <alignment horizontal="left"/>
    </xf>
    <xf numFmtId="0" fontId="2" fillId="4" borderId="18" xfId="0" applyFont="1" applyFill="1" applyBorder="1" applyAlignment="1">
      <alignment horizontal="center"/>
    </xf>
    <xf numFmtId="0" fontId="2" fillId="4" borderId="7" xfId="0" applyFont="1" applyFill="1" applyBorder="1" applyAlignment="1">
      <alignment horizontal="center"/>
    </xf>
    <xf numFmtId="0" fontId="2" fillId="4" borderId="0" xfId="0" applyFont="1" applyFill="1" applyAlignment="1">
      <alignment horizontal="center"/>
    </xf>
    <xf numFmtId="0" fontId="0" fillId="41" borderId="13" xfId="0" applyFill="1" applyBorder="1" applyAlignment="1" applyProtection="1">
      <alignment horizontal="center" vertical="center"/>
      <protection locked="0"/>
    </xf>
    <xf numFmtId="0" fontId="0" fillId="41" borderId="9" xfId="0" applyFill="1" applyBorder="1" applyAlignment="1" applyProtection="1">
      <alignment horizontal="center" vertical="center"/>
      <protection locked="0"/>
    </xf>
    <xf numFmtId="0" fontId="0" fillId="41" borderId="32" xfId="0" applyFill="1" applyBorder="1" applyAlignment="1" applyProtection="1">
      <alignment horizontal="center" vertical="center"/>
      <protection locked="0"/>
    </xf>
    <xf numFmtId="0" fontId="2" fillId="6" borderId="41" xfId="0" applyFont="1" applyFill="1" applyBorder="1" applyAlignment="1">
      <alignment horizontal="center"/>
    </xf>
    <xf numFmtId="0" fontId="0" fillId="6" borderId="41" xfId="0" applyFill="1" applyBorder="1" applyAlignment="1">
      <alignment horizontal="center" wrapText="1"/>
    </xf>
    <xf numFmtId="0" fontId="0" fillId="6" borderId="42" xfId="0" applyFill="1" applyBorder="1" applyAlignment="1">
      <alignment horizontal="center" wrapText="1"/>
    </xf>
    <xf numFmtId="0" fontId="91" fillId="54" borderId="117" xfId="0" applyFont="1" applyFill="1" applyBorder="1" applyAlignment="1">
      <alignment horizontal="center" vertical="center" wrapText="1"/>
    </xf>
    <xf numFmtId="0" fontId="91" fillId="54" borderId="118" xfId="0" applyFont="1" applyFill="1" applyBorder="1" applyAlignment="1">
      <alignment horizontal="center" vertical="center" wrapText="1"/>
    </xf>
    <xf numFmtId="0" fontId="91" fillId="54" borderId="93" xfId="0" applyFont="1" applyFill="1" applyBorder="1" applyAlignment="1">
      <alignment horizontal="left" vertical="center" wrapText="1"/>
    </xf>
    <xf numFmtId="0" fontId="91" fillId="54" borderId="94" xfId="0" applyFont="1" applyFill="1" applyBorder="1" applyAlignment="1">
      <alignment horizontal="left" vertical="center" wrapText="1"/>
    </xf>
    <xf numFmtId="0" fontId="91" fillId="54" borderId="113" xfId="0" applyFont="1" applyFill="1" applyBorder="1" applyAlignment="1">
      <alignment horizontal="left" vertical="center" wrapText="1"/>
    </xf>
    <xf numFmtId="0" fontId="91" fillId="54" borderId="114" xfId="0" applyFont="1" applyFill="1" applyBorder="1" applyAlignment="1">
      <alignment horizontal="left" vertical="center" wrapText="1"/>
    </xf>
    <xf numFmtId="0" fontId="91" fillId="58" borderId="0" xfId="0" applyFont="1" applyFill="1" applyAlignment="1">
      <alignment horizontal="left" vertical="center" wrapText="1"/>
    </xf>
    <xf numFmtId="0" fontId="91" fillId="58" borderId="68" xfId="0" applyFont="1" applyFill="1" applyBorder="1" applyAlignment="1">
      <alignment horizontal="left" vertical="center" wrapText="1"/>
    </xf>
    <xf numFmtId="0" fontId="95" fillId="54" borderId="115" xfId="0" applyFont="1" applyFill="1" applyBorder="1" applyAlignment="1">
      <alignment horizontal="left" vertical="center" wrapText="1"/>
    </xf>
    <xf numFmtId="0" fontId="95" fillId="54" borderId="116" xfId="0" applyFont="1" applyFill="1" applyBorder="1" applyAlignment="1">
      <alignment horizontal="left" vertical="center" wrapText="1"/>
    </xf>
    <xf numFmtId="0" fontId="117" fillId="0" borderId="119" xfId="0" applyFont="1" applyBorder="1" applyAlignment="1">
      <alignment horizontal="center" vertical="center" wrapText="1"/>
    </xf>
    <xf numFmtId="0" fontId="117" fillId="0" borderId="118" xfId="0" applyFont="1" applyBorder="1" applyAlignment="1">
      <alignment horizontal="center" vertical="center" wrapText="1"/>
    </xf>
    <xf numFmtId="9" fontId="117" fillId="55" borderId="118" xfId="0" applyNumberFormat="1" applyFont="1" applyFill="1" applyBorder="1" applyAlignment="1">
      <alignment horizontal="center" vertical="center" wrapText="1"/>
    </xf>
    <xf numFmtId="9" fontId="117" fillId="55" borderId="120" xfId="0" applyNumberFormat="1" applyFont="1" applyFill="1" applyBorder="1" applyAlignment="1">
      <alignment horizontal="center" vertical="center" wrapText="1"/>
    </xf>
    <xf numFmtId="0" fontId="91" fillId="54" borderId="112" xfId="0" applyFont="1" applyFill="1" applyBorder="1" applyAlignment="1">
      <alignment horizontal="center" vertical="center" wrapText="1"/>
    </xf>
    <xf numFmtId="0" fontId="91" fillId="54" borderId="0" xfId="0" applyFont="1" applyFill="1" applyAlignment="1">
      <alignment horizontal="center" vertical="center" wrapText="1"/>
    </xf>
    <xf numFmtId="0" fontId="91" fillId="54" borderId="126" xfId="0" applyFont="1" applyFill="1" applyBorder="1" applyAlignment="1">
      <alignment horizontal="center" vertical="center" wrapText="1"/>
    </xf>
    <xf numFmtId="2" fontId="100" fillId="55" borderId="112" xfId="0" applyNumberFormat="1" applyFont="1" applyFill="1" applyBorder="1" applyAlignment="1">
      <alignment horizontal="center" vertical="center" wrapText="1"/>
    </xf>
    <xf numFmtId="2" fontId="100" fillId="55" borderId="0" xfId="0" applyNumberFormat="1" applyFont="1" applyFill="1" applyAlignment="1">
      <alignment horizontal="center" vertical="center" wrapText="1"/>
    </xf>
    <xf numFmtId="2" fontId="100" fillId="55" borderId="126" xfId="0" applyNumberFormat="1" applyFont="1" applyFill="1" applyBorder="1" applyAlignment="1">
      <alignment horizontal="center" vertical="center" wrapText="1"/>
    </xf>
    <xf numFmtId="0" fontId="91" fillId="54" borderId="148" xfId="0" applyFont="1" applyFill="1" applyBorder="1" applyAlignment="1">
      <alignment horizontal="right" vertical="center" wrapText="1"/>
    </xf>
    <xf numFmtId="0" fontId="91" fillId="54" borderId="149" xfId="0" applyFont="1" applyFill="1" applyBorder="1" applyAlignment="1">
      <alignment horizontal="right" vertical="center" wrapText="1"/>
    </xf>
    <xf numFmtId="0" fontId="91" fillId="54" borderId="150" xfId="0" applyFont="1" applyFill="1" applyBorder="1" applyAlignment="1">
      <alignment horizontal="right" vertical="center"/>
    </xf>
    <xf numFmtId="0" fontId="91" fillId="54" borderId="151" xfId="0" applyFont="1" applyFill="1" applyBorder="1" applyAlignment="1">
      <alignment horizontal="right" vertical="center"/>
    </xf>
    <xf numFmtId="0" fontId="111" fillId="55" borderId="0" xfId="0" applyFont="1" applyFill="1" applyAlignment="1">
      <alignment horizontal="center" vertical="center" wrapText="1"/>
    </xf>
    <xf numFmtId="0" fontId="111" fillId="55" borderId="126" xfId="0" applyFont="1" applyFill="1" applyBorder="1" applyAlignment="1">
      <alignment horizontal="center" vertical="center" wrapText="1"/>
    </xf>
    <xf numFmtId="0" fontId="99" fillId="55" borderId="0" xfId="0" applyFont="1" applyFill="1" applyAlignment="1">
      <alignment horizontal="center" vertical="center" wrapText="1"/>
    </xf>
    <xf numFmtId="0" fontId="99" fillId="55" borderId="126" xfId="0" applyFont="1" applyFill="1" applyBorder="1" applyAlignment="1">
      <alignment horizontal="center" vertical="center" wrapText="1"/>
    </xf>
    <xf numFmtId="9" fontId="112" fillId="55" borderId="118" xfId="0" applyNumberFormat="1" applyFont="1" applyFill="1" applyBorder="1" applyAlignment="1">
      <alignment horizontal="center" vertical="center" wrapText="1"/>
    </xf>
    <xf numFmtId="9" fontId="112" fillId="55" borderId="127" xfId="0" applyNumberFormat="1" applyFont="1" applyFill="1" applyBorder="1" applyAlignment="1">
      <alignment horizontal="center" vertical="center" wrapText="1"/>
    </xf>
    <xf numFmtId="0" fontId="91" fillId="54" borderId="68" xfId="0" applyFont="1" applyFill="1" applyBorder="1" applyAlignment="1">
      <alignment horizontal="center" vertical="center" wrapText="1"/>
    </xf>
    <xf numFmtId="1" fontId="100" fillId="0" borderId="112" xfId="0" applyNumberFormat="1" applyFont="1" applyBorder="1" applyAlignment="1">
      <alignment horizontal="center" vertical="center" wrapText="1"/>
    </xf>
    <xf numFmtId="0" fontId="100" fillId="0" borderId="0" xfId="0" applyFont="1" applyAlignment="1">
      <alignment horizontal="center" vertical="center" wrapText="1"/>
    </xf>
    <xf numFmtId="0" fontId="100" fillId="0" borderId="68" xfId="0" applyFont="1" applyBorder="1" applyAlignment="1">
      <alignment horizontal="center" vertical="center" wrapText="1"/>
    </xf>
    <xf numFmtId="0" fontId="91" fillId="58" borderId="112" xfId="0" applyFont="1" applyFill="1" applyBorder="1" applyAlignment="1">
      <alignment horizontal="center" vertical="center" wrapText="1"/>
    </xf>
    <xf numFmtId="0" fontId="91" fillId="58" borderId="0" xfId="0" applyFont="1" applyFill="1" applyAlignment="1">
      <alignment horizontal="center" vertical="center" wrapText="1"/>
    </xf>
    <xf numFmtId="0" fontId="91" fillId="54" borderId="107" xfId="0" applyFont="1" applyFill="1" applyBorder="1" applyAlignment="1">
      <alignment horizontal="center" vertical="center" wrapText="1"/>
    </xf>
    <xf numFmtId="0" fontId="91" fillId="54" borderId="108" xfId="0" applyFont="1" applyFill="1" applyBorder="1" applyAlignment="1">
      <alignment horizontal="center" vertical="center" wrapText="1"/>
    </xf>
    <xf numFmtId="0" fontId="91" fillId="57" borderId="124" xfId="0" applyFont="1" applyFill="1" applyBorder="1" applyAlignment="1">
      <alignment horizontal="center" vertical="center" wrapText="1"/>
    </xf>
    <xf numFmtId="0" fontId="91" fillId="57" borderId="125" xfId="0" applyFont="1" applyFill="1" applyBorder="1" applyAlignment="1">
      <alignment horizontal="center" vertical="center" wrapText="1"/>
    </xf>
    <xf numFmtId="0" fontId="97" fillId="53" borderId="111" xfId="0" applyFont="1" applyFill="1" applyBorder="1" applyAlignment="1">
      <alignment horizontal="center" vertical="center" wrapText="1"/>
    </xf>
    <xf numFmtId="0" fontId="97" fillId="53" borderId="97" xfId="0" applyFont="1" applyFill="1" applyBorder="1" applyAlignment="1">
      <alignment horizontal="center" vertical="center" wrapText="1"/>
    </xf>
    <xf numFmtId="0" fontId="97" fillId="53" borderId="98" xfId="0" applyFont="1" applyFill="1" applyBorder="1" applyAlignment="1">
      <alignment horizontal="center" vertical="center" wrapText="1"/>
    </xf>
    <xf numFmtId="0" fontId="97" fillId="53" borderId="107" xfId="0" applyFont="1" applyFill="1" applyBorder="1" applyAlignment="1">
      <alignment horizontal="center" vertical="center" wrapText="1"/>
    </xf>
    <xf numFmtId="0" fontId="97" fillId="53" borderId="152" xfId="0" applyFont="1" applyFill="1" applyBorder="1" applyAlignment="1">
      <alignment horizontal="center" vertical="center" wrapText="1"/>
    </xf>
    <xf numFmtId="0" fontId="110" fillId="55" borderId="112" xfId="0" applyFont="1" applyFill="1" applyBorder="1" applyAlignment="1">
      <alignment horizontal="center" vertical="center" wrapText="1"/>
    </xf>
    <xf numFmtId="0" fontId="110" fillId="55" borderId="0" xfId="0" applyFont="1" applyFill="1" applyAlignment="1">
      <alignment horizontal="center" vertical="center" wrapText="1"/>
    </xf>
    <xf numFmtId="0" fontId="91" fillId="54" borderId="67" xfId="0" applyFont="1" applyFill="1" applyBorder="1" applyAlignment="1">
      <alignment horizontal="center" vertical="center" wrapText="1"/>
    </xf>
    <xf numFmtId="0" fontId="91" fillId="54" borderId="105" xfId="0" applyFont="1" applyFill="1" applyBorder="1" applyAlignment="1">
      <alignment horizontal="center" vertical="center" wrapText="1"/>
    </xf>
    <xf numFmtId="0" fontId="91" fillId="54" borderId="109" xfId="0" applyFont="1" applyFill="1" applyBorder="1" applyAlignment="1">
      <alignment horizontal="center" vertical="center" wrapText="1"/>
    </xf>
    <xf numFmtId="0" fontId="91" fillId="54" borderId="110" xfId="0" applyFont="1" applyFill="1" applyBorder="1" applyAlignment="1">
      <alignment horizontal="center" vertical="center" wrapText="1"/>
    </xf>
    <xf numFmtId="0" fontId="94" fillId="54" borderId="107" xfId="0" applyFont="1" applyFill="1" applyBorder="1" applyAlignment="1">
      <alignment horizontal="left" vertical="center" wrapText="1"/>
    </xf>
    <xf numFmtId="0" fontId="94" fillId="54" borderId="97" xfId="0" applyFont="1" applyFill="1" applyBorder="1" applyAlignment="1">
      <alignment horizontal="left" vertical="center" wrapText="1"/>
    </xf>
    <xf numFmtId="0" fontId="95" fillId="0" borderId="97" xfId="0" applyFont="1" applyBorder="1" applyAlignment="1">
      <alignment horizontal="center" vertical="center" wrapText="1"/>
    </xf>
    <xf numFmtId="0" fontId="95" fillId="0" borderId="105" xfId="0" applyFont="1" applyBorder="1" applyAlignment="1">
      <alignment horizontal="center" vertical="center" wrapText="1"/>
    </xf>
    <xf numFmtId="0" fontId="96" fillId="0" borderId="97" xfId="0" applyFont="1" applyBorder="1" applyAlignment="1">
      <alignment horizontal="center" vertical="center" wrapText="1"/>
    </xf>
    <xf numFmtId="0" fontId="96" fillId="0" borderId="98" xfId="0" applyFont="1" applyBorder="1" applyAlignment="1">
      <alignment horizontal="center" vertical="center" wrapText="1"/>
    </xf>
    <xf numFmtId="0" fontId="96" fillId="0" borderId="105" xfId="0" applyFont="1" applyBorder="1" applyAlignment="1">
      <alignment horizontal="center" vertical="center" wrapText="1"/>
    </xf>
    <xf numFmtId="0" fontId="96" fillId="0" borderId="0" xfId="0" applyFont="1" applyAlignment="1">
      <alignment horizontal="center" vertical="center" wrapText="1"/>
    </xf>
    <xf numFmtId="0" fontId="96" fillId="0" borderId="106" xfId="0" applyFont="1" applyBorder="1" applyAlignment="1">
      <alignment horizontal="center" vertical="center" wrapText="1"/>
    </xf>
    <xf numFmtId="0" fontId="94" fillId="54" borderId="108" xfId="0" applyFont="1" applyFill="1" applyBorder="1" applyAlignment="1">
      <alignment horizontal="left" vertical="center" wrapText="1"/>
    </xf>
    <xf numFmtId="0" fontId="94" fillId="54" borderId="105" xfId="0" applyFont="1" applyFill="1" applyBorder="1" applyAlignment="1">
      <alignment horizontal="left" vertical="center" wrapText="1"/>
    </xf>
    <xf numFmtId="0" fontId="91" fillId="54" borderId="97" xfId="0" applyFont="1" applyFill="1" applyBorder="1" applyAlignment="1">
      <alignment horizontal="center" vertical="center" wrapText="1"/>
    </xf>
    <xf numFmtId="0" fontId="0" fillId="0" borderId="69" xfId="0" applyBorder="1" applyAlignment="1">
      <alignment horizontal="center" wrapText="1"/>
    </xf>
    <xf numFmtId="0" fontId="0" fillId="0" borderId="125" xfId="0" applyBorder="1" applyAlignment="1">
      <alignment horizontal="center" wrapText="1"/>
    </xf>
    <xf numFmtId="0" fontId="91" fillId="57" borderId="98" xfId="0" applyFont="1" applyFill="1" applyBorder="1" applyAlignment="1">
      <alignment horizontal="center" vertical="center" wrapText="1"/>
    </xf>
    <xf numFmtId="0" fontId="91" fillId="57" borderId="106" xfId="0" applyFont="1" applyFill="1" applyBorder="1" applyAlignment="1">
      <alignment horizontal="center" vertical="center" wrapText="1"/>
    </xf>
    <xf numFmtId="0" fontId="0" fillId="0" borderId="124" xfId="0" applyBorder="1" applyAlignment="1">
      <alignment horizontal="center" wrapText="1"/>
    </xf>
    <xf numFmtId="0" fontId="91" fillId="54" borderId="95" xfId="0" applyFont="1" applyFill="1" applyBorder="1" applyAlignment="1">
      <alignment horizontal="left" vertical="center" wrapText="1"/>
    </xf>
    <xf numFmtId="0" fontId="91" fillId="54" borderId="99" xfId="0" applyFont="1" applyFill="1" applyBorder="1" applyAlignment="1">
      <alignment horizontal="left" vertical="center" wrapText="1"/>
    </xf>
    <xf numFmtId="0" fontId="91" fillId="54" borderId="100" xfId="0" applyFont="1" applyFill="1" applyBorder="1" applyAlignment="1">
      <alignment horizontal="left" vertical="center" wrapText="1"/>
    </xf>
    <xf numFmtId="0" fontId="91" fillId="54" borderId="101" xfId="0" applyFont="1" applyFill="1" applyBorder="1" applyAlignment="1">
      <alignment horizontal="left" vertical="center" wrapText="1"/>
    </xf>
    <xf numFmtId="0" fontId="84" fillId="56" borderId="103" xfId="0" applyFont="1" applyFill="1" applyBorder="1" applyAlignment="1">
      <alignment horizontal="left" vertical="center" wrapText="1"/>
    </xf>
    <xf numFmtId="0" fontId="84" fillId="56" borderId="104" xfId="0" applyFont="1" applyFill="1" applyBorder="1" applyAlignment="1">
      <alignment horizontal="left" vertical="center" wrapText="1"/>
    </xf>
    <xf numFmtId="0" fontId="92" fillId="54" borderId="105" xfId="0" applyFont="1" applyFill="1" applyBorder="1" applyAlignment="1">
      <alignment horizontal="center" vertical="center" wrapText="1"/>
    </xf>
    <xf numFmtId="0" fontId="92" fillId="54" borderId="106" xfId="0" applyFont="1" applyFill="1" applyBorder="1" applyAlignment="1">
      <alignment horizontal="center" vertical="center" wrapText="1"/>
    </xf>
    <xf numFmtId="1" fontId="116" fillId="0" borderId="97" xfId="0" applyNumberFormat="1" applyFont="1" applyBorder="1" applyAlignment="1">
      <alignment horizontal="left" vertical="center" wrapText="1"/>
    </xf>
    <xf numFmtId="1" fontId="116" fillId="0" borderId="121" xfId="0" applyNumberFormat="1" applyFont="1" applyBorder="1" applyAlignment="1">
      <alignment horizontal="left" vertical="center" wrapText="1"/>
    </xf>
    <xf numFmtId="1" fontId="116" fillId="0" borderId="100" xfId="0" applyNumberFormat="1" applyFont="1" applyBorder="1" applyAlignment="1">
      <alignment horizontal="left" vertical="center" wrapText="1"/>
    </xf>
    <xf numFmtId="1" fontId="116" fillId="0" borderId="122" xfId="0" applyNumberFormat="1" applyFont="1" applyBorder="1" applyAlignment="1">
      <alignment horizontal="left" vertical="center" wrapText="1"/>
    </xf>
    <xf numFmtId="0" fontId="89" fillId="55" borderId="123" xfId="0" applyFont="1" applyFill="1" applyBorder="1" applyAlignment="1">
      <alignment horizontal="right" vertical="center" wrapText="1"/>
    </xf>
    <xf numFmtId="0" fontId="89" fillId="55" borderId="121" xfId="0" applyFont="1" applyFill="1" applyBorder="1" applyAlignment="1">
      <alignment horizontal="right" vertical="center" wrapText="1"/>
    </xf>
    <xf numFmtId="0" fontId="89" fillId="0" borderId="101" xfId="0" applyFont="1" applyBorder="1" applyAlignment="1">
      <alignment horizontal="right" vertical="center" wrapText="1"/>
    </xf>
    <xf numFmtId="0" fontId="89" fillId="0" borderId="122" xfId="0" applyFont="1" applyBorder="1" applyAlignment="1">
      <alignment horizontal="right" vertical="center" wrapText="1"/>
    </xf>
    <xf numFmtId="3" fontId="109" fillId="55" borderId="105" xfId="0" applyNumberFormat="1" applyFont="1" applyFill="1" applyBorder="1" applyAlignment="1">
      <alignment horizontal="center" vertical="center" wrapText="1"/>
    </xf>
    <xf numFmtId="0" fontId="109" fillId="55" borderId="105" xfId="0" applyFont="1" applyFill="1" applyBorder="1" applyAlignment="1">
      <alignment horizontal="center" vertical="center" wrapText="1"/>
    </xf>
    <xf numFmtId="0" fontId="109" fillId="55" borderId="106" xfId="0" applyFont="1" applyFill="1" applyBorder="1" applyAlignment="1">
      <alignment horizontal="center" vertical="center" wrapText="1"/>
    </xf>
    <xf numFmtId="0" fontId="108" fillId="0" borderId="100" xfId="0" applyFont="1" applyBorder="1" applyAlignment="1">
      <alignment horizontal="center" vertical="center" wrapText="1"/>
    </xf>
    <xf numFmtId="0" fontId="108" fillId="0" borderId="102" xfId="0" applyFont="1" applyBorder="1" applyAlignment="1">
      <alignment horizontal="center" vertical="center" wrapText="1"/>
    </xf>
    <xf numFmtId="0" fontId="86" fillId="54" borderId="95" xfId="0" applyFont="1" applyFill="1" applyBorder="1" applyAlignment="1">
      <alignment horizontal="center" vertical="center" wrapText="1"/>
    </xf>
    <xf numFmtId="0" fontId="86" fillId="54" borderId="94" xfId="0" applyFont="1" applyFill="1" applyBorder="1" applyAlignment="1">
      <alignment horizontal="center" vertical="center" wrapText="1"/>
    </xf>
    <xf numFmtId="0" fontId="86" fillId="54" borderId="96" xfId="0" applyFont="1" applyFill="1" applyBorder="1" applyAlignment="1">
      <alignment horizontal="center" vertical="center" wrapText="1"/>
    </xf>
    <xf numFmtId="0" fontId="116" fillId="0" borderId="97" xfId="0" applyFont="1" applyBorder="1" applyAlignment="1">
      <alignment horizontal="left" vertical="center" wrapText="1"/>
    </xf>
    <xf numFmtId="0" fontId="116" fillId="0" borderId="121" xfId="0" applyFont="1" applyBorder="1" applyAlignment="1">
      <alignment horizontal="left" vertical="center" wrapText="1"/>
    </xf>
    <xf numFmtId="0" fontId="89" fillId="55" borderId="123" xfId="0" applyFont="1" applyFill="1" applyBorder="1" applyAlignment="1">
      <alignment horizontal="left" vertical="center" wrapText="1"/>
    </xf>
    <xf numFmtId="0" fontId="89" fillId="55" borderId="121" xfId="0" applyFont="1" applyFill="1" applyBorder="1" applyAlignment="1">
      <alignment horizontal="left" vertical="center" wrapText="1"/>
    </xf>
    <xf numFmtId="0" fontId="108" fillId="0" borderId="97" xfId="0" applyFont="1" applyBorder="1" applyAlignment="1">
      <alignment horizontal="center" vertical="center" wrapText="1"/>
    </xf>
    <xf numFmtId="0" fontId="108" fillId="0" borderId="98" xfId="0" applyFont="1" applyBorder="1" applyAlignment="1">
      <alignment horizontal="center" vertical="center" wrapText="1"/>
    </xf>
    <xf numFmtId="0" fontId="84" fillId="54" borderId="91" xfId="0" applyFont="1" applyFill="1" applyBorder="1" applyAlignment="1">
      <alignment horizontal="center" vertical="center" wrapText="1"/>
    </xf>
    <xf numFmtId="0" fontId="84" fillId="54" borderId="89" xfId="0" applyFont="1" applyFill="1" applyBorder="1" applyAlignment="1">
      <alignment horizontal="center" vertical="center" wrapText="1"/>
    </xf>
    <xf numFmtId="0" fontId="84" fillId="54" borderId="92" xfId="0" applyFont="1" applyFill="1" applyBorder="1" applyAlignment="1">
      <alignment horizontal="center" vertical="center" wrapText="1"/>
    </xf>
    <xf numFmtId="0" fontId="82" fillId="53" borderId="79" xfId="0" applyFont="1" applyFill="1" applyBorder="1" applyAlignment="1">
      <alignment horizontal="center" vertical="center" wrapText="1"/>
    </xf>
    <xf numFmtId="0" fontId="82" fillId="53" borderId="80" xfId="0" applyFont="1" applyFill="1" applyBorder="1" applyAlignment="1">
      <alignment horizontal="center" vertical="center" wrapText="1"/>
    </xf>
    <xf numFmtId="0" fontId="82" fillId="53" borderId="81" xfId="0" applyFont="1" applyFill="1" applyBorder="1" applyAlignment="1">
      <alignment horizontal="center" vertical="center" wrapText="1"/>
    </xf>
    <xf numFmtId="1" fontId="115" fillId="0" borderId="0" xfId="0" applyNumberFormat="1" applyFont="1" applyAlignment="1">
      <alignment horizontal="center" vertical="center"/>
    </xf>
    <xf numFmtId="1" fontId="115" fillId="0" borderId="77" xfId="0" applyNumberFormat="1" applyFont="1" applyBorder="1" applyAlignment="1">
      <alignment horizontal="center" vertical="center"/>
    </xf>
    <xf numFmtId="3" fontId="107" fillId="55" borderId="0" xfId="0" applyNumberFormat="1" applyFont="1" applyFill="1" applyAlignment="1">
      <alignment horizontal="center" vertical="center" wrapText="1"/>
    </xf>
    <xf numFmtId="3" fontId="107" fillId="55" borderId="77" xfId="0" applyNumberFormat="1" applyFont="1" applyFill="1" applyBorder="1" applyAlignment="1">
      <alignment horizontal="center" vertical="center" wrapText="1"/>
    </xf>
    <xf numFmtId="3" fontId="89" fillId="55" borderId="0" xfId="0" applyNumberFormat="1" applyFont="1" applyFill="1" applyAlignment="1">
      <alignment horizontal="center" vertical="center" wrapText="1"/>
    </xf>
    <xf numFmtId="3" fontId="89" fillId="55" borderId="77" xfId="0" applyNumberFormat="1" applyFont="1" applyFill="1" applyBorder="1" applyAlignment="1">
      <alignment horizontal="center" vertical="center" wrapText="1"/>
    </xf>
    <xf numFmtId="0" fontId="90" fillId="53" borderId="71" xfId="0" applyFont="1" applyFill="1" applyBorder="1" applyAlignment="1">
      <alignment horizontal="center" vertical="center" wrapText="1"/>
    </xf>
    <xf numFmtId="0" fontId="90" fillId="53" borderId="86" xfId="0" applyFont="1" applyFill="1" applyBorder="1" applyAlignment="1">
      <alignment horizontal="center" vertical="center" wrapText="1"/>
    </xf>
    <xf numFmtId="0" fontId="90" fillId="53" borderId="72" xfId="0" applyFont="1" applyFill="1" applyBorder="1" applyAlignment="1">
      <alignment horizontal="center" vertical="center" wrapText="1"/>
    </xf>
    <xf numFmtId="0" fontId="90" fillId="53" borderId="87" xfId="0" applyFont="1" applyFill="1" applyBorder="1" applyAlignment="1">
      <alignment horizontal="center" vertical="center" wrapText="1"/>
    </xf>
    <xf numFmtId="0" fontId="87" fillId="54" borderId="83" xfId="0" applyFont="1" applyFill="1" applyBorder="1" applyAlignment="1">
      <alignment horizontal="center" vertical="center" wrapText="1"/>
    </xf>
    <xf numFmtId="0" fontId="87" fillId="54" borderId="0" xfId="0" applyFont="1" applyFill="1" applyAlignment="1">
      <alignment horizontal="center" vertical="center" wrapText="1"/>
    </xf>
    <xf numFmtId="0" fontId="87" fillId="54" borderId="68" xfId="0" applyFont="1" applyFill="1" applyBorder="1" applyAlignment="1">
      <alignment horizontal="center" vertical="center" wrapText="1"/>
    </xf>
    <xf numFmtId="0" fontId="115" fillId="0" borderId="83" xfId="0" applyFont="1" applyBorder="1" applyAlignment="1">
      <alignment horizontal="center"/>
    </xf>
    <xf numFmtId="0" fontId="115" fillId="0" borderId="0" xfId="0" applyFont="1" applyAlignment="1">
      <alignment horizontal="center"/>
    </xf>
    <xf numFmtId="0" fontId="115" fillId="0" borderId="68" xfId="0" applyFont="1" applyBorder="1" applyAlignment="1">
      <alignment horizontal="center"/>
    </xf>
    <xf numFmtId="0" fontId="115" fillId="0" borderId="85" xfId="0" applyFont="1" applyBorder="1" applyAlignment="1">
      <alignment horizontal="center"/>
    </xf>
    <xf numFmtId="0" fontId="115" fillId="0" borderId="77" xfId="0" applyFont="1" applyBorder="1" applyAlignment="1">
      <alignment horizontal="center"/>
    </xf>
    <xf numFmtId="0" fontId="115" fillId="0" borderId="78" xfId="0" applyFont="1" applyBorder="1" applyAlignment="1">
      <alignment horizontal="center"/>
    </xf>
    <xf numFmtId="0" fontId="84" fillId="56" borderId="88" xfId="0" applyFont="1" applyFill="1" applyBorder="1" applyAlignment="1">
      <alignment horizontal="left" vertical="center" wrapText="1"/>
    </xf>
    <xf numFmtId="0" fontId="84" fillId="56" borderId="89" xfId="0" applyFont="1" applyFill="1" applyBorder="1" applyAlignment="1">
      <alignment horizontal="left" vertical="center" wrapText="1"/>
    </xf>
    <xf numFmtId="0" fontId="84" fillId="54" borderId="90" xfId="0" applyFont="1" applyFill="1" applyBorder="1" applyAlignment="1">
      <alignment horizontal="center" vertical="center" wrapText="1"/>
    </xf>
    <xf numFmtId="0" fontId="87" fillId="54" borderId="67" xfId="0" applyFont="1" applyFill="1" applyBorder="1" applyAlignment="1">
      <alignment horizontal="center" vertical="center" wrapText="1"/>
    </xf>
    <xf numFmtId="0" fontId="87" fillId="54" borderId="112" xfId="0" applyFont="1" applyFill="1" applyBorder="1" applyAlignment="1">
      <alignment horizontal="center" vertical="center" wrapText="1"/>
    </xf>
    <xf numFmtId="0" fontId="87" fillId="54" borderId="126" xfId="0" applyFont="1" applyFill="1" applyBorder="1" applyAlignment="1">
      <alignment horizontal="center" vertical="center" wrapText="1"/>
    </xf>
    <xf numFmtId="0" fontId="87" fillId="54" borderId="82" xfId="0" applyFont="1" applyFill="1" applyBorder="1" applyAlignment="1">
      <alignment horizontal="center" vertical="center" wrapText="1"/>
    </xf>
    <xf numFmtId="2" fontId="114" fillId="0" borderId="0" xfId="0" applyNumberFormat="1" applyFont="1" applyAlignment="1">
      <alignment horizontal="center" vertical="center"/>
    </xf>
    <xf numFmtId="2" fontId="114" fillId="0" borderId="82" xfId="0" applyNumberFormat="1" applyFont="1" applyBorder="1" applyAlignment="1">
      <alignment horizontal="center" vertical="center"/>
    </xf>
    <xf numFmtId="2" fontId="114" fillId="0" borderId="77" xfId="0" applyNumberFormat="1" applyFont="1" applyBorder="1" applyAlignment="1">
      <alignment horizontal="center" vertical="center"/>
    </xf>
    <xf numFmtId="2" fontId="114" fillId="0" borderId="84" xfId="0" applyNumberFormat="1" applyFont="1" applyBorder="1" applyAlignment="1">
      <alignment horizontal="center" vertical="center"/>
    </xf>
    <xf numFmtId="4" fontId="114" fillId="0" borderId="112" xfId="0" applyNumberFormat="1" applyFont="1" applyBorder="1" applyAlignment="1">
      <alignment horizontal="center" vertical="center"/>
    </xf>
    <xf numFmtId="4" fontId="114" fillId="0" borderId="0" xfId="0" applyNumberFormat="1" applyFont="1" applyAlignment="1">
      <alignment horizontal="center" vertical="center"/>
    </xf>
    <xf numFmtId="4" fontId="114" fillId="0" borderId="126" xfId="0" applyNumberFormat="1" applyFont="1" applyBorder="1" applyAlignment="1">
      <alignment horizontal="center" vertical="center"/>
    </xf>
    <xf numFmtId="4" fontId="114" fillId="0" borderId="155" xfId="0" applyNumberFormat="1" applyFont="1" applyBorder="1" applyAlignment="1">
      <alignment horizontal="center" vertical="center"/>
    </xf>
    <xf numFmtId="4" fontId="114" fillId="0" borderId="77" xfId="0" applyNumberFormat="1" applyFont="1" applyBorder="1" applyAlignment="1">
      <alignment horizontal="center" vertical="center"/>
    </xf>
    <xf numFmtId="4" fontId="114" fillId="0" borderId="154" xfId="0" applyNumberFormat="1" applyFont="1" applyBorder="1" applyAlignment="1">
      <alignment horizontal="center" vertical="center"/>
    </xf>
    <xf numFmtId="0" fontId="85" fillId="55" borderId="67" xfId="0" applyFont="1" applyFill="1" applyBorder="1" applyAlignment="1">
      <alignment horizontal="left" vertical="top" wrapText="1"/>
    </xf>
    <xf numFmtId="0" fontId="85" fillId="55" borderId="0" xfId="0" applyFont="1" applyFill="1" applyAlignment="1">
      <alignment horizontal="left" vertical="top" wrapText="1"/>
    </xf>
    <xf numFmtId="0" fontId="85" fillId="55" borderId="69" xfId="0" applyFont="1" applyFill="1" applyBorder="1" applyAlignment="1">
      <alignment horizontal="left" vertical="top" wrapText="1"/>
    </xf>
    <xf numFmtId="0" fontId="85" fillId="55" borderId="0" xfId="0" applyFont="1" applyFill="1" applyAlignment="1">
      <alignment horizontal="center" vertical="top" wrapText="1"/>
    </xf>
    <xf numFmtId="0" fontId="85" fillId="55" borderId="68" xfId="0" applyFont="1" applyFill="1" applyBorder="1" applyAlignment="1">
      <alignment horizontal="center" vertical="top" wrapText="1"/>
    </xf>
    <xf numFmtId="0" fontId="85" fillId="55" borderId="77" xfId="0" applyFont="1" applyFill="1" applyBorder="1" applyAlignment="1">
      <alignment horizontal="center" vertical="top" wrapText="1"/>
    </xf>
    <xf numFmtId="0" fontId="85" fillId="55" borderId="78" xfId="0" applyFont="1" applyFill="1" applyBorder="1" applyAlignment="1">
      <alignment horizontal="center" vertical="top" wrapText="1"/>
    </xf>
    <xf numFmtId="0" fontId="85" fillId="55" borderId="70" xfId="0" applyFont="1" applyFill="1" applyBorder="1" applyAlignment="1">
      <alignment horizontal="left" vertical="center" wrapText="1"/>
    </xf>
    <xf numFmtId="0" fontId="85" fillId="55" borderId="0" xfId="0" applyFont="1" applyFill="1" applyAlignment="1">
      <alignment horizontal="left" vertical="center" wrapText="1"/>
    </xf>
    <xf numFmtId="0" fontId="85" fillId="55" borderId="68" xfId="0" applyFont="1" applyFill="1" applyBorder="1" applyAlignment="1">
      <alignment horizontal="left" vertical="center" wrapText="1"/>
    </xf>
    <xf numFmtId="0" fontId="85" fillId="55" borderId="70" xfId="0" applyFont="1" applyFill="1" applyBorder="1" applyAlignment="1">
      <alignment horizontal="left" vertical="top" wrapText="1"/>
    </xf>
    <xf numFmtId="0" fontId="85" fillId="55" borderId="68" xfId="0" applyFont="1" applyFill="1" applyBorder="1" applyAlignment="1">
      <alignment horizontal="left" vertical="top" wrapText="1"/>
    </xf>
    <xf numFmtId="0" fontId="82" fillId="53" borderId="64" xfId="0" applyFont="1" applyFill="1" applyBorder="1" applyAlignment="1">
      <alignment horizontal="left" vertical="center" wrapText="1"/>
    </xf>
    <xf numFmtId="0" fontId="82" fillId="53" borderId="65" xfId="0" applyFont="1" applyFill="1" applyBorder="1" applyAlignment="1">
      <alignment horizontal="left" vertical="center" wrapText="1"/>
    </xf>
    <xf numFmtId="0" fontId="83" fillId="53" borderId="65" xfId="0" applyFont="1" applyFill="1" applyBorder="1" applyAlignment="1">
      <alignment horizontal="right" vertical="center" wrapText="1"/>
    </xf>
    <xf numFmtId="0" fontId="83" fillId="53" borderId="66" xfId="0" applyFont="1" applyFill="1" applyBorder="1" applyAlignment="1">
      <alignment horizontal="right" vertical="center" wrapText="1"/>
    </xf>
    <xf numFmtId="0" fontId="119" fillId="53" borderId="67" xfId="0" applyFont="1" applyFill="1" applyBorder="1" applyAlignment="1">
      <alignment horizontal="left" vertical="center" wrapText="1"/>
    </xf>
    <xf numFmtId="0" fontId="119" fillId="53" borderId="0" xfId="0" applyFont="1" applyFill="1" applyAlignment="1">
      <alignment horizontal="left" vertical="center" wrapText="1"/>
    </xf>
    <xf numFmtId="0" fontId="119" fillId="53" borderId="68" xfId="0" applyFont="1" applyFill="1" applyBorder="1" applyAlignment="1">
      <alignment horizontal="left" vertical="center" wrapText="1"/>
    </xf>
    <xf numFmtId="0" fontId="84" fillId="54" borderId="67" xfId="0" applyFont="1" applyFill="1" applyBorder="1" applyAlignment="1">
      <alignment horizontal="left" vertical="center" wrapText="1"/>
    </xf>
    <xf numFmtId="0" fontId="84" fillId="54" borderId="0" xfId="0" applyFont="1" applyFill="1" applyAlignment="1">
      <alignment horizontal="left" vertical="center" wrapText="1"/>
    </xf>
    <xf numFmtId="0" fontId="84" fillId="54" borderId="69" xfId="0" applyFont="1" applyFill="1" applyBorder="1" applyAlignment="1">
      <alignment horizontal="left" vertical="center" wrapText="1"/>
    </xf>
    <xf numFmtId="0" fontId="84" fillId="54" borderId="70" xfId="0" applyFont="1" applyFill="1" applyBorder="1" applyAlignment="1">
      <alignment horizontal="left" vertical="center" wrapText="1"/>
    </xf>
    <xf numFmtId="0" fontId="84" fillId="54" borderId="68" xfId="0" applyFont="1" applyFill="1" applyBorder="1" applyAlignment="1">
      <alignment horizontal="left" vertical="center" wrapText="1"/>
    </xf>
    <xf numFmtId="0" fontId="85" fillId="55" borderId="71" xfId="0" applyFont="1" applyFill="1" applyBorder="1" applyAlignment="1">
      <alignment horizontal="left" vertical="top" wrapText="1"/>
    </xf>
    <xf numFmtId="0" fontId="85" fillId="55" borderId="72" xfId="0" applyFont="1" applyFill="1" applyBorder="1" applyAlignment="1">
      <alignment horizontal="left" vertical="top" wrapText="1"/>
    </xf>
    <xf numFmtId="0" fontId="85" fillId="55" borderId="73" xfId="0" applyFont="1" applyFill="1" applyBorder="1" applyAlignment="1">
      <alignment horizontal="left" vertical="top" wrapText="1"/>
    </xf>
    <xf numFmtId="0" fontId="85" fillId="55" borderId="74" xfId="0" applyFont="1" applyFill="1" applyBorder="1" applyAlignment="1">
      <alignment horizontal="left" vertical="top" wrapText="1"/>
    </xf>
    <xf numFmtId="0" fontId="85" fillId="55" borderId="75" xfId="0" applyFont="1" applyFill="1" applyBorder="1" applyAlignment="1">
      <alignment horizontal="left" vertical="top" wrapText="1"/>
    </xf>
    <xf numFmtId="0" fontId="85" fillId="55" borderId="76" xfId="0" applyFont="1" applyFill="1" applyBorder="1" applyAlignment="1">
      <alignment horizontal="left" vertical="top" wrapText="1"/>
    </xf>
    <xf numFmtId="0" fontId="118" fillId="0" borderId="130" xfId="0" applyFont="1" applyBorder="1" applyAlignment="1">
      <alignment horizontal="center"/>
    </xf>
    <xf numFmtId="0" fontId="90" fillId="53" borderId="143" xfId="0" applyFont="1" applyFill="1" applyBorder="1" applyAlignment="1">
      <alignment horizontal="center" vertical="center" wrapText="1"/>
    </xf>
    <xf numFmtId="0" fontId="90" fillId="53" borderId="144" xfId="0" applyFont="1" applyFill="1" applyBorder="1" applyAlignment="1">
      <alignment horizontal="center" vertical="center" wrapText="1"/>
    </xf>
    <xf numFmtId="0" fontId="90" fillId="53" borderId="145" xfId="0" applyFont="1" applyFill="1" applyBorder="1" applyAlignment="1">
      <alignment horizontal="center" vertical="center" wrapText="1"/>
    </xf>
    <xf numFmtId="0" fontId="92" fillId="54" borderId="140" xfId="0" applyFont="1" applyFill="1" applyBorder="1" applyAlignment="1">
      <alignment horizontal="left" vertical="center" wrapText="1"/>
    </xf>
    <xf numFmtId="0" fontId="92" fillId="54" borderId="132" xfId="0" applyFont="1" applyFill="1" applyBorder="1" applyAlignment="1">
      <alignment horizontal="left" vertical="center" wrapText="1"/>
    </xf>
    <xf numFmtId="0" fontId="92" fillId="54" borderId="128" xfId="0" applyFont="1" applyFill="1" applyBorder="1" applyAlignment="1">
      <alignment horizontal="left" vertical="center" wrapText="1"/>
    </xf>
    <xf numFmtId="0" fontId="92" fillId="54" borderId="0" xfId="0" applyFont="1" applyFill="1" applyAlignment="1">
      <alignment horizontal="left" vertical="center" wrapText="1"/>
    </xf>
    <xf numFmtId="0" fontId="92" fillId="54" borderId="129" xfId="0" applyFont="1" applyFill="1" applyBorder="1" applyAlignment="1">
      <alignment horizontal="left" vertical="center" wrapText="1"/>
    </xf>
    <xf numFmtId="0" fontId="92" fillId="54" borderId="130" xfId="0" applyFont="1" applyFill="1" applyBorder="1" applyAlignment="1">
      <alignment horizontal="left" vertical="center" wrapText="1"/>
    </xf>
    <xf numFmtId="0" fontId="92" fillId="54" borderId="139" xfId="0" applyFont="1" applyFill="1" applyBorder="1" applyAlignment="1">
      <alignment horizontal="right" vertical="center" wrapText="1"/>
    </xf>
    <xf numFmtId="0" fontId="92" fillId="54" borderId="132" xfId="0" applyFont="1" applyFill="1" applyBorder="1" applyAlignment="1">
      <alignment horizontal="right" vertical="center" wrapText="1"/>
    </xf>
    <xf numFmtId="0" fontId="92" fillId="54" borderId="131" xfId="0" applyFont="1" applyFill="1" applyBorder="1" applyAlignment="1">
      <alignment horizontal="right" vertical="center" wrapText="1"/>
    </xf>
    <xf numFmtId="0" fontId="92" fillId="54" borderId="135" xfId="0" applyFont="1" applyFill="1" applyBorder="1" applyAlignment="1">
      <alignment horizontal="right" vertical="center" wrapText="1"/>
    </xf>
    <xf numFmtId="0" fontId="92" fillId="54" borderId="136" xfId="0" applyFont="1" applyFill="1" applyBorder="1" applyAlignment="1">
      <alignment horizontal="right" vertical="center" wrapText="1"/>
    </xf>
    <xf numFmtId="0" fontId="92" fillId="54" borderId="130" xfId="0" applyFont="1" applyFill="1" applyBorder="1" applyAlignment="1">
      <alignment horizontal="right" vertical="center" wrapText="1"/>
    </xf>
    <xf numFmtId="0" fontId="92" fillId="54" borderId="138" xfId="0" applyFont="1" applyFill="1" applyBorder="1" applyAlignment="1">
      <alignment horizontal="right" vertical="center" wrapText="1"/>
    </xf>
    <xf numFmtId="0" fontId="92" fillId="54" borderId="146" xfId="0" applyFont="1" applyFill="1" applyBorder="1" applyAlignment="1">
      <alignment horizontal="right" vertical="center" wrapText="1"/>
    </xf>
    <xf numFmtId="0" fontId="92" fillId="54" borderId="147" xfId="0" applyFont="1" applyFill="1" applyBorder="1" applyAlignment="1">
      <alignment horizontal="right" vertical="center" wrapText="1"/>
    </xf>
    <xf numFmtId="0" fontId="92" fillId="2" borderId="132" xfId="0" applyFont="1" applyFill="1" applyBorder="1" applyAlignment="1">
      <alignment horizontal="center" vertical="center" wrapText="1"/>
    </xf>
    <xf numFmtId="0" fontId="92" fillId="2" borderId="141" xfId="0" applyFont="1" applyFill="1" applyBorder="1" applyAlignment="1">
      <alignment horizontal="center" vertical="center" wrapText="1"/>
    </xf>
    <xf numFmtId="0" fontId="92" fillId="54" borderId="141" xfId="0" applyFont="1" applyFill="1" applyBorder="1" applyAlignment="1">
      <alignment horizontal="right" vertical="center" wrapText="1"/>
    </xf>
    <xf numFmtId="0" fontId="118" fillId="0" borderId="134" xfId="0" applyFont="1" applyBorder="1" applyAlignment="1">
      <alignment horizontal="center"/>
    </xf>
    <xf numFmtId="0" fontId="118" fillId="0" borderId="135" xfId="0" applyFont="1" applyBorder="1" applyAlignment="1">
      <alignment horizontal="center"/>
    </xf>
    <xf numFmtId="0" fontId="118" fillId="0" borderId="136" xfId="0" applyFont="1" applyBorder="1" applyAlignment="1">
      <alignment horizontal="center"/>
    </xf>
    <xf numFmtId="0" fontId="0" fillId="0" borderId="139" xfId="0" applyBorder="1" applyAlignment="1">
      <alignment horizontal="center"/>
    </xf>
    <xf numFmtId="0" fontId="0" fillId="0" borderId="142" xfId="0" applyBorder="1" applyAlignment="1">
      <alignment horizontal="center"/>
    </xf>
    <xf numFmtId="0" fontId="4" fillId="0" borderId="134" xfId="0" applyFont="1" applyBorder="1" applyAlignment="1">
      <alignment horizontal="center"/>
    </xf>
    <xf numFmtId="0" fontId="4" fillId="0" borderId="133" xfId="0" applyFont="1" applyBorder="1" applyAlignment="1">
      <alignment horizontal="center"/>
    </xf>
    <xf numFmtId="0" fontId="4" fillId="0" borderId="136" xfId="0" applyFont="1" applyBorder="1" applyAlignment="1">
      <alignment horizontal="center"/>
    </xf>
    <xf numFmtId="0" fontId="4" fillId="0" borderId="137" xfId="0" applyFont="1" applyBorder="1" applyAlignment="1">
      <alignment horizontal="center"/>
    </xf>
    <xf numFmtId="0" fontId="118" fillId="0" borderId="132" xfId="0" applyFont="1" applyBorder="1" applyAlignment="1">
      <alignment horizontal="center"/>
    </xf>
    <xf numFmtId="0" fontId="118" fillId="0" borderId="141" xfId="0" applyFont="1" applyBorder="1" applyAlignment="1">
      <alignment horizontal="center"/>
    </xf>
    <xf numFmtId="0" fontId="118" fillId="0" borderId="131" xfId="0" applyFont="1" applyBorder="1" applyAlignment="1">
      <alignment horizontal="center"/>
    </xf>
    <xf numFmtId="0" fontId="127" fillId="61" borderId="0" xfId="0" applyFont="1" applyFill="1" applyAlignment="1">
      <alignment horizontal="left" vertical="top"/>
    </xf>
    <xf numFmtId="0" fontId="127" fillId="61" borderId="160" xfId="0" applyFont="1" applyFill="1" applyBorder="1" applyAlignment="1">
      <alignment horizontal="left" vertical="top"/>
    </xf>
    <xf numFmtId="0" fontId="127" fillId="6" borderId="149" xfId="0" applyFont="1" applyFill="1" applyBorder="1" applyAlignment="1">
      <alignment horizontal="left" vertical="top" wrapText="1"/>
    </xf>
    <xf numFmtId="0" fontId="127" fillId="6" borderId="0" xfId="0" applyFont="1" applyFill="1" applyAlignment="1">
      <alignment horizontal="left" vertical="top" wrapText="1"/>
    </xf>
    <xf numFmtId="0" fontId="127" fillId="61" borderId="149" xfId="0" applyFont="1" applyFill="1" applyBorder="1" applyAlignment="1">
      <alignment horizontal="left" vertical="top"/>
    </xf>
    <xf numFmtId="0" fontId="0" fillId="61" borderId="149" xfId="0" applyFill="1" applyBorder="1" applyAlignment="1">
      <alignment horizontal="left" vertical="top"/>
    </xf>
    <xf numFmtId="0" fontId="0" fillId="61" borderId="0" xfId="0" applyFill="1" applyAlignment="1">
      <alignment horizontal="left" vertical="top"/>
    </xf>
    <xf numFmtId="0" fontId="128" fillId="6" borderId="0" xfId="0" applyFont="1" applyFill="1" applyAlignment="1">
      <alignment horizontal="center" vertical="center"/>
    </xf>
    <xf numFmtId="0" fontId="2" fillId="61" borderId="0" xfId="0" applyFont="1" applyFill="1" applyAlignment="1">
      <alignment horizontal="left" vertical="top" wrapText="1"/>
    </xf>
    <xf numFmtId="0" fontId="2" fillId="61" borderId="160" xfId="0" applyFont="1" applyFill="1" applyBorder="1" applyAlignment="1">
      <alignment horizontal="left" vertical="top" wrapText="1"/>
    </xf>
    <xf numFmtId="0" fontId="2" fillId="61" borderId="164" xfId="0" applyFont="1" applyFill="1" applyBorder="1" applyAlignment="1">
      <alignment horizontal="left" vertical="top" wrapText="1"/>
    </xf>
    <xf numFmtId="0" fontId="2" fillId="61" borderId="163" xfId="0" applyFont="1" applyFill="1" applyBorder="1" applyAlignment="1">
      <alignment horizontal="left" vertical="top" wrapText="1"/>
    </xf>
    <xf numFmtId="0" fontId="2" fillId="61" borderId="149" xfId="0" applyFont="1" applyFill="1" applyBorder="1" applyAlignment="1">
      <alignment horizontal="left" vertical="top" wrapText="1"/>
    </xf>
    <xf numFmtId="0" fontId="2" fillId="61" borderId="162" xfId="0" applyFont="1" applyFill="1" applyBorder="1" applyAlignment="1">
      <alignment horizontal="left" wrapText="1"/>
    </xf>
    <xf numFmtId="0" fontId="2" fillId="61" borderId="163" xfId="0" applyFont="1" applyFill="1" applyBorder="1" applyAlignment="1">
      <alignment horizontal="left" wrapText="1"/>
    </xf>
    <xf numFmtId="0" fontId="75" fillId="61" borderId="159" xfId="0" applyFont="1" applyFill="1" applyBorder="1" applyAlignment="1">
      <alignment horizontal="left"/>
    </xf>
    <xf numFmtId="0" fontId="75" fillId="61" borderId="0" xfId="0" applyFont="1" applyFill="1" applyAlignment="1">
      <alignment horizontal="left"/>
    </xf>
    <xf numFmtId="0" fontId="72" fillId="61" borderId="0" xfId="0" applyFont="1" applyFill="1" applyAlignment="1">
      <alignment horizontal="left"/>
    </xf>
    <xf numFmtId="3" fontId="0" fillId="61" borderId="0" xfId="0" applyNumberFormat="1" applyFill="1" applyAlignment="1">
      <alignment horizontal="center"/>
    </xf>
    <xf numFmtId="0" fontId="0" fillId="61" borderId="0" xfId="0" applyFill="1" applyAlignment="1">
      <alignment horizontal="center"/>
    </xf>
    <xf numFmtId="0" fontId="0" fillId="61" borderId="0" xfId="0" applyFill="1" applyAlignment="1">
      <alignment horizontal="left"/>
    </xf>
    <xf numFmtId="0" fontId="0" fillId="0" borderId="0" xfId="0" applyAlignment="1">
      <alignment horizontal="center"/>
    </xf>
    <xf numFmtId="0" fontId="128" fillId="6" borderId="159" xfId="0" applyFont="1" applyFill="1" applyBorder="1" applyAlignment="1">
      <alignment horizontal="center"/>
    </xf>
    <xf numFmtId="0" fontId="128" fillId="6" borderId="0" xfId="0" applyFont="1" applyFill="1" applyAlignment="1">
      <alignment horizontal="center"/>
    </xf>
    <xf numFmtId="0" fontId="0" fillId="61" borderId="149" xfId="0" applyFill="1" applyBorder="1" applyAlignment="1">
      <alignment horizontal="left"/>
    </xf>
    <xf numFmtId="0" fontId="0" fillId="61" borderId="160" xfId="0" applyFill="1" applyBorder="1" applyAlignment="1">
      <alignment horizontal="center"/>
    </xf>
    <xf numFmtId="0" fontId="0" fillId="61" borderId="161" xfId="0" applyFill="1" applyBorder="1" applyAlignment="1">
      <alignment horizontal="center"/>
    </xf>
    <xf numFmtId="3" fontId="0" fillId="61" borderId="161" xfId="0" applyNumberFormat="1" applyFill="1" applyBorder="1" applyAlignment="1">
      <alignment horizontal="center"/>
    </xf>
    <xf numFmtId="4" fontId="0" fillId="61" borderId="161" xfId="0" applyNumberFormat="1" applyFill="1" applyBorder="1" applyAlignment="1">
      <alignment horizontal="center"/>
    </xf>
    <xf numFmtId="0" fontId="4" fillId="0" borderId="0" xfId="0" applyFont="1" applyAlignment="1">
      <alignment horizontal="left"/>
    </xf>
    <xf numFmtId="0" fontId="128" fillId="6" borderId="0" xfId="0" applyFont="1" applyFill="1" applyAlignment="1">
      <alignment horizontal="right"/>
    </xf>
    <xf numFmtId="0" fontId="0" fillId="6" borderId="0" xfId="0" applyFill="1" applyAlignment="1">
      <alignment horizontal="right"/>
    </xf>
    <xf numFmtId="0" fontId="2" fillId="0" borderId="0" xfId="0" applyFont="1" applyAlignment="1">
      <alignment horizontal="left" vertical="top"/>
    </xf>
    <xf numFmtId="0" fontId="2" fillId="59" borderId="0" xfId="0" applyFont="1" applyFill="1" applyAlignment="1">
      <alignment horizontal="center" vertical="top"/>
    </xf>
    <xf numFmtId="0" fontId="2" fillId="59" borderId="159" xfId="0" applyFont="1" applyFill="1" applyBorder="1" applyAlignment="1">
      <alignment horizontal="center" vertical="top"/>
    </xf>
    <xf numFmtId="0" fontId="127" fillId="61" borderId="0" xfId="0" applyFont="1" applyFill="1" applyAlignment="1">
      <alignment horizontal="left"/>
    </xf>
    <xf numFmtId="0" fontId="8" fillId="6" borderId="0" xfId="0" applyFont="1" applyFill="1" applyAlignment="1">
      <alignment horizontal="left"/>
    </xf>
    <xf numFmtId="0" fontId="0" fillId="6" borderId="0" xfId="0" applyFill="1" applyAlignment="1">
      <alignment horizontal="left"/>
    </xf>
    <xf numFmtId="0" fontId="127" fillId="0" borderId="0" xfId="0" applyFont="1" applyAlignment="1">
      <alignment horizontal="left" vertical="top" wrapText="1"/>
    </xf>
    <xf numFmtId="0" fontId="0" fillId="0" borderId="0" xfId="0" applyAlignment="1">
      <alignment horizontal="left" vertical="top" wrapText="1"/>
    </xf>
    <xf numFmtId="0" fontId="0" fillId="61" borderId="161" xfId="0" applyFill="1" applyBorder="1" applyAlignment="1">
      <alignment horizontal="left"/>
    </xf>
    <xf numFmtId="0" fontId="0" fillId="4" borderId="18" xfId="0" applyFill="1" applyBorder="1" applyAlignment="1">
      <alignment horizontal="center"/>
    </xf>
    <xf numFmtId="0" fontId="0" fillId="4" borderId="19" xfId="0" applyFill="1" applyBorder="1" applyAlignment="1">
      <alignment horizontal="center"/>
    </xf>
    <xf numFmtId="0" fontId="0" fillId="41" borderId="10" xfId="0" applyFill="1" applyBorder="1" applyAlignment="1" applyProtection="1">
      <alignment horizontal="right"/>
      <protection locked="0"/>
    </xf>
    <xf numFmtId="0" fontId="0" fillId="41" borderId="45" xfId="0" applyFill="1" applyBorder="1" applyAlignment="1" applyProtection="1">
      <alignment horizontal="right"/>
      <protection locked="0"/>
    </xf>
    <xf numFmtId="0" fontId="0" fillId="5" borderId="10" xfId="0" applyFill="1" applyBorder="1" applyAlignment="1">
      <alignment horizontal="right"/>
    </xf>
    <xf numFmtId="0" fontId="0" fillId="5" borderId="45" xfId="0" applyFill="1" applyBorder="1" applyAlignment="1">
      <alignment horizontal="right"/>
    </xf>
    <xf numFmtId="0" fontId="0" fillId="44" borderId="38" xfId="0" applyFill="1" applyBorder="1" applyAlignment="1">
      <alignment horizontal="right"/>
    </xf>
    <xf numFmtId="0" fontId="0" fillId="44" borderId="44" xfId="0" applyFill="1" applyBorder="1" applyAlignment="1">
      <alignment horizontal="right"/>
    </xf>
    <xf numFmtId="0" fontId="0" fillId="6" borderId="20" xfId="0" applyFill="1" applyBorder="1" applyAlignment="1">
      <alignment horizontal="left"/>
    </xf>
    <xf numFmtId="0" fontId="0" fillId="6" borderId="4" xfId="0" applyFill="1" applyBorder="1" applyAlignment="1">
      <alignment horizontal="left"/>
    </xf>
    <xf numFmtId="0" fontId="0" fillId="6" borderId="22" xfId="0" applyFill="1" applyBorder="1" applyAlignment="1">
      <alignment horizontal="left"/>
    </xf>
    <xf numFmtId="0" fontId="0" fillId="6" borderId="60" xfId="0" applyFill="1" applyBorder="1" applyAlignment="1">
      <alignment horizontal="left"/>
    </xf>
    <xf numFmtId="170" fontId="0" fillId="41" borderId="9" xfId="3" applyNumberFormat="1" applyFont="1" applyFill="1" applyBorder="1" applyAlignment="1">
      <alignment horizontal="right" wrapText="1"/>
    </xf>
    <xf numFmtId="0" fontId="0" fillId="44" borderId="1" xfId="0" applyFill="1" applyBorder="1" applyAlignment="1">
      <alignment horizontal="center" vertical="center" wrapText="1"/>
    </xf>
    <xf numFmtId="0" fontId="0" fillId="44" borderId="2" xfId="0" applyFill="1" applyBorder="1" applyAlignment="1">
      <alignment horizontal="center" vertical="center" wrapText="1"/>
    </xf>
    <xf numFmtId="0" fontId="0" fillId="44" borderId="3" xfId="0" applyFill="1" applyBorder="1" applyAlignment="1">
      <alignment horizontal="center" vertical="center" wrapText="1"/>
    </xf>
    <xf numFmtId="0" fontId="0" fillId="44" borderId="4" xfId="0" applyFill="1" applyBorder="1" applyAlignment="1">
      <alignment horizontal="center" vertical="center" wrapText="1"/>
    </xf>
    <xf numFmtId="0" fontId="0" fillId="44" borderId="5" xfId="0" applyFill="1" applyBorder="1" applyAlignment="1">
      <alignment horizontal="center" vertical="center" wrapText="1"/>
    </xf>
    <xf numFmtId="0" fontId="0" fillId="44" borderId="6" xfId="0" applyFill="1" applyBorder="1" applyAlignment="1">
      <alignment horizontal="center" vertical="center" wrapText="1"/>
    </xf>
    <xf numFmtId="0" fontId="0" fillId="44" borderId="7" xfId="0" applyFill="1" applyBorder="1" applyAlignment="1">
      <alignment horizontal="center" vertical="center" wrapText="1"/>
    </xf>
    <xf numFmtId="0" fontId="0" fillId="44" borderId="0" xfId="0" applyFill="1" applyAlignment="1">
      <alignment horizontal="center" vertical="center" wrapText="1"/>
    </xf>
    <xf numFmtId="0" fontId="0" fillId="44" borderId="8" xfId="0" applyFill="1" applyBorder="1" applyAlignment="1">
      <alignment horizontal="center" vertical="center" wrapText="1"/>
    </xf>
    <xf numFmtId="3" fontId="2" fillId="43" borderId="10" xfId="0" applyNumberFormat="1" applyFont="1" applyFill="1" applyBorder="1" applyAlignment="1">
      <alignment horizontal="center" vertical="center" wrapText="1"/>
    </xf>
    <xf numFmtId="3" fontId="2" fillId="43" borderId="12" xfId="0" applyNumberFormat="1" applyFont="1" applyFill="1" applyBorder="1" applyAlignment="1">
      <alignment horizontal="center" vertical="center" wrapText="1"/>
    </xf>
    <xf numFmtId="3" fontId="2" fillId="43" borderId="11" xfId="0" applyNumberFormat="1" applyFont="1" applyFill="1" applyBorder="1" applyAlignment="1">
      <alignment horizontal="center" vertical="center" wrapText="1"/>
    </xf>
    <xf numFmtId="0" fontId="2" fillId="42" borderId="10" xfId="0" applyFont="1" applyFill="1" applyBorder="1" applyAlignment="1">
      <alignment horizontal="center"/>
    </xf>
    <xf numFmtId="0" fontId="2" fillId="42" borderId="12" xfId="0" applyFont="1" applyFill="1" applyBorder="1" applyAlignment="1">
      <alignment horizontal="center"/>
    </xf>
    <xf numFmtId="0" fontId="2" fillId="42" borderId="11" xfId="0" applyFont="1" applyFill="1" applyBorder="1" applyAlignment="1">
      <alignment horizontal="center"/>
    </xf>
    <xf numFmtId="0" fontId="0" fillId="41" borderId="1" xfId="0" applyFill="1" applyBorder="1" applyAlignment="1">
      <alignment horizontal="center" vertical="top" wrapText="1"/>
    </xf>
    <xf numFmtId="0" fontId="0" fillId="41" borderId="7" xfId="0" applyFill="1" applyBorder="1" applyAlignment="1">
      <alignment horizontal="center" vertical="top" wrapText="1"/>
    </xf>
    <xf numFmtId="0" fontId="0" fillId="41" borderId="2" xfId="0" applyFill="1" applyBorder="1" applyAlignment="1">
      <alignment horizontal="center" vertical="top" wrapText="1"/>
    </xf>
    <xf numFmtId="0" fontId="0" fillId="41" borderId="3" xfId="0" applyFill="1" applyBorder="1" applyAlignment="1">
      <alignment horizontal="center" vertical="top" wrapText="1"/>
    </xf>
    <xf numFmtId="0" fontId="0" fillId="41" borderId="0" xfId="0" applyFill="1" applyAlignment="1">
      <alignment horizontal="center" vertical="top" wrapText="1"/>
    </xf>
    <xf numFmtId="0" fontId="0" fillId="41" borderId="4" xfId="0" applyFill="1" applyBorder="1" applyAlignment="1">
      <alignment horizontal="center" vertical="top" wrapText="1"/>
    </xf>
    <xf numFmtId="0" fontId="0" fillId="41" borderId="5" xfId="0" applyFill="1" applyBorder="1" applyAlignment="1">
      <alignment horizontal="center" vertical="top" wrapText="1"/>
    </xf>
    <xf numFmtId="0" fontId="0" fillId="41" borderId="8" xfId="0" applyFill="1" applyBorder="1" applyAlignment="1">
      <alignment horizontal="center" vertical="top" wrapText="1"/>
    </xf>
    <xf numFmtId="0" fontId="0" fillId="41" borderId="6" xfId="0" applyFill="1" applyBorder="1" applyAlignment="1">
      <alignment horizontal="center" vertical="top" wrapText="1"/>
    </xf>
    <xf numFmtId="170" fontId="0" fillId="41" borderId="9" xfId="3" quotePrefix="1" applyNumberFormat="1" applyFont="1" applyFill="1" applyBorder="1" applyAlignment="1">
      <alignment horizontal="right" wrapText="1"/>
    </xf>
    <xf numFmtId="170" fontId="0" fillId="41" borderId="10" xfId="3" applyNumberFormat="1" applyFont="1" applyFill="1" applyBorder="1" applyAlignment="1">
      <alignment horizontal="right" wrapText="1"/>
    </xf>
    <xf numFmtId="170" fontId="0" fillId="41" borderId="12" xfId="3" applyNumberFormat="1" applyFont="1" applyFill="1" applyBorder="1" applyAlignment="1">
      <alignment horizontal="right" wrapText="1"/>
    </xf>
    <xf numFmtId="170" fontId="0" fillId="41" borderId="11" xfId="3" applyNumberFormat="1" applyFont="1" applyFill="1" applyBorder="1" applyAlignment="1">
      <alignment horizontal="right" wrapText="1"/>
    </xf>
    <xf numFmtId="0" fontId="0" fillId="5" borderId="9" xfId="0" applyFill="1" applyBorder="1" applyAlignment="1">
      <alignment horizontal="center"/>
    </xf>
    <xf numFmtId="3" fontId="0" fillId="5" borderId="10" xfId="0" applyNumberFormat="1" applyFill="1" applyBorder="1" applyAlignment="1">
      <alignment horizontal="center" vertical="center" wrapText="1"/>
    </xf>
    <xf numFmtId="3" fontId="0" fillId="5" borderId="12" xfId="0" applyNumberFormat="1" applyFill="1" applyBorder="1" applyAlignment="1">
      <alignment horizontal="center" vertical="center" wrapText="1"/>
    </xf>
    <xf numFmtId="3" fontId="0" fillId="5" borderId="11" xfId="0" applyNumberFormat="1" applyFill="1" applyBorder="1" applyAlignment="1">
      <alignment horizontal="center" vertical="center" wrapText="1"/>
    </xf>
    <xf numFmtId="0" fontId="0" fillId="41" borderId="10" xfId="3" applyNumberFormat="1" applyFont="1" applyFill="1" applyBorder="1" applyAlignment="1">
      <alignment horizontal="center"/>
    </xf>
    <xf numFmtId="0" fontId="0" fillId="41" borderId="12" xfId="3" applyNumberFormat="1" applyFont="1" applyFill="1" applyBorder="1" applyAlignment="1">
      <alignment horizontal="center"/>
    </xf>
    <xf numFmtId="0" fontId="0" fillId="41" borderId="11" xfId="3" applyNumberFormat="1" applyFont="1" applyFill="1" applyBorder="1" applyAlignment="1">
      <alignment horizontal="center"/>
    </xf>
    <xf numFmtId="3" fontId="0" fillId="41" borderId="10" xfId="0" applyNumberFormat="1" applyFill="1" applyBorder="1" applyAlignment="1">
      <alignment horizontal="center"/>
    </xf>
    <xf numFmtId="3" fontId="0" fillId="41" borderId="12" xfId="0" applyNumberFormat="1" applyFill="1" applyBorder="1" applyAlignment="1">
      <alignment horizontal="center"/>
    </xf>
    <xf numFmtId="3" fontId="0" fillId="41" borderId="11" xfId="0" applyNumberFormat="1" applyFill="1" applyBorder="1" applyAlignment="1">
      <alignment horizontal="center"/>
    </xf>
    <xf numFmtId="3" fontId="0" fillId="41" borderId="10" xfId="0" applyNumberFormat="1" applyFill="1" applyBorder="1" applyAlignment="1">
      <alignment horizontal="center" vertical="center" wrapText="1"/>
    </xf>
    <xf numFmtId="3" fontId="0" fillId="41" borderId="12" xfId="0" applyNumberFormat="1" applyFill="1" applyBorder="1" applyAlignment="1">
      <alignment horizontal="center" vertical="center" wrapText="1"/>
    </xf>
    <xf numFmtId="3" fontId="0" fillId="41" borderId="11" xfId="0" applyNumberFormat="1" applyFill="1" applyBorder="1" applyAlignment="1">
      <alignment horizontal="center" vertical="center" wrapText="1"/>
    </xf>
    <xf numFmtId="0" fontId="2" fillId="6" borderId="8" xfId="0" applyFont="1" applyFill="1" applyBorder="1" applyAlignment="1">
      <alignment horizontal="center"/>
    </xf>
    <xf numFmtId="3" fontId="2" fillId="6" borderId="0" xfId="0" applyNumberFormat="1" applyFont="1" applyFill="1" applyAlignment="1">
      <alignment horizontal="center" vertical="center" wrapText="1"/>
    </xf>
    <xf numFmtId="2" fontId="0" fillId="43" borderId="10" xfId="0" applyNumberFormat="1" applyFill="1" applyBorder="1" applyAlignment="1">
      <alignment horizontal="center" vertical="center" wrapText="1"/>
    </xf>
    <xf numFmtId="2" fontId="0" fillId="43" borderId="12" xfId="0" applyNumberFormat="1" applyFill="1" applyBorder="1" applyAlignment="1">
      <alignment horizontal="center" vertical="center" wrapText="1"/>
    </xf>
    <xf numFmtId="2" fontId="0" fillId="43" borderId="11" xfId="0" applyNumberFormat="1" applyFill="1" applyBorder="1" applyAlignment="1">
      <alignment horizontal="center" vertical="center" wrapText="1"/>
    </xf>
    <xf numFmtId="0" fontId="0" fillId="43" borderId="10" xfId="0" applyFill="1" applyBorder="1" applyAlignment="1">
      <alignment horizontal="center"/>
    </xf>
    <xf numFmtId="0" fontId="0" fillId="43" borderId="12" xfId="0" applyFill="1" applyBorder="1" applyAlignment="1">
      <alignment horizontal="center"/>
    </xf>
    <xf numFmtId="0" fontId="0" fillId="43" borderId="11" xfId="0" applyFill="1" applyBorder="1" applyAlignment="1">
      <alignment horizontal="center"/>
    </xf>
    <xf numFmtId="0" fontId="2" fillId="43" borderId="10" xfId="0" applyFont="1" applyFill="1" applyBorder="1" applyAlignment="1">
      <alignment horizontal="center"/>
    </xf>
    <xf numFmtId="0" fontId="2" fillId="43" borderId="12" xfId="0" applyFont="1" applyFill="1" applyBorder="1" applyAlignment="1">
      <alignment horizontal="center"/>
    </xf>
    <xf numFmtId="0" fontId="2" fillId="43" borderId="11" xfId="0" applyFont="1" applyFill="1" applyBorder="1" applyAlignment="1">
      <alignment horizontal="center"/>
    </xf>
    <xf numFmtId="0" fontId="2" fillId="49" borderId="10" xfId="0" applyFont="1" applyFill="1" applyBorder="1" applyAlignment="1" applyProtection="1">
      <alignment horizontal="center"/>
      <protection locked="0"/>
    </xf>
    <xf numFmtId="0" fontId="2" fillId="49" borderId="11" xfId="0" applyFont="1" applyFill="1" applyBorder="1" applyAlignment="1" applyProtection="1">
      <alignment horizontal="center"/>
      <protection locked="0"/>
    </xf>
    <xf numFmtId="0" fontId="3" fillId="4" borderId="17" xfId="0" applyFont="1" applyFill="1" applyBorder="1" applyAlignment="1" applyProtection="1">
      <alignment horizontal="center"/>
      <protection locked="0"/>
    </xf>
    <xf numFmtId="0" fontId="3" fillId="4" borderId="18" xfId="0" applyFont="1" applyFill="1" applyBorder="1" applyAlignment="1" applyProtection="1">
      <alignment horizontal="center"/>
      <protection locked="0"/>
    </xf>
    <xf numFmtId="0" fontId="3" fillId="4" borderId="19" xfId="0" applyFont="1" applyFill="1" applyBorder="1" applyAlignment="1" applyProtection="1">
      <alignment horizontal="center"/>
      <protection locked="0"/>
    </xf>
    <xf numFmtId="0" fontId="3" fillId="51" borderId="17" xfId="0" applyFont="1" applyFill="1" applyBorder="1" applyAlignment="1">
      <alignment horizontal="center"/>
    </xf>
    <xf numFmtId="0" fontId="3" fillId="51" borderId="18" xfId="0" applyFont="1" applyFill="1" applyBorder="1" applyAlignment="1">
      <alignment horizontal="center"/>
    </xf>
    <xf numFmtId="0" fontId="3" fillId="51" borderId="19" xfId="0" applyFont="1" applyFill="1" applyBorder="1" applyAlignment="1">
      <alignment horizontal="center"/>
    </xf>
    <xf numFmtId="0" fontId="0" fillId="5" borderId="10" xfId="0" applyFill="1" applyBorder="1" applyAlignment="1" applyProtection="1">
      <alignment horizontal="right"/>
      <protection locked="0"/>
    </xf>
    <xf numFmtId="0" fontId="0" fillId="5" borderId="45" xfId="0" applyFill="1" applyBorder="1" applyAlignment="1" applyProtection="1">
      <alignment horizontal="right"/>
      <protection locked="0"/>
    </xf>
    <xf numFmtId="0" fontId="0" fillId="44" borderId="38" xfId="0" applyFill="1" applyBorder="1" applyAlignment="1" applyProtection="1">
      <alignment horizontal="right"/>
      <protection locked="0"/>
    </xf>
    <xf numFmtId="0" fontId="0" fillId="44" borderId="44" xfId="0" applyFill="1" applyBorder="1" applyAlignment="1" applyProtection="1">
      <alignment horizontal="right"/>
      <protection locked="0"/>
    </xf>
    <xf numFmtId="0" fontId="3" fillId="4" borderId="17" xfId="0" applyFont="1" applyFill="1" applyBorder="1" applyAlignment="1" applyProtection="1">
      <alignment horizontal="left"/>
      <protection locked="0"/>
    </xf>
    <xf numFmtId="0" fontId="3" fillId="4" borderId="18" xfId="0" applyFont="1" applyFill="1" applyBorder="1" applyAlignment="1" applyProtection="1">
      <alignment horizontal="left"/>
      <protection locked="0"/>
    </xf>
    <xf numFmtId="0" fontId="3" fillId="4" borderId="19" xfId="0" applyFont="1" applyFill="1" applyBorder="1" applyAlignment="1" applyProtection="1">
      <alignment horizontal="left"/>
      <protection locked="0"/>
    </xf>
    <xf numFmtId="0" fontId="0" fillId="0" borderId="8" xfId="0" applyBorder="1" applyAlignment="1">
      <alignment horizontal="center"/>
    </xf>
    <xf numFmtId="0" fontId="53" fillId="46" borderId="0" xfId="0" applyFont="1" applyFill="1" applyAlignment="1">
      <alignment horizontal="center" wrapText="1"/>
    </xf>
    <xf numFmtId="0" fontId="53" fillId="45" borderId="0" xfId="0" applyFont="1" applyFill="1" applyAlignment="1">
      <alignment horizontal="center"/>
    </xf>
    <xf numFmtId="0" fontId="0" fillId="40" borderId="0" xfId="0" applyFill="1" applyAlignment="1">
      <alignment horizontal="center"/>
    </xf>
    <xf numFmtId="0" fontId="14" fillId="0" borderId="0" xfId="0" applyFont="1" applyAlignment="1">
      <alignment horizontal="center"/>
    </xf>
  </cellXfs>
  <cellStyles count="49">
    <cellStyle name="20 % – uthevingsfarge 1" xfId="24" builtinId="30" customBuiltin="1"/>
    <cellStyle name="20 % – uthevingsfarge 2" xfId="28" builtinId="34" customBuiltin="1"/>
    <cellStyle name="20 % – uthevingsfarge 3" xfId="32" builtinId="38" customBuiltin="1"/>
    <cellStyle name="20 % – uthevingsfarge 4" xfId="36" builtinId="42" customBuiltin="1"/>
    <cellStyle name="20 % – uthevingsfarge 5" xfId="40" builtinId="46" customBuiltin="1"/>
    <cellStyle name="20 % – uthevingsfarge 6" xfId="44" builtinId="50" customBuiltin="1"/>
    <cellStyle name="40 % – uthevingsfarge 1" xfId="25" builtinId="31" customBuiltin="1"/>
    <cellStyle name="40 % – uthevingsfarge 2" xfId="29" builtinId="35" customBuiltin="1"/>
    <cellStyle name="40 % – uthevingsfarge 3" xfId="33" builtinId="39" customBuiltin="1"/>
    <cellStyle name="40 % – uthevingsfarge 4" xfId="37" builtinId="43" customBuiltin="1"/>
    <cellStyle name="40 % – uthevingsfarge 5" xfId="41" builtinId="47" customBuiltin="1"/>
    <cellStyle name="40 % – uthevingsfarge 6" xfId="45" builtinId="51" customBuiltin="1"/>
    <cellStyle name="60 % – uthevingsfarge 1" xfId="26" builtinId="32" customBuiltin="1"/>
    <cellStyle name="60 % – uthevingsfarge 2" xfId="30" builtinId="36" customBuiltin="1"/>
    <cellStyle name="60 % – uthevingsfarge 3" xfId="34" builtinId="40" customBuiltin="1"/>
    <cellStyle name="60 % – uthevingsfarge 4" xfId="38" builtinId="44" customBuiltin="1"/>
    <cellStyle name="60 % – uthevingsfarge 5" xfId="42" builtinId="48" customBuiltin="1"/>
    <cellStyle name="60 % – uthevingsfarge 6" xfId="46" builtinId="52" customBuiltin="1"/>
    <cellStyle name="Benyttet hyperkobling" xfId="5" builtinId="9" customBuiltin="1"/>
    <cellStyle name="Beregning" xfId="16" builtinId="22" customBuiltin="1"/>
    <cellStyle name="Dårlig" xfId="12" builtinId="27" customBuiltin="1"/>
    <cellStyle name="Forklarende tekst" xfId="21" builtinId="53" customBuiltin="1"/>
    <cellStyle name="God" xfId="11" builtinId="26" customBuiltin="1"/>
    <cellStyle name="Hyperkobling" xfId="2" builtinId="8"/>
    <cellStyle name="Hyperkobling 2" xfId="47" xr:uid="{DA7B5233-F655-4DD7-A2A1-2C2D6ADDE6CD}"/>
    <cellStyle name="Inndata" xfId="14" builtinId="20" customBuiltin="1"/>
    <cellStyle name="Koblet celle" xfId="17" builtinId="24" customBuiltin="1"/>
    <cellStyle name="Komma" xfId="3" builtinId="3"/>
    <cellStyle name="Kontrollcelle" xfId="18" builtinId="23" customBuiltin="1"/>
    <cellStyle name="Merknad" xfId="20" builtinId="10" customBuiltin="1"/>
    <cellStyle name="Normal" xfId="0" builtinId="0"/>
    <cellStyle name="Normal 2" xfId="48" xr:uid="{302048A7-B752-450A-AB89-0DB700CDBFE1}"/>
    <cellStyle name="Normal 3" xfId="1" xr:uid="{00000000-0005-0000-0000-000004000000}"/>
    <cellStyle name="Nøytral" xfId="13" builtinId="28" customBuiltin="1"/>
    <cellStyle name="Overskrift 1" xfId="7" builtinId="16" customBuiltin="1"/>
    <cellStyle name="Overskrift 2" xfId="8" builtinId="17" customBuiltin="1"/>
    <cellStyle name="Overskrift 3" xfId="9" builtinId="18" customBuiltin="1"/>
    <cellStyle name="Overskrift 4" xfId="10" builtinId="19" customBuiltin="1"/>
    <cellStyle name="Prosent" xfId="4" builtinId="5"/>
    <cellStyle name="Tittel" xfId="6" builtinId="15" customBuiltin="1"/>
    <cellStyle name="Totalt" xfId="22" builtinId="25" customBuiltin="1"/>
    <cellStyle name="Utdata" xfId="15" builtinId="21" customBuiltin="1"/>
    <cellStyle name="Uthevingsfarge1" xfId="23" builtinId="29" customBuiltin="1"/>
    <cellStyle name="Uthevingsfarge2" xfId="27" builtinId="33" customBuiltin="1"/>
    <cellStyle name="Uthevingsfarge3" xfId="31" builtinId="37" customBuiltin="1"/>
    <cellStyle name="Uthevingsfarge4" xfId="35" builtinId="41" customBuiltin="1"/>
    <cellStyle name="Uthevingsfarge5" xfId="39" builtinId="45" customBuiltin="1"/>
    <cellStyle name="Uthevingsfarge6" xfId="43" builtinId="49" customBuiltin="1"/>
    <cellStyle name="Varseltekst" xfId="19" builtinId="11" customBuiltin="1"/>
  </cellStyles>
  <dxfs count="729">
    <dxf>
      <border>
        <bottom style="medium">
          <color auto="1"/>
        </bottom>
      </border>
    </dxf>
    <dxf>
      <border diagonalUp="0" diagonalDown="0">
        <left/>
        <right/>
        <top/>
        <bottom/>
        <vertical/>
        <horizontal/>
      </border>
    </dxf>
    <dxf>
      <border diagonalUp="0" diagonalDown="0">
        <top/>
        <bottom/>
        <horizontal/>
      </border>
    </dxf>
    <dxf>
      <border diagonalUp="0" diagonalDown="0">
        <left style="medium">
          <color indexed="64"/>
        </left>
        <top/>
        <bottom/>
        <horizontal/>
      </border>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2" formatCode="0.00"/>
      <fill>
        <patternFill patternType="none">
          <fgColor indexed="64"/>
          <bgColor indexed="65"/>
        </patternFill>
      </fill>
    </dxf>
    <dxf>
      <numFmt numFmtId="0" formatCode="General"/>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numFmt numFmtId="2" formatCode="0.00"/>
      <fill>
        <patternFill patternType="none">
          <fgColor indexed="64"/>
          <bgColor indexed="65"/>
        </patternFill>
      </fill>
    </dxf>
    <dxf>
      <border>
        <bottom style="medium">
          <color indexed="64"/>
        </bottom>
      </border>
    </dxf>
    <dxf>
      <border diagonalUp="0" diagonalDown="0">
        <left/>
        <right/>
        <top/>
        <bottom/>
        <vertical/>
        <horizontal/>
      </border>
    </dxf>
    <dxf>
      <fill>
        <patternFill patternType="solid">
          <fgColor indexed="64"/>
          <bgColor rgb="FFD9D9D9"/>
        </patternFill>
      </fill>
      <border diagonalUp="0" diagonalDown="0">
        <left/>
        <right/>
        <top/>
        <bottom/>
      </border>
    </dxf>
    <dxf>
      <fill>
        <patternFill patternType="none">
          <fgColor indexed="64"/>
          <bgColor auto="1"/>
        </patternFill>
      </fill>
    </dxf>
    <dxf>
      <fill>
        <patternFill patternType="solid">
          <fgColor indexed="64"/>
          <bgColor rgb="FFD9D9D9"/>
        </patternFill>
      </fill>
      <border diagonalUp="0" diagonalDown="0">
        <left/>
        <right/>
        <top/>
        <bottom/>
      </border>
    </dxf>
    <dxf>
      <fill>
        <patternFill patternType="none">
          <fgColor indexed="64"/>
          <bgColor auto="1"/>
        </patternFill>
      </fill>
    </dxf>
    <dxf>
      <fill>
        <patternFill patternType="solid">
          <fgColor indexed="64"/>
          <bgColor rgb="FFD9D9D9"/>
        </patternFill>
      </fill>
      <border diagonalUp="0" diagonalDown="0">
        <left/>
        <right/>
        <top/>
        <bottom/>
      </border>
    </dxf>
    <dxf>
      <fill>
        <patternFill patternType="none">
          <fgColor indexed="64"/>
          <bgColor auto="1"/>
        </patternFill>
      </fill>
    </dxf>
    <dxf>
      <fill>
        <patternFill patternType="solid">
          <fgColor indexed="64"/>
          <bgColor rgb="FFD9D9D9"/>
        </patternFill>
      </fill>
      <border diagonalUp="0" diagonalDown="0">
        <left/>
        <right/>
        <top/>
        <bottom/>
      </border>
    </dxf>
    <dxf>
      <fill>
        <patternFill patternType="none">
          <fgColor indexed="64"/>
          <bgColor auto="1"/>
        </patternFill>
      </fill>
    </dxf>
    <dxf>
      <fill>
        <patternFill patternType="solid">
          <fgColor indexed="64"/>
          <bgColor rgb="FFD9D9D9"/>
        </patternFill>
      </fill>
      <border diagonalUp="0" diagonalDown="0">
        <left/>
        <right/>
        <top/>
        <bottom/>
      </border>
    </dxf>
    <dxf>
      <fill>
        <patternFill patternType="none">
          <fgColor indexed="64"/>
          <bgColor auto="1"/>
        </patternFill>
      </fill>
    </dxf>
    <dxf>
      <fill>
        <patternFill patternType="solid">
          <fgColor indexed="64"/>
          <bgColor rgb="FFD9D9D9"/>
        </patternFill>
      </fill>
      <border diagonalUp="0" diagonalDown="0">
        <left/>
        <right/>
        <top/>
        <bottom/>
      </border>
    </dxf>
    <dxf>
      <fill>
        <patternFill patternType="none">
          <fgColor indexed="64"/>
          <bgColor auto="1"/>
        </patternFill>
      </fill>
    </dxf>
    <dxf>
      <fill>
        <patternFill patternType="solid">
          <fgColor indexed="64"/>
          <bgColor rgb="FFD9D9D9"/>
        </patternFill>
      </fill>
      <border diagonalUp="0" diagonalDown="0">
        <left/>
        <right/>
        <top/>
        <bottom/>
      </border>
    </dxf>
    <dxf>
      <fill>
        <patternFill patternType="none">
          <fgColor indexed="64"/>
          <bgColor auto="1"/>
        </patternFill>
      </fill>
    </dxf>
    <dxf>
      <fill>
        <patternFill patternType="solid">
          <fgColor indexed="64"/>
          <bgColor rgb="FFD9D9D9"/>
        </patternFill>
      </fill>
      <border diagonalUp="0" diagonalDown="0">
        <left/>
        <right/>
        <top/>
        <bottom/>
      </border>
    </dxf>
    <dxf>
      <fill>
        <patternFill patternType="none">
          <fgColor indexed="64"/>
          <bgColor auto="1"/>
        </patternFill>
      </fill>
    </dxf>
    <dxf>
      <fill>
        <patternFill patternType="solid">
          <fgColor indexed="64"/>
          <bgColor rgb="FFD9D9D9"/>
        </patternFill>
      </fill>
      <border diagonalUp="0" diagonalDown="0">
        <left/>
        <right/>
        <top/>
        <bottom/>
      </border>
    </dxf>
    <dxf>
      <fill>
        <patternFill patternType="none">
          <fgColor indexed="64"/>
          <bgColor auto="1"/>
        </patternFill>
      </fill>
    </dxf>
    <dxf>
      <fill>
        <patternFill patternType="solid">
          <fgColor indexed="64"/>
          <bgColor rgb="FFD9D9D9"/>
        </patternFill>
      </fill>
      <border diagonalUp="0" diagonalDown="0">
        <left/>
        <right/>
        <top/>
        <bottom/>
      </border>
    </dxf>
    <dxf>
      <fill>
        <patternFill patternType="none">
          <fgColor indexed="64"/>
          <bgColor auto="1"/>
        </patternFill>
      </fill>
    </dxf>
    <dxf>
      <fill>
        <patternFill patternType="solid">
          <fgColor indexed="64"/>
          <bgColor rgb="FFD9D9D9"/>
        </patternFill>
      </fill>
      <border diagonalUp="0" diagonalDown="0">
        <left/>
        <right/>
        <top/>
        <bottom/>
      </border>
    </dxf>
    <dxf>
      <fill>
        <patternFill patternType="none">
          <fgColor indexed="64"/>
          <bgColor auto="1"/>
        </patternFill>
      </fill>
    </dxf>
    <dxf>
      <fill>
        <patternFill patternType="solid">
          <fgColor indexed="64"/>
          <bgColor rgb="FFD9D9D9"/>
        </patternFill>
      </fill>
      <border diagonalUp="0" diagonalDown="0">
        <left/>
        <right/>
        <top/>
        <bottom/>
      </border>
    </dxf>
    <dxf>
      <fill>
        <patternFill patternType="none">
          <fgColor indexed="64"/>
          <bgColor auto="1"/>
        </patternFill>
      </fill>
    </dxf>
    <dxf>
      <fill>
        <patternFill patternType="solid">
          <fgColor indexed="64"/>
          <bgColor rgb="FFD9D9D9"/>
        </patternFill>
      </fill>
      <border diagonalUp="0" diagonalDown="0">
        <left/>
        <right/>
        <top/>
        <bottom/>
      </border>
    </dxf>
    <dxf>
      <fill>
        <patternFill patternType="none">
          <fgColor indexed="64"/>
          <bgColor auto="1"/>
        </patternFill>
      </fill>
    </dxf>
    <dxf>
      <fill>
        <patternFill patternType="solid">
          <fgColor indexed="64"/>
          <bgColor rgb="FFD9D9D9"/>
        </patternFill>
      </fill>
      <border diagonalUp="0" diagonalDown="0">
        <left/>
        <right/>
        <top/>
        <bottom/>
      </border>
    </dxf>
    <dxf>
      <fill>
        <patternFill patternType="none">
          <fgColor indexed="64"/>
          <bgColor auto="1"/>
        </patternFill>
      </fill>
    </dxf>
    <dxf>
      <fill>
        <patternFill patternType="solid">
          <fgColor indexed="64"/>
          <bgColor rgb="FFD9D9D9"/>
        </patternFill>
      </fill>
      <border diagonalUp="0" diagonalDown="0">
        <left/>
        <right/>
        <top/>
        <bottom/>
      </border>
    </dxf>
    <dxf>
      <fill>
        <patternFill patternType="none">
          <fgColor indexed="64"/>
          <bgColor auto="1"/>
        </patternFill>
      </fill>
    </dxf>
    <dxf>
      <fill>
        <patternFill patternType="solid">
          <fgColor indexed="64"/>
          <bgColor rgb="FFD9D9D9"/>
        </patternFill>
      </fill>
      <border diagonalUp="0" diagonalDown="0">
        <left/>
        <right/>
        <top/>
        <bottom/>
      </border>
    </dxf>
    <dxf>
      <fill>
        <patternFill patternType="none">
          <fgColor indexed="64"/>
          <bgColor auto="1"/>
        </patternFill>
      </fill>
    </dxf>
    <dxf>
      <fill>
        <patternFill patternType="solid">
          <fgColor indexed="64"/>
          <bgColor rgb="FFD9D9D9"/>
        </patternFill>
      </fill>
      <border diagonalUp="0" diagonalDown="0">
        <left/>
        <right/>
        <top/>
        <bottom/>
      </border>
    </dxf>
    <dxf>
      <fill>
        <patternFill patternType="none">
          <fgColor indexed="64"/>
          <bgColor auto="1"/>
        </patternFill>
      </fill>
    </dxf>
    <dxf>
      <fill>
        <patternFill patternType="solid">
          <fgColor indexed="64"/>
          <bgColor rgb="FFD9D9D9"/>
        </patternFill>
      </fill>
      <border diagonalUp="0" diagonalDown="0">
        <left/>
        <right/>
        <top/>
        <bottom/>
      </border>
    </dxf>
    <dxf>
      <fill>
        <patternFill patternType="none">
          <fgColor indexed="64"/>
          <bgColor auto="1"/>
        </patternFill>
      </fill>
    </dxf>
    <dxf>
      <fill>
        <patternFill patternType="solid">
          <fgColor indexed="64"/>
          <bgColor rgb="FFD9D9D9"/>
        </patternFill>
      </fill>
      <border diagonalUp="0" diagonalDown="0">
        <left/>
        <right/>
        <top/>
        <bottom/>
      </border>
    </dxf>
    <dxf>
      <fill>
        <patternFill patternType="none">
          <fgColor indexed="64"/>
          <bgColor auto="1"/>
        </patternFill>
      </fill>
    </dxf>
    <dxf>
      <fill>
        <patternFill patternType="solid">
          <fgColor indexed="64"/>
          <bgColor rgb="FFD9D9D9"/>
        </patternFill>
      </fill>
      <border diagonalUp="0" diagonalDown="0">
        <left/>
        <right/>
        <top/>
        <bottom/>
      </border>
    </dxf>
    <dxf>
      <fill>
        <patternFill patternType="none">
          <fgColor indexed="64"/>
          <bgColor auto="1"/>
        </patternFill>
      </fill>
    </dxf>
    <dxf>
      <fill>
        <patternFill patternType="solid">
          <fgColor indexed="64"/>
          <bgColor rgb="FFD9D9D9"/>
        </patternFill>
      </fill>
      <border diagonalUp="0" diagonalDown="0">
        <left/>
        <right/>
        <top/>
        <bottom/>
      </border>
    </dxf>
    <dxf>
      <fill>
        <patternFill patternType="none">
          <fgColor indexed="64"/>
          <bgColor auto="1"/>
        </patternFill>
      </fill>
    </dxf>
    <dxf>
      <fill>
        <patternFill patternType="solid">
          <fgColor indexed="64"/>
          <bgColor rgb="FFD9D9D9"/>
        </patternFill>
      </fill>
      <border diagonalUp="0" diagonalDown="0">
        <left/>
        <right/>
        <top/>
        <bottom/>
      </border>
    </dxf>
    <dxf>
      <fill>
        <patternFill patternType="none">
          <fgColor indexed="64"/>
          <bgColor auto="1"/>
        </patternFill>
      </fill>
    </dxf>
    <dxf>
      <fill>
        <patternFill patternType="solid">
          <fgColor indexed="64"/>
          <bgColor rgb="FFD9D9D9"/>
        </patternFill>
      </fill>
      <border diagonalUp="0" diagonalDown="0">
        <left/>
        <right/>
        <top/>
        <bottom/>
      </border>
    </dxf>
    <dxf>
      <fill>
        <patternFill patternType="none">
          <fgColor indexed="64"/>
          <bgColor auto="1"/>
        </patternFill>
      </fill>
    </dxf>
    <dxf>
      <fill>
        <patternFill patternType="solid">
          <fgColor indexed="64"/>
          <bgColor rgb="FFD9D9D9"/>
        </patternFill>
      </fill>
      <border diagonalUp="0" diagonalDown="0">
        <left/>
        <right/>
        <top/>
        <bottom/>
      </border>
    </dxf>
    <dxf>
      <fill>
        <patternFill patternType="none">
          <fgColor indexed="64"/>
          <bgColor auto="1"/>
        </patternFill>
      </fill>
    </dxf>
    <dxf>
      <fill>
        <patternFill patternType="solid">
          <fgColor indexed="64"/>
          <bgColor rgb="FFD9D9D9"/>
        </patternFill>
      </fill>
      <border diagonalUp="0" diagonalDown="0">
        <left/>
        <right/>
        <top/>
        <bottom/>
      </border>
    </dxf>
    <dxf>
      <fill>
        <patternFill patternType="none">
          <fgColor indexed="64"/>
          <bgColor auto="1"/>
        </patternFill>
      </fill>
    </dxf>
    <dxf>
      <fill>
        <patternFill patternType="solid">
          <fgColor indexed="64"/>
          <bgColor rgb="FFD9D9D9"/>
        </patternFill>
      </fill>
      <border diagonalUp="0" diagonalDown="0" outline="0">
        <left/>
        <right/>
        <top/>
        <bottom/>
      </border>
    </dxf>
    <dxf>
      <fill>
        <patternFill patternType="none">
          <fgColor indexed="64"/>
          <bgColor auto="1"/>
        </patternFill>
      </fill>
    </dxf>
    <dxf>
      <fill>
        <patternFill patternType="solid">
          <fgColor indexed="64"/>
          <bgColor rgb="FFD9D9D9"/>
        </patternFill>
      </fill>
      <border diagonalUp="0" diagonalDown="0" outline="0">
        <left/>
        <right/>
        <top/>
        <bottom/>
      </border>
    </dxf>
    <dxf>
      <fill>
        <patternFill patternType="none">
          <fgColor indexed="64"/>
          <bgColor auto="1"/>
        </patternFill>
      </fill>
    </dxf>
    <dxf>
      <fill>
        <patternFill patternType="solid">
          <fgColor indexed="64"/>
          <bgColor rgb="FFD9D9D9"/>
        </patternFill>
      </fill>
      <border diagonalUp="0" diagonalDown="0" outline="0">
        <left/>
        <right/>
        <top/>
        <bottom/>
      </border>
    </dxf>
    <dxf>
      <fill>
        <patternFill patternType="none">
          <fgColor indexed="64"/>
          <bgColor auto="1"/>
        </patternFill>
      </fill>
    </dxf>
    <dxf>
      <fill>
        <patternFill patternType="solid">
          <fgColor indexed="64"/>
          <bgColor rgb="FFD9D9D9"/>
        </patternFill>
      </fill>
      <border diagonalUp="0" diagonalDown="0" outline="0">
        <left/>
        <right/>
        <top/>
        <bottom/>
      </border>
    </dxf>
    <dxf>
      <fill>
        <patternFill patternType="none">
          <fgColor indexed="64"/>
          <bgColor auto="1"/>
        </patternFill>
      </fill>
    </dxf>
    <dxf>
      <fill>
        <patternFill patternType="solid">
          <fgColor indexed="64"/>
          <bgColor rgb="FFD9D9D9"/>
        </patternFill>
      </fill>
      <border diagonalUp="0" diagonalDown="0" outline="0">
        <left/>
        <right/>
        <top/>
        <bottom/>
      </border>
    </dxf>
    <dxf>
      <fill>
        <patternFill patternType="none">
          <fgColor indexed="64"/>
          <bgColor auto="1"/>
        </patternFill>
      </fill>
    </dxf>
    <dxf>
      <fill>
        <patternFill patternType="solid">
          <fgColor indexed="64"/>
          <bgColor rgb="FFD9D9D9"/>
        </patternFill>
      </fill>
      <border diagonalUp="0" diagonalDown="0" outline="0">
        <left/>
        <right/>
        <top/>
        <bottom/>
      </border>
    </dxf>
    <dxf>
      <fill>
        <patternFill patternType="none">
          <fgColor indexed="64"/>
          <bgColor auto="1"/>
        </patternFill>
      </fill>
    </dxf>
    <dxf>
      <fill>
        <patternFill patternType="solid">
          <fgColor indexed="64"/>
          <bgColor rgb="FFD9D9D9"/>
        </patternFill>
      </fill>
      <border diagonalUp="0" diagonalDown="0" outline="0">
        <left/>
        <right/>
        <top/>
        <bottom/>
      </border>
    </dxf>
    <dxf>
      <fill>
        <patternFill patternType="none">
          <fgColor indexed="64"/>
          <bgColor auto="1"/>
        </patternFill>
      </fill>
    </dxf>
    <dxf>
      <fill>
        <patternFill patternType="solid">
          <fgColor indexed="64"/>
          <bgColor rgb="FFD9D9D9"/>
        </patternFill>
      </fill>
      <border diagonalUp="0" diagonalDown="0" outline="0">
        <left/>
        <right/>
        <top/>
        <bottom/>
      </border>
    </dxf>
    <dxf>
      <fill>
        <patternFill patternType="none">
          <fgColor indexed="64"/>
          <bgColor auto="1"/>
        </patternFill>
      </fill>
    </dxf>
    <dxf>
      <fill>
        <patternFill patternType="solid">
          <fgColor indexed="64"/>
          <bgColor rgb="FFD9D9D9"/>
        </patternFill>
      </fill>
      <border diagonalUp="0" diagonalDown="0" outline="0">
        <left/>
        <right/>
        <top/>
        <bottom/>
      </border>
    </dxf>
    <dxf>
      <fill>
        <patternFill patternType="none">
          <fgColor indexed="64"/>
          <bgColor auto="1"/>
        </patternFill>
      </fill>
    </dxf>
    <dxf>
      <fill>
        <patternFill patternType="solid">
          <fgColor indexed="64"/>
          <bgColor rgb="FFD9D9D9"/>
        </patternFill>
      </fill>
      <border diagonalUp="0" diagonalDown="0" outline="0">
        <left/>
        <right/>
        <top/>
        <bottom/>
      </border>
    </dxf>
    <dxf>
      <fill>
        <patternFill patternType="none">
          <fgColor indexed="64"/>
          <bgColor auto="1"/>
        </patternFill>
      </fill>
    </dxf>
    <dxf>
      <fill>
        <patternFill patternType="solid">
          <fgColor indexed="64"/>
          <bgColor rgb="FFD9D9D9"/>
        </patternFill>
      </fill>
      <border diagonalUp="0" diagonalDown="0" outline="0">
        <left/>
        <right/>
        <top/>
        <bottom/>
      </border>
    </dxf>
    <dxf>
      <fill>
        <patternFill patternType="none">
          <fgColor indexed="64"/>
          <bgColor auto="1"/>
        </patternFill>
      </fill>
    </dxf>
    <dxf>
      <fill>
        <patternFill patternType="solid">
          <fgColor indexed="64"/>
          <bgColor rgb="FFD9D9D9"/>
        </patternFill>
      </fill>
      <border diagonalUp="0" diagonalDown="0" outline="0">
        <left/>
        <right/>
        <top/>
        <bottom/>
      </border>
    </dxf>
    <dxf>
      <fill>
        <patternFill patternType="none">
          <fgColor indexed="64"/>
          <bgColor auto="1"/>
        </patternFill>
      </fill>
    </dxf>
    <dxf>
      <fill>
        <patternFill patternType="solid">
          <fgColor indexed="64"/>
          <bgColor rgb="FFD9D9D9"/>
        </patternFill>
      </fill>
      <border diagonalUp="0" diagonalDown="0" outline="0">
        <left/>
        <right/>
        <top/>
        <bottom/>
      </border>
    </dxf>
    <dxf>
      <fill>
        <patternFill patternType="none">
          <fgColor indexed="64"/>
          <bgColor auto="1"/>
        </patternFill>
      </fill>
    </dxf>
    <dxf>
      <fill>
        <patternFill patternType="solid">
          <fgColor indexed="64"/>
          <bgColor rgb="FFD9D9D9"/>
        </patternFill>
      </fill>
      <border diagonalUp="0" diagonalDown="0" outline="0">
        <left/>
        <right/>
        <top/>
        <bottom/>
      </border>
    </dxf>
    <dxf>
      <fill>
        <patternFill patternType="none">
          <fgColor indexed="64"/>
          <bgColor auto="1"/>
        </patternFill>
      </fill>
    </dxf>
    <dxf>
      <fill>
        <patternFill patternType="solid">
          <fgColor indexed="64"/>
          <bgColor rgb="FFD9D9D9"/>
        </patternFill>
      </fill>
      <border diagonalUp="0" diagonalDown="0" outline="0">
        <left/>
        <right/>
        <top/>
        <bottom/>
      </border>
    </dxf>
    <dxf>
      <fill>
        <patternFill patternType="none">
          <fgColor indexed="64"/>
          <bgColor auto="1"/>
        </patternFill>
      </fill>
    </dxf>
    <dxf>
      <fill>
        <patternFill patternType="solid">
          <fgColor indexed="64"/>
          <bgColor rgb="FFD9D9D9"/>
        </patternFill>
      </fill>
      <border diagonalUp="0" diagonalDown="0" outline="0">
        <left/>
        <right/>
        <top/>
        <bottom/>
      </border>
    </dxf>
    <dxf>
      <fill>
        <patternFill patternType="none">
          <fgColor indexed="64"/>
          <bgColor auto="1"/>
        </patternFill>
      </fill>
    </dxf>
    <dxf>
      <fill>
        <patternFill patternType="solid">
          <fgColor indexed="64"/>
          <bgColor rgb="FFD9D9D9"/>
        </patternFill>
      </fill>
      <border diagonalUp="0" diagonalDown="0" outline="0">
        <left/>
        <right/>
        <top/>
        <bottom/>
      </border>
    </dxf>
    <dxf>
      <fill>
        <patternFill patternType="none">
          <fgColor indexed="64"/>
          <bgColor auto="1"/>
        </patternFill>
      </fill>
    </dxf>
    <dxf>
      <fill>
        <patternFill patternType="solid">
          <fgColor indexed="64"/>
          <bgColor rgb="FFD9D9D9"/>
        </patternFill>
      </fill>
      <border diagonalUp="0" diagonalDown="0" outline="0">
        <left/>
        <right/>
        <top/>
        <bottom/>
      </border>
    </dxf>
    <dxf>
      <fill>
        <patternFill patternType="none">
          <fgColor indexed="64"/>
          <bgColor auto="1"/>
        </patternFill>
      </fill>
    </dxf>
    <dxf>
      <fill>
        <patternFill patternType="solid">
          <fgColor indexed="64"/>
          <bgColor rgb="FFD9D9D9"/>
        </patternFill>
      </fill>
      <border diagonalUp="0" diagonalDown="0" outline="0">
        <left/>
        <right/>
        <top/>
        <bottom/>
      </border>
    </dxf>
    <dxf>
      <fill>
        <patternFill patternType="none">
          <fgColor indexed="64"/>
          <bgColor auto="1"/>
        </patternFill>
      </fill>
    </dxf>
    <dxf>
      <fill>
        <patternFill patternType="solid">
          <fgColor indexed="64"/>
          <bgColor rgb="FFD9D9D9"/>
        </patternFill>
      </fill>
      <border diagonalUp="0" diagonalDown="0" outline="0">
        <left/>
        <right/>
        <top/>
        <bottom/>
      </border>
    </dxf>
    <dxf>
      <fill>
        <patternFill patternType="none">
          <fgColor indexed="64"/>
          <bgColor auto="1"/>
        </patternFill>
      </fill>
    </dxf>
    <dxf>
      <fill>
        <patternFill patternType="solid">
          <fgColor indexed="64"/>
          <bgColor rgb="FFD9D9D9"/>
        </patternFill>
      </fill>
      <border diagonalUp="0" diagonalDown="0" outline="0">
        <left/>
        <right/>
        <top/>
        <bottom/>
      </border>
    </dxf>
    <dxf>
      <fill>
        <patternFill patternType="none">
          <fgColor indexed="64"/>
          <bgColor auto="1"/>
        </patternFill>
      </fill>
    </dxf>
    <dxf>
      <fill>
        <patternFill patternType="solid">
          <fgColor indexed="64"/>
          <bgColor rgb="FFD9D9D9"/>
        </patternFill>
      </fill>
      <border diagonalUp="0" diagonalDown="0" outline="0">
        <left/>
        <right/>
        <top/>
        <bottom/>
      </border>
    </dxf>
    <dxf>
      <fill>
        <patternFill patternType="none">
          <fgColor indexed="64"/>
          <bgColor auto="1"/>
        </patternFill>
      </fill>
    </dxf>
    <dxf>
      <fill>
        <patternFill patternType="solid">
          <fgColor indexed="64"/>
          <bgColor rgb="FFD9D9D9"/>
        </patternFill>
      </fill>
      <border diagonalUp="0" diagonalDown="0" outline="0">
        <left/>
        <right/>
        <top/>
        <bottom/>
      </border>
    </dxf>
    <dxf>
      <fill>
        <patternFill patternType="none">
          <fgColor indexed="64"/>
          <bgColor auto="1"/>
        </patternFill>
      </fill>
    </dxf>
    <dxf>
      <fill>
        <patternFill patternType="solid">
          <fgColor indexed="64"/>
          <bgColor rgb="FFD9D9D9"/>
        </patternFill>
      </fill>
      <border diagonalUp="0" diagonalDown="0" outline="0">
        <left/>
        <right/>
        <top/>
        <bottom/>
      </border>
    </dxf>
    <dxf>
      <fill>
        <patternFill patternType="none">
          <fgColor indexed="64"/>
          <bgColor auto="1"/>
        </patternFill>
      </fill>
    </dxf>
    <dxf>
      <fill>
        <patternFill patternType="solid">
          <fgColor indexed="64"/>
          <bgColor rgb="FFD9D9D9"/>
        </patternFill>
      </fill>
      <border diagonalUp="0" diagonalDown="0" outline="0">
        <left/>
        <right/>
        <top/>
        <bottom/>
      </border>
    </dxf>
    <dxf>
      <fill>
        <patternFill patternType="none">
          <fgColor indexed="64"/>
          <bgColor auto="1"/>
        </patternFill>
      </fill>
    </dxf>
    <dxf>
      <fill>
        <patternFill patternType="solid">
          <fgColor indexed="64"/>
          <bgColor rgb="FFD9D9D9"/>
        </patternFill>
      </fill>
      <border diagonalUp="0" diagonalDown="0" outline="0">
        <left/>
        <right/>
        <top/>
        <bottom/>
      </border>
    </dxf>
    <dxf>
      <fill>
        <patternFill patternType="none">
          <fgColor indexed="64"/>
          <bgColor auto="1"/>
        </patternFill>
      </fill>
    </dxf>
    <dxf>
      <fill>
        <patternFill patternType="solid">
          <fgColor indexed="64"/>
          <bgColor rgb="FFD9D9D9"/>
        </patternFill>
      </fill>
      <border diagonalUp="0" diagonalDown="0" outline="0">
        <left/>
        <right/>
        <top/>
        <bottom/>
      </border>
    </dxf>
    <dxf>
      <fill>
        <patternFill patternType="none">
          <fgColor indexed="64"/>
          <bgColor auto="1"/>
        </patternFill>
      </fill>
    </dxf>
    <dxf>
      <fill>
        <patternFill patternType="solid">
          <fgColor indexed="64"/>
          <bgColor rgb="FFD9D9D9"/>
        </patternFill>
      </fill>
      <border diagonalUp="0" diagonalDown="0" outline="0">
        <left/>
        <right/>
        <top/>
        <bottom/>
      </border>
    </dxf>
    <dxf>
      <fill>
        <patternFill patternType="none">
          <fgColor indexed="64"/>
          <bgColor auto="1"/>
        </patternFill>
      </fill>
    </dxf>
    <dxf>
      <fill>
        <patternFill patternType="solid">
          <fgColor indexed="64"/>
          <bgColor rgb="FFD9D9D9"/>
        </patternFill>
      </fill>
      <border diagonalUp="0" diagonalDown="0" outline="0">
        <left/>
        <right/>
        <top/>
        <bottom/>
      </border>
    </dxf>
    <dxf>
      <fill>
        <patternFill patternType="none">
          <fgColor indexed="64"/>
          <bgColor auto="1"/>
        </patternFill>
      </fill>
    </dxf>
    <dxf>
      <fill>
        <patternFill patternType="solid">
          <fgColor indexed="64"/>
          <bgColor rgb="FFD9D9D9"/>
        </patternFill>
      </fill>
      <border diagonalUp="0" diagonalDown="0" outline="0">
        <left/>
        <right/>
        <top/>
        <bottom/>
      </border>
    </dxf>
    <dxf>
      <fill>
        <patternFill patternType="none">
          <fgColor indexed="64"/>
          <bgColor auto="1"/>
        </patternFill>
      </fill>
    </dxf>
    <dxf>
      <fill>
        <patternFill patternType="solid">
          <fgColor indexed="64"/>
          <bgColor rgb="FFD9D9D9"/>
        </patternFill>
      </fill>
      <border diagonalUp="0" diagonalDown="0" outline="0">
        <left/>
        <right/>
        <top/>
        <bottom/>
      </border>
    </dxf>
    <dxf>
      <fill>
        <patternFill patternType="none">
          <fgColor indexed="64"/>
          <bgColor auto="1"/>
        </patternFill>
      </fill>
    </dxf>
    <dxf>
      <fill>
        <patternFill patternType="solid">
          <fgColor indexed="64"/>
          <bgColor rgb="FFD9D9D9"/>
        </patternFill>
      </fill>
      <border diagonalUp="0" diagonalDown="0" outline="0">
        <left/>
        <right/>
        <top/>
        <bottom/>
      </border>
    </dxf>
    <dxf>
      <fill>
        <patternFill patternType="none">
          <fgColor indexed="64"/>
          <bgColor auto="1"/>
        </patternFill>
      </fill>
    </dxf>
    <dxf>
      <fill>
        <patternFill patternType="solid">
          <fgColor indexed="64"/>
          <bgColor rgb="FFD9D9D9"/>
        </patternFill>
      </fill>
      <border diagonalUp="0" diagonalDown="0" outline="0">
        <left/>
        <right/>
        <top/>
        <bottom/>
      </border>
    </dxf>
    <dxf>
      <fill>
        <patternFill patternType="none">
          <fgColor indexed="64"/>
          <bgColor auto="1"/>
        </patternFill>
      </fill>
    </dxf>
    <dxf>
      <fill>
        <patternFill patternType="solid">
          <fgColor indexed="64"/>
          <bgColor rgb="FFD9D9D9"/>
        </patternFill>
      </fill>
      <border diagonalUp="0" diagonalDown="0" outline="0">
        <left/>
        <right/>
        <top/>
        <bottom/>
      </border>
    </dxf>
    <dxf>
      <fill>
        <patternFill patternType="none">
          <fgColor indexed="64"/>
          <bgColor auto="1"/>
        </patternFill>
      </fill>
    </dxf>
    <dxf>
      <fill>
        <patternFill patternType="solid">
          <fgColor indexed="64"/>
          <bgColor rgb="FFD9D9D9"/>
        </patternFill>
      </fill>
      <border diagonalUp="0" diagonalDown="0" outline="0">
        <left/>
        <right/>
        <top/>
        <bottom/>
      </border>
    </dxf>
    <dxf>
      <fill>
        <patternFill patternType="none">
          <fgColor indexed="64"/>
          <bgColor auto="1"/>
        </patternFill>
      </fill>
    </dxf>
    <dxf>
      <fill>
        <patternFill patternType="solid">
          <fgColor indexed="64"/>
          <bgColor rgb="FFD9D9D9"/>
        </patternFill>
      </fill>
      <border diagonalUp="0" diagonalDown="0" outline="0">
        <left/>
        <right/>
        <top/>
        <bottom/>
      </border>
    </dxf>
    <dxf>
      <fill>
        <patternFill patternType="none">
          <fgColor indexed="64"/>
          <bgColor auto="1"/>
        </patternFill>
      </fill>
    </dxf>
    <dxf>
      <fill>
        <patternFill patternType="solid">
          <fgColor indexed="64"/>
          <bgColor rgb="FFD9D9D9"/>
        </patternFill>
      </fill>
      <border diagonalUp="0" diagonalDown="0" outline="0">
        <left/>
        <right/>
        <top/>
        <bottom/>
      </border>
    </dxf>
    <dxf>
      <fill>
        <patternFill patternType="none">
          <fgColor indexed="64"/>
          <bgColor auto="1"/>
        </patternFill>
      </fill>
    </dxf>
    <dxf>
      <fill>
        <patternFill patternType="solid">
          <fgColor indexed="64"/>
          <bgColor rgb="FFD9D9D9"/>
        </patternFill>
      </fill>
      <border diagonalUp="0" diagonalDown="0" outline="0">
        <left/>
        <right/>
        <top/>
        <bottom/>
      </border>
    </dxf>
    <dxf>
      <fill>
        <patternFill patternType="none">
          <fgColor indexed="64"/>
          <bgColor auto="1"/>
        </patternFill>
      </fill>
    </dxf>
    <dxf>
      <fill>
        <patternFill patternType="solid">
          <fgColor indexed="64"/>
          <bgColor rgb="FFD9D9D9"/>
        </patternFill>
      </fill>
      <border diagonalUp="0" diagonalDown="0" outline="0">
        <left/>
        <right/>
        <top/>
        <bottom/>
      </border>
    </dxf>
    <dxf>
      <fill>
        <patternFill patternType="none">
          <fgColor indexed="64"/>
          <bgColor auto="1"/>
        </patternFill>
      </fill>
    </dxf>
    <dxf>
      <fill>
        <patternFill patternType="solid">
          <fgColor indexed="64"/>
          <bgColor rgb="FFD9D9D9"/>
        </patternFill>
      </fill>
      <border diagonalUp="0" diagonalDown="0" outline="0">
        <left/>
        <right/>
        <top/>
        <bottom/>
      </border>
    </dxf>
    <dxf>
      <fill>
        <patternFill patternType="none">
          <fgColor indexed="64"/>
          <bgColor auto="1"/>
        </patternFill>
      </fill>
    </dxf>
    <dxf>
      <fill>
        <patternFill patternType="solid">
          <fgColor indexed="64"/>
          <bgColor rgb="FFD9D9D9"/>
        </patternFill>
      </fill>
      <border diagonalUp="0" diagonalDown="0" outline="0">
        <left/>
        <right/>
        <top/>
        <bottom/>
      </border>
    </dxf>
    <dxf>
      <fill>
        <patternFill patternType="none">
          <fgColor indexed="64"/>
          <bgColor auto="1"/>
        </patternFill>
      </fill>
    </dxf>
    <dxf>
      <fill>
        <patternFill patternType="solid">
          <fgColor indexed="64"/>
          <bgColor rgb="FFD9D9D9"/>
        </patternFill>
      </fill>
      <border diagonalUp="0" diagonalDown="0" outline="0">
        <left/>
        <right/>
        <top/>
        <bottom/>
      </border>
    </dxf>
    <dxf>
      <fill>
        <patternFill patternType="none">
          <fgColor indexed="64"/>
          <bgColor auto="1"/>
        </patternFill>
      </fill>
    </dxf>
    <dxf>
      <fill>
        <patternFill patternType="solid">
          <fgColor indexed="64"/>
          <bgColor rgb="FFD9D9D9"/>
        </patternFill>
      </fill>
      <border diagonalUp="0" diagonalDown="0" outline="0">
        <left/>
        <right/>
        <top/>
        <bottom/>
      </border>
    </dxf>
    <dxf>
      <fill>
        <patternFill patternType="none">
          <fgColor indexed="64"/>
          <bgColor auto="1"/>
        </patternFill>
      </fill>
    </dxf>
    <dxf>
      <fill>
        <patternFill patternType="solid">
          <fgColor indexed="64"/>
          <bgColor rgb="FFD9D9D9"/>
        </patternFill>
      </fill>
      <border diagonalUp="0" diagonalDown="0" outline="0">
        <left/>
        <right/>
        <top/>
        <bottom/>
      </border>
    </dxf>
    <dxf>
      <fill>
        <patternFill patternType="none">
          <fgColor indexed="64"/>
          <bgColor auto="1"/>
        </patternFill>
      </fill>
    </dxf>
    <dxf>
      <fill>
        <patternFill patternType="solid">
          <fgColor indexed="64"/>
          <bgColor rgb="FFD9D9D9"/>
        </patternFill>
      </fill>
      <border diagonalUp="0" diagonalDown="0" outline="0">
        <left/>
        <right/>
        <top/>
        <bottom/>
      </border>
    </dxf>
    <dxf>
      <fill>
        <patternFill patternType="none">
          <fgColor indexed="64"/>
          <bgColor auto="1"/>
        </patternFill>
      </fill>
    </dxf>
    <dxf>
      <fill>
        <patternFill patternType="solid">
          <fgColor indexed="64"/>
          <bgColor rgb="FFD9D9D9"/>
        </patternFill>
      </fill>
      <border diagonalUp="0" diagonalDown="0" outline="0">
        <left/>
        <right/>
        <top/>
        <bottom/>
      </border>
    </dxf>
    <dxf>
      <fill>
        <patternFill patternType="none">
          <fgColor indexed="64"/>
          <bgColor auto="1"/>
        </patternFill>
      </fill>
    </dxf>
    <dxf>
      <fill>
        <patternFill patternType="solid">
          <fgColor indexed="64"/>
          <bgColor rgb="FFD9D9D9"/>
        </patternFill>
      </fill>
      <border diagonalUp="0" diagonalDown="0" outline="0">
        <left/>
        <right/>
        <top/>
        <bottom/>
      </border>
    </dxf>
    <dxf>
      <fill>
        <patternFill patternType="none">
          <fgColor indexed="64"/>
          <bgColor auto="1"/>
        </patternFill>
      </fill>
    </dxf>
    <dxf>
      <fill>
        <patternFill patternType="solid">
          <fgColor indexed="64"/>
          <bgColor rgb="FFD9D9D9"/>
        </patternFill>
      </fill>
      <border diagonalUp="0" diagonalDown="0" outline="0">
        <left/>
        <right/>
        <top/>
        <bottom/>
      </border>
    </dxf>
    <dxf>
      <fill>
        <patternFill patternType="none">
          <fgColor indexed="64"/>
          <bgColor auto="1"/>
        </patternFill>
      </fill>
    </dxf>
    <dxf>
      <fill>
        <patternFill patternType="solid">
          <fgColor indexed="64"/>
          <bgColor rgb="FFD9D9D9"/>
        </patternFill>
      </fill>
      <border diagonalUp="0" diagonalDown="0" outline="0">
        <left/>
        <right/>
        <top/>
        <bottom/>
      </border>
    </dxf>
    <dxf>
      <fill>
        <patternFill patternType="none">
          <fgColor indexed="64"/>
          <bgColor auto="1"/>
        </patternFill>
      </fill>
    </dxf>
    <dxf>
      <fill>
        <patternFill patternType="solid">
          <fgColor indexed="64"/>
          <bgColor rgb="FFD9D9D9"/>
        </patternFill>
      </fill>
      <border diagonalUp="0" diagonalDown="0" outline="0">
        <left/>
        <right/>
        <top/>
        <bottom/>
      </border>
    </dxf>
    <dxf>
      <fill>
        <patternFill patternType="none">
          <fgColor indexed="64"/>
          <bgColor auto="1"/>
        </patternFill>
      </fill>
    </dxf>
    <dxf>
      <fill>
        <patternFill patternType="solid">
          <fgColor indexed="64"/>
          <bgColor rgb="FFD9D9D9"/>
        </patternFill>
      </fill>
      <border diagonalUp="0" diagonalDown="0" outline="0">
        <left/>
        <right/>
        <top/>
        <bottom/>
      </border>
    </dxf>
    <dxf>
      <fill>
        <patternFill patternType="none">
          <fgColor indexed="64"/>
          <bgColor auto="1"/>
        </patternFill>
      </fill>
    </dxf>
    <dxf>
      <fill>
        <patternFill patternType="solid">
          <fgColor indexed="64"/>
          <bgColor rgb="FFD9D9D9"/>
        </patternFill>
      </fill>
      <border diagonalUp="0" diagonalDown="0" outline="0">
        <left/>
        <right/>
        <top/>
        <bottom/>
      </border>
    </dxf>
    <dxf>
      <fill>
        <patternFill patternType="none">
          <fgColor indexed="64"/>
          <bgColor auto="1"/>
        </patternFill>
      </fill>
    </dxf>
    <dxf>
      <fill>
        <patternFill patternType="solid">
          <fgColor indexed="64"/>
          <bgColor rgb="FFD9D9D9"/>
        </patternFill>
      </fill>
      <border diagonalUp="0" diagonalDown="0" outline="0">
        <left/>
        <right/>
        <top/>
        <bottom/>
      </border>
    </dxf>
    <dxf>
      <fill>
        <patternFill patternType="none">
          <fgColor indexed="64"/>
          <bgColor auto="1"/>
        </patternFill>
      </fill>
    </dxf>
    <dxf>
      <fill>
        <patternFill patternType="solid">
          <fgColor indexed="64"/>
          <bgColor rgb="FFD9D9D9"/>
        </patternFill>
      </fill>
      <border diagonalUp="0" diagonalDown="0" outline="0">
        <left/>
        <right/>
        <top/>
        <bottom/>
      </border>
    </dxf>
    <dxf>
      <fill>
        <patternFill patternType="none">
          <fgColor indexed="64"/>
          <bgColor auto="1"/>
        </patternFill>
      </fill>
    </dxf>
    <dxf>
      <fill>
        <patternFill patternType="solid">
          <fgColor indexed="64"/>
          <bgColor rgb="FFD9D9D9"/>
        </patternFill>
      </fill>
      <border diagonalUp="0" diagonalDown="0" outline="0">
        <left/>
        <right/>
        <top/>
        <bottom/>
      </border>
    </dxf>
    <dxf>
      <fill>
        <patternFill patternType="none">
          <fgColor indexed="64"/>
          <bgColor auto="1"/>
        </patternFill>
      </fill>
    </dxf>
    <dxf>
      <fill>
        <patternFill patternType="solid">
          <fgColor indexed="64"/>
          <bgColor rgb="FFD9D9D9"/>
        </patternFill>
      </fill>
      <border diagonalUp="0" diagonalDown="0" outline="0">
        <left/>
        <right/>
        <top/>
        <bottom/>
      </border>
    </dxf>
    <dxf>
      <fill>
        <patternFill patternType="none">
          <fgColor indexed="64"/>
          <bgColor auto="1"/>
        </patternFill>
      </fill>
    </dxf>
    <dxf>
      <fill>
        <patternFill patternType="solid">
          <fgColor indexed="64"/>
          <bgColor rgb="FFD9D9D9"/>
        </patternFill>
      </fill>
      <border diagonalUp="0" diagonalDown="0" outline="0">
        <left/>
        <right/>
        <top/>
        <bottom/>
      </border>
    </dxf>
    <dxf>
      <fill>
        <patternFill patternType="none">
          <fgColor indexed="64"/>
          <bgColor auto="1"/>
        </patternFill>
      </fill>
    </dxf>
    <dxf>
      <fill>
        <patternFill patternType="solid">
          <fgColor indexed="64"/>
          <bgColor rgb="FFD9D9D9"/>
        </patternFill>
      </fill>
      <border diagonalUp="0" diagonalDown="0" outline="0">
        <left/>
        <right/>
        <top/>
        <bottom/>
      </border>
    </dxf>
    <dxf>
      <fill>
        <patternFill patternType="none">
          <fgColor indexed="64"/>
          <bgColor auto="1"/>
        </patternFill>
      </fill>
    </dxf>
    <dxf>
      <fill>
        <patternFill patternType="solid">
          <fgColor indexed="64"/>
          <bgColor rgb="FFD9D9D9"/>
        </patternFill>
      </fill>
      <border diagonalUp="0" diagonalDown="0" outline="0">
        <left/>
        <right/>
        <top/>
        <bottom/>
      </border>
    </dxf>
    <dxf>
      <fill>
        <patternFill patternType="none">
          <fgColor indexed="64"/>
          <bgColor auto="1"/>
        </patternFill>
      </fill>
    </dxf>
    <dxf>
      <fill>
        <patternFill patternType="solid">
          <fgColor indexed="64"/>
          <bgColor rgb="FFD9D9D9"/>
        </patternFill>
      </fill>
      <border diagonalUp="0" diagonalDown="0" outline="0">
        <left/>
        <right/>
        <top/>
        <bottom/>
      </border>
    </dxf>
    <dxf>
      <fill>
        <patternFill patternType="none">
          <fgColor indexed="64"/>
          <bgColor auto="1"/>
        </patternFill>
      </fill>
    </dxf>
    <dxf>
      <fill>
        <patternFill patternType="solid">
          <fgColor indexed="64"/>
          <bgColor rgb="FFD9D9D9"/>
        </patternFill>
      </fill>
      <border diagonalUp="0" diagonalDown="0" outline="0">
        <left/>
        <right/>
        <top/>
        <bottom/>
      </border>
    </dxf>
    <dxf>
      <fill>
        <patternFill patternType="none">
          <fgColor indexed="64"/>
          <bgColor auto="1"/>
        </patternFill>
      </fill>
    </dxf>
    <dxf>
      <fill>
        <patternFill patternType="solid">
          <fgColor indexed="64"/>
          <bgColor rgb="FFD9D9D9"/>
        </patternFill>
      </fill>
      <border diagonalUp="0" diagonalDown="0" outline="0">
        <left/>
        <right/>
        <top/>
        <bottom/>
      </border>
    </dxf>
    <dxf>
      <fill>
        <patternFill patternType="none">
          <fgColor indexed="64"/>
          <bgColor auto="1"/>
        </patternFill>
      </fill>
    </dxf>
    <dxf>
      <fill>
        <patternFill patternType="solid">
          <fgColor indexed="64"/>
          <bgColor rgb="FFD9D9D9"/>
        </patternFill>
      </fill>
      <border diagonalUp="0" diagonalDown="0" outline="0">
        <left/>
        <right/>
        <top/>
        <bottom/>
      </border>
    </dxf>
    <dxf>
      <fill>
        <patternFill patternType="none">
          <fgColor indexed="64"/>
          <bgColor auto="1"/>
        </patternFill>
      </fill>
    </dxf>
    <dxf>
      <fill>
        <patternFill patternType="solid">
          <fgColor indexed="64"/>
          <bgColor rgb="FFD9D9D9"/>
        </patternFill>
      </fill>
      <border diagonalUp="0" diagonalDown="0" outline="0">
        <left/>
        <right/>
        <top/>
        <bottom/>
      </border>
    </dxf>
    <dxf>
      <fill>
        <patternFill patternType="none">
          <fgColor indexed="64"/>
          <bgColor auto="1"/>
        </patternFill>
      </fill>
    </dxf>
    <dxf>
      <fill>
        <patternFill patternType="solid">
          <fgColor indexed="64"/>
          <bgColor rgb="FFD9D9D9"/>
        </patternFill>
      </fill>
      <border diagonalUp="0" diagonalDown="0" outline="0">
        <left/>
        <right/>
        <top/>
        <bottom/>
      </border>
    </dxf>
    <dxf>
      <fill>
        <patternFill patternType="none">
          <fgColor indexed="64"/>
          <bgColor auto="1"/>
        </patternFill>
      </fill>
    </dxf>
    <dxf>
      <fill>
        <patternFill patternType="solid">
          <fgColor indexed="64"/>
          <bgColor rgb="FFD9D9D9"/>
        </patternFill>
      </fill>
      <border diagonalUp="0" diagonalDown="0" outline="0">
        <left/>
        <right/>
        <top/>
        <bottom/>
      </border>
    </dxf>
    <dxf>
      <fill>
        <patternFill patternType="none">
          <fgColor indexed="64"/>
          <bgColor auto="1"/>
        </patternFill>
      </fill>
    </dxf>
    <dxf>
      <fill>
        <patternFill patternType="solid">
          <fgColor indexed="64"/>
          <bgColor rgb="FFD9D9D9"/>
        </patternFill>
      </fill>
      <border diagonalUp="0" diagonalDown="0" outline="0">
        <left/>
        <right/>
        <top/>
        <bottom/>
      </border>
    </dxf>
    <dxf>
      <fill>
        <patternFill patternType="none">
          <fgColor indexed="64"/>
          <bgColor auto="1"/>
        </patternFill>
      </fill>
    </dxf>
    <dxf>
      <fill>
        <patternFill patternType="solid">
          <fgColor indexed="64"/>
          <bgColor rgb="FFD9D9D9"/>
        </patternFill>
      </fill>
      <border diagonalUp="0" diagonalDown="0" outline="0">
        <left/>
        <right/>
        <top/>
        <bottom/>
      </border>
    </dxf>
    <dxf>
      <fill>
        <patternFill patternType="none">
          <fgColor indexed="64"/>
          <bgColor auto="1"/>
        </patternFill>
      </fill>
    </dxf>
    <dxf>
      <fill>
        <patternFill patternType="solid">
          <fgColor indexed="64"/>
          <bgColor rgb="FFD9D9D9"/>
        </patternFill>
      </fill>
      <border diagonalUp="0" diagonalDown="0" outline="0">
        <left/>
        <right/>
        <top/>
        <bottom/>
      </border>
    </dxf>
    <dxf>
      <fill>
        <patternFill patternType="none">
          <fgColor indexed="64"/>
          <bgColor auto="1"/>
        </patternFill>
      </fill>
    </dxf>
    <dxf>
      <fill>
        <patternFill patternType="solid">
          <fgColor indexed="64"/>
          <bgColor rgb="FFD9D9D9"/>
        </patternFill>
      </fill>
      <border diagonalUp="0" diagonalDown="0" outline="0">
        <left/>
        <right/>
        <top/>
        <bottom/>
      </border>
    </dxf>
    <dxf>
      <fill>
        <patternFill patternType="none">
          <fgColor indexed="64"/>
          <bgColor auto="1"/>
        </patternFill>
      </fill>
    </dxf>
    <dxf>
      <fill>
        <patternFill patternType="solid">
          <fgColor indexed="64"/>
          <bgColor rgb="FFD9D9D9"/>
        </patternFill>
      </fill>
      <border diagonalUp="0" diagonalDown="0" outline="0">
        <left/>
        <right/>
        <top/>
        <bottom/>
      </border>
    </dxf>
    <dxf>
      <fill>
        <patternFill patternType="none">
          <fgColor indexed="64"/>
          <bgColor auto="1"/>
        </patternFill>
      </fill>
    </dxf>
    <dxf>
      <fill>
        <patternFill patternType="solid">
          <fgColor indexed="64"/>
          <bgColor rgb="FFD9D9D9"/>
        </patternFill>
      </fill>
      <border diagonalUp="0" diagonalDown="0" outline="0">
        <left/>
        <right/>
        <top/>
        <bottom/>
      </border>
    </dxf>
    <dxf>
      <fill>
        <patternFill patternType="none">
          <fgColor indexed="64"/>
          <bgColor auto="1"/>
        </patternFill>
      </fill>
    </dxf>
    <dxf>
      <fill>
        <patternFill patternType="solid">
          <fgColor indexed="64"/>
          <bgColor rgb="FFD9D9D9"/>
        </patternFill>
      </fill>
      <border diagonalUp="0" diagonalDown="0" outline="0">
        <left/>
        <right/>
        <top/>
        <bottom/>
      </border>
    </dxf>
    <dxf>
      <fill>
        <patternFill patternType="none">
          <fgColor indexed="64"/>
          <bgColor auto="1"/>
        </patternFill>
      </fill>
    </dxf>
    <dxf>
      <fill>
        <patternFill patternType="solid">
          <fgColor indexed="64"/>
          <bgColor rgb="FFD9D9D9"/>
        </patternFill>
      </fill>
      <border diagonalUp="0" diagonalDown="0" outline="0">
        <left/>
        <right/>
        <top/>
        <bottom/>
      </border>
    </dxf>
    <dxf>
      <fill>
        <patternFill patternType="none">
          <fgColor indexed="64"/>
          <bgColor auto="1"/>
        </patternFill>
      </fill>
    </dxf>
    <dxf>
      <fill>
        <patternFill patternType="solid">
          <fgColor indexed="64"/>
          <bgColor rgb="FFD9D9D9"/>
        </patternFill>
      </fill>
      <border diagonalUp="0" diagonalDown="0" outline="0">
        <left/>
        <right/>
        <top/>
        <bottom/>
      </border>
    </dxf>
    <dxf>
      <fill>
        <patternFill patternType="none">
          <fgColor indexed="64"/>
          <bgColor auto="1"/>
        </patternFill>
      </fill>
    </dxf>
    <dxf>
      <fill>
        <patternFill patternType="solid">
          <fgColor indexed="64"/>
          <bgColor rgb="FFD9D9D9"/>
        </patternFill>
      </fill>
      <border diagonalUp="0" diagonalDown="0" outline="0">
        <left/>
        <right/>
        <top/>
        <bottom/>
      </border>
    </dxf>
    <dxf>
      <numFmt numFmtId="0" formatCode="General"/>
      <fill>
        <patternFill patternType="none">
          <fgColor indexed="64"/>
          <bgColor auto="1"/>
        </patternFill>
      </fill>
    </dxf>
    <dxf>
      <fill>
        <patternFill patternType="solid">
          <fgColor indexed="64"/>
          <bgColor rgb="FFD9D9D9"/>
        </patternFill>
      </fill>
      <border diagonalUp="0" diagonalDown="0" outline="0">
        <left/>
        <right/>
        <top/>
        <bottom/>
      </border>
    </dxf>
    <dxf>
      <fill>
        <patternFill patternType="none">
          <fgColor indexed="64"/>
          <bgColor indexed="65"/>
        </patternFill>
      </fill>
    </dxf>
    <dxf>
      <fill>
        <patternFill patternType="solid">
          <fgColor indexed="64"/>
          <bgColor rgb="FFD9D9D9"/>
        </patternFill>
      </fill>
      <border diagonalUp="0" diagonalDown="0" outline="0">
        <left/>
        <right/>
        <top/>
        <bottom/>
      </border>
    </dxf>
    <dxf>
      <fill>
        <patternFill patternType="none">
          <fgColor indexed="64"/>
          <bgColor indexed="65"/>
        </patternFill>
      </fill>
    </dxf>
    <dxf>
      <fill>
        <patternFill patternType="solid">
          <fgColor indexed="64"/>
          <bgColor rgb="FFD9D9D9"/>
        </patternFill>
      </fill>
      <border diagonalUp="0" diagonalDown="0" outline="0">
        <left/>
        <right/>
        <top/>
        <bottom/>
      </border>
    </dxf>
    <dxf>
      <fill>
        <patternFill patternType="none">
          <fgColor indexed="64"/>
          <bgColor indexed="65"/>
        </patternFill>
      </fill>
    </dxf>
    <dxf>
      <fill>
        <patternFill patternType="solid">
          <fgColor indexed="64"/>
          <bgColor rgb="FFD9D9D9"/>
        </patternFill>
      </fill>
      <border diagonalUp="0" diagonalDown="0" outline="0">
        <left/>
        <right/>
        <top/>
        <bottom/>
      </border>
    </dxf>
    <dxf>
      <fill>
        <patternFill patternType="none">
          <fgColor indexed="64"/>
          <bgColor indexed="65"/>
        </patternFill>
      </fill>
    </dxf>
    <dxf>
      <fill>
        <patternFill patternType="solid">
          <fgColor indexed="64"/>
          <bgColor rgb="FFD9D9D9"/>
        </patternFill>
      </fill>
      <border diagonalUp="0" diagonalDown="0" outline="0">
        <left/>
        <right/>
        <top/>
        <bottom/>
      </border>
    </dxf>
    <dxf>
      <fill>
        <patternFill patternType="none">
          <fgColor indexed="64"/>
          <bgColor indexed="65"/>
        </patternFill>
      </fill>
    </dxf>
    <dxf>
      <fill>
        <patternFill patternType="solid">
          <fgColor indexed="64"/>
          <bgColor rgb="FFD9D9D9"/>
        </patternFill>
      </fill>
      <border diagonalUp="0" diagonalDown="0" outline="0">
        <left/>
        <right/>
        <top/>
        <bottom/>
      </border>
    </dxf>
    <dxf>
      <fill>
        <patternFill patternType="none">
          <fgColor indexed="64"/>
          <bgColor indexed="65"/>
        </patternFill>
      </fill>
    </dxf>
    <dxf>
      <fill>
        <patternFill patternType="solid">
          <fgColor indexed="64"/>
          <bgColor rgb="FFD9D9D9"/>
        </patternFill>
      </fill>
      <border diagonalUp="0" diagonalDown="0" outline="0">
        <left/>
        <right/>
        <top/>
        <bottom/>
      </border>
    </dxf>
    <dxf>
      <fill>
        <patternFill patternType="none">
          <fgColor indexed="64"/>
          <bgColor indexed="65"/>
        </patternFill>
      </fill>
    </dxf>
    <dxf>
      <fill>
        <patternFill patternType="solid">
          <fgColor indexed="64"/>
          <bgColor rgb="FFD9D9D9"/>
        </patternFill>
      </fill>
      <border diagonalUp="0" diagonalDown="0" outline="0">
        <left/>
        <right/>
        <top/>
        <bottom/>
      </border>
    </dxf>
    <dxf>
      <fill>
        <patternFill patternType="none">
          <fgColor indexed="64"/>
          <bgColor indexed="65"/>
        </patternFill>
      </fill>
    </dxf>
    <dxf>
      <fill>
        <patternFill patternType="solid">
          <fgColor indexed="64"/>
          <bgColor rgb="FFD9D9D9"/>
        </patternFill>
      </fill>
      <border diagonalUp="0" diagonalDown="0" outline="0">
        <left/>
        <right/>
        <top/>
        <bottom/>
      </border>
    </dxf>
    <dxf>
      <fill>
        <patternFill patternType="none">
          <fgColor indexed="64"/>
          <bgColor indexed="65"/>
        </patternFill>
      </fill>
    </dxf>
    <dxf>
      <fill>
        <patternFill patternType="solid">
          <fgColor indexed="64"/>
          <bgColor rgb="FFD9D9D9"/>
        </patternFill>
      </fill>
      <border diagonalUp="0" diagonalDown="0" outline="0">
        <left/>
        <right/>
        <top/>
        <bottom/>
      </border>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indexed="65"/>
        </patternFill>
      </fill>
    </dxf>
    <dxf>
      <numFmt numFmtId="1" formatCode="0"/>
    </dxf>
    <dxf>
      <numFmt numFmtId="172" formatCode="_ * #,##0_ ;_ * \-#,##0_ ;_ * &quot;-&quot;??_ ;_ @_ "/>
    </dxf>
    <dxf>
      <numFmt numFmtId="172" formatCode="_ * #,##0_ ;_ * \-#,##0_ ;_ * &quot;-&quot;??_ ;_ @_ "/>
    </dxf>
    <dxf>
      <numFmt numFmtId="172" formatCode="_ * #,##0_ ;_ * \-#,##0_ ;_ * &quot;-&quot;??_ ;_ @_ "/>
    </dxf>
    <dxf>
      <numFmt numFmtId="0" formatCode="General"/>
    </dxf>
    <dxf>
      <numFmt numFmtId="1" formatCode="0"/>
    </dxf>
    <dxf>
      <numFmt numFmtId="1" formatCode="0"/>
    </dxf>
    <dxf>
      <numFmt numFmtId="1" formatCode="0"/>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numFmt numFmtId="174" formatCode="#,##0.0"/>
    </dxf>
    <dxf>
      <numFmt numFmtId="170" formatCode="0.0\ %"/>
    </dxf>
    <dxf>
      <numFmt numFmtId="35" formatCode="_ * #,##0.00_ ;_ * \-#,##0.00_ ;_ * &quot;-&quot;??_ ;_ @_ "/>
    </dxf>
    <dxf>
      <numFmt numFmtId="2" formatCode="0.00"/>
    </dxf>
    <dxf>
      <font>
        <color theme="0" tint="-0.14996795556505021"/>
      </font>
      <fill>
        <patternFill>
          <bgColor theme="0" tint="-0.14996795556505021"/>
        </patternFill>
      </fill>
    </dxf>
    <dxf>
      <fill>
        <patternFill>
          <bgColor rgb="FFD8E4BC"/>
        </patternFill>
      </fill>
    </dxf>
    <dxf>
      <fill>
        <patternFill>
          <bgColor theme="6" tint="0.79998168889431442"/>
        </patternFill>
      </fill>
    </dxf>
    <dxf>
      <fill>
        <patternFill>
          <bgColor theme="6" tint="0.79998168889431442"/>
        </patternFill>
      </fill>
    </dxf>
    <dxf>
      <fill>
        <patternFill>
          <bgColor theme="6" tint="0.79998168889431442"/>
        </patternFill>
      </fill>
    </dxf>
    <dxf>
      <fill>
        <patternFill>
          <bgColor theme="6" tint="0.79998168889431442"/>
        </patternFill>
      </fill>
    </dxf>
    <dxf>
      <numFmt numFmtId="170" formatCode="0.0\ %"/>
    </dxf>
    <dxf>
      <numFmt numFmtId="170" formatCode="0.0\ %"/>
    </dxf>
    <dxf>
      <font>
        <color theme="1"/>
      </font>
    </dxf>
    <dxf>
      <font>
        <color theme="1"/>
      </font>
    </dxf>
    <dxf>
      <font>
        <color theme="1"/>
      </font>
    </dxf>
    <dxf>
      <font>
        <color theme="1"/>
      </font>
    </dxf>
    <dxf>
      <font>
        <color theme="1"/>
      </font>
    </dxf>
    <dxf>
      <font>
        <color theme="1"/>
      </font>
    </dxf>
    <dxf>
      <font>
        <color theme="0" tint="-0.14996795556505021"/>
      </font>
      <fill>
        <patternFill>
          <bgColor theme="0" tint="-0.14996795556505021"/>
        </patternFill>
      </fill>
      <border>
        <left style="thin">
          <color theme="0" tint="-0.14996795556505021"/>
        </left>
        <right style="thin">
          <color theme="0" tint="-0.14996795556505021"/>
        </right>
        <top style="thin">
          <color theme="0" tint="-0.14996795556505021"/>
        </top>
        <bottom style="thin">
          <color theme="0" tint="-0.14996795556505021"/>
        </bottom>
      </border>
    </dxf>
    <dxf>
      <font>
        <color theme="1"/>
      </font>
    </dxf>
    <dxf>
      <font>
        <color theme="0" tint="-0.14996795556505021"/>
      </font>
      <fill>
        <patternFill>
          <bgColor theme="0" tint="-0.14996795556505021"/>
        </patternFill>
      </fill>
      <border>
        <left style="thin">
          <color theme="0" tint="-0.14996795556505021"/>
        </left>
        <right style="thin">
          <color theme="0" tint="-0.14996795556505021"/>
        </right>
        <top style="thin">
          <color theme="0" tint="-0.14996795556505021"/>
        </top>
        <bottom style="thin">
          <color theme="0" tint="-0.14996795556505021"/>
        </bottom>
      </border>
    </dxf>
    <dxf>
      <border>
        <left style="thin">
          <color auto="1"/>
        </left>
        <right style="thin">
          <color auto="1"/>
        </right>
        <top style="thin">
          <color auto="1"/>
        </top>
        <bottom style="thin">
          <color auto="1"/>
        </bottom>
        <vertical/>
        <horizontal/>
      </border>
    </dxf>
    <dxf>
      <font>
        <color theme="0" tint="-0.14996795556505021"/>
      </font>
      <fill>
        <patternFill>
          <bgColor theme="0" tint="-0.14996795556505021"/>
        </patternFill>
      </fill>
      <border>
        <left/>
        <right/>
        <top/>
        <bottom/>
        <vertical/>
        <horizontal/>
      </border>
    </dxf>
    <dxf>
      <font>
        <color theme="0" tint="-0.14996795556505021"/>
      </font>
      <fill>
        <patternFill>
          <bgColor theme="0" tint="-0.14996795556505021"/>
        </patternFill>
      </fill>
      <border>
        <left style="thin">
          <color theme="0" tint="-0.14996795556505021"/>
        </left>
        <right style="thin">
          <color theme="0" tint="-0.14996795556505021"/>
        </right>
        <top style="thin">
          <color theme="0" tint="-0.14996795556505021"/>
        </top>
        <bottom style="thin">
          <color theme="0" tint="-0.14996795556505021"/>
        </bottom>
        <vertical/>
        <horizontal/>
      </border>
    </dxf>
    <dxf>
      <font>
        <color theme="0" tint="-0.14996795556505021"/>
      </font>
      <fill>
        <patternFill>
          <bgColor theme="0" tint="-0.14996795556505021"/>
        </patternFill>
      </fill>
      <border>
        <left/>
        <right/>
        <top/>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ont>
        <color theme="0" tint="-0.14996795556505021"/>
      </font>
      <fill>
        <patternFill>
          <bgColor theme="0" tint="-0.14996795556505021"/>
        </patternFill>
      </fill>
      <border>
        <left/>
        <right/>
        <top/>
        <bottom/>
        <vertical/>
        <horizontal/>
      </border>
    </dxf>
    <dxf>
      <font>
        <color theme="0"/>
      </font>
      <fill>
        <patternFill>
          <bgColor theme="0"/>
        </patternFill>
      </fill>
      <border>
        <left style="thin">
          <color theme="0"/>
        </left>
        <right style="thin">
          <color theme="0"/>
        </right>
        <top style="thin">
          <color theme="0"/>
        </top>
        <bottom style="thin">
          <color theme="0"/>
        </bottom>
        <vertical/>
        <horizontal/>
      </border>
    </dxf>
    <dxf>
      <font>
        <color theme="0" tint="-0.14996795556505021"/>
      </font>
      <fill>
        <patternFill>
          <bgColor theme="0" tint="-0.14996795556505021"/>
        </patternFill>
      </fill>
      <border>
        <left style="thin">
          <color theme="0" tint="-0.14996795556505021"/>
        </left>
        <right style="thin">
          <color theme="0" tint="-0.14996795556505021"/>
        </right>
        <top style="thin">
          <color theme="0" tint="-0.14996795556505021"/>
        </top>
        <bottom style="thin">
          <color theme="0" tint="-0.14996795556505021"/>
        </bottom>
        <vertical/>
        <horizontal/>
      </border>
    </dxf>
    <dxf>
      <numFmt numFmtId="14" formatCode="0.00\ %"/>
    </dxf>
    <dxf>
      <numFmt numFmtId="3" formatCode="#,##0"/>
    </dxf>
    <dxf>
      <font>
        <color theme="0"/>
      </font>
      <fill>
        <patternFill>
          <bgColor theme="0"/>
        </patternFill>
      </fill>
      <border>
        <left style="thin">
          <color theme="0"/>
        </left>
        <right style="thin">
          <color theme="0"/>
        </right>
        <top style="thin">
          <color theme="0"/>
        </top>
        <bottom style="thin">
          <color theme="0"/>
        </bottom>
        <vertical/>
        <horizontal/>
      </border>
    </dxf>
    <dxf>
      <numFmt numFmtId="14" formatCode="0.00\ %"/>
    </dxf>
    <dxf>
      <numFmt numFmtId="3" formatCode="#,##0"/>
    </dxf>
    <dxf>
      <font>
        <color theme="0"/>
      </font>
      <fill>
        <patternFill>
          <bgColor theme="0"/>
        </patternFill>
      </fill>
      <border>
        <left style="thin">
          <color theme="0"/>
        </left>
        <right style="thin">
          <color theme="0"/>
        </right>
        <top style="thin">
          <color theme="0"/>
        </top>
        <bottom style="thin">
          <color theme="0"/>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ont>
        <color theme="0"/>
      </font>
      <fill>
        <patternFill>
          <bgColor theme="0"/>
        </patternFill>
      </fill>
      <border>
        <left style="thin">
          <color theme="0"/>
        </left>
        <right style="thin">
          <color theme="0"/>
        </right>
        <top style="thin">
          <color theme="0"/>
        </top>
        <bottom style="thin">
          <color theme="0"/>
        </bottom>
        <vertical/>
        <horizontal/>
      </border>
    </dxf>
    <dxf>
      <font>
        <color theme="0"/>
      </font>
      <fill>
        <patternFill>
          <bgColor theme="0"/>
        </patternFill>
      </fill>
      <border>
        <left style="thin">
          <color theme="0"/>
        </left>
        <right style="thin">
          <color theme="0"/>
        </right>
        <top style="thin">
          <color theme="0"/>
        </top>
        <bottom style="thin">
          <color theme="0"/>
        </bottom>
      </border>
    </dxf>
    <dxf>
      <font>
        <color theme="0"/>
      </font>
      <fill>
        <patternFill>
          <bgColor theme="0"/>
        </patternFill>
      </fill>
      <border>
        <left style="thin">
          <color theme="0"/>
        </left>
        <right style="thin">
          <color theme="0"/>
        </right>
        <top style="thin">
          <color theme="0"/>
        </top>
        <bottom style="thin">
          <color theme="0"/>
        </bottom>
        <vertical/>
        <horizontal/>
      </border>
    </dxf>
    <dxf>
      <border>
        <left style="thin">
          <color auto="1"/>
        </left>
        <right style="thin">
          <color auto="1"/>
        </right>
        <top style="thin">
          <color auto="1"/>
        </top>
        <bottom style="thin">
          <color auto="1"/>
        </bottom>
        <vertical/>
        <horizontal/>
      </border>
    </dxf>
    <dxf>
      <font>
        <color theme="0" tint="-0.14996795556505021"/>
      </font>
      <fill>
        <patternFill patternType="solid">
          <bgColor theme="0" tint="-0.14996795556505021"/>
        </patternFill>
      </fill>
      <border>
        <left style="thin">
          <color theme="0" tint="-0.14996795556505021"/>
        </left>
        <right style="thin">
          <color theme="0" tint="-0.14996795556505021"/>
        </right>
        <top style="thin">
          <color theme="0" tint="-0.14996795556505021"/>
        </top>
        <bottom style="thin">
          <color theme="0" tint="-0.14996795556505021"/>
        </bottom>
      </border>
    </dxf>
    <dxf>
      <border>
        <left style="thin">
          <color auto="1"/>
        </left>
        <right style="thin">
          <color auto="1"/>
        </right>
        <top style="thin">
          <color auto="1"/>
        </top>
        <bottom style="thin">
          <color auto="1"/>
        </bottom>
        <vertical/>
        <horizontal/>
      </border>
    </dxf>
    <dxf>
      <font>
        <color theme="0" tint="-0.14996795556505021"/>
      </font>
      <fill>
        <patternFill patternType="solid">
          <bgColor theme="0" tint="-0.14996795556505021"/>
        </patternFill>
      </fill>
      <border>
        <left style="thin">
          <color theme="0" tint="-0.14996795556505021"/>
        </left>
        <right style="thin">
          <color theme="0" tint="-0.14996795556505021"/>
        </right>
        <top style="thin">
          <color theme="0" tint="-0.14996795556505021"/>
        </top>
        <bottom style="thin">
          <color theme="0" tint="-0.14996795556505021"/>
        </bottom>
      </border>
    </dxf>
    <dxf>
      <font>
        <color theme="0" tint="-0.14996795556505021"/>
      </font>
      <fill>
        <patternFill>
          <bgColor theme="0" tint="-0.14996795556505021"/>
        </patternFill>
      </fill>
      <border>
        <left/>
        <right/>
        <top/>
        <bottom/>
        <vertical/>
        <horizontal/>
      </border>
    </dxf>
    <dxf>
      <font>
        <color theme="0" tint="-0.14996795556505021"/>
      </font>
      <fill>
        <patternFill>
          <bgColor theme="0" tint="-0.14996795556505021"/>
        </patternFill>
      </fill>
      <border>
        <left/>
        <right/>
        <top/>
        <bottom/>
        <vertical/>
        <horizontal/>
      </border>
    </dxf>
    <dxf>
      <font>
        <color theme="0" tint="-0.14996795556505021"/>
      </font>
      <fill>
        <patternFill>
          <bgColor theme="0" tint="-0.14996795556505021"/>
        </patternFill>
      </fill>
      <border>
        <left/>
        <right/>
        <top/>
        <bottom/>
        <vertical/>
        <horizontal/>
      </border>
    </dxf>
    <dxf>
      <font>
        <color theme="0" tint="-0.14996795556505021"/>
      </font>
      <fill>
        <patternFill>
          <bgColor theme="0" tint="-0.14996795556505021"/>
        </patternFill>
      </fill>
      <border>
        <left/>
        <right/>
        <top/>
        <bottom/>
        <vertical/>
        <horizontal/>
      </border>
    </dxf>
    <dxf>
      <font>
        <color theme="0" tint="-0.14996795556505021"/>
      </font>
      <fill>
        <patternFill>
          <bgColor theme="0" tint="-0.14996795556505021"/>
        </patternFill>
      </fill>
      <border>
        <left/>
        <right/>
        <top/>
        <bottom/>
        <vertical/>
        <horizontal/>
      </border>
    </dxf>
    <dxf>
      <font>
        <color theme="0" tint="-0.14996795556505021"/>
      </font>
      <fill>
        <patternFill>
          <bgColor theme="0" tint="-0.14996795556505021"/>
        </patternFill>
      </fill>
      <border>
        <left/>
        <right/>
        <top/>
        <bottom/>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ont>
        <color theme="0" tint="-0.14996795556505021"/>
      </font>
      <fill>
        <patternFill>
          <bgColor theme="0" tint="-0.14996795556505021"/>
        </patternFill>
      </fill>
      <border>
        <left/>
        <right/>
        <top/>
        <bottom/>
        <vertical/>
        <horizontal/>
      </border>
    </dxf>
    <dxf>
      <font>
        <color theme="0" tint="-0.14996795556505021"/>
      </font>
      <fill>
        <patternFill>
          <bgColor theme="0" tint="-0.14996795556505021"/>
        </patternFill>
      </fill>
      <border>
        <left/>
        <right/>
        <top/>
        <bottom/>
        <vertical/>
        <horizontal/>
      </border>
    </dxf>
    <dxf>
      <font>
        <color theme="0" tint="-0.14996795556505021"/>
      </font>
      <fill>
        <patternFill>
          <bgColor theme="0" tint="-0.14996795556505021"/>
        </patternFill>
      </fill>
      <border>
        <left/>
        <right/>
        <top/>
        <bottom/>
        <vertical/>
        <horizontal/>
      </border>
    </dxf>
    <dxf>
      <font>
        <color theme="0" tint="-0.14996795556505021"/>
      </font>
      <fill>
        <patternFill>
          <bgColor theme="0" tint="-0.14996795556505021"/>
        </patternFill>
      </fill>
      <border>
        <left/>
        <right/>
        <top/>
        <bottom/>
        <vertical/>
        <horizontal/>
      </border>
    </dxf>
    <dxf>
      <font>
        <color theme="0" tint="-0.14996795556505021"/>
      </font>
      <fill>
        <patternFill>
          <bgColor theme="0" tint="-0.14996795556505021"/>
        </patternFill>
      </fill>
      <border>
        <left/>
        <right/>
        <top/>
        <bottom/>
        <vertical/>
        <horizontal/>
      </border>
    </dxf>
    <dxf>
      <font>
        <color theme="0" tint="-0.14996795556505021"/>
      </font>
      <fill>
        <patternFill>
          <bgColor theme="0" tint="-0.14996795556505021"/>
        </patternFill>
      </fill>
      <border>
        <left/>
        <right/>
        <top/>
        <bottom/>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ont>
        <color theme="0" tint="-0.14996795556505021"/>
      </font>
      <fill>
        <patternFill>
          <bgColor theme="0" tint="-0.14996795556505021"/>
        </patternFill>
      </fill>
      <border>
        <left/>
        <right/>
        <top/>
        <bottom/>
        <vertical/>
        <horizontal/>
      </border>
    </dxf>
    <dxf>
      <font>
        <color theme="0" tint="-0.14996795556505021"/>
      </font>
      <fill>
        <patternFill>
          <bgColor theme="0" tint="-0.14996795556505021"/>
        </patternFill>
      </fill>
      <border>
        <left/>
        <right/>
        <top/>
        <bottom/>
        <vertical/>
        <horizontal/>
      </border>
    </dxf>
    <dxf>
      <font>
        <color theme="0" tint="-0.14996795556505021"/>
      </font>
      <fill>
        <patternFill>
          <bgColor theme="0" tint="-0.14996795556505021"/>
        </patternFill>
      </fill>
      <border>
        <left/>
        <right/>
        <top/>
        <bottom/>
        <vertical/>
        <horizontal/>
      </border>
    </dxf>
    <dxf>
      <font>
        <color theme="0" tint="-0.14996795556505021"/>
      </font>
      <fill>
        <patternFill>
          <bgColor theme="0" tint="-0.14996795556505021"/>
        </patternFill>
      </fill>
      <border>
        <left/>
        <right/>
        <top/>
        <bottom/>
        <vertical/>
        <horizontal/>
      </border>
    </dxf>
    <dxf>
      <font>
        <color theme="0" tint="-0.14996795556505021"/>
      </font>
      <fill>
        <patternFill>
          <bgColor theme="0" tint="-0.14996795556505021"/>
        </patternFill>
      </fill>
      <border>
        <left/>
        <right/>
        <top/>
        <bottom/>
        <vertical/>
        <horizontal/>
      </border>
    </dxf>
    <dxf>
      <font>
        <color theme="0" tint="-0.14996795556505021"/>
      </font>
      <fill>
        <patternFill>
          <bgColor theme="0" tint="-0.14996795556505021"/>
        </patternFill>
      </fill>
      <border>
        <left/>
        <right/>
        <top/>
        <bottom/>
      </border>
    </dxf>
    <dxf>
      <font>
        <color rgb="FFDCE6F1"/>
      </font>
      <border>
        <left style="thin">
          <color theme="0"/>
        </left>
        <right style="thin">
          <color theme="0"/>
        </right>
        <top style="thin">
          <color theme="0"/>
        </top>
        <bottom style="thin">
          <color theme="0"/>
        </bottom>
      </border>
    </dxf>
    <dxf>
      <font>
        <color theme="0" tint="-0.14996795556505021"/>
      </font>
      <fill>
        <patternFill>
          <bgColor theme="0" tint="-0.14996795556505021"/>
        </patternFill>
      </fill>
      <border>
        <left style="thin">
          <color theme="0" tint="-0.14996795556505021"/>
        </left>
        <right style="thin">
          <color theme="0" tint="-0.14996795556505021"/>
        </right>
        <top style="thin">
          <color theme="0" tint="-0.14996795556505021"/>
        </top>
        <bottom style="thin">
          <color theme="0" tint="-0.14996795556505021"/>
        </bottom>
        <vertical/>
        <horizontal/>
      </border>
    </dxf>
    <dxf>
      <font>
        <color theme="0" tint="-0.14996795556505021"/>
      </font>
      <fill>
        <patternFill>
          <bgColor theme="0" tint="-0.14996795556505021"/>
        </patternFill>
      </fill>
      <border>
        <left/>
        <right/>
        <top/>
        <bottom/>
        <vertical/>
        <horizontal/>
      </border>
    </dxf>
    <dxf>
      <font>
        <color theme="0" tint="-0.14996795556505021"/>
      </font>
      <fill>
        <patternFill>
          <bgColor theme="0" tint="-0.14996795556505021"/>
        </patternFill>
      </fill>
      <border>
        <left/>
        <right/>
        <top/>
        <bottom/>
        <vertical/>
        <horizontal/>
      </border>
    </dxf>
    <dxf>
      <font>
        <color theme="0" tint="-0.14996795556505021"/>
      </font>
      <fill>
        <patternFill>
          <bgColor theme="0" tint="-0.14996795556505021"/>
        </patternFill>
      </fill>
      <border>
        <left/>
        <right/>
        <top/>
        <bottom/>
        <vertical/>
        <horizontal/>
      </border>
    </dxf>
    <dxf>
      <font>
        <color theme="0" tint="-0.14996795556505021"/>
      </font>
      <fill>
        <patternFill>
          <bgColor theme="0" tint="-0.14996795556505021"/>
        </patternFill>
      </fill>
      <border>
        <left/>
        <right/>
        <top/>
        <bottom/>
        <vertical/>
        <horizontal/>
      </border>
    </dxf>
    <dxf>
      <font>
        <color theme="0" tint="-0.14996795556505021"/>
      </font>
      <fill>
        <patternFill>
          <bgColor theme="0" tint="-0.14996795556505021"/>
        </patternFill>
      </fill>
      <border>
        <left/>
        <right/>
        <top/>
        <bottom/>
        <vertical/>
        <horizontal/>
      </border>
    </dxf>
    <dxf>
      <font>
        <color theme="0" tint="-0.14996795556505021"/>
      </font>
      <fill>
        <patternFill>
          <bgColor theme="0" tint="-0.14996795556505021"/>
        </patternFill>
      </fill>
      <border>
        <left/>
        <right/>
        <top/>
        <bottom/>
      </border>
    </dxf>
    <dxf>
      <border>
        <left style="thin">
          <color auto="1"/>
        </left>
        <right style="thin">
          <color auto="1"/>
        </right>
        <top style="thin">
          <color auto="1"/>
        </top>
        <bottom style="thin">
          <color auto="1"/>
        </bottom>
        <vertical/>
        <horizontal/>
      </border>
    </dxf>
    <dxf>
      <font>
        <color theme="0" tint="-0.14996795556505021"/>
      </font>
      <fill>
        <patternFill>
          <bgColor theme="0" tint="-0.14996795556505021"/>
        </patternFill>
      </fill>
      <border>
        <left/>
        <right/>
        <top/>
        <bottom/>
        <vertical/>
        <horizontal/>
      </border>
    </dxf>
    <dxf>
      <font>
        <color theme="0" tint="-0.14996795556505021"/>
      </font>
      <fill>
        <patternFill>
          <bgColor theme="0" tint="-0.14996795556505021"/>
        </patternFill>
      </fill>
      <border>
        <left/>
        <right/>
        <top/>
        <bottom/>
        <vertical/>
        <horizontal/>
      </border>
    </dxf>
    <dxf>
      <font>
        <color theme="0" tint="-0.14996795556505021"/>
      </font>
      <fill>
        <patternFill>
          <bgColor theme="0" tint="-0.14996795556505021"/>
        </patternFill>
      </fill>
      <border>
        <left/>
        <right/>
        <top/>
        <bottom/>
        <vertical/>
        <horizontal/>
      </border>
    </dxf>
    <dxf>
      <font>
        <color theme="0" tint="-0.14996795556505021"/>
      </font>
      <fill>
        <patternFill>
          <bgColor theme="0" tint="-0.14996795556505021"/>
        </patternFill>
      </fill>
      <border>
        <left/>
        <right/>
        <top/>
        <bottom/>
        <vertical/>
        <horizontal/>
      </border>
    </dxf>
    <dxf>
      <font>
        <color theme="0" tint="-0.14996795556505021"/>
      </font>
      <fill>
        <patternFill>
          <bgColor theme="0" tint="-0.14996795556505021"/>
        </patternFill>
      </fill>
      <border>
        <left/>
        <right/>
        <top/>
        <bottom/>
        <vertical/>
        <horizontal/>
      </border>
    </dxf>
    <dxf>
      <font>
        <color theme="0" tint="-0.14996795556505021"/>
      </font>
      <fill>
        <patternFill>
          <bgColor theme="0" tint="-0.14996795556505021"/>
        </patternFill>
      </fill>
      <border>
        <left/>
        <right/>
        <top/>
        <bottom/>
      </border>
    </dxf>
    <dxf>
      <border>
        <left style="thin">
          <color auto="1"/>
        </left>
        <right style="thin">
          <color auto="1"/>
        </right>
        <top style="thin">
          <color auto="1"/>
        </top>
        <bottom style="thin">
          <color auto="1"/>
        </bottom>
        <vertical/>
        <horizontal/>
      </border>
    </dxf>
    <dxf>
      <font>
        <color theme="0" tint="-0.14996795556505021"/>
      </font>
      <fill>
        <patternFill>
          <bgColor theme="0" tint="-0.14996795556505021"/>
        </patternFill>
      </fill>
      <border>
        <left/>
        <right/>
        <top/>
        <bottom/>
        <vertical/>
        <horizontal/>
      </border>
    </dxf>
    <dxf>
      <font>
        <color theme="0" tint="-0.14996795556505021"/>
      </font>
      <fill>
        <patternFill>
          <bgColor theme="0" tint="-0.14996795556505021"/>
        </patternFill>
      </fill>
      <border>
        <left/>
        <right/>
        <top/>
        <bottom/>
        <vertical/>
        <horizontal/>
      </border>
    </dxf>
    <dxf>
      <font>
        <color theme="0" tint="-0.14996795556505021"/>
      </font>
      <fill>
        <patternFill>
          <bgColor theme="0" tint="-0.14996795556505021"/>
        </patternFill>
      </fill>
      <border>
        <left/>
        <right/>
        <top/>
        <bottom/>
        <vertical/>
        <horizontal/>
      </border>
    </dxf>
    <dxf>
      <font>
        <color theme="0" tint="-0.14996795556505021"/>
      </font>
      <fill>
        <patternFill>
          <bgColor theme="0" tint="-0.14996795556505021"/>
        </patternFill>
      </fill>
      <border>
        <left/>
        <right/>
        <top/>
        <bottom/>
        <vertical/>
        <horizontal/>
      </border>
    </dxf>
    <dxf>
      <font>
        <color theme="0" tint="-0.14996795556505021"/>
      </font>
      <fill>
        <patternFill>
          <bgColor theme="0" tint="-0.14996795556505021"/>
        </patternFill>
      </fill>
      <border>
        <left/>
        <right/>
        <top/>
        <bottom/>
        <vertical/>
        <horizontal/>
      </border>
    </dxf>
    <dxf>
      <font>
        <color theme="0" tint="-0.14996795556505021"/>
      </font>
      <fill>
        <patternFill>
          <bgColor theme="0" tint="-0.14996795556505021"/>
        </patternFill>
      </fill>
      <border>
        <left/>
        <right/>
        <top/>
        <bottom/>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ont>
        <color theme="0" tint="-0.14996795556505021"/>
      </font>
      <fill>
        <patternFill>
          <bgColor theme="0" tint="-0.14996795556505021"/>
        </patternFill>
      </fill>
      <border>
        <left/>
        <right/>
        <top/>
        <bottom/>
        <vertical/>
        <horizontal/>
      </border>
    </dxf>
    <dxf>
      <font>
        <color theme="0" tint="-0.14996795556505021"/>
      </font>
      <fill>
        <patternFill>
          <bgColor theme="0" tint="-0.14996795556505021"/>
        </patternFill>
      </fill>
      <border>
        <left/>
        <right/>
        <top/>
        <bottom/>
        <vertical/>
        <horizontal/>
      </border>
    </dxf>
    <dxf>
      <font>
        <color theme="0" tint="-0.14996795556505021"/>
      </font>
      <fill>
        <patternFill>
          <bgColor theme="0" tint="-0.14996795556505021"/>
        </patternFill>
      </fill>
      <border>
        <left/>
        <right/>
        <top/>
        <bottom/>
        <vertical/>
        <horizontal/>
      </border>
    </dxf>
    <dxf>
      <font>
        <color theme="0" tint="-0.14996795556505021"/>
      </font>
      <fill>
        <patternFill>
          <bgColor theme="0" tint="-0.14996795556505021"/>
        </patternFill>
      </fill>
      <border>
        <left/>
        <right/>
        <top/>
        <bottom/>
        <vertical/>
        <horizontal/>
      </border>
    </dxf>
    <dxf>
      <font>
        <color theme="0" tint="-0.14996795556505021"/>
      </font>
      <fill>
        <patternFill>
          <bgColor theme="0" tint="-0.14996795556505021"/>
        </patternFill>
      </fill>
      <border>
        <left/>
        <right/>
        <top/>
        <bottom/>
        <vertical/>
        <horizontal/>
      </border>
    </dxf>
    <dxf>
      <font>
        <color theme="0" tint="-0.14996795556505021"/>
      </font>
      <fill>
        <patternFill>
          <bgColor theme="0" tint="-0.14996795556505021"/>
        </patternFill>
      </fill>
      <border>
        <left/>
        <right/>
        <top/>
        <bottom/>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ont>
        <color theme="0" tint="-0.14996795556505021"/>
      </font>
      <fill>
        <patternFill>
          <bgColor theme="0" tint="-0.14996795556505021"/>
        </patternFill>
      </fill>
      <border>
        <left/>
        <right/>
        <top/>
        <bottom/>
        <vertical/>
        <horizontal/>
      </border>
    </dxf>
    <dxf>
      <font>
        <color theme="0" tint="-0.14996795556505021"/>
      </font>
      <fill>
        <patternFill>
          <bgColor theme="0" tint="-0.14996795556505021"/>
        </patternFill>
      </fill>
      <border>
        <left/>
        <right/>
        <top/>
        <bottom/>
        <vertical/>
        <horizontal/>
      </border>
    </dxf>
    <dxf>
      <font>
        <color theme="0" tint="-0.14996795556505021"/>
      </font>
      <fill>
        <patternFill>
          <bgColor theme="0" tint="-0.14996795556505021"/>
        </patternFill>
      </fill>
      <border>
        <left/>
        <right/>
        <top/>
        <bottom/>
        <vertical/>
        <horizontal/>
      </border>
    </dxf>
    <dxf>
      <font>
        <color theme="0" tint="-0.14996795556505021"/>
      </font>
      <fill>
        <patternFill>
          <bgColor theme="0" tint="-0.14996795556505021"/>
        </patternFill>
      </fill>
      <border>
        <left/>
        <right/>
        <top/>
        <bottom/>
        <vertical/>
        <horizontal/>
      </border>
    </dxf>
    <dxf>
      <font>
        <color theme="0" tint="-0.14996795556505021"/>
      </font>
      <fill>
        <patternFill>
          <bgColor theme="0" tint="-0.14996795556505021"/>
        </patternFill>
      </fill>
      <border>
        <left/>
        <right/>
        <top/>
        <bottom/>
        <vertical/>
        <horizontal/>
      </border>
    </dxf>
    <dxf>
      <font>
        <color theme="0" tint="-0.14996795556505021"/>
      </font>
      <fill>
        <patternFill>
          <bgColor theme="0" tint="-0.14996795556505021"/>
        </patternFill>
      </fill>
      <border>
        <left/>
        <right/>
        <top/>
        <bottom/>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ont>
        <color theme="0" tint="-0.14996795556505021"/>
      </font>
      <fill>
        <patternFill>
          <bgColor theme="0" tint="-0.14996795556505021"/>
        </patternFill>
      </fill>
      <border>
        <left/>
        <right/>
        <top/>
        <bottom/>
        <vertical/>
        <horizontal/>
      </border>
    </dxf>
    <dxf>
      <font>
        <color theme="0" tint="-0.14996795556505021"/>
      </font>
      <fill>
        <patternFill>
          <bgColor theme="0" tint="-0.14996795556505021"/>
        </patternFill>
      </fill>
      <border>
        <left/>
        <right/>
        <top/>
        <bottom/>
        <vertical/>
        <horizontal/>
      </border>
    </dxf>
    <dxf>
      <font>
        <color theme="0" tint="-0.14996795556505021"/>
      </font>
      <fill>
        <patternFill>
          <bgColor theme="0" tint="-0.14996795556505021"/>
        </patternFill>
      </fill>
      <border>
        <left/>
        <right/>
        <top/>
        <bottom/>
        <vertical/>
        <horizontal/>
      </border>
    </dxf>
    <dxf>
      <font>
        <color theme="0" tint="-0.14996795556505021"/>
      </font>
      <fill>
        <patternFill>
          <bgColor theme="0" tint="-0.14996795556505021"/>
        </patternFill>
      </fill>
      <border>
        <left/>
        <right/>
        <top/>
        <bottom/>
        <vertical/>
        <horizontal/>
      </border>
    </dxf>
    <dxf>
      <font>
        <color theme="0" tint="-0.14996795556505021"/>
      </font>
      <fill>
        <patternFill>
          <bgColor theme="0" tint="-0.14996795556505021"/>
        </patternFill>
      </fill>
      <border>
        <left/>
        <right/>
        <top/>
        <bottom/>
        <vertical/>
        <horizontal/>
      </border>
    </dxf>
    <dxf>
      <font>
        <color theme="0" tint="-0.14996795556505021"/>
      </font>
      <fill>
        <patternFill>
          <bgColor theme="0" tint="-0.14996795556505021"/>
        </patternFill>
      </fill>
      <border>
        <left/>
        <right/>
        <top/>
        <bottom/>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ont>
        <color theme="0" tint="-0.14996795556505021"/>
      </font>
      <fill>
        <patternFill>
          <bgColor theme="0" tint="-0.14996795556505021"/>
        </patternFill>
      </fill>
      <border>
        <left/>
        <right/>
        <top/>
        <bottom/>
        <vertical/>
        <horizontal/>
      </border>
    </dxf>
    <dxf>
      <font>
        <color theme="0" tint="-0.14996795556505021"/>
      </font>
      <fill>
        <patternFill>
          <bgColor theme="0" tint="-0.14996795556505021"/>
        </patternFill>
      </fill>
      <border>
        <left/>
        <right/>
        <top/>
        <bottom/>
        <vertical/>
        <horizontal/>
      </border>
    </dxf>
    <dxf>
      <font>
        <color theme="0" tint="-0.14996795556505021"/>
      </font>
      <fill>
        <patternFill>
          <bgColor theme="0" tint="-0.14996795556505021"/>
        </patternFill>
      </fill>
      <border>
        <left/>
        <right/>
        <top/>
        <bottom/>
        <vertical/>
        <horizontal/>
      </border>
    </dxf>
    <dxf>
      <font>
        <color theme="0" tint="-0.14996795556505021"/>
      </font>
      <fill>
        <patternFill>
          <bgColor theme="0" tint="-0.14996795556505021"/>
        </patternFill>
      </fill>
      <border>
        <left/>
        <right/>
        <top/>
        <bottom/>
        <vertical/>
        <horizontal/>
      </border>
    </dxf>
    <dxf>
      <font>
        <color theme="0" tint="-0.14996795556505021"/>
      </font>
      <fill>
        <patternFill>
          <bgColor theme="0" tint="-0.14996795556505021"/>
        </patternFill>
      </fill>
      <border>
        <left/>
        <right/>
        <top/>
        <bottom/>
        <vertical/>
        <horizontal/>
      </border>
    </dxf>
    <dxf>
      <font>
        <color theme="0" tint="-0.14996795556505021"/>
      </font>
      <fill>
        <patternFill>
          <bgColor theme="0" tint="-0.14996795556505021"/>
        </patternFill>
      </fill>
      <border>
        <left/>
        <right/>
        <top/>
        <bottom/>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ont>
        <color theme="0" tint="-0.14996795556505021"/>
      </font>
      <fill>
        <patternFill>
          <bgColor theme="0" tint="-0.14996795556505021"/>
        </patternFill>
      </fill>
      <border>
        <left/>
        <right/>
        <top/>
        <bottom/>
        <vertical/>
        <horizontal/>
      </border>
    </dxf>
    <dxf>
      <font>
        <color theme="0" tint="-0.14996795556505021"/>
      </font>
      <fill>
        <patternFill>
          <bgColor theme="0" tint="-0.14996795556505021"/>
        </patternFill>
      </fill>
      <border>
        <left/>
        <right/>
        <top/>
        <bottom/>
        <vertical/>
        <horizontal/>
      </border>
    </dxf>
    <dxf>
      <font>
        <color theme="0" tint="-0.14996795556505021"/>
      </font>
      <fill>
        <patternFill>
          <bgColor theme="0" tint="-0.14996795556505021"/>
        </patternFill>
      </fill>
      <border>
        <left/>
        <right/>
        <top/>
        <bottom/>
        <vertical/>
        <horizontal/>
      </border>
    </dxf>
    <dxf>
      <font>
        <color theme="0" tint="-0.14996795556505021"/>
      </font>
      <fill>
        <patternFill>
          <bgColor theme="0" tint="-0.14996795556505021"/>
        </patternFill>
      </fill>
      <border>
        <left/>
        <right/>
        <top/>
        <bottom/>
        <vertical/>
        <horizontal/>
      </border>
    </dxf>
    <dxf>
      <font>
        <color theme="0" tint="-0.14996795556505021"/>
      </font>
      <fill>
        <patternFill>
          <bgColor theme="0" tint="-0.14996795556505021"/>
        </patternFill>
      </fill>
      <border>
        <left/>
        <right/>
        <top/>
        <bottom/>
        <vertical/>
        <horizontal/>
      </border>
    </dxf>
    <dxf>
      <font>
        <color theme="0" tint="-0.14996795556505021"/>
      </font>
      <fill>
        <patternFill>
          <bgColor theme="0" tint="-0.14996795556505021"/>
        </patternFill>
      </fill>
      <border>
        <left/>
        <right/>
        <top/>
        <bottom/>
      </border>
    </dxf>
    <dxf>
      <font>
        <color theme="0" tint="-0.14996795556505021"/>
      </font>
      <fill>
        <patternFill>
          <bgColor theme="0" tint="-0.14996795556505021"/>
        </patternFill>
      </fill>
      <border>
        <left/>
        <right/>
        <top/>
        <bottom/>
      </border>
    </dxf>
    <dxf>
      <font>
        <color theme="0" tint="-0.14996795556505021"/>
      </font>
      <fill>
        <patternFill>
          <bgColor theme="0" tint="-0.14996795556505021"/>
        </patternFill>
      </fill>
      <border>
        <left/>
        <right/>
        <top/>
        <bottom/>
      </border>
    </dxf>
    <dxf>
      <font>
        <color theme="0" tint="-0.14996795556505021"/>
      </font>
      <fill>
        <patternFill>
          <bgColor theme="0" tint="-0.14996795556505021"/>
        </patternFill>
      </fill>
      <border>
        <left/>
        <right/>
        <top/>
        <bottom/>
      </border>
    </dxf>
    <dxf>
      <font>
        <color theme="0" tint="-0.14996795556505021"/>
      </font>
      <fill>
        <patternFill>
          <bgColor theme="0" tint="-0.14996795556505021"/>
        </patternFill>
      </fill>
      <border>
        <left/>
        <right/>
        <top/>
        <bottom/>
      </border>
    </dxf>
    <dxf>
      <font>
        <color theme="0" tint="-0.14996795556505021"/>
      </font>
      <fill>
        <patternFill>
          <bgColor theme="0" tint="-0.14996795556505021"/>
        </patternFill>
      </fill>
      <border>
        <left/>
        <right/>
        <top/>
        <bottom/>
      </border>
    </dxf>
    <dxf>
      <font>
        <color theme="0" tint="-0.14996795556505021"/>
      </font>
      <fill>
        <patternFill>
          <bgColor theme="0" tint="-0.14996795556505021"/>
        </patternFill>
      </fill>
      <border>
        <left/>
        <right/>
        <top/>
        <bottom/>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ont>
        <color theme="0" tint="-0.14996795556505021"/>
      </font>
      <fill>
        <patternFill>
          <bgColor theme="0" tint="-0.14996795556505021"/>
        </patternFill>
      </fill>
      <border>
        <left/>
        <right/>
        <top/>
        <bottom/>
        <vertical/>
        <horizontal/>
      </border>
    </dxf>
    <dxf>
      <font>
        <color theme="0" tint="-0.14996795556505021"/>
      </font>
      <fill>
        <patternFill>
          <bgColor theme="0" tint="-0.14996795556505021"/>
        </patternFill>
      </fill>
      <border>
        <left/>
        <right/>
        <top/>
        <bottom/>
        <vertical/>
        <horizontal/>
      </border>
    </dxf>
    <dxf>
      <font>
        <color theme="0" tint="-0.14996795556505021"/>
      </font>
      <fill>
        <patternFill>
          <bgColor theme="0" tint="-0.14996795556505021"/>
        </patternFill>
      </fill>
      <border>
        <left/>
        <right/>
        <top/>
        <bottom/>
        <vertical/>
        <horizontal/>
      </border>
    </dxf>
    <dxf>
      <font>
        <color theme="0" tint="-0.14996795556505021"/>
      </font>
      <fill>
        <patternFill>
          <bgColor theme="0" tint="-0.14996795556505021"/>
        </patternFill>
      </fill>
      <border>
        <left/>
        <right/>
        <top/>
        <bottom/>
        <vertical/>
        <horizontal/>
      </border>
    </dxf>
    <dxf>
      <font>
        <color theme="0" tint="-0.14996795556505021"/>
      </font>
      <fill>
        <patternFill>
          <bgColor theme="0" tint="-0.14996795556505021"/>
        </patternFill>
      </fill>
      <border>
        <left/>
        <right/>
        <top/>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numFmt numFmtId="192" formatCode="0.00##\ \%"/>
    </dxf>
    <dxf>
      <font>
        <color theme="0" tint="-0.14996795556505021"/>
      </font>
      <fill>
        <patternFill>
          <bgColor theme="0" tint="-0.14996795556505021"/>
        </patternFill>
      </fill>
      <border>
        <left/>
        <right/>
        <top/>
        <bottom/>
      </border>
    </dxf>
    <dxf>
      <font>
        <color theme="0" tint="-0.14996795556505021"/>
      </font>
      <fill>
        <patternFill>
          <bgColor theme="0" tint="-0.14996795556505021"/>
        </patternFill>
      </fill>
      <border>
        <left/>
        <right/>
        <top/>
        <bottom/>
      </border>
    </dxf>
    <dxf>
      <font>
        <color rgb="FFF2DCDB"/>
      </font>
      <fill>
        <patternFill>
          <bgColor rgb="FFF2DCDB"/>
        </patternFill>
      </fill>
    </dxf>
    <dxf>
      <font>
        <color theme="0" tint="-0.14996795556505021"/>
      </font>
      <fill>
        <patternFill>
          <bgColor theme="0" tint="-0.14996795556505021"/>
        </patternFill>
      </fill>
      <border>
        <left/>
        <right/>
        <top/>
        <bottom/>
      </border>
    </dxf>
    <dxf>
      <font>
        <color theme="0" tint="-0.14996795556505021"/>
      </font>
      <fill>
        <patternFill>
          <bgColor theme="0" tint="-0.14996795556505021"/>
        </patternFill>
      </fill>
      <border>
        <left/>
        <right/>
        <top/>
        <bottom/>
      </border>
    </dxf>
    <dxf>
      <font>
        <color theme="0" tint="-0.14996795556505021"/>
      </font>
      <fill>
        <patternFill>
          <bgColor theme="0" tint="-0.14996795556505021"/>
        </patternFill>
      </fill>
      <border>
        <left/>
        <right/>
        <top/>
        <bottom/>
      </border>
    </dxf>
    <dxf>
      <font>
        <color theme="0" tint="-0.14996795556505021"/>
      </font>
      <fill>
        <patternFill>
          <bgColor theme="0" tint="-0.14996795556505021"/>
        </patternFill>
      </fill>
      <border>
        <left/>
        <right/>
        <top/>
        <bottom/>
      </border>
    </dxf>
    <dxf>
      <font>
        <color theme="0" tint="-0.14996795556505021"/>
      </font>
      <fill>
        <patternFill>
          <bgColor theme="0" tint="-0.14996795556505021"/>
        </patternFill>
      </fill>
      <border>
        <left/>
        <right/>
        <top/>
        <bottom/>
      </border>
    </dxf>
    <dxf>
      <font>
        <color theme="0" tint="-0.14996795556505021"/>
      </font>
      <fill>
        <patternFill>
          <bgColor theme="0" tint="-0.14996795556505021"/>
        </patternFill>
      </fill>
      <border>
        <left style="thin">
          <color theme="0" tint="-0.14996795556505021"/>
        </left>
        <right style="thin">
          <color theme="0" tint="-0.14996795556505021"/>
        </right>
        <top style="thin">
          <color theme="0" tint="-0.14996795556505021"/>
        </top>
        <bottom style="thin">
          <color theme="0" tint="-0.14996795556505021"/>
        </bottom>
      </border>
    </dxf>
    <dxf>
      <border>
        <left style="thin">
          <color auto="1"/>
        </left>
        <right style="thin">
          <color auto="1"/>
        </right>
        <top style="thin">
          <color auto="1"/>
        </top>
        <bottom style="thin">
          <color auto="1"/>
        </bottom>
        <vertical/>
        <horizontal/>
      </border>
    </dxf>
    <dxf>
      <font>
        <color theme="0" tint="-0.14996795556505021"/>
      </font>
      <fill>
        <patternFill>
          <bgColor theme="0" tint="-0.14996795556505021"/>
        </patternFill>
      </fill>
      <border>
        <left style="thin">
          <color theme="0" tint="-0.14996795556505021"/>
        </left>
        <right style="thin">
          <color theme="0" tint="-0.14996795556505021"/>
        </right>
        <top style="thin">
          <color theme="0" tint="-0.14996795556505021"/>
        </top>
        <bottom style="thin">
          <color theme="0" tint="-0.14996795556505021"/>
        </bottom>
        <vertical/>
        <horizontal/>
      </border>
    </dxf>
    <dxf>
      <font>
        <color theme="0" tint="-0.14996795556505021"/>
      </font>
      <fill>
        <patternFill>
          <bgColor theme="0" tint="-0.14996795556505021"/>
        </patternFill>
      </fill>
      <border>
        <left style="thin">
          <color theme="0" tint="-0.14996795556505021"/>
        </left>
        <right style="thin">
          <color theme="0" tint="-0.14996795556505021"/>
        </right>
        <top style="thin">
          <color theme="0" tint="-0.14996795556505021"/>
        </top>
        <bottom style="thin">
          <color theme="0" tint="-0.14996795556505021"/>
        </bottom>
      </border>
    </dxf>
    <dxf>
      <border>
        <left style="thin">
          <color auto="1"/>
        </left>
        <right style="thin">
          <color auto="1"/>
        </right>
        <top style="thin">
          <color auto="1"/>
        </top>
        <bottom style="thin">
          <color auto="1"/>
        </bottom>
        <vertical/>
        <horizontal/>
      </border>
    </dxf>
    <dxf>
      <font>
        <color theme="0" tint="-0.14996795556505021"/>
      </font>
      <fill>
        <patternFill>
          <bgColor theme="0" tint="-0.14996795556505021"/>
        </patternFill>
      </fill>
      <border>
        <left style="thin">
          <color theme="0" tint="-0.14996795556505021"/>
        </left>
        <right style="thin">
          <color theme="0" tint="-0.14996795556505021"/>
        </right>
        <top style="thin">
          <color theme="0" tint="-0.14996795556505021"/>
        </top>
        <bottom style="thin">
          <color theme="0" tint="-0.14996795556505021"/>
        </bottom>
      </border>
    </dxf>
    <dxf>
      <border>
        <left style="thin">
          <color auto="1"/>
        </left>
        <right style="thin">
          <color auto="1"/>
        </right>
        <top style="thin">
          <color auto="1"/>
        </top>
        <bottom style="thin">
          <color auto="1"/>
        </bottom>
        <vertical/>
        <horizontal/>
      </border>
    </dxf>
    <dxf>
      <font>
        <color theme="0" tint="-0.14996795556505021"/>
      </font>
      <fill>
        <patternFill>
          <bgColor theme="0" tint="-0.14996795556505021"/>
        </patternFill>
      </fill>
      <border>
        <left style="thin">
          <color theme="0" tint="-0.14996795556505021"/>
        </left>
        <right style="thin">
          <color theme="0" tint="-0.14996795556505021"/>
        </right>
        <top style="thin">
          <color theme="0" tint="-0.14996795556505021"/>
        </top>
        <bottom style="thin">
          <color theme="0" tint="-0.14996795556505021"/>
        </bottom>
      </border>
    </dxf>
    <dxf>
      <border>
        <left style="thin">
          <color auto="1"/>
        </left>
        <right style="thin">
          <color auto="1"/>
        </right>
        <top style="thin">
          <color auto="1"/>
        </top>
        <bottom style="thin">
          <color auto="1"/>
        </bottom>
        <vertical/>
        <horizontal/>
      </border>
    </dxf>
    <dxf>
      <font>
        <color theme="0" tint="-0.14996795556505021"/>
      </font>
      <fill>
        <patternFill>
          <bgColor theme="0" tint="-0.14996795556505021"/>
        </patternFill>
      </fill>
      <border>
        <left style="thin">
          <color theme="0" tint="-0.14996795556505021"/>
        </left>
        <right style="thin">
          <color theme="0" tint="-0.14996795556505021"/>
        </right>
        <top style="thin">
          <color theme="0" tint="-0.14996795556505021"/>
        </top>
        <bottom style="thin">
          <color theme="0" tint="-0.14996795556505021"/>
        </bottom>
      </border>
    </dxf>
    <dxf>
      <border>
        <left style="thin">
          <color auto="1"/>
        </left>
        <right style="thin">
          <color auto="1"/>
        </right>
        <top style="thin">
          <color auto="1"/>
        </top>
        <bottom style="thin">
          <color auto="1"/>
        </bottom>
        <vertical/>
        <horizontal/>
      </border>
    </dxf>
    <dxf>
      <font>
        <color theme="0" tint="-0.14996795556505021"/>
      </font>
      <fill>
        <patternFill>
          <bgColor theme="0" tint="-0.14996795556505021"/>
        </patternFill>
      </fill>
      <border>
        <left style="thin">
          <color theme="0" tint="-0.14996795556505021"/>
        </left>
        <right style="thin">
          <color theme="0" tint="-0.14996795556505021"/>
        </right>
        <top style="thin">
          <color theme="0" tint="-0.14996795556505021"/>
        </top>
        <bottom style="thin">
          <color theme="0" tint="-0.14996795556505021"/>
        </bottom>
      </border>
    </dxf>
    <dxf>
      <border>
        <left style="thin">
          <color auto="1"/>
        </left>
        <right style="thin">
          <color auto="1"/>
        </right>
        <top style="thin">
          <color auto="1"/>
        </top>
        <bottom style="thin">
          <color auto="1"/>
        </bottom>
        <vertical/>
        <horizontal/>
      </border>
    </dxf>
    <dxf>
      <font>
        <color theme="0" tint="-0.14996795556505021"/>
      </font>
      <fill>
        <patternFill>
          <bgColor theme="0" tint="-0.14996795556505021"/>
        </patternFill>
      </fill>
      <border>
        <left style="thin">
          <color theme="0" tint="-0.14996795556505021"/>
        </left>
        <right style="thin">
          <color theme="0" tint="-0.14996795556505021"/>
        </right>
        <top style="thin">
          <color theme="0" tint="-0.14996795556505021"/>
        </top>
        <bottom style="thin">
          <color theme="0" tint="-0.14996795556505021"/>
        </bottom>
      </border>
    </dxf>
    <dxf>
      <border>
        <left style="thin">
          <color auto="1"/>
        </left>
        <right style="thin">
          <color auto="1"/>
        </right>
        <top style="thin">
          <color auto="1"/>
        </top>
        <bottom style="thin">
          <color auto="1"/>
        </bottom>
        <vertical/>
        <horizontal/>
      </border>
    </dxf>
    <dxf>
      <font>
        <color theme="0" tint="-0.14996795556505021"/>
      </font>
      <fill>
        <patternFill>
          <bgColor theme="0" tint="-0.14996795556505021"/>
        </patternFill>
      </fill>
      <border>
        <left style="thin">
          <color theme="0" tint="-0.14996795556505021"/>
        </left>
        <right style="thin">
          <color theme="0" tint="-0.14996795556505021"/>
        </right>
        <top style="thin">
          <color theme="0" tint="-0.14996795556505021"/>
        </top>
        <bottom style="thin">
          <color theme="0" tint="-0.14996795556505021"/>
        </bottom>
      </border>
    </dxf>
    <dxf>
      <border>
        <left style="thin">
          <color auto="1"/>
        </left>
        <right style="thin">
          <color auto="1"/>
        </right>
        <top style="thin">
          <color auto="1"/>
        </top>
        <bottom style="thin">
          <color auto="1"/>
        </bottom>
        <vertical/>
        <horizontal/>
      </border>
    </dxf>
    <dxf>
      <font>
        <color rgb="FFD9D9D9"/>
      </font>
      <fill>
        <patternFill>
          <bgColor rgb="FFD9D9D9"/>
        </patternFill>
      </fill>
      <border>
        <left style="thin">
          <color theme="0" tint="-0.14996795556505021"/>
        </left>
        <right style="thin">
          <color theme="0" tint="-0.14996795556505021"/>
        </right>
        <top style="thin">
          <color theme="0" tint="-0.14996795556505021"/>
        </top>
        <bottom style="thin">
          <color theme="0" tint="-0.14996795556505021"/>
        </bottom>
      </border>
    </dxf>
    <dxf>
      <border>
        <left style="thin">
          <color auto="1"/>
        </left>
        <right style="thin">
          <color auto="1"/>
        </right>
        <top style="thin">
          <color auto="1"/>
        </top>
        <bottom style="thin">
          <color auto="1"/>
        </bottom>
        <vertical/>
        <horizontal/>
      </border>
    </dxf>
    <dxf>
      <font>
        <color rgb="FFD9D9D9"/>
      </font>
      <fill>
        <patternFill>
          <bgColor rgb="FFD9D9D9"/>
        </patternFill>
      </fill>
      <border>
        <left style="thin">
          <color theme="0" tint="-0.14996795556505021"/>
        </left>
        <right style="thin">
          <color theme="0" tint="-0.14996795556505021"/>
        </right>
        <top style="thin">
          <color theme="0" tint="-0.14996795556505021"/>
        </top>
        <bottom style="thin">
          <color theme="0" tint="-0.14996795556505021"/>
        </bottom>
      </border>
    </dxf>
    <dxf>
      <border>
        <left style="thin">
          <color auto="1"/>
        </left>
        <right style="thin">
          <color auto="1"/>
        </right>
        <top style="thin">
          <color auto="1"/>
        </top>
        <bottom style="thin">
          <color auto="1"/>
        </bottom>
        <vertical/>
        <horizontal/>
      </border>
    </dxf>
    <dxf>
      <font>
        <color theme="0" tint="-0.14996795556505021"/>
      </font>
      <fill>
        <patternFill>
          <bgColor theme="0" tint="-0.14996795556505021"/>
        </patternFill>
      </fill>
      <border>
        <left style="thin">
          <color theme="0" tint="-0.14996795556505021"/>
        </left>
        <right style="thin">
          <color theme="0" tint="-0.14996795556505021"/>
        </right>
        <top style="thin">
          <color theme="0" tint="-0.14996795556505021"/>
        </top>
        <bottom style="thin">
          <color theme="0" tint="-0.14996795556505021"/>
        </bottom>
      </border>
    </dxf>
    <dxf>
      <border>
        <left style="thin">
          <color auto="1"/>
        </left>
        <right style="thin">
          <color auto="1"/>
        </right>
        <top style="thin">
          <color auto="1"/>
        </top>
        <bottom style="thin">
          <color auto="1"/>
        </bottom>
        <vertical/>
        <horizontal/>
      </border>
    </dxf>
    <dxf>
      <font>
        <color theme="0" tint="-0.14996795556505021"/>
      </font>
      <fill>
        <patternFill>
          <bgColor theme="0" tint="-0.14996795556505021"/>
        </patternFill>
      </fill>
      <border>
        <left style="thin">
          <color theme="0" tint="-0.14996795556505021"/>
        </left>
        <right style="thin">
          <color theme="0" tint="-0.14996795556505021"/>
        </right>
        <top style="thin">
          <color theme="0" tint="-0.14996795556505021"/>
        </top>
        <bottom style="thin">
          <color theme="0" tint="-0.14996795556505021"/>
        </bottom>
      </border>
    </dxf>
    <dxf>
      <border>
        <left style="thin">
          <color auto="1"/>
        </left>
        <right style="thin">
          <color auto="1"/>
        </right>
        <top style="thin">
          <color auto="1"/>
        </top>
        <bottom style="thin">
          <color auto="1"/>
        </bottom>
        <vertical/>
        <horizontal/>
      </border>
    </dxf>
    <dxf>
      <fill>
        <patternFill>
          <bgColor rgb="FFD8FCC8"/>
        </patternFill>
      </fill>
    </dxf>
    <dxf>
      <fill>
        <patternFill>
          <bgColor rgb="FFFFD5D5"/>
        </patternFill>
      </fill>
    </dxf>
    <dxf>
      <fill>
        <patternFill>
          <bgColor rgb="FFFFD5D5"/>
        </patternFill>
      </fill>
    </dxf>
    <dxf>
      <fill>
        <patternFill>
          <bgColor rgb="FFD8FCC8"/>
        </patternFill>
      </fill>
    </dxf>
    <dxf>
      <font>
        <b val="0"/>
        <i val="0"/>
        <color rgb="FFFF0000"/>
      </font>
      <fill>
        <patternFill patternType="none">
          <bgColor auto="1"/>
        </patternFill>
      </fill>
    </dxf>
    <dxf>
      <font>
        <b val="0"/>
        <i val="0"/>
        <color rgb="FF008000"/>
      </font>
      <fill>
        <patternFill patternType="none">
          <bgColor auto="1"/>
        </patternFill>
      </fill>
    </dxf>
    <dxf>
      <font>
        <b/>
        <i val="0"/>
        <color rgb="FF008000"/>
      </font>
      <fill>
        <patternFill patternType="solid">
          <bgColor rgb="FFD8FCC8"/>
        </patternFill>
      </fill>
    </dxf>
    <dxf>
      <font>
        <b/>
        <i val="0"/>
        <color rgb="FFFF0000"/>
      </font>
      <fill>
        <patternFill patternType="solid">
          <bgColor rgb="FFFFD5D5"/>
        </patternFill>
      </fill>
    </dxf>
    <dxf>
      <font>
        <b/>
        <i val="0"/>
        <color rgb="FF008000"/>
      </font>
      <fill>
        <patternFill patternType="none">
          <bgColor auto="1"/>
        </patternFill>
      </fill>
    </dxf>
    <dxf>
      <font>
        <b/>
        <i val="0"/>
        <color rgb="FFFF0000"/>
      </font>
      <fill>
        <patternFill patternType="none">
          <bgColor auto="1"/>
        </patternFill>
      </fill>
    </dxf>
    <dxf>
      <font>
        <b val="0"/>
        <i val="0"/>
        <color rgb="FFFF0000"/>
      </font>
      <fill>
        <patternFill patternType="none">
          <bgColor auto="1"/>
        </patternFill>
      </fill>
    </dxf>
    <dxf>
      <font>
        <b val="0"/>
        <i val="0"/>
        <color rgb="FF008000"/>
      </font>
      <fill>
        <patternFill patternType="none">
          <bgColor auto="1"/>
        </patternFill>
      </fill>
    </dxf>
    <dxf>
      <font>
        <b val="0"/>
        <i val="0"/>
        <color auto="1"/>
      </font>
      <fill>
        <patternFill>
          <bgColor rgb="FFFFD5D5"/>
        </patternFill>
      </fill>
    </dxf>
    <dxf>
      <font>
        <b val="0"/>
        <i val="0"/>
        <color auto="1"/>
      </font>
      <fill>
        <patternFill>
          <bgColor rgb="FFD4F3C5"/>
        </patternFill>
      </fill>
    </dxf>
    <dxf>
      <font>
        <b val="0"/>
        <i val="0"/>
        <color auto="1"/>
      </font>
      <fill>
        <patternFill>
          <bgColor rgb="FFFFABAB"/>
        </patternFill>
      </fill>
    </dxf>
    <dxf>
      <font>
        <b val="0"/>
        <i val="0"/>
        <color auto="1"/>
      </font>
      <fill>
        <patternFill>
          <bgColor rgb="FFB6EA9E"/>
        </patternFill>
      </fill>
    </dxf>
    <dxf>
      <font>
        <b val="0"/>
        <i val="0"/>
        <color auto="1"/>
      </font>
      <fill>
        <patternFill>
          <bgColor rgb="FFFFE5E5"/>
        </patternFill>
      </fill>
    </dxf>
    <dxf>
      <font>
        <b val="0"/>
        <i val="0"/>
        <color auto="1"/>
      </font>
      <fill>
        <patternFill>
          <bgColor rgb="FFE8F9DF"/>
        </patternFill>
      </fill>
    </dxf>
    <dxf>
      <font>
        <b/>
        <i val="0"/>
        <color auto="1"/>
      </font>
      <fill>
        <patternFill>
          <bgColor rgb="FFFFD5D5"/>
        </patternFill>
      </fill>
    </dxf>
    <dxf>
      <font>
        <b/>
        <i val="0"/>
        <color auto="1"/>
      </font>
      <fill>
        <patternFill>
          <bgColor rgb="FFD8FCC8"/>
        </patternFill>
      </fill>
    </dxf>
    <dxf>
      <fill>
        <patternFill>
          <bgColor rgb="FF92D050"/>
        </patternFill>
      </fill>
    </dxf>
    <dxf>
      <fill>
        <patternFill>
          <bgColor rgb="FFFF000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92D050"/>
        </patternFill>
      </fill>
    </dxf>
    <dxf>
      <fill>
        <patternFill>
          <bgColor rgb="FFFF0000"/>
        </patternFill>
      </fill>
    </dxf>
    <dxf>
      <fill>
        <patternFill>
          <bgColor rgb="FFFF0000"/>
        </patternFill>
      </fill>
    </dxf>
    <dxf>
      <fill>
        <patternFill>
          <bgColor rgb="FF92D050"/>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1"/>
      </font>
      <fill>
        <patternFill>
          <bgColor theme="0" tint="-0.14996795556505021"/>
        </patternFill>
      </fill>
    </dxf>
    <dxf>
      <fill>
        <patternFill>
          <bgColor theme="0" tint="-0.14996795556505021"/>
        </patternFill>
      </fill>
    </dxf>
    <dxf>
      <fill>
        <patternFill>
          <bgColor theme="0" tint="-0.14996795556505021"/>
        </patternFill>
      </fill>
    </dxf>
    <dxf>
      <font>
        <color theme="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1"/>
      </font>
      <fill>
        <patternFill>
          <bgColor theme="0" tint="-0.14996795556505021"/>
        </patternFill>
      </fill>
    </dxf>
    <dxf>
      <fill>
        <patternFill>
          <bgColor theme="0" tint="-0.14996795556505021"/>
        </patternFill>
      </fill>
    </dxf>
    <dxf>
      <fill>
        <patternFill>
          <bgColor theme="0" tint="-0.14996795556505021"/>
        </patternFill>
      </fill>
    </dxf>
    <dxf>
      <font>
        <color theme="1"/>
      </font>
      <fill>
        <patternFill>
          <bgColor theme="0" tint="-0.14996795556505021"/>
        </patternFill>
      </fill>
    </dxf>
    <dxf>
      <fill>
        <patternFill>
          <bgColor theme="0" tint="-0.14996795556505021"/>
        </patternFill>
      </fill>
    </dxf>
    <dxf>
      <fill>
        <patternFill>
          <bgColor theme="0" tint="-0.14996795556505021"/>
        </patternFill>
      </fill>
    </dxf>
    <dxf>
      <font>
        <color theme="1"/>
      </font>
      <fill>
        <patternFill>
          <bgColor theme="0" tint="-0.14996795556505021"/>
        </patternFill>
      </fill>
    </dxf>
    <dxf>
      <fill>
        <patternFill>
          <bgColor theme="0" tint="-0.14996795556505021"/>
        </patternFill>
      </fill>
    </dxf>
    <dxf>
      <font>
        <color theme="1"/>
      </font>
      <fill>
        <patternFill>
          <bgColor theme="0" tint="-0.14996795556505021"/>
        </patternFill>
      </fill>
    </dxf>
    <dxf>
      <fill>
        <patternFill>
          <bgColor theme="0" tint="-0.14996795556505021"/>
        </patternFill>
      </fill>
    </dxf>
    <dxf>
      <fill>
        <patternFill>
          <bgColor theme="0" tint="-0.14996795556505021"/>
        </patternFill>
      </fill>
    </dxf>
    <dxf>
      <font>
        <color theme="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1"/>
      </font>
      <fill>
        <patternFill>
          <bgColor theme="0" tint="-0.14996795556505021"/>
        </patternFill>
      </fill>
    </dxf>
    <dxf>
      <fill>
        <patternFill>
          <bgColor theme="0" tint="-0.14996795556505021"/>
        </patternFill>
      </fill>
    </dxf>
    <dxf>
      <fill>
        <patternFill>
          <bgColor theme="0" tint="-0.14996795556505021"/>
        </patternFill>
      </fill>
    </dxf>
    <dxf>
      <font>
        <color theme="1"/>
      </font>
      <fill>
        <patternFill>
          <bgColor theme="0" tint="-0.14996795556505021"/>
        </patternFill>
      </fill>
    </dxf>
    <dxf>
      <fill>
        <patternFill>
          <bgColor theme="0" tint="-0.14996795556505021"/>
        </patternFill>
      </fill>
    </dxf>
    <dxf>
      <fill>
        <patternFill>
          <bgColor theme="0" tint="-0.14996795556505021"/>
        </patternFill>
      </fill>
    </dxf>
    <dxf>
      <font>
        <color theme="1"/>
      </font>
      <fill>
        <patternFill>
          <bgColor theme="0" tint="-0.14996795556505021"/>
        </patternFill>
      </fill>
    </dxf>
    <dxf>
      <fill>
        <patternFill>
          <bgColor theme="0" tint="-0.14996795556505021"/>
        </patternFill>
      </fill>
    </dxf>
    <dxf>
      <font>
        <color theme="1"/>
      </font>
      <fill>
        <patternFill>
          <bgColor theme="0" tint="-0.14996795556505021"/>
        </patternFill>
      </fill>
    </dxf>
    <dxf>
      <fill>
        <patternFill>
          <bgColor theme="0" tint="-0.14996795556505021"/>
        </patternFill>
      </fill>
    </dxf>
    <dxf>
      <font>
        <color theme="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rgb="FFF2DCDB"/>
        </patternFill>
      </fill>
    </dxf>
    <dxf>
      <fill>
        <patternFill>
          <bgColor rgb="FFD8E4BC"/>
        </patternFill>
      </fill>
    </dxf>
    <dxf>
      <fill>
        <patternFill>
          <bgColor rgb="FFD8E4BC"/>
        </patternFill>
      </fill>
    </dxf>
    <dxf>
      <fill>
        <patternFill>
          <bgColor rgb="FFD8E4BC"/>
        </patternFill>
      </fill>
    </dxf>
    <dxf>
      <fill>
        <patternFill>
          <bgColor rgb="FFF2DCDB"/>
        </patternFill>
      </fill>
    </dxf>
    <dxf>
      <fill>
        <patternFill>
          <bgColor rgb="FFD8E4BC"/>
        </patternFill>
      </fill>
    </dxf>
    <dxf>
      <fill>
        <patternFill>
          <bgColor rgb="FFF2DCDB"/>
        </patternFill>
      </fill>
    </dxf>
    <dxf>
      <fill>
        <patternFill>
          <bgColor rgb="FFD8E4BC"/>
        </patternFill>
      </fill>
    </dxf>
    <dxf>
      <fill>
        <patternFill>
          <bgColor rgb="FFF2DCDB"/>
        </patternFill>
      </fill>
    </dxf>
    <dxf>
      <fill>
        <patternFill>
          <bgColor rgb="FFD8E4BC"/>
        </patternFill>
      </fill>
    </dxf>
    <dxf>
      <fill>
        <patternFill>
          <bgColor rgb="FFF2DCDB"/>
        </patternFill>
      </fill>
    </dxf>
    <dxf>
      <fill>
        <patternFill>
          <bgColor rgb="FFD8E4BC"/>
        </patternFill>
      </fill>
    </dxf>
    <dxf>
      <fill>
        <patternFill>
          <bgColor rgb="FFF2DCDB"/>
        </patternFill>
      </fill>
    </dxf>
    <dxf>
      <fill>
        <patternFill>
          <bgColor rgb="FFD8E4BC"/>
        </patternFill>
      </fill>
    </dxf>
    <dxf>
      <fill>
        <patternFill>
          <bgColor rgb="FFF2DCDB"/>
        </patternFill>
      </fill>
    </dxf>
    <dxf>
      <fill>
        <patternFill>
          <bgColor rgb="FFD8E4BC"/>
        </patternFill>
      </fill>
    </dxf>
    <dxf>
      <fill>
        <patternFill>
          <bgColor rgb="FFF2DCDB"/>
        </patternFill>
      </fill>
    </dxf>
    <dxf>
      <fill>
        <patternFill>
          <bgColor rgb="FFD8E4BC"/>
        </patternFill>
      </fill>
    </dxf>
    <dxf>
      <fill>
        <patternFill>
          <bgColor rgb="FFF2DCDB"/>
        </patternFill>
      </fill>
    </dxf>
    <dxf>
      <fill>
        <patternFill>
          <bgColor rgb="FFD8E4BC"/>
        </patternFill>
      </fill>
    </dxf>
    <dxf>
      <fill>
        <patternFill>
          <bgColor rgb="FFF2DCDB"/>
        </patternFill>
      </fill>
    </dxf>
    <dxf>
      <fill>
        <patternFill>
          <bgColor rgb="FFD8E4BC"/>
        </patternFill>
      </fill>
    </dxf>
    <dxf>
      <fill>
        <patternFill>
          <bgColor rgb="FFD8E4BC"/>
        </patternFill>
      </fill>
    </dxf>
    <dxf>
      <fill>
        <patternFill>
          <bgColor rgb="FFD8E4BC"/>
        </patternFill>
      </fill>
    </dxf>
    <dxf>
      <fill>
        <patternFill>
          <bgColor rgb="FFF2DCDB"/>
        </patternFill>
      </fill>
    </dxf>
    <dxf>
      <fill>
        <patternFill>
          <bgColor rgb="FFD8E4BC"/>
        </patternFill>
      </fill>
    </dxf>
    <dxf>
      <fill>
        <patternFill>
          <bgColor rgb="FFD8E4BC"/>
        </patternFill>
      </fill>
    </dxf>
    <dxf>
      <fill>
        <patternFill>
          <bgColor rgb="FFD8E4BC"/>
        </patternFill>
      </fill>
    </dxf>
    <dxf>
      <fill>
        <patternFill>
          <bgColor rgb="FFF2DCDB"/>
        </patternFill>
      </fill>
    </dxf>
    <dxf>
      <fill>
        <patternFill>
          <bgColor rgb="FFD8E4BC"/>
        </patternFill>
      </fill>
    </dxf>
    <dxf>
      <fill>
        <patternFill>
          <bgColor rgb="FFF2DCDB"/>
        </patternFill>
      </fill>
    </dxf>
    <dxf>
      <fill>
        <patternFill>
          <bgColor rgb="FFD8E4BC"/>
        </patternFill>
      </fill>
    </dxf>
    <dxf>
      <fill>
        <patternFill>
          <bgColor rgb="FFF2DCDB"/>
        </patternFill>
      </fill>
    </dxf>
    <dxf>
      <fill>
        <patternFill>
          <bgColor rgb="FFD8E4BC"/>
        </patternFill>
      </fill>
    </dxf>
    <dxf>
      <fill>
        <patternFill>
          <bgColor rgb="FFF2DCDB"/>
        </patternFill>
      </fill>
    </dxf>
    <dxf>
      <fill>
        <patternFill>
          <bgColor rgb="FFD8E4BC"/>
        </patternFill>
      </fill>
    </dxf>
    <dxf>
      <fill>
        <patternFill>
          <bgColor rgb="FFF2DCDB"/>
        </patternFill>
      </fill>
    </dxf>
    <dxf>
      <fill>
        <patternFill>
          <bgColor rgb="FFD8E4BC"/>
        </patternFill>
      </fill>
    </dxf>
    <dxf>
      <fill>
        <patternFill>
          <bgColor rgb="FFF2DCDB"/>
        </patternFill>
      </fill>
    </dxf>
    <dxf>
      <fill>
        <patternFill>
          <bgColor rgb="FFD8E4BC"/>
        </patternFill>
      </fill>
    </dxf>
    <dxf>
      <fill>
        <patternFill>
          <bgColor rgb="FFF2DCDB"/>
        </patternFill>
      </fill>
    </dxf>
    <dxf>
      <fill>
        <patternFill>
          <bgColor rgb="FFD8E4BC"/>
        </patternFill>
      </fill>
    </dxf>
    <dxf>
      <fill>
        <patternFill>
          <bgColor rgb="FFF2DCDB"/>
        </patternFill>
      </fill>
    </dxf>
    <dxf>
      <fill>
        <patternFill>
          <bgColor rgb="FFD8E4BC"/>
        </patternFill>
      </fill>
    </dxf>
    <dxf>
      <fill>
        <patternFill>
          <bgColor rgb="FFF2DCDB"/>
        </patternFill>
      </fill>
    </dxf>
    <dxf>
      <fill>
        <patternFill>
          <bgColor rgb="FFD8E4BC"/>
        </patternFill>
      </fill>
    </dxf>
    <dxf>
      <fill>
        <patternFill>
          <bgColor rgb="FFF2DCDB"/>
        </patternFill>
      </fill>
    </dxf>
    <dxf>
      <fill>
        <patternFill>
          <bgColor rgb="FFD8E4BC"/>
        </patternFill>
      </fill>
    </dxf>
    <dxf>
      <fill>
        <patternFill>
          <bgColor rgb="FFF2DCDB"/>
        </patternFill>
      </fill>
    </dxf>
    <dxf>
      <fill>
        <patternFill>
          <bgColor rgb="FFD8E4BC"/>
        </patternFill>
      </fill>
    </dxf>
    <dxf>
      <fill>
        <patternFill>
          <bgColor rgb="FFF2DCDB"/>
        </patternFill>
      </fill>
    </dxf>
    <dxf>
      <fill>
        <patternFill>
          <bgColor rgb="FFD8E4BC"/>
        </patternFill>
      </fill>
    </dxf>
    <dxf>
      <fill>
        <patternFill>
          <bgColor rgb="FFF2DCDB"/>
        </patternFill>
      </fill>
    </dxf>
    <dxf>
      <fill>
        <patternFill>
          <bgColor rgb="FFD8E4BC"/>
        </patternFill>
      </fill>
    </dxf>
    <dxf>
      <fill>
        <patternFill>
          <bgColor rgb="FFD8E4BC"/>
        </patternFill>
      </fill>
    </dxf>
    <dxf>
      <fill>
        <patternFill>
          <bgColor rgb="FFD8E4BC"/>
        </patternFill>
      </fill>
    </dxf>
    <dxf>
      <fill>
        <patternFill>
          <bgColor rgb="FFF2DCDB"/>
        </patternFill>
      </fill>
    </dxf>
    <dxf>
      <fill>
        <patternFill>
          <bgColor rgb="FFF2DCDB"/>
        </patternFill>
      </fill>
    </dxf>
    <dxf>
      <fill>
        <patternFill>
          <bgColor rgb="FFF2DCDB"/>
        </patternFill>
      </fill>
    </dxf>
    <dxf>
      <fill>
        <patternFill>
          <bgColor rgb="FFD8E4BC"/>
        </patternFill>
      </fill>
    </dxf>
    <dxf>
      <fill>
        <patternFill>
          <bgColor rgb="FFD8E4BC"/>
        </patternFill>
      </fill>
    </dxf>
    <dxf>
      <fill>
        <patternFill>
          <bgColor rgb="FFD8E4BC"/>
        </patternFill>
      </fill>
    </dxf>
    <dxf>
      <fill>
        <patternFill>
          <fgColor rgb="FF92D050"/>
          <bgColor rgb="FFD8E4BC"/>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D8E4BC"/>
        </patternFill>
      </fill>
    </dxf>
    <dxf>
      <fill>
        <patternFill>
          <bgColor rgb="FFD8E4BC"/>
        </patternFill>
      </fill>
    </dxf>
    <dxf>
      <fill>
        <patternFill>
          <fgColor rgb="FF92D050"/>
          <bgColor rgb="FFD8E4BC"/>
        </patternFill>
      </fill>
    </dxf>
    <dxf>
      <fill>
        <patternFill>
          <fgColor rgb="FF92D050"/>
          <bgColor rgb="FFD8E4BC"/>
        </patternFill>
      </fill>
    </dxf>
    <dxf>
      <fill>
        <patternFill>
          <fgColor rgb="FF92D050"/>
          <bgColor rgb="FFD8E4BC"/>
        </patternFill>
      </fill>
    </dxf>
    <dxf>
      <fill>
        <patternFill>
          <bgColor rgb="FFD8E4BC"/>
        </patternFill>
      </fill>
    </dxf>
    <dxf>
      <fill>
        <patternFill>
          <bgColor rgb="FFF2DCDB"/>
        </patternFill>
      </fill>
    </dxf>
    <dxf>
      <fill>
        <patternFill>
          <bgColor rgb="FFF2DCDB"/>
        </patternFill>
      </fill>
    </dxf>
    <dxf>
      <fill>
        <patternFill>
          <bgColor rgb="FFF2DCDB"/>
        </patternFill>
      </fill>
    </dxf>
    <dxf>
      <fill>
        <patternFill>
          <bgColor rgb="FFFFFF99"/>
        </patternFill>
      </fill>
    </dxf>
    <dxf>
      <fill>
        <patternFill>
          <bgColor rgb="FFD8E4BC"/>
        </patternFill>
      </fill>
    </dxf>
    <dxf>
      <fill>
        <patternFill>
          <bgColor rgb="FFD8E4BC"/>
        </patternFill>
      </fill>
    </dxf>
  </dxfs>
  <tableStyles count="0" defaultTableStyle="TableStyleMedium2" defaultPivotStyle="PivotStyleLight16"/>
  <colors>
    <mruColors>
      <color rgb="FFD8FCC8"/>
      <color rgb="FFFFD5D5"/>
      <color rgb="FFFFFFFF"/>
      <color rgb="FFFAEDE7"/>
      <color rgb="FFFFC000"/>
      <color rgb="FF008000"/>
      <color rgb="FFFF0000"/>
      <color rgb="FFBFBFBF"/>
      <color rgb="FFDE8400"/>
      <color rgb="FFE5E2D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customXml" Target="../customXml/item2.xml"/><Relationship Id="rId21" Type="http://schemas.openxmlformats.org/officeDocument/2006/relationships/worksheet" Target="worksheets/sheet21.xml"/><Relationship Id="rId34"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theme" Target="theme/theme1.xml"/><Relationship Id="rId37" Type="http://schemas.openxmlformats.org/officeDocument/2006/relationships/calcChain" Target="calcChain.xml"/><Relationship Id="rId40"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microsoft.com/office/2017/10/relationships/person" Target="persons/perso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externalLink" Target="externalLinks/externalLink1.xml"/><Relationship Id="rId35" Type="http://schemas.openxmlformats.org/officeDocument/2006/relationships/sheetMetadata" Target="metadata.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tyles" Target="styles.xml"/><Relationship Id="rId38" Type="http://schemas.openxmlformats.org/officeDocument/2006/relationships/customXml" Target="../customXml/item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_rels/activeX11.xml.rels><?xml version="1.0" encoding="UTF-8" standalone="yes"?>
<Relationships xmlns="http://schemas.openxmlformats.org/package/2006/relationships"><Relationship Id="rId1" Type="http://schemas.microsoft.com/office/2006/relationships/activeXControlBinary" Target="activeX11.bin"/></Relationships>
</file>

<file path=xl/activeX/_rels/activeX12.xml.rels><?xml version="1.0" encoding="UTF-8" standalone="yes"?>
<Relationships xmlns="http://schemas.openxmlformats.org/package/2006/relationships"><Relationship Id="rId1" Type="http://schemas.microsoft.com/office/2006/relationships/activeXControlBinary" Target="activeX12.bin"/></Relationships>
</file>

<file path=xl/activeX/_rels/activeX13.xml.rels><?xml version="1.0" encoding="UTF-8" standalone="yes"?>
<Relationships xmlns="http://schemas.openxmlformats.org/package/2006/relationships"><Relationship Id="rId1" Type="http://schemas.microsoft.com/office/2006/relationships/activeXControlBinary" Target="activeX13.bin"/></Relationships>
</file>

<file path=xl/activeX/_rels/activeX14.xml.rels><?xml version="1.0" encoding="UTF-8" standalone="yes"?>
<Relationships xmlns="http://schemas.openxmlformats.org/package/2006/relationships"><Relationship Id="rId1" Type="http://schemas.microsoft.com/office/2006/relationships/activeXControlBinary" Target="activeX14.bin"/></Relationships>
</file>

<file path=xl/activeX/_rels/activeX15.xml.rels><?xml version="1.0" encoding="UTF-8" standalone="yes"?>
<Relationships xmlns="http://schemas.openxmlformats.org/package/2006/relationships"><Relationship Id="rId1" Type="http://schemas.microsoft.com/office/2006/relationships/activeXControlBinary" Target="activeX15.bin"/></Relationships>
</file>

<file path=xl/activeX/_rels/activeX16.xml.rels><?xml version="1.0" encoding="UTF-8" standalone="yes"?>
<Relationships xmlns="http://schemas.openxmlformats.org/package/2006/relationships"><Relationship Id="rId1" Type="http://schemas.microsoft.com/office/2006/relationships/activeXControlBinary" Target="activeX16.bin"/></Relationships>
</file>

<file path=xl/activeX/activeX1.xml><?xml version="1.0" encoding="utf-8"?>
<ax:ocx xmlns:ax="http://schemas.microsoft.com/office/2006/activeX" xmlns:r="http://schemas.openxmlformats.org/officeDocument/2006/relationships" ax:classid="{8BD21D40-EC42-11CE-9E0D-00AA006002F3}" ax:persistence="persistStreamInit" r:id="rId1"/>
</file>

<file path=xl/activeX/activeX2.xml><?xml version="1.0" encoding="utf-8"?>
<ax:ocx xmlns:ax="http://schemas.microsoft.com/office/2006/activeX" xmlns:r="http://schemas.openxmlformats.org/officeDocument/2006/relationships" ax:classid="{79176FB0-B7F2-11CE-97EF-00AA006D2776}" ax:persistence="persistStreamInit" r:id="rId1"/>
</file>

<file path=xl/activeX/activeX3.xml><?xml version="1.0" encoding="utf-8"?>
<ax:ocx xmlns:ax="http://schemas.microsoft.com/office/2006/activeX" xmlns:r="http://schemas.openxmlformats.org/officeDocument/2006/relationships" ax:classid="{79176FB0-B7F2-11CE-97EF-00AA006D2776}"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activeX/activeX6.xml><?xml version="1.0" encoding="utf-8"?>
<ax:ocx xmlns:ax="http://schemas.microsoft.com/office/2006/activeX" xmlns:r="http://schemas.openxmlformats.org/officeDocument/2006/relationships" ax:classid="{D7053240-CE69-11CD-A777-00DD01143C57}" ax:persistence="persistStreamInit" r:id="rId1"/>
</file>

<file path=xl/activeX/activeX7.xml><?xml version="1.0" encoding="utf-8"?>
<ax:ocx xmlns:ax="http://schemas.microsoft.com/office/2006/activeX" xmlns:r="http://schemas.openxmlformats.org/officeDocument/2006/relationships" ax:classid="{D7053240-CE69-11CD-A777-00DD01143C57}" ax:persistence="persistStreamInit" r:id="rId1"/>
</file>

<file path=xl/activeX/activeX8.xml><?xml version="1.0" encoding="utf-8"?>
<ax:ocx xmlns:ax="http://schemas.microsoft.com/office/2006/activeX" xmlns:r="http://schemas.openxmlformats.org/officeDocument/2006/relationships" ax:classid="{D7053240-CE69-11CD-A777-00DD01143C57}" ax:persistence="persistStreamInit" r:id="rId1"/>
</file>

<file path=xl/activeX/activeX9.xml><?xml version="1.0" encoding="utf-8"?>
<ax:ocx xmlns:ax="http://schemas.microsoft.com/office/2006/activeX" xmlns:r="http://schemas.openxmlformats.org/officeDocument/2006/relationships" ax:classid="{D7053240-CE69-11CD-A777-00DD01143C57}" ax:persistence="persistStreamInit" r:id="rId1"/>
</file>

<file path=xl/activeX/activeX10.xml><?xml version="1.0" encoding="utf-8"?>
<ax:ocx xmlns:ax="http://schemas.microsoft.com/office/2006/activeX" xmlns:r="http://schemas.openxmlformats.org/officeDocument/2006/relationships" ax:classid="{D7053240-CE69-11CD-A777-00DD01143C57}" ax:persistence="persistStreamInit" r:id="rId1"/>
</file>

<file path=xl/activeX/activeX11.xml><?xml version="1.0" encoding="utf-8"?>
<ax:ocx xmlns:ax="http://schemas.microsoft.com/office/2006/activeX" xmlns:r="http://schemas.openxmlformats.org/officeDocument/2006/relationships" ax:classid="{D7053240-CE69-11CD-A777-00DD01143C57}" ax:persistence="persistStreamInit" r:id="rId1"/>
</file>

<file path=xl/activeX/activeX12.xml><?xml version="1.0" encoding="utf-8"?>
<ax:ocx xmlns:ax="http://schemas.microsoft.com/office/2006/activeX" xmlns:r="http://schemas.openxmlformats.org/officeDocument/2006/relationships" ax:classid="{D7053240-CE69-11CD-A777-00DD01143C57}" ax:persistence="persistStreamInit" r:id="rId1"/>
</file>

<file path=xl/activeX/activeX13.xml><?xml version="1.0" encoding="utf-8"?>
<ax:ocx xmlns:ax="http://schemas.microsoft.com/office/2006/activeX" xmlns:r="http://schemas.openxmlformats.org/officeDocument/2006/relationships" ax:classid="{D7053240-CE69-11CD-A777-00DD01143C57}" ax:persistence="persistStreamInit" r:id="rId1"/>
</file>

<file path=xl/activeX/activeX14.xml><?xml version="1.0" encoding="utf-8"?>
<ax:ocx xmlns:ax="http://schemas.microsoft.com/office/2006/activeX" xmlns:r="http://schemas.openxmlformats.org/officeDocument/2006/relationships" ax:classid="{D7053240-CE69-11CD-A777-00DD01143C57}" ax:persistence="persistStreamInit" r:id="rId1"/>
</file>

<file path=xl/activeX/activeX15.xml><?xml version="1.0" encoding="utf-8"?>
<ax:ocx xmlns:ax="http://schemas.microsoft.com/office/2006/activeX" xmlns:r="http://schemas.openxmlformats.org/officeDocument/2006/relationships" ax:classid="{D7053240-CE69-11CD-A777-00DD01143C57}" ax:persistence="persistStreamInit" r:id="rId1"/>
</file>

<file path=xl/activeX/activeX16.xml><?xml version="1.0" encoding="utf-8"?>
<ax:ocx xmlns:ax="http://schemas.microsoft.com/office/2006/activeX" xmlns:r="http://schemas.openxmlformats.org/officeDocument/2006/relationships" ax:classid="{D7053240-CE69-11CD-A777-00DD01143C57}" ax:persistence="persistStreamInit" r:id="rId1"/>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12.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13.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14.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5.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6.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17.xml.rels><?xml version="1.0" encoding="UTF-8" standalone="yes"?>
<Relationships xmlns="http://schemas.openxmlformats.org/package/2006/relationships"><Relationship Id="rId2" Type="http://schemas.microsoft.com/office/2011/relationships/chartColorStyle" Target="colors12.xml"/><Relationship Id="rId1" Type="http://schemas.microsoft.com/office/2011/relationships/chartStyle" Target="style12.xml"/></Relationships>
</file>

<file path=xl/charts/_rels/chart18.xml.rels><?xml version="1.0" encoding="UTF-8" standalone="yes"?>
<Relationships xmlns="http://schemas.openxmlformats.org/package/2006/relationships"><Relationship Id="rId2" Type="http://schemas.microsoft.com/office/2011/relationships/chartColorStyle" Target="colors13.xml"/><Relationship Id="rId1" Type="http://schemas.microsoft.com/office/2011/relationships/chartStyle" Target="style13.xml"/></Relationships>
</file>

<file path=xl/charts/_rels/chart19.xml.rels><?xml version="1.0" encoding="UTF-8" standalone="yes"?>
<Relationships xmlns="http://schemas.openxmlformats.org/package/2006/relationships"><Relationship Id="rId2" Type="http://schemas.microsoft.com/office/2011/relationships/chartColorStyle" Target="colors14.xml"/><Relationship Id="rId1" Type="http://schemas.microsoft.com/office/2011/relationships/chartStyle" Target="style14.xml"/></Relationships>
</file>

<file path=xl/charts/_rels/chart20.xml.rels><?xml version="1.0" encoding="UTF-8" standalone="yes"?>
<Relationships xmlns="http://schemas.openxmlformats.org/package/2006/relationships"><Relationship Id="rId2" Type="http://schemas.microsoft.com/office/2011/relationships/chartColorStyle" Target="colors15.xml"/><Relationship Id="rId1" Type="http://schemas.microsoft.com/office/2011/relationships/chartStyle" Target="style15.xml"/></Relationships>
</file>

<file path=xl/charts/_rels/chart21.xml.rels><?xml version="1.0" encoding="UTF-8" standalone="yes"?>
<Relationships xmlns="http://schemas.openxmlformats.org/package/2006/relationships"><Relationship Id="rId2" Type="http://schemas.microsoft.com/office/2011/relationships/chartColorStyle" Target="colors16.xml"/><Relationship Id="rId1" Type="http://schemas.microsoft.com/office/2011/relationships/chartStyle" Target="style16.xml"/></Relationships>
</file>

<file path=xl/charts/_rels/chart22.xml.rels><?xml version="1.0" encoding="UTF-8" standalone="yes"?>
<Relationships xmlns="http://schemas.openxmlformats.org/package/2006/relationships"><Relationship Id="rId2" Type="http://schemas.microsoft.com/office/2011/relationships/chartColorStyle" Target="colors17.xml"/><Relationship Id="rId1" Type="http://schemas.microsoft.com/office/2011/relationships/chartStyle" Target="style17.xml"/></Relationships>
</file>

<file path=xl/charts/_rels/chart23.xml.rels><?xml version="1.0" encoding="UTF-8" standalone="yes"?>
<Relationships xmlns="http://schemas.openxmlformats.org/package/2006/relationships"><Relationship Id="rId2" Type="http://schemas.microsoft.com/office/2011/relationships/chartColorStyle" Target="colors18.xml"/><Relationship Id="rId1" Type="http://schemas.microsoft.com/office/2011/relationships/chartStyle" Target="style18.xml"/></Relationships>
</file>

<file path=xl/charts/_rels/chart24.xml.rels><?xml version="1.0" encoding="UTF-8" standalone="yes"?>
<Relationships xmlns="http://schemas.openxmlformats.org/package/2006/relationships"><Relationship Id="rId2" Type="http://schemas.microsoft.com/office/2011/relationships/chartColorStyle" Target="colors19.xml"/><Relationship Id="rId1" Type="http://schemas.microsoft.com/office/2011/relationships/chartStyle" Target="style19.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b-NO"/>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7024759243021143"/>
          <c:y val="0.16294008229380907"/>
          <c:w val="0.78562521005430452"/>
          <c:h val="0.73084013476472964"/>
        </c:manualLayout>
      </c:layout>
      <c:barChart>
        <c:barDir val="col"/>
        <c:grouping val="clustered"/>
        <c:varyColors val="0"/>
        <c:ser>
          <c:idx val="0"/>
          <c:order val="0"/>
          <c:spPr>
            <a:solidFill>
              <a:schemeClr val="accent1"/>
            </a:solidFill>
            <a:ln>
              <a:noFill/>
            </a:ln>
            <a:effectLst/>
          </c:spPr>
          <c:invertIfNegative val="0"/>
          <c:dPt>
            <c:idx val="0"/>
            <c:invertIfNegative val="0"/>
            <c:bubble3D val="0"/>
            <c:spPr>
              <a:solidFill>
                <a:srgbClr val="B9CDE5"/>
              </a:solidFill>
              <a:ln>
                <a:noFill/>
              </a:ln>
              <a:effectLst/>
            </c:spPr>
            <c:extLst>
              <c:ext xmlns:c16="http://schemas.microsoft.com/office/drawing/2014/chart" uri="{C3380CC4-5D6E-409C-BE32-E72D297353CC}">
                <c16:uniqueId val="{0000000F-0AE7-4974-A9A3-AB0F57AC9700}"/>
              </c:ext>
            </c:extLst>
          </c:dPt>
          <c:dLbls>
            <c:numFmt formatCode="##\ ##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nb-N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Lit>
              <c:ptCount val="3"/>
              <c:pt idx="1">
                <c:v> 50</c:v>
              </c:pt>
              <c:pt idx="2">
                <c:v> 200</c:v>
              </c:pt>
            </c:strLit>
          </c:cat>
          <c:val>
            <c:numRef>
              <c:f>'4.2.1 Følsomhetsanalyse'!$D$55:$F$55</c:f>
              <c:numCache>
                <c:formatCode>##\ ##0</c:formatCode>
                <c:ptCount val="3"/>
              </c:numCache>
            </c:numRef>
          </c:val>
          <c:extLst>
            <c:ext xmlns:c16="http://schemas.microsoft.com/office/drawing/2014/chart" uri="{C3380CC4-5D6E-409C-BE32-E72D297353CC}">
              <c16:uniqueId val="{00000000-FD8C-4ED8-933D-7BBF9FADF7A1}"/>
            </c:ext>
          </c:extLst>
        </c:ser>
        <c:dLbls>
          <c:dLblPos val="outEnd"/>
          <c:showLegendKey val="0"/>
          <c:showVal val="1"/>
          <c:showCatName val="0"/>
          <c:showSerName val="0"/>
          <c:showPercent val="0"/>
          <c:showBubbleSize val="0"/>
        </c:dLbls>
        <c:gapWidth val="148"/>
        <c:overlap val="-27"/>
        <c:axId val="1575364847"/>
        <c:axId val="1569963967"/>
      </c:barChart>
      <c:catAx>
        <c:axId val="1575364847"/>
        <c:scaling>
          <c:orientation val="minMax"/>
        </c:scaling>
        <c:delete val="0"/>
        <c:axPos val="b"/>
        <c:title>
          <c:tx>
            <c:rich>
              <a:bodyPr rot="0" spcFirstLastPara="1" vertOverflow="ellipsis" vert="horz" wrap="square" anchor="t" anchorCtr="1"/>
              <a:lstStyle/>
              <a:p>
                <a:pPr>
                  <a:defRPr sz="1000" b="0" i="0" u="none" strike="noStrike" kern="1200" baseline="0">
                    <a:solidFill>
                      <a:schemeClr val="tx1">
                        <a:lumMod val="65000"/>
                        <a:lumOff val="35000"/>
                      </a:schemeClr>
                    </a:solidFill>
                    <a:latin typeface="+mn-lt"/>
                    <a:ea typeface="+mn-ea"/>
                    <a:cs typeface="+mn-cs"/>
                  </a:defRPr>
                </a:pPr>
                <a:r>
                  <a:rPr lang="nb-NO"/>
                  <a:t>Verdi (Flere verdier)</a:t>
                </a:r>
              </a:p>
            </c:rich>
          </c:tx>
          <c:layout>
            <c:manualLayout>
              <c:xMode val="edge"/>
              <c:yMode val="edge"/>
              <c:x val="0.44572119352930856"/>
              <c:y val="1.2889764767471543E-2"/>
            </c:manualLayout>
          </c:layout>
          <c:overlay val="0"/>
          <c:spPr>
            <a:noFill/>
            <a:ln>
              <a:noFill/>
            </a:ln>
            <a:effectLst/>
          </c:spPr>
          <c:txPr>
            <a:bodyPr rot="0" spcFirstLastPara="1" vertOverflow="ellipsis" vert="horz" wrap="square" anchor="t" anchorCtr="1"/>
            <a:lstStyle/>
            <a:p>
              <a:pPr>
                <a:defRPr sz="1000" b="0" i="0" u="none" strike="noStrike" kern="1200" baseline="0">
                  <a:solidFill>
                    <a:schemeClr val="tx1">
                      <a:lumMod val="65000"/>
                      <a:lumOff val="35000"/>
                    </a:schemeClr>
                  </a:solidFill>
                  <a:latin typeface="+mn-lt"/>
                  <a:ea typeface="+mn-ea"/>
                  <a:cs typeface="+mn-cs"/>
                </a:defRPr>
              </a:pPr>
              <a:endParaRPr lang="nb-NO"/>
            </a:p>
          </c:txPr>
        </c:title>
        <c:numFmt formatCode="##\ ##0" sourceLinked="0"/>
        <c:majorTickMark val="none"/>
        <c:minorTickMark val="none"/>
        <c:tickLblPos val="high"/>
        <c:spPr>
          <a:noFill/>
          <a:ln w="9525" cap="flat" cmpd="sng" algn="ctr">
            <a:solidFill>
              <a:schemeClr val="tx1"/>
            </a:solidFill>
            <a:round/>
          </a:ln>
          <a:effectLst/>
        </c:spPr>
        <c:txPr>
          <a:bodyPr rot="0" spcFirstLastPara="1" vertOverflow="ellipsis" wrap="square" anchor="ctr" anchorCtr="1"/>
          <a:lstStyle/>
          <a:p>
            <a:pPr>
              <a:defRPr sz="900" b="0" i="0" u="none" strike="noStrike" kern="1200" baseline="0">
                <a:solidFill>
                  <a:schemeClr val="tx1">
                    <a:lumMod val="65000"/>
                    <a:lumOff val="35000"/>
                  </a:schemeClr>
                </a:solidFill>
                <a:latin typeface="+mn-lt"/>
                <a:ea typeface="+mn-ea"/>
                <a:cs typeface="+mn-cs"/>
              </a:defRPr>
            </a:pPr>
            <a:endParaRPr lang="nb-NO"/>
          </a:p>
        </c:txPr>
        <c:crossAx val="1569963967"/>
        <c:crosses val="autoZero"/>
        <c:auto val="0"/>
        <c:lblAlgn val="ctr"/>
        <c:lblOffset val="300"/>
        <c:noMultiLvlLbl val="0"/>
      </c:catAx>
      <c:valAx>
        <c:axId val="1569963967"/>
        <c:scaling>
          <c:orientation val="minMax"/>
          <c:max val="0"/>
          <c:min val="-1500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nb-NO"/>
                  <a:t>Netto nåverdi</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nb-NO"/>
            </a:p>
          </c:txPr>
        </c:title>
        <c:numFmt formatCode="##\ ##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nb-NO"/>
          </a:p>
        </c:txPr>
        <c:crossAx val="1575364847"/>
        <c:crosses val="autoZero"/>
        <c:crossBetween val="between"/>
      </c:valAx>
      <c:spPr>
        <a:noFill/>
        <a:ln>
          <a:noFill/>
        </a:ln>
        <a:effectLst/>
      </c:spPr>
    </c:plotArea>
    <c:plotVisOnly val="1"/>
    <c:dispBlanksAs val="zero"/>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nb-N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b-NO"/>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7024759243021143"/>
          <c:y val="0.17915372447787603"/>
          <c:w val="0.78562521005430452"/>
          <c:h val="0.71462649258066291"/>
        </c:manualLayout>
      </c:layout>
      <c:barChart>
        <c:barDir val="col"/>
        <c:grouping val="clustered"/>
        <c:varyColors val="0"/>
        <c:ser>
          <c:idx val="0"/>
          <c:order val="0"/>
          <c:spPr>
            <a:solidFill>
              <a:schemeClr val="accent1"/>
            </a:solidFill>
            <a:ln>
              <a:noFill/>
            </a:ln>
            <a:effectLst/>
          </c:spPr>
          <c:invertIfNegative val="0"/>
          <c:dPt>
            <c:idx val="0"/>
            <c:invertIfNegative val="0"/>
            <c:bubble3D val="0"/>
            <c:spPr>
              <a:solidFill>
                <a:srgbClr val="B9CDE5"/>
              </a:solidFill>
              <a:ln>
                <a:noFill/>
              </a:ln>
              <a:effectLst/>
            </c:spPr>
            <c:extLst>
              <c:ext xmlns:c16="http://schemas.microsoft.com/office/drawing/2014/chart" uri="{C3380CC4-5D6E-409C-BE32-E72D297353CC}">
                <c16:uniqueId val="{00000000-7721-439C-B6E9-B957CA02C3C3}"/>
              </c:ext>
            </c:extLst>
          </c:dPt>
          <c:dLbls>
            <c:numFmt formatCode="##\ ##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nb-N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Lit>
              <c:ptCount val="3"/>
              <c:pt idx="0">
                <c:v>0 %</c:v>
              </c:pt>
              <c:pt idx="1">
                <c:v>-50 %</c:v>
              </c:pt>
              <c:pt idx="2">
                <c:v>50 %</c:v>
              </c:pt>
            </c:strLit>
          </c:cat>
          <c:val>
            <c:numRef>
              <c:f>'4.2.1 Følsomhetsanalyse'!$D$79:$F$79</c:f>
              <c:numCache>
                <c:formatCode>##\ ##0</c:formatCode>
                <c:ptCount val="3"/>
              </c:numCache>
            </c:numRef>
          </c:val>
          <c:extLst>
            <c:ext xmlns:c16="http://schemas.microsoft.com/office/drawing/2014/chart" uri="{C3380CC4-5D6E-409C-BE32-E72D297353CC}">
              <c16:uniqueId val="{00000000-A6C6-4944-B695-C5B71628B66B}"/>
            </c:ext>
          </c:extLst>
        </c:ser>
        <c:dLbls>
          <c:dLblPos val="outEnd"/>
          <c:showLegendKey val="0"/>
          <c:showVal val="1"/>
          <c:showCatName val="0"/>
          <c:showSerName val="0"/>
          <c:showPercent val="0"/>
          <c:showBubbleSize val="0"/>
        </c:dLbls>
        <c:gapWidth val="148"/>
        <c:overlap val="-27"/>
        <c:axId val="1575364847"/>
        <c:axId val="1569963967"/>
      </c:barChart>
      <c:catAx>
        <c:axId val="1575364847"/>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nb-NO"/>
                  <a:t>Verdi (% ift. opprinnelig verdi)</a:t>
                </a:r>
              </a:p>
            </c:rich>
          </c:tx>
          <c:layout>
            <c:manualLayout>
              <c:xMode val="edge"/>
              <c:yMode val="edge"/>
              <c:x val="0.33566657784305953"/>
              <c:y val="1.9646731700522706E-2"/>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nb-NO"/>
            </a:p>
          </c:txPr>
        </c:title>
        <c:numFmt formatCode="0%" sourceLinked="0"/>
        <c:majorTickMark val="none"/>
        <c:minorTickMark val="none"/>
        <c:tickLblPos val="high"/>
        <c:spPr>
          <a:noFill/>
          <a:ln w="9525" cap="flat" cmpd="sng" algn="ctr">
            <a:solidFill>
              <a:schemeClr val="tx1"/>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nb-NO"/>
          </a:p>
        </c:txPr>
        <c:crossAx val="1569963967"/>
        <c:crosses val="autoZero"/>
        <c:auto val="0"/>
        <c:lblAlgn val="ctr"/>
        <c:lblOffset val="300"/>
        <c:noMultiLvlLbl val="0"/>
      </c:catAx>
      <c:valAx>
        <c:axId val="1569963967"/>
        <c:scaling>
          <c:orientation val="minMax"/>
          <c:max val="0"/>
          <c:min val="-1400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nb-NO"/>
                  <a:t>Netto nåverdi</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nb-NO"/>
            </a:p>
          </c:txPr>
        </c:title>
        <c:numFmt formatCode="##\ ##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nb-NO"/>
          </a:p>
        </c:txPr>
        <c:crossAx val="1575364847"/>
        <c:crosses val="autoZero"/>
        <c:crossBetween val="between"/>
      </c:valAx>
      <c:spPr>
        <a:noFill/>
        <a:ln>
          <a:noFill/>
        </a:ln>
        <a:effectLst/>
      </c:spPr>
    </c:plotArea>
    <c:plotVisOnly val="1"/>
    <c:dispBlanksAs val="zero"/>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noFill/>
      <a:round/>
    </a:ln>
    <a:effectLst/>
  </c:spPr>
  <c:txPr>
    <a:bodyPr/>
    <a:lstStyle/>
    <a:p>
      <a:pPr>
        <a:defRPr/>
      </a:pPr>
      <a:endParaRPr lang="nb-NO"/>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b-NO"/>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[0]!MonteCarlo_Figurer_Valgt</c:f>
          <c:strCache>
            <c:ptCount val="1"/>
            <c:pt idx="0">
              <c:v>Trafikantnytte, referanse</c:v>
            </c:pt>
          </c:strCache>
        </c:strRef>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Franklin Gothic Book" panose="020B0503020102020204" pitchFamily="34" charset="0"/>
              <a:ea typeface="+mn-ea"/>
              <a:cs typeface="+mn-cs"/>
            </a:defRPr>
          </a:pPr>
          <a:endParaRPr lang="nb-NO"/>
        </a:p>
      </c:txPr>
    </c:title>
    <c:autoTitleDeleted val="0"/>
    <c:plotArea>
      <c:layout>
        <c:manualLayout>
          <c:layoutTarget val="inner"/>
          <c:xMode val="edge"/>
          <c:yMode val="edge"/>
          <c:x val="0.11712436122163175"/>
          <c:y val="0.1378530886316075"/>
          <c:w val="0.8249957801211244"/>
          <c:h val="0.70274551723099632"/>
        </c:manualLayout>
      </c:layout>
      <c:scatterChart>
        <c:scatterStyle val="lineMarker"/>
        <c:varyColors val="0"/>
        <c:ser>
          <c:idx val="0"/>
          <c:order val="0"/>
          <c:spPr>
            <a:ln w="25400" cap="rnd">
              <a:solidFill>
                <a:schemeClr val="tx2"/>
              </a:solidFill>
              <a:round/>
            </a:ln>
            <a:effectLst/>
          </c:spPr>
          <c:marker>
            <c:symbol val="none"/>
          </c:marker>
          <c:xVal>
            <c:numRef>
              <c:f>'4.2.3 Monte Carlo resultater'!$BM$2:$BM$100</c:f>
              <c:numCache>
                <c:formatCode>_-* #\ ##0_-;\-* #\ ##0_-;_-* "-"??_-;_-@_-</c:formatCode>
                <c:ptCount val="99"/>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numCache>
            </c:numRef>
          </c:xVal>
          <c:yVal>
            <c:numRef>
              <c:f>'4.2.3 Monte Carlo resultater'!$BL$2:$BL$100</c:f>
              <c:numCache>
                <c:formatCode>0%</c:formatCode>
                <c:ptCount val="99"/>
                <c:pt idx="0">
                  <c:v>0.01</c:v>
                </c:pt>
                <c:pt idx="1">
                  <c:v>0.02</c:v>
                </c:pt>
                <c:pt idx="2">
                  <c:v>0.03</c:v>
                </c:pt>
                <c:pt idx="3">
                  <c:v>0.04</c:v>
                </c:pt>
                <c:pt idx="4">
                  <c:v>0.05</c:v>
                </c:pt>
                <c:pt idx="5">
                  <c:v>6.0000000000000005E-2</c:v>
                </c:pt>
                <c:pt idx="6">
                  <c:v>7.0000000000000007E-2</c:v>
                </c:pt>
                <c:pt idx="7">
                  <c:v>0.08</c:v>
                </c:pt>
                <c:pt idx="8">
                  <c:v>0.09</c:v>
                </c:pt>
                <c:pt idx="9">
                  <c:v>9.9999999999999992E-2</c:v>
                </c:pt>
                <c:pt idx="10">
                  <c:v>0.10999999999999999</c:v>
                </c:pt>
                <c:pt idx="11">
                  <c:v>0.11999999999999998</c:v>
                </c:pt>
                <c:pt idx="12">
                  <c:v>0.12999999999999998</c:v>
                </c:pt>
                <c:pt idx="13">
                  <c:v>0.13999999999999999</c:v>
                </c:pt>
                <c:pt idx="14">
                  <c:v>0.15</c:v>
                </c:pt>
                <c:pt idx="15">
                  <c:v>0.16</c:v>
                </c:pt>
                <c:pt idx="16">
                  <c:v>0.17</c:v>
                </c:pt>
                <c:pt idx="17">
                  <c:v>0.18000000000000002</c:v>
                </c:pt>
                <c:pt idx="18">
                  <c:v>0.19000000000000003</c:v>
                </c:pt>
                <c:pt idx="19">
                  <c:v>0.20000000000000004</c:v>
                </c:pt>
                <c:pt idx="20">
                  <c:v>0.21000000000000005</c:v>
                </c:pt>
                <c:pt idx="21">
                  <c:v>0.22000000000000006</c:v>
                </c:pt>
                <c:pt idx="22">
                  <c:v>0.23000000000000007</c:v>
                </c:pt>
                <c:pt idx="23">
                  <c:v>0.24000000000000007</c:v>
                </c:pt>
                <c:pt idx="24">
                  <c:v>0.25000000000000006</c:v>
                </c:pt>
                <c:pt idx="25">
                  <c:v>0.26000000000000006</c:v>
                </c:pt>
                <c:pt idx="26">
                  <c:v>0.27000000000000007</c:v>
                </c:pt>
                <c:pt idx="27">
                  <c:v>0.28000000000000008</c:v>
                </c:pt>
                <c:pt idx="28">
                  <c:v>0.29000000000000009</c:v>
                </c:pt>
                <c:pt idx="29">
                  <c:v>0.3000000000000001</c:v>
                </c:pt>
                <c:pt idx="30">
                  <c:v>0.31000000000000011</c:v>
                </c:pt>
                <c:pt idx="31">
                  <c:v>0.32000000000000012</c:v>
                </c:pt>
                <c:pt idx="32">
                  <c:v>0.33000000000000013</c:v>
                </c:pt>
                <c:pt idx="33">
                  <c:v>0.34000000000000014</c:v>
                </c:pt>
                <c:pt idx="34">
                  <c:v>0.35000000000000014</c:v>
                </c:pt>
                <c:pt idx="35">
                  <c:v>0.36000000000000015</c:v>
                </c:pt>
                <c:pt idx="36">
                  <c:v>0.37000000000000016</c:v>
                </c:pt>
                <c:pt idx="37">
                  <c:v>0.38000000000000017</c:v>
                </c:pt>
                <c:pt idx="38">
                  <c:v>0.39000000000000018</c:v>
                </c:pt>
                <c:pt idx="39">
                  <c:v>0.40000000000000019</c:v>
                </c:pt>
                <c:pt idx="40">
                  <c:v>0.4100000000000002</c:v>
                </c:pt>
                <c:pt idx="41">
                  <c:v>0.42000000000000021</c:v>
                </c:pt>
                <c:pt idx="42">
                  <c:v>0.43000000000000022</c:v>
                </c:pt>
                <c:pt idx="43">
                  <c:v>0.44000000000000022</c:v>
                </c:pt>
                <c:pt idx="44">
                  <c:v>0.45000000000000023</c:v>
                </c:pt>
                <c:pt idx="45">
                  <c:v>0.46000000000000024</c:v>
                </c:pt>
                <c:pt idx="46">
                  <c:v>0.47000000000000025</c:v>
                </c:pt>
                <c:pt idx="47">
                  <c:v>0.48000000000000026</c:v>
                </c:pt>
                <c:pt idx="48">
                  <c:v>0.49000000000000027</c:v>
                </c:pt>
                <c:pt idx="49">
                  <c:v>0.50000000000000022</c:v>
                </c:pt>
                <c:pt idx="50">
                  <c:v>0.51000000000000023</c:v>
                </c:pt>
                <c:pt idx="51">
                  <c:v>0.52000000000000024</c:v>
                </c:pt>
                <c:pt idx="52">
                  <c:v>0.53000000000000025</c:v>
                </c:pt>
                <c:pt idx="53">
                  <c:v>0.54000000000000026</c:v>
                </c:pt>
                <c:pt idx="54">
                  <c:v>0.55000000000000027</c:v>
                </c:pt>
                <c:pt idx="55">
                  <c:v>0.56000000000000028</c:v>
                </c:pt>
                <c:pt idx="56">
                  <c:v>0.57000000000000028</c:v>
                </c:pt>
                <c:pt idx="57">
                  <c:v>0.58000000000000029</c:v>
                </c:pt>
                <c:pt idx="58">
                  <c:v>0.5900000000000003</c:v>
                </c:pt>
                <c:pt idx="59">
                  <c:v>0.60000000000000031</c:v>
                </c:pt>
                <c:pt idx="60">
                  <c:v>0.61000000000000032</c:v>
                </c:pt>
                <c:pt idx="61">
                  <c:v>0.62000000000000033</c:v>
                </c:pt>
                <c:pt idx="62">
                  <c:v>0.63000000000000034</c:v>
                </c:pt>
                <c:pt idx="63">
                  <c:v>0.64000000000000035</c:v>
                </c:pt>
                <c:pt idx="64">
                  <c:v>0.65000000000000036</c:v>
                </c:pt>
                <c:pt idx="65">
                  <c:v>0.66000000000000036</c:v>
                </c:pt>
                <c:pt idx="66">
                  <c:v>0.67000000000000037</c:v>
                </c:pt>
                <c:pt idx="67">
                  <c:v>0.68000000000000038</c:v>
                </c:pt>
                <c:pt idx="68">
                  <c:v>0.69000000000000039</c:v>
                </c:pt>
                <c:pt idx="69">
                  <c:v>0.7000000000000004</c:v>
                </c:pt>
                <c:pt idx="70">
                  <c:v>0.71000000000000041</c:v>
                </c:pt>
                <c:pt idx="71">
                  <c:v>0.72000000000000042</c:v>
                </c:pt>
                <c:pt idx="72">
                  <c:v>0.73000000000000043</c:v>
                </c:pt>
                <c:pt idx="73">
                  <c:v>0.74000000000000044</c:v>
                </c:pt>
                <c:pt idx="74">
                  <c:v>0.75000000000000044</c:v>
                </c:pt>
                <c:pt idx="75">
                  <c:v>0.76000000000000045</c:v>
                </c:pt>
                <c:pt idx="76">
                  <c:v>0.77000000000000046</c:v>
                </c:pt>
                <c:pt idx="77">
                  <c:v>0.78000000000000047</c:v>
                </c:pt>
                <c:pt idx="78">
                  <c:v>0.79000000000000048</c:v>
                </c:pt>
                <c:pt idx="79">
                  <c:v>0.80000000000000049</c:v>
                </c:pt>
                <c:pt idx="80">
                  <c:v>0.8100000000000005</c:v>
                </c:pt>
                <c:pt idx="81">
                  <c:v>0.82000000000000051</c:v>
                </c:pt>
                <c:pt idx="82">
                  <c:v>0.83000000000000052</c:v>
                </c:pt>
                <c:pt idx="83">
                  <c:v>0.84000000000000052</c:v>
                </c:pt>
                <c:pt idx="84">
                  <c:v>0.85000000000000053</c:v>
                </c:pt>
                <c:pt idx="85">
                  <c:v>0.86000000000000054</c:v>
                </c:pt>
                <c:pt idx="86">
                  <c:v>0.87000000000000055</c:v>
                </c:pt>
                <c:pt idx="87">
                  <c:v>0.88000000000000056</c:v>
                </c:pt>
                <c:pt idx="88">
                  <c:v>0.89000000000000057</c:v>
                </c:pt>
                <c:pt idx="89">
                  <c:v>0.90000000000000058</c:v>
                </c:pt>
                <c:pt idx="90">
                  <c:v>0.91000000000000059</c:v>
                </c:pt>
                <c:pt idx="91">
                  <c:v>0.9200000000000006</c:v>
                </c:pt>
                <c:pt idx="92">
                  <c:v>0.9300000000000006</c:v>
                </c:pt>
                <c:pt idx="93">
                  <c:v>0.94000000000000061</c:v>
                </c:pt>
                <c:pt idx="94">
                  <c:v>0.95000000000000062</c:v>
                </c:pt>
                <c:pt idx="95">
                  <c:v>0.96000000000000063</c:v>
                </c:pt>
                <c:pt idx="96">
                  <c:v>0.97000000000000064</c:v>
                </c:pt>
                <c:pt idx="97">
                  <c:v>0.98000000000000065</c:v>
                </c:pt>
                <c:pt idx="98">
                  <c:v>0.99000000000000066</c:v>
                </c:pt>
              </c:numCache>
            </c:numRef>
          </c:yVal>
          <c:smooth val="0"/>
          <c:extLst>
            <c:ext xmlns:c16="http://schemas.microsoft.com/office/drawing/2014/chart" uri="{C3380CC4-5D6E-409C-BE32-E72D297353CC}">
              <c16:uniqueId val="{00000000-8409-48D7-AE6F-4218179ECD47}"/>
            </c:ext>
          </c:extLst>
        </c:ser>
        <c:ser>
          <c:idx val="1"/>
          <c:order val="1"/>
          <c:tx>
            <c:strRef>
              <c:f>'4.2.2 Monte Carlo-simulering'!$AE$14</c:f>
              <c:strCache>
                <c:ptCount val="1"/>
                <c:pt idx="0">
                  <c:v>P10</c:v>
                </c:pt>
              </c:strCache>
            </c:strRef>
          </c:tx>
          <c:spPr>
            <a:ln w="25400" cap="rnd">
              <a:noFill/>
              <a:round/>
            </a:ln>
            <a:effectLst/>
          </c:spPr>
          <c:marker>
            <c:symbol val="diamond"/>
            <c:size val="5"/>
            <c:spPr>
              <a:solidFill>
                <a:schemeClr val="tx1"/>
              </a:solidFill>
              <a:ln w="38100">
                <a:solidFill>
                  <a:schemeClr val="tx1"/>
                </a:solidFill>
              </a:ln>
              <a:effectLst/>
            </c:spPr>
          </c:marker>
          <c:dLbls>
            <c:numFmt formatCode="#,###" sourceLinked="0"/>
            <c:spPr>
              <a:noFill/>
              <a:ln>
                <a:noFill/>
              </a:ln>
              <a:effectLst/>
            </c:spPr>
            <c:txPr>
              <a:bodyPr rot="0" spcFirstLastPara="1" vertOverflow="clip" horzOverflow="clip" vert="horz" wrap="square" lIns="38100" tIns="19050" rIns="38100" bIns="19050" anchor="ctr" anchorCtr="1">
                <a:spAutoFit/>
              </a:bodyPr>
              <a:lstStyle/>
              <a:p>
                <a:pPr>
                  <a:defRPr sz="1000" b="0" i="0" u="none" strike="noStrike" kern="1200" baseline="0">
                    <a:solidFill>
                      <a:schemeClr val="dk1">
                        <a:lumMod val="65000"/>
                        <a:lumOff val="35000"/>
                      </a:schemeClr>
                    </a:solidFill>
                    <a:latin typeface="Franklin Gothic Book" panose="020B0503020102020204" pitchFamily="34" charset="0"/>
                    <a:ea typeface="+mn-ea"/>
                    <a:cs typeface="+mn-cs"/>
                  </a:defRPr>
                </a:pPr>
                <a:endParaRPr lang="nb-NO"/>
              </a:p>
            </c:txPr>
            <c:showLegendKey val="0"/>
            <c:showVal val="0"/>
            <c:showCatName val="1"/>
            <c:showSerName val="1"/>
            <c:showPercent val="0"/>
            <c:showBubbleSize val="0"/>
            <c:showLeaderLines val="0"/>
            <c:extLst>
              <c:ext xmlns:c15="http://schemas.microsoft.com/office/drawing/2012/chart" uri="{CE6537A1-D6FC-4f65-9D91-7224C49458BB}">
                <c15:spPr xmlns:c15="http://schemas.microsoft.com/office/drawing/2012/chart">
                  <a:prstGeom prst="wedgeRectCallout">
                    <a:avLst/>
                  </a:prstGeom>
                  <a:noFill/>
                  <a:ln>
                    <a:noFill/>
                  </a:ln>
                </c15:spPr>
                <c15:showLeaderLines val="0"/>
              </c:ext>
            </c:extLst>
          </c:dLbls>
          <c:xVal>
            <c:numRef>
              <c:f>'4.2.2 Monte Carlo-simulering'!$AF$14</c:f>
              <c:numCache>
                <c:formatCode>_ * #\ ##0_ ;_ * \-#\ ##0_ ;_ * "-"??_ ;_ @_ </c:formatCode>
                <c:ptCount val="1"/>
                <c:pt idx="0">
                  <c:v>0</c:v>
                </c:pt>
              </c:numCache>
            </c:numRef>
          </c:xVal>
          <c:yVal>
            <c:numRef>
              <c:f>[0]!MonteCarlo_Figurer_Persentil1</c:f>
              <c:numCache>
                <c:formatCode>General</c:formatCode>
                <c:ptCount val="1"/>
                <c:pt idx="0">
                  <c:v>0.1</c:v>
                </c:pt>
              </c:numCache>
            </c:numRef>
          </c:yVal>
          <c:smooth val="0"/>
          <c:extLst>
            <c:ext xmlns:c16="http://schemas.microsoft.com/office/drawing/2014/chart" uri="{C3380CC4-5D6E-409C-BE32-E72D297353CC}">
              <c16:uniqueId val="{00000001-8409-48D7-AE6F-4218179ECD47}"/>
            </c:ext>
          </c:extLst>
        </c:ser>
        <c:ser>
          <c:idx val="2"/>
          <c:order val="2"/>
          <c:tx>
            <c:strRef>
              <c:f>'4.2.2 Monte Carlo-simulering'!$AE$15</c:f>
              <c:strCache>
                <c:ptCount val="1"/>
                <c:pt idx="0">
                  <c:v>P50</c:v>
                </c:pt>
              </c:strCache>
            </c:strRef>
          </c:tx>
          <c:spPr>
            <a:ln w="25400" cap="rnd">
              <a:noFill/>
              <a:round/>
            </a:ln>
            <a:effectLst/>
          </c:spPr>
          <c:marker>
            <c:symbol val="diamond"/>
            <c:size val="5"/>
            <c:spPr>
              <a:solidFill>
                <a:schemeClr val="tx1"/>
              </a:solidFill>
              <a:ln w="38100">
                <a:solidFill>
                  <a:schemeClr val="tx1"/>
                </a:solidFill>
              </a:ln>
              <a:effectLst/>
            </c:spPr>
          </c:marker>
          <c:dLbls>
            <c:numFmt formatCode="#,###" sourceLinked="0"/>
            <c:spPr>
              <a:noFill/>
              <a:ln>
                <a:noFill/>
              </a:ln>
              <a:effectLst/>
            </c:spPr>
            <c:txPr>
              <a:bodyPr rot="0" spcFirstLastPara="1" vertOverflow="clip" horzOverflow="clip" vert="horz" wrap="square" lIns="38100" tIns="19050" rIns="38100" bIns="19050" anchor="ctr" anchorCtr="1">
                <a:spAutoFit/>
              </a:bodyPr>
              <a:lstStyle/>
              <a:p>
                <a:pPr>
                  <a:defRPr sz="1000" b="0" i="0" u="none" strike="noStrike" kern="1200" baseline="0">
                    <a:solidFill>
                      <a:schemeClr val="dk1">
                        <a:lumMod val="65000"/>
                        <a:lumOff val="35000"/>
                      </a:schemeClr>
                    </a:solidFill>
                    <a:latin typeface="Franklin Gothic Book" panose="020B0503020102020204" pitchFamily="34" charset="0"/>
                    <a:ea typeface="+mn-ea"/>
                    <a:cs typeface="+mn-cs"/>
                  </a:defRPr>
                </a:pPr>
                <a:endParaRPr lang="nb-NO"/>
              </a:p>
            </c:txPr>
            <c:showLegendKey val="0"/>
            <c:showVal val="0"/>
            <c:showCatName val="1"/>
            <c:showSerName val="1"/>
            <c:showPercent val="0"/>
            <c:showBubbleSize val="0"/>
            <c:separator>; </c:separator>
            <c:showLeaderLines val="0"/>
            <c:extLst>
              <c:ext xmlns:c15="http://schemas.microsoft.com/office/drawing/2012/chart" uri="{CE6537A1-D6FC-4f65-9D91-7224C49458BB}">
                <c15:spPr xmlns:c15="http://schemas.microsoft.com/office/drawing/2012/chart">
                  <a:prstGeom prst="wedgeRectCallout">
                    <a:avLst/>
                  </a:prstGeom>
                  <a:noFill/>
                  <a:ln>
                    <a:noFill/>
                  </a:ln>
                </c15:spPr>
                <c15:showLeaderLines val="0"/>
              </c:ext>
            </c:extLst>
          </c:dLbls>
          <c:xVal>
            <c:numRef>
              <c:f>'4.2.2 Monte Carlo-simulering'!$AF$15</c:f>
              <c:numCache>
                <c:formatCode>_ * #\ ##0_ ;_ * \-#\ ##0_ ;_ * "-"??_ ;_ @_ </c:formatCode>
                <c:ptCount val="1"/>
                <c:pt idx="0">
                  <c:v>0</c:v>
                </c:pt>
              </c:numCache>
            </c:numRef>
          </c:xVal>
          <c:yVal>
            <c:numRef>
              <c:f>[0]!MonteCarlo_Figurer_Persentil2</c:f>
              <c:numCache>
                <c:formatCode>General</c:formatCode>
                <c:ptCount val="1"/>
                <c:pt idx="0">
                  <c:v>0.5</c:v>
                </c:pt>
              </c:numCache>
            </c:numRef>
          </c:yVal>
          <c:smooth val="0"/>
          <c:extLst>
            <c:ext xmlns:c16="http://schemas.microsoft.com/office/drawing/2014/chart" uri="{C3380CC4-5D6E-409C-BE32-E72D297353CC}">
              <c16:uniqueId val="{00000002-8409-48D7-AE6F-4218179ECD47}"/>
            </c:ext>
          </c:extLst>
        </c:ser>
        <c:ser>
          <c:idx val="3"/>
          <c:order val="3"/>
          <c:tx>
            <c:strRef>
              <c:f>'4.2.2 Monte Carlo-simulering'!$AE$16</c:f>
              <c:strCache>
                <c:ptCount val="1"/>
                <c:pt idx="0">
                  <c:v>P90</c:v>
                </c:pt>
              </c:strCache>
            </c:strRef>
          </c:tx>
          <c:spPr>
            <a:ln w="25400" cap="rnd">
              <a:noFill/>
              <a:round/>
            </a:ln>
            <a:effectLst/>
          </c:spPr>
          <c:marker>
            <c:symbol val="diamond"/>
            <c:size val="5"/>
            <c:spPr>
              <a:solidFill>
                <a:schemeClr val="tx1"/>
              </a:solidFill>
              <a:ln w="38100">
                <a:solidFill>
                  <a:schemeClr val="tx1">
                    <a:alpha val="98000"/>
                  </a:schemeClr>
                </a:solidFill>
              </a:ln>
              <a:effectLst/>
            </c:spPr>
          </c:marker>
          <c:dLbls>
            <c:dLbl>
              <c:idx val="0"/>
              <c:layout>
                <c:manualLayout>
                  <c:x val="2.269718311872837E-3"/>
                  <c:y val="1.2029404790734138E-2"/>
                </c:manualLayout>
              </c:layout>
              <c:showLegendKey val="0"/>
              <c:showVal val="0"/>
              <c:showCatName val="1"/>
              <c:showSerName val="1"/>
              <c:showPercent val="0"/>
              <c:showBubbleSize val="0"/>
              <c:separator>; </c:separator>
              <c:extLst>
                <c:ext xmlns:c15="http://schemas.microsoft.com/office/drawing/2012/chart" uri="{CE6537A1-D6FC-4f65-9D91-7224C49458BB}"/>
                <c:ext xmlns:c16="http://schemas.microsoft.com/office/drawing/2014/chart" uri="{C3380CC4-5D6E-409C-BE32-E72D297353CC}">
                  <c16:uniqueId val="{00000003-8409-48D7-AE6F-4218179ECD47}"/>
                </c:ext>
              </c:extLst>
            </c:dLbl>
            <c:numFmt formatCode="#,###" sourceLinked="0"/>
            <c:spPr>
              <a:noFill/>
              <a:ln>
                <a:noFill/>
              </a:ln>
              <a:effectLst/>
            </c:spPr>
            <c:txPr>
              <a:bodyPr rot="0" spcFirstLastPara="1" vertOverflow="clip" horzOverflow="clip" vert="horz" wrap="square" lIns="38100" tIns="19050" rIns="38100" bIns="19050" anchor="ctr" anchorCtr="1">
                <a:spAutoFit/>
              </a:bodyPr>
              <a:lstStyle/>
              <a:p>
                <a:pPr>
                  <a:defRPr sz="1000" b="0" i="0" u="none" strike="noStrike" kern="1200" baseline="0">
                    <a:solidFill>
                      <a:schemeClr val="dk1">
                        <a:lumMod val="65000"/>
                        <a:lumOff val="35000"/>
                      </a:schemeClr>
                    </a:solidFill>
                    <a:latin typeface="Franklin Gothic Book" panose="020B0503020102020204" pitchFamily="34" charset="0"/>
                    <a:ea typeface="+mn-ea"/>
                    <a:cs typeface="+mn-cs"/>
                  </a:defRPr>
                </a:pPr>
                <a:endParaRPr lang="nb-NO"/>
              </a:p>
            </c:txPr>
            <c:showLegendKey val="0"/>
            <c:showVal val="0"/>
            <c:showCatName val="1"/>
            <c:showSerName val="1"/>
            <c:showPercent val="0"/>
            <c:showBubbleSize val="0"/>
            <c:separator>; </c:separator>
            <c:showLeaderLines val="0"/>
            <c:extLst>
              <c:ext xmlns:c15="http://schemas.microsoft.com/office/drawing/2012/chart" uri="{CE6537A1-D6FC-4f65-9D91-7224C49458BB}">
                <c15:spPr xmlns:c15="http://schemas.microsoft.com/office/drawing/2012/chart">
                  <a:prstGeom prst="wedgeRectCallout">
                    <a:avLst/>
                  </a:prstGeom>
                  <a:noFill/>
                  <a:ln>
                    <a:noFill/>
                  </a:ln>
                </c15:spPr>
                <c15:showLeaderLines val="0"/>
              </c:ext>
            </c:extLst>
          </c:dLbls>
          <c:xVal>
            <c:numRef>
              <c:f>'4.2.2 Monte Carlo-simulering'!$AF$16</c:f>
              <c:numCache>
                <c:formatCode>_ * #\ ##0_ ;_ * \-#\ ##0_ ;_ * "-"??_ ;_ @_ </c:formatCode>
                <c:ptCount val="1"/>
                <c:pt idx="0">
                  <c:v>0</c:v>
                </c:pt>
              </c:numCache>
            </c:numRef>
          </c:xVal>
          <c:yVal>
            <c:numRef>
              <c:f>[0]!MonteCarlo_Figurer_Persentil3</c:f>
              <c:numCache>
                <c:formatCode>General</c:formatCode>
                <c:ptCount val="1"/>
                <c:pt idx="0">
                  <c:v>0.9</c:v>
                </c:pt>
              </c:numCache>
            </c:numRef>
          </c:yVal>
          <c:smooth val="0"/>
          <c:extLst>
            <c:ext xmlns:c16="http://schemas.microsoft.com/office/drawing/2014/chart" uri="{C3380CC4-5D6E-409C-BE32-E72D297353CC}">
              <c16:uniqueId val="{00000004-8409-48D7-AE6F-4218179ECD47}"/>
            </c:ext>
          </c:extLst>
        </c:ser>
        <c:ser>
          <c:idx val="4"/>
          <c:order val="4"/>
          <c:tx>
            <c:v>Test</c:v>
          </c:tx>
          <c:spPr>
            <a:ln w="38100" cap="rnd">
              <a:solidFill>
                <a:schemeClr val="accent5"/>
              </a:solidFill>
              <a:round/>
            </a:ln>
            <a:effectLst/>
          </c:spPr>
          <c:marker>
            <c:symbol val="diamond"/>
            <c:size val="5"/>
            <c:spPr>
              <a:solidFill>
                <a:schemeClr val="tx1"/>
              </a:solidFill>
              <a:ln w="38100">
                <a:solidFill>
                  <a:schemeClr val="tx1"/>
                </a:solidFill>
              </a:ln>
              <a:effectLst/>
            </c:spPr>
          </c:marker>
          <c:dLbls>
            <c:dLbl>
              <c:idx val="0"/>
              <c:layout>
                <c:manualLayout>
                  <c:x val="3.7259370841784194E-3"/>
                  <c:y val="6.979450464449327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765C-479F-B583-9D17FD24BB7F}"/>
                </c:ext>
              </c:extLst>
            </c:dLbl>
            <c:numFmt formatCode="0.0\ %" sourceLinked="0"/>
            <c:spPr>
              <a:noFill/>
              <a:ln>
                <a:noFill/>
              </a:ln>
              <a:effectLst/>
            </c:spPr>
            <c:txPr>
              <a:bodyPr rot="0" spcFirstLastPara="1" vertOverflow="ellipsis" vert="horz" wrap="square" lIns="38100" tIns="19050" rIns="38100" bIns="19050" anchor="ctr" anchorCtr="1">
                <a:spAutoFit/>
              </a:bodyPr>
              <a:lstStyle/>
              <a:p>
                <a:pPr>
                  <a:defRPr sz="1000" b="0" i="0" u="none" strike="noStrike" kern="1200" baseline="0">
                    <a:solidFill>
                      <a:schemeClr val="tx1">
                        <a:lumMod val="75000"/>
                        <a:lumOff val="25000"/>
                      </a:schemeClr>
                    </a:solidFill>
                    <a:latin typeface="Franklin Gothic Book" panose="020B0503020102020204" pitchFamily="34" charset="0"/>
                    <a:ea typeface="+mn-ea"/>
                    <a:cs typeface="+mn-cs"/>
                  </a:defRPr>
                </a:pPr>
                <a:endParaRPr lang="nb-NO"/>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Lit>
              <c:formatCode>General</c:formatCode>
              <c:ptCount val="1"/>
              <c:pt idx="0">
                <c:v>0</c:v>
              </c:pt>
            </c:numLit>
          </c:xVal>
          <c:yVal>
            <c:numRef>
              <c:f>('4.2.2 Monte Carlo-simulering'!$AF$17,'4.2.2 Monte Carlo-simulering'!$AF$17)</c:f>
              <c:numCache>
                <c:formatCode>0.0\ %</c:formatCode>
                <c:ptCount val="2"/>
                <c:pt idx="0">
                  <c:v>0</c:v>
                </c:pt>
                <c:pt idx="1">
                  <c:v>0</c:v>
                </c:pt>
              </c:numCache>
            </c:numRef>
          </c:yVal>
          <c:smooth val="0"/>
          <c:extLst>
            <c:ext xmlns:c16="http://schemas.microsoft.com/office/drawing/2014/chart" uri="{C3380CC4-5D6E-409C-BE32-E72D297353CC}">
              <c16:uniqueId val="{00000001-765C-479F-B583-9D17FD24BB7F}"/>
            </c:ext>
          </c:extLst>
        </c:ser>
        <c:dLbls>
          <c:showLegendKey val="0"/>
          <c:showVal val="0"/>
          <c:showCatName val="0"/>
          <c:showSerName val="0"/>
          <c:showPercent val="0"/>
          <c:showBubbleSize val="0"/>
        </c:dLbls>
        <c:axId val="861975216"/>
        <c:axId val="861975856"/>
      </c:scatterChart>
      <c:valAx>
        <c:axId val="861975216"/>
        <c:scaling>
          <c:orientation val="minMax"/>
        </c:scaling>
        <c:delete val="0"/>
        <c:axPos val="b"/>
        <c:majorGridlines>
          <c:spPr>
            <a:ln w="9525" cap="flat" cmpd="sng" algn="ctr">
              <a:solidFill>
                <a:schemeClr val="tx1">
                  <a:lumMod val="15000"/>
                  <a:lumOff val="85000"/>
                </a:schemeClr>
              </a:solidFill>
              <a:round/>
            </a:ln>
            <a:effectLst/>
          </c:spPr>
        </c:majorGridlines>
        <c:title>
          <c:tx>
            <c:strRef>
              <c:f>'4.2.2 Monte Carlo-simulering'!$AB$18</c:f>
              <c:strCache>
                <c:ptCount val="1"/>
                <c:pt idx="0">
                  <c:v>Mill kr</c:v>
                </c:pt>
              </c:strCache>
            </c:strRef>
          </c:tx>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Franklin Gothic Book" panose="020B0503020102020204" pitchFamily="34" charset="0"/>
                  <a:ea typeface="+mn-ea"/>
                  <a:cs typeface="+mn-cs"/>
                </a:defRPr>
              </a:pPr>
              <a:endParaRPr lang="nb-NO"/>
            </a:p>
          </c:txPr>
        </c:title>
        <c:numFmt formatCode="#,###"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Franklin Gothic Book" panose="020B0503020102020204" pitchFamily="34" charset="0"/>
                <a:ea typeface="+mn-ea"/>
                <a:cs typeface="+mn-cs"/>
              </a:defRPr>
            </a:pPr>
            <a:endParaRPr lang="nb-NO"/>
          </a:p>
        </c:txPr>
        <c:crossAx val="861975856"/>
        <c:crosses val="autoZero"/>
        <c:crossBetween val="midCat"/>
      </c:valAx>
      <c:valAx>
        <c:axId val="861975856"/>
        <c:scaling>
          <c:orientation val="minMax"/>
          <c:max val="1"/>
        </c:scaling>
        <c:delete val="0"/>
        <c:axPos val="l"/>
        <c:majorGridlines>
          <c:spPr>
            <a:ln w="9525" cap="flat" cmpd="sng" algn="ctr">
              <a:solidFill>
                <a:schemeClr val="tx1">
                  <a:lumMod val="15000"/>
                  <a:lumOff val="85000"/>
                </a:schemeClr>
              </a:solidFill>
              <a:round/>
            </a:ln>
            <a:effectLst/>
          </c:spPr>
        </c:majorGridlines>
        <c:numFmt formatCode="0%" sourceLinked="1"/>
        <c:majorTickMark val="out"/>
        <c:minorTickMark val="none"/>
        <c:tickLblPos val="nextTo"/>
        <c:spPr>
          <a:noFill/>
          <a:ln w="9525" cap="flat" cmpd="sng" algn="ctr">
            <a:noFill/>
            <a:round/>
          </a:ln>
          <a:effectLst/>
        </c:spPr>
        <c:txPr>
          <a:bodyPr rot="-60000000" spcFirstLastPara="1" vertOverflow="ellipsis" vert="horz" wrap="square" anchor="t" anchorCtr="1"/>
          <a:lstStyle/>
          <a:p>
            <a:pPr>
              <a:defRPr sz="1200" b="0" i="0" u="none" strike="noStrike" kern="1200" baseline="0">
                <a:solidFill>
                  <a:schemeClr val="tx1">
                    <a:lumMod val="65000"/>
                    <a:lumOff val="35000"/>
                  </a:schemeClr>
                </a:solidFill>
                <a:latin typeface="Franklin Gothic Book" panose="020B0503020102020204" pitchFamily="34" charset="0"/>
                <a:ea typeface="+mn-ea"/>
                <a:cs typeface="+mn-cs"/>
              </a:defRPr>
            </a:pPr>
            <a:endParaRPr lang="nb-NO"/>
          </a:p>
        </c:txPr>
        <c:crossAx val="861975216"/>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noFill/>
      <a:round/>
    </a:ln>
    <a:effectLst/>
  </c:spPr>
  <c:txPr>
    <a:bodyPr/>
    <a:lstStyle/>
    <a:p>
      <a:pPr>
        <a:defRPr/>
      </a:pPr>
      <a:endParaRPr lang="nb-NO"/>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b-NO"/>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[0]!MonteCarlo_Figurer_Valgt</c:f>
          <c:strCache>
            <c:ptCount val="1"/>
            <c:pt idx="0">
              <c:v>Trafikantnytte, referanse</c:v>
            </c:pt>
          </c:strCache>
        </c:strRef>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Franklin Gothic Book" panose="020B0503020102020204" pitchFamily="34" charset="0"/>
              <a:ea typeface="+mn-ea"/>
              <a:cs typeface="+mn-cs"/>
            </a:defRPr>
          </a:pPr>
          <a:endParaRPr lang="nb-NO"/>
        </a:p>
      </c:txPr>
    </c:title>
    <c:autoTitleDeleted val="0"/>
    <c:plotArea>
      <c:layout/>
      <c:barChart>
        <c:barDir val="col"/>
        <c:grouping val="clustered"/>
        <c:varyColors val="0"/>
        <c:ser>
          <c:idx val="0"/>
          <c:order val="0"/>
          <c:spPr>
            <a:solidFill>
              <a:schemeClr val="accent1"/>
            </a:solidFill>
            <a:ln>
              <a:solidFill>
                <a:schemeClr val="tx2">
                  <a:lumMod val="75000"/>
                </a:schemeClr>
              </a:solidFill>
            </a:ln>
            <a:effectLst/>
          </c:spPr>
          <c:invertIfNegative val="0"/>
          <c:cat>
            <c:strRef>
              <c:f>[0]!MonteCarlo_Histogram_X</c:f>
              <c:strCache>
                <c:ptCount val="20"/>
                <c:pt idx="0">
                  <c:v>-∞</c:v>
                </c:pt>
                <c:pt idx="1">
                  <c:v>0</c:v>
                </c:pt>
                <c:pt idx="2">
                  <c:v>-</c:v>
                </c:pt>
                <c:pt idx="3">
                  <c:v>-</c:v>
                </c:pt>
                <c:pt idx="4">
                  <c:v>-</c:v>
                </c:pt>
                <c:pt idx="5">
                  <c:v>-</c:v>
                </c:pt>
                <c:pt idx="6">
                  <c:v>-</c:v>
                </c:pt>
                <c:pt idx="7">
                  <c:v>-</c:v>
                </c:pt>
                <c:pt idx="8">
                  <c:v>-</c:v>
                </c:pt>
                <c:pt idx="9">
                  <c:v>-</c:v>
                </c:pt>
                <c:pt idx="10">
                  <c:v>-</c:v>
                </c:pt>
                <c:pt idx="11">
                  <c:v>-</c:v>
                </c:pt>
                <c:pt idx="12">
                  <c:v>-</c:v>
                </c:pt>
                <c:pt idx="13">
                  <c:v>-</c:v>
                </c:pt>
                <c:pt idx="14">
                  <c:v>-</c:v>
                </c:pt>
                <c:pt idx="15">
                  <c:v>-</c:v>
                </c:pt>
                <c:pt idx="16">
                  <c:v>-</c:v>
                </c:pt>
                <c:pt idx="17">
                  <c:v>-</c:v>
                </c:pt>
                <c:pt idx="18">
                  <c:v>-</c:v>
                </c:pt>
                <c:pt idx="19">
                  <c:v>-</c:v>
                </c:pt>
              </c:strCache>
            </c:strRef>
          </c:cat>
          <c:val>
            <c:numRef>
              <c:f>[0]!MonteCarlo_Histogram_Y</c:f>
              <c:numCache>
                <c:formatCode>0%</c:formatCode>
                <c:ptCount val="20"/>
                <c:pt idx="0">
                  <c:v>0</c:v>
                </c:pt>
                <c:pt idx="1">
                  <c:v>1</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extLst>
            <c:ext xmlns:c16="http://schemas.microsoft.com/office/drawing/2014/chart" uri="{C3380CC4-5D6E-409C-BE32-E72D297353CC}">
              <c16:uniqueId val="{00000000-F810-4685-AC67-0A587B52A94D}"/>
            </c:ext>
          </c:extLst>
        </c:ser>
        <c:dLbls>
          <c:showLegendKey val="0"/>
          <c:showVal val="0"/>
          <c:showCatName val="0"/>
          <c:showSerName val="0"/>
          <c:showPercent val="0"/>
          <c:showBubbleSize val="0"/>
        </c:dLbls>
        <c:gapWidth val="0"/>
        <c:axId val="820026888"/>
        <c:axId val="820031048"/>
      </c:barChart>
      <c:lineChart>
        <c:grouping val="standard"/>
        <c:varyColors val="0"/>
        <c:ser>
          <c:idx val="1"/>
          <c:order val="1"/>
          <c:spPr>
            <a:ln w="28575" cap="rnd">
              <a:noFill/>
              <a:round/>
            </a:ln>
            <a:effectLst/>
          </c:spPr>
          <c:marker>
            <c:symbol val="none"/>
          </c:marker>
          <c:cat>
            <c:strRef>
              <c:f>[0]!MonteCarlo_Histogram_X_Dummy</c:f>
              <c:strCache>
                <c:ptCount val="21"/>
                <c:pt idx="0">
                  <c:v>-∞</c:v>
                </c:pt>
                <c:pt idx="1">
                  <c:v>0</c:v>
                </c:pt>
                <c:pt idx="2">
                  <c:v>-</c:v>
                </c:pt>
                <c:pt idx="3">
                  <c:v>-</c:v>
                </c:pt>
                <c:pt idx="4">
                  <c:v>-</c:v>
                </c:pt>
                <c:pt idx="5">
                  <c:v>-</c:v>
                </c:pt>
                <c:pt idx="6">
                  <c:v>-</c:v>
                </c:pt>
                <c:pt idx="7">
                  <c:v>-</c:v>
                </c:pt>
                <c:pt idx="8">
                  <c:v>-</c:v>
                </c:pt>
                <c:pt idx="9">
                  <c:v>-</c:v>
                </c:pt>
                <c:pt idx="10">
                  <c:v>-</c:v>
                </c:pt>
                <c:pt idx="11">
                  <c:v>-</c:v>
                </c:pt>
                <c:pt idx="12">
                  <c:v>-</c:v>
                </c:pt>
                <c:pt idx="13">
                  <c:v>-</c:v>
                </c:pt>
                <c:pt idx="14">
                  <c:v>-</c:v>
                </c:pt>
                <c:pt idx="15">
                  <c:v>-</c:v>
                </c:pt>
                <c:pt idx="16">
                  <c:v>-</c:v>
                </c:pt>
                <c:pt idx="17">
                  <c:v>-</c:v>
                </c:pt>
                <c:pt idx="18">
                  <c:v>-</c:v>
                </c:pt>
                <c:pt idx="19">
                  <c:v>-</c:v>
                </c:pt>
                <c:pt idx="20">
                  <c:v> -∞ </c:v>
                </c:pt>
              </c:strCache>
            </c:strRef>
          </c:cat>
          <c:val>
            <c:numRef>
              <c:f>[0]!MonteCarlo_Histogram_Y_Dummy</c:f>
              <c:numCache>
                <c:formatCode>0%</c:formatCode>
                <c:ptCount val="21"/>
                <c:pt idx="0">
                  <c:v>0</c:v>
                </c:pt>
                <c:pt idx="1">
                  <c:v>1</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val>
          <c:smooth val="0"/>
          <c:extLst>
            <c:ext xmlns:c16="http://schemas.microsoft.com/office/drawing/2014/chart" uri="{C3380CC4-5D6E-409C-BE32-E72D297353CC}">
              <c16:uniqueId val="{00000001-F810-4685-AC67-0A587B52A94D}"/>
            </c:ext>
          </c:extLst>
        </c:ser>
        <c:dLbls>
          <c:showLegendKey val="0"/>
          <c:showVal val="0"/>
          <c:showCatName val="0"/>
          <c:showSerName val="0"/>
          <c:showPercent val="0"/>
          <c:showBubbleSize val="0"/>
        </c:dLbls>
        <c:marker val="1"/>
        <c:smooth val="0"/>
        <c:axId val="835435440"/>
        <c:axId val="835435120"/>
      </c:lineChart>
      <c:catAx>
        <c:axId val="820026888"/>
        <c:scaling>
          <c:orientation val="minMax"/>
        </c:scaling>
        <c:delete val="0"/>
        <c:axPos val="t"/>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400" b="0" i="0" u="none" strike="noStrike" kern="1200" baseline="0">
                <a:solidFill>
                  <a:schemeClr val="bg1"/>
                </a:solidFill>
                <a:latin typeface="+mn-lt"/>
                <a:ea typeface="+mn-ea"/>
                <a:cs typeface="+mn-cs"/>
              </a:defRPr>
            </a:pPr>
            <a:endParaRPr lang="nb-NO"/>
          </a:p>
        </c:txPr>
        <c:crossAx val="820031048"/>
        <c:crosses val="max"/>
        <c:auto val="1"/>
        <c:lblAlgn val="ctr"/>
        <c:lblOffset val="100"/>
        <c:noMultiLvlLbl val="0"/>
      </c:catAx>
      <c:valAx>
        <c:axId val="820031048"/>
        <c:scaling>
          <c:orientation val="minMax"/>
        </c:scaling>
        <c:delete val="1"/>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marL="0" marR="0" lvl="0" indent="0" algn="ctr" defTabSz="914400" rtl="0" eaLnBrk="1" fontAlgn="auto" latinLnBrk="0" hangingPunct="1">
                  <a:lnSpc>
                    <a:spcPct val="100000"/>
                  </a:lnSpc>
                  <a:spcBef>
                    <a:spcPts val="0"/>
                  </a:spcBef>
                  <a:spcAft>
                    <a:spcPts val="0"/>
                  </a:spcAft>
                  <a:buClrTx/>
                  <a:buSzTx/>
                  <a:buFontTx/>
                  <a:buNone/>
                  <a:tabLst/>
                  <a:defRPr sz="1200" b="0" i="0" u="none" strike="noStrike" kern="1200" baseline="0">
                    <a:solidFill>
                      <a:sysClr val="windowText" lastClr="000000">
                        <a:lumMod val="65000"/>
                        <a:lumOff val="35000"/>
                      </a:sysClr>
                    </a:solidFill>
                    <a:latin typeface="Franklin Gothic Book" panose="020B0503020102020204" pitchFamily="34" charset="0"/>
                    <a:ea typeface="+mn-ea"/>
                    <a:cs typeface="+mn-cs"/>
                  </a:defRPr>
                </a:pPr>
                <a:r>
                  <a:rPr lang="nb-NO" sz="1200" b="0" i="0" baseline="0">
                    <a:effectLst/>
                    <a:latin typeface="Franklin Gothic Book" panose="020B0503020102020204" pitchFamily="34" charset="0"/>
                  </a:rPr>
                  <a:t>Relativ frekvens</a:t>
                </a:r>
                <a:endParaRPr lang="nb-NO" sz="1200">
                  <a:effectLst/>
                  <a:latin typeface="Franklin Gothic Book" panose="020B0503020102020204" pitchFamily="34" charset="0"/>
                </a:endParaRPr>
              </a:p>
              <a:p>
                <a:pPr marL="0" marR="0" lvl="0" indent="0" algn="ctr" defTabSz="914400" rtl="0" eaLnBrk="1" fontAlgn="auto" latinLnBrk="0" hangingPunct="1">
                  <a:lnSpc>
                    <a:spcPct val="100000"/>
                  </a:lnSpc>
                  <a:spcBef>
                    <a:spcPts val="0"/>
                  </a:spcBef>
                  <a:spcAft>
                    <a:spcPts val="0"/>
                  </a:spcAft>
                  <a:buClrTx/>
                  <a:buSzTx/>
                  <a:buFontTx/>
                  <a:buNone/>
                  <a:tabLst/>
                  <a:defRPr sz="1200">
                    <a:solidFill>
                      <a:sysClr val="windowText" lastClr="000000">
                        <a:lumMod val="65000"/>
                        <a:lumOff val="35000"/>
                      </a:sysClr>
                    </a:solidFill>
                    <a:latin typeface="Franklin Gothic Book" panose="020B0503020102020204" pitchFamily="34" charset="0"/>
                  </a:defRPr>
                </a:pPr>
                <a:endParaRPr lang="nb-NO" sz="1200">
                  <a:latin typeface="Franklin Gothic Book" panose="020B0503020102020204" pitchFamily="34" charset="0"/>
                </a:endParaRPr>
              </a:p>
            </c:rich>
          </c:tx>
          <c:overlay val="0"/>
          <c:spPr>
            <a:noFill/>
            <a:ln>
              <a:noFill/>
            </a:ln>
            <a:effectLst/>
          </c:spPr>
          <c:txPr>
            <a:bodyPr rot="-5400000" spcFirstLastPara="1" vertOverflow="ellipsis" vert="horz" wrap="square" anchor="ctr" anchorCtr="1"/>
            <a:lstStyle/>
            <a:p>
              <a:pPr marL="0" marR="0" lvl="0" indent="0" algn="ctr" defTabSz="914400" rtl="0" eaLnBrk="1" fontAlgn="auto" latinLnBrk="0" hangingPunct="1">
                <a:lnSpc>
                  <a:spcPct val="100000"/>
                </a:lnSpc>
                <a:spcBef>
                  <a:spcPts val="0"/>
                </a:spcBef>
                <a:spcAft>
                  <a:spcPts val="0"/>
                </a:spcAft>
                <a:buClrTx/>
                <a:buSzTx/>
                <a:buFontTx/>
                <a:buNone/>
                <a:tabLst/>
                <a:defRPr sz="1200" b="0" i="0" u="none" strike="noStrike" kern="1200" baseline="0">
                  <a:solidFill>
                    <a:sysClr val="windowText" lastClr="000000">
                      <a:lumMod val="65000"/>
                      <a:lumOff val="35000"/>
                    </a:sysClr>
                  </a:solidFill>
                  <a:latin typeface="Franklin Gothic Book" panose="020B0503020102020204" pitchFamily="34" charset="0"/>
                  <a:ea typeface="+mn-ea"/>
                  <a:cs typeface="+mn-cs"/>
                </a:defRPr>
              </a:pPr>
              <a:endParaRPr lang="nb-NO"/>
            </a:p>
          </c:txPr>
        </c:title>
        <c:numFmt formatCode="0%" sourceLinked="1"/>
        <c:majorTickMark val="none"/>
        <c:minorTickMark val="none"/>
        <c:tickLblPos val="nextTo"/>
        <c:crossAx val="820026888"/>
        <c:crosses val="autoZero"/>
        <c:crossBetween val="between"/>
      </c:valAx>
      <c:valAx>
        <c:axId val="835435120"/>
        <c:scaling>
          <c:orientation val="minMax"/>
        </c:scaling>
        <c:delete val="0"/>
        <c:axPos val="l"/>
        <c:numFmt formatCode="0%" sourceLinked="1"/>
        <c:majorTickMark val="out"/>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Franklin Gothic Book" panose="020B0503020102020204" pitchFamily="34" charset="0"/>
                <a:ea typeface="+mn-ea"/>
                <a:cs typeface="+mn-cs"/>
              </a:defRPr>
            </a:pPr>
            <a:endParaRPr lang="nb-NO"/>
          </a:p>
        </c:txPr>
        <c:crossAx val="835435440"/>
        <c:crossesAt val="1"/>
        <c:crossBetween val="midCat"/>
      </c:valAx>
      <c:catAx>
        <c:axId val="835435440"/>
        <c:scaling>
          <c:orientation val="minMax"/>
        </c:scaling>
        <c:delete val="0"/>
        <c:axPos val="b"/>
        <c:title>
          <c:tx>
            <c:strRef>
              <c:f>'4.2.2 Monte Carlo-simulering'!$AB$18</c:f>
              <c:strCache>
                <c:ptCount val="1"/>
                <c:pt idx="0">
                  <c:v>Mill kr</c:v>
                </c:pt>
              </c:strCache>
            </c:strRef>
          </c:tx>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Franklin Gothic Book" panose="020B0503020102020204" pitchFamily="34" charset="0"/>
                  <a:ea typeface="+mn-ea"/>
                  <a:cs typeface="+mn-cs"/>
                </a:defRPr>
              </a:pPr>
              <a:endParaRPr lang="nb-NO"/>
            </a:p>
          </c:txPr>
        </c:title>
        <c:numFmt formatCode="0.00%" sourceLinked="0"/>
        <c:majorTickMark val="out"/>
        <c:minorTickMark val="none"/>
        <c:tickLblPos val="nextTo"/>
        <c:spPr>
          <a:noFill/>
          <a:ln w="9525" cap="flat" cmpd="sng" algn="ctr">
            <a:solidFill>
              <a:schemeClr val="tx1">
                <a:lumMod val="15000"/>
                <a:lumOff val="85000"/>
              </a:schemeClr>
            </a:solidFill>
            <a:round/>
          </a:ln>
          <a:effectLst/>
        </c:spPr>
        <c:txPr>
          <a:bodyPr rot="-5400000" spcFirstLastPara="1" vertOverflow="ellipsis" wrap="square" anchor="ctr" anchorCtr="1"/>
          <a:lstStyle/>
          <a:p>
            <a:pPr>
              <a:defRPr sz="1200" b="0" i="0" u="none" strike="noStrike" kern="1200" baseline="0">
                <a:solidFill>
                  <a:schemeClr val="tx1">
                    <a:lumMod val="65000"/>
                    <a:lumOff val="35000"/>
                  </a:schemeClr>
                </a:solidFill>
                <a:latin typeface="Franklin Gothic Book" panose="020B0503020102020204" pitchFamily="34" charset="0"/>
                <a:ea typeface="+mn-ea"/>
                <a:cs typeface="+mn-cs"/>
              </a:defRPr>
            </a:pPr>
            <a:endParaRPr lang="nb-NO"/>
          </a:p>
        </c:txPr>
        <c:crossAx val="835435120"/>
        <c:crossesAt val="0"/>
        <c:auto val="1"/>
        <c:lblAlgn val="ctr"/>
        <c:lblOffset val="100"/>
        <c:noMultiLvlLbl val="0"/>
      </c:cat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noFill/>
      <a:round/>
    </a:ln>
    <a:effectLst/>
  </c:spPr>
  <c:txPr>
    <a:bodyPr/>
    <a:lstStyle/>
    <a:p>
      <a:pPr>
        <a:defRPr/>
      </a:pPr>
      <a:endParaRPr lang="nb-NO"/>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b-NO"/>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[0]!MonteCarlo_Figurer_Valgt</c:f>
          <c:strCache>
            <c:ptCount val="1"/>
            <c:pt idx="0">
              <c:v>Trafikantnytte, referanse</c:v>
            </c:pt>
          </c:strCache>
        </c:strRef>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nb-NO"/>
        </a:p>
      </c:txPr>
    </c:title>
    <c:autoTitleDeleted val="0"/>
    <c:plotArea>
      <c:layout/>
      <c:lineChart>
        <c:grouping val="standard"/>
        <c:varyColors val="0"/>
        <c:ser>
          <c:idx val="1"/>
          <c:order val="0"/>
          <c:tx>
            <c:v>Gjennomsnitt av foreløpige trekninger</c:v>
          </c:tx>
          <c:spPr>
            <a:ln w="28575" cap="rnd">
              <a:solidFill>
                <a:schemeClr val="tx2"/>
              </a:solidFill>
              <a:round/>
            </a:ln>
            <a:effectLst/>
          </c:spPr>
          <c:marker>
            <c:symbol val="none"/>
          </c:marker>
          <c:val>
            <c:numRef>
              <c:f>[0]!MonteCarlo_Figurer_Valgt_SerieSnitt</c:f>
              <c:numCache>
                <c:formatCode>General</c:formatCode>
                <c:ptCount val="100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pt idx="360">
                  <c:v>0</c:v>
                </c:pt>
                <c:pt idx="361">
                  <c:v>0</c:v>
                </c:pt>
                <c:pt idx="362">
                  <c:v>0</c:v>
                </c:pt>
                <c:pt idx="363">
                  <c:v>0</c:v>
                </c:pt>
                <c:pt idx="364">
                  <c:v>0</c:v>
                </c:pt>
                <c:pt idx="365">
                  <c:v>0</c:v>
                </c:pt>
                <c:pt idx="366">
                  <c:v>0</c:v>
                </c:pt>
                <c:pt idx="367">
                  <c:v>0</c:v>
                </c:pt>
                <c:pt idx="368">
                  <c:v>0</c:v>
                </c:pt>
                <c:pt idx="369">
                  <c:v>0</c:v>
                </c:pt>
                <c:pt idx="370">
                  <c:v>0</c:v>
                </c:pt>
                <c:pt idx="371">
                  <c:v>0</c:v>
                </c:pt>
                <c:pt idx="372">
                  <c:v>0</c:v>
                </c:pt>
                <c:pt idx="373">
                  <c:v>0</c:v>
                </c:pt>
                <c:pt idx="374">
                  <c:v>0</c:v>
                </c:pt>
                <c:pt idx="375">
                  <c:v>0</c:v>
                </c:pt>
                <c:pt idx="376">
                  <c:v>0</c:v>
                </c:pt>
                <c:pt idx="377">
                  <c:v>0</c:v>
                </c:pt>
                <c:pt idx="378">
                  <c:v>0</c:v>
                </c:pt>
                <c:pt idx="379">
                  <c:v>0</c:v>
                </c:pt>
                <c:pt idx="380">
                  <c:v>0</c:v>
                </c:pt>
                <c:pt idx="381">
                  <c:v>0</c:v>
                </c:pt>
                <c:pt idx="382">
                  <c:v>0</c:v>
                </c:pt>
                <c:pt idx="383">
                  <c:v>0</c:v>
                </c:pt>
                <c:pt idx="384">
                  <c:v>0</c:v>
                </c:pt>
                <c:pt idx="385">
                  <c:v>0</c:v>
                </c:pt>
                <c:pt idx="386">
                  <c:v>0</c:v>
                </c:pt>
                <c:pt idx="387">
                  <c:v>0</c:v>
                </c:pt>
                <c:pt idx="388">
                  <c:v>0</c:v>
                </c:pt>
                <c:pt idx="389">
                  <c:v>0</c:v>
                </c:pt>
                <c:pt idx="390">
                  <c:v>0</c:v>
                </c:pt>
                <c:pt idx="391">
                  <c:v>0</c:v>
                </c:pt>
                <c:pt idx="392">
                  <c:v>0</c:v>
                </c:pt>
                <c:pt idx="393">
                  <c:v>0</c:v>
                </c:pt>
                <c:pt idx="394">
                  <c:v>0</c:v>
                </c:pt>
                <c:pt idx="395">
                  <c:v>0</c:v>
                </c:pt>
                <c:pt idx="396">
                  <c:v>0</c:v>
                </c:pt>
                <c:pt idx="397">
                  <c:v>0</c:v>
                </c:pt>
                <c:pt idx="398">
                  <c:v>0</c:v>
                </c:pt>
                <c:pt idx="399">
                  <c:v>0</c:v>
                </c:pt>
                <c:pt idx="400">
                  <c:v>0</c:v>
                </c:pt>
                <c:pt idx="401">
                  <c:v>0</c:v>
                </c:pt>
                <c:pt idx="402">
                  <c:v>0</c:v>
                </c:pt>
                <c:pt idx="403">
                  <c:v>0</c:v>
                </c:pt>
                <c:pt idx="404">
                  <c:v>0</c:v>
                </c:pt>
                <c:pt idx="405">
                  <c:v>0</c:v>
                </c:pt>
                <c:pt idx="406">
                  <c:v>0</c:v>
                </c:pt>
                <c:pt idx="407">
                  <c:v>0</c:v>
                </c:pt>
                <c:pt idx="408">
                  <c:v>0</c:v>
                </c:pt>
                <c:pt idx="409">
                  <c:v>0</c:v>
                </c:pt>
                <c:pt idx="410">
                  <c:v>0</c:v>
                </c:pt>
                <c:pt idx="411">
                  <c:v>0</c:v>
                </c:pt>
                <c:pt idx="412">
                  <c:v>0</c:v>
                </c:pt>
                <c:pt idx="413">
                  <c:v>0</c:v>
                </c:pt>
                <c:pt idx="414">
                  <c:v>0</c:v>
                </c:pt>
                <c:pt idx="415">
                  <c:v>0</c:v>
                </c:pt>
                <c:pt idx="416">
                  <c:v>0</c:v>
                </c:pt>
                <c:pt idx="417">
                  <c:v>0</c:v>
                </c:pt>
                <c:pt idx="418">
                  <c:v>0</c:v>
                </c:pt>
                <c:pt idx="419">
                  <c:v>0</c:v>
                </c:pt>
                <c:pt idx="420">
                  <c:v>0</c:v>
                </c:pt>
                <c:pt idx="421">
                  <c:v>0</c:v>
                </c:pt>
                <c:pt idx="422">
                  <c:v>0</c:v>
                </c:pt>
                <c:pt idx="423">
                  <c:v>0</c:v>
                </c:pt>
                <c:pt idx="424">
                  <c:v>0</c:v>
                </c:pt>
                <c:pt idx="425">
                  <c:v>0</c:v>
                </c:pt>
                <c:pt idx="426">
                  <c:v>0</c:v>
                </c:pt>
                <c:pt idx="427">
                  <c:v>0</c:v>
                </c:pt>
                <c:pt idx="428">
                  <c:v>0</c:v>
                </c:pt>
                <c:pt idx="429">
                  <c:v>0</c:v>
                </c:pt>
                <c:pt idx="430">
                  <c:v>0</c:v>
                </c:pt>
                <c:pt idx="431">
                  <c:v>0</c:v>
                </c:pt>
                <c:pt idx="432">
                  <c:v>0</c:v>
                </c:pt>
                <c:pt idx="433">
                  <c:v>0</c:v>
                </c:pt>
                <c:pt idx="434">
                  <c:v>0</c:v>
                </c:pt>
                <c:pt idx="435">
                  <c:v>0</c:v>
                </c:pt>
                <c:pt idx="436">
                  <c:v>0</c:v>
                </c:pt>
                <c:pt idx="437">
                  <c:v>0</c:v>
                </c:pt>
                <c:pt idx="438">
                  <c:v>0</c:v>
                </c:pt>
                <c:pt idx="439">
                  <c:v>0</c:v>
                </c:pt>
                <c:pt idx="440">
                  <c:v>0</c:v>
                </c:pt>
                <c:pt idx="441">
                  <c:v>0</c:v>
                </c:pt>
                <c:pt idx="442">
                  <c:v>0</c:v>
                </c:pt>
                <c:pt idx="443">
                  <c:v>0</c:v>
                </c:pt>
                <c:pt idx="444">
                  <c:v>0</c:v>
                </c:pt>
                <c:pt idx="445">
                  <c:v>0</c:v>
                </c:pt>
                <c:pt idx="446">
                  <c:v>0</c:v>
                </c:pt>
                <c:pt idx="447">
                  <c:v>0</c:v>
                </c:pt>
                <c:pt idx="448">
                  <c:v>0</c:v>
                </c:pt>
                <c:pt idx="449">
                  <c:v>0</c:v>
                </c:pt>
                <c:pt idx="450">
                  <c:v>0</c:v>
                </c:pt>
                <c:pt idx="451">
                  <c:v>0</c:v>
                </c:pt>
                <c:pt idx="452">
                  <c:v>0</c:v>
                </c:pt>
                <c:pt idx="453">
                  <c:v>0</c:v>
                </c:pt>
                <c:pt idx="454">
                  <c:v>0</c:v>
                </c:pt>
                <c:pt idx="455">
                  <c:v>0</c:v>
                </c:pt>
                <c:pt idx="456">
                  <c:v>0</c:v>
                </c:pt>
                <c:pt idx="457">
                  <c:v>0</c:v>
                </c:pt>
                <c:pt idx="458">
                  <c:v>0</c:v>
                </c:pt>
                <c:pt idx="459">
                  <c:v>0</c:v>
                </c:pt>
                <c:pt idx="460">
                  <c:v>0</c:v>
                </c:pt>
                <c:pt idx="461">
                  <c:v>0</c:v>
                </c:pt>
                <c:pt idx="462">
                  <c:v>0</c:v>
                </c:pt>
                <c:pt idx="463">
                  <c:v>0</c:v>
                </c:pt>
                <c:pt idx="464">
                  <c:v>0</c:v>
                </c:pt>
                <c:pt idx="465">
                  <c:v>0</c:v>
                </c:pt>
                <c:pt idx="466">
                  <c:v>0</c:v>
                </c:pt>
                <c:pt idx="467">
                  <c:v>0</c:v>
                </c:pt>
                <c:pt idx="468">
                  <c:v>0</c:v>
                </c:pt>
                <c:pt idx="469">
                  <c:v>0</c:v>
                </c:pt>
                <c:pt idx="470">
                  <c:v>0</c:v>
                </c:pt>
                <c:pt idx="471">
                  <c:v>0</c:v>
                </c:pt>
                <c:pt idx="472">
                  <c:v>0</c:v>
                </c:pt>
                <c:pt idx="473">
                  <c:v>0</c:v>
                </c:pt>
                <c:pt idx="474">
                  <c:v>0</c:v>
                </c:pt>
                <c:pt idx="475">
                  <c:v>0</c:v>
                </c:pt>
                <c:pt idx="476">
                  <c:v>0</c:v>
                </c:pt>
                <c:pt idx="477">
                  <c:v>0</c:v>
                </c:pt>
                <c:pt idx="478">
                  <c:v>0</c:v>
                </c:pt>
                <c:pt idx="479">
                  <c:v>0</c:v>
                </c:pt>
                <c:pt idx="480">
                  <c:v>0</c:v>
                </c:pt>
                <c:pt idx="481">
                  <c:v>0</c:v>
                </c:pt>
                <c:pt idx="482">
                  <c:v>0</c:v>
                </c:pt>
                <c:pt idx="483">
                  <c:v>0</c:v>
                </c:pt>
                <c:pt idx="484">
                  <c:v>0</c:v>
                </c:pt>
                <c:pt idx="485">
                  <c:v>0</c:v>
                </c:pt>
                <c:pt idx="486">
                  <c:v>0</c:v>
                </c:pt>
                <c:pt idx="487">
                  <c:v>0</c:v>
                </c:pt>
                <c:pt idx="488">
                  <c:v>0</c:v>
                </c:pt>
                <c:pt idx="489">
                  <c:v>0</c:v>
                </c:pt>
                <c:pt idx="490">
                  <c:v>0</c:v>
                </c:pt>
                <c:pt idx="491">
                  <c:v>0</c:v>
                </c:pt>
                <c:pt idx="492">
                  <c:v>0</c:v>
                </c:pt>
                <c:pt idx="493">
                  <c:v>0</c:v>
                </c:pt>
                <c:pt idx="494">
                  <c:v>0</c:v>
                </c:pt>
                <c:pt idx="495">
                  <c:v>0</c:v>
                </c:pt>
                <c:pt idx="496">
                  <c:v>0</c:v>
                </c:pt>
                <c:pt idx="497">
                  <c:v>0</c:v>
                </c:pt>
                <c:pt idx="498">
                  <c:v>0</c:v>
                </c:pt>
                <c:pt idx="499">
                  <c:v>0</c:v>
                </c:pt>
                <c:pt idx="500">
                  <c:v>0</c:v>
                </c:pt>
                <c:pt idx="501">
                  <c:v>0</c:v>
                </c:pt>
                <c:pt idx="502">
                  <c:v>0</c:v>
                </c:pt>
                <c:pt idx="503">
                  <c:v>0</c:v>
                </c:pt>
                <c:pt idx="504">
                  <c:v>0</c:v>
                </c:pt>
                <c:pt idx="505">
                  <c:v>0</c:v>
                </c:pt>
                <c:pt idx="506">
                  <c:v>0</c:v>
                </c:pt>
                <c:pt idx="507">
                  <c:v>0</c:v>
                </c:pt>
                <c:pt idx="508">
                  <c:v>0</c:v>
                </c:pt>
                <c:pt idx="509">
                  <c:v>0</c:v>
                </c:pt>
                <c:pt idx="510">
                  <c:v>0</c:v>
                </c:pt>
                <c:pt idx="511">
                  <c:v>0</c:v>
                </c:pt>
                <c:pt idx="512">
                  <c:v>0</c:v>
                </c:pt>
                <c:pt idx="513">
                  <c:v>0</c:v>
                </c:pt>
                <c:pt idx="514">
                  <c:v>0</c:v>
                </c:pt>
                <c:pt idx="515">
                  <c:v>0</c:v>
                </c:pt>
                <c:pt idx="516">
                  <c:v>0</c:v>
                </c:pt>
                <c:pt idx="517">
                  <c:v>0</c:v>
                </c:pt>
                <c:pt idx="518">
                  <c:v>0</c:v>
                </c:pt>
                <c:pt idx="519">
                  <c:v>0</c:v>
                </c:pt>
                <c:pt idx="520">
                  <c:v>0</c:v>
                </c:pt>
                <c:pt idx="521">
                  <c:v>0</c:v>
                </c:pt>
                <c:pt idx="522">
                  <c:v>0</c:v>
                </c:pt>
                <c:pt idx="523">
                  <c:v>0</c:v>
                </c:pt>
                <c:pt idx="524">
                  <c:v>0</c:v>
                </c:pt>
                <c:pt idx="525">
                  <c:v>0</c:v>
                </c:pt>
                <c:pt idx="526">
                  <c:v>0</c:v>
                </c:pt>
                <c:pt idx="527">
                  <c:v>0</c:v>
                </c:pt>
                <c:pt idx="528">
                  <c:v>0</c:v>
                </c:pt>
                <c:pt idx="529">
                  <c:v>0</c:v>
                </c:pt>
                <c:pt idx="530">
                  <c:v>0</c:v>
                </c:pt>
                <c:pt idx="531">
                  <c:v>0</c:v>
                </c:pt>
                <c:pt idx="532">
                  <c:v>0</c:v>
                </c:pt>
                <c:pt idx="533">
                  <c:v>0</c:v>
                </c:pt>
                <c:pt idx="534">
                  <c:v>0</c:v>
                </c:pt>
                <c:pt idx="535">
                  <c:v>0</c:v>
                </c:pt>
                <c:pt idx="536">
                  <c:v>0</c:v>
                </c:pt>
                <c:pt idx="537">
                  <c:v>0</c:v>
                </c:pt>
                <c:pt idx="538">
                  <c:v>0</c:v>
                </c:pt>
                <c:pt idx="539">
                  <c:v>0</c:v>
                </c:pt>
                <c:pt idx="540">
                  <c:v>0</c:v>
                </c:pt>
                <c:pt idx="541">
                  <c:v>0</c:v>
                </c:pt>
                <c:pt idx="542">
                  <c:v>0</c:v>
                </c:pt>
                <c:pt idx="543">
                  <c:v>0</c:v>
                </c:pt>
                <c:pt idx="544">
                  <c:v>0</c:v>
                </c:pt>
                <c:pt idx="545">
                  <c:v>0</c:v>
                </c:pt>
                <c:pt idx="546">
                  <c:v>0</c:v>
                </c:pt>
                <c:pt idx="547">
                  <c:v>0</c:v>
                </c:pt>
                <c:pt idx="548">
                  <c:v>0</c:v>
                </c:pt>
                <c:pt idx="549">
                  <c:v>0</c:v>
                </c:pt>
                <c:pt idx="550">
                  <c:v>0</c:v>
                </c:pt>
                <c:pt idx="551">
                  <c:v>0</c:v>
                </c:pt>
                <c:pt idx="552">
                  <c:v>0</c:v>
                </c:pt>
                <c:pt idx="553">
                  <c:v>0</c:v>
                </c:pt>
                <c:pt idx="554">
                  <c:v>0</c:v>
                </c:pt>
                <c:pt idx="555">
                  <c:v>0</c:v>
                </c:pt>
                <c:pt idx="556">
                  <c:v>0</c:v>
                </c:pt>
                <c:pt idx="557">
                  <c:v>0</c:v>
                </c:pt>
                <c:pt idx="558">
                  <c:v>0</c:v>
                </c:pt>
                <c:pt idx="559">
                  <c:v>0</c:v>
                </c:pt>
                <c:pt idx="560">
                  <c:v>0</c:v>
                </c:pt>
                <c:pt idx="561">
                  <c:v>0</c:v>
                </c:pt>
                <c:pt idx="562">
                  <c:v>0</c:v>
                </c:pt>
                <c:pt idx="563">
                  <c:v>0</c:v>
                </c:pt>
                <c:pt idx="564">
                  <c:v>0</c:v>
                </c:pt>
                <c:pt idx="565">
                  <c:v>0</c:v>
                </c:pt>
                <c:pt idx="566">
                  <c:v>0</c:v>
                </c:pt>
                <c:pt idx="567">
                  <c:v>0</c:v>
                </c:pt>
                <c:pt idx="568">
                  <c:v>0</c:v>
                </c:pt>
                <c:pt idx="569">
                  <c:v>0</c:v>
                </c:pt>
                <c:pt idx="570">
                  <c:v>0</c:v>
                </c:pt>
                <c:pt idx="571">
                  <c:v>0</c:v>
                </c:pt>
                <c:pt idx="572">
                  <c:v>0</c:v>
                </c:pt>
                <c:pt idx="573">
                  <c:v>0</c:v>
                </c:pt>
                <c:pt idx="574">
                  <c:v>0</c:v>
                </c:pt>
                <c:pt idx="575">
                  <c:v>0</c:v>
                </c:pt>
                <c:pt idx="576">
                  <c:v>0</c:v>
                </c:pt>
                <c:pt idx="577">
                  <c:v>0</c:v>
                </c:pt>
                <c:pt idx="578">
                  <c:v>0</c:v>
                </c:pt>
                <c:pt idx="579">
                  <c:v>0</c:v>
                </c:pt>
                <c:pt idx="580">
                  <c:v>0</c:v>
                </c:pt>
                <c:pt idx="581">
                  <c:v>0</c:v>
                </c:pt>
                <c:pt idx="582">
                  <c:v>0</c:v>
                </c:pt>
                <c:pt idx="583">
                  <c:v>0</c:v>
                </c:pt>
                <c:pt idx="584">
                  <c:v>0</c:v>
                </c:pt>
                <c:pt idx="585">
                  <c:v>0</c:v>
                </c:pt>
                <c:pt idx="586">
                  <c:v>0</c:v>
                </c:pt>
                <c:pt idx="587">
                  <c:v>0</c:v>
                </c:pt>
                <c:pt idx="588">
                  <c:v>0</c:v>
                </c:pt>
                <c:pt idx="589">
                  <c:v>0</c:v>
                </c:pt>
                <c:pt idx="590">
                  <c:v>0</c:v>
                </c:pt>
                <c:pt idx="591">
                  <c:v>0</c:v>
                </c:pt>
                <c:pt idx="592">
                  <c:v>0</c:v>
                </c:pt>
                <c:pt idx="593">
                  <c:v>0</c:v>
                </c:pt>
                <c:pt idx="594">
                  <c:v>0</c:v>
                </c:pt>
                <c:pt idx="595">
                  <c:v>0</c:v>
                </c:pt>
                <c:pt idx="596">
                  <c:v>0</c:v>
                </c:pt>
                <c:pt idx="597">
                  <c:v>0</c:v>
                </c:pt>
                <c:pt idx="598">
                  <c:v>0</c:v>
                </c:pt>
                <c:pt idx="599">
                  <c:v>0</c:v>
                </c:pt>
                <c:pt idx="600">
                  <c:v>0</c:v>
                </c:pt>
                <c:pt idx="601">
                  <c:v>0</c:v>
                </c:pt>
                <c:pt idx="602">
                  <c:v>0</c:v>
                </c:pt>
                <c:pt idx="603">
                  <c:v>0</c:v>
                </c:pt>
                <c:pt idx="604">
                  <c:v>0</c:v>
                </c:pt>
                <c:pt idx="605">
                  <c:v>0</c:v>
                </c:pt>
                <c:pt idx="606">
                  <c:v>0</c:v>
                </c:pt>
                <c:pt idx="607">
                  <c:v>0</c:v>
                </c:pt>
                <c:pt idx="608">
                  <c:v>0</c:v>
                </c:pt>
                <c:pt idx="609">
                  <c:v>0</c:v>
                </c:pt>
                <c:pt idx="610">
                  <c:v>0</c:v>
                </c:pt>
                <c:pt idx="611">
                  <c:v>0</c:v>
                </c:pt>
                <c:pt idx="612">
                  <c:v>0</c:v>
                </c:pt>
                <c:pt idx="613">
                  <c:v>0</c:v>
                </c:pt>
                <c:pt idx="614">
                  <c:v>0</c:v>
                </c:pt>
                <c:pt idx="615">
                  <c:v>0</c:v>
                </c:pt>
                <c:pt idx="616">
                  <c:v>0</c:v>
                </c:pt>
                <c:pt idx="617">
                  <c:v>0</c:v>
                </c:pt>
                <c:pt idx="618">
                  <c:v>0</c:v>
                </c:pt>
                <c:pt idx="619">
                  <c:v>0</c:v>
                </c:pt>
                <c:pt idx="620">
                  <c:v>0</c:v>
                </c:pt>
                <c:pt idx="621">
                  <c:v>0</c:v>
                </c:pt>
                <c:pt idx="622">
                  <c:v>0</c:v>
                </c:pt>
                <c:pt idx="623">
                  <c:v>0</c:v>
                </c:pt>
                <c:pt idx="624">
                  <c:v>0</c:v>
                </c:pt>
                <c:pt idx="625">
                  <c:v>0</c:v>
                </c:pt>
                <c:pt idx="626">
                  <c:v>0</c:v>
                </c:pt>
                <c:pt idx="627">
                  <c:v>0</c:v>
                </c:pt>
                <c:pt idx="628">
                  <c:v>0</c:v>
                </c:pt>
                <c:pt idx="629">
                  <c:v>0</c:v>
                </c:pt>
                <c:pt idx="630">
                  <c:v>0</c:v>
                </c:pt>
                <c:pt idx="631">
                  <c:v>0</c:v>
                </c:pt>
                <c:pt idx="632">
                  <c:v>0</c:v>
                </c:pt>
                <c:pt idx="633">
                  <c:v>0</c:v>
                </c:pt>
                <c:pt idx="634">
                  <c:v>0</c:v>
                </c:pt>
                <c:pt idx="635">
                  <c:v>0</c:v>
                </c:pt>
                <c:pt idx="636">
                  <c:v>0</c:v>
                </c:pt>
                <c:pt idx="637">
                  <c:v>0</c:v>
                </c:pt>
                <c:pt idx="638">
                  <c:v>0</c:v>
                </c:pt>
                <c:pt idx="639">
                  <c:v>0</c:v>
                </c:pt>
                <c:pt idx="640">
                  <c:v>0</c:v>
                </c:pt>
                <c:pt idx="641">
                  <c:v>0</c:v>
                </c:pt>
                <c:pt idx="642">
                  <c:v>0</c:v>
                </c:pt>
                <c:pt idx="643">
                  <c:v>0</c:v>
                </c:pt>
                <c:pt idx="644">
                  <c:v>0</c:v>
                </c:pt>
                <c:pt idx="645">
                  <c:v>0</c:v>
                </c:pt>
                <c:pt idx="646">
                  <c:v>0</c:v>
                </c:pt>
                <c:pt idx="647">
                  <c:v>0</c:v>
                </c:pt>
                <c:pt idx="648">
                  <c:v>0</c:v>
                </c:pt>
                <c:pt idx="649">
                  <c:v>0</c:v>
                </c:pt>
                <c:pt idx="650">
                  <c:v>0</c:v>
                </c:pt>
                <c:pt idx="651">
                  <c:v>0</c:v>
                </c:pt>
                <c:pt idx="652">
                  <c:v>0</c:v>
                </c:pt>
                <c:pt idx="653">
                  <c:v>0</c:v>
                </c:pt>
                <c:pt idx="654">
                  <c:v>0</c:v>
                </c:pt>
                <c:pt idx="655">
                  <c:v>0</c:v>
                </c:pt>
                <c:pt idx="656">
                  <c:v>0</c:v>
                </c:pt>
                <c:pt idx="657">
                  <c:v>0</c:v>
                </c:pt>
                <c:pt idx="658">
                  <c:v>0</c:v>
                </c:pt>
                <c:pt idx="659">
                  <c:v>0</c:v>
                </c:pt>
                <c:pt idx="660">
                  <c:v>0</c:v>
                </c:pt>
                <c:pt idx="661">
                  <c:v>0</c:v>
                </c:pt>
                <c:pt idx="662">
                  <c:v>0</c:v>
                </c:pt>
                <c:pt idx="663">
                  <c:v>0</c:v>
                </c:pt>
                <c:pt idx="664">
                  <c:v>0</c:v>
                </c:pt>
                <c:pt idx="665">
                  <c:v>0</c:v>
                </c:pt>
                <c:pt idx="666">
                  <c:v>0</c:v>
                </c:pt>
                <c:pt idx="667">
                  <c:v>0</c:v>
                </c:pt>
                <c:pt idx="668">
                  <c:v>0</c:v>
                </c:pt>
                <c:pt idx="669">
                  <c:v>0</c:v>
                </c:pt>
                <c:pt idx="670">
                  <c:v>0</c:v>
                </c:pt>
                <c:pt idx="671">
                  <c:v>0</c:v>
                </c:pt>
                <c:pt idx="672">
                  <c:v>0</c:v>
                </c:pt>
                <c:pt idx="673">
                  <c:v>0</c:v>
                </c:pt>
                <c:pt idx="674">
                  <c:v>0</c:v>
                </c:pt>
                <c:pt idx="675">
                  <c:v>0</c:v>
                </c:pt>
                <c:pt idx="676">
                  <c:v>0</c:v>
                </c:pt>
                <c:pt idx="677">
                  <c:v>0</c:v>
                </c:pt>
                <c:pt idx="678">
                  <c:v>0</c:v>
                </c:pt>
                <c:pt idx="679">
                  <c:v>0</c:v>
                </c:pt>
                <c:pt idx="680">
                  <c:v>0</c:v>
                </c:pt>
                <c:pt idx="681">
                  <c:v>0</c:v>
                </c:pt>
                <c:pt idx="682">
                  <c:v>0</c:v>
                </c:pt>
                <c:pt idx="683">
                  <c:v>0</c:v>
                </c:pt>
                <c:pt idx="684">
                  <c:v>0</c:v>
                </c:pt>
                <c:pt idx="685">
                  <c:v>0</c:v>
                </c:pt>
                <c:pt idx="686">
                  <c:v>0</c:v>
                </c:pt>
                <c:pt idx="687">
                  <c:v>0</c:v>
                </c:pt>
                <c:pt idx="688">
                  <c:v>0</c:v>
                </c:pt>
                <c:pt idx="689">
                  <c:v>0</c:v>
                </c:pt>
                <c:pt idx="690">
                  <c:v>0</c:v>
                </c:pt>
                <c:pt idx="691">
                  <c:v>0</c:v>
                </c:pt>
                <c:pt idx="692">
                  <c:v>0</c:v>
                </c:pt>
                <c:pt idx="693">
                  <c:v>0</c:v>
                </c:pt>
                <c:pt idx="694">
                  <c:v>0</c:v>
                </c:pt>
                <c:pt idx="695">
                  <c:v>0</c:v>
                </c:pt>
                <c:pt idx="696">
                  <c:v>0</c:v>
                </c:pt>
                <c:pt idx="697">
                  <c:v>0</c:v>
                </c:pt>
                <c:pt idx="698">
                  <c:v>0</c:v>
                </c:pt>
                <c:pt idx="699">
                  <c:v>0</c:v>
                </c:pt>
                <c:pt idx="700">
                  <c:v>0</c:v>
                </c:pt>
                <c:pt idx="701">
                  <c:v>0</c:v>
                </c:pt>
                <c:pt idx="702">
                  <c:v>0</c:v>
                </c:pt>
                <c:pt idx="703">
                  <c:v>0</c:v>
                </c:pt>
                <c:pt idx="704">
                  <c:v>0</c:v>
                </c:pt>
                <c:pt idx="705">
                  <c:v>0</c:v>
                </c:pt>
                <c:pt idx="706">
                  <c:v>0</c:v>
                </c:pt>
                <c:pt idx="707">
                  <c:v>0</c:v>
                </c:pt>
                <c:pt idx="708">
                  <c:v>0</c:v>
                </c:pt>
                <c:pt idx="709">
                  <c:v>0</c:v>
                </c:pt>
                <c:pt idx="710">
                  <c:v>0</c:v>
                </c:pt>
                <c:pt idx="711">
                  <c:v>0</c:v>
                </c:pt>
                <c:pt idx="712">
                  <c:v>0</c:v>
                </c:pt>
                <c:pt idx="713">
                  <c:v>0</c:v>
                </c:pt>
                <c:pt idx="714">
                  <c:v>0</c:v>
                </c:pt>
                <c:pt idx="715">
                  <c:v>0</c:v>
                </c:pt>
                <c:pt idx="716">
                  <c:v>0</c:v>
                </c:pt>
                <c:pt idx="717">
                  <c:v>0</c:v>
                </c:pt>
                <c:pt idx="718">
                  <c:v>0</c:v>
                </c:pt>
                <c:pt idx="719">
                  <c:v>0</c:v>
                </c:pt>
                <c:pt idx="720">
                  <c:v>0</c:v>
                </c:pt>
                <c:pt idx="721">
                  <c:v>0</c:v>
                </c:pt>
                <c:pt idx="722">
                  <c:v>0</c:v>
                </c:pt>
                <c:pt idx="723">
                  <c:v>0</c:v>
                </c:pt>
                <c:pt idx="724">
                  <c:v>0</c:v>
                </c:pt>
                <c:pt idx="725">
                  <c:v>0</c:v>
                </c:pt>
                <c:pt idx="726">
                  <c:v>0</c:v>
                </c:pt>
                <c:pt idx="727">
                  <c:v>0</c:v>
                </c:pt>
                <c:pt idx="728">
                  <c:v>0</c:v>
                </c:pt>
                <c:pt idx="729">
                  <c:v>0</c:v>
                </c:pt>
                <c:pt idx="730">
                  <c:v>0</c:v>
                </c:pt>
                <c:pt idx="731">
                  <c:v>0</c:v>
                </c:pt>
                <c:pt idx="732">
                  <c:v>0</c:v>
                </c:pt>
                <c:pt idx="733">
                  <c:v>0</c:v>
                </c:pt>
                <c:pt idx="734">
                  <c:v>0</c:v>
                </c:pt>
                <c:pt idx="735">
                  <c:v>0</c:v>
                </c:pt>
                <c:pt idx="736">
                  <c:v>0</c:v>
                </c:pt>
                <c:pt idx="737">
                  <c:v>0</c:v>
                </c:pt>
                <c:pt idx="738">
                  <c:v>0</c:v>
                </c:pt>
                <c:pt idx="739">
                  <c:v>0</c:v>
                </c:pt>
                <c:pt idx="740">
                  <c:v>0</c:v>
                </c:pt>
                <c:pt idx="741">
                  <c:v>0</c:v>
                </c:pt>
                <c:pt idx="742">
                  <c:v>0</c:v>
                </c:pt>
                <c:pt idx="743">
                  <c:v>0</c:v>
                </c:pt>
                <c:pt idx="744">
                  <c:v>0</c:v>
                </c:pt>
                <c:pt idx="745">
                  <c:v>0</c:v>
                </c:pt>
                <c:pt idx="746">
                  <c:v>0</c:v>
                </c:pt>
                <c:pt idx="747">
                  <c:v>0</c:v>
                </c:pt>
                <c:pt idx="748">
                  <c:v>0</c:v>
                </c:pt>
                <c:pt idx="749">
                  <c:v>0</c:v>
                </c:pt>
                <c:pt idx="750">
                  <c:v>0</c:v>
                </c:pt>
                <c:pt idx="751">
                  <c:v>0</c:v>
                </c:pt>
                <c:pt idx="752">
                  <c:v>0</c:v>
                </c:pt>
                <c:pt idx="753">
                  <c:v>0</c:v>
                </c:pt>
                <c:pt idx="754">
                  <c:v>0</c:v>
                </c:pt>
                <c:pt idx="755">
                  <c:v>0</c:v>
                </c:pt>
                <c:pt idx="756">
                  <c:v>0</c:v>
                </c:pt>
                <c:pt idx="757">
                  <c:v>0</c:v>
                </c:pt>
                <c:pt idx="758">
                  <c:v>0</c:v>
                </c:pt>
                <c:pt idx="759">
                  <c:v>0</c:v>
                </c:pt>
                <c:pt idx="760">
                  <c:v>0</c:v>
                </c:pt>
                <c:pt idx="761">
                  <c:v>0</c:v>
                </c:pt>
                <c:pt idx="762">
                  <c:v>0</c:v>
                </c:pt>
                <c:pt idx="763">
                  <c:v>0</c:v>
                </c:pt>
                <c:pt idx="764">
                  <c:v>0</c:v>
                </c:pt>
                <c:pt idx="765">
                  <c:v>0</c:v>
                </c:pt>
                <c:pt idx="766">
                  <c:v>0</c:v>
                </c:pt>
                <c:pt idx="767">
                  <c:v>0</c:v>
                </c:pt>
                <c:pt idx="768">
                  <c:v>0</c:v>
                </c:pt>
                <c:pt idx="769">
                  <c:v>0</c:v>
                </c:pt>
                <c:pt idx="770">
                  <c:v>0</c:v>
                </c:pt>
                <c:pt idx="771">
                  <c:v>0</c:v>
                </c:pt>
                <c:pt idx="772">
                  <c:v>0</c:v>
                </c:pt>
                <c:pt idx="773">
                  <c:v>0</c:v>
                </c:pt>
                <c:pt idx="774">
                  <c:v>0</c:v>
                </c:pt>
                <c:pt idx="775">
                  <c:v>0</c:v>
                </c:pt>
                <c:pt idx="776">
                  <c:v>0</c:v>
                </c:pt>
                <c:pt idx="777">
                  <c:v>0</c:v>
                </c:pt>
                <c:pt idx="778">
                  <c:v>0</c:v>
                </c:pt>
                <c:pt idx="779">
                  <c:v>0</c:v>
                </c:pt>
                <c:pt idx="780">
                  <c:v>0</c:v>
                </c:pt>
                <c:pt idx="781">
                  <c:v>0</c:v>
                </c:pt>
                <c:pt idx="782">
                  <c:v>0</c:v>
                </c:pt>
                <c:pt idx="783">
                  <c:v>0</c:v>
                </c:pt>
                <c:pt idx="784">
                  <c:v>0</c:v>
                </c:pt>
                <c:pt idx="785">
                  <c:v>0</c:v>
                </c:pt>
                <c:pt idx="786">
                  <c:v>0</c:v>
                </c:pt>
                <c:pt idx="787">
                  <c:v>0</c:v>
                </c:pt>
                <c:pt idx="788">
                  <c:v>0</c:v>
                </c:pt>
                <c:pt idx="789">
                  <c:v>0</c:v>
                </c:pt>
                <c:pt idx="790">
                  <c:v>0</c:v>
                </c:pt>
                <c:pt idx="791">
                  <c:v>0</c:v>
                </c:pt>
                <c:pt idx="792">
                  <c:v>0</c:v>
                </c:pt>
                <c:pt idx="793">
                  <c:v>0</c:v>
                </c:pt>
                <c:pt idx="794">
                  <c:v>0</c:v>
                </c:pt>
                <c:pt idx="795">
                  <c:v>0</c:v>
                </c:pt>
                <c:pt idx="796">
                  <c:v>0</c:v>
                </c:pt>
                <c:pt idx="797">
                  <c:v>0</c:v>
                </c:pt>
                <c:pt idx="798">
                  <c:v>0</c:v>
                </c:pt>
                <c:pt idx="799">
                  <c:v>0</c:v>
                </c:pt>
                <c:pt idx="800">
                  <c:v>0</c:v>
                </c:pt>
                <c:pt idx="801">
                  <c:v>0</c:v>
                </c:pt>
                <c:pt idx="802">
                  <c:v>0</c:v>
                </c:pt>
                <c:pt idx="803">
                  <c:v>0</c:v>
                </c:pt>
                <c:pt idx="804">
                  <c:v>0</c:v>
                </c:pt>
                <c:pt idx="805">
                  <c:v>0</c:v>
                </c:pt>
                <c:pt idx="806">
                  <c:v>0</c:v>
                </c:pt>
                <c:pt idx="807">
                  <c:v>0</c:v>
                </c:pt>
                <c:pt idx="808">
                  <c:v>0</c:v>
                </c:pt>
                <c:pt idx="809">
                  <c:v>0</c:v>
                </c:pt>
                <c:pt idx="810">
                  <c:v>0</c:v>
                </c:pt>
                <c:pt idx="811">
                  <c:v>0</c:v>
                </c:pt>
                <c:pt idx="812">
                  <c:v>0</c:v>
                </c:pt>
                <c:pt idx="813">
                  <c:v>0</c:v>
                </c:pt>
                <c:pt idx="814">
                  <c:v>0</c:v>
                </c:pt>
                <c:pt idx="815">
                  <c:v>0</c:v>
                </c:pt>
                <c:pt idx="816">
                  <c:v>0</c:v>
                </c:pt>
                <c:pt idx="817">
                  <c:v>0</c:v>
                </c:pt>
                <c:pt idx="818">
                  <c:v>0</c:v>
                </c:pt>
                <c:pt idx="819">
                  <c:v>0</c:v>
                </c:pt>
                <c:pt idx="820">
                  <c:v>0</c:v>
                </c:pt>
                <c:pt idx="821">
                  <c:v>0</c:v>
                </c:pt>
                <c:pt idx="822">
                  <c:v>0</c:v>
                </c:pt>
                <c:pt idx="823">
                  <c:v>0</c:v>
                </c:pt>
                <c:pt idx="824">
                  <c:v>0</c:v>
                </c:pt>
                <c:pt idx="825">
                  <c:v>0</c:v>
                </c:pt>
                <c:pt idx="826">
                  <c:v>0</c:v>
                </c:pt>
                <c:pt idx="827">
                  <c:v>0</c:v>
                </c:pt>
                <c:pt idx="828">
                  <c:v>0</c:v>
                </c:pt>
                <c:pt idx="829">
                  <c:v>0</c:v>
                </c:pt>
                <c:pt idx="830">
                  <c:v>0</c:v>
                </c:pt>
                <c:pt idx="831">
                  <c:v>0</c:v>
                </c:pt>
                <c:pt idx="832">
                  <c:v>0</c:v>
                </c:pt>
                <c:pt idx="833">
                  <c:v>0</c:v>
                </c:pt>
                <c:pt idx="834">
                  <c:v>0</c:v>
                </c:pt>
                <c:pt idx="835">
                  <c:v>0</c:v>
                </c:pt>
                <c:pt idx="836">
                  <c:v>0</c:v>
                </c:pt>
                <c:pt idx="837">
                  <c:v>0</c:v>
                </c:pt>
                <c:pt idx="838">
                  <c:v>0</c:v>
                </c:pt>
                <c:pt idx="839">
                  <c:v>0</c:v>
                </c:pt>
                <c:pt idx="840">
                  <c:v>0</c:v>
                </c:pt>
                <c:pt idx="841">
                  <c:v>0</c:v>
                </c:pt>
                <c:pt idx="842">
                  <c:v>0</c:v>
                </c:pt>
                <c:pt idx="843">
                  <c:v>0</c:v>
                </c:pt>
                <c:pt idx="844">
                  <c:v>0</c:v>
                </c:pt>
                <c:pt idx="845">
                  <c:v>0</c:v>
                </c:pt>
                <c:pt idx="846">
                  <c:v>0</c:v>
                </c:pt>
                <c:pt idx="847">
                  <c:v>0</c:v>
                </c:pt>
                <c:pt idx="848">
                  <c:v>0</c:v>
                </c:pt>
                <c:pt idx="849">
                  <c:v>0</c:v>
                </c:pt>
                <c:pt idx="850">
                  <c:v>0</c:v>
                </c:pt>
                <c:pt idx="851">
                  <c:v>0</c:v>
                </c:pt>
                <c:pt idx="852">
                  <c:v>0</c:v>
                </c:pt>
                <c:pt idx="853">
                  <c:v>0</c:v>
                </c:pt>
                <c:pt idx="854">
                  <c:v>0</c:v>
                </c:pt>
                <c:pt idx="855">
                  <c:v>0</c:v>
                </c:pt>
                <c:pt idx="856">
                  <c:v>0</c:v>
                </c:pt>
                <c:pt idx="857">
                  <c:v>0</c:v>
                </c:pt>
                <c:pt idx="858">
                  <c:v>0</c:v>
                </c:pt>
                <c:pt idx="859">
                  <c:v>0</c:v>
                </c:pt>
                <c:pt idx="860">
                  <c:v>0</c:v>
                </c:pt>
                <c:pt idx="861">
                  <c:v>0</c:v>
                </c:pt>
                <c:pt idx="862">
                  <c:v>0</c:v>
                </c:pt>
                <c:pt idx="863">
                  <c:v>0</c:v>
                </c:pt>
                <c:pt idx="864">
                  <c:v>0</c:v>
                </c:pt>
                <c:pt idx="865">
                  <c:v>0</c:v>
                </c:pt>
                <c:pt idx="866">
                  <c:v>0</c:v>
                </c:pt>
                <c:pt idx="867">
                  <c:v>0</c:v>
                </c:pt>
                <c:pt idx="868">
                  <c:v>0</c:v>
                </c:pt>
                <c:pt idx="869">
                  <c:v>0</c:v>
                </c:pt>
                <c:pt idx="870">
                  <c:v>0</c:v>
                </c:pt>
                <c:pt idx="871">
                  <c:v>0</c:v>
                </c:pt>
                <c:pt idx="872">
                  <c:v>0</c:v>
                </c:pt>
                <c:pt idx="873">
                  <c:v>0</c:v>
                </c:pt>
                <c:pt idx="874">
                  <c:v>0</c:v>
                </c:pt>
                <c:pt idx="875">
                  <c:v>0</c:v>
                </c:pt>
                <c:pt idx="876">
                  <c:v>0</c:v>
                </c:pt>
                <c:pt idx="877">
                  <c:v>0</c:v>
                </c:pt>
                <c:pt idx="878">
                  <c:v>0</c:v>
                </c:pt>
                <c:pt idx="879">
                  <c:v>0</c:v>
                </c:pt>
                <c:pt idx="880">
                  <c:v>0</c:v>
                </c:pt>
                <c:pt idx="881">
                  <c:v>0</c:v>
                </c:pt>
                <c:pt idx="882">
                  <c:v>0</c:v>
                </c:pt>
                <c:pt idx="883">
                  <c:v>0</c:v>
                </c:pt>
                <c:pt idx="884">
                  <c:v>0</c:v>
                </c:pt>
                <c:pt idx="885">
                  <c:v>0</c:v>
                </c:pt>
                <c:pt idx="886">
                  <c:v>0</c:v>
                </c:pt>
                <c:pt idx="887">
                  <c:v>0</c:v>
                </c:pt>
                <c:pt idx="888">
                  <c:v>0</c:v>
                </c:pt>
                <c:pt idx="889">
                  <c:v>0</c:v>
                </c:pt>
                <c:pt idx="890">
                  <c:v>0</c:v>
                </c:pt>
                <c:pt idx="891">
                  <c:v>0</c:v>
                </c:pt>
                <c:pt idx="892">
                  <c:v>0</c:v>
                </c:pt>
                <c:pt idx="893">
                  <c:v>0</c:v>
                </c:pt>
                <c:pt idx="894">
                  <c:v>0</c:v>
                </c:pt>
                <c:pt idx="895">
                  <c:v>0</c:v>
                </c:pt>
                <c:pt idx="896">
                  <c:v>0</c:v>
                </c:pt>
                <c:pt idx="897">
                  <c:v>0</c:v>
                </c:pt>
                <c:pt idx="898">
                  <c:v>0</c:v>
                </c:pt>
                <c:pt idx="899">
                  <c:v>0</c:v>
                </c:pt>
                <c:pt idx="900">
                  <c:v>0</c:v>
                </c:pt>
                <c:pt idx="901">
                  <c:v>0</c:v>
                </c:pt>
                <c:pt idx="902">
                  <c:v>0</c:v>
                </c:pt>
                <c:pt idx="903">
                  <c:v>0</c:v>
                </c:pt>
                <c:pt idx="904">
                  <c:v>0</c:v>
                </c:pt>
                <c:pt idx="905">
                  <c:v>0</c:v>
                </c:pt>
                <c:pt idx="906">
                  <c:v>0</c:v>
                </c:pt>
                <c:pt idx="907">
                  <c:v>0</c:v>
                </c:pt>
                <c:pt idx="908">
                  <c:v>0</c:v>
                </c:pt>
                <c:pt idx="909">
                  <c:v>0</c:v>
                </c:pt>
                <c:pt idx="910">
                  <c:v>0</c:v>
                </c:pt>
                <c:pt idx="911">
                  <c:v>0</c:v>
                </c:pt>
                <c:pt idx="912">
                  <c:v>0</c:v>
                </c:pt>
                <c:pt idx="913">
                  <c:v>0</c:v>
                </c:pt>
                <c:pt idx="914">
                  <c:v>0</c:v>
                </c:pt>
                <c:pt idx="915">
                  <c:v>0</c:v>
                </c:pt>
                <c:pt idx="916">
                  <c:v>0</c:v>
                </c:pt>
                <c:pt idx="917">
                  <c:v>0</c:v>
                </c:pt>
                <c:pt idx="918">
                  <c:v>0</c:v>
                </c:pt>
                <c:pt idx="919">
                  <c:v>0</c:v>
                </c:pt>
                <c:pt idx="920">
                  <c:v>0</c:v>
                </c:pt>
                <c:pt idx="921">
                  <c:v>0</c:v>
                </c:pt>
                <c:pt idx="922">
                  <c:v>0</c:v>
                </c:pt>
                <c:pt idx="923">
                  <c:v>0</c:v>
                </c:pt>
                <c:pt idx="924">
                  <c:v>0</c:v>
                </c:pt>
                <c:pt idx="925">
                  <c:v>0</c:v>
                </c:pt>
                <c:pt idx="926">
                  <c:v>0</c:v>
                </c:pt>
                <c:pt idx="927">
                  <c:v>0</c:v>
                </c:pt>
                <c:pt idx="928">
                  <c:v>0</c:v>
                </c:pt>
                <c:pt idx="929">
                  <c:v>0</c:v>
                </c:pt>
                <c:pt idx="930">
                  <c:v>0</c:v>
                </c:pt>
                <c:pt idx="931">
                  <c:v>0</c:v>
                </c:pt>
                <c:pt idx="932">
                  <c:v>0</c:v>
                </c:pt>
                <c:pt idx="933">
                  <c:v>0</c:v>
                </c:pt>
                <c:pt idx="934">
                  <c:v>0</c:v>
                </c:pt>
                <c:pt idx="935">
                  <c:v>0</c:v>
                </c:pt>
                <c:pt idx="936">
                  <c:v>0</c:v>
                </c:pt>
                <c:pt idx="937">
                  <c:v>0</c:v>
                </c:pt>
                <c:pt idx="938">
                  <c:v>0</c:v>
                </c:pt>
                <c:pt idx="939">
                  <c:v>0</c:v>
                </c:pt>
                <c:pt idx="940">
                  <c:v>0</c:v>
                </c:pt>
                <c:pt idx="941">
                  <c:v>0</c:v>
                </c:pt>
                <c:pt idx="942">
                  <c:v>0</c:v>
                </c:pt>
                <c:pt idx="943">
                  <c:v>0</c:v>
                </c:pt>
                <c:pt idx="944">
                  <c:v>0</c:v>
                </c:pt>
                <c:pt idx="945">
                  <c:v>0</c:v>
                </c:pt>
                <c:pt idx="946">
                  <c:v>0</c:v>
                </c:pt>
                <c:pt idx="947">
                  <c:v>0</c:v>
                </c:pt>
                <c:pt idx="948">
                  <c:v>0</c:v>
                </c:pt>
                <c:pt idx="949">
                  <c:v>0</c:v>
                </c:pt>
                <c:pt idx="950">
                  <c:v>0</c:v>
                </c:pt>
                <c:pt idx="951">
                  <c:v>0</c:v>
                </c:pt>
                <c:pt idx="952">
                  <c:v>0</c:v>
                </c:pt>
                <c:pt idx="953">
                  <c:v>0</c:v>
                </c:pt>
                <c:pt idx="954">
                  <c:v>0</c:v>
                </c:pt>
                <c:pt idx="955">
                  <c:v>0</c:v>
                </c:pt>
                <c:pt idx="956">
                  <c:v>0</c:v>
                </c:pt>
                <c:pt idx="957">
                  <c:v>0</c:v>
                </c:pt>
                <c:pt idx="958">
                  <c:v>0</c:v>
                </c:pt>
                <c:pt idx="959">
                  <c:v>0</c:v>
                </c:pt>
                <c:pt idx="960">
                  <c:v>0</c:v>
                </c:pt>
                <c:pt idx="961">
                  <c:v>0</c:v>
                </c:pt>
                <c:pt idx="962">
                  <c:v>0</c:v>
                </c:pt>
                <c:pt idx="963">
                  <c:v>0</c:v>
                </c:pt>
                <c:pt idx="964">
                  <c:v>0</c:v>
                </c:pt>
                <c:pt idx="965">
                  <c:v>0</c:v>
                </c:pt>
                <c:pt idx="966">
                  <c:v>0</c:v>
                </c:pt>
                <c:pt idx="967">
                  <c:v>0</c:v>
                </c:pt>
                <c:pt idx="968">
                  <c:v>0</c:v>
                </c:pt>
                <c:pt idx="969">
                  <c:v>0</c:v>
                </c:pt>
                <c:pt idx="970">
                  <c:v>0</c:v>
                </c:pt>
                <c:pt idx="971">
                  <c:v>0</c:v>
                </c:pt>
                <c:pt idx="972">
                  <c:v>0</c:v>
                </c:pt>
                <c:pt idx="973">
                  <c:v>0</c:v>
                </c:pt>
                <c:pt idx="974">
                  <c:v>0</c:v>
                </c:pt>
                <c:pt idx="975">
                  <c:v>0</c:v>
                </c:pt>
                <c:pt idx="976">
                  <c:v>0</c:v>
                </c:pt>
                <c:pt idx="977">
                  <c:v>0</c:v>
                </c:pt>
                <c:pt idx="978">
                  <c:v>0</c:v>
                </c:pt>
                <c:pt idx="979">
                  <c:v>0</c:v>
                </c:pt>
                <c:pt idx="980">
                  <c:v>0</c:v>
                </c:pt>
                <c:pt idx="981">
                  <c:v>0</c:v>
                </c:pt>
                <c:pt idx="982">
                  <c:v>0</c:v>
                </c:pt>
                <c:pt idx="983">
                  <c:v>0</c:v>
                </c:pt>
                <c:pt idx="984">
                  <c:v>0</c:v>
                </c:pt>
                <c:pt idx="985">
                  <c:v>0</c:v>
                </c:pt>
                <c:pt idx="986">
                  <c:v>0</c:v>
                </c:pt>
                <c:pt idx="987">
                  <c:v>0</c:v>
                </c:pt>
                <c:pt idx="988">
                  <c:v>0</c:v>
                </c:pt>
                <c:pt idx="989">
                  <c:v>0</c:v>
                </c:pt>
                <c:pt idx="990">
                  <c:v>0</c:v>
                </c:pt>
                <c:pt idx="991">
                  <c:v>0</c:v>
                </c:pt>
                <c:pt idx="992">
                  <c:v>0</c:v>
                </c:pt>
                <c:pt idx="993">
                  <c:v>0</c:v>
                </c:pt>
                <c:pt idx="994">
                  <c:v>0</c:v>
                </c:pt>
                <c:pt idx="995">
                  <c:v>0</c:v>
                </c:pt>
                <c:pt idx="996">
                  <c:v>0</c:v>
                </c:pt>
                <c:pt idx="997">
                  <c:v>0</c:v>
                </c:pt>
                <c:pt idx="998">
                  <c:v>0</c:v>
                </c:pt>
                <c:pt idx="999">
                  <c:v>0</c:v>
                </c:pt>
              </c:numCache>
            </c:numRef>
          </c:val>
          <c:smooth val="0"/>
          <c:extLst>
            <c:ext xmlns:c16="http://schemas.microsoft.com/office/drawing/2014/chart" uri="{C3380CC4-5D6E-409C-BE32-E72D297353CC}">
              <c16:uniqueId val="{00000002-06FB-4C4B-9051-351F6A2E228A}"/>
            </c:ext>
          </c:extLst>
        </c:ser>
        <c:dLbls>
          <c:showLegendKey val="0"/>
          <c:showVal val="0"/>
          <c:showCatName val="0"/>
          <c:showSerName val="0"/>
          <c:showPercent val="0"/>
          <c:showBubbleSize val="0"/>
        </c:dLbls>
        <c:smooth val="0"/>
        <c:axId val="1215436848"/>
        <c:axId val="1215433648"/>
      </c:lineChart>
      <c:catAx>
        <c:axId val="1215436848"/>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sz="1200">
                    <a:latin typeface="Franklin Gothic Book" panose="020B0503020102020204" pitchFamily="34" charset="0"/>
                  </a:rPr>
                  <a:t>Trekning</a:t>
                </a:r>
                <a:endParaRPr lang="en-US">
                  <a:latin typeface="Franklin Gothic Book" panose="020B0503020102020204" pitchFamily="34" charset="0"/>
                </a:endParaRP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0"/>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Franklin Gothic Book" panose="020B0503020102020204" pitchFamily="34" charset="0"/>
                <a:ea typeface="+mn-ea"/>
                <a:cs typeface="+mn-cs"/>
              </a:defRPr>
            </a:pPr>
            <a:endParaRPr lang="nb-NO"/>
          </a:p>
        </c:txPr>
        <c:crossAx val="1215433648"/>
        <c:crosses val="autoZero"/>
        <c:auto val="1"/>
        <c:lblAlgn val="ctr"/>
        <c:lblOffset val="100"/>
        <c:noMultiLvlLbl val="0"/>
      </c:catAx>
      <c:valAx>
        <c:axId val="1215433648"/>
        <c:scaling>
          <c:orientation val="minMax"/>
        </c:scaling>
        <c:delete val="0"/>
        <c:axPos val="l"/>
        <c:majorGridlines>
          <c:spPr>
            <a:ln w="9525" cap="flat" cmpd="sng" algn="ctr">
              <a:solidFill>
                <a:schemeClr val="tx1">
                  <a:lumMod val="15000"/>
                  <a:lumOff val="85000"/>
                </a:schemeClr>
              </a:solidFill>
              <a:round/>
            </a:ln>
            <a:effectLst/>
          </c:spPr>
        </c:majorGridlines>
        <c:title>
          <c:tx>
            <c:strRef>
              <c:f>'4.2.2 Monte Carlo-simulering'!$AB$18</c:f>
              <c:strCache>
                <c:ptCount val="1"/>
                <c:pt idx="0">
                  <c:v>Mill kr</c:v>
                </c:pt>
              </c:strCache>
            </c:strRef>
          </c:tx>
          <c:overlay val="0"/>
          <c:spPr>
            <a:noFill/>
            <a:ln>
              <a:noFill/>
            </a:ln>
            <a:effectLst/>
          </c:spPr>
          <c:txPr>
            <a:bodyPr rot="-5400000" spcFirstLastPara="1" vertOverflow="ellipsis" vert="horz" wrap="square" anchor="ctr" anchorCtr="1"/>
            <a:lstStyle/>
            <a:p>
              <a:pPr>
                <a:defRPr sz="1100" b="0" i="0" u="none" strike="noStrike" kern="1200" baseline="0">
                  <a:solidFill>
                    <a:schemeClr val="tx1">
                      <a:lumMod val="65000"/>
                      <a:lumOff val="35000"/>
                    </a:schemeClr>
                  </a:solidFill>
                  <a:latin typeface="Franklin Gothic Book" panose="020B0503020102020204" pitchFamily="34" charset="0"/>
                  <a:ea typeface="+mn-ea"/>
                  <a:cs typeface="+mn-cs"/>
                </a:defRPr>
              </a:pPr>
              <a:endParaRPr lang="nb-N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Franklin Gothic Book" panose="020B0503020102020204" pitchFamily="34" charset="0"/>
                <a:ea typeface="+mn-ea"/>
                <a:cs typeface="+mn-cs"/>
              </a:defRPr>
            </a:pPr>
            <a:endParaRPr lang="nb-NO"/>
          </a:p>
        </c:txPr>
        <c:crossAx val="1215436848"/>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noFill/>
      <a:round/>
    </a:ln>
    <a:effectLst/>
  </c:spPr>
  <c:txPr>
    <a:bodyPr/>
    <a:lstStyle/>
    <a:p>
      <a:pPr>
        <a:defRPr/>
      </a:pPr>
      <a:endParaRPr lang="nb-NO"/>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b-NO"/>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[0]!MonteCarlo_Figur_Input_Valgt</c:f>
          <c:strCache>
            <c:ptCount val="1"/>
            <c:pt idx="0">
              <c:v>-Velg-</c:v>
            </c:pt>
          </c:strCache>
        </c:strRef>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Franklin Gothic Book" panose="020B0503020102020204" pitchFamily="34" charset="0"/>
              <a:ea typeface="+mn-ea"/>
              <a:cs typeface="+mn-cs"/>
            </a:defRPr>
          </a:pPr>
          <a:endParaRPr lang="nb-NO"/>
        </a:p>
      </c:txPr>
    </c:title>
    <c:autoTitleDeleted val="0"/>
    <c:plotArea>
      <c:layout/>
      <c:scatterChart>
        <c:scatterStyle val="lineMarker"/>
        <c:varyColors val="0"/>
        <c:ser>
          <c:idx val="0"/>
          <c:order val="0"/>
          <c:spPr>
            <a:ln w="28575" cap="rnd">
              <a:solidFill>
                <a:schemeClr val="accent1"/>
              </a:solidFill>
              <a:round/>
            </a:ln>
            <a:effectLst/>
          </c:spPr>
          <c:marker>
            <c:symbol val="circle"/>
            <c:size val="5"/>
            <c:spPr>
              <a:noFill/>
              <a:ln w="9525">
                <a:noFill/>
              </a:ln>
              <a:effectLst/>
            </c:spPr>
          </c:marker>
          <c:xVal>
            <c:numRef>
              <c:f>[0]!MonteCarlo_Figur_Input_SerieX</c:f>
              <c:numCache>
                <c:formatCode>General</c:formatCode>
                <c:ptCount val="117"/>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numCache>
            </c:numRef>
          </c:xVal>
          <c:yVal>
            <c:numRef>
              <c:f>[0]!MonteCarlo_Figur_Input_SerieY</c:f>
              <c:numCache>
                <c:formatCode>General</c:formatCode>
                <c:ptCount val="117"/>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numCache>
            </c:numRef>
          </c:yVal>
          <c:smooth val="0"/>
          <c:extLst>
            <c:ext xmlns:c16="http://schemas.microsoft.com/office/drawing/2014/chart" uri="{C3380CC4-5D6E-409C-BE32-E72D297353CC}">
              <c16:uniqueId val="{00000000-FDED-43FA-856E-A5E0584A086D}"/>
            </c:ext>
          </c:extLst>
        </c:ser>
        <c:dLbls>
          <c:showLegendKey val="0"/>
          <c:showVal val="0"/>
          <c:showCatName val="0"/>
          <c:showSerName val="0"/>
          <c:showPercent val="0"/>
          <c:showBubbleSize val="0"/>
        </c:dLbls>
        <c:axId val="772030960"/>
        <c:axId val="772029680"/>
      </c:scatterChart>
      <c:valAx>
        <c:axId val="772030960"/>
        <c:scaling>
          <c:orientation val="minMax"/>
        </c:scaling>
        <c:delete val="0"/>
        <c:axPos val="b"/>
        <c:majorGridlines>
          <c:spPr>
            <a:ln w="9525" cap="flat" cmpd="sng" algn="ctr">
              <a:solidFill>
                <a:schemeClr val="tx1">
                  <a:lumMod val="15000"/>
                  <a:lumOff val="85000"/>
                </a:schemeClr>
              </a:solidFill>
              <a:round/>
            </a:ln>
            <a:effectLst/>
          </c:spPr>
        </c:majorGridlines>
        <c:title>
          <c:tx>
            <c:strRef>
              <c:f>[0]!MonteCarlo_Figur_Benevning</c:f>
              <c:strCache>
                <c:ptCount val="1"/>
              </c:strCache>
            </c:strRef>
          </c:tx>
          <c:overlay val="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Franklin Gothic Book" panose="020B0503020102020204" pitchFamily="34" charset="0"/>
                  <a:ea typeface="+mn-ea"/>
                  <a:cs typeface="+mn-cs"/>
                </a:defRPr>
              </a:pPr>
              <a:endParaRPr lang="nb-NO"/>
            </a:p>
          </c:txPr>
        </c:title>
        <c:numFmt formatCode="General"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1400" b="0" i="0" u="none" strike="noStrike" kern="1200" baseline="0">
                <a:solidFill>
                  <a:schemeClr val="tx1">
                    <a:lumMod val="65000"/>
                    <a:lumOff val="35000"/>
                  </a:schemeClr>
                </a:solidFill>
                <a:latin typeface="Franklin Gothic Book" panose="020B0503020102020204" pitchFamily="34" charset="0"/>
                <a:ea typeface="+mn-ea"/>
                <a:cs typeface="+mn-cs"/>
              </a:defRPr>
            </a:pPr>
            <a:endParaRPr lang="nb-NO"/>
          </a:p>
        </c:txPr>
        <c:crossAx val="772029680"/>
        <c:crosses val="autoZero"/>
        <c:crossBetween val="midCat"/>
      </c:valAx>
      <c:valAx>
        <c:axId val="77202968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1400" b="0" i="0" u="none" strike="noStrike" kern="1200" baseline="0">
                <a:solidFill>
                  <a:schemeClr val="tx1">
                    <a:lumMod val="65000"/>
                    <a:lumOff val="35000"/>
                  </a:schemeClr>
                </a:solidFill>
                <a:latin typeface="Franklin Gothic Book" panose="020B0503020102020204" pitchFamily="34" charset="0"/>
                <a:ea typeface="+mn-ea"/>
                <a:cs typeface="+mn-cs"/>
              </a:defRPr>
            </a:pPr>
            <a:endParaRPr lang="nb-NO"/>
          </a:p>
        </c:txPr>
        <c:crossAx val="772030960"/>
        <c:crossesAt val="0"/>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noFill/>
      <a:round/>
    </a:ln>
    <a:effectLst/>
  </c:spPr>
  <c:txPr>
    <a:bodyPr/>
    <a:lstStyle/>
    <a:p>
      <a:pPr>
        <a:defRPr/>
      </a:pPr>
      <a:endParaRPr lang="nb-NO"/>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b-NO"/>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'4.3.1 Data_Tverrsnittfigurer'!$B$5</c:f>
          <c:strCache>
            <c:ptCount val="1"/>
            <c:pt idx="0">
              <c:v>Nåverdi av hovedstørrelser og netto nåverdi, mill. -kroner</c:v>
            </c:pt>
          </c:strCache>
        </c:strRef>
      </c:tx>
      <c:overlay val="0"/>
      <c:txPr>
        <a:bodyPr/>
        <a:lstStyle/>
        <a:p>
          <a:pPr>
            <a:defRPr sz="1600" b="0">
              <a:latin typeface="Franklin Gothic Book" panose="020B0503020102020204" pitchFamily="34" charset="0"/>
            </a:defRPr>
          </a:pPr>
          <a:endParaRPr lang="nb-NO"/>
        </a:p>
      </c:txPr>
    </c:title>
    <c:autoTitleDeleted val="0"/>
    <c:plotArea>
      <c:layout>
        <c:manualLayout>
          <c:layoutTarget val="inner"/>
          <c:xMode val="edge"/>
          <c:yMode val="edge"/>
          <c:x val="0.21452990740740741"/>
          <c:y val="0.12091587493691477"/>
          <c:w val="0.75596907407407399"/>
          <c:h val="0.77205862068965503"/>
        </c:manualLayout>
      </c:layout>
      <c:barChart>
        <c:barDir val="bar"/>
        <c:grouping val="stacked"/>
        <c:varyColors val="0"/>
        <c:ser>
          <c:idx val="0"/>
          <c:order val="0"/>
          <c:tx>
            <c:strRef>
              <c:f>'4.3.1 Data_Tverrsnittfigurer'!$E$6</c:f>
              <c:strCache>
                <c:ptCount val="1"/>
                <c:pt idx="0">
                  <c:v>Stolpe</c:v>
                </c:pt>
              </c:strCache>
            </c:strRef>
          </c:tx>
          <c:spPr>
            <a:solidFill>
              <a:schemeClr val="accent1"/>
            </a:solidFill>
          </c:spPr>
          <c:invertIfNegative val="0"/>
          <c:dPt>
            <c:idx val="0"/>
            <c:invertIfNegative val="0"/>
            <c:bubble3D val="0"/>
            <c:spPr>
              <a:solidFill>
                <a:schemeClr val="accent1"/>
              </a:solidFill>
              <a:ln>
                <a:solidFill>
                  <a:schemeClr val="tx1">
                    <a:tint val="75000"/>
                    <a:shade val="95000"/>
                    <a:satMod val="105000"/>
                    <a:alpha val="99000"/>
                  </a:schemeClr>
                </a:solidFill>
              </a:ln>
            </c:spPr>
            <c:extLst>
              <c:ext xmlns:c16="http://schemas.microsoft.com/office/drawing/2014/chart" uri="{C3380CC4-5D6E-409C-BE32-E72D297353CC}">
                <c16:uniqueId val="{00000001-C726-4479-AA8E-25CEA6FEF1D3}"/>
              </c:ext>
            </c:extLst>
          </c:dPt>
          <c:dPt>
            <c:idx val="6"/>
            <c:invertIfNegative val="0"/>
            <c:bubble3D val="0"/>
            <c:spPr>
              <a:solidFill>
                <a:srgbClr val="2E578B"/>
              </a:solidFill>
            </c:spPr>
            <c:extLst>
              <c:ext xmlns:c16="http://schemas.microsoft.com/office/drawing/2014/chart" uri="{C3380CC4-5D6E-409C-BE32-E72D297353CC}">
                <c16:uniqueId val="{00000003-C726-4479-AA8E-25CEA6FEF1D3}"/>
              </c:ext>
            </c:extLst>
          </c:dPt>
          <c:dLbls>
            <c:dLbl>
              <c:idx val="6"/>
              <c:numFmt formatCode="#,##0" sourceLinked="0"/>
              <c:spPr>
                <a:noFill/>
                <a:ln>
                  <a:noFill/>
                </a:ln>
                <a:effectLst/>
              </c:spPr>
              <c:txPr>
                <a:bodyPr wrap="square" lIns="38100" tIns="19050" rIns="38100" bIns="19050" anchor="ctr" anchorCtr="0">
                  <a:spAutoFit/>
                </a:bodyPr>
                <a:lstStyle/>
                <a:p>
                  <a:pPr algn="ctr">
                    <a:defRPr lang="en-US" sz="1200" b="0" i="0" u="none" strike="noStrike" kern="1200" baseline="0">
                      <a:solidFill>
                        <a:schemeClr val="bg1"/>
                      </a:solidFill>
                      <a:latin typeface="Franklin Gothic Book" panose="020B0503020102020204" pitchFamily="34" charset="0"/>
                      <a:ea typeface="+mn-ea"/>
                      <a:cs typeface="+mn-cs"/>
                    </a:defRPr>
                  </a:pPr>
                  <a:endParaRPr lang="nb-NO"/>
                </a:p>
              </c:txPr>
              <c:dLblPos val="ctr"/>
              <c:showLegendKey val="0"/>
              <c:showVal val="1"/>
              <c:showCatName val="0"/>
              <c:showSerName val="0"/>
              <c:showPercent val="0"/>
              <c:showBubbleSize val="0"/>
              <c:extLst>
                <c:ext xmlns:c16="http://schemas.microsoft.com/office/drawing/2014/chart" uri="{C3380CC4-5D6E-409C-BE32-E72D297353CC}">
                  <c16:uniqueId val="{00000003-C726-4479-AA8E-25CEA6FEF1D3}"/>
                </c:ext>
              </c:extLst>
            </c:dLbl>
            <c:numFmt formatCode="#,##0" sourceLinked="0"/>
            <c:spPr>
              <a:noFill/>
              <a:ln>
                <a:noFill/>
              </a:ln>
              <a:effectLst/>
            </c:spPr>
            <c:txPr>
              <a:bodyPr wrap="square" lIns="38100" tIns="19050" rIns="38100" bIns="19050" anchor="ctr" anchorCtr="0">
                <a:spAutoFit/>
              </a:bodyPr>
              <a:lstStyle/>
              <a:p>
                <a:pPr algn="ctr">
                  <a:defRPr lang="en-US" sz="1200" b="0" i="0" u="none" strike="noStrike" kern="1200" baseline="0">
                    <a:solidFill>
                      <a:schemeClr val="tx1"/>
                    </a:solidFill>
                    <a:latin typeface="Franklin Gothic Book" panose="020B0503020102020204" pitchFamily="34" charset="0"/>
                    <a:ea typeface="+mn-ea"/>
                    <a:cs typeface="+mn-cs"/>
                  </a:defRPr>
                </a:pPr>
                <a:endParaRPr lang="nb-N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'4.3.1 Data_Tverrsnittfigurer'!$A$7:$A$13</c:f>
              <c:strCache>
                <c:ptCount val="7"/>
                <c:pt idx="0">
                  <c:v>Endring for Trafikanter </c:v>
                </c:pt>
                <c:pt idx="1">
                  <c:v>Endring for Operatører</c:v>
                </c:pt>
                <c:pt idx="2">
                  <c:v>Endring for Det offentlige</c:v>
                </c:pt>
                <c:pt idx="3">
                  <c:v>Endring for Samfunnet for øvrig</c:v>
                </c:pt>
                <c:pt idx="4">
                  <c:v>Restverdi av tiltak</c:v>
                </c:pt>
                <c:pt idx="5">
                  <c:v>Endring i skattefinansiering</c:v>
                </c:pt>
                <c:pt idx="6">
                  <c:v>Netto nåverdi</c:v>
                </c:pt>
              </c:strCache>
            </c:strRef>
          </c:cat>
          <c:val>
            <c:numRef>
              <c:f>'4.3.1 Data_Tverrsnittfigurer'!$E$7:$E$13</c:f>
              <c:numCache>
                <c:formatCode>General</c:formatCode>
                <c:ptCount val="7"/>
                <c:pt idx="0">
                  <c:v>#N/A</c:v>
                </c:pt>
                <c:pt idx="1">
                  <c:v>#N/A</c:v>
                </c:pt>
                <c:pt idx="2">
                  <c:v>#N/A</c:v>
                </c:pt>
                <c:pt idx="3">
                  <c:v>#N/A</c:v>
                </c:pt>
                <c:pt idx="4">
                  <c:v>#N/A</c:v>
                </c:pt>
                <c:pt idx="5">
                  <c:v>#N/A</c:v>
                </c:pt>
                <c:pt idx="6">
                  <c:v>#N/A</c:v>
                </c:pt>
              </c:numCache>
            </c:numRef>
          </c:val>
          <c:extLst>
            <c:ext xmlns:c16="http://schemas.microsoft.com/office/drawing/2014/chart" uri="{C3380CC4-5D6E-409C-BE32-E72D297353CC}">
              <c16:uniqueId val="{00000004-C726-4479-AA8E-25CEA6FEF1D3}"/>
            </c:ext>
          </c:extLst>
        </c:ser>
        <c:ser>
          <c:idx val="1"/>
          <c:order val="1"/>
          <c:tx>
            <c:strRef>
              <c:f>'4.3.1 Data_Tverrsnittfigurer'!$J$6</c:f>
              <c:strCache>
                <c:ptCount val="1"/>
                <c:pt idx="0">
                  <c:v>Usynlig</c:v>
                </c:pt>
              </c:strCache>
            </c:strRef>
          </c:tx>
          <c:spPr>
            <a:noFill/>
            <a:ln>
              <a:noFill/>
            </a:ln>
          </c:spPr>
          <c:invertIfNegative val="0"/>
          <c:cat>
            <c:strRef>
              <c:f>'4.3.1 Data_Tverrsnittfigurer'!$A$7:$A$13</c:f>
              <c:strCache>
                <c:ptCount val="7"/>
                <c:pt idx="0">
                  <c:v>Endring for Trafikanter </c:v>
                </c:pt>
                <c:pt idx="1">
                  <c:v>Endring for Operatører</c:v>
                </c:pt>
                <c:pt idx="2">
                  <c:v>Endring for Det offentlige</c:v>
                </c:pt>
                <c:pt idx="3">
                  <c:v>Endring for Samfunnet for øvrig</c:v>
                </c:pt>
                <c:pt idx="4">
                  <c:v>Restverdi av tiltak</c:v>
                </c:pt>
                <c:pt idx="5">
                  <c:v>Endring i skattefinansiering</c:v>
                </c:pt>
                <c:pt idx="6">
                  <c:v>Netto nåverdi</c:v>
                </c:pt>
              </c:strCache>
            </c:strRef>
          </c:cat>
          <c:val>
            <c:numRef>
              <c:f>'4.3.1 Data_Tverrsnittfigurer'!$J$7:$J$13</c:f>
              <c:numCache>
                <c:formatCode>General</c:formatCode>
                <c:ptCount val="7"/>
                <c:pt idx="0">
                  <c:v>0</c:v>
                </c:pt>
                <c:pt idx="1">
                  <c:v>0</c:v>
                </c:pt>
                <c:pt idx="2">
                  <c:v>0</c:v>
                </c:pt>
                <c:pt idx="3">
                  <c:v>#N/A</c:v>
                </c:pt>
                <c:pt idx="4">
                  <c:v>#N/A</c:v>
                </c:pt>
                <c:pt idx="5">
                  <c:v>#N/A</c:v>
                </c:pt>
                <c:pt idx="6">
                  <c:v>#N/A</c:v>
                </c:pt>
              </c:numCache>
            </c:numRef>
          </c:val>
          <c:extLst>
            <c:ext xmlns:c16="http://schemas.microsoft.com/office/drawing/2014/chart" uri="{C3380CC4-5D6E-409C-BE32-E72D297353CC}">
              <c16:uniqueId val="{00000005-C726-4479-AA8E-25CEA6FEF1D3}"/>
            </c:ext>
          </c:extLst>
        </c:ser>
        <c:ser>
          <c:idx val="2"/>
          <c:order val="2"/>
          <c:tx>
            <c:strRef>
              <c:f>'4.3.1 Data_Tverrsnittfigurer'!$K$6</c:f>
              <c:strCache>
                <c:ptCount val="1"/>
                <c:pt idx="0">
                  <c:v>Etikett+</c:v>
                </c:pt>
              </c:strCache>
            </c:strRef>
          </c:tx>
          <c:spPr>
            <a:noFill/>
          </c:spPr>
          <c:invertIfNegative val="0"/>
          <c:dLbls>
            <c:numFmt formatCode="\+#,##0;\+#,##0" sourceLinked="0"/>
            <c:spPr>
              <a:noFill/>
              <a:ln>
                <a:noFill/>
              </a:ln>
              <a:effectLst/>
            </c:spPr>
            <c:txPr>
              <a:bodyPr wrap="square" lIns="38100" tIns="19050" rIns="38100" bIns="19050" anchor="ctr">
                <a:spAutoFit/>
              </a:bodyPr>
              <a:lstStyle/>
              <a:p>
                <a:pPr>
                  <a:defRPr sz="1200">
                    <a:latin typeface="Franklin Gothic Book" panose="020B0503020102020204" pitchFamily="34" charset="0"/>
                  </a:defRPr>
                </a:pPr>
                <a:endParaRPr lang="nb-NO"/>
              </a:p>
            </c:txPr>
            <c:dLblPos val="inBase"/>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'4.3.1 Data_Tverrsnittfigurer'!$A$7:$A$13</c:f>
              <c:strCache>
                <c:ptCount val="7"/>
                <c:pt idx="0">
                  <c:v>Endring for Trafikanter </c:v>
                </c:pt>
                <c:pt idx="1">
                  <c:v>Endring for Operatører</c:v>
                </c:pt>
                <c:pt idx="2">
                  <c:v>Endring for Det offentlige</c:v>
                </c:pt>
                <c:pt idx="3">
                  <c:v>Endring for Samfunnet for øvrig</c:v>
                </c:pt>
                <c:pt idx="4">
                  <c:v>Restverdi av tiltak</c:v>
                </c:pt>
                <c:pt idx="5">
                  <c:v>Endring i skattefinansiering</c:v>
                </c:pt>
                <c:pt idx="6">
                  <c:v>Netto nåverdi</c:v>
                </c:pt>
              </c:strCache>
            </c:strRef>
          </c:cat>
          <c:val>
            <c:numRef>
              <c:f>'4.3.1 Data_Tverrsnittfigurer'!$K$7:$K$13</c:f>
              <c:numCache>
                <c:formatCode>General</c:formatCode>
                <c:ptCount val="7"/>
                <c:pt idx="0">
                  <c:v>0</c:v>
                </c:pt>
                <c:pt idx="1">
                  <c:v>0</c:v>
                </c:pt>
                <c:pt idx="2">
                  <c:v>0</c:v>
                </c:pt>
                <c:pt idx="3">
                  <c:v>#N/A</c:v>
                </c:pt>
                <c:pt idx="4">
                  <c:v>#N/A</c:v>
                </c:pt>
                <c:pt idx="5">
                  <c:v>#N/A</c:v>
                </c:pt>
                <c:pt idx="6">
                  <c:v>#N/A</c:v>
                </c:pt>
              </c:numCache>
            </c:numRef>
          </c:val>
          <c:extLst>
            <c:ext xmlns:c16="http://schemas.microsoft.com/office/drawing/2014/chart" uri="{C3380CC4-5D6E-409C-BE32-E72D297353CC}">
              <c16:uniqueId val="{00000006-C726-4479-AA8E-25CEA6FEF1D3}"/>
            </c:ext>
          </c:extLst>
        </c:ser>
        <c:ser>
          <c:idx val="3"/>
          <c:order val="3"/>
          <c:tx>
            <c:strRef>
              <c:f>'4.3.1 Data_Tverrsnittfigurer'!$L$6</c:f>
              <c:strCache>
                <c:ptCount val="1"/>
                <c:pt idx="0">
                  <c:v>Etikett-</c:v>
                </c:pt>
              </c:strCache>
            </c:strRef>
          </c:tx>
          <c:spPr>
            <a:noFill/>
          </c:spPr>
          <c:invertIfNegative val="0"/>
          <c:dLbls>
            <c:numFmt formatCode="\-#,##0;\-#,##0" sourceLinked="0"/>
            <c:spPr>
              <a:noFill/>
              <a:ln>
                <a:noFill/>
              </a:ln>
              <a:effectLst/>
            </c:spPr>
            <c:txPr>
              <a:bodyPr wrap="square" lIns="38100" tIns="19050" rIns="38100" bIns="19050" anchor="ctr">
                <a:spAutoFit/>
              </a:bodyPr>
              <a:lstStyle/>
              <a:p>
                <a:pPr>
                  <a:defRPr sz="1200">
                    <a:latin typeface="Franklin Gothic Book" panose="020B0503020102020204" pitchFamily="34" charset="0"/>
                  </a:defRPr>
                </a:pPr>
                <a:endParaRPr lang="nb-NO"/>
              </a:p>
            </c:txPr>
            <c:dLblPos val="inBase"/>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'4.3.1 Data_Tverrsnittfigurer'!$A$7:$A$13</c:f>
              <c:strCache>
                <c:ptCount val="7"/>
                <c:pt idx="0">
                  <c:v>Endring for Trafikanter </c:v>
                </c:pt>
                <c:pt idx="1">
                  <c:v>Endring for Operatører</c:v>
                </c:pt>
                <c:pt idx="2">
                  <c:v>Endring for Det offentlige</c:v>
                </c:pt>
                <c:pt idx="3">
                  <c:v>Endring for Samfunnet for øvrig</c:v>
                </c:pt>
                <c:pt idx="4">
                  <c:v>Restverdi av tiltak</c:v>
                </c:pt>
                <c:pt idx="5">
                  <c:v>Endring i skattefinansiering</c:v>
                </c:pt>
                <c:pt idx="6">
                  <c:v>Netto nåverdi</c:v>
                </c:pt>
              </c:strCache>
            </c:strRef>
          </c:cat>
          <c:val>
            <c:numRef>
              <c:f>'4.3.1 Data_Tverrsnittfigurer'!$L$7:$L$13</c:f>
              <c:numCache>
                <c:formatCode>General</c:formatCode>
                <c:ptCount val="7"/>
                <c:pt idx="0">
                  <c:v>#N/A</c:v>
                </c:pt>
                <c:pt idx="1">
                  <c:v>#N/A</c:v>
                </c:pt>
                <c:pt idx="2">
                  <c:v>#N/A</c:v>
                </c:pt>
                <c:pt idx="3">
                  <c:v>#N/A</c:v>
                </c:pt>
                <c:pt idx="4">
                  <c:v>#N/A</c:v>
                </c:pt>
                <c:pt idx="5">
                  <c:v>#N/A</c:v>
                </c:pt>
                <c:pt idx="6">
                  <c:v>#N/A</c:v>
                </c:pt>
              </c:numCache>
            </c:numRef>
          </c:val>
          <c:extLst>
            <c:ext xmlns:c16="http://schemas.microsoft.com/office/drawing/2014/chart" uri="{C3380CC4-5D6E-409C-BE32-E72D297353CC}">
              <c16:uniqueId val="{00000007-C726-4479-AA8E-25CEA6FEF1D3}"/>
            </c:ext>
          </c:extLst>
        </c:ser>
        <c:dLbls>
          <c:showLegendKey val="0"/>
          <c:showVal val="0"/>
          <c:showCatName val="0"/>
          <c:showSerName val="0"/>
          <c:showPercent val="0"/>
          <c:showBubbleSize val="0"/>
        </c:dLbls>
        <c:gapWidth val="20"/>
        <c:overlap val="100"/>
        <c:axId val="190566400"/>
        <c:axId val="190567936"/>
      </c:barChart>
      <c:scatterChart>
        <c:scatterStyle val="lineMarker"/>
        <c:varyColors val="0"/>
        <c:ser>
          <c:idx val="4"/>
          <c:order val="4"/>
          <c:tx>
            <c:strRef>
              <c:f>'4.3.1 Data_Tverrsnittfigurer'!$M$6</c:f>
              <c:strCache>
                <c:ptCount val="1"/>
                <c:pt idx="0">
                  <c:v>Linjer</c:v>
                </c:pt>
              </c:strCache>
            </c:strRef>
          </c:tx>
          <c:spPr>
            <a:ln w="28575">
              <a:noFill/>
            </a:ln>
          </c:spPr>
          <c:marker>
            <c:symbol val="none"/>
          </c:marker>
          <c:errBars>
            <c:errDir val="y"/>
            <c:errBarType val="minus"/>
            <c:errValType val="cust"/>
            <c:noEndCap val="1"/>
            <c:plus>
              <c:numLit>
                <c:formatCode>General</c:formatCode>
                <c:ptCount val="1"/>
                <c:pt idx="0">
                  <c:v>1</c:v>
                </c:pt>
              </c:numLit>
            </c:plus>
            <c:minus>
              <c:numRef>
                <c:f>'4.3.1 Data_Tverrsnittfigurer'!$N$7:$N$13</c:f>
                <c:numCache>
                  <c:formatCode>General</c:formatCode>
                  <c:ptCount val="7"/>
                  <c:pt idx="0">
                    <c:v>0.14285714285714285</c:v>
                  </c:pt>
                  <c:pt idx="1">
                    <c:v>0.14285714285714285</c:v>
                  </c:pt>
                  <c:pt idx="2">
                    <c:v>0.14285714285714285</c:v>
                  </c:pt>
                  <c:pt idx="3">
                    <c:v>0.14285714285714285</c:v>
                  </c:pt>
                  <c:pt idx="4">
                    <c:v>0.14285714285714285</c:v>
                  </c:pt>
                  <c:pt idx="5">
                    <c:v>0.14285714285714285</c:v>
                  </c:pt>
                  <c:pt idx="6">
                    <c:v>0.14285714285714285</c:v>
                  </c:pt>
                </c:numCache>
              </c:numRef>
            </c:minus>
            <c:spPr>
              <a:ln w="12700" cmpd="sng">
                <a:solidFill>
                  <a:schemeClr val="bg2"/>
                </a:solidFill>
                <a:prstDash val="solid"/>
              </a:ln>
            </c:spPr>
          </c:errBars>
          <c:xVal>
            <c:numRef>
              <c:f>'4.3.1 Data_Tverrsnittfigurer'!$D$7:$D$13</c:f>
              <c:numCache>
                <c:formatCode>General</c:formatCode>
                <c:ptCount val="7"/>
                <c:pt idx="0" formatCode="#,##0">
                  <c:v>0</c:v>
                </c:pt>
                <c:pt idx="1">
                  <c:v>0</c:v>
                </c:pt>
                <c:pt idx="2">
                  <c:v>0</c:v>
                </c:pt>
                <c:pt idx="3">
                  <c:v>#N/A</c:v>
                </c:pt>
                <c:pt idx="4">
                  <c:v>#N/A</c:v>
                </c:pt>
                <c:pt idx="5">
                  <c:v>#N/A</c:v>
                </c:pt>
                <c:pt idx="6">
                  <c:v>#N/A</c:v>
                </c:pt>
              </c:numCache>
            </c:numRef>
          </c:xVal>
          <c:yVal>
            <c:numRef>
              <c:f>'4.3.1 Data_Tverrsnittfigurer'!$M$7:$M$13</c:f>
              <c:numCache>
                <c:formatCode>0.00</c:formatCode>
                <c:ptCount val="7"/>
                <c:pt idx="0">
                  <c:v>0.9285714285714286</c:v>
                </c:pt>
                <c:pt idx="1">
                  <c:v>0.7857142857142857</c:v>
                </c:pt>
                <c:pt idx="2">
                  <c:v>0.6428571428571429</c:v>
                </c:pt>
                <c:pt idx="3">
                  <c:v>0.5</c:v>
                </c:pt>
                <c:pt idx="4">
                  <c:v>0.35714285714285715</c:v>
                </c:pt>
                <c:pt idx="5">
                  <c:v>0.21428571428571427</c:v>
                </c:pt>
                <c:pt idx="6">
                  <c:v>7.1428571428571425E-2</c:v>
                </c:pt>
              </c:numCache>
            </c:numRef>
          </c:yVal>
          <c:smooth val="0"/>
          <c:extLst>
            <c:ext xmlns:c16="http://schemas.microsoft.com/office/drawing/2014/chart" uri="{C3380CC4-5D6E-409C-BE32-E72D297353CC}">
              <c16:uniqueId val="{00000008-C726-4479-AA8E-25CEA6FEF1D3}"/>
            </c:ext>
          </c:extLst>
        </c:ser>
        <c:ser>
          <c:idx val="5"/>
          <c:order val="5"/>
          <c:tx>
            <c:strRef>
              <c:f>'4.3.1 Data_Tverrsnittfigurer'!$F$6</c:f>
              <c:strCache>
                <c:ptCount val="1"/>
                <c:pt idx="0">
                  <c:v>Base+</c:v>
                </c:pt>
              </c:strCache>
            </c:strRef>
          </c:tx>
          <c:spPr>
            <a:ln w="28575">
              <a:noFill/>
            </a:ln>
          </c:spPr>
          <c:marker>
            <c:symbol val="none"/>
          </c:marker>
          <c:errBars>
            <c:errDir val="x"/>
            <c:errBarType val="minus"/>
            <c:errValType val="cust"/>
            <c:noEndCap val="1"/>
            <c:plus>
              <c:numLit>
                <c:formatCode>General</c:formatCode>
                <c:ptCount val="1"/>
                <c:pt idx="0">
                  <c:v>1</c:v>
                </c:pt>
              </c:numLit>
            </c:plus>
            <c:minus>
              <c:numRef>
                <c:f>'4.3.1 Data_Tverrsnittfigurer'!$H$7:$H$13</c:f>
                <c:numCache>
                  <c:formatCode>General</c:formatCode>
                  <c:ptCount val="7"/>
                  <c:pt idx="0">
                    <c:v>0</c:v>
                  </c:pt>
                  <c:pt idx="1">
                    <c:v>0</c:v>
                  </c:pt>
                  <c:pt idx="2">
                    <c:v>0</c:v>
                  </c:pt>
                  <c:pt idx="3">
                    <c:v>#N/A</c:v>
                  </c:pt>
                  <c:pt idx="4">
                    <c:v>0</c:v>
                  </c:pt>
                  <c:pt idx="5">
                    <c:v>0</c:v>
                  </c:pt>
                  <c:pt idx="6">
                    <c:v>#N/A</c:v>
                  </c:pt>
                </c:numCache>
              </c:numRef>
            </c:minus>
            <c:spPr>
              <a:ln w="190500">
                <a:solidFill>
                  <a:srgbClr val="CB5F3B"/>
                </a:solidFill>
              </a:ln>
            </c:spPr>
          </c:errBars>
          <c:xVal>
            <c:numRef>
              <c:f>'4.3.1 Data_Tverrsnittfigurer'!$F$7:$F$13</c:f>
              <c:numCache>
                <c:formatCode>General</c:formatCode>
                <c:ptCount val="7"/>
                <c:pt idx="0">
                  <c:v>0</c:v>
                </c:pt>
                <c:pt idx="1">
                  <c:v>0</c:v>
                </c:pt>
                <c:pt idx="2">
                  <c:v>0</c:v>
                </c:pt>
                <c:pt idx="3">
                  <c:v>#N/A</c:v>
                </c:pt>
                <c:pt idx="4">
                  <c:v>#N/A</c:v>
                </c:pt>
                <c:pt idx="5">
                  <c:v>#N/A</c:v>
                </c:pt>
                <c:pt idx="6">
                  <c:v>#N/A</c:v>
                </c:pt>
              </c:numCache>
            </c:numRef>
          </c:xVal>
          <c:yVal>
            <c:numRef>
              <c:f>'4.3.1 Data_Tverrsnittfigurer'!$M$7:$M$13</c:f>
              <c:numCache>
                <c:formatCode>0.00</c:formatCode>
                <c:ptCount val="7"/>
                <c:pt idx="0">
                  <c:v>0.9285714285714286</c:v>
                </c:pt>
                <c:pt idx="1">
                  <c:v>0.7857142857142857</c:v>
                </c:pt>
                <c:pt idx="2">
                  <c:v>0.6428571428571429</c:v>
                </c:pt>
                <c:pt idx="3">
                  <c:v>0.5</c:v>
                </c:pt>
                <c:pt idx="4">
                  <c:v>0.35714285714285715</c:v>
                </c:pt>
                <c:pt idx="5">
                  <c:v>0.21428571428571427</c:v>
                </c:pt>
                <c:pt idx="6">
                  <c:v>7.1428571428571425E-2</c:v>
                </c:pt>
              </c:numCache>
            </c:numRef>
          </c:yVal>
          <c:smooth val="0"/>
          <c:extLst>
            <c:ext xmlns:c16="http://schemas.microsoft.com/office/drawing/2014/chart" uri="{C3380CC4-5D6E-409C-BE32-E72D297353CC}">
              <c16:uniqueId val="{00000009-C726-4479-AA8E-25CEA6FEF1D3}"/>
            </c:ext>
          </c:extLst>
        </c:ser>
        <c:ser>
          <c:idx val="6"/>
          <c:order val="6"/>
          <c:tx>
            <c:strRef>
              <c:f>'4.3.1 Data_Tverrsnittfigurer'!$G$6</c:f>
              <c:strCache>
                <c:ptCount val="1"/>
                <c:pt idx="0">
                  <c:v>Base-</c:v>
                </c:pt>
              </c:strCache>
            </c:strRef>
          </c:tx>
          <c:spPr>
            <a:ln w="28575">
              <a:noFill/>
            </a:ln>
          </c:spPr>
          <c:marker>
            <c:symbol val="none"/>
          </c:marker>
          <c:errBars>
            <c:errDir val="x"/>
            <c:errBarType val="plus"/>
            <c:errValType val="cust"/>
            <c:noEndCap val="1"/>
            <c:plus>
              <c:numRef>
                <c:f>'4.3.1 Data_Tverrsnittfigurer'!$I$7:$I$13</c:f>
                <c:numCache>
                  <c:formatCode>General</c:formatCode>
                  <c:ptCount val="7"/>
                  <c:pt idx="0">
                    <c:v>#N/A</c:v>
                  </c:pt>
                  <c:pt idx="1">
                    <c:v>#N/A</c:v>
                  </c:pt>
                  <c:pt idx="2">
                    <c:v>#N/A</c:v>
                  </c:pt>
                  <c:pt idx="3">
                    <c:v>#N/A</c:v>
                  </c:pt>
                  <c:pt idx="4">
                    <c:v>#N/A</c:v>
                  </c:pt>
                  <c:pt idx="5">
                    <c:v>#N/A</c:v>
                  </c:pt>
                  <c:pt idx="6">
                    <c:v>#N/A</c:v>
                  </c:pt>
                </c:numCache>
              </c:numRef>
            </c:plus>
            <c:minus>
              <c:numLit>
                <c:formatCode>General</c:formatCode>
                <c:ptCount val="1"/>
                <c:pt idx="0">
                  <c:v>1</c:v>
                </c:pt>
              </c:numLit>
            </c:minus>
            <c:spPr>
              <a:ln w="190500">
                <a:solidFill>
                  <a:srgbClr val="E3A889"/>
                </a:solidFill>
              </a:ln>
            </c:spPr>
          </c:errBars>
          <c:xVal>
            <c:numRef>
              <c:f>'4.3.1 Data_Tverrsnittfigurer'!$G$7:$G$13</c:f>
              <c:numCache>
                <c:formatCode>General</c:formatCode>
                <c:ptCount val="7"/>
                <c:pt idx="0">
                  <c:v>#N/A</c:v>
                </c:pt>
                <c:pt idx="1">
                  <c:v>#N/A</c:v>
                </c:pt>
                <c:pt idx="2">
                  <c:v>#N/A</c:v>
                </c:pt>
                <c:pt idx="3">
                  <c:v>#N/A</c:v>
                </c:pt>
                <c:pt idx="4">
                  <c:v>#N/A</c:v>
                </c:pt>
                <c:pt idx="5">
                  <c:v>#N/A</c:v>
                </c:pt>
                <c:pt idx="6">
                  <c:v>#N/A</c:v>
                </c:pt>
              </c:numCache>
            </c:numRef>
          </c:xVal>
          <c:yVal>
            <c:numRef>
              <c:f>'4.3.1 Data_Tverrsnittfigurer'!$M$7:$M$13</c:f>
              <c:numCache>
                <c:formatCode>0.00</c:formatCode>
                <c:ptCount val="7"/>
                <c:pt idx="0">
                  <c:v>0.9285714285714286</c:v>
                </c:pt>
                <c:pt idx="1">
                  <c:v>0.7857142857142857</c:v>
                </c:pt>
                <c:pt idx="2">
                  <c:v>0.6428571428571429</c:v>
                </c:pt>
                <c:pt idx="3">
                  <c:v>0.5</c:v>
                </c:pt>
                <c:pt idx="4">
                  <c:v>0.35714285714285715</c:v>
                </c:pt>
                <c:pt idx="5">
                  <c:v>0.21428571428571427</c:v>
                </c:pt>
                <c:pt idx="6">
                  <c:v>7.1428571428571425E-2</c:v>
                </c:pt>
              </c:numCache>
            </c:numRef>
          </c:yVal>
          <c:smooth val="0"/>
          <c:extLst>
            <c:ext xmlns:c16="http://schemas.microsoft.com/office/drawing/2014/chart" uri="{C3380CC4-5D6E-409C-BE32-E72D297353CC}">
              <c16:uniqueId val="{0000000A-C726-4479-AA8E-25CEA6FEF1D3}"/>
            </c:ext>
          </c:extLst>
        </c:ser>
        <c:dLbls>
          <c:showLegendKey val="0"/>
          <c:showVal val="0"/>
          <c:showCatName val="0"/>
          <c:showSerName val="0"/>
          <c:showPercent val="0"/>
          <c:showBubbleSize val="0"/>
        </c:dLbls>
        <c:axId val="191038208"/>
        <c:axId val="190569472"/>
      </c:scatterChart>
      <c:catAx>
        <c:axId val="190566400"/>
        <c:scaling>
          <c:orientation val="maxMin"/>
        </c:scaling>
        <c:delete val="0"/>
        <c:axPos val="l"/>
        <c:numFmt formatCode="General" sourceLinked="0"/>
        <c:majorTickMark val="none"/>
        <c:minorTickMark val="none"/>
        <c:tickLblPos val="low"/>
        <c:spPr>
          <a:ln w="19050"/>
        </c:spPr>
        <c:txPr>
          <a:bodyPr/>
          <a:lstStyle/>
          <a:p>
            <a:pPr>
              <a:defRPr sz="1200">
                <a:latin typeface="Franklin Gothic Book" panose="020B0503020102020204" pitchFamily="34" charset="0"/>
              </a:defRPr>
            </a:pPr>
            <a:endParaRPr lang="nb-NO"/>
          </a:p>
        </c:txPr>
        <c:crossAx val="190567936"/>
        <c:crossesAt val="0"/>
        <c:auto val="1"/>
        <c:lblAlgn val="ctr"/>
        <c:lblOffset val="100"/>
        <c:noMultiLvlLbl val="0"/>
      </c:catAx>
      <c:valAx>
        <c:axId val="190567936"/>
        <c:scaling>
          <c:orientation val="minMax"/>
        </c:scaling>
        <c:delete val="0"/>
        <c:axPos val="b"/>
        <c:numFmt formatCode="#,##0" sourceLinked="0"/>
        <c:majorTickMark val="out"/>
        <c:minorTickMark val="none"/>
        <c:tickLblPos val="nextTo"/>
        <c:txPr>
          <a:bodyPr/>
          <a:lstStyle/>
          <a:p>
            <a:pPr>
              <a:defRPr sz="1200">
                <a:latin typeface="Franklin Gothic Book" panose="020B0503020102020204" pitchFamily="34" charset="0"/>
              </a:defRPr>
            </a:pPr>
            <a:endParaRPr lang="nb-NO"/>
          </a:p>
        </c:txPr>
        <c:crossAx val="190566400"/>
        <c:crosses val="max"/>
        <c:crossBetween val="between"/>
      </c:valAx>
      <c:valAx>
        <c:axId val="190569472"/>
        <c:scaling>
          <c:orientation val="minMax"/>
          <c:max val="1"/>
          <c:min val="0"/>
        </c:scaling>
        <c:delete val="1"/>
        <c:axPos val="r"/>
        <c:numFmt formatCode="0.00" sourceLinked="1"/>
        <c:majorTickMark val="out"/>
        <c:minorTickMark val="none"/>
        <c:tickLblPos val="nextTo"/>
        <c:crossAx val="191038208"/>
        <c:crosses val="max"/>
        <c:crossBetween val="midCat"/>
      </c:valAx>
      <c:valAx>
        <c:axId val="191038208"/>
        <c:scaling>
          <c:orientation val="minMax"/>
        </c:scaling>
        <c:delete val="1"/>
        <c:axPos val="b"/>
        <c:title>
          <c:tx>
            <c:rich>
              <a:bodyPr/>
              <a:lstStyle/>
              <a:p>
                <a:pPr>
                  <a:defRPr sz="1200" b="0">
                    <a:latin typeface="Franklin Gothic Book" panose="020B0503020102020204" pitchFamily="34" charset="0"/>
                  </a:defRPr>
                </a:pPr>
                <a:r>
                  <a:rPr lang="nb-NO" sz="1200" b="0">
                    <a:latin typeface="Franklin Gothic Book" panose="020B0503020102020204" pitchFamily="34" charset="0"/>
                  </a:rPr>
                  <a:t>Millioner kroner</a:t>
                </a:r>
              </a:p>
            </c:rich>
          </c:tx>
          <c:layout>
            <c:manualLayout>
              <c:xMode val="edge"/>
              <c:yMode val="edge"/>
              <c:x val="0.51603425925925928"/>
              <c:y val="0.94637777777777776"/>
            </c:manualLayout>
          </c:layout>
          <c:overlay val="0"/>
        </c:title>
        <c:numFmt formatCode="#,##0" sourceLinked="1"/>
        <c:majorTickMark val="out"/>
        <c:minorTickMark val="none"/>
        <c:tickLblPos val="nextTo"/>
        <c:crossAx val="190569472"/>
        <c:crosses val="autoZero"/>
        <c:crossBetween val="midCat"/>
      </c:valAx>
    </c:plotArea>
    <c:plotVisOnly val="1"/>
    <c:dispBlanksAs val="gap"/>
    <c:showDLblsOverMax val="0"/>
  </c:chart>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b-NO"/>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'4.3.1 Data_Tverrsnittfigurer'!$B$16</c:f>
          <c:strCache>
            <c:ptCount val="1"/>
            <c:pt idx="0">
              <c:v>Nåverdi av trafikantnytteelementer, mill. -kroner</c:v>
            </c:pt>
          </c:strCache>
        </c:strRef>
      </c:tx>
      <c:overlay val="0"/>
      <c:txPr>
        <a:bodyPr/>
        <a:lstStyle/>
        <a:p>
          <a:pPr>
            <a:defRPr sz="1600">
              <a:latin typeface="Franklin Gothic Book" panose="020B0503020102020204" pitchFamily="34" charset="0"/>
            </a:defRPr>
          </a:pPr>
          <a:endParaRPr lang="nb-NO"/>
        </a:p>
      </c:txPr>
    </c:title>
    <c:autoTitleDeleted val="0"/>
    <c:plotArea>
      <c:layout>
        <c:manualLayout>
          <c:layoutTarget val="inner"/>
          <c:xMode val="edge"/>
          <c:yMode val="edge"/>
          <c:x val="0.1857698148148148"/>
          <c:y val="0.11780444012194438"/>
          <c:w val="0.769160925925926"/>
          <c:h val="0.75741064321540574"/>
        </c:manualLayout>
      </c:layout>
      <c:barChart>
        <c:barDir val="bar"/>
        <c:grouping val="stacked"/>
        <c:varyColors val="0"/>
        <c:ser>
          <c:idx val="0"/>
          <c:order val="0"/>
          <c:tx>
            <c:strRef>
              <c:f>'4.3.1 Data_Tverrsnittfigurer'!$E$17</c:f>
              <c:strCache>
                <c:ptCount val="1"/>
                <c:pt idx="0">
                  <c:v>Stolpe</c:v>
                </c:pt>
              </c:strCache>
            </c:strRef>
          </c:tx>
          <c:spPr>
            <a:solidFill>
              <a:srgbClr val="2E578B"/>
            </a:solidFill>
          </c:spPr>
          <c:invertIfNegative val="0"/>
          <c:dPt>
            <c:idx val="0"/>
            <c:invertIfNegative val="0"/>
            <c:bubble3D val="0"/>
            <c:spPr>
              <a:solidFill>
                <a:srgbClr val="2E578B"/>
              </a:solidFill>
              <a:ln>
                <a:solidFill>
                  <a:schemeClr val="tx1">
                    <a:tint val="75000"/>
                    <a:shade val="95000"/>
                    <a:satMod val="105000"/>
                    <a:alpha val="99000"/>
                  </a:schemeClr>
                </a:solidFill>
              </a:ln>
            </c:spPr>
            <c:extLst>
              <c:ext xmlns:c16="http://schemas.microsoft.com/office/drawing/2014/chart" uri="{C3380CC4-5D6E-409C-BE32-E72D297353CC}">
                <c16:uniqueId val="{00000001-5B07-4B0F-BCDF-929BCC2AE138}"/>
              </c:ext>
            </c:extLst>
          </c:dPt>
          <c:dLbls>
            <c:numFmt formatCode="#,##0" sourceLinked="0"/>
            <c:spPr>
              <a:noFill/>
              <a:ln>
                <a:noFill/>
              </a:ln>
              <a:effectLst/>
            </c:spPr>
            <c:txPr>
              <a:bodyPr/>
              <a:lstStyle/>
              <a:p>
                <a:pPr algn="ctr">
                  <a:defRPr sz="1200">
                    <a:solidFill>
                      <a:schemeClr val="bg1"/>
                    </a:solidFill>
                    <a:latin typeface="Franklin Gothic Book" panose="020B0503020102020204" pitchFamily="34" charset="0"/>
                  </a:defRPr>
                </a:pPr>
                <a:endParaRPr lang="nb-N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'4.3.1 Data_Tverrsnittfigurer'!$A$18:$A$23</c:f>
              <c:strCache>
                <c:ptCount val="6"/>
                <c:pt idx="0">
                  <c:v>Trafikantnytte, Referanse</c:v>
                </c:pt>
                <c:pt idx="1">
                  <c:v>Trafikantnytte, Overført og nyskapt</c:v>
                </c:pt>
                <c:pt idx="2">
                  <c:v>Andre transportmidler (bil, buss,fly)</c:v>
                </c:pt>
                <c:pt idx="3">
                  <c:v>Godskunder</c:v>
                </c:pt>
                <c:pt idx="4">
                  <c:v>Helsevirkninger for gående og syklende, overført fra bil</c:v>
                </c:pt>
                <c:pt idx="5">
                  <c:v>Trafikantnytte</c:v>
                </c:pt>
              </c:strCache>
            </c:strRef>
          </c:cat>
          <c:val>
            <c:numRef>
              <c:f>'4.3.1 Data_Tverrsnittfigurer'!$E$18:$E$23</c:f>
              <c:numCache>
                <c:formatCode>General</c:formatCode>
                <c:ptCount val="6"/>
                <c:pt idx="0">
                  <c:v>#N/A</c:v>
                </c:pt>
                <c:pt idx="1">
                  <c:v>#N/A</c:v>
                </c:pt>
                <c:pt idx="2">
                  <c:v>#N/A</c:v>
                </c:pt>
                <c:pt idx="3">
                  <c:v>#N/A</c:v>
                </c:pt>
                <c:pt idx="4">
                  <c:v>#N/A</c:v>
                </c:pt>
                <c:pt idx="5">
                  <c:v>0</c:v>
                </c:pt>
              </c:numCache>
            </c:numRef>
          </c:val>
          <c:extLst>
            <c:ext xmlns:c16="http://schemas.microsoft.com/office/drawing/2014/chart" uri="{C3380CC4-5D6E-409C-BE32-E72D297353CC}">
              <c16:uniqueId val="{00000002-5B07-4B0F-BCDF-929BCC2AE138}"/>
            </c:ext>
          </c:extLst>
        </c:ser>
        <c:ser>
          <c:idx val="1"/>
          <c:order val="1"/>
          <c:tx>
            <c:strRef>
              <c:f>'4.3.1 Data_Tverrsnittfigurer'!$J$17</c:f>
              <c:strCache>
                <c:ptCount val="1"/>
                <c:pt idx="0">
                  <c:v>Usynlig</c:v>
                </c:pt>
              </c:strCache>
            </c:strRef>
          </c:tx>
          <c:spPr>
            <a:noFill/>
            <a:ln>
              <a:noFill/>
            </a:ln>
          </c:spPr>
          <c:invertIfNegative val="0"/>
          <c:cat>
            <c:strRef>
              <c:f>'4.3.1 Data_Tverrsnittfigurer'!$A$18:$A$23</c:f>
              <c:strCache>
                <c:ptCount val="6"/>
                <c:pt idx="0">
                  <c:v>Trafikantnytte, Referanse</c:v>
                </c:pt>
                <c:pt idx="1">
                  <c:v>Trafikantnytte, Overført og nyskapt</c:v>
                </c:pt>
                <c:pt idx="2">
                  <c:v>Andre transportmidler (bil, buss,fly)</c:v>
                </c:pt>
                <c:pt idx="3">
                  <c:v>Godskunder</c:v>
                </c:pt>
                <c:pt idx="4">
                  <c:v>Helsevirkninger for gående og syklende, overført fra bil</c:v>
                </c:pt>
                <c:pt idx="5">
                  <c:v>Trafikantnytte</c:v>
                </c:pt>
              </c:strCache>
            </c:strRef>
          </c:cat>
          <c:val>
            <c:numRef>
              <c:f>'4.3.1 Data_Tverrsnittfigurer'!$J$18:$J$23</c:f>
              <c:numCache>
                <c:formatCode>General</c:formatCode>
                <c:ptCount val="6"/>
                <c:pt idx="0">
                  <c:v>0</c:v>
                </c:pt>
                <c:pt idx="1">
                  <c:v>0</c:v>
                </c:pt>
                <c:pt idx="2">
                  <c:v>0</c:v>
                </c:pt>
                <c:pt idx="3">
                  <c:v>0</c:v>
                </c:pt>
                <c:pt idx="4">
                  <c:v>0</c:v>
                </c:pt>
                <c:pt idx="5">
                  <c:v>#N/A</c:v>
                </c:pt>
              </c:numCache>
            </c:numRef>
          </c:val>
          <c:extLst>
            <c:ext xmlns:c16="http://schemas.microsoft.com/office/drawing/2014/chart" uri="{C3380CC4-5D6E-409C-BE32-E72D297353CC}">
              <c16:uniqueId val="{00000003-5B07-4B0F-BCDF-929BCC2AE138}"/>
            </c:ext>
          </c:extLst>
        </c:ser>
        <c:ser>
          <c:idx val="2"/>
          <c:order val="2"/>
          <c:tx>
            <c:strRef>
              <c:f>'4.3.1 Data_Tverrsnittfigurer'!$K$17</c:f>
              <c:strCache>
                <c:ptCount val="1"/>
                <c:pt idx="0">
                  <c:v>Etikett+</c:v>
                </c:pt>
              </c:strCache>
            </c:strRef>
          </c:tx>
          <c:spPr>
            <a:noFill/>
          </c:spPr>
          <c:invertIfNegative val="0"/>
          <c:dLbls>
            <c:numFmt formatCode="\+#,##0;\+#,##0" sourceLinked="0"/>
            <c:spPr>
              <a:noFill/>
              <a:ln>
                <a:noFill/>
              </a:ln>
              <a:effectLst/>
            </c:spPr>
            <c:txPr>
              <a:bodyPr wrap="square" lIns="38100" tIns="19050" rIns="38100" bIns="19050" anchor="ctr">
                <a:spAutoFit/>
              </a:bodyPr>
              <a:lstStyle/>
              <a:p>
                <a:pPr>
                  <a:defRPr sz="1200">
                    <a:latin typeface="Franklin Gothic Book" panose="020B0503020102020204" pitchFamily="34" charset="0"/>
                  </a:defRPr>
                </a:pPr>
                <a:endParaRPr lang="nb-NO"/>
              </a:p>
            </c:txPr>
            <c:dLblPos val="inBase"/>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'4.3.1 Data_Tverrsnittfigurer'!$A$18:$A$23</c:f>
              <c:strCache>
                <c:ptCount val="6"/>
                <c:pt idx="0">
                  <c:v>Trafikantnytte, Referanse</c:v>
                </c:pt>
                <c:pt idx="1">
                  <c:v>Trafikantnytte, Overført og nyskapt</c:v>
                </c:pt>
                <c:pt idx="2">
                  <c:v>Andre transportmidler (bil, buss,fly)</c:v>
                </c:pt>
                <c:pt idx="3">
                  <c:v>Godskunder</c:v>
                </c:pt>
                <c:pt idx="4">
                  <c:v>Helsevirkninger for gående og syklende, overført fra bil</c:v>
                </c:pt>
                <c:pt idx="5">
                  <c:v>Trafikantnytte</c:v>
                </c:pt>
              </c:strCache>
            </c:strRef>
          </c:cat>
          <c:val>
            <c:numRef>
              <c:f>'4.3.1 Data_Tverrsnittfigurer'!$K$18:$K$23</c:f>
              <c:numCache>
                <c:formatCode>General</c:formatCode>
                <c:ptCount val="6"/>
                <c:pt idx="0">
                  <c:v>0</c:v>
                </c:pt>
                <c:pt idx="1">
                  <c:v>0</c:v>
                </c:pt>
                <c:pt idx="2">
                  <c:v>0</c:v>
                </c:pt>
                <c:pt idx="3">
                  <c:v>0</c:v>
                </c:pt>
                <c:pt idx="4">
                  <c:v>0</c:v>
                </c:pt>
                <c:pt idx="5">
                  <c:v>#N/A</c:v>
                </c:pt>
              </c:numCache>
            </c:numRef>
          </c:val>
          <c:extLst>
            <c:ext xmlns:c16="http://schemas.microsoft.com/office/drawing/2014/chart" uri="{C3380CC4-5D6E-409C-BE32-E72D297353CC}">
              <c16:uniqueId val="{00000004-5B07-4B0F-BCDF-929BCC2AE138}"/>
            </c:ext>
          </c:extLst>
        </c:ser>
        <c:ser>
          <c:idx val="3"/>
          <c:order val="3"/>
          <c:tx>
            <c:strRef>
              <c:f>'4.3.1 Data_Tverrsnittfigurer'!$L$17</c:f>
              <c:strCache>
                <c:ptCount val="1"/>
                <c:pt idx="0">
                  <c:v>Etikett-</c:v>
                </c:pt>
              </c:strCache>
            </c:strRef>
          </c:tx>
          <c:spPr>
            <a:noFill/>
          </c:spPr>
          <c:invertIfNegative val="0"/>
          <c:dLbls>
            <c:numFmt formatCode="\-#,##0;\-#,##0" sourceLinked="0"/>
            <c:spPr>
              <a:noFill/>
              <a:ln>
                <a:noFill/>
              </a:ln>
              <a:effectLst/>
            </c:spPr>
            <c:txPr>
              <a:bodyPr wrap="square" lIns="38100" tIns="19050" rIns="38100" bIns="19050" anchor="ctr">
                <a:spAutoFit/>
              </a:bodyPr>
              <a:lstStyle/>
              <a:p>
                <a:pPr>
                  <a:defRPr sz="1200">
                    <a:latin typeface="Franklin Gothic Book" panose="020B0503020102020204" pitchFamily="34" charset="0"/>
                  </a:defRPr>
                </a:pPr>
                <a:endParaRPr lang="nb-NO"/>
              </a:p>
            </c:txPr>
            <c:dLblPos val="inBase"/>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'4.3.1 Data_Tverrsnittfigurer'!$A$18:$A$23</c:f>
              <c:strCache>
                <c:ptCount val="6"/>
                <c:pt idx="0">
                  <c:v>Trafikantnytte, Referanse</c:v>
                </c:pt>
                <c:pt idx="1">
                  <c:v>Trafikantnytte, Overført og nyskapt</c:v>
                </c:pt>
                <c:pt idx="2">
                  <c:v>Andre transportmidler (bil, buss,fly)</c:v>
                </c:pt>
                <c:pt idx="3">
                  <c:v>Godskunder</c:v>
                </c:pt>
                <c:pt idx="4">
                  <c:v>Helsevirkninger for gående og syklende, overført fra bil</c:v>
                </c:pt>
                <c:pt idx="5">
                  <c:v>Trafikantnytte</c:v>
                </c:pt>
              </c:strCache>
            </c:strRef>
          </c:cat>
          <c:val>
            <c:numRef>
              <c:f>'4.3.1 Data_Tverrsnittfigurer'!$L$18:$L$23</c:f>
              <c:numCache>
                <c:formatCode>General</c:formatCode>
                <c:ptCount val="6"/>
                <c:pt idx="0">
                  <c:v>#N/A</c:v>
                </c:pt>
                <c:pt idx="1">
                  <c:v>#N/A</c:v>
                </c:pt>
                <c:pt idx="2">
                  <c:v>#N/A</c:v>
                </c:pt>
                <c:pt idx="3">
                  <c:v>#N/A</c:v>
                </c:pt>
                <c:pt idx="4">
                  <c:v>#N/A</c:v>
                </c:pt>
                <c:pt idx="5">
                  <c:v>#N/A</c:v>
                </c:pt>
              </c:numCache>
            </c:numRef>
          </c:val>
          <c:extLst>
            <c:ext xmlns:c16="http://schemas.microsoft.com/office/drawing/2014/chart" uri="{C3380CC4-5D6E-409C-BE32-E72D297353CC}">
              <c16:uniqueId val="{00000005-5B07-4B0F-BCDF-929BCC2AE138}"/>
            </c:ext>
          </c:extLst>
        </c:ser>
        <c:dLbls>
          <c:showLegendKey val="0"/>
          <c:showVal val="0"/>
          <c:showCatName val="0"/>
          <c:showSerName val="0"/>
          <c:showPercent val="0"/>
          <c:showBubbleSize val="0"/>
        </c:dLbls>
        <c:gapWidth val="20"/>
        <c:overlap val="100"/>
        <c:axId val="190566400"/>
        <c:axId val="190567936"/>
      </c:barChart>
      <c:scatterChart>
        <c:scatterStyle val="lineMarker"/>
        <c:varyColors val="0"/>
        <c:ser>
          <c:idx val="4"/>
          <c:order val="4"/>
          <c:tx>
            <c:strRef>
              <c:f>'4.3.1 Data_Tverrsnittfigurer'!$M$17</c:f>
              <c:strCache>
                <c:ptCount val="1"/>
                <c:pt idx="0">
                  <c:v>Linjer</c:v>
                </c:pt>
              </c:strCache>
            </c:strRef>
          </c:tx>
          <c:spPr>
            <a:ln w="28575">
              <a:noFill/>
            </a:ln>
          </c:spPr>
          <c:marker>
            <c:symbol val="none"/>
          </c:marker>
          <c:errBars>
            <c:errDir val="y"/>
            <c:errBarType val="minus"/>
            <c:errValType val="cust"/>
            <c:noEndCap val="1"/>
            <c:plus>
              <c:numLit>
                <c:formatCode>General</c:formatCode>
                <c:ptCount val="1"/>
                <c:pt idx="0">
                  <c:v>1</c:v>
                </c:pt>
              </c:numLit>
            </c:plus>
            <c:minus>
              <c:numRef>
                <c:f>'4.3.1 Data_Tverrsnittfigurer'!$N$18:$N$23</c:f>
                <c:numCache>
                  <c:formatCode>General</c:formatCode>
                  <c:ptCount val="6"/>
                  <c:pt idx="0">
                    <c:v>0.16666666666666666</c:v>
                  </c:pt>
                  <c:pt idx="1">
                    <c:v>0.16666666666666666</c:v>
                  </c:pt>
                  <c:pt idx="2">
                    <c:v>0.16666666666666666</c:v>
                  </c:pt>
                  <c:pt idx="3">
                    <c:v>0.16666666666666666</c:v>
                  </c:pt>
                  <c:pt idx="4">
                    <c:v>0.16666666666666666</c:v>
                  </c:pt>
                  <c:pt idx="5">
                    <c:v>#N/A</c:v>
                  </c:pt>
                </c:numCache>
              </c:numRef>
            </c:minus>
            <c:spPr>
              <a:ln w="12700" cmpd="sng">
                <a:solidFill>
                  <a:schemeClr val="bg2"/>
                </a:solidFill>
                <a:prstDash val="solid"/>
              </a:ln>
            </c:spPr>
          </c:errBars>
          <c:xVal>
            <c:numRef>
              <c:f>'4.3.1 Data_Tverrsnittfigurer'!$D$18:$D$23</c:f>
              <c:numCache>
                <c:formatCode>General</c:formatCode>
                <c:ptCount val="6"/>
                <c:pt idx="0" formatCode="#,##0">
                  <c:v>0</c:v>
                </c:pt>
                <c:pt idx="1">
                  <c:v>0</c:v>
                </c:pt>
                <c:pt idx="2">
                  <c:v>0</c:v>
                </c:pt>
                <c:pt idx="3">
                  <c:v>0</c:v>
                </c:pt>
                <c:pt idx="4">
                  <c:v>0</c:v>
                </c:pt>
                <c:pt idx="5">
                  <c:v>0</c:v>
                </c:pt>
              </c:numCache>
            </c:numRef>
          </c:xVal>
          <c:yVal>
            <c:numRef>
              <c:f>'4.3.1 Data_Tverrsnittfigurer'!$M$18:$M$23</c:f>
              <c:numCache>
                <c:formatCode>0.00</c:formatCode>
                <c:ptCount val="6"/>
                <c:pt idx="0">
                  <c:v>0.91666666666666663</c:v>
                </c:pt>
                <c:pt idx="1">
                  <c:v>0.75</c:v>
                </c:pt>
                <c:pt idx="2">
                  <c:v>0.58333333333333337</c:v>
                </c:pt>
                <c:pt idx="3">
                  <c:v>0.41666666666666669</c:v>
                </c:pt>
                <c:pt idx="4">
                  <c:v>0.25</c:v>
                </c:pt>
                <c:pt idx="5">
                  <c:v>8.3333333333333329E-2</c:v>
                </c:pt>
              </c:numCache>
            </c:numRef>
          </c:yVal>
          <c:smooth val="0"/>
          <c:extLst>
            <c:ext xmlns:c16="http://schemas.microsoft.com/office/drawing/2014/chart" uri="{C3380CC4-5D6E-409C-BE32-E72D297353CC}">
              <c16:uniqueId val="{00000006-5B07-4B0F-BCDF-929BCC2AE138}"/>
            </c:ext>
          </c:extLst>
        </c:ser>
        <c:ser>
          <c:idx val="5"/>
          <c:order val="5"/>
          <c:tx>
            <c:strRef>
              <c:f>'4.3.1 Data_Tverrsnittfigurer'!$F$17</c:f>
              <c:strCache>
                <c:ptCount val="1"/>
                <c:pt idx="0">
                  <c:v>Base+</c:v>
                </c:pt>
              </c:strCache>
            </c:strRef>
          </c:tx>
          <c:spPr>
            <a:ln w="28575">
              <a:noFill/>
            </a:ln>
          </c:spPr>
          <c:marker>
            <c:symbol val="none"/>
          </c:marker>
          <c:errBars>
            <c:errDir val="x"/>
            <c:errBarType val="minus"/>
            <c:errValType val="cust"/>
            <c:noEndCap val="1"/>
            <c:plus>
              <c:numLit>
                <c:formatCode>General</c:formatCode>
                <c:ptCount val="1"/>
                <c:pt idx="0">
                  <c:v>1</c:v>
                </c:pt>
              </c:numLit>
            </c:plus>
            <c:minus>
              <c:numRef>
                <c:f>'4.3.1 Data_Tverrsnittfigurer'!$H$18:$H$23</c:f>
                <c:numCache>
                  <c:formatCode>General</c:formatCode>
                  <c:ptCount val="6"/>
                  <c:pt idx="0">
                    <c:v>0</c:v>
                  </c:pt>
                  <c:pt idx="1">
                    <c:v>0</c:v>
                  </c:pt>
                  <c:pt idx="2">
                    <c:v>0</c:v>
                  </c:pt>
                  <c:pt idx="3">
                    <c:v>0</c:v>
                  </c:pt>
                  <c:pt idx="4">
                    <c:v>0</c:v>
                  </c:pt>
                  <c:pt idx="5">
                    <c:v>#N/A</c:v>
                  </c:pt>
                </c:numCache>
              </c:numRef>
            </c:minus>
            <c:spPr>
              <a:ln w="190500">
                <a:solidFill>
                  <a:srgbClr val="CB5F3B"/>
                </a:solidFill>
              </a:ln>
            </c:spPr>
          </c:errBars>
          <c:xVal>
            <c:numRef>
              <c:f>'4.3.1 Data_Tverrsnittfigurer'!$F$18:$F$23</c:f>
              <c:numCache>
                <c:formatCode>General</c:formatCode>
                <c:ptCount val="6"/>
                <c:pt idx="0">
                  <c:v>0</c:v>
                </c:pt>
                <c:pt idx="1">
                  <c:v>0</c:v>
                </c:pt>
                <c:pt idx="2">
                  <c:v>0</c:v>
                </c:pt>
                <c:pt idx="3">
                  <c:v>0</c:v>
                </c:pt>
                <c:pt idx="4">
                  <c:v>0</c:v>
                </c:pt>
                <c:pt idx="5">
                  <c:v>#N/A</c:v>
                </c:pt>
              </c:numCache>
            </c:numRef>
          </c:xVal>
          <c:yVal>
            <c:numRef>
              <c:f>'4.3.1 Data_Tverrsnittfigurer'!$M$18:$M$23</c:f>
              <c:numCache>
                <c:formatCode>0.00</c:formatCode>
                <c:ptCount val="6"/>
                <c:pt idx="0">
                  <c:v>0.91666666666666663</c:v>
                </c:pt>
                <c:pt idx="1">
                  <c:v>0.75</c:v>
                </c:pt>
                <c:pt idx="2">
                  <c:v>0.58333333333333337</c:v>
                </c:pt>
                <c:pt idx="3">
                  <c:v>0.41666666666666669</c:v>
                </c:pt>
                <c:pt idx="4">
                  <c:v>0.25</c:v>
                </c:pt>
                <c:pt idx="5">
                  <c:v>8.3333333333333329E-2</c:v>
                </c:pt>
              </c:numCache>
            </c:numRef>
          </c:yVal>
          <c:smooth val="0"/>
          <c:extLst>
            <c:ext xmlns:c16="http://schemas.microsoft.com/office/drawing/2014/chart" uri="{C3380CC4-5D6E-409C-BE32-E72D297353CC}">
              <c16:uniqueId val="{00000007-5B07-4B0F-BCDF-929BCC2AE138}"/>
            </c:ext>
          </c:extLst>
        </c:ser>
        <c:ser>
          <c:idx val="6"/>
          <c:order val="6"/>
          <c:tx>
            <c:strRef>
              <c:f>'4.3.1 Data_Tverrsnittfigurer'!$G$17</c:f>
              <c:strCache>
                <c:ptCount val="1"/>
                <c:pt idx="0">
                  <c:v>Base-</c:v>
                </c:pt>
              </c:strCache>
            </c:strRef>
          </c:tx>
          <c:spPr>
            <a:ln w="28575">
              <a:noFill/>
            </a:ln>
          </c:spPr>
          <c:marker>
            <c:symbol val="none"/>
          </c:marker>
          <c:errBars>
            <c:errDir val="x"/>
            <c:errBarType val="plus"/>
            <c:errValType val="cust"/>
            <c:noEndCap val="1"/>
            <c:plus>
              <c:numRef>
                <c:f>'4.3.1 Data_Tverrsnittfigurer'!$I$18:$I$23</c:f>
                <c:numCache>
                  <c:formatCode>General</c:formatCode>
                  <c:ptCount val="6"/>
                  <c:pt idx="0">
                    <c:v>#N/A</c:v>
                  </c:pt>
                  <c:pt idx="1">
                    <c:v>#N/A</c:v>
                  </c:pt>
                  <c:pt idx="2">
                    <c:v>#N/A</c:v>
                  </c:pt>
                  <c:pt idx="3">
                    <c:v>#N/A</c:v>
                  </c:pt>
                  <c:pt idx="4">
                    <c:v>#N/A</c:v>
                  </c:pt>
                  <c:pt idx="5">
                    <c:v>#N/A</c:v>
                  </c:pt>
                </c:numCache>
              </c:numRef>
            </c:plus>
            <c:minus>
              <c:numLit>
                <c:formatCode>General</c:formatCode>
                <c:ptCount val="1"/>
                <c:pt idx="0">
                  <c:v>1</c:v>
                </c:pt>
              </c:numLit>
            </c:minus>
            <c:spPr>
              <a:ln w="190500">
                <a:solidFill>
                  <a:srgbClr val="E3A889"/>
                </a:solidFill>
              </a:ln>
            </c:spPr>
          </c:errBars>
          <c:xVal>
            <c:numRef>
              <c:f>'4.3.1 Data_Tverrsnittfigurer'!$G$18:$G$23</c:f>
              <c:numCache>
                <c:formatCode>General</c:formatCode>
                <c:ptCount val="6"/>
                <c:pt idx="0">
                  <c:v>#N/A</c:v>
                </c:pt>
                <c:pt idx="1">
                  <c:v>#N/A</c:v>
                </c:pt>
                <c:pt idx="2">
                  <c:v>#N/A</c:v>
                </c:pt>
                <c:pt idx="3">
                  <c:v>#N/A</c:v>
                </c:pt>
                <c:pt idx="4">
                  <c:v>#N/A</c:v>
                </c:pt>
                <c:pt idx="5">
                  <c:v>#N/A</c:v>
                </c:pt>
              </c:numCache>
            </c:numRef>
          </c:xVal>
          <c:yVal>
            <c:numRef>
              <c:f>'4.3.1 Data_Tverrsnittfigurer'!$M$18:$M$23</c:f>
              <c:numCache>
                <c:formatCode>0.00</c:formatCode>
                <c:ptCount val="6"/>
                <c:pt idx="0">
                  <c:v>0.91666666666666663</c:v>
                </c:pt>
                <c:pt idx="1">
                  <c:v>0.75</c:v>
                </c:pt>
                <c:pt idx="2">
                  <c:v>0.58333333333333337</c:v>
                </c:pt>
                <c:pt idx="3">
                  <c:v>0.41666666666666669</c:v>
                </c:pt>
                <c:pt idx="4">
                  <c:v>0.25</c:v>
                </c:pt>
                <c:pt idx="5">
                  <c:v>8.3333333333333329E-2</c:v>
                </c:pt>
              </c:numCache>
            </c:numRef>
          </c:yVal>
          <c:smooth val="0"/>
          <c:extLst>
            <c:ext xmlns:c16="http://schemas.microsoft.com/office/drawing/2014/chart" uri="{C3380CC4-5D6E-409C-BE32-E72D297353CC}">
              <c16:uniqueId val="{00000008-5B07-4B0F-BCDF-929BCC2AE138}"/>
            </c:ext>
          </c:extLst>
        </c:ser>
        <c:dLbls>
          <c:showLegendKey val="0"/>
          <c:showVal val="0"/>
          <c:showCatName val="0"/>
          <c:showSerName val="0"/>
          <c:showPercent val="0"/>
          <c:showBubbleSize val="0"/>
        </c:dLbls>
        <c:axId val="191038208"/>
        <c:axId val="190569472"/>
      </c:scatterChart>
      <c:catAx>
        <c:axId val="190566400"/>
        <c:scaling>
          <c:orientation val="maxMin"/>
        </c:scaling>
        <c:delete val="0"/>
        <c:axPos val="l"/>
        <c:numFmt formatCode="General" sourceLinked="0"/>
        <c:majorTickMark val="none"/>
        <c:minorTickMark val="none"/>
        <c:tickLblPos val="low"/>
        <c:spPr>
          <a:ln w="19050"/>
        </c:spPr>
        <c:txPr>
          <a:bodyPr/>
          <a:lstStyle/>
          <a:p>
            <a:pPr>
              <a:defRPr sz="1200">
                <a:latin typeface="Franklin Gothic Book" panose="020B0503020102020204" pitchFamily="34" charset="0"/>
              </a:defRPr>
            </a:pPr>
            <a:endParaRPr lang="nb-NO"/>
          </a:p>
        </c:txPr>
        <c:crossAx val="190567936"/>
        <c:crossesAt val="0"/>
        <c:auto val="1"/>
        <c:lblAlgn val="ctr"/>
        <c:lblOffset val="100"/>
        <c:noMultiLvlLbl val="0"/>
      </c:catAx>
      <c:valAx>
        <c:axId val="190567936"/>
        <c:scaling>
          <c:orientation val="minMax"/>
        </c:scaling>
        <c:delete val="0"/>
        <c:axPos val="b"/>
        <c:numFmt formatCode="#,##0" sourceLinked="0"/>
        <c:majorTickMark val="out"/>
        <c:minorTickMark val="none"/>
        <c:tickLblPos val="nextTo"/>
        <c:txPr>
          <a:bodyPr/>
          <a:lstStyle/>
          <a:p>
            <a:pPr>
              <a:defRPr sz="1200">
                <a:latin typeface="Franklin Gothic Book" panose="020B0503020102020204" pitchFamily="34" charset="0"/>
              </a:defRPr>
            </a:pPr>
            <a:endParaRPr lang="nb-NO"/>
          </a:p>
        </c:txPr>
        <c:crossAx val="190566400"/>
        <c:crosses val="max"/>
        <c:crossBetween val="between"/>
      </c:valAx>
      <c:valAx>
        <c:axId val="190569472"/>
        <c:scaling>
          <c:orientation val="minMax"/>
          <c:max val="1"/>
          <c:min val="0"/>
        </c:scaling>
        <c:delete val="1"/>
        <c:axPos val="r"/>
        <c:numFmt formatCode="0.00" sourceLinked="1"/>
        <c:majorTickMark val="out"/>
        <c:minorTickMark val="none"/>
        <c:tickLblPos val="nextTo"/>
        <c:crossAx val="191038208"/>
        <c:crosses val="max"/>
        <c:crossBetween val="midCat"/>
      </c:valAx>
      <c:valAx>
        <c:axId val="191038208"/>
        <c:scaling>
          <c:orientation val="minMax"/>
        </c:scaling>
        <c:delete val="1"/>
        <c:axPos val="b"/>
        <c:title>
          <c:tx>
            <c:rich>
              <a:bodyPr/>
              <a:lstStyle/>
              <a:p>
                <a:pPr>
                  <a:defRPr sz="1200">
                    <a:latin typeface="Franklin Gothic Book" panose="020B0503020102020204" pitchFamily="34" charset="0"/>
                  </a:defRPr>
                </a:pPr>
                <a:r>
                  <a:rPr lang="nb-NO" sz="1200">
                    <a:latin typeface="Franklin Gothic Book" panose="020B0503020102020204" pitchFamily="34" charset="0"/>
                  </a:rPr>
                  <a:t>Millioner kroner</a:t>
                </a:r>
              </a:p>
            </c:rich>
          </c:tx>
          <c:overlay val="0"/>
        </c:title>
        <c:numFmt formatCode="#,##0" sourceLinked="1"/>
        <c:majorTickMark val="out"/>
        <c:minorTickMark val="none"/>
        <c:tickLblPos val="nextTo"/>
        <c:crossAx val="190569472"/>
        <c:crosses val="autoZero"/>
        <c:crossBetween val="midCat"/>
      </c:valAx>
    </c:plotArea>
    <c:plotVisOnly val="1"/>
    <c:dispBlanksAs val="gap"/>
    <c:showDLblsOverMax val="0"/>
  </c:chart>
  <c:txPr>
    <a:bodyPr/>
    <a:lstStyle/>
    <a:p>
      <a:pPr>
        <a:defRPr lang="en-US" sz="1000" b="0" i="0" u="none" strike="noStrike" kern="1200" baseline="0">
          <a:solidFill>
            <a:schemeClr val="tx1"/>
          </a:solidFill>
          <a:latin typeface="+mn-lt"/>
          <a:ea typeface="+mn-ea"/>
          <a:cs typeface="+mn-cs"/>
        </a:defRPr>
      </a:pPr>
      <a:endParaRPr lang="nb-NO"/>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b-NO"/>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'4.3.1 Data_Tverrsnittfigurer'!$B$26</c:f>
          <c:strCache>
            <c:ptCount val="1"/>
            <c:pt idx="0">
              <c:v>Nåverdi av operatørnytteelementer, mill. -kroner</c:v>
            </c:pt>
          </c:strCache>
        </c:strRef>
      </c:tx>
      <c:overlay val="0"/>
      <c:txPr>
        <a:bodyPr/>
        <a:lstStyle/>
        <a:p>
          <a:pPr>
            <a:defRPr sz="1600">
              <a:latin typeface="Franklin Gothic Book" panose="020B0503020102020204" pitchFamily="34" charset="0"/>
            </a:defRPr>
          </a:pPr>
          <a:endParaRPr lang="nb-NO"/>
        </a:p>
      </c:txPr>
    </c:title>
    <c:autoTitleDeleted val="0"/>
    <c:plotArea>
      <c:layout>
        <c:manualLayout>
          <c:layoutTarget val="inner"/>
          <c:xMode val="edge"/>
          <c:yMode val="edge"/>
          <c:x val="0.17753835935544732"/>
          <c:y val="0.11780444012194438"/>
          <c:w val="0.77739236599092598"/>
          <c:h val="0.76475977011494256"/>
        </c:manualLayout>
      </c:layout>
      <c:barChart>
        <c:barDir val="bar"/>
        <c:grouping val="stacked"/>
        <c:varyColors val="0"/>
        <c:ser>
          <c:idx val="0"/>
          <c:order val="0"/>
          <c:tx>
            <c:strRef>
              <c:f>'4.3.1 Data_Tverrsnittfigurer'!$E$27</c:f>
              <c:strCache>
                <c:ptCount val="1"/>
                <c:pt idx="0">
                  <c:v>Stolpe</c:v>
                </c:pt>
              </c:strCache>
            </c:strRef>
          </c:tx>
          <c:spPr>
            <a:solidFill>
              <a:srgbClr val="2E578B"/>
            </a:solidFill>
          </c:spPr>
          <c:invertIfNegative val="0"/>
          <c:dPt>
            <c:idx val="0"/>
            <c:invertIfNegative val="0"/>
            <c:bubble3D val="0"/>
            <c:spPr>
              <a:solidFill>
                <a:srgbClr val="2E578B"/>
              </a:solidFill>
              <a:ln>
                <a:solidFill>
                  <a:schemeClr val="tx1">
                    <a:tint val="75000"/>
                    <a:shade val="95000"/>
                    <a:satMod val="105000"/>
                    <a:alpha val="99000"/>
                  </a:schemeClr>
                </a:solidFill>
              </a:ln>
            </c:spPr>
            <c:extLst>
              <c:ext xmlns:c16="http://schemas.microsoft.com/office/drawing/2014/chart" uri="{C3380CC4-5D6E-409C-BE32-E72D297353CC}">
                <c16:uniqueId val="{00000001-7E80-4920-823B-544BCDF976F5}"/>
              </c:ext>
            </c:extLst>
          </c:dPt>
          <c:dLbls>
            <c:dLbl>
              <c:idx val="4"/>
              <c:layout>
                <c:manualLayout>
                  <c:x val="2.0319571441765955E-2"/>
                  <c:y val="-6.016373404587964E-3"/>
                </c:manualLayout>
              </c:layout>
              <c:numFmt formatCode="#,##0" sourceLinked="0"/>
              <c:spPr>
                <a:noFill/>
                <a:ln>
                  <a:noFill/>
                </a:ln>
                <a:effectLst/>
              </c:spPr>
              <c:txPr>
                <a:bodyPr/>
                <a:lstStyle/>
                <a:p>
                  <a:pPr algn="ctr">
                    <a:defRPr sz="1200">
                      <a:solidFill>
                        <a:schemeClr val="tx1"/>
                      </a:solidFill>
                      <a:latin typeface="Franklin Gothic Book" panose="020B0503020102020204" pitchFamily="34" charset="0"/>
                    </a:defRPr>
                  </a:pPr>
                  <a:endParaRPr lang="nb-NO"/>
                </a:p>
              </c:txPr>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7E80-4920-823B-544BCDF976F5}"/>
                </c:ext>
              </c:extLst>
            </c:dLbl>
            <c:numFmt formatCode="#,##0" sourceLinked="0"/>
            <c:spPr>
              <a:noFill/>
              <a:ln>
                <a:noFill/>
              </a:ln>
              <a:effectLst/>
            </c:spPr>
            <c:txPr>
              <a:bodyPr/>
              <a:lstStyle/>
              <a:p>
                <a:pPr algn="ctr">
                  <a:defRPr sz="1200">
                    <a:solidFill>
                      <a:schemeClr val="bg1"/>
                    </a:solidFill>
                    <a:latin typeface="Franklin Gothic Book" panose="020B0503020102020204" pitchFamily="34" charset="0"/>
                  </a:defRPr>
                </a:pPr>
                <a:endParaRPr lang="nb-N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'4.3.1 Data_Tverrsnittfigurer'!$A$28:$A$33</c:f>
              <c:strCache>
                <c:ptCount val="6"/>
                <c:pt idx="0">
                  <c:v>Markedsinntekter, persontog</c:v>
                </c:pt>
                <c:pt idx="1">
                  <c:v>Offentlig kjøp av persontransport på tog</c:v>
                </c:pt>
                <c:pt idx="2">
                  <c:v>Endring i drift, avgifter og persontog </c:v>
                </c:pt>
                <c:pt idx="3">
                  <c:v>Endring i materiell persontog</c:v>
                </c:pt>
                <c:pt idx="4">
                  <c:v>Endring i avgifter og offentlig kjøp, buss og fly</c:v>
                </c:pt>
                <c:pt idx="5">
                  <c:v>Operatørnytte</c:v>
                </c:pt>
              </c:strCache>
            </c:strRef>
          </c:cat>
          <c:val>
            <c:numRef>
              <c:f>'4.3.1 Data_Tverrsnittfigurer'!$E$28:$E$33</c:f>
              <c:numCache>
                <c:formatCode>General</c:formatCode>
                <c:ptCount val="6"/>
                <c:pt idx="0">
                  <c:v>#N/A</c:v>
                </c:pt>
                <c:pt idx="1">
                  <c:v>#N/A</c:v>
                </c:pt>
                <c:pt idx="2">
                  <c:v>#N/A</c:v>
                </c:pt>
                <c:pt idx="3">
                  <c:v>#N/A</c:v>
                </c:pt>
                <c:pt idx="4">
                  <c:v>#N/A</c:v>
                </c:pt>
                <c:pt idx="5">
                  <c:v>0</c:v>
                </c:pt>
              </c:numCache>
            </c:numRef>
          </c:val>
          <c:extLst>
            <c:ext xmlns:c16="http://schemas.microsoft.com/office/drawing/2014/chart" uri="{C3380CC4-5D6E-409C-BE32-E72D297353CC}">
              <c16:uniqueId val="{00000003-7E80-4920-823B-544BCDF976F5}"/>
            </c:ext>
          </c:extLst>
        </c:ser>
        <c:ser>
          <c:idx val="1"/>
          <c:order val="1"/>
          <c:tx>
            <c:strRef>
              <c:f>'4.3.1 Data_Tverrsnittfigurer'!$J$27</c:f>
              <c:strCache>
                <c:ptCount val="1"/>
                <c:pt idx="0">
                  <c:v>Usynlig</c:v>
                </c:pt>
              </c:strCache>
            </c:strRef>
          </c:tx>
          <c:spPr>
            <a:noFill/>
            <a:ln>
              <a:noFill/>
            </a:ln>
          </c:spPr>
          <c:invertIfNegative val="0"/>
          <c:cat>
            <c:strRef>
              <c:f>'4.3.1 Data_Tverrsnittfigurer'!$A$28:$A$33</c:f>
              <c:strCache>
                <c:ptCount val="6"/>
                <c:pt idx="0">
                  <c:v>Markedsinntekter, persontog</c:v>
                </c:pt>
                <c:pt idx="1">
                  <c:v>Offentlig kjøp av persontransport på tog</c:v>
                </c:pt>
                <c:pt idx="2">
                  <c:v>Endring i drift, avgifter og persontog </c:v>
                </c:pt>
                <c:pt idx="3">
                  <c:v>Endring i materiell persontog</c:v>
                </c:pt>
                <c:pt idx="4">
                  <c:v>Endring i avgifter og offentlig kjøp, buss og fly</c:v>
                </c:pt>
                <c:pt idx="5">
                  <c:v>Operatørnytte</c:v>
                </c:pt>
              </c:strCache>
            </c:strRef>
          </c:cat>
          <c:val>
            <c:numRef>
              <c:f>'4.3.1 Data_Tverrsnittfigurer'!$J$28:$J$33</c:f>
              <c:numCache>
                <c:formatCode>General</c:formatCode>
                <c:ptCount val="6"/>
                <c:pt idx="0">
                  <c:v>0</c:v>
                </c:pt>
                <c:pt idx="1">
                  <c:v>0</c:v>
                </c:pt>
                <c:pt idx="2">
                  <c:v>0</c:v>
                </c:pt>
                <c:pt idx="3">
                  <c:v>0</c:v>
                </c:pt>
                <c:pt idx="4">
                  <c:v>0</c:v>
                </c:pt>
                <c:pt idx="5">
                  <c:v>#N/A</c:v>
                </c:pt>
              </c:numCache>
            </c:numRef>
          </c:val>
          <c:extLst>
            <c:ext xmlns:c16="http://schemas.microsoft.com/office/drawing/2014/chart" uri="{C3380CC4-5D6E-409C-BE32-E72D297353CC}">
              <c16:uniqueId val="{00000004-7E80-4920-823B-544BCDF976F5}"/>
            </c:ext>
          </c:extLst>
        </c:ser>
        <c:ser>
          <c:idx val="2"/>
          <c:order val="2"/>
          <c:tx>
            <c:strRef>
              <c:f>'4.3.1 Data_Tverrsnittfigurer'!$K$27</c:f>
              <c:strCache>
                <c:ptCount val="1"/>
                <c:pt idx="0">
                  <c:v>Etikett+</c:v>
                </c:pt>
              </c:strCache>
            </c:strRef>
          </c:tx>
          <c:spPr>
            <a:noFill/>
          </c:spPr>
          <c:invertIfNegative val="0"/>
          <c:dLbls>
            <c:numFmt formatCode="\+#,##0;\+#,##0" sourceLinked="0"/>
            <c:spPr>
              <a:noFill/>
              <a:ln>
                <a:noFill/>
              </a:ln>
              <a:effectLst/>
            </c:spPr>
            <c:txPr>
              <a:bodyPr wrap="square" lIns="38100" tIns="19050" rIns="38100" bIns="19050" anchor="ctr">
                <a:spAutoFit/>
              </a:bodyPr>
              <a:lstStyle/>
              <a:p>
                <a:pPr>
                  <a:defRPr sz="1200">
                    <a:latin typeface="Franklin Gothic Book" panose="020B0503020102020204" pitchFamily="34" charset="0"/>
                  </a:defRPr>
                </a:pPr>
                <a:endParaRPr lang="nb-NO"/>
              </a:p>
            </c:txPr>
            <c:dLblPos val="inBase"/>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'4.3.1 Data_Tverrsnittfigurer'!$A$28:$A$33</c:f>
              <c:strCache>
                <c:ptCount val="6"/>
                <c:pt idx="0">
                  <c:v>Markedsinntekter, persontog</c:v>
                </c:pt>
                <c:pt idx="1">
                  <c:v>Offentlig kjøp av persontransport på tog</c:v>
                </c:pt>
                <c:pt idx="2">
                  <c:v>Endring i drift, avgifter og persontog </c:v>
                </c:pt>
                <c:pt idx="3">
                  <c:v>Endring i materiell persontog</c:v>
                </c:pt>
                <c:pt idx="4">
                  <c:v>Endring i avgifter og offentlig kjøp, buss og fly</c:v>
                </c:pt>
                <c:pt idx="5">
                  <c:v>Operatørnytte</c:v>
                </c:pt>
              </c:strCache>
            </c:strRef>
          </c:cat>
          <c:val>
            <c:numRef>
              <c:f>'4.3.1 Data_Tverrsnittfigurer'!$K$28:$K$33</c:f>
              <c:numCache>
                <c:formatCode>General</c:formatCode>
                <c:ptCount val="6"/>
                <c:pt idx="0">
                  <c:v>0</c:v>
                </c:pt>
                <c:pt idx="1">
                  <c:v>0</c:v>
                </c:pt>
                <c:pt idx="2">
                  <c:v>0</c:v>
                </c:pt>
                <c:pt idx="3">
                  <c:v>0</c:v>
                </c:pt>
                <c:pt idx="4">
                  <c:v>0</c:v>
                </c:pt>
                <c:pt idx="5">
                  <c:v>#N/A</c:v>
                </c:pt>
              </c:numCache>
            </c:numRef>
          </c:val>
          <c:extLst>
            <c:ext xmlns:c16="http://schemas.microsoft.com/office/drawing/2014/chart" uri="{C3380CC4-5D6E-409C-BE32-E72D297353CC}">
              <c16:uniqueId val="{00000005-7E80-4920-823B-544BCDF976F5}"/>
            </c:ext>
          </c:extLst>
        </c:ser>
        <c:ser>
          <c:idx val="3"/>
          <c:order val="3"/>
          <c:tx>
            <c:strRef>
              <c:f>'4.3.1 Data_Tverrsnittfigurer'!$L$27</c:f>
              <c:strCache>
                <c:ptCount val="1"/>
                <c:pt idx="0">
                  <c:v>Etikett-</c:v>
                </c:pt>
              </c:strCache>
            </c:strRef>
          </c:tx>
          <c:spPr>
            <a:noFill/>
          </c:spPr>
          <c:invertIfNegative val="0"/>
          <c:dLbls>
            <c:numFmt formatCode="\-#,##0;\-#,##0" sourceLinked="0"/>
            <c:spPr>
              <a:noFill/>
              <a:ln>
                <a:noFill/>
              </a:ln>
              <a:effectLst/>
            </c:spPr>
            <c:txPr>
              <a:bodyPr wrap="square" lIns="38100" tIns="19050" rIns="38100" bIns="19050" anchor="ctr">
                <a:spAutoFit/>
              </a:bodyPr>
              <a:lstStyle/>
              <a:p>
                <a:pPr>
                  <a:defRPr sz="1200">
                    <a:latin typeface="Franklin Gothic Book" panose="020B0503020102020204" pitchFamily="34" charset="0"/>
                  </a:defRPr>
                </a:pPr>
                <a:endParaRPr lang="nb-NO"/>
              </a:p>
            </c:txPr>
            <c:dLblPos val="inBase"/>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'4.3.1 Data_Tverrsnittfigurer'!$A$28:$A$33</c:f>
              <c:strCache>
                <c:ptCount val="6"/>
                <c:pt idx="0">
                  <c:v>Markedsinntekter, persontog</c:v>
                </c:pt>
                <c:pt idx="1">
                  <c:v>Offentlig kjøp av persontransport på tog</c:v>
                </c:pt>
                <c:pt idx="2">
                  <c:v>Endring i drift, avgifter og persontog </c:v>
                </c:pt>
                <c:pt idx="3">
                  <c:v>Endring i materiell persontog</c:v>
                </c:pt>
                <c:pt idx="4">
                  <c:v>Endring i avgifter og offentlig kjøp, buss og fly</c:v>
                </c:pt>
                <c:pt idx="5">
                  <c:v>Operatørnytte</c:v>
                </c:pt>
              </c:strCache>
            </c:strRef>
          </c:cat>
          <c:val>
            <c:numRef>
              <c:f>'4.3.1 Data_Tverrsnittfigurer'!$L$28:$L$33</c:f>
              <c:numCache>
                <c:formatCode>General</c:formatCode>
                <c:ptCount val="6"/>
                <c:pt idx="0">
                  <c:v>#N/A</c:v>
                </c:pt>
                <c:pt idx="1">
                  <c:v>#N/A</c:v>
                </c:pt>
                <c:pt idx="2">
                  <c:v>#N/A</c:v>
                </c:pt>
                <c:pt idx="3">
                  <c:v>#N/A</c:v>
                </c:pt>
                <c:pt idx="4">
                  <c:v>#N/A</c:v>
                </c:pt>
                <c:pt idx="5">
                  <c:v>#N/A</c:v>
                </c:pt>
              </c:numCache>
            </c:numRef>
          </c:val>
          <c:extLst>
            <c:ext xmlns:c16="http://schemas.microsoft.com/office/drawing/2014/chart" uri="{C3380CC4-5D6E-409C-BE32-E72D297353CC}">
              <c16:uniqueId val="{00000006-7E80-4920-823B-544BCDF976F5}"/>
            </c:ext>
          </c:extLst>
        </c:ser>
        <c:dLbls>
          <c:showLegendKey val="0"/>
          <c:showVal val="0"/>
          <c:showCatName val="0"/>
          <c:showSerName val="0"/>
          <c:showPercent val="0"/>
          <c:showBubbleSize val="0"/>
        </c:dLbls>
        <c:gapWidth val="20"/>
        <c:overlap val="100"/>
        <c:axId val="190566400"/>
        <c:axId val="190567936"/>
      </c:barChart>
      <c:scatterChart>
        <c:scatterStyle val="lineMarker"/>
        <c:varyColors val="0"/>
        <c:ser>
          <c:idx val="4"/>
          <c:order val="4"/>
          <c:tx>
            <c:strRef>
              <c:f>'4.3.1 Data_Tverrsnittfigurer'!$M$27</c:f>
              <c:strCache>
                <c:ptCount val="1"/>
                <c:pt idx="0">
                  <c:v>Linjer</c:v>
                </c:pt>
              </c:strCache>
            </c:strRef>
          </c:tx>
          <c:spPr>
            <a:ln w="28575">
              <a:noFill/>
            </a:ln>
          </c:spPr>
          <c:marker>
            <c:symbol val="none"/>
          </c:marker>
          <c:errBars>
            <c:errDir val="y"/>
            <c:errBarType val="minus"/>
            <c:errValType val="cust"/>
            <c:noEndCap val="1"/>
            <c:plus>
              <c:numLit>
                <c:formatCode>General</c:formatCode>
                <c:ptCount val="1"/>
                <c:pt idx="0">
                  <c:v>1</c:v>
                </c:pt>
              </c:numLit>
            </c:plus>
            <c:minus>
              <c:numRef>
                <c:f>'4.3.1 Data_Tverrsnittfigurer'!$N$28:$N$33</c:f>
                <c:numCache>
                  <c:formatCode>General</c:formatCode>
                  <c:ptCount val="6"/>
                  <c:pt idx="0">
                    <c:v>0.16666666666666666</c:v>
                  </c:pt>
                  <c:pt idx="1">
                    <c:v>0.16666666666666666</c:v>
                  </c:pt>
                  <c:pt idx="2">
                    <c:v>0.16666666666666666</c:v>
                  </c:pt>
                  <c:pt idx="3">
                    <c:v>0.16666666666666666</c:v>
                  </c:pt>
                  <c:pt idx="4">
                    <c:v>0.16666666666666666</c:v>
                  </c:pt>
                  <c:pt idx="5">
                    <c:v>#N/A</c:v>
                  </c:pt>
                </c:numCache>
              </c:numRef>
            </c:minus>
            <c:spPr>
              <a:ln w="12700" cmpd="sng">
                <a:solidFill>
                  <a:schemeClr val="bg2"/>
                </a:solidFill>
                <a:prstDash val="solid"/>
              </a:ln>
            </c:spPr>
          </c:errBars>
          <c:xVal>
            <c:numRef>
              <c:f>'4.3.1 Data_Tverrsnittfigurer'!$D$28:$D$33</c:f>
              <c:numCache>
                <c:formatCode>General</c:formatCode>
                <c:ptCount val="6"/>
                <c:pt idx="0" formatCode="#,##0">
                  <c:v>0</c:v>
                </c:pt>
                <c:pt idx="1">
                  <c:v>0</c:v>
                </c:pt>
                <c:pt idx="2" formatCode="#,##0">
                  <c:v>0</c:v>
                </c:pt>
                <c:pt idx="3">
                  <c:v>0</c:v>
                </c:pt>
                <c:pt idx="4">
                  <c:v>0</c:v>
                </c:pt>
                <c:pt idx="5">
                  <c:v>0</c:v>
                </c:pt>
              </c:numCache>
            </c:numRef>
          </c:xVal>
          <c:yVal>
            <c:numRef>
              <c:f>'4.3.1 Data_Tverrsnittfigurer'!$M$28:$M$33</c:f>
              <c:numCache>
                <c:formatCode>0.00</c:formatCode>
                <c:ptCount val="6"/>
                <c:pt idx="0">
                  <c:v>0.91666666666666663</c:v>
                </c:pt>
                <c:pt idx="1">
                  <c:v>0.75</c:v>
                </c:pt>
                <c:pt idx="2">
                  <c:v>0.58333333333333337</c:v>
                </c:pt>
                <c:pt idx="3">
                  <c:v>0.41666666666666669</c:v>
                </c:pt>
                <c:pt idx="4">
                  <c:v>0.25</c:v>
                </c:pt>
                <c:pt idx="5">
                  <c:v>8.3333333333333329E-2</c:v>
                </c:pt>
              </c:numCache>
            </c:numRef>
          </c:yVal>
          <c:smooth val="0"/>
          <c:extLst>
            <c:ext xmlns:c16="http://schemas.microsoft.com/office/drawing/2014/chart" uri="{C3380CC4-5D6E-409C-BE32-E72D297353CC}">
              <c16:uniqueId val="{00000007-7E80-4920-823B-544BCDF976F5}"/>
            </c:ext>
          </c:extLst>
        </c:ser>
        <c:ser>
          <c:idx val="5"/>
          <c:order val="5"/>
          <c:tx>
            <c:strRef>
              <c:f>'4.3.1 Data_Tverrsnittfigurer'!$F$27</c:f>
              <c:strCache>
                <c:ptCount val="1"/>
                <c:pt idx="0">
                  <c:v>Base+</c:v>
                </c:pt>
              </c:strCache>
            </c:strRef>
          </c:tx>
          <c:spPr>
            <a:ln w="28575">
              <a:noFill/>
            </a:ln>
          </c:spPr>
          <c:marker>
            <c:symbol val="none"/>
          </c:marker>
          <c:errBars>
            <c:errDir val="x"/>
            <c:errBarType val="minus"/>
            <c:errValType val="cust"/>
            <c:noEndCap val="1"/>
            <c:plus>
              <c:numLit>
                <c:formatCode>General</c:formatCode>
                <c:ptCount val="1"/>
                <c:pt idx="0">
                  <c:v>1</c:v>
                </c:pt>
              </c:numLit>
            </c:plus>
            <c:minus>
              <c:numRef>
                <c:f>'4.3.1 Data_Tverrsnittfigurer'!$H$28:$H$33</c:f>
                <c:numCache>
                  <c:formatCode>General</c:formatCode>
                  <c:ptCount val="6"/>
                  <c:pt idx="0">
                    <c:v>0</c:v>
                  </c:pt>
                  <c:pt idx="1">
                    <c:v>0</c:v>
                  </c:pt>
                  <c:pt idx="2">
                    <c:v>0</c:v>
                  </c:pt>
                  <c:pt idx="3">
                    <c:v>0</c:v>
                  </c:pt>
                  <c:pt idx="4">
                    <c:v>0</c:v>
                  </c:pt>
                  <c:pt idx="5">
                    <c:v>#N/A</c:v>
                  </c:pt>
                </c:numCache>
              </c:numRef>
            </c:minus>
            <c:spPr>
              <a:ln w="190500">
                <a:solidFill>
                  <a:srgbClr val="CB5F3B"/>
                </a:solidFill>
              </a:ln>
            </c:spPr>
          </c:errBars>
          <c:xVal>
            <c:numRef>
              <c:f>'4.3.1 Data_Tverrsnittfigurer'!$F$28:$F$33</c:f>
              <c:numCache>
                <c:formatCode>General</c:formatCode>
                <c:ptCount val="6"/>
                <c:pt idx="0">
                  <c:v>0</c:v>
                </c:pt>
                <c:pt idx="1">
                  <c:v>0</c:v>
                </c:pt>
                <c:pt idx="2" formatCode="#,##0">
                  <c:v>0</c:v>
                </c:pt>
                <c:pt idx="3">
                  <c:v>0</c:v>
                </c:pt>
                <c:pt idx="4">
                  <c:v>0</c:v>
                </c:pt>
                <c:pt idx="5">
                  <c:v>#N/A</c:v>
                </c:pt>
              </c:numCache>
            </c:numRef>
          </c:xVal>
          <c:yVal>
            <c:numRef>
              <c:f>'4.3.1 Data_Tverrsnittfigurer'!$M$28:$M$33</c:f>
              <c:numCache>
                <c:formatCode>0.00</c:formatCode>
                <c:ptCount val="6"/>
                <c:pt idx="0">
                  <c:v>0.91666666666666663</c:v>
                </c:pt>
                <c:pt idx="1">
                  <c:v>0.75</c:v>
                </c:pt>
                <c:pt idx="2">
                  <c:v>0.58333333333333337</c:v>
                </c:pt>
                <c:pt idx="3">
                  <c:v>0.41666666666666669</c:v>
                </c:pt>
                <c:pt idx="4">
                  <c:v>0.25</c:v>
                </c:pt>
                <c:pt idx="5">
                  <c:v>8.3333333333333329E-2</c:v>
                </c:pt>
              </c:numCache>
            </c:numRef>
          </c:yVal>
          <c:smooth val="0"/>
          <c:extLst>
            <c:ext xmlns:c16="http://schemas.microsoft.com/office/drawing/2014/chart" uri="{C3380CC4-5D6E-409C-BE32-E72D297353CC}">
              <c16:uniqueId val="{00000008-7E80-4920-823B-544BCDF976F5}"/>
            </c:ext>
          </c:extLst>
        </c:ser>
        <c:ser>
          <c:idx val="6"/>
          <c:order val="6"/>
          <c:tx>
            <c:strRef>
              <c:f>'4.3.1 Data_Tverrsnittfigurer'!$G$27</c:f>
              <c:strCache>
                <c:ptCount val="1"/>
                <c:pt idx="0">
                  <c:v>Base-</c:v>
                </c:pt>
              </c:strCache>
            </c:strRef>
          </c:tx>
          <c:spPr>
            <a:ln w="28575">
              <a:noFill/>
            </a:ln>
          </c:spPr>
          <c:marker>
            <c:symbol val="none"/>
          </c:marker>
          <c:errBars>
            <c:errDir val="x"/>
            <c:errBarType val="plus"/>
            <c:errValType val="cust"/>
            <c:noEndCap val="1"/>
            <c:plus>
              <c:numRef>
                <c:f>'4.3.1 Data_Tverrsnittfigurer'!$I$28:$I$33</c:f>
                <c:numCache>
                  <c:formatCode>General</c:formatCode>
                  <c:ptCount val="6"/>
                  <c:pt idx="0">
                    <c:v>#N/A</c:v>
                  </c:pt>
                  <c:pt idx="1">
                    <c:v>#N/A</c:v>
                  </c:pt>
                  <c:pt idx="2">
                    <c:v>#N/A</c:v>
                  </c:pt>
                  <c:pt idx="3">
                    <c:v>#N/A</c:v>
                  </c:pt>
                  <c:pt idx="4">
                    <c:v>#N/A</c:v>
                  </c:pt>
                  <c:pt idx="5">
                    <c:v>#N/A</c:v>
                  </c:pt>
                </c:numCache>
              </c:numRef>
            </c:plus>
            <c:minus>
              <c:numLit>
                <c:formatCode>General</c:formatCode>
                <c:ptCount val="1"/>
                <c:pt idx="0">
                  <c:v>1</c:v>
                </c:pt>
              </c:numLit>
            </c:minus>
            <c:spPr>
              <a:ln w="190500">
                <a:solidFill>
                  <a:srgbClr val="E3A889"/>
                </a:solidFill>
              </a:ln>
            </c:spPr>
          </c:errBars>
          <c:xVal>
            <c:numRef>
              <c:f>'4.3.1 Data_Tverrsnittfigurer'!$G$28:$G$33</c:f>
              <c:numCache>
                <c:formatCode>General</c:formatCode>
                <c:ptCount val="6"/>
                <c:pt idx="0">
                  <c:v>#N/A</c:v>
                </c:pt>
                <c:pt idx="1">
                  <c:v>#N/A</c:v>
                </c:pt>
                <c:pt idx="2" formatCode="#,##0">
                  <c:v>#N/A</c:v>
                </c:pt>
                <c:pt idx="3">
                  <c:v>#N/A</c:v>
                </c:pt>
                <c:pt idx="4">
                  <c:v>#N/A</c:v>
                </c:pt>
                <c:pt idx="5">
                  <c:v>#N/A</c:v>
                </c:pt>
              </c:numCache>
            </c:numRef>
          </c:xVal>
          <c:yVal>
            <c:numRef>
              <c:f>'4.3.1 Data_Tverrsnittfigurer'!$M$28:$M$33</c:f>
              <c:numCache>
                <c:formatCode>0.00</c:formatCode>
                <c:ptCount val="6"/>
                <c:pt idx="0">
                  <c:v>0.91666666666666663</c:v>
                </c:pt>
                <c:pt idx="1">
                  <c:v>0.75</c:v>
                </c:pt>
                <c:pt idx="2">
                  <c:v>0.58333333333333337</c:v>
                </c:pt>
                <c:pt idx="3">
                  <c:v>0.41666666666666669</c:v>
                </c:pt>
                <c:pt idx="4">
                  <c:v>0.25</c:v>
                </c:pt>
                <c:pt idx="5">
                  <c:v>8.3333333333333329E-2</c:v>
                </c:pt>
              </c:numCache>
            </c:numRef>
          </c:yVal>
          <c:smooth val="0"/>
          <c:extLst>
            <c:ext xmlns:c16="http://schemas.microsoft.com/office/drawing/2014/chart" uri="{C3380CC4-5D6E-409C-BE32-E72D297353CC}">
              <c16:uniqueId val="{00000009-7E80-4920-823B-544BCDF976F5}"/>
            </c:ext>
          </c:extLst>
        </c:ser>
        <c:dLbls>
          <c:showLegendKey val="0"/>
          <c:showVal val="0"/>
          <c:showCatName val="0"/>
          <c:showSerName val="0"/>
          <c:showPercent val="0"/>
          <c:showBubbleSize val="0"/>
        </c:dLbls>
        <c:axId val="191038208"/>
        <c:axId val="190569472"/>
      </c:scatterChart>
      <c:catAx>
        <c:axId val="190566400"/>
        <c:scaling>
          <c:orientation val="maxMin"/>
        </c:scaling>
        <c:delete val="0"/>
        <c:axPos val="l"/>
        <c:numFmt formatCode="General" sourceLinked="0"/>
        <c:majorTickMark val="none"/>
        <c:minorTickMark val="none"/>
        <c:tickLblPos val="low"/>
        <c:spPr>
          <a:ln w="19050"/>
        </c:spPr>
        <c:txPr>
          <a:bodyPr/>
          <a:lstStyle/>
          <a:p>
            <a:pPr>
              <a:defRPr sz="1200">
                <a:latin typeface="Franklin Gothic Book" panose="020B0503020102020204" pitchFamily="34" charset="0"/>
              </a:defRPr>
            </a:pPr>
            <a:endParaRPr lang="nb-NO"/>
          </a:p>
        </c:txPr>
        <c:crossAx val="190567936"/>
        <c:crossesAt val="0"/>
        <c:auto val="1"/>
        <c:lblAlgn val="ctr"/>
        <c:lblOffset val="100"/>
        <c:noMultiLvlLbl val="0"/>
      </c:catAx>
      <c:valAx>
        <c:axId val="190567936"/>
        <c:scaling>
          <c:orientation val="minMax"/>
        </c:scaling>
        <c:delete val="0"/>
        <c:axPos val="b"/>
        <c:title>
          <c:tx>
            <c:rich>
              <a:bodyPr/>
              <a:lstStyle/>
              <a:p>
                <a:pPr>
                  <a:defRPr sz="1200">
                    <a:latin typeface="Franklin Gothic Book" panose="020B0503020102020204" pitchFamily="34" charset="0"/>
                  </a:defRPr>
                </a:pPr>
                <a:r>
                  <a:rPr lang="nb-NO" sz="1200">
                    <a:latin typeface="Franklin Gothic Book" panose="020B0503020102020204" pitchFamily="34" charset="0"/>
                  </a:rPr>
                  <a:t>Millioner kroner</a:t>
                </a:r>
              </a:p>
            </c:rich>
          </c:tx>
          <c:overlay val="0"/>
        </c:title>
        <c:numFmt formatCode="#,##0" sourceLinked="0"/>
        <c:majorTickMark val="out"/>
        <c:minorTickMark val="none"/>
        <c:tickLblPos val="nextTo"/>
        <c:txPr>
          <a:bodyPr/>
          <a:lstStyle/>
          <a:p>
            <a:pPr>
              <a:defRPr sz="1200">
                <a:latin typeface="Franklin Gothic Book" panose="020B0503020102020204" pitchFamily="34" charset="0"/>
              </a:defRPr>
            </a:pPr>
            <a:endParaRPr lang="nb-NO"/>
          </a:p>
        </c:txPr>
        <c:crossAx val="190566400"/>
        <c:crosses val="max"/>
        <c:crossBetween val="between"/>
      </c:valAx>
      <c:valAx>
        <c:axId val="190569472"/>
        <c:scaling>
          <c:orientation val="minMax"/>
          <c:max val="1"/>
          <c:min val="0"/>
        </c:scaling>
        <c:delete val="1"/>
        <c:axPos val="r"/>
        <c:numFmt formatCode="0.00" sourceLinked="1"/>
        <c:majorTickMark val="out"/>
        <c:minorTickMark val="none"/>
        <c:tickLblPos val="nextTo"/>
        <c:crossAx val="191038208"/>
        <c:crosses val="max"/>
        <c:crossBetween val="midCat"/>
      </c:valAx>
      <c:valAx>
        <c:axId val="191038208"/>
        <c:scaling>
          <c:orientation val="minMax"/>
        </c:scaling>
        <c:delete val="1"/>
        <c:axPos val="b"/>
        <c:numFmt formatCode="#,##0" sourceLinked="1"/>
        <c:majorTickMark val="out"/>
        <c:minorTickMark val="none"/>
        <c:tickLblPos val="nextTo"/>
        <c:crossAx val="190569472"/>
        <c:crosses val="autoZero"/>
        <c:crossBetween val="midCat"/>
      </c:valAx>
    </c:plotArea>
    <c:plotVisOnly val="1"/>
    <c:dispBlanksAs val="gap"/>
    <c:showDLblsOverMax val="0"/>
  </c:chart>
  <c:txPr>
    <a:bodyPr/>
    <a:lstStyle/>
    <a:p>
      <a:pPr>
        <a:defRPr lang="en-US" sz="1000" b="0" i="0" u="none" strike="noStrike" kern="1200" baseline="0">
          <a:solidFill>
            <a:schemeClr val="tx1"/>
          </a:solidFill>
          <a:latin typeface="+mn-lt"/>
          <a:ea typeface="+mn-ea"/>
          <a:cs typeface="+mn-cs"/>
        </a:defRPr>
      </a:pPr>
      <a:endParaRPr lang="nb-NO"/>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b-NO"/>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'4.3.1 Data_Tverrsnittfigurer'!$B$46</c:f>
          <c:strCache>
            <c:ptCount val="1"/>
            <c:pt idx="0">
              <c:v>Nåverdi av nytteelementer for samfunnet for øvrig, mill. -kroner</c:v>
            </c:pt>
          </c:strCache>
        </c:strRef>
      </c:tx>
      <c:overlay val="0"/>
      <c:txPr>
        <a:bodyPr/>
        <a:lstStyle/>
        <a:p>
          <a:pPr>
            <a:defRPr sz="1600">
              <a:latin typeface="Franklin Gothic Book" panose="020B0503020102020204" pitchFamily="34" charset="0"/>
            </a:defRPr>
          </a:pPr>
          <a:endParaRPr lang="nb-NO"/>
        </a:p>
      </c:txPr>
    </c:title>
    <c:autoTitleDeleted val="0"/>
    <c:plotArea>
      <c:layout>
        <c:manualLayout>
          <c:layoutTarget val="inner"/>
          <c:xMode val="edge"/>
          <c:yMode val="edge"/>
          <c:x val="0.17753835935544732"/>
          <c:y val="0.11780444012194438"/>
          <c:w val="0.77739236599092598"/>
          <c:h val="0.79882107966907934"/>
        </c:manualLayout>
      </c:layout>
      <c:barChart>
        <c:barDir val="bar"/>
        <c:grouping val="stacked"/>
        <c:varyColors val="0"/>
        <c:ser>
          <c:idx val="0"/>
          <c:order val="0"/>
          <c:tx>
            <c:strRef>
              <c:f>'4.3.1 Data_Tverrsnittfigurer'!$E$47</c:f>
              <c:strCache>
                <c:ptCount val="1"/>
                <c:pt idx="0">
                  <c:v>Stolpe</c:v>
                </c:pt>
              </c:strCache>
            </c:strRef>
          </c:tx>
          <c:spPr>
            <a:solidFill>
              <a:srgbClr val="2E578B"/>
            </a:solidFill>
          </c:spPr>
          <c:invertIfNegative val="0"/>
          <c:dPt>
            <c:idx val="0"/>
            <c:invertIfNegative val="0"/>
            <c:bubble3D val="0"/>
            <c:spPr>
              <a:solidFill>
                <a:srgbClr val="2E578B"/>
              </a:solidFill>
              <a:ln>
                <a:solidFill>
                  <a:schemeClr val="tx1">
                    <a:tint val="75000"/>
                    <a:shade val="95000"/>
                    <a:satMod val="105000"/>
                    <a:alpha val="99000"/>
                  </a:schemeClr>
                </a:solidFill>
              </a:ln>
            </c:spPr>
            <c:extLst>
              <c:ext xmlns:c16="http://schemas.microsoft.com/office/drawing/2014/chart" uri="{C3380CC4-5D6E-409C-BE32-E72D297353CC}">
                <c16:uniqueId val="{00000001-4E0C-47A1-A408-CF95D074A558}"/>
              </c:ext>
            </c:extLst>
          </c:dPt>
          <c:dLbls>
            <c:dLbl>
              <c:idx val="4"/>
              <c:layout>
                <c:manualLayout>
                  <c:x val="2.0319571441765955E-2"/>
                  <c:y val="-6.016373404587964E-3"/>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4E0C-47A1-A408-CF95D074A558}"/>
                </c:ext>
              </c:extLst>
            </c:dLbl>
            <c:numFmt formatCode="#,##0" sourceLinked="0"/>
            <c:spPr>
              <a:noFill/>
              <a:ln>
                <a:noFill/>
              </a:ln>
              <a:effectLst/>
            </c:spPr>
            <c:txPr>
              <a:bodyPr/>
              <a:lstStyle/>
              <a:p>
                <a:pPr algn="ctr">
                  <a:defRPr sz="1200">
                    <a:solidFill>
                      <a:schemeClr val="bg1"/>
                    </a:solidFill>
                    <a:latin typeface="Franklin Gothic Book" panose="020B0503020102020204" pitchFamily="34" charset="0"/>
                  </a:defRPr>
                </a:pPr>
                <a:endParaRPr lang="nb-N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'4.3.1 Data_Tverrsnittfigurer'!$A$48:$A$54</c:f>
              <c:strCache>
                <c:ptCount val="7"/>
                <c:pt idx="0">
                  <c:v>Endring i ulykker</c:v>
                </c:pt>
                <c:pt idx="1">
                  <c:v>Endring i støy</c:v>
                </c:pt>
                <c:pt idx="2">
                  <c:v>Endring i lokale utslipp</c:v>
                </c:pt>
                <c:pt idx="3">
                  <c:v>Endring i CO2-utslipp</c:v>
                </c:pt>
                <c:pt idx="4">
                  <c:v>Endring i CO2-utslipp i byggefasen</c:v>
                </c:pt>
                <c:pt idx="5">
                  <c:v>Endring i CO2-utslipp arealbeslag</c:v>
                </c:pt>
                <c:pt idx="6">
                  <c:v>Samfunnet for øvrig</c:v>
                </c:pt>
              </c:strCache>
            </c:strRef>
          </c:cat>
          <c:val>
            <c:numRef>
              <c:f>'4.3.1 Data_Tverrsnittfigurer'!$E$48:$E$54</c:f>
              <c:numCache>
                <c:formatCode>General</c:formatCode>
                <c:ptCount val="7"/>
                <c:pt idx="0">
                  <c:v>#N/A</c:v>
                </c:pt>
                <c:pt idx="1">
                  <c:v>#N/A</c:v>
                </c:pt>
                <c:pt idx="2">
                  <c:v>#N/A</c:v>
                </c:pt>
                <c:pt idx="3">
                  <c:v>#N/A</c:v>
                </c:pt>
                <c:pt idx="4">
                  <c:v>#N/A</c:v>
                </c:pt>
                <c:pt idx="5">
                  <c:v>#N/A</c:v>
                </c:pt>
                <c:pt idx="6">
                  <c:v>#N/A</c:v>
                </c:pt>
              </c:numCache>
            </c:numRef>
          </c:val>
          <c:extLst>
            <c:ext xmlns:c16="http://schemas.microsoft.com/office/drawing/2014/chart" uri="{C3380CC4-5D6E-409C-BE32-E72D297353CC}">
              <c16:uniqueId val="{00000003-4E0C-47A1-A408-CF95D074A558}"/>
            </c:ext>
          </c:extLst>
        </c:ser>
        <c:ser>
          <c:idx val="1"/>
          <c:order val="1"/>
          <c:tx>
            <c:strRef>
              <c:f>'4.3.1 Data_Tverrsnittfigurer'!$J$47</c:f>
              <c:strCache>
                <c:ptCount val="1"/>
                <c:pt idx="0">
                  <c:v>Usynlig</c:v>
                </c:pt>
              </c:strCache>
            </c:strRef>
          </c:tx>
          <c:spPr>
            <a:noFill/>
            <a:ln>
              <a:noFill/>
            </a:ln>
          </c:spPr>
          <c:invertIfNegative val="0"/>
          <c:cat>
            <c:strRef>
              <c:f>'4.3.1 Data_Tverrsnittfigurer'!$A$48:$A$54</c:f>
              <c:strCache>
                <c:ptCount val="7"/>
                <c:pt idx="0">
                  <c:v>Endring i ulykker</c:v>
                </c:pt>
                <c:pt idx="1">
                  <c:v>Endring i støy</c:v>
                </c:pt>
                <c:pt idx="2">
                  <c:v>Endring i lokale utslipp</c:v>
                </c:pt>
                <c:pt idx="3">
                  <c:v>Endring i CO2-utslipp</c:v>
                </c:pt>
                <c:pt idx="4">
                  <c:v>Endring i CO2-utslipp i byggefasen</c:v>
                </c:pt>
                <c:pt idx="5">
                  <c:v>Endring i CO2-utslipp arealbeslag</c:v>
                </c:pt>
                <c:pt idx="6">
                  <c:v>Samfunnet for øvrig</c:v>
                </c:pt>
              </c:strCache>
            </c:strRef>
          </c:cat>
          <c:val>
            <c:numRef>
              <c:f>'4.3.1 Data_Tverrsnittfigurer'!$J$48:$J$54</c:f>
              <c:numCache>
                <c:formatCode>General</c:formatCode>
                <c:ptCount val="7"/>
                <c:pt idx="0">
                  <c:v>0</c:v>
                </c:pt>
                <c:pt idx="1">
                  <c:v>0</c:v>
                </c:pt>
                <c:pt idx="2">
                  <c:v>0</c:v>
                </c:pt>
                <c:pt idx="3">
                  <c:v>0</c:v>
                </c:pt>
                <c:pt idx="4">
                  <c:v>#N/A</c:v>
                </c:pt>
                <c:pt idx="5">
                  <c:v>#N/A</c:v>
                </c:pt>
                <c:pt idx="6">
                  <c:v>#N/A</c:v>
                </c:pt>
              </c:numCache>
            </c:numRef>
          </c:val>
          <c:extLst>
            <c:ext xmlns:c16="http://schemas.microsoft.com/office/drawing/2014/chart" uri="{C3380CC4-5D6E-409C-BE32-E72D297353CC}">
              <c16:uniqueId val="{00000004-4E0C-47A1-A408-CF95D074A558}"/>
            </c:ext>
          </c:extLst>
        </c:ser>
        <c:ser>
          <c:idx val="2"/>
          <c:order val="2"/>
          <c:tx>
            <c:strRef>
              <c:f>'4.3.1 Data_Tverrsnittfigurer'!$K$47</c:f>
              <c:strCache>
                <c:ptCount val="1"/>
                <c:pt idx="0">
                  <c:v>Etikett+</c:v>
                </c:pt>
              </c:strCache>
            </c:strRef>
          </c:tx>
          <c:spPr>
            <a:noFill/>
          </c:spPr>
          <c:invertIfNegative val="0"/>
          <c:dLbls>
            <c:numFmt formatCode="\+#,##0;\+#,##0" sourceLinked="0"/>
            <c:spPr>
              <a:noFill/>
              <a:ln>
                <a:noFill/>
              </a:ln>
              <a:effectLst/>
            </c:spPr>
            <c:txPr>
              <a:bodyPr wrap="square" lIns="38100" tIns="19050" rIns="38100" bIns="19050" anchor="ctr">
                <a:spAutoFit/>
              </a:bodyPr>
              <a:lstStyle/>
              <a:p>
                <a:pPr>
                  <a:defRPr sz="1200">
                    <a:latin typeface="Franklin Gothic Book" panose="020B0503020102020204" pitchFamily="34" charset="0"/>
                  </a:defRPr>
                </a:pPr>
                <a:endParaRPr lang="nb-NO"/>
              </a:p>
            </c:txPr>
            <c:dLblPos val="inBase"/>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'4.3.1 Data_Tverrsnittfigurer'!$A$48:$A$54</c:f>
              <c:strCache>
                <c:ptCount val="7"/>
                <c:pt idx="0">
                  <c:v>Endring i ulykker</c:v>
                </c:pt>
                <c:pt idx="1">
                  <c:v>Endring i støy</c:v>
                </c:pt>
                <c:pt idx="2">
                  <c:v>Endring i lokale utslipp</c:v>
                </c:pt>
                <c:pt idx="3">
                  <c:v>Endring i CO2-utslipp</c:v>
                </c:pt>
                <c:pt idx="4">
                  <c:v>Endring i CO2-utslipp i byggefasen</c:v>
                </c:pt>
                <c:pt idx="5">
                  <c:v>Endring i CO2-utslipp arealbeslag</c:v>
                </c:pt>
                <c:pt idx="6">
                  <c:v>Samfunnet for øvrig</c:v>
                </c:pt>
              </c:strCache>
            </c:strRef>
          </c:cat>
          <c:val>
            <c:numRef>
              <c:f>'4.3.1 Data_Tverrsnittfigurer'!$K$48:$K$54</c:f>
              <c:numCache>
                <c:formatCode>General</c:formatCode>
                <c:ptCount val="7"/>
                <c:pt idx="0">
                  <c:v>0</c:v>
                </c:pt>
                <c:pt idx="1">
                  <c:v>0</c:v>
                </c:pt>
                <c:pt idx="2">
                  <c:v>0</c:v>
                </c:pt>
                <c:pt idx="3">
                  <c:v>0</c:v>
                </c:pt>
                <c:pt idx="4">
                  <c:v>#N/A</c:v>
                </c:pt>
                <c:pt idx="5">
                  <c:v>#N/A</c:v>
                </c:pt>
                <c:pt idx="6">
                  <c:v>#N/A</c:v>
                </c:pt>
              </c:numCache>
            </c:numRef>
          </c:val>
          <c:extLst>
            <c:ext xmlns:c16="http://schemas.microsoft.com/office/drawing/2014/chart" uri="{C3380CC4-5D6E-409C-BE32-E72D297353CC}">
              <c16:uniqueId val="{00000005-4E0C-47A1-A408-CF95D074A558}"/>
            </c:ext>
          </c:extLst>
        </c:ser>
        <c:ser>
          <c:idx val="3"/>
          <c:order val="3"/>
          <c:tx>
            <c:strRef>
              <c:f>'4.3.1 Data_Tverrsnittfigurer'!$L$47</c:f>
              <c:strCache>
                <c:ptCount val="1"/>
                <c:pt idx="0">
                  <c:v>Etikett-</c:v>
                </c:pt>
              </c:strCache>
            </c:strRef>
          </c:tx>
          <c:spPr>
            <a:noFill/>
          </c:spPr>
          <c:invertIfNegative val="0"/>
          <c:dLbls>
            <c:numFmt formatCode="\-#,##0;\-#,##0" sourceLinked="0"/>
            <c:spPr>
              <a:noFill/>
              <a:ln>
                <a:noFill/>
              </a:ln>
              <a:effectLst/>
            </c:spPr>
            <c:txPr>
              <a:bodyPr wrap="square" lIns="38100" tIns="19050" rIns="38100" bIns="19050" anchor="ctr">
                <a:spAutoFit/>
              </a:bodyPr>
              <a:lstStyle/>
              <a:p>
                <a:pPr>
                  <a:defRPr sz="1100">
                    <a:latin typeface="Franklin Gothic Book" panose="020B0503020102020204" pitchFamily="34" charset="0"/>
                  </a:defRPr>
                </a:pPr>
                <a:endParaRPr lang="nb-NO"/>
              </a:p>
            </c:txPr>
            <c:dLblPos val="inBase"/>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'4.3.1 Data_Tverrsnittfigurer'!$A$48:$A$54</c:f>
              <c:strCache>
                <c:ptCount val="7"/>
                <c:pt idx="0">
                  <c:v>Endring i ulykker</c:v>
                </c:pt>
                <c:pt idx="1">
                  <c:v>Endring i støy</c:v>
                </c:pt>
                <c:pt idx="2">
                  <c:v>Endring i lokale utslipp</c:v>
                </c:pt>
                <c:pt idx="3">
                  <c:v>Endring i CO2-utslipp</c:v>
                </c:pt>
                <c:pt idx="4">
                  <c:v>Endring i CO2-utslipp i byggefasen</c:v>
                </c:pt>
                <c:pt idx="5">
                  <c:v>Endring i CO2-utslipp arealbeslag</c:v>
                </c:pt>
                <c:pt idx="6">
                  <c:v>Samfunnet for øvrig</c:v>
                </c:pt>
              </c:strCache>
            </c:strRef>
          </c:cat>
          <c:val>
            <c:numRef>
              <c:f>'4.3.1 Data_Tverrsnittfigurer'!$L$48:$L$54</c:f>
              <c:numCache>
                <c:formatCode>General</c:formatCode>
                <c:ptCount val="7"/>
                <c:pt idx="0">
                  <c:v>#N/A</c:v>
                </c:pt>
                <c:pt idx="1">
                  <c:v>#N/A</c:v>
                </c:pt>
                <c:pt idx="2">
                  <c:v>#N/A</c:v>
                </c:pt>
                <c:pt idx="3">
                  <c:v>#N/A</c:v>
                </c:pt>
                <c:pt idx="4">
                  <c:v>#N/A</c:v>
                </c:pt>
                <c:pt idx="5">
                  <c:v>#N/A</c:v>
                </c:pt>
                <c:pt idx="6" formatCode="0.00">
                  <c:v>#N/A</c:v>
                </c:pt>
              </c:numCache>
            </c:numRef>
          </c:val>
          <c:extLst>
            <c:ext xmlns:c16="http://schemas.microsoft.com/office/drawing/2014/chart" uri="{C3380CC4-5D6E-409C-BE32-E72D297353CC}">
              <c16:uniqueId val="{00000006-4E0C-47A1-A408-CF95D074A558}"/>
            </c:ext>
          </c:extLst>
        </c:ser>
        <c:dLbls>
          <c:showLegendKey val="0"/>
          <c:showVal val="0"/>
          <c:showCatName val="0"/>
          <c:showSerName val="0"/>
          <c:showPercent val="0"/>
          <c:showBubbleSize val="0"/>
        </c:dLbls>
        <c:gapWidth val="20"/>
        <c:overlap val="100"/>
        <c:axId val="190566400"/>
        <c:axId val="190567936"/>
      </c:barChart>
      <c:scatterChart>
        <c:scatterStyle val="lineMarker"/>
        <c:varyColors val="0"/>
        <c:ser>
          <c:idx val="4"/>
          <c:order val="4"/>
          <c:tx>
            <c:strRef>
              <c:f>'4.3.1 Data_Tverrsnittfigurer'!$M$47</c:f>
              <c:strCache>
                <c:ptCount val="1"/>
                <c:pt idx="0">
                  <c:v>Linjer</c:v>
                </c:pt>
              </c:strCache>
            </c:strRef>
          </c:tx>
          <c:spPr>
            <a:ln w="28575">
              <a:noFill/>
            </a:ln>
          </c:spPr>
          <c:marker>
            <c:symbol val="none"/>
          </c:marker>
          <c:errBars>
            <c:errDir val="y"/>
            <c:errBarType val="minus"/>
            <c:errValType val="cust"/>
            <c:noEndCap val="1"/>
            <c:plus>
              <c:numLit>
                <c:formatCode>General</c:formatCode>
                <c:ptCount val="1"/>
                <c:pt idx="0">
                  <c:v>1</c:v>
                </c:pt>
              </c:numLit>
            </c:plus>
            <c:minus>
              <c:numRef>
                <c:f>'4.3.1 Data_Tverrsnittfigurer'!$N$48:$N$54</c:f>
                <c:numCache>
                  <c:formatCode>General</c:formatCode>
                  <c:ptCount val="7"/>
                  <c:pt idx="0">
                    <c:v>0.14285714285714285</c:v>
                  </c:pt>
                  <c:pt idx="1">
                    <c:v>0.14285714285714285</c:v>
                  </c:pt>
                  <c:pt idx="2">
                    <c:v>0.14285714285714285</c:v>
                  </c:pt>
                  <c:pt idx="3">
                    <c:v>0.14285714285714285</c:v>
                  </c:pt>
                  <c:pt idx="4">
                    <c:v>0.14285714285714285</c:v>
                  </c:pt>
                  <c:pt idx="5">
                    <c:v>0.14285714285714285</c:v>
                  </c:pt>
                  <c:pt idx="6">
                    <c:v>#N/A</c:v>
                  </c:pt>
                </c:numCache>
              </c:numRef>
            </c:minus>
            <c:spPr>
              <a:ln w="12700" cmpd="sng">
                <a:solidFill>
                  <a:schemeClr val="bg2"/>
                </a:solidFill>
                <a:prstDash val="solid"/>
              </a:ln>
            </c:spPr>
          </c:errBars>
          <c:xVal>
            <c:numRef>
              <c:f>'4.3.1 Data_Tverrsnittfigurer'!$D$48:$D$54</c:f>
              <c:numCache>
                <c:formatCode>General</c:formatCode>
                <c:ptCount val="7"/>
                <c:pt idx="0" formatCode="#,##0">
                  <c:v>0</c:v>
                </c:pt>
                <c:pt idx="1">
                  <c:v>0</c:v>
                </c:pt>
                <c:pt idx="2">
                  <c:v>0</c:v>
                </c:pt>
                <c:pt idx="3">
                  <c:v>0</c:v>
                </c:pt>
                <c:pt idx="4">
                  <c:v>#N/A</c:v>
                </c:pt>
                <c:pt idx="5">
                  <c:v>#N/A</c:v>
                </c:pt>
                <c:pt idx="6">
                  <c:v>#N/A</c:v>
                </c:pt>
              </c:numCache>
            </c:numRef>
          </c:xVal>
          <c:yVal>
            <c:numRef>
              <c:f>'4.3.1 Data_Tverrsnittfigurer'!$M$48:$M$54</c:f>
              <c:numCache>
                <c:formatCode>0.00</c:formatCode>
                <c:ptCount val="7"/>
                <c:pt idx="0">
                  <c:v>0.9285714285714286</c:v>
                </c:pt>
                <c:pt idx="1">
                  <c:v>0.7857142857142857</c:v>
                </c:pt>
                <c:pt idx="2">
                  <c:v>0.6428571428571429</c:v>
                </c:pt>
                <c:pt idx="3">
                  <c:v>0.5</c:v>
                </c:pt>
                <c:pt idx="4">
                  <c:v>0.35714285714285715</c:v>
                </c:pt>
                <c:pt idx="5">
                  <c:v>0.21428571428571427</c:v>
                </c:pt>
                <c:pt idx="6">
                  <c:v>7.1428571428571425E-2</c:v>
                </c:pt>
              </c:numCache>
            </c:numRef>
          </c:yVal>
          <c:smooth val="0"/>
          <c:extLst>
            <c:ext xmlns:c16="http://schemas.microsoft.com/office/drawing/2014/chart" uri="{C3380CC4-5D6E-409C-BE32-E72D297353CC}">
              <c16:uniqueId val="{00000007-4E0C-47A1-A408-CF95D074A558}"/>
            </c:ext>
          </c:extLst>
        </c:ser>
        <c:ser>
          <c:idx val="5"/>
          <c:order val="5"/>
          <c:tx>
            <c:strRef>
              <c:f>'4.3.1 Data_Tverrsnittfigurer'!$F$47</c:f>
              <c:strCache>
                <c:ptCount val="1"/>
                <c:pt idx="0">
                  <c:v>Base+</c:v>
                </c:pt>
              </c:strCache>
            </c:strRef>
          </c:tx>
          <c:spPr>
            <a:ln w="28575">
              <a:noFill/>
            </a:ln>
          </c:spPr>
          <c:marker>
            <c:symbol val="none"/>
          </c:marker>
          <c:errBars>
            <c:errDir val="x"/>
            <c:errBarType val="minus"/>
            <c:errValType val="cust"/>
            <c:noEndCap val="1"/>
            <c:plus>
              <c:numLit>
                <c:formatCode>General</c:formatCode>
                <c:ptCount val="1"/>
                <c:pt idx="0">
                  <c:v>1</c:v>
                </c:pt>
              </c:numLit>
            </c:plus>
            <c:minus>
              <c:numRef>
                <c:f>'4.3.1 Data_Tverrsnittfigurer'!$H$48:$H$54</c:f>
                <c:numCache>
                  <c:formatCode>General</c:formatCode>
                  <c:ptCount val="7"/>
                  <c:pt idx="0">
                    <c:v>0</c:v>
                  </c:pt>
                  <c:pt idx="1">
                    <c:v>0</c:v>
                  </c:pt>
                  <c:pt idx="2">
                    <c:v>0</c:v>
                  </c:pt>
                  <c:pt idx="3">
                    <c:v>0</c:v>
                  </c:pt>
                  <c:pt idx="4">
                    <c:v>#N/A</c:v>
                  </c:pt>
                  <c:pt idx="5">
                    <c:v>#N/A</c:v>
                  </c:pt>
                  <c:pt idx="6">
                    <c:v>#N/A</c:v>
                  </c:pt>
                </c:numCache>
              </c:numRef>
            </c:minus>
            <c:spPr>
              <a:ln w="190500">
                <a:solidFill>
                  <a:srgbClr val="CB5F3B"/>
                </a:solidFill>
              </a:ln>
            </c:spPr>
          </c:errBars>
          <c:xVal>
            <c:numRef>
              <c:f>'4.3.1 Data_Tverrsnittfigurer'!$F$48:$F$54</c:f>
              <c:numCache>
                <c:formatCode>General</c:formatCode>
                <c:ptCount val="7"/>
                <c:pt idx="0">
                  <c:v>0</c:v>
                </c:pt>
                <c:pt idx="1">
                  <c:v>0</c:v>
                </c:pt>
                <c:pt idx="2">
                  <c:v>0</c:v>
                </c:pt>
                <c:pt idx="3">
                  <c:v>0</c:v>
                </c:pt>
                <c:pt idx="4">
                  <c:v>#N/A</c:v>
                </c:pt>
                <c:pt idx="5">
                  <c:v>#N/A</c:v>
                </c:pt>
                <c:pt idx="6">
                  <c:v>#N/A</c:v>
                </c:pt>
              </c:numCache>
            </c:numRef>
          </c:xVal>
          <c:yVal>
            <c:numRef>
              <c:f>'4.3.1 Data_Tverrsnittfigurer'!$M$48:$M$54</c:f>
              <c:numCache>
                <c:formatCode>0.00</c:formatCode>
                <c:ptCount val="7"/>
                <c:pt idx="0">
                  <c:v>0.9285714285714286</c:v>
                </c:pt>
                <c:pt idx="1">
                  <c:v>0.7857142857142857</c:v>
                </c:pt>
                <c:pt idx="2">
                  <c:v>0.6428571428571429</c:v>
                </c:pt>
                <c:pt idx="3">
                  <c:v>0.5</c:v>
                </c:pt>
                <c:pt idx="4">
                  <c:v>0.35714285714285715</c:v>
                </c:pt>
                <c:pt idx="5">
                  <c:v>0.21428571428571427</c:v>
                </c:pt>
                <c:pt idx="6">
                  <c:v>7.1428571428571425E-2</c:v>
                </c:pt>
              </c:numCache>
            </c:numRef>
          </c:yVal>
          <c:smooth val="0"/>
          <c:extLst>
            <c:ext xmlns:c16="http://schemas.microsoft.com/office/drawing/2014/chart" uri="{C3380CC4-5D6E-409C-BE32-E72D297353CC}">
              <c16:uniqueId val="{00000008-4E0C-47A1-A408-CF95D074A558}"/>
            </c:ext>
          </c:extLst>
        </c:ser>
        <c:ser>
          <c:idx val="6"/>
          <c:order val="6"/>
          <c:tx>
            <c:strRef>
              <c:f>'4.3.1 Data_Tverrsnittfigurer'!$G$47</c:f>
              <c:strCache>
                <c:ptCount val="1"/>
                <c:pt idx="0">
                  <c:v>Base-</c:v>
                </c:pt>
              </c:strCache>
            </c:strRef>
          </c:tx>
          <c:spPr>
            <a:ln w="28575">
              <a:noFill/>
            </a:ln>
          </c:spPr>
          <c:marker>
            <c:symbol val="none"/>
          </c:marker>
          <c:errBars>
            <c:errDir val="x"/>
            <c:errBarType val="plus"/>
            <c:errValType val="cust"/>
            <c:noEndCap val="1"/>
            <c:plus>
              <c:numRef>
                <c:f>'4.3.1 Data_Tverrsnittfigurer'!$I$48:$I$54</c:f>
                <c:numCache>
                  <c:formatCode>General</c:formatCode>
                  <c:ptCount val="7"/>
                  <c:pt idx="0">
                    <c:v>#N/A</c:v>
                  </c:pt>
                  <c:pt idx="1">
                    <c:v>#N/A</c:v>
                  </c:pt>
                  <c:pt idx="2">
                    <c:v>#N/A</c:v>
                  </c:pt>
                  <c:pt idx="3">
                    <c:v>#N/A</c:v>
                  </c:pt>
                  <c:pt idx="4">
                    <c:v>#N/A</c:v>
                  </c:pt>
                  <c:pt idx="5">
                    <c:v>#N/A</c:v>
                  </c:pt>
                  <c:pt idx="6">
                    <c:v>#N/A</c:v>
                  </c:pt>
                </c:numCache>
              </c:numRef>
            </c:plus>
            <c:minus>
              <c:numLit>
                <c:formatCode>General</c:formatCode>
                <c:ptCount val="1"/>
                <c:pt idx="0">
                  <c:v>1</c:v>
                </c:pt>
              </c:numLit>
            </c:minus>
            <c:spPr>
              <a:ln w="190500">
                <a:solidFill>
                  <a:srgbClr val="E3A889"/>
                </a:solidFill>
              </a:ln>
            </c:spPr>
          </c:errBars>
          <c:xVal>
            <c:numRef>
              <c:f>'4.3.1 Data_Tverrsnittfigurer'!$G$48:$G$54</c:f>
              <c:numCache>
                <c:formatCode>General</c:formatCode>
                <c:ptCount val="7"/>
                <c:pt idx="0">
                  <c:v>#N/A</c:v>
                </c:pt>
                <c:pt idx="1">
                  <c:v>#N/A</c:v>
                </c:pt>
                <c:pt idx="2">
                  <c:v>#N/A</c:v>
                </c:pt>
                <c:pt idx="3">
                  <c:v>#N/A</c:v>
                </c:pt>
                <c:pt idx="4">
                  <c:v>#N/A</c:v>
                </c:pt>
                <c:pt idx="5">
                  <c:v>#N/A</c:v>
                </c:pt>
                <c:pt idx="6">
                  <c:v>#N/A</c:v>
                </c:pt>
              </c:numCache>
            </c:numRef>
          </c:xVal>
          <c:yVal>
            <c:numRef>
              <c:f>'4.3.1 Data_Tverrsnittfigurer'!$M$48:$M$54</c:f>
              <c:numCache>
                <c:formatCode>0.00</c:formatCode>
                <c:ptCount val="7"/>
                <c:pt idx="0">
                  <c:v>0.9285714285714286</c:v>
                </c:pt>
                <c:pt idx="1">
                  <c:v>0.7857142857142857</c:v>
                </c:pt>
                <c:pt idx="2">
                  <c:v>0.6428571428571429</c:v>
                </c:pt>
                <c:pt idx="3">
                  <c:v>0.5</c:v>
                </c:pt>
                <c:pt idx="4">
                  <c:v>0.35714285714285715</c:v>
                </c:pt>
                <c:pt idx="5">
                  <c:v>0.21428571428571427</c:v>
                </c:pt>
                <c:pt idx="6">
                  <c:v>7.1428571428571425E-2</c:v>
                </c:pt>
              </c:numCache>
            </c:numRef>
          </c:yVal>
          <c:smooth val="0"/>
          <c:extLst>
            <c:ext xmlns:c16="http://schemas.microsoft.com/office/drawing/2014/chart" uri="{C3380CC4-5D6E-409C-BE32-E72D297353CC}">
              <c16:uniqueId val="{00000009-4E0C-47A1-A408-CF95D074A558}"/>
            </c:ext>
          </c:extLst>
        </c:ser>
        <c:dLbls>
          <c:showLegendKey val="0"/>
          <c:showVal val="0"/>
          <c:showCatName val="0"/>
          <c:showSerName val="0"/>
          <c:showPercent val="0"/>
          <c:showBubbleSize val="0"/>
        </c:dLbls>
        <c:axId val="191038208"/>
        <c:axId val="190569472"/>
      </c:scatterChart>
      <c:catAx>
        <c:axId val="190566400"/>
        <c:scaling>
          <c:orientation val="maxMin"/>
        </c:scaling>
        <c:delete val="0"/>
        <c:axPos val="l"/>
        <c:numFmt formatCode="General" sourceLinked="0"/>
        <c:majorTickMark val="none"/>
        <c:minorTickMark val="none"/>
        <c:tickLblPos val="low"/>
        <c:spPr>
          <a:ln w="19050"/>
        </c:spPr>
        <c:txPr>
          <a:bodyPr/>
          <a:lstStyle/>
          <a:p>
            <a:pPr>
              <a:defRPr sz="1200">
                <a:latin typeface="Franklin Gothic Book" panose="020B0503020102020204" pitchFamily="34" charset="0"/>
              </a:defRPr>
            </a:pPr>
            <a:endParaRPr lang="nb-NO"/>
          </a:p>
        </c:txPr>
        <c:crossAx val="190567936"/>
        <c:crossesAt val="0"/>
        <c:auto val="1"/>
        <c:lblAlgn val="ctr"/>
        <c:lblOffset val="100"/>
        <c:noMultiLvlLbl val="0"/>
      </c:catAx>
      <c:valAx>
        <c:axId val="190567936"/>
        <c:scaling>
          <c:orientation val="minMax"/>
        </c:scaling>
        <c:delete val="0"/>
        <c:axPos val="b"/>
        <c:title>
          <c:tx>
            <c:rich>
              <a:bodyPr/>
              <a:lstStyle/>
              <a:p>
                <a:pPr>
                  <a:defRPr sz="1100">
                    <a:latin typeface="Franklin Gothic Book" panose="020B0503020102020204" pitchFamily="34" charset="0"/>
                    <a:ea typeface="FangSong" panose="020B0503020204020204" pitchFamily="49" charset="-122"/>
                  </a:defRPr>
                </a:pPr>
                <a:r>
                  <a:rPr lang="nb-NO" sz="1100">
                    <a:latin typeface="Franklin Gothic Book" panose="020B0503020102020204" pitchFamily="34" charset="0"/>
                    <a:ea typeface="FangSong" panose="020B0503020204020204" pitchFamily="49" charset="-122"/>
                  </a:rPr>
                  <a:t>Millioner kroner</a:t>
                </a:r>
              </a:p>
            </c:rich>
          </c:tx>
          <c:overlay val="0"/>
        </c:title>
        <c:numFmt formatCode="#,##0" sourceLinked="0"/>
        <c:majorTickMark val="out"/>
        <c:minorTickMark val="none"/>
        <c:tickLblPos val="nextTo"/>
        <c:txPr>
          <a:bodyPr/>
          <a:lstStyle/>
          <a:p>
            <a:pPr>
              <a:defRPr sz="1200">
                <a:latin typeface="Franklin Gothic Book" panose="020B0503020102020204" pitchFamily="34" charset="0"/>
              </a:defRPr>
            </a:pPr>
            <a:endParaRPr lang="nb-NO"/>
          </a:p>
        </c:txPr>
        <c:crossAx val="190566400"/>
        <c:crosses val="max"/>
        <c:crossBetween val="between"/>
      </c:valAx>
      <c:valAx>
        <c:axId val="190569472"/>
        <c:scaling>
          <c:orientation val="minMax"/>
          <c:max val="1"/>
          <c:min val="0"/>
        </c:scaling>
        <c:delete val="1"/>
        <c:axPos val="r"/>
        <c:numFmt formatCode="0.00" sourceLinked="1"/>
        <c:majorTickMark val="out"/>
        <c:minorTickMark val="none"/>
        <c:tickLblPos val="nextTo"/>
        <c:crossAx val="191038208"/>
        <c:crosses val="max"/>
        <c:crossBetween val="midCat"/>
      </c:valAx>
      <c:valAx>
        <c:axId val="191038208"/>
        <c:scaling>
          <c:orientation val="minMax"/>
        </c:scaling>
        <c:delete val="1"/>
        <c:axPos val="b"/>
        <c:numFmt formatCode="#,##0" sourceLinked="1"/>
        <c:majorTickMark val="out"/>
        <c:minorTickMark val="none"/>
        <c:tickLblPos val="nextTo"/>
        <c:crossAx val="190569472"/>
        <c:crosses val="autoZero"/>
        <c:crossBetween val="midCat"/>
      </c:valAx>
    </c:plotArea>
    <c:plotVisOnly val="1"/>
    <c:dispBlanksAs val="gap"/>
    <c:showDLblsOverMax val="0"/>
  </c:chart>
  <c:txPr>
    <a:bodyPr/>
    <a:lstStyle/>
    <a:p>
      <a:pPr>
        <a:defRPr lang="en-US" sz="1000" b="0" i="0" u="none" strike="noStrike" kern="1200" baseline="0">
          <a:solidFill>
            <a:schemeClr val="tx1"/>
          </a:solidFill>
          <a:latin typeface="+mn-lt"/>
          <a:ea typeface="+mn-ea"/>
          <a:cs typeface="+mn-cs"/>
        </a:defRPr>
      </a:pPr>
      <a:endParaRPr lang="nb-NO"/>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b-NO"/>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'4.3.1 Data_Tverrsnittfigurer'!$B$36</c:f>
          <c:strCache>
            <c:ptCount val="1"/>
            <c:pt idx="0">
              <c:v>Nåverdi av nyttelementer for det offentlige, mill. -kroner</c:v>
            </c:pt>
          </c:strCache>
        </c:strRef>
      </c:tx>
      <c:overlay val="0"/>
      <c:txPr>
        <a:bodyPr/>
        <a:lstStyle/>
        <a:p>
          <a:pPr>
            <a:defRPr sz="1600">
              <a:latin typeface="Franklin Gothic Book" panose="020B0503020102020204" pitchFamily="34" charset="0"/>
            </a:defRPr>
          </a:pPr>
          <a:endParaRPr lang="nb-NO"/>
        </a:p>
      </c:txPr>
    </c:title>
    <c:autoTitleDeleted val="0"/>
    <c:plotArea>
      <c:layout>
        <c:manualLayout>
          <c:layoutTarget val="inner"/>
          <c:xMode val="edge"/>
          <c:yMode val="edge"/>
          <c:x val="0.17753835935544732"/>
          <c:y val="0.11780444012194438"/>
          <c:w val="0.77739236599092598"/>
          <c:h val="0.75989386973180084"/>
        </c:manualLayout>
      </c:layout>
      <c:barChart>
        <c:barDir val="bar"/>
        <c:grouping val="stacked"/>
        <c:varyColors val="0"/>
        <c:ser>
          <c:idx val="0"/>
          <c:order val="0"/>
          <c:tx>
            <c:strRef>
              <c:f>'4.3.1 Data_Tverrsnittfigurer'!$E$37</c:f>
              <c:strCache>
                <c:ptCount val="1"/>
                <c:pt idx="0">
                  <c:v>Stolpe</c:v>
                </c:pt>
              </c:strCache>
            </c:strRef>
          </c:tx>
          <c:spPr>
            <a:solidFill>
              <a:srgbClr val="2E578B"/>
            </a:solidFill>
          </c:spPr>
          <c:invertIfNegative val="0"/>
          <c:dPt>
            <c:idx val="0"/>
            <c:invertIfNegative val="0"/>
            <c:bubble3D val="0"/>
            <c:spPr>
              <a:solidFill>
                <a:srgbClr val="2E578B"/>
              </a:solidFill>
              <a:ln>
                <a:solidFill>
                  <a:schemeClr val="tx1">
                    <a:tint val="75000"/>
                    <a:shade val="95000"/>
                    <a:satMod val="105000"/>
                    <a:alpha val="99000"/>
                  </a:schemeClr>
                </a:solidFill>
              </a:ln>
            </c:spPr>
            <c:extLst>
              <c:ext xmlns:c16="http://schemas.microsoft.com/office/drawing/2014/chart" uri="{C3380CC4-5D6E-409C-BE32-E72D297353CC}">
                <c16:uniqueId val="{00000001-062F-4982-8878-905B5F9ED461}"/>
              </c:ext>
            </c:extLst>
          </c:dPt>
          <c:dLbls>
            <c:dLbl>
              <c:idx val="4"/>
              <c:layout>
                <c:manualLayout>
                  <c:x val="2.0319571441765955E-2"/>
                  <c:y val="-6.016373404587964E-3"/>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062F-4982-8878-905B5F9ED461}"/>
                </c:ext>
              </c:extLst>
            </c:dLbl>
            <c:numFmt formatCode="#,##0" sourceLinked="0"/>
            <c:spPr>
              <a:noFill/>
              <a:ln>
                <a:noFill/>
              </a:ln>
              <a:effectLst/>
            </c:spPr>
            <c:txPr>
              <a:bodyPr/>
              <a:lstStyle/>
              <a:p>
                <a:pPr algn="ctr">
                  <a:defRPr sz="1200">
                    <a:solidFill>
                      <a:schemeClr val="bg1"/>
                    </a:solidFill>
                    <a:latin typeface="Franklin Gothic Book" panose="020B0503020102020204" pitchFamily="34" charset="0"/>
                  </a:defRPr>
                </a:pPr>
                <a:endParaRPr lang="nb-N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'4.3.1 Data_Tverrsnittfigurer'!$A$38:$A$43</c:f>
              <c:strCache>
                <c:ptCount val="6"/>
                <c:pt idx="0">
                  <c:v>Endring i avgifter (herunder bom- og fergeavgifter)</c:v>
                </c:pt>
                <c:pt idx="1">
                  <c:v>Endring i vedlikehold av infrastruktur</c:v>
                </c:pt>
                <c:pt idx="2">
                  <c:v>Offentlig kjøp av persontransport på tog og buss</c:v>
                </c:pt>
                <c:pt idx="3">
                  <c:v>Investeringer</c:v>
                </c:pt>
                <c:pt idx="4">
                  <c:v>Reinvestering</c:v>
                </c:pt>
                <c:pt idx="5">
                  <c:v>Det offentlige</c:v>
                </c:pt>
              </c:strCache>
            </c:strRef>
          </c:cat>
          <c:val>
            <c:numRef>
              <c:f>'4.3.1 Data_Tverrsnittfigurer'!$E$38:$E$43</c:f>
              <c:numCache>
                <c:formatCode>General</c:formatCode>
                <c:ptCount val="6"/>
                <c:pt idx="0">
                  <c:v>#N/A</c:v>
                </c:pt>
                <c:pt idx="1">
                  <c:v>#N/A</c:v>
                </c:pt>
                <c:pt idx="2">
                  <c:v>#N/A</c:v>
                </c:pt>
                <c:pt idx="3">
                  <c:v>#N/A</c:v>
                </c:pt>
                <c:pt idx="4">
                  <c:v>#N/A</c:v>
                </c:pt>
                <c:pt idx="5">
                  <c:v>0</c:v>
                </c:pt>
              </c:numCache>
            </c:numRef>
          </c:val>
          <c:extLst>
            <c:ext xmlns:c16="http://schemas.microsoft.com/office/drawing/2014/chart" uri="{C3380CC4-5D6E-409C-BE32-E72D297353CC}">
              <c16:uniqueId val="{00000003-062F-4982-8878-905B5F9ED461}"/>
            </c:ext>
          </c:extLst>
        </c:ser>
        <c:ser>
          <c:idx val="1"/>
          <c:order val="1"/>
          <c:tx>
            <c:strRef>
              <c:f>'4.3.1 Data_Tverrsnittfigurer'!$J$37</c:f>
              <c:strCache>
                <c:ptCount val="1"/>
                <c:pt idx="0">
                  <c:v>Usynlig</c:v>
                </c:pt>
              </c:strCache>
            </c:strRef>
          </c:tx>
          <c:spPr>
            <a:noFill/>
            <a:ln>
              <a:noFill/>
            </a:ln>
          </c:spPr>
          <c:invertIfNegative val="0"/>
          <c:cat>
            <c:strRef>
              <c:f>'4.3.1 Data_Tverrsnittfigurer'!$A$38:$A$43</c:f>
              <c:strCache>
                <c:ptCount val="6"/>
                <c:pt idx="0">
                  <c:v>Endring i avgifter (herunder bom- og fergeavgifter)</c:v>
                </c:pt>
                <c:pt idx="1">
                  <c:v>Endring i vedlikehold av infrastruktur</c:v>
                </c:pt>
                <c:pt idx="2">
                  <c:v>Offentlig kjøp av persontransport på tog og buss</c:v>
                </c:pt>
                <c:pt idx="3">
                  <c:v>Investeringer</c:v>
                </c:pt>
                <c:pt idx="4">
                  <c:v>Reinvestering</c:v>
                </c:pt>
                <c:pt idx="5">
                  <c:v>Det offentlige</c:v>
                </c:pt>
              </c:strCache>
            </c:strRef>
          </c:cat>
          <c:val>
            <c:numRef>
              <c:f>'4.3.1 Data_Tverrsnittfigurer'!$J$38:$J$43</c:f>
              <c:numCache>
                <c:formatCode>General</c:formatCode>
                <c:ptCount val="6"/>
                <c:pt idx="0">
                  <c:v>0</c:v>
                </c:pt>
                <c:pt idx="1">
                  <c:v>0</c:v>
                </c:pt>
                <c:pt idx="2">
                  <c:v>0</c:v>
                </c:pt>
                <c:pt idx="3">
                  <c:v>0</c:v>
                </c:pt>
                <c:pt idx="4">
                  <c:v>0</c:v>
                </c:pt>
                <c:pt idx="5">
                  <c:v>#N/A</c:v>
                </c:pt>
              </c:numCache>
            </c:numRef>
          </c:val>
          <c:extLst>
            <c:ext xmlns:c16="http://schemas.microsoft.com/office/drawing/2014/chart" uri="{C3380CC4-5D6E-409C-BE32-E72D297353CC}">
              <c16:uniqueId val="{00000004-062F-4982-8878-905B5F9ED461}"/>
            </c:ext>
          </c:extLst>
        </c:ser>
        <c:ser>
          <c:idx val="2"/>
          <c:order val="2"/>
          <c:tx>
            <c:strRef>
              <c:f>'4.3.1 Data_Tverrsnittfigurer'!$K$37</c:f>
              <c:strCache>
                <c:ptCount val="1"/>
                <c:pt idx="0">
                  <c:v>Etikett+</c:v>
                </c:pt>
              </c:strCache>
            </c:strRef>
          </c:tx>
          <c:spPr>
            <a:noFill/>
          </c:spPr>
          <c:invertIfNegative val="0"/>
          <c:dLbls>
            <c:numFmt formatCode="\+#,##0;\+#,##0" sourceLinked="0"/>
            <c:spPr>
              <a:noFill/>
              <a:ln>
                <a:noFill/>
              </a:ln>
              <a:effectLst/>
            </c:spPr>
            <c:txPr>
              <a:bodyPr wrap="square" lIns="38100" tIns="19050" rIns="38100" bIns="19050" anchor="ctr">
                <a:spAutoFit/>
              </a:bodyPr>
              <a:lstStyle/>
              <a:p>
                <a:pPr>
                  <a:defRPr sz="1200"/>
                </a:pPr>
                <a:endParaRPr lang="nb-NO"/>
              </a:p>
            </c:txPr>
            <c:dLblPos val="inBase"/>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'4.3.1 Data_Tverrsnittfigurer'!$A$38:$A$43</c:f>
              <c:strCache>
                <c:ptCount val="6"/>
                <c:pt idx="0">
                  <c:v>Endring i avgifter (herunder bom- og fergeavgifter)</c:v>
                </c:pt>
                <c:pt idx="1">
                  <c:v>Endring i vedlikehold av infrastruktur</c:v>
                </c:pt>
                <c:pt idx="2">
                  <c:v>Offentlig kjøp av persontransport på tog og buss</c:v>
                </c:pt>
                <c:pt idx="3">
                  <c:v>Investeringer</c:v>
                </c:pt>
                <c:pt idx="4">
                  <c:v>Reinvestering</c:v>
                </c:pt>
                <c:pt idx="5">
                  <c:v>Det offentlige</c:v>
                </c:pt>
              </c:strCache>
            </c:strRef>
          </c:cat>
          <c:val>
            <c:numRef>
              <c:f>'4.3.1 Data_Tverrsnittfigurer'!$K$38:$K$43</c:f>
              <c:numCache>
                <c:formatCode>General</c:formatCode>
                <c:ptCount val="6"/>
                <c:pt idx="0">
                  <c:v>0</c:v>
                </c:pt>
                <c:pt idx="1">
                  <c:v>0</c:v>
                </c:pt>
                <c:pt idx="2">
                  <c:v>0</c:v>
                </c:pt>
                <c:pt idx="3">
                  <c:v>0</c:v>
                </c:pt>
                <c:pt idx="4">
                  <c:v>0</c:v>
                </c:pt>
                <c:pt idx="5">
                  <c:v>#N/A</c:v>
                </c:pt>
              </c:numCache>
            </c:numRef>
          </c:val>
          <c:extLst>
            <c:ext xmlns:c16="http://schemas.microsoft.com/office/drawing/2014/chart" uri="{C3380CC4-5D6E-409C-BE32-E72D297353CC}">
              <c16:uniqueId val="{00000005-062F-4982-8878-905B5F9ED461}"/>
            </c:ext>
          </c:extLst>
        </c:ser>
        <c:ser>
          <c:idx val="3"/>
          <c:order val="3"/>
          <c:tx>
            <c:strRef>
              <c:f>'4.3.1 Data_Tverrsnittfigurer'!$L$37</c:f>
              <c:strCache>
                <c:ptCount val="1"/>
                <c:pt idx="0">
                  <c:v>Etikett-</c:v>
                </c:pt>
              </c:strCache>
            </c:strRef>
          </c:tx>
          <c:spPr>
            <a:noFill/>
          </c:spPr>
          <c:invertIfNegative val="0"/>
          <c:dLbls>
            <c:numFmt formatCode="\-#,##0;\-#,##0" sourceLinked="0"/>
            <c:spPr>
              <a:noFill/>
              <a:ln>
                <a:noFill/>
              </a:ln>
              <a:effectLst/>
            </c:spPr>
            <c:txPr>
              <a:bodyPr wrap="square" lIns="38100" tIns="19050" rIns="38100" bIns="19050" anchor="ctr">
                <a:spAutoFit/>
              </a:bodyPr>
              <a:lstStyle/>
              <a:p>
                <a:pPr>
                  <a:defRPr sz="1200">
                    <a:solidFill>
                      <a:sysClr val="windowText" lastClr="000000"/>
                    </a:solidFill>
                    <a:latin typeface="Franklin Gothic Book" panose="020B0503020102020204" pitchFamily="34" charset="0"/>
                  </a:defRPr>
                </a:pPr>
                <a:endParaRPr lang="nb-NO"/>
              </a:p>
            </c:txPr>
            <c:dLblPos val="inBase"/>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'4.3.1 Data_Tverrsnittfigurer'!$A$38:$A$43</c:f>
              <c:strCache>
                <c:ptCount val="6"/>
                <c:pt idx="0">
                  <c:v>Endring i avgifter (herunder bom- og fergeavgifter)</c:v>
                </c:pt>
                <c:pt idx="1">
                  <c:v>Endring i vedlikehold av infrastruktur</c:v>
                </c:pt>
                <c:pt idx="2">
                  <c:v>Offentlig kjøp av persontransport på tog og buss</c:v>
                </c:pt>
                <c:pt idx="3">
                  <c:v>Investeringer</c:v>
                </c:pt>
                <c:pt idx="4">
                  <c:v>Reinvestering</c:v>
                </c:pt>
                <c:pt idx="5">
                  <c:v>Det offentlige</c:v>
                </c:pt>
              </c:strCache>
            </c:strRef>
          </c:cat>
          <c:val>
            <c:numRef>
              <c:f>'4.3.1 Data_Tverrsnittfigurer'!$L$38:$L$43</c:f>
              <c:numCache>
                <c:formatCode>General</c:formatCode>
                <c:ptCount val="6"/>
                <c:pt idx="0">
                  <c:v>#N/A</c:v>
                </c:pt>
                <c:pt idx="1">
                  <c:v>#N/A</c:v>
                </c:pt>
                <c:pt idx="2">
                  <c:v>#N/A</c:v>
                </c:pt>
                <c:pt idx="3">
                  <c:v>#N/A</c:v>
                </c:pt>
                <c:pt idx="4">
                  <c:v>#N/A</c:v>
                </c:pt>
                <c:pt idx="5" formatCode="0.00">
                  <c:v>#N/A</c:v>
                </c:pt>
              </c:numCache>
            </c:numRef>
          </c:val>
          <c:extLst>
            <c:ext xmlns:c16="http://schemas.microsoft.com/office/drawing/2014/chart" uri="{C3380CC4-5D6E-409C-BE32-E72D297353CC}">
              <c16:uniqueId val="{00000006-062F-4982-8878-905B5F9ED461}"/>
            </c:ext>
          </c:extLst>
        </c:ser>
        <c:dLbls>
          <c:showLegendKey val="0"/>
          <c:showVal val="0"/>
          <c:showCatName val="0"/>
          <c:showSerName val="0"/>
          <c:showPercent val="0"/>
          <c:showBubbleSize val="0"/>
        </c:dLbls>
        <c:gapWidth val="20"/>
        <c:overlap val="100"/>
        <c:axId val="190566400"/>
        <c:axId val="190567936"/>
      </c:barChart>
      <c:scatterChart>
        <c:scatterStyle val="lineMarker"/>
        <c:varyColors val="0"/>
        <c:ser>
          <c:idx val="4"/>
          <c:order val="4"/>
          <c:tx>
            <c:strRef>
              <c:f>'4.3.1 Data_Tverrsnittfigurer'!$M$37</c:f>
              <c:strCache>
                <c:ptCount val="1"/>
                <c:pt idx="0">
                  <c:v>Linjer</c:v>
                </c:pt>
              </c:strCache>
            </c:strRef>
          </c:tx>
          <c:spPr>
            <a:ln w="28575">
              <a:noFill/>
            </a:ln>
          </c:spPr>
          <c:marker>
            <c:symbol val="none"/>
          </c:marker>
          <c:errBars>
            <c:errDir val="y"/>
            <c:errBarType val="minus"/>
            <c:errValType val="cust"/>
            <c:noEndCap val="1"/>
            <c:plus>
              <c:numLit>
                <c:formatCode>General</c:formatCode>
                <c:ptCount val="1"/>
                <c:pt idx="0">
                  <c:v>1</c:v>
                </c:pt>
              </c:numLit>
            </c:plus>
            <c:minus>
              <c:numRef>
                <c:f>'4.3.1 Data_Tverrsnittfigurer'!$N$38:$N$43</c:f>
                <c:numCache>
                  <c:formatCode>General</c:formatCode>
                  <c:ptCount val="6"/>
                  <c:pt idx="0">
                    <c:v>0.16666666666666666</c:v>
                  </c:pt>
                  <c:pt idx="1">
                    <c:v>0.16666666666666666</c:v>
                  </c:pt>
                  <c:pt idx="2">
                    <c:v>0.16666666666666666</c:v>
                  </c:pt>
                  <c:pt idx="3">
                    <c:v>0.16666666666666666</c:v>
                  </c:pt>
                  <c:pt idx="4">
                    <c:v>0.16666666666666666</c:v>
                  </c:pt>
                  <c:pt idx="5">
                    <c:v>#N/A</c:v>
                  </c:pt>
                </c:numCache>
              </c:numRef>
            </c:minus>
            <c:spPr>
              <a:ln w="12700" cmpd="sng">
                <a:solidFill>
                  <a:schemeClr val="bg2"/>
                </a:solidFill>
                <a:prstDash val="solid"/>
              </a:ln>
            </c:spPr>
          </c:errBars>
          <c:xVal>
            <c:numRef>
              <c:f>'4.3.1 Data_Tverrsnittfigurer'!$D$38:$D$43</c:f>
              <c:numCache>
                <c:formatCode>General</c:formatCode>
                <c:ptCount val="6"/>
                <c:pt idx="0" formatCode="#,##0">
                  <c:v>0</c:v>
                </c:pt>
                <c:pt idx="1">
                  <c:v>0</c:v>
                </c:pt>
                <c:pt idx="2">
                  <c:v>0</c:v>
                </c:pt>
                <c:pt idx="3">
                  <c:v>0</c:v>
                </c:pt>
                <c:pt idx="4">
                  <c:v>0</c:v>
                </c:pt>
                <c:pt idx="5">
                  <c:v>0</c:v>
                </c:pt>
              </c:numCache>
            </c:numRef>
          </c:xVal>
          <c:yVal>
            <c:numRef>
              <c:f>'4.3.1 Data_Tverrsnittfigurer'!$M$38:$M$43</c:f>
              <c:numCache>
                <c:formatCode>0.00</c:formatCode>
                <c:ptCount val="6"/>
                <c:pt idx="0">
                  <c:v>0.91666666666666663</c:v>
                </c:pt>
                <c:pt idx="1">
                  <c:v>0.75</c:v>
                </c:pt>
                <c:pt idx="2">
                  <c:v>0.58333333333333337</c:v>
                </c:pt>
                <c:pt idx="3">
                  <c:v>0.41666666666666669</c:v>
                </c:pt>
                <c:pt idx="4">
                  <c:v>0.25</c:v>
                </c:pt>
                <c:pt idx="5">
                  <c:v>8.3333333333333329E-2</c:v>
                </c:pt>
              </c:numCache>
            </c:numRef>
          </c:yVal>
          <c:smooth val="0"/>
          <c:extLst>
            <c:ext xmlns:c16="http://schemas.microsoft.com/office/drawing/2014/chart" uri="{C3380CC4-5D6E-409C-BE32-E72D297353CC}">
              <c16:uniqueId val="{00000007-062F-4982-8878-905B5F9ED461}"/>
            </c:ext>
          </c:extLst>
        </c:ser>
        <c:ser>
          <c:idx val="5"/>
          <c:order val="5"/>
          <c:tx>
            <c:strRef>
              <c:f>'4.3.1 Data_Tverrsnittfigurer'!$F$37</c:f>
              <c:strCache>
                <c:ptCount val="1"/>
                <c:pt idx="0">
                  <c:v>Base+</c:v>
                </c:pt>
              </c:strCache>
            </c:strRef>
          </c:tx>
          <c:spPr>
            <a:ln w="28575">
              <a:noFill/>
            </a:ln>
          </c:spPr>
          <c:marker>
            <c:symbol val="none"/>
          </c:marker>
          <c:errBars>
            <c:errDir val="x"/>
            <c:errBarType val="minus"/>
            <c:errValType val="cust"/>
            <c:noEndCap val="1"/>
            <c:plus>
              <c:numLit>
                <c:formatCode>General</c:formatCode>
                <c:ptCount val="1"/>
                <c:pt idx="0">
                  <c:v>1</c:v>
                </c:pt>
              </c:numLit>
            </c:plus>
            <c:minus>
              <c:numRef>
                <c:f>'4.3.1 Data_Tverrsnittfigurer'!$H$38:$H$43</c:f>
                <c:numCache>
                  <c:formatCode>General</c:formatCode>
                  <c:ptCount val="6"/>
                  <c:pt idx="0">
                    <c:v>0</c:v>
                  </c:pt>
                  <c:pt idx="1">
                    <c:v>0</c:v>
                  </c:pt>
                  <c:pt idx="2">
                    <c:v>0</c:v>
                  </c:pt>
                  <c:pt idx="3">
                    <c:v>0</c:v>
                  </c:pt>
                  <c:pt idx="4">
                    <c:v>0</c:v>
                  </c:pt>
                  <c:pt idx="5">
                    <c:v>#N/A</c:v>
                  </c:pt>
                </c:numCache>
              </c:numRef>
            </c:minus>
            <c:spPr>
              <a:ln w="190500">
                <a:solidFill>
                  <a:srgbClr val="CB5F3B"/>
                </a:solidFill>
              </a:ln>
            </c:spPr>
          </c:errBars>
          <c:xVal>
            <c:numRef>
              <c:f>'4.3.1 Data_Tverrsnittfigurer'!$F$38:$F$43</c:f>
              <c:numCache>
                <c:formatCode>General</c:formatCode>
                <c:ptCount val="6"/>
                <c:pt idx="0">
                  <c:v>0</c:v>
                </c:pt>
                <c:pt idx="1">
                  <c:v>0</c:v>
                </c:pt>
                <c:pt idx="2">
                  <c:v>0</c:v>
                </c:pt>
                <c:pt idx="3">
                  <c:v>0</c:v>
                </c:pt>
                <c:pt idx="4">
                  <c:v>0</c:v>
                </c:pt>
                <c:pt idx="5">
                  <c:v>#N/A</c:v>
                </c:pt>
              </c:numCache>
            </c:numRef>
          </c:xVal>
          <c:yVal>
            <c:numRef>
              <c:f>'4.3.1 Data_Tverrsnittfigurer'!$M$38:$M$43</c:f>
              <c:numCache>
                <c:formatCode>0.00</c:formatCode>
                <c:ptCount val="6"/>
                <c:pt idx="0">
                  <c:v>0.91666666666666663</c:v>
                </c:pt>
                <c:pt idx="1">
                  <c:v>0.75</c:v>
                </c:pt>
                <c:pt idx="2">
                  <c:v>0.58333333333333337</c:v>
                </c:pt>
                <c:pt idx="3">
                  <c:v>0.41666666666666669</c:v>
                </c:pt>
                <c:pt idx="4">
                  <c:v>0.25</c:v>
                </c:pt>
                <c:pt idx="5">
                  <c:v>8.3333333333333329E-2</c:v>
                </c:pt>
              </c:numCache>
            </c:numRef>
          </c:yVal>
          <c:smooth val="0"/>
          <c:extLst>
            <c:ext xmlns:c16="http://schemas.microsoft.com/office/drawing/2014/chart" uri="{C3380CC4-5D6E-409C-BE32-E72D297353CC}">
              <c16:uniqueId val="{00000008-062F-4982-8878-905B5F9ED461}"/>
            </c:ext>
          </c:extLst>
        </c:ser>
        <c:ser>
          <c:idx val="6"/>
          <c:order val="6"/>
          <c:tx>
            <c:strRef>
              <c:f>'4.3.1 Data_Tverrsnittfigurer'!$G$37</c:f>
              <c:strCache>
                <c:ptCount val="1"/>
                <c:pt idx="0">
                  <c:v>Base-</c:v>
                </c:pt>
              </c:strCache>
            </c:strRef>
          </c:tx>
          <c:spPr>
            <a:ln w="28575">
              <a:noFill/>
            </a:ln>
          </c:spPr>
          <c:marker>
            <c:symbol val="none"/>
          </c:marker>
          <c:errBars>
            <c:errDir val="x"/>
            <c:errBarType val="plus"/>
            <c:errValType val="cust"/>
            <c:noEndCap val="1"/>
            <c:plus>
              <c:numRef>
                <c:f>'4.3.1 Data_Tverrsnittfigurer'!$I$38:$I$43</c:f>
                <c:numCache>
                  <c:formatCode>General</c:formatCode>
                  <c:ptCount val="6"/>
                  <c:pt idx="0">
                    <c:v>#N/A</c:v>
                  </c:pt>
                  <c:pt idx="1">
                    <c:v>#N/A</c:v>
                  </c:pt>
                  <c:pt idx="2">
                    <c:v>#N/A</c:v>
                  </c:pt>
                  <c:pt idx="3">
                    <c:v>#N/A</c:v>
                  </c:pt>
                  <c:pt idx="4">
                    <c:v>#N/A</c:v>
                  </c:pt>
                  <c:pt idx="5">
                    <c:v>#N/A</c:v>
                  </c:pt>
                </c:numCache>
              </c:numRef>
            </c:plus>
            <c:minus>
              <c:numLit>
                <c:formatCode>General</c:formatCode>
                <c:ptCount val="1"/>
                <c:pt idx="0">
                  <c:v>1</c:v>
                </c:pt>
              </c:numLit>
            </c:minus>
            <c:spPr>
              <a:ln w="190500">
                <a:solidFill>
                  <a:srgbClr val="E3A889"/>
                </a:solidFill>
              </a:ln>
            </c:spPr>
          </c:errBars>
          <c:xVal>
            <c:numRef>
              <c:f>'4.3.1 Data_Tverrsnittfigurer'!$G$38:$G$43</c:f>
              <c:numCache>
                <c:formatCode>General</c:formatCode>
                <c:ptCount val="6"/>
                <c:pt idx="0">
                  <c:v>#N/A</c:v>
                </c:pt>
                <c:pt idx="1">
                  <c:v>#N/A</c:v>
                </c:pt>
                <c:pt idx="2">
                  <c:v>#N/A</c:v>
                </c:pt>
                <c:pt idx="3">
                  <c:v>#N/A</c:v>
                </c:pt>
                <c:pt idx="4">
                  <c:v>#N/A</c:v>
                </c:pt>
                <c:pt idx="5">
                  <c:v>#N/A</c:v>
                </c:pt>
              </c:numCache>
            </c:numRef>
          </c:xVal>
          <c:yVal>
            <c:numRef>
              <c:f>'4.3.1 Data_Tverrsnittfigurer'!$M$38:$M$43</c:f>
              <c:numCache>
                <c:formatCode>0.00</c:formatCode>
                <c:ptCount val="6"/>
                <c:pt idx="0">
                  <c:v>0.91666666666666663</c:v>
                </c:pt>
                <c:pt idx="1">
                  <c:v>0.75</c:v>
                </c:pt>
                <c:pt idx="2">
                  <c:v>0.58333333333333337</c:v>
                </c:pt>
                <c:pt idx="3">
                  <c:v>0.41666666666666669</c:v>
                </c:pt>
                <c:pt idx="4">
                  <c:v>0.25</c:v>
                </c:pt>
                <c:pt idx="5">
                  <c:v>8.3333333333333329E-2</c:v>
                </c:pt>
              </c:numCache>
            </c:numRef>
          </c:yVal>
          <c:smooth val="0"/>
          <c:extLst>
            <c:ext xmlns:c16="http://schemas.microsoft.com/office/drawing/2014/chart" uri="{C3380CC4-5D6E-409C-BE32-E72D297353CC}">
              <c16:uniqueId val="{00000009-062F-4982-8878-905B5F9ED461}"/>
            </c:ext>
          </c:extLst>
        </c:ser>
        <c:dLbls>
          <c:showLegendKey val="0"/>
          <c:showVal val="0"/>
          <c:showCatName val="0"/>
          <c:showSerName val="0"/>
          <c:showPercent val="0"/>
          <c:showBubbleSize val="0"/>
        </c:dLbls>
        <c:axId val="191038208"/>
        <c:axId val="190569472"/>
      </c:scatterChart>
      <c:catAx>
        <c:axId val="190566400"/>
        <c:scaling>
          <c:orientation val="maxMin"/>
        </c:scaling>
        <c:delete val="0"/>
        <c:axPos val="l"/>
        <c:numFmt formatCode="General" sourceLinked="0"/>
        <c:majorTickMark val="none"/>
        <c:minorTickMark val="none"/>
        <c:tickLblPos val="low"/>
        <c:spPr>
          <a:ln w="19050"/>
        </c:spPr>
        <c:txPr>
          <a:bodyPr/>
          <a:lstStyle/>
          <a:p>
            <a:pPr>
              <a:defRPr sz="1200">
                <a:latin typeface="Franklin Gothic Book" panose="020B0503020102020204" pitchFamily="34" charset="0"/>
              </a:defRPr>
            </a:pPr>
            <a:endParaRPr lang="nb-NO"/>
          </a:p>
        </c:txPr>
        <c:crossAx val="190567936"/>
        <c:crossesAt val="0"/>
        <c:auto val="1"/>
        <c:lblAlgn val="ctr"/>
        <c:lblOffset val="100"/>
        <c:noMultiLvlLbl val="0"/>
      </c:catAx>
      <c:valAx>
        <c:axId val="190567936"/>
        <c:scaling>
          <c:orientation val="minMax"/>
        </c:scaling>
        <c:delete val="0"/>
        <c:axPos val="b"/>
        <c:numFmt formatCode="#,##0" sourceLinked="0"/>
        <c:majorTickMark val="out"/>
        <c:minorTickMark val="none"/>
        <c:tickLblPos val="nextTo"/>
        <c:txPr>
          <a:bodyPr/>
          <a:lstStyle/>
          <a:p>
            <a:pPr>
              <a:defRPr sz="1200">
                <a:latin typeface="Franklin Gothic Book" panose="020B0503020102020204" pitchFamily="34" charset="0"/>
              </a:defRPr>
            </a:pPr>
            <a:endParaRPr lang="nb-NO"/>
          </a:p>
        </c:txPr>
        <c:crossAx val="190566400"/>
        <c:crosses val="max"/>
        <c:crossBetween val="between"/>
      </c:valAx>
      <c:valAx>
        <c:axId val="190569472"/>
        <c:scaling>
          <c:orientation val="minMax"/>
          <c:max val="1"/>
          <c:min val="0"/>
        </c:scaling>
        <c:delete val="1"/>
        <c:axPos val="r"/>
        <c:numFmt formatCode="0.00" sourceLinked="1"/>
        <c:majorTickMark val="out"/>
        <c:minorTickMark val="none"/>
        <c:tickLblPos val="nextTo"/>
        <c:crossAx val="191038208"/>
        <c:crosses val="max"/>
        <c:crossBetween val="midCat"/>
      </c:valAx>
      <c:valAx>
        <c:axId val="191038208"/>
        <c:scaling>
          <c:orientation val="minMax"/>
        </c:scaling>
        <c:delete val="1"/>
        <c:axPos val="b"/>
        <c:title>
          <c:tx>
            <c:rich>
              <a:bodyPr/>
              <a:lstStyle/>
              <a:p>
                <a:pPr>
                  <a:defRPr sz="1200">
                    <a:latin typeface="Franklin Gothic Book" panose="020B0503020102020204" pitchFamily="34" charset="0"/>
                  </a:defRPr>
                </a:pPr>
                <a:r>
                  <a:rPr lang="nb-NO" sz="1200">
                    <a:latin typeface="Franklin Gothic Book" panose="020B0503020102020204" pitchFamily="34" charset="0"/>
                  </a:rPr>
                  <a:t>Millioner kroner</a:t>
                </a:r>
              </a:p>
            </c:rich>
          </c:tx>
          <c:overlay val="0"/>
        </c:title>
        <c:numFmt formatCode="#,##0" sourceLinked="1"/>
        <c:majorTickMark val="out"/>
        <c:minorTickMark val="none"/>
        <c:tickLblPos val="nextTo"/>
        <c:crossAx val="190569472"/>
        <c:crosses val="autoZero"/>
        <c:crossBetween val="midCat"/>
      </c:valAx>
    </c:plotArea>
    <c:plotVisOnly val="1"/>
    <c:dispBlanksAs val="gap"/>
    <c:showDLblsOverMax val="0"/>
  </c:chart>
  <c:txPr>
    <a:bodyPr/>
    <a:lstStyle/>
    <a:p>
      <a:pPr>
        <a:defRPr lang="en-US" sz="1000" b="0" i="0" u="none" strike="noStrike" kern="1200" baseline="0">
          <a:solidFill>
            <a:schemeClr val="tx1"/>
          </a:solidFill>
          <a:latin typeface="+mn-lt"/>
          <a:ea typeface="+mn-ea"/>
          <a:cs typeface="+mn-cs"/>
        </a:defRPr>
      </a:pPr>
      <a:endParaRPr lang="nb-NO"/>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b-NO"/>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'4.3.1 Data_Tverrsnittfigurer'!$B$57</c:f>
          <c:strCache>
            <c:ptCount val="1"/>
            <c:pt idx="0">
              <c:v>Fordeling av trafikantnytte, mill. -kroner</c:v>
            </c:pt>
          </c:strCache>
        </c:strRef>
      </c:tx>
      <c:overlay val="0"/>
      <c:spPr>
        <a:noFill/>
        <a:ln>
          <a:noFill/>
        </a:ln>
        <a:effectLst/>
      </c:spPr>
      <c:txPr>
        <a:bodyPr rot="0" spcFirstLastPara="1" vertOverflow="ellipsis" vert="horz" wrap="square" anchor="ctr" anchorCtr="1"/>
        <a:lstStyle/>
        <a:p>
          <a:pPr>
            <a:defRPr sz="1440" b="0" i="0" u="none" strike="noStrike" kern="1200" spc="0" baseline="0">
              <a:solidFill>
                <a:schemeClr val="tx1">
                  <a:lumMod val="65000"/>
                  <a:lumOff val="35000"/>
                </a:schemeClr>
              </a:solidFill>
              <a:latin typeface="Franklin Gothic Book" panose="020B0503020102020204" pitchFamily="34" charset="0"/>
              <a:ea typeface="+mn-ea"/>
              <a:cs typeface="+mn-cs"/>
            </a:defRPr>
          </a:pPr>
          <a:endParaRPr lang="nb-NO"/>
        </a:p>
      </c:txPr>
    </c:title>
    <c:autoTitleDeleted val="0"/>
    <c:plotArea>
      <c:layout>
        <c:manualLayout>
          <c:layoutTarget val="inner"/>
          <c:xMode val="edge"/>
          <c:yMode val="edge"/>
          <c:x val="2.8405555555555562E-2"/>
          <c:y val="0.17755210727969348"/>
          <c:w val="0.81311046296296274"/>
          <c:h val="0.74182528735632181"/>
        </c:manualLayout>
      </c:layout>
      <c:ofPieChart>
        <c:ofPieType val="pie"/>
        <c:varyColors val="1"/>
        <c:ser>
          <c:idx val="0"/>
          <c:order val="0"/>
          <c:tx>
            <c:strRef>
              <c:f>'4.3.1 Data_Tverrsnittfigurer'!$A$56:$F$56</c:f>
              <c:strCache>
                <c:ptCount val="1"/>
                <c:pt idx="0">
                  <c:v>Data til figur: Fordeling av trafikantnytte</c:v>
                </c:pt>
              </c:strCache>
            </c:strRef>
          </c:tx>
          <c:dPt>
            <c:idx val="0"/>
            <c:bubble3D val="0"/>
            <c:spPr>
              <a:solidFill>
                <a:schemeClr val="accent1"/>
              </a:solidFill>
              <a:ln w="19050">
                <a:solidFill>
                  <a:schemeClr val="lt1"/>
                </a:solidFill>
              </a:ln>
              <a:effectLst/>
            </c:spPr>
            <c:extLst>
              <c:ext xmlns:c16="http://schemas.microsoft.com/office/drawing/2014/chart" uri="{C3380CC4-5D6E-409C-BE32-E72D297353CC}">
                <c16:uniqueId val="{00000007-C202-4436-8A7C-C299AD4929EC}"/>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03-C202-4436-8A7C-C299AD4929EC}"/>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004-C202-4436-8A7C-C299AD4929EC}"/>
              </c:ext>
            </c:extLst>
          </c:dPt>
          <c:dPt>
            <c:idx val="3"/>
            <c:bubble3D val="0"/>
            <c:spPr>
              <a:solidFill>
                <a:schemeClr val="accent4"/>
              </a:solidFill>
              <a:ln w="19050">
                <a:solidFill>
                  <a:schemeClr val="lt1"/>
                </a:solidFill>
              </a:ln>
              <a:effectLst/>
            </c:spPr>
            <c:extLst>
              <c:ext xmlns:c16="http://schemas.microsoft.com/office/drawing/2014/chart" uri="{C3380CC4-5D6E-409C-BE32-E72D297353CC}">
                <c16:uniqueId val="{00000005-C202-4436-8A7C-C299AD4929EC}"/>
              </c:ext>
            </c:extLst>
          </c:dPt>
          <c:dPt>
            <c:idx val="4"/>
            <c:bubble3D val="0"/>
            <c:spPr>
              <a:solidFill>
                <a:schemeClr val="accent5"/>
              </a:solidFill>
              <a:ln w="19050">
                <a:solidFill>
                  <a:schemeClr val="lt1"/>
                </a:solidFill>
              </a:ln>
              <a:effectLst/>
            </c:spPr>
            <c:extLst>
              <c:ext xmlns:c16="http://schemas.microsoft.com/office/drawing/2014/chart" uri="{C3380CC4-5D6E-409C-BE32-E72D297353CC}">
                <c16:uniqueId val="{00000006-C202-4436-8A7C-C299AD4929EC}"/>
              </c:ext>
            </c:extLst>
          </c:dPt>
          <c:dPt>
            <c:idx val="5"/>
            <c:bubble3D val="0"/>
            <c:spPr>
              <a:solidFill>
                <a:schemeClr val="accent6"/>
              </a:solidFill>
              <a:ln w="19050">
                <a:solidFill>
                  <a:schemeClr val="lt1"/>
                </a:solidFill>
              </a:ln>
              <a:effectLst/>
            </c:spPr>
            <c:extLst>
              <c:ext xmlns:c16="http://schemas.microsoft.com/office/drawing/2014/chart" uri="{C3380CC4-5D6E-409C-BE32-E72D297353CC}">
                <c16:uniqueId val="{00000009-C202-4436-8A7C-C299AD4929EC}"/>
              </c:ext>
            </c:extLst>
          </c:dPt>
          <c:dPt>
            <c:idx val="6"/>
            <c:bubble3D val="0"/>
            <c:spPr>
              <a:solidFill>
                <a:schemeClr val="accent1">
                  <a:lumMod val="60000"/>
                </a:schemeClr>
              </a:solidFill>
              <a:ln w="19050">
                <a:solidFill>
                  <a:schemeClr val="lt1"/>
                </a:solidFill>
              </a:ln>
              <a:effectLst/>
            </c:spPr>
            <c:extLst>
              <c:ext xmlns:c16="http://schemas.microsoft.com/office/drawing/2014/chart" uri="{C3380CC4-5D6E-409C-BE32-E72D297353CC}">
                <c16:uniqueId val="{0000000A-C202-4436-8A7C-C299AD4929EC}"/>
              </c:ext>
            </c:extLst>
          </c:dPt>
          <c:dPt>
            <c:idx val="7"/>
            <c:bubble3D val="0"/>
            <c:spPr>
              <a:solidFill>
                <a:schemeClr val="accent2">
                  <a:lumMod val="60000"/>
                </a:schemeClr>
              </a:solidFill>
              <a:ln w="19050">
                <a:solidFill>
                  <a:schemeClr val="lt1"/>
                </a:solidFill>
              </a:ln>
              <a:effectLst/>
            </c:spPr>
            <c:extLst>
              <c:ext xmlns:c16="http://schemas.microsoft.com/office/drawing/2014/chart" uri="{C3380CC4-5D6E-409C-BE32-E72D297353CC}">
                <c16:uniqueId val="{0000000B-C202-4436-8A7C-C299AD4929EC}"/>
              </c:ext>
            </c:extLst>
          </c:dPt>
          <c:dPt>
            <c:idx val="8"/>
            <c:bubble3D val="0"/>
            <c:spPr>
              <a:solidFill>
                <a:schemeClr val="accent3">
                  <a:lumMod val="60000"/>
                </a:schemeClr>
              </a:solidFill>
              <a:ln w="19050">
                <a:solidFill>
                  <a:schemeClr val="lt1"/>
                </a:solidFill>
              </a:ln>
              <a:effectLst/>
            </c:spPr>
            <c:extLst>
              <c:ext xmlns:c16="http://schemas.microsoft.com/office/drawing/2014/chart" uri="{C3380CC4-5D6E-409C-BE32-E72D297353CC}">
                <c16:uniqueId val="{00000008-C202-4436-8A7C-C299AD4929EC}"/>
              </c:ext>
            </c:extLst>
          </c:dPt>
          <c:dPt>
            <c:idx val="9"/>
            <c:bubble3D val="0"/>
            <c:spPr>
              <a:solidFill>
                <a:schemeClr val="accent4">
                  <a:lumMod val="60000"/>
                </a:schemeClr>
              </a:solidFill>
              <a:ln w="19050">
                <a:solidFill>
                  <a:schemeClr val="lt1"/>
                </a:solidFill>
              </a:ln>
              <a:effectLst/>
            </c:spPr>
            <c:extLst>
              <c:ext xmlns:c16="http://schemas.microsoft.com/office/drawing/2014/chart" uri="{C3380CC4-5D6E-409C-BE32-E72D297353CC}">
                <c16:uniqueId val="{00000012-ED41-4BFF-94CE-4680A4B4DF38}"/>
              </c:ext>
            </c:extLst>
          </c:dPt>
          <c:dPt>
            <c:idx val="10"/>
            <c:bubble3D val="0"/>
            <c:explosion val="10"/>
            <c:spPr>
              <a:solidFill>
                <a:schemeClr val="accent5">
                  <a:lumMod val="60000"/>
                </a:schemeClr>
              </a:solidFill>
              <a:ln w="19050">
                <a:solidFill>
                  <a:schemeClr val="lt1"/>
                </a:solidFill>
              </a:ln>
              <a:effectLst/>
            </c:spPr>
            <c:extLst>
              <c:ext xmlns:c16="http://schemas.microsoft.com/office/drawing/2014/chart" uri="{C3380CC4-5D6E-409C-BE32-E72D297353CC}">
                <c16:uniqueId val="{00000011-ED41-4BFF-94CE-4680A4B4DF38}"/>
              </c:ext>
            </c:extLst>
          </c:dPt>
          <c:dLbls>
            <c:dLbl>
              <c:idx val="1"/>
              <c:numFmt formatCode="#,##0" sourceLinked="0"/>
              <c:spPr>
                <a:noFill/>
                <a:ln>
                  <a:noFill/>
                </a:ln>
                <a:effectLst/>
              </c:spPr>
              <c:txPr>
                <a:bodyPr rot="0" spcFirstLastPara="1" vertOverflow="ellipsis" vert="horz" wrap="square" lIns="38100" tIns="19050" rIns="38100" bIns="19050" anchor="ctr" anchorCtr="1">
                  <a:noAutofit/>
                </a:bodyPr>
                <a:lstStyle/>
                <a:p>
                  <a:pPr>
                    <a:defRPr sz="1200" b="0" i="0" u="none" strike="noStrike" kern="1200" baseline="0">
                      <a:solidFill>
                        <a:schemeClr val="tx1"/>
                      </a:solidFill>
                      <a:latin typeface="Franklin Gothic Book" panose="020B0503020102020204" pitchFamily="34" charset="0"/>
                      <a:ea typeface="+mn-ea"/>
                      <a:cs typeface="+mn-cs"/>
                    </a:defRPr>
                  </a:pPr>
                  <a:endParaRPr lang="nb-NO"/>
                </a:p>
              </c:txPr>
              <c:dLblPos val="outEnd"/>
              <c:showLegendKey val="0"/>
              <c:showVal val="1"/>
              <c:showCatName val="0"/>
              <c:showSerName val="0"/>
              <c:showPercent val="0"/>
              <c:showBubbleSize val="0"/>
              <c:extLst>
                <c:ext xmlns:c15="http://schemas.microsoft.com/office/drawing/2012/chart" uri="{CE6537A1-D6FC-4f65-9D91-7224C49458BB}">
                  <c15:layout>
                    <c:manualLayout>
                      <c:w val="4.1492499999999981E-2"/>
                      <c:h val="4.5347674084638155E-2"/>
                    </c:manualLayout>
                  </c15:layout>
                </c:ext>
                <c:ext xmlns:c16="http://schemas.microsoft.com/office/drawing/2014/chart" uri="{C3380CC4-5D6E-409C-BE32-E72D297353CC}">
                  <c16:uniqueId val="{00000003-C202-4436-8A7C-C299AD4929EC}"/>
                </c:ext>
              </c:extLst>
            </c:dLbl>
            <c:dLbl>
              <c:idx val="2"/>
              <c:numFmt formatCode="#,##0" sourceLinked="0"/>
              <c:spPr>
                <a:noFill/>
                <a:ln>
                  <a:noFill/>
                </a:ln>
                <a:effectLst/>
              </c:spPr>
              <c:txPr>
                <a:bodyPr rot="0" spcFirstLastPara="1" vertOverflow="ellipsis" vert="horz" wrap="square" lIns="38100" tIns="19050" rIns="38100" bIns="19050" anchor="ctr" anchorCtr="1">
                  <a:noAutofit/>
                </a:bodyPr>
                <a:lstStyle/>
                <a:p>
                  <a:pPr>
                    <a:defRPr sz="1200" b="0" i="0" u="none" strike="noStrike" kern="1200" baseline="0">
                      <a:solidFill>
                        <a:schemeClr val="tx1"/>
                      </a:solidFill>
                      <a:latin typeface="Franklin Gothic Book" panose="020B0503020102020204" pitchFamily="34" charset="0"/>
                      <a:ea typeface="+mn-ea"/>
                      <a:cs typeface="+mn-cs"/>
                    </a:defRPr>
                  </a:pPr>
                  <a:endParaRPr lang="nb-NO"/>
                </a:p>
              </c:txPr>
              <c:dLblPos val="outEnd"/>
              <c:showLegendKey val="0"/>
              <c:showVal val="1"/>
              <c:showCatName val="0"/>
              <c:showSerName val="0"/>
              <c:showPercent val="0"/>
              <c:showBubbleSize val="0"/>
              <c:extLst>
                <c:ext xmlns:c15="http://schemas.microsoft.com/office/drawing/2012/chart" uri="{CE6537A1-D6FC-4f65-9D91-7224C49458BB}">
                  <c15:layout>
                    <c:manualLayout>
                      <c:w val="6.6481018518518495E-2"/>
                      <c:h val="5.0213625694506339E-2"/>
                    </c:manualLayout>
                  </c15:layout>
                </c:ext>
                <c:ext xmlns:c16="http://schemas.microsoft.com/office/drawing/2014/chart" uri="{C3380CC4-5D6E-409C-BE32-E72D297353CC}">
                  <c16:uniqueId val="{00000004-C202-4436-8A7C-C299AD4929EC}"/>
                </c:ext>
              </c:extLst>
            </c:dLbl>
            <c:dLbl>
              <c:idx val="3"/>
              <c:numFmt formatCode="#,##0" sourceLinked="0"/>
              <c:spPr>
                <a:noFill/>
                <a:ln>
                  <a:noFill/>
                </a:ln>
                <a:effectLst/>
              </c:spPr>
              <c:txPr>
                <a:bodyPr rot="0" spcFirstLastPara="1" vertOverflow="ellipsis" vert="horz" wrap="square" lIns="38100" tIns="19050" rIns="38100" bIns="19050" anchor="ctr" anchorCtr="1">
                  <a:noAutofit/>
                </a:bodyPr>
                <a:lstStyle/>
                <a:p>
                  <a:pPr>
                    <a:defRPr sz="1200" b="0" i="0" u="none" strike="noStrike" kern="1200" baseline="0">
                      <a:solidFill>
                        <a:schemeClr val="tx1"/>
                      </a:solidFill>
                      <a:latin typeface="Franklin Gothic Book" panose="020B0503020102020204" pitchFamily="34" charset="0"/>
                      <a:ea typeface="+mn-ea"/>
                      <a:cs typeface="+mn-cs"/>
                    </a:defRPr>
                  </a:pPr>
                  <a:endParaRPr lang="nb-NO"/>
                </a:p>
              </c:txPr>
              <c:dLblPos val="outEnd"/>
              <c:showLegendKey val="0"/>
              <c:showVal val="1"/>
              <c:showCatName val="0"/>
              <c:showSerName val="0"/>
              <c:showPercent val="0"/>
              <c:showBubbleSize val="0"/>
              <c:extLst>
                <c:ext xmlns:c15="http://schemas.microsoft.com/office/drawing/2012/chart" uri="{CE6537A1-D6FC-4f65-9D91-7224C49458BB}">
                  <c15:layout>
                    <c:manualLayout>
                      <c:w val="0.17119129629629629"/>
                      <c:h val="4.5265134099616855E-2"/>
                    </c:manualLayout>
                  </c15:layout>
                </c:ext>
                <c:ext xmlns:c16="http://schemas.microsoft.com/office/drawing/2014/chart" uri="{C3380CC4-5D6E-409C-BE32-E72D297353CC}">
                  <c16:uniqueId val="{00000005-C202-4436-8A7C-C299AD4929EC}"/>
                </c:ext>
              </c:extLst>
            </c:dLbl>
            <c:dLbl>
              <c:idx val="4"/>
              <c:numFmt formatCode="#,##0" sourceLinked="0"/>
              <c:spPr>
                <a:noFill/>
                <a:ln>
                  <a:noFill/>
                </a:ln>
                <a:effectLst/>
              </c:spPr>
              <c:txPr>
                <a:bodyPr rot="0" spcFirstLastPara="1" vertOverflow="ellipsis" vert="horz" wrap="square" lIns="38100" tIns="19050" rIns="38100" bIns="19050" anchor="ctr" anchorCtr="1">
                  <a:noAutofit/>
                </a:bodyPr>
                <a:lstStyle/>
                <a:p>
                  <a:pPr>
                    <a:defRPr sz="1200" b="0" i="0" u="none" strike="noStrike" kern="1200" baseline="0">
                      <a:solidFill>
                        <a:schemeClr val="tx1"/>
                      </a:solidFill>
                      <a:latin typeface="Franklin Gothic Book" panose="020B0503020102020204" pitchFamily="34" charset="0"/>
                      <a:ea typeface="+mn-ea"/>
                      <a:cs typeface="+mn-cs"/>
                    </a:defRPr>
                  </a:pPr>
                  <a:endParaRPr lang="nb-NO"/>
                </a:p>
              </c:txPr>
              <c:dLblPos val="outEnd"/>
              <c:showLegendKey val="0"/>
              <c:showVal val="1"/>
              <c:showCatName val="0"/>
              <c:showSerName val="0"/>
              <c:showPercent val="0"/>
              <c:showBubbleSize val="0"/>
              <c:extLst>
                <c:ext xmlns:c15="http://schemas.microsoft.com/office/drawing/2012/chart" uri="{CE6537A1-D6FC-4f65-9D91-7224C49458BB}">
                  <c15:layout>
                    <c:manualLayout>
                      <c:w val="0.18641953703703704"/>
                      <c:h val="4.0399233716475087E-2"/>
                    </c:manualLayout>
                  </c15:layout>
                </c:ext>
                <c:ext xmlns:c16="http://schemas.microsoft.com/office/drawing/2014/chart" uri="{C3380CC4-5D6E-409C-BE32-E72D297353CC}">
                  <c16:uniqueId val="{00000006-C202-4436-8A7C-C299AD4929EC}"/>
                </c:ext>
              </c:extLst>
            </c:dLbl>
            <c:dLbl>
              <c:idx val="5"/>
              <c:numFmt formatCode="#,##0" sourceLinked="0"/>
              <c:spPr>
                <a:noFill/>
                <a:ln>
                  <a:noFill/>
                </a:ln>
                <a:effectLst/>
              </c:spPr>
              <c:txPr>
                <a:bodyPr rot="0" spcFirstLastPara="1" vertOverflow="ellipsis" vert="horz" wrap="square" lIns="38100" tIns="19050" rIns="38100" bIns="19050" anchor="ctr" anchorCtr="1">
                  <a:noAutofit/>
                </a:bodyPr>
                <a:lstStyle/>
                <a:p>
                  <a:pPr>
                    <a:defRPr sz="1200" b="0" i="0" u="none" strike="noStrike" kern="1200" baseline="0">
                      <a:solidFill>
                        <a:schemeClr val="tx1"/>
                      </a:solidFill>
                      <a:latin typeface="Franklin Gothic Book" panose="020B0503020102020204" pitchFamily="34" charset="0"/>
                      <a:ea typeface="+mn-ea"/>
                      <a:cs typeface="+mn-cs"/>
                    </a:defRPr>
                  </a:pPr>
                  <a:endParaRPr lang="nb-NO"/>
                </a:p>
              </c:txPr>
              <c:dLblPos val="outEnd"/>
              <c:showLegendKey val="0"/>
              <c:showVal val="1"/>
              <c:showCatName val="0"/>
              <c:showSerName val="0"/>
              <c:showPercent val="0"/>
              <c:showBubbleSize val="0"/>
              <c:extLst>
                <c:ext xmlns:c15="http://schemas.microsoft.com/office/drawing/2012/chart" uri="{CE6537A1-D6FC-4f65-9D91-7224C49458BB}">
                  <c15:layout>
                    <c:manualLayout>
                      <c:w val="5.1558425925925917E-2"/>
                      <c:h val="6.0689108753998675E-2"/>
                    </c:manualLayout>
                  </c15:layout>
                </c:ext>
                <c:ext xmlns:c16="http://schemas.microsoft.com/office/drawing/2014/chart" uri="{C3380CC4-5D6E-409C-BE32-E72D297353CC}">
                  <c16:uniqueId val="{00000009-C202-4436-8A7C-C299AD4929EC}"/>
                </c:ext>
              </c:extLst>
            </c:dLbl>
            <c:dLbl>
              <c:idx val="7"/>
              <c:numFmt formatCode="#,##0" sourceLinked="0"/>
              <c:spPr>
                <a:noFill/>
                <a:ln>
                  <a:noFill/>
                </a:ln>
                <a:effectLst/>
              </c:spPr>
              <c:txPr>
                <a:bodyPr rot="0" spcFirstLastPara="1" vertOverflow="ellipsis" vert="horz" wrap="square" lIns="38100" tIns="19050" rIns="38100" bIns="19050" anchor="ctr" anchorCtr="1">
                  <a:noAutofit/>
                </a:bodyPr>
                <a:lstStyle/>
                <a:p>
                  <a:pPr>
                    <a:defRPr sz="1200" b="0" i="0" u="none" strike="noStrike" kern="1200" baseline="0">
                      <a:solidFill>
                        <a:schemeClr val="tx1"/>
                      </a:solidFill>
                      <a:latin typeface="Franklin Gothic Book" panose="020B0503020102020204" pitchFamily="34" charset="0"/>
                      <a:ea typeface="+mn-ea"/>
                      <a:cs typeface="+mn-cs"/>
                    </a:defRPr>
                  </a:pPr>
                  <a:endParaRPr lang="nb-NO"/>
                </a:p>
              </c:txPr>
              <c:dLblPos val="outEnd"/>
              <c:showLegendKey val="0"/>
              <c:showVal val="1"/>
              <c:showCatName val="0"/>
              <c:showSerName val="0"/>
              <c:showPercent val="0"/>
              <c:showBubbleSize val="0"/>
              <c:extLst>
                <c:ext xmlns:c15="http://schemas.microsoft.com/office/drawing/2012/chart" uri="{CE6537A1-D6FC-4f65-9D91-7224C49458BB}">
                  <c15:layout>
                    <c:manualLayout>
                      <c:w val="4.8083611111111098E-2"/>
                      <c:h val="6.1292252230838555E-2"/>
                    </c:manualLayout>
                  </c15:layout>
                </c:ext>
                <c:ext xmlns:c16="http://schemas.microsoft.com/office/drawing/2014/chart" uri="{C3380CC4-5D6E-409C-BE32-E72D297353CC}">
                  <c16:uniqueId val="{0000000B-C202-4436-8A7C-C299AD4929EC}"/>
                </c:ext>
              </c:extLst>
            </c:dLbl>
            <c:dLbl>
              <c:idx val="8"/>
              <c:numFmt formatCode="#,##0" sourceLinked="0"/>
              <c:spPr>
                <a:noFill/>
                <a:ln>
                  <a:noFill/>
                </a:ln>
                <a:effectLst/>
              </c:spPr>
              <c:txPr>
                <a:bodyPr rot="0" spcFirstLastPara="1" vertOverflow="ellipsis" vert="horz" wrap="square" lIns="38100" tIns="19050" rIns="38100" bIns="19050" anchor="ctr" anchorCtr="1">
                  <a:noAutofit/>
                </a:bodyPr>
                <a:lstStyle/>
                <a:p>
                  <a:pPr>
                    <a:defRPr sz="1200" b="0" i="0" u="none" strike="noStrike" kern="1200" baseline="0">
                      <a:solidFill>
                        <a:schemeClr val="tx1"/>
                      </a:solidFill>
                      <a:latin typeface="Franklin Gothic Book" panose="020B0503020102020204" pitchFamily="34" charset="0"/>
                      <a:ea typeface="+mn-ea"/>
                      <a:cs typeface="+mn-cs"/>
                    </a:defRPr>
                  </a:pPr>
                  <a:endParaRPr lang="nb-NO"/>
                </a:p>
              </c:txPr>
              <c:dLblPos val="outEnd"/>
              <c:showLegendKey val="0"/>
              <c:showVal val="1"/>
              <c:showCatName val="0"/>
              <c:showSerName val="0"/>
              <c:showPercent val="0"/>
              <c:showBubbleSize val="0"/>
              <c:extLst>
                <c:ext xmlns:c15="http://schemas.microsoft.com/office/drawing/2012/chart" uri="{CE6537A1-D6FC-4f65-9D91-7224C49458BB}">
                  <c15:layout>
                    <c:manualLayout>
                      <c:w val="3.9544537037037024E-2"/>
                      <c:h val="5.5327371225401351E-2"/>
                    </c:manualLayout>
                  </c15:layout>
                </c:ext>
                <c:ext xmlns:c16="http://schemas.microsoft.com/office/drawing/2014/chart" uri="{C3380CC4-5D6E-409C-BE32-E72D297353CC}">
                  <c16:uniqueId val="{00000008-C202-4436-8A7C-C299AD4929EC}"/>
                </c:ext>
              </c:extLst>
            </c:dLbl>
            <c:dLbl>
              <c:idx val="9"/>
              <c:numFmt formatCode="#,##0" sourceLinked="0"/>
              <c:spPr>
                <a:noFill/>
                <a:ln>
                  <a:noFill/>
                </a:ln>
                <a:effectLst/>
              </c:spPr>
              <c:txPr>
                <a:bodyPr rot="0" spcFirstLastPara="1" vertOverflow="ellipsis" vert="horz" wrap="square" lIns="38100" tIns="19050" rIns="38100" bIns="19050" anchor="ctr" anchorCtr="1">
                  <a:noAutofit/>
                </a:bodyPr>
                <a:lstStyle/>
                <a:p>
                  <a:pPr>
                    <a:defRPr sz="1200" b="0" i="0" u="none" strike="noStrike" kern="1200" baseline="0">
                      <a:solidFill>
                        <a:schemeClr val="tx1"/>
                      </a:solidFill>
                      <a:latin typeface="Franklin Gothic Book" panose="020B0503020102020204" pitchFamily="34" charset="0"/>
                      <a:ea typeface="+mn-ea"/>
                      <a:cs typeface="+mn-cs"/>
                    </a:defRPr>
                  </a:pPr>
                  <a:endParaRPr lang="nb-NO"/>
                </a:p>
              </c:txPr>
              <c:dLblPos val="outEnd"/>
              <c:showLegendKey val="0"/>
              <c:showVal val="1"/>
              <c:showCatName val="0"/>
              <c:showSerName val="0"/>
              <c:showPercent val="0"/>
              <c:showBubbleSize val="0"/>
              <c:extLst>
                <c:ext xmlns:c15="http://schemas.microsoft.com/office/drawing/2012/chart" uri="{CE6537A1-D6FC-4f65-9D91-7224C49458BB}">
                  <c15:layout>
                    <c:manualLayout>
                      <c:w val="0.10530416666666667"/>
                      <c:h val="4.2832183908045975E-2"/>
                    </c:manualLayout>
                  </c15:layout>
                </c:ext>
                <c:ext xmlns:c16="http://schemas.microsoft.com/office/drawing/2014/chart" uri="{C3380CC4-5D6E-409C-BE32-E72D297353CC}">
                  <c16:uniqueId val="{00000012-ED41-4BFF-94CE-4680A4B4DF38}"/>
                </c:ext>
              </c:extLst>
            </c:dLbl>
            <c:dLbl>
              <c:idx val="10"/>
              <c:layout>
                <c:manualLayout>
                  <c:x val="0.21754629629629621"/>
                  <c:y val="-0.29195402298850576"/>
                </c:manualLayout>
              </c:layout>
              <c:tx>
                <c:rich>
                  <a:bodyPr/>
                  <a:lstStyle/>
                  <a:p>
                    <a:r>
                      <a:rPr lang="en-US" baseline="0"/>
                      <a:t>Overført fra andre transportmidler til tog</a:t>
                    </a:r>
                  </a:p>
                </c:rich>
              </c:tx>
              <c:dLblPos val="bestFit"/>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11-ED41-4BFF-94CE-4680A4B4DF38}"/>
                </c:ext>
              </c:extLst>
            </c:dLbl>
            <c:numFmt formatCode="#,##0" sourceLinked="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solidFill>
                    <a:latin typeface="Franklin Gothic Book" panose="020B0503020102020204" pitchFamily="34" charset="0"/>
                    <a:ea typeface="+mn-ea"/>
                    <a:cs typeface="+mn-cs"/>
                  </a:defRPr>
                </a:pPr>
                <a:endParaRPr lang="nb-NO"/>
              </a:p>
            </c:txPr>
            <c:dLblPos val="outEnd"/>
            <c:showLegendKey val="0"/>
            <c:showVal val="1"/>
            <c:showCatName val="0"/>
            <c:showSerName val="0"/>
            <c:showPercent val="0"/>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('4.3.1 Data_Tverrsnittfigurer'!$B$59:$B$65,'4.3.1 Data_Tverrsnittfigurer'!$B$67:$B$69)</c:f>
              <c:strCache>
                <c:ptCount val="10"/>
                <c:pt idx="0">
                  <c:v>Togreisende i referanse</c:v>
                </c:pt>
                <c:pt idx="1">
                  <c:v>Nye togreisende</c:v>
                </c:pt>
                <c:pt idx="2">
                  <c:v>Bilreisende</c:v>
                </c:pt>
                <c:pt idx="3">
                  <c:v>Bussreisende</c:v>
                </c:pt>
                <c:pt idx="4">
                  <c:v>Flyreisende</c:v>
                </c:pt>
                <c:pt idx="5">
                  <c:v>Godskunder</c:v>
                </c:pt>
                <c:pt idx="6">
                  <c:v>Helsevirkninger</c:v>
                </c:pt>
                <c:pt idx="7">
                  <c:v>Overført: Bil </c:v>
                </c:pt>
                <c:pt idx="8">
                  <c:v>Overført: Buss</c:v>
                </c:pt>
                <c:pt idx="9">
                  <c:v>Oveført: Fly </c:v>
                </c:pt>
              </c:strCache>
            </c:strRef>
          </c:cat>
          <c:val>
            <c:numRef>
              <c:f>('4.3.1 Data_Tverrsnittfigurer'!$E$59:$E$65,'4.3.1 Data_Tverrsnittfigurer'!$E$67:$E$69)</c:f>
              <c:numCache>
                <c:formatCode>0</c:formatCode>
                <c:ptCount val="10"/>
                <c:pt idx="0">
                  <c:v>#N/A</c:v>
                </c:pt>
                <c:pt idx="1">
                  <c:v>#N/A</c:v>
                </c:pt>
                <c:pt idx="2">
                  <c:v>#N/A</c:v>
                </c:pt>
                <c:pt idx="3">
                  <c:v>#N/A</c:v>
                </c:pt>
                <c:pt idx="4">
                  <c:v>#N/A</c:v>
                </c:pt>
                <c:pt idx="5">
                  <c:v>#N/A</c:v>
                </c:pt>
                <c:pt idx="6">
                  <c:v>#N/A</c:v>
                </c:pt>
                <c:pt idx="7">
                  <c:v>#N/A</c:v>
                </c:pt>
                <c:pt idx="8">
                  <c:v>#N/A</c:v>
                </c:pt>
                <c:pt idx="9">
                  <c:v>#N/A</c:v>
                </c:pt>
              </c:numCache>
            </c:numRef>
          </c:val>
          <c:extLst>
            <c:ext xmlns:c16="http://schemas.microsoft.com/office/drawing/2014/chart" uri="{C3380CC4-5D6E-409C-BE32-E72D297353CC}">
              <c16:uniqueId val="{00000002-C202-4436-8A7C-C299AD4929EC}"/>
            </c:ext>
          </c:extLst>
        </c:ser>
        <c:dLbls>
          <c:dLblPos val="outEnd"/>
          <c:showLegendKey val="0"/>
          <c:showVal val="1"/>
          <c:showCatName val="0"/>
          <c:showSerName val="0"/>
          <c:showPercent val="0"/>
          <c:showBubbleSize val="0"/>
          <c:showLeaderLines val="1"/>
        </c:dLbls>
        <c:gapWidth val="120"/>
        <c:splitType val="cust"/>
        <c:custSplit>
          <c:secondPiePt val="7"/>
          <c:secondPiePt val="8"/>
          <c:secondPiePt val="9"/>
        </c:custSplit>
        <c:secondPieSize val="55"/>
        <c:serLines>
          <c:spPr>
            <a:ln w="9525" cap="flat" cmpd="sng" algn="ctr">
              <a:solidFill>
                <a:schemeClr val="tx1">
                  <a:lumMod val="35000"/>
                  <a:lumOff val="65000"/>
                </a:schemeClr>
              </a:solidFill>
              <a:round/>
            </a:ln>
            <a:effectLst/>
          </c:spPr>
        </c:serLines>
      </c:ofPieChart>
      <c:spPr>
        <a:noFill/>
        <a:ln>
          <a:noFill/>
        </a:ln>
        <a:effectLst/>
      </c:spPr>
    </c:plotArea>
    <c:legend>
      <c:legendPos val="r"/>
      <c:layout>
        <c:manualLayout>
          <c:xMode val="edge"/>
          <c:yMode val="edge"/>
          <c:x val="0.87178074074074074"/>
          <c:y val="5.0201344940626523E-2"/>
          <c:w val="0.1211637037037037"/>
          <c:h val="0.91504293311941076"/>
        </c:manualLayout>
      </c:layout>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nb-N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nb-NO"/>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b-NO"/>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'4.3.1 Data_Tverrsnittfigurer'!$B$72</c:f>
          <c:strCache>
            <c:ptCount val="1"/>
            <c:pt idx="0">
              <c:v>Nåverdi av hovedstørrelser og netto nåverdi, mill. -kroner</c:v>
            </c:pt>
          </c:strCache>
        </c:strRef>
      </c:tx>
      <c:overlay val="0"/>
      <c:spPr>
        <a:noFill/>
        <a:ln>
          <a:noFill/>
        </a:ln>
        <a:effectLst/>
      </c:spPr>
      <c:txPr>
        <a:bodyPr rot="0" spcFirstLastPara="1" vertOverflow="ellipsis" vert="horz" wrap="square" anchor="ctr" anchorCtr="1"/>
        <a:lstStyle/>
        <a:p>
          <a:pPr>
            <a:defRPr sz="1600" b="0" i="0" u="none" strike="noStrike" kern="1200" spc="0" baseline="0">
              <a:solidFill>
                <a:schemeClr val="tx1">
                  <a:lumMod val="65000"/>
                  <a:lumOff val="35000"/>
                </a:schemeClr>
              </a:solidFill>
              <a:latin typeface="Franklin Gothic Book" panose="020B0503020102020204" pitchFamily="34" charset="0"/>
              <a:ea typeface="+mn-ea"/>
              <a:cs typeface="+mn-cs"/>
            </a:defRPr>
          </a:pPr>
          <a:endParaRPr lang="nb-NO"/>
        </a:p>
      </c:txPr>
    </c:title>
    <c:autoTitleDeleted val="0"/>
    <c:plotArea>
      <c:layout>
        <c:manualLayout>
          <c:layoutTarget val="inner"/>
          <c:xMode val="edge"/>
          <c:yMode val="edge"/>
          <c:x val="7.0301759259259272E-2"/>
          <c:y val="0.12916532567049807"/>
          <c:w val="0.88383712962962968"/>
          <c:h val="0.69267626805192573"/>
        </c:manualLayout>
      </c:layout>
      <c:barChart>
        <c:barDir val="col"/>
        <c:grouping val="stacked"/>
        <c:varyColors val="0"/>
        <c:ser>
          <c:idx val="0"/>
          <c:order val="0"/>
          <c:tx>
            <c:strRef>
              <c:f>'4.3.1 Data_Tverrsnittfigurer'!$B$74</c:f>
              <c:strCache>
                <c:ptCount val="1"/>
                <c:pt idx="0">
                  <c:v>Endring for trafikanter </c:v>
                </c:pt>
              </c:strCache>
            </c:strRef>
          </c:tx>
          <c:spPr>
            <a:solidFill>
              <a:schemeClr val="accent1"/>
            </a:solidFill>
            <a:ln w="19050">
              <a:solidFill>
                <a:schemeClr val="lt1"/>
              </a:solidFill>
            </a:ln>
            <a:effectLst/>
          </c:spPr>
          <c:invertIfNegative val="0"/>
          <c:dLbls>
            <c:numFmt formatCode="#,##0" sourceLinked="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solidFill>
                    <a:latin typeface="Franklin Gothic Book" panose="020B0503020102020204" pitchFamily="34" charset="0"/>
                    <a:ea typeface="+mn-ea"/>
                    <a:cs typeface="+mn-cs"/>
                  </a:defRPr>
                </a:pPr>
                <a:endParaRPr lang="nb-NO"/>
              </a:p>
            </c:txPr>
            <c:dLblPos val="ctr"/>
            <c:showLegendKey val="1"/>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'4.3.1 Data_Tverrsnittfigurer'!$C$73:$H$73</c:f>
              <c:strCache>
                <c:ptCount val="6"/>
                <c:pt idx="0">
                  <c:v>Kolonne14</c:v>
                </c:pt>
                <c:pt idx="1">
                  <c:v>Kolonne12</c:v>
                </c:pt>
                <c:pt idx="2">
                  <c:v>Kolonne13</c:v>
                </c:pt>
                <c:pt idx="3">
                  <c:v>Kolonne2</c:v>
                </c:pt>
                <c:pt idx="4">
                  <c:v>Kolonne3</c:v>
                </c:pt>
                <c:pt idx="5">
                  <c:v>Kolonne4</c:v>
                </c:pt>
              </c:strCache>
            </c:strRef>
          </c:cat>
          <c:val>
            <c:numRef>
              <c:f>'4.3.1 Data_Tverrsnittfigurer'!$C$74:$H$74</c:f>
            </c:numRef>
          </c:val>
          <c:extLst>
            <c:ext xmlns:c16="http://schemas.microsoft.com/office/drawing/2014/chart" uri="{C3380CC4-5D6E-409C-BE32-E72D297353CC}">
              <c16:uniqueId val="{00000005-CCCF-4743-BAE2-1DD994E19ED2}"/>
            </c:ext>
          </c:extLst>
        </c:ser>
        <c:ser>
          <c:idx val="1"/>
          <c:order val="1"/>
          <c:tx>
            <c:strRef>
              <c:f>'4.3.1 Data_Tverrsnittfigurer'!$B$75</c:f>
              <c:strCache>
                <c:ptCount val="1"/>
                <c:pt idx="0">
                  <c:v>Endring for operatører</c:v>
                </c:pt>
              </c:strCache>
            </c:strRef>
          </c:tx>
          <c:spPr>
            <a:solidFill>
              <a:schemeClr val="accent2"/>
            </a:solidFill>
            <a:ln w="19050">
              <a:solidFill>
                <a:schemeClr val="lt1"/>
              </a:solidFill>
            </a:ln>
            <a:effectLst/>
          </c:spPr>
          <c:invertIfNegative val="0"/>
          <c:dLbls>
            <c:dLbl>
              <c:idx val="2"/>
              <c:delete val="1"/>
              <c:extLst>
                <c:ext xmlns:c15="http://schemas.microsoft.com/office/drawing/2012/chart" uri="{CE6537A1-D6FC-4f65-9D91-7224C49458BB}"/>
                <c:ext xmlns:c16="http://schemas.microsoft.com/office/drawing/2014/chart" uri="{C3380CC4-5D6E-409C-BE32-E72D297353CC}">
                  <c16:uniqueId val="{00000011-AA7D-4DA0-A3FF-CAB0E96C6416}"/>
                </c:ext>
              </c:extLst>
            </c:dLbl>
            <c:dLbl>
              <c:idx val="3"/>
              <c:delete val="1"/>
              <c:extLst>
                <c:ext xmlns:c15="http://schemas.microsoft.com/office/drawing/2012/chart" uri="{CE6537A1-D6FC-4f65-9D91-7224C49458BB}"/>
                <c:ext xmlns:c16="http://schemas.microsoft.com/office/drawing/2014/chart" uri="{C3380CC4-5D6E-409C-BE32-E72D297353CC}">
                  <c16:uniqueId val="{00000010-AA7D-4DA0-A3FF-CAB0E96C6416}"/>
                </c:ext>
              </c:extLst>
            </c:dLbl>
            <c:numFmt formatCode="#,##0" sourceLinked="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solidFill>
                    <a:latin typeface="Franklin Gothic Book" panose="020B0503020102020204" pitchFamily="34" charset="0"/>
                    <a:ea typeface="+mn-ea"/>
                    <a:cs typeface="+mn-cs"/>
                  </a:defRPr>
                </a:pPr>
                <a:endParaRPr lang="nb-NO"/>
              </a:p>
            </c:txPr>
            <c:dLblPos val="ctr"/>
            <c:showLegendKey val="1"/>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'4.3.1 Data_Tverrsnittfigurer'!$C$73:$H$73</c:f>
              <c:strCache>
                <c:ptCount val="6"/>
                <c:pt idx="0">
                  <c:v>Kolonne14</c:v>
                </c:pt>
                <c:pt idx="1">
                  <c:v>Kolonne12</c:v>
                </c:pt>
                <c:pt idx="2">
                  <c:v>Kolonne13</c:v>
                </c:pt>
                <c:pt idx="3">
                  <c:v>Kolonne2</c:v>
                </c:pt>
                <c:pt idx="4">
                  <c:v>Kolonne3</c:v>
                </c:pt>
                <c:pt idx="5">
                  <c:v>Kolonne4</c:v>
                </c:pt>
              </c:strCache>
            </c:strRef>
          </c:cat>
          <c:val>
            <c:numRef>
              <c:f>'4.3.1 Data_Tverrsnittfigurer'!$C$75:$H$75</c:f>
            </c:numRef>
          </c:val>
          <c:extLst>
            <c:ext xmlns:c16="http://schemas.microsoft.com/office/drawing/2014/chart" uri="{C3380CC4-5D6E-409C-BE32-E72D297353CC}">
              <c16:uniqueId val="{00000006-CCCF-4743-BAE2-1DD994E19ED2}"/>
            </c:ext>
          </c:extLst>
        </c:ser>
        <c:ser>
          <c:idx val="2"/>
          <c:order val="2"/>
          <c:tx>
            <c:strRef>
              <c:f>'4.3.1 Data_Tverrsnittfigurer'!$B$76</c:f>
              <c:strCache>
                <c:ptCount val="1"/>
                <c:pt idx="0">
                  <c:v>Endring for det offentlige</c:v>
                </c:pt>
              </c:strCache>
            </c:strRef>
          </c:tx>
          <c:spPr>
            <a:solidFill>
              <a:schemeClr val="accent3"/>
            </a:solidFill>
            <a:ln w="19050">
              <a:solidFill>
                <a:schemeClr val="lt1"/>
              </a:solidFill>
            </a:ln>
            <a:effectLst/>
          </c:spPr>
          <c:invertIfNegative val="0"/>
          <c:dLbls>
            <c:numFmt formatCode="#,##0" sourceLinked="0"/>
            <c:spPr>
              <a:noFill/>
              <a:ln>
                <a:noFill/>
              </a:ln>
              <a:effectLst/>
            </c:spPr>
            <c:txPr>
              <a:bodyPr rot="0" spcFirstLastPara="1" vertOverflow="ellipsis" vert="horz" wrap="square" lIns="38100" tIns="19050" rIns="38100" bIns="19050" anchor="ctr" anchorCtr="0">
                <a:spAutoFit/>
              </a:bodyPr>
              <a:lstStyle/>
              <a:p>
                <a:pPr algn="ctr">
                  <a:defRPr sz="1200" b="0" i="0" u="none" strike="noStrike" kern="1200" baseline="0">
                    <a:solidFill>
                      <a:schemeClr val="tx1"/>
                    </a:solidFill>
                    <a:latin typeface="Franklin Gothic Book" panose="020B0503020102020204" pitchFamily="34" charset="0"/>
                    <a:ea typeface="+mn-ea"/>
                    <a:cs typeface="+mn-cs"/>
                  </a:defRPr>
                </a:pPr>
                <a:endParaRPr lang="nb-NO"/>
              </a:p>
            </c:txPr>
            <c:dLblPos val="ctr"/>
            <c:showLegendKey val="1"/>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'4.3.1 Data_Tverrsnittfigurer'!$C$73:$H$73</c:f>
              <c:strCache>
                <c:ptCount val="6"/>
                <c:pt idx="0">
                  <c:v>Kolonne14</c:v>
                </c:pt>
                <c:pt idx="1">
                  <c:v>Kolonne12</c:v>
                </c:pt>
                <c:pt idx="2">
                  <c:v>Kolonne13</c:v>
                </c:pt>
                <c:pt idx="3">
                  <c:v>Kolonne2</c:v>
                </c:pt>
                <c:pt idx="4">
                  <c:v>Kolonne3</c:v>
                </c:pt>
                <c:pt idx="5">
                  <c:v>Kolonne4</c:v>
                </c:pt>
              </c:strCache>
            </c:strRef>
          </c:cat>
          <c:val>
            <c:numRef>
              <c:f>'4.3.1 Data_Tverrsnittfigurer'!$C$76:$H$76</c:f>
            </c:numRef>
          </c:val>
          <c:extLst>
            <c:ext xmlns:c16="http://schemas.microsoft.com/office/drawing/2014/chart" uri="{C3380CC4-5D6E-409C-BE32-E72D297353CC}">
              <c16:uniqueId val="{00000007-CCCF-4743-BAE2-1DD994E19ED2}"/>
            </c:ext>
          </c:extLst>
        </c:ser>
        <c:ser>
          <c:idx val="4"/>
          <c:order val="3"/>
          <c:tx>
            <c:strRef>
              <c:f>'4.3.1 Data_Tverrsnittfigurer'!$B$77</c:f>
              <c:strCache>
                <c:ptCount val="1"/>
                <c:pt idx="0">
                  <c:v>Endring for samfunnet for øvrig</c:v>
                </c:pt>
              </c:strCache>
            </c:strRef>
          </c:tx>
          <c:spPr>
            <a:solidFill>
              <a:schemeClr val="accent5"/>
            </a:solidFill>
            <a:ln w="19050">
              <a:solidFill>
                <a:schemeClr val="lt1"/>
              </a:solidFill>
            </a:ln>
            <a:effectLst/>
          </c:spPr>
          <c:invertIfNegative val="0"/>
          <c:dLbls>
            <c:numFmt formatCode="#,##0" sourceLinked="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solidFill>
                    <a:latin typeface="Franklin Gothic Book" panose="020B0503020102020204" pitchFamily="34" charset="0"/>
                    <a:ea typeface="+mn-ea"/>
                    <a:cs typeface="+mn-cs"/>
                  </a:defRPr>
                </a:pPr>
                <a:endParaRPr lang="nb-NO"/>
              </a:p>
            </c:txPr>
            <c:dLblPos val="ctr"/>
            <c:showLegendKey val="1"/>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'4.3.1 Data_Tverrsnittfigurer'!$C$73:$H$73</c:f>
              <c:strCache>
                <c:ptCount val="6"/>
                <c:pt idx="0">
                  <c:v>Kolonne14</c:v>
                </c:pt>
                <c:pt idx="1">
                  <c:v>Kolonne12</c:v>
                </c:pt>
                <c:pt idx="2">
                  <c:v>Kolonne13</c:v>
                </c:pt>
                <c:pt idx="3">
                  <c:v>Kolonne2</c:v>
                </c:pt>
                <c:pt idx="4">
                  <c:v>Kolonne3</c:v>
                </c:pt>
                <c:pt idx="5">
                  <c:v>Kolonne4</c:v>
                </c:pt>
              </c:strCache>
            </c:strRef>
          </c:cat>
          <c:val>
            <c:numRef>
              <c:f>'4.3.1 Data_Tverrsnittfigurer'!$C$77:$H$77</c:f>
            </c:numRef>
          </c:val>
          <c:extLst>
            <c:ext xmlns:c16="http://schemas.microsoft.com/office/drawing/2014/chart" uri="{C3380CC4-5D6E-409C-BE32-E72D297353CC}">
              <c16:uniqueId val="{00000009-CCCF-4743-BAE2-1DD994E19ED2}"/>
            </c:ext>
          </c:extLst>
        </c:ser>
        <c:ser>
          <c:idx val="6"/>
          <c:order val="4"/>
          <c:tx>
            <c:strRef>
              <c:f>'4.3.1 Data_Tverrsnittfigurer'!$B$79</c:f>
              <c:strCache>
                <c:ptCount val="1"/>
                <c:pt idx="0">
                  <c:v>Endring i skattefinansiering</c:v>
                </c:pt>
              </c:strCache>
            </c:strRef>
          </c:tx>
          <c:spPr>
            <a:solidFill>
              <a:schemeClr val="accent1">
                <a:lumMod val="60000"/>
              </a:schemeClr>
            </a:solidFill>
            <a:ln w="19050">
              <a:solidFill>
                <a:schemeClr val="lt1"/>
              </a:solidFill>
            </a:ln>
            <a:effectLst/>
          </c:spPr>
          <c:invertIfNegative val="0"/>
          <c:dLbls>
            <c:numFmt formatCode="#,##0" sourceLinked="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solidFill>
                    <a:latin typeface="Franklin Gothic Book" panose="020B0503020102020204" pitchFamily="34" charset="0"/>
                    <a:ea typeface="+mn-ea"/>
                    <a:cs typeface="+mn-cs"/>
                  </a:defRPr>
                </a:pPr>
                <a:endParaRPr lang="nb-NO"/>
              </a:p>
            </c:txPr>
            <c:dLblPos val="ctr"/>
            <c:showLegendKey val="1"/>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'4.3.1 Data_Tverrsnittfigurer'!$C$73:$H$73</c:f>
              <c:strCache>
                <c:ptCount val="6"/>
                <c:pt idx="0">
                  <c:v>Kolonne14</c:v>
                </c:pt>
                <c:pt idx="1">
                  <c:v>Kolonne12</c:v>
                </c:pt>
                <c:pt idx="2">
                  <c:v>Kolonne13</c:v>
                </c:pt>
                <c:pt idx="3">
                  <c:v>Kolonne2</c:v>
                </c:pt>
                <c:pt idx="4">
                  <c:v>Kolonne3</c:v>
                </c:pt>
                <c:pt idx="5">
                  <c:v>Kolonne4</c:v>
                </c:pt>
              </c:strCache>
            </c:strRef>
          </c:cat>
          <c:val>
            <c:numRef>
              <c:f>'4.3.1 Data_Tverrsnittfigurer'!$C$79:$H$79</c:f>
            </c:numRef>
          </c:val>
          <c:extLst>
            <c:ext xmlns:c16="http://schemas.microsoft.com/office/drawing/2014/chart" uri="{C3380CC4-5D6E-409C-BE32-E72D297353CC}">
              <c16:uniqueId val="{0000000B-CCCF-4743-BAE2-1DD994E19ED2}"/>
            </c:ext>
          </c:extLst>
        </c:ser>
        <c:ser>
          <c:idx val="5"/>
          <c:order val="5"/>
          <c:tx>
            <c:strRef>
              <c:f>'4.3.1 Data_Tverrsnittfigurer'!$B$78</c:f>
              <c:strCache>
                <c:ptCount val="1"/>
                <c:pt idx="0">
                  <c:v>Restverdi av tiltak</c:v>
                </c:pt>
              </c:strCache>
            </c:strRef>
          </c:tx>
          <c:spPr>
            <a:solidFill>
              <a:schemeClr val="accent4"/>
            </a:solidFill>
            <a:ln w="0">
              <a:noFill/>
            </a:ln>
            <a:effectLst/>
          </c:spPr>
          <c:invertIfNegative val="0"/>
          <c:dPt>
            <c:idx val="2"/>
            <c:invertIfNegative val="0"/>
            <c:bubble3D val="0"/>
            <c:spPr>
              <a:noFill/>
              <a:ln w="0">
                <a:noFill/>
              </a:ln>
              <a:effectLst/>
            </c:spPr>
            <c:extLst>
              <c:ext xmlns:c16="http://schemas.microsoft.com/office/drawing/2014/chart" uri="{C3380CC4-5D6E-409C-BE32-E72D297353CC}">
                <c16:uniqueId val="{0000000E-AA7D-4DA0-A3FF-CAB0E96C6416}"/>
              </c:ext>
            </c:extLst>
          </c:dPt>
          <c:dPt>
            <c:idx val="4"/>
            <c:invertIfNegative val="0"/>
            <c:bubble3D val="0"/>
            <c:spPr>
              <a:noFill/>
              <a:ln w="0">
                <a:noFill/>
              </a:ln>
              <a:effectLst/>
            </c:spPr>
            <c:extLst>
              <c:ext xmlns:c16="http://schemas.microsoft.com/office/drawing/2014/chart" uri="{C3380CC4-5D6E-409C-BE32-E72D297353CC}">
                <c16:uniqueId val="{00000017-AA7D-4DA0-A3FF-CAB0E96C6416}"/>
              </c:ext>
            </c:extLst>
          </c:dPt>
          <c:dLbls>
            <c:dLbl>
              <c:idx val="3"/>
              <c:delete val="1"/>
              <c:extLst>
                <c:ext xmlns:c15="http://schemas.microsoft.com/office/drawing/2012/chart" uri="{CE6537A1-D6FC-4f65-9D91-7224C49458BB}"/>
                <c:ext xmlns:c16="http://schemas.microsoft.com/office/drawing/2014/chart" uri="{C3380CC4-5D6E-409C-BE32-E72D297353CC}">
                  <c16:uniqueId val="{00000006-AA7D-4DA0-A3FF-CAB0E96C6416}"/>
                </c:ext>
              </c:extLst>
            </c:dLbl>
            <c:dLbl>
              <c:idx val="4"/>
              <c:delete val="1"/>
              <c:extLst>
                <c:ext xmlns:c15="http://schemas.microsoft.com/office/drawing/2012/chart" uri="{CE6537A1-D6FC-4f65-9D91-7224C49458BB}"/>
                <c:ext xmlns:c16="http://schemas.microsoft.com/office/drawing/2014/chart" uri="{C3380CC4-5D6E-409C-BE32-E72D297353CC}">
                  <c16:uniqueId val="{00000017-AA7D-4DA0-A3FF-CAB0E96C6416}"/>
                </c:ext>
              </c:extLst>
            </c:dLbl>
            <c:numFmt formatCode="#,##0" sourceLinked="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ysClr val="windowText" lastClr="000000"/>
                    </a:solidFill>
                    <a:latin typeface="Franklin Gothic Book" panose="020B0503020102020204" pitchFamily="34" charset="0"/>
                    <a:ea typeface="+mn-ea"/>
                    <a:cs typeface="+mn-cs"/>
                  </a:defRPr>
                </a:pPr>
                <a:endParaRPr lang="nb-NO"/>
              </a:p>
            </c:txPr>
            <c:dLblPos val="ctr"/>
            <c:showLegendKey val="1"/>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'4.3.1 Data_Tverrsnittfigurer'!$C$73:$H$73</c:f>
              <c:strCache>
                <c:ptCount val="6"/>
                <c:pt idx="0">
                  <c:v>Kolonne14</c:v>
                </c:pt>
                <c:pt idx="1">
                  <c:v>Kolonne12</c:v>
                </c:pt>
                <c:pt idx="2">
                  <c:v>Kolonne13</c:v>
                </c:pt>
                <c:pt idx="3">
                  <c:v>Kolonne2</c:v>
                </c:pt>
                <c:pt idx="4">
                  <c:v>Kolonne3</c:v>
                </c:pt>
                <c:pt idx="5">
                  <c:v>Kolonne4</c:v>
                </c:pt>
              </c:strCache>
            </c:strRef>
          </c:cat>
          <c:val>
            <c:numRef>
              <c:f>'4.3.1 Data_Tverrsnittfigurer'!$C$78:$H$78</c:f>
            </c:numRef>
          </c:val>
          <c:extLst>
            <c:ext xmlns:c16="http://schemas.microsoft.com/office/drawing/2014/chart" uri="{C3380CC4-5D6E-409C-BE32-E72D297353CC}">
              <c16:uniqueId val="{0000000A-CCCF-4743-BAE2-1DD994E19ED2}"/>
            </c:ext>
          </c:extLst>
        </c:ser>
        <c:dLbls>
          <c:dLblPos val="ctr"/>
          <c:showLegendKey val="0"/>
          <c:showVal val="1"/>
          <c:showCatName val="0"/>
          <c:showSerName val="0"/>
          <c:showPercent val="0"/>
          <c:showBubbleSize val="0"/>
        </c:dLbls>
        <c:gapWidth val="0"/>
        <c:overlap val="100"/>
        <c:axId val="1251468864"/>
        <c:axId val="1251465584"/>
      </c:barChart>
      <c:catAx>
        <c:axId val="1251468864"/>
        <c:scaling>
          <c:orientation val="minMax"/>
        </c:scaling>
        <c:delete val="0"/>
        <c:axPos val="b"/>
        <c:numFmt formatCode="General" sourceLinked="1"/>
        <c:majorTickMark val="none"/>
        <c:minorTickMark val="none"/>
        <c:tickLblPos val="low"/>
        <c:spPr>
          <a:noFill/>
          <a:ln w="12700" cap="flat" cmpd="sng" algn="ctr">
            <a:solidFill>
              <a:schemeClr val="accent1"/>
            </a:solidFill>
            <a:round/>
          </a:ln>
          <a:effectLst/>
        </c:spPr>
        <c:txPr>
          <a:bodyPr rot="-60000000" spcFirstLastPara="1" vertOverflow="ellipsis" vert="horz" wrap="square" anchor="ctr" anchorCtr="1"/>
          <a:lstStyle/>
          <a:p>
            <a:pPr>
              <a:defRPr sz="900" b="0" i="0" u="none" strike="noStrike" kern="1200" baseline="0">
                <a:noFill/>
                <a:latin typeface="+mn-lt"/>
                <a:ea typeface="+mn-ea"/>
                <a:cs typeface="+mn-cs"/>
              </a:defRPr>
            </a:pPr>
            <a:endParaRPr lang="nb-NO"/>
          </a:p>
        </c:txPr>
        <c:crossAx val="1251465584"/>
        <c:crosses val="autoZero"/>
        <c:auto val="1"/>
        <c:lblAlgn val="ctr"/>
        <c:lblOffset val="100"/>
        <c:noMultiLvlLbl val="0"/>
      </c:catAx>
      <c:valAx>
        <c:axId val="125146558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0" spcFirstLastPara="1" vertOverflow="ellipsis" wrap="square" anchor="ctr" anchorCtr="1"/>
              <a:lstStyle/>
              <a:p>
                <a:pPr>
                  <a:defRPr sz="1200" b="0" i="0" u="none" strike="noStrike" kern="1200" baseline="0">
                    <a:solidFill>
                      <a:schemeClr val="tx1">
                        <a:lumMod val="65000"/>
                        <a:lumOff val="35000"/>
                      </a:schemeClr>
                    </a:solidFill>
                    <a:latin typeface="Franklin Gothic Book" panose="020B0503020102020204" pitchFamily="34" charset="0"/>
                    <a:ea typeface="+mn-ea"/>
                    <a:cs typeface="+mn-cs"/>
                  </a:defRPr>
                </a:pPr>
                <a:r>
                  <a:rPr lang="nb-NO" sz="1200">
                    <a:latin typeface="Franklin Gothic Book" panose="020B0503020102020204" pitchFamily="34" charset="0"/>
                  </a:rPr>
                  <a:t>Endring/effekt</a:t>
                </a:r>
              </a:p>
              <a:p>
                <a:pPr>
                  <a:defRPr sz="1200">
                    <a:latin typeface="Franklin Gothic Book" panose="020B0503020102020204" pitchFamily="34" charset="0"/>
                  </a:defRPr>
                </a:pPr>
                <a:r>
                  <a:rPr lang="nb-NO" sz="1200">
                    <a:latin typeface="Franklin Gothic Book" panose="020B0503020102020204" pitchFamily="34" charset="0"/>
                  </a:rPr>
                  <a:t>i</a:t>
                </a:r>
                <a:r>
                  <a:rPr lang="nb-NO" sz="1200" baseline="0">
                    <a:latin typeface="Franklin Gothic Book" panose="020B0503020102020204" pitchFamily="34" charset="0"/>
                  </a:rPr>
                  <a:t> mill. kroner</a:t>
                </a:r>
                <a:endParaRPr lang="nb-NO" sz="1200">
                  <a:latin typeface="Franklin Gothic Book" panose="020B0503020102020204" pitchFamily="34" charset="0"/>
                </a:endParaRPr>
              </a:p>
            </c:rich>
          </c:tx>
          <c:layout>
            <c:manualLayout>
              <c:xMode val="edge"/>
              <c:yMode val="edge"/>
              <c:x val="1.1759259259259259E-2"/>
              <c:y val="3.9943103448275875E-2"/>
            </c:manualLayout>
          </c:layout>
          <c:overlay val="0"/>
          <c:spPr>
            <a:noFill/>
            <a:ln>
              <a:noFill/>
            </a:ln>
            <a:effectLst/>
          </c:spPr>
          <c:txPr>
            <a:bodyPr rot="0" spcFirstLastPara="1" vertOverflow="ellipsis" wrap="square" anchor="ctr" anchorCtr="1"/>
            <a:lstStyle/>
            <a:p>
              <a:pPr>
                <a:defRPr sz="1200" b="0" i="0" u="none" strike="noStrike" kern="1200" baseline="0">
                  <a:solidFill>
                    <a:schemeClr val="tx1">
                      <a:lumMod val="65000"/>
                      <a:lumOff val="35000"/>
                    </a:schemeClr>
                  </a:solidFill>
                  <a:latin typeface="Franklin Gothic Book" panose="020B0503020102020204" pitchFamily="34" charset="0"/>
                  <a:ea typeface="+mn-ea"/>
                  <a:cs typeface="+mn-cs"/>
                </a:defRPr>
              </a:pPr>
              <a:endParaRPr lang="nb-NO"/>
            </a:p>
          </c:txPr>
        </c:title>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Franklin Gothic Book" panose="020B0503020102020204" pitchFamily="34" charset="0"/>
                <a:ea typeface="+mn-ea"/>
                <a:cs typeface="+mn-cs"/>
              </a:defRPr>
            </a:pPr>
            <a:endParaRPr lang="nb-NO"/>
          </a:p>
        </c:txPr>
        <c:crossAx val="1251468864"/>
        <c:crosses val="autoZero"/>
        <c:crossBetween val="between"/>
      </c:valAx>
      <c:spPr>
        <a:noFill/>
        <a:ln w="0">
          <a:noFill/>
        </a:ln>
        <a:effectLst/>
      </c:spPr>
    </c:plotArea>
    <c:legend>
      <c:legendPos val="b"/>
      <c:layout>
        <c:manualLayout>
          <c:xMode val="edge"/>
          <c:yMode val="edge"/>
          <c:x val="0.17995064814814812"/>
          <c:y val="0.85092800037310157"/>
          <c:w val="0.65538564814814815"/>
          <c:h val="0.11945706552057529"/>
        </c:manualLayout>
      </c:layout>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Franklin Gothic Book" panose="020B0503020102020204" pitchFamily="34" charset="0"/>
              <a:ea typeface="+mn-ea"/>
              <a:cs typeface="+mn-cs"/>
            </a:defRPr>
          </a:pPr>
          <a:endParaRPr lang="nb-N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nb-NO"/>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b-NO"/>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40" b="0" i="0" u="none" strike="noStrike" kern="1200" spc="0" baseline="0">
                <a:solidFill>
                  <a:schemeClr val="tx1">
                    <a:lumMod val="65000"/>
                    <a:lumOff val="35000"/>
                  </a:schemeClr>
                </a:solidFill>
                <a:latin typeface="Franklin Gothic Book" panose="020B0503020102020204" pitchFamily="34" charset="0"/>
                <a:ea typeface="+mn-ea"/>
                <a:cs typeface="+mn-cs"/>
              </a:defRPr>
            </a:pPr>
            <a:r>
              <a:rPr lang="en-US" sz="1600">
                <a:latin typeface="Franklin Gothic Book" panose="020B0503020102020204" pitchFamily="34" charset="0"/>
              </a:rPr>
              <a:t>Fordeling av trafikantnytte</a:t>
            </a:r>
          </a:p>
        </c:rich>
      </c:tx>
      <c:overlay val="0"/>
      <c:spPr>
        <a:noFill/>
        <a:ln>
          <a:noFill/>
        </a:ln>
        <a:effectLst/>
      </c:spPr>
      <c:txPr>
        <a:bodyPr rot="0" spcFirstLastPara="1" vertOverflow="ellipsis" vert="horz" wrap="square" anchor="ctr" anchorCtr="1"/>
        <a:lstStyle/>
        <a:p>
          <a:pPr>
            <a:defRPr sz="1440" b="0" i="0" u="none" strike="noStrike" kern="1200" spc="0" baseline="0">
              <a:solidFill>
                <a:schemeClr val="tx1">
                  <a:lumMod val="65000"/>
                  <a:lumOff val="35000"/>
                </a:schemeClr>
              </a:solidFill>
              <a:latin typeface="Franklin Gothic Book" panose="020B0503020102020204" pitchFamily="34" charset="0"/>
              <a:ea typeface="+mn-ea"/>
              <a:cs typeface="+mn-cs"/>
            </a:defRPr>
          </a:pPr>
          <a:endParaRPr lang="nb-NO"/>
        </a:p>
      </c:txPr>
    </c:title>
    <c:autoTitleDeleted val="0"/>
    <c:plotArea>
      <c:layout>
        <c:manualLayout>
          <c:layoutTarget val="inner"/>
          <c:xMode val="edge"/>
          <c:yMode val="edge"/>
          <c:x val="2.3701851851851856E-2"/>
          <c:y val="0.17998810813921148"/>
          <c:w val="0.82957342592592576"/>
          <c:h val="0.75890920947896379"/>
        </c:manualLayout>
      </c:layout>
      <c:ofPieChart>
        <c:ofPieType val="pie"/>
        <c:varyColors val="1"/>
        <c:ser>
          <c:idx val="0"/>
          <c:order val="0"/>
          <c:tx>
            <c:strRef>
              <c:f>'4.3.1 Data_Tverrsnittfigurer'!$A$56:$F$56</c:f>
              <c:strCache>
                <c:ptCount val="1"/>
                <c:pt idx="0">
                  <c:v>Data til figur: Fordeling av trafikantnytte</c:v>
                </c:pt>
              </c:strCache>
            </c:strRef>
          </c:tx>
          <c:dPt>
            <c:idx val="0"/>
            <c:bubble3D val="0"/>
            <c:spPr>
              <a:solidFill>
                <a:schemeClr val="accent1"/>
              </a:solidFill>
              <a:ln w="19050">
                <a:solidFill>
                  <a:schemeClr val="lt1"/>
                </a:solidFill>
              </a:ln>
              <a:effectLst/>
            </c:spPr>
            <c:extLst>
              <c:ext xmlns:c16="http://schemas.microsoft.com/office/drawing/2014/chart" uri="{C3380CC4-5D6E-409C-BE32-E72D297353CC}">
                <c16:uniqueId val="{00000001-45C3-4AFB-A884-E976CFC38AA1}"/>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03-45C3-4AFB-A884-E976CFC38AA1}"/>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005-45C3-4AFB-A884-E976CFC38AA1}"/>
              </c:ext>
            </c:extLst>
          </c:dPt>
          <c:dPt>
            <c:idx val="3"/>
            <c:bubble3D val="0"/>
            <c:spPr>
              <a:solidFill>
                <a:schemeClr val="accent4"/>
              </a:solidFill>
              <a:ln w="19050">
                <a:solidFill>
                  <a:schemeClr val="lt1"/>
                </a:solidFill>
              </a:ln>
              <a:effectLst/>
            </c:spPr>
            <c:extLst>
              <c:ext xmlns:c16="http://schemas.microsoft.com/office/drawing/2014/chart" uri="{C3380CC4-5D6E-409C-BE32-E72D297353CC}">
                <c16:uniqueId val="{00000007-45C3-4AFB-A884-E976CFC38AA1}"/>
              </c:ext>
            </c:extLst>
          </c:dPt>
          <c:dPt>
            <c:idx val="4"/>
            <c:bubble3D val="0"/>
            <c:spPr>
              <a:solidFill>
                <a:schemeClr val="accent5"/>
              </a:solidFill>
              <a:ln w="19050">
                <a:solidFill>
                  <a:schemeClr val="lt1"/>
                </a:solidFill>
              </a:ln>
              <a:effectLst/>
            </c:spPr>
            <c:extLst>
              <c:ext xmlns:c16="http://schemas.microsoft.com/office/drawing/2014/chart" uri="{C3380CC4-5D6E-409C-BE32-E72D297353CC}">
                <c16:uniqueId val="{00000009-45C3-4AFB-A884-E976CFC38AA1}"/>
              </c:ext>
            </c:extLst>
          </c:dPt>
          <c:dPt>
            <c:idx val="5"/>
            <c:bubble3D val="0"/>
            <c:spPr>
              <a:solidFill>
                <a:schemeClr val="accent6"/>
              </a:solidFill>
              <a:ln w="19050">
                <a:solidFill>
                  <a:schemeClr val="lt1"/>
                </a:solidFill>
              </a:ln>
              <a:effectLst/>
            </c:spPr>
            <c:extLst>
              <c:ext xmlns:c16="http://schemas.microsoft.com/office/drawing/2014/chart" uri="{C3380CC4-5D6E-409C-BE32-E72D297353CC}">
                <c16:uniqueId val="{0000000B-45C3-4AFB-A884-E976CFC38AA1}"/>
              </c:ext>
            </c:extLst>
          </c:dPt>
          <c:dPt>
            <c:idx val="6"/>
            <c:bubble3D val="0"/>
            <c:spPr>
              <a:solidFill>
                <a:schemeClr val="accent1">
                  <a:lumMod val="60000"/>
                </a:schemeClr>
              </a:solidFill>
              <a:ln w="19050">
                <a:solidFill>
                  <a:schemeClr val="lt1"/>
                </a:solidFill>
              </a:ln>
              <a:effectLst/>
            </c:spPr>
            <c:extLst>
              <c:ext xmlns:c16="http://schemas.microsoft.com/office/drawing/2014/chart" uri="{C3380CC4-5D6E-409C-BE32-E72D297353CC}">
                <c16:uniqueId val="{0000000D-45C3-4AFB-A884-E976CFC38AA1}"/>
              </c:ext>
            </c:extLst>
          </c:dPt>
          <c:dPt>
            <c:idx val="7"/>
            <c:bubble3D val="0"/>
            <c:spPr>
              <a:solidFill>
                <a:schemeClr val="accent2">
                  <a:lumMod val="60000"/>
                </a:schemeClr>
              </a:solidFill>
              <a:ln w="19050">
                <a:solidFill>
                  <a:schemeClr val="lt1"/>
                </a:solidFill>
              </a:ln>
              <a:effectLst/>
            </c:spPr>
            <c:extLst>
              <c:ext xmlns:c16="http://schemas.microsoft.com/office/drawing/2014/chart" uri="{C3380CC4-5D6E-409C-BE32-E72D297353CC}">
                <c16:uniqueId val="{0000000F-45C3-4AFB-A884-E976CFC38AA1}"/>
              </c:ext>
            </c:extLst>
          </c:dPt>
          <c:dPt>
            <c:idx val="8"/>
            <c:bubble3D val="0"/>
            <c:spPr>
              <a:solidFill>
                <a:schemeClr val="accent3">
                  <a:lumMod val="60000"/>
                </a:schemeClr>
              </a:solidFill>
              <a:ln w="19050">
                <a:solidFill>
                  <a:schemeClr val="lt1"/>
                </a:solidFill>
              </a:ln>
              <a:effectLst/>
            </c:spPr>
            <c:extLst>
              <c:ext xmlns:c16="http://schemas.microsoft.com/office/drawing/2014/chart" uri="{C3380CC4-5D6E-409C-BE32-E72D297353CC}">
                <c16:uniqueId val="{00000011-45C3-4AFB-A884-E976CFC38AA1}"/>
              </c:ext>
            </c:extLst>
          </c:dPt>
          <c:dPt>
            <c:idx val="9"/>
            <c:bubble3D val="0"/>
            <c:spPr>
              <a:solidFill>
                <a:schemeClr val="accent4">
                  <a:lumMod val="60000"/>
                </a:schemeClr>
              </a:solidFill>
              <a:ln w="19050">
                <a:solidFill>
                  <a:schemeClr val="lt1"/>
                </a:solidFill>
              </a:ln>
              <a:effectLst/>
            </c:spPr>
            <c:extLst>
              <c:ext xmlns:c16="http://schemas.microsoft.com/office/drawing/2014/chart" uri="{C3380CC4-5D6E-409C-BE32-E72D297353CC}">
                <c16:uniqueId val="{00000013-45C3-4AFB-A884-E976CFC38AA1}"/>
              </c:ext>
            </c:extLst>
          </c:dPt>
          <c:dPt>
            <c:idx val="10"/>
            <c:bubble3D val="0"/>
            <c:explosion val="10"/>
            <c:spPr>
              <a:solidFill>
                <a:schemeClr val="accent5">
                  <a:lumMod val="60000"/>
                </a:schemeClr>
              </a:solidFill>
              <a:ln w="19050">
                <a:solidFill>
                  <a:schemeClr val="lt1"/>
                </a:solidFill>
              </a:ln>
              <a:effectLst/>
            </c:spPr>
            <c:extLst>
              <c:ext xmlns:c16="http://schemas.microsoft.com/office/drawing/2014/chart" uri="{C3380CC4-5D6E-409C-BE32-E72D297353CC}">
                <c16:uniqueId val="{00000015-45C3-4AFB-A884-E976CFC38AA1}"/>
              </c:ext>
            </c:extLst>
          </c:dPt>
          <c:dLbls>
            <c:dLbl>
              <c:idx val="1"/>
              <c:spPr>
                <a:noFill/>
                <a:ln>
                  <a:noFill/>
                </a:ln>
                <a:effectLst/>
              </c:spPr>
              <c:txPr>
                <a:bodyPr rot="0" spcFirstLastPara="1" vertOverflow="ellipsis" vert="horz" wrap="square" lIns="38100" tIns="19050" rIns="38100" bIns="19050" anchor="ctr" anchorCtr="1">
                  <a:noAutofit/>
                </a:bodyPr>
                <a:lstStyle/>
                <a:p>
                  <a:pPr>
                    <a:defRPr sz="1200" b="0" i="0" u="none" strike="noStrike" kern="1200" baseline="0">
                      <a:solidFill>
                        <a:schemeClr val="tx1"/>
                      </a:solidFill>
                      <a:latin typeface="Franklin Gothic Book" panose="020B0503020102020204" pitchFamily="34" charset="0"/>
                      <a:ea typeface="+mn-ea"/>
                      <a:cs typeface="+mn-cs"/>
                    </a:defRPr>
                  </a:pPr>
                  <a:endParaRPr lang="nb-NO"/>
                </a:p>
              </c:txPr>
              <c:dLblPos val="outEnd"/>
              <c:showLegendKey val="0"/>
              <c:showVal val="0"/>
              <c:showCatName val="0"/>
              <c:showSerName val="0"/>
              <c:showPercent val="1"/>
              <c:showBubbleSize val="0"/>
              <c:extLst>
                <c:ext xmlns:c15="http://schemas.microsoft.com/office/drawing/2012/chart" uri="{CE6537A1-D6FC-4f65-9D91-7224C49458BB}">
                  <c15:layout>
                    <c:manualLayout>
                      <c:w val="3.9140648148148126E-2"/>
                      <c:h val="6.0463289833802697E-2"/>
                    </c:manualLayout>
                  </c15:layout>
                </c:ext>
                <c:ext xmlns:c16="http://schemas.microsoft.com/office/drawing/2014/chart" uri="{C3380CC4-5D6E-409C-BE32-E72D297353CC}">
                  <c16:uniqueId val="{00000003-45C3-4AFB-A884-E976CFC38AA1}"/>
                </c:ext>
              </c:extLst>
            </c:dLbl>
            <c:dLbl>
              <c:idx val="2"/>
              <c:spPr>
                <a:noFill/>
                <a:ln>
                  <a:noFill/>
                </a:ln>
                <a:effectLst/>
              </c:spPr>
              <c:txPr>
                <a:bodyPr rot="0" spcFirstLastPara="1" vertOverflow="ellipsis" vert="horz" wrap="square" lIns="38100" tIns="19050" rIns="38100" bIns="19050" anchor="ctr" anchorCtr="1">
                  <a:noAutofit/>
                </a:bodyPr>
                <a:lstStyle/>
                <a:p>
                  <a:pPr>
                    <a:defRPr sz="1200" b="0" i="0" u="none" strike="noStrike" kern="1200" baseline="0">
                      <a:solidFill>
                        <a:schemeClr val="tx1"/>
                      </a:solidFill>
                      <a:latin typeface="Franklin Gothic Book" panose="020B0503020102020204" pitchFamily="34" charset="0"/>
                      <a:ea typeface="+mn-ea"/>
                      <a:cs typeface="+mn-cs"/>
                    </a:defRPr>
                  </a:pPr>
                  <a:endParaRPr lang="nb-NO"/>
                </a:p>
              </c:txPr>
              <c:dLblPos val="outEnd"/>
              <c:showLegendKey val="0"/>
              <c:showVal val="0"/>
              <c:showCatName val="0"/>
              <c:showSerName val="0"/>
              <c:showPercent val="1"/>
              <c:showBubbleSize val="0"/>
              <c:extLst>
                <c:ext xmlns:c15="http://schemas.microsoft.com/office/drawing/2012/chart" uri="{CE6537A1-D6FC-4f65-9D91-7224C49458BB}">
                  <c15:layout>
                    <c:manualLayout>
                      <c:w val="5.0018055555555531E-2"/>
                      <c:h val="7.0366705009717978E-2"/>
                    </c:manualLayout>
                  </c15:layout>
                </c:ext>
                <c:ext xmlns:c16="http://schemas.microsoft.com/office/drawing/2014/chart" uri="{C3380CC4-5D6E-409C-BE32-E72D297353CC}">
                  <c16:uniqueId val="{00000005-45C3-4AFB-A884-E976CFC38AA1}"/>
                </c:ext>
              </c:extLst>
            </c:dLbl>
            <c:dLbl>
              <c:idx val="3"/>
              <c:spPr>
                <a:noFill/>
                <a:ln>
                  <a:noFill/>
                </a:ln>
                <a:effectLst/>
              </c:spPr>
              <c:txPr>
                <a:bodyPr rot="0" spcFirstLastPara="1" vertOverflow="ellipsis" vert="horz" wrap="square" lIns="38100" tIns="19050" rIns="38100" bIns="19050" anchor="ctr" anchorCtr="1">
                  <a:noAutofit/>
                </a:bodyPr>
                <a:lstStyle/>
                <a:p>
                  <a:pPr>
                    <a:defRPr sz="1200" b="0" i="0" u="none" strike="noStrike" kern="1200" baseline="0">
                      <a:solidFill>
                        <a:schemeClr val="tx1"/>
                      </a:solidFill>
                      <a:latin typeface="Franklin Gothic Book" panose="020B0503020102020204" pitchFamily="34" charset="0"/>
                      <a:ea typeface="+mn-ea"/>
                      <a:cs typeface="+mn-cs"/>
                    </a:defRPr>
                  </a:pPr>
                  <a:endParaRPr lang="nb-NO"/>
                </a:p>
              </c:txPr>
              <c:dLblPos val="outEnd"/>
              <c:showLegendKey val="0"/>
              <c:showVal val="0"/>
              <c:showCatName val="0"/>
              <c:showSerName val="0"/>
              <c:showPercent val="1"/>
              <c:showBubbleSize val="0"/>
              <c:extLst>
                <c:ext xmlns:c15="http://schemas.microsoft.com/office/drawing/2012/chart" uri="{CE6537A1-D6FC-4f65-9D91-7224C49458BB}">
                  <c15:layout>
                    <c:manualLayout>
                      <c:w val="0.17119129629629629"/>
                      <c:h val="4.5265134099616855E-2"/>
                    </c:manualLayout>
                  </c15:layout>
                </c:ext>
                <c:ext xmlns:c16="http://schemas.microsoft.com/office/drawing/2014/chart" uri="{C3380CC4-5D6E-409C-BE32-E72D297353CC}">
                  <c16:uniqueId val="{00000007-45C3-4AFB-A884-E976CFC38AA1}"/>
                </c:ext>
              </c:extLst>
            </c:dLbl>
            <c:dLbl>
              <c:idx val="4"/>
              <c:spPr>
                <a:noFill/>
                <a:ln>
                  <a:noFill/>
                </a:ln>
                <a:effectLst/>
              </c:spPr>
              <c:txPr>
                <a:bodyPr rot="0" spcFirstLastPara="1" vertOverflow="ellipsis" vert="horz" wrap="square" lIns="38100" tIns="19050" rIns="38100" bIns="19050" anchor="ctr" anchorCtr="1">
                  <a:noAutofit/>
                </a:bodyPr>
                <a:lstStyle/>
                <a:p>
                  <a:pPr>
                    <a:defRPr sz="1200" b="0" i="0" u="none" strike="noStrike" kern="1200" baseline="0">
                      <a:solidFill>
                        <a:schemeClr val="tx1"/>
                      </a:solidFill>
                      <a:latin typeface="Franklin Gothic Book" panose="020B0503020102020204" pitchFamily="34" charset="0"/>
                      <a:ea typeface="+mn-ea"/>
                      <a:cs typeface="+mn-cs"/>
                    </a:defRPr>
                  </a:pPr>
                  <a:endParaRPr lang="nb-NO"/>
                </a:p>
              </c:txPr>
              <c:dLblPos val="outEnd"/>
              <c:showLegendKey val="0"/>
              <c:showVal val="0"/>
              <c:showCatName val="0"/>
              <c:showSerName val="0"/>
              <c:showPercent val="1"/>
              <c:showBubbleSize val="0"/>
              <c:extLst>
                <c:ext xmlns:c15="http://schemas.microsoft.com/office/drawing/2012/chart" uri="{CE6537A1-D6FC-4f65-9D91-7224C49458BB}">
                  <c15:layout>
                    <c:manualLayout>
                      <c:w val="0.18641953703703704"/>
                      <c:h val="4.0399233716475087E-2"/>
                    </c:manualLayout>
                  </c15:layout>
                </c:ext>
                <c:ext xmlns:c16="http://schemas.microsoft.com/office/drawing/2014/chart" uri="{C3380CC4-5D6E-409C-BE32-E72D297353CC}">
                  <c16:uniqueId val="{00000009-45C3-4AFB-A884-E976CFC38AA1}"/>
                </c:ext>
              </c:extLst>
            </c:dLbl>
            <c:dLbl>
              <c:idx val="5"/>
              <c:spPr>
                <a:noFill/>
                <a:ln>
                  <a:noFill/>
                </a:ln>
                <a:effectLst/>
              </c:spPr>
              <c:txPr>
                <a:bodyPr rot="0" spcFirstLastPara="1" vertOverflow="ellipsis" vert="horz" wrap="square" lIns="38100" tIns="19050" rIns="38100" bIns="19050" anchor="ctr" anchorCtr="1">
                  <a:noAutofit/>
                </a:bodyPr>
                <a:lstStyle/>
                <a:p>
                  <a:pPr>
                    <a:defRPr sz="1200" b="0" i="0" u="none" strike="noStrike" kern="1200" baseline="0">
                      <a:solidFill>
                        <a:schemeClr val="tx1"/>
                      </a:solidFill>
                      <a:latin typeface="Franklin Gothic Book" panose="020B0503020102020204" pitchFamily="34" charset="0"/>
                      <a:ea typeface="+mn-ea"/>
                      <a:cs typeface="+mn-cs"/>
                    </a:defRPr>
                  </a:pPr>
                  <a:endParaRPr lang="nb-NO"/>
                </a:p>
              </c:txPr>
              <c:dLblPos val="outEnd"/>
              <c:showLegendKey val="0"/>
              <c:showVal val="0"/>
              <c:showCatName val="0"/>
              <c:showSerName val="0"/>
              <c:showPercent val="1"/>
              <c:showBubbleSize val="0"/>
              <c:extLst>
                <c:ext xmlns:c15="http://schemas.microsoft.com/office/drawing/2012/chart" uri="{CE6537A1-D6FC-4f65-9D91-7224C49458BB}">
                  <c15:layout>
                    <c:manualLayout>
                      <c:w val="4.4502870370370373E-2"/>
                      <c:h val="6.5758200785371465E-2"/>
                    </c:manualLayout>
                  </c15:layout>
                </c:ext>
                <c:ext xmlns:c16="http://schemas.microsoft.com/office/drawing/2014/chart" uri="{C3380CC4-5D6E-409C-BE32-E72D297353CC}">
                  <c16:uniqueId val="{0000000B-45C3-4AFB-A884-E976CFC38AA1}"/>
                </c:ext>
              </c:extLst>
            </c:dLbl>
            <c:dLbl>
              <c:idx val="7"/>
              <c:spPr>
                <a:noFill/>
                <a:ln>
                  <a:noFill/>
                </a:ln>
                <a:effectLst/>
              </c:spPr>
              <c:txPr>
                <a:bodyPr rot="0" spcFirstLastPara="1" vertOverflow="ellipsis" vert="horz" wrap="square" lIns="38100" tIns="19050" rIns="38100" bIns="19050" anchor="ctr" anchorCtr="1">
                  <a:noAutofit/>
                </a:bodyPr>
                <a:lstStyle/>
                <a:p>
                  <a:pPr>
                    <a:defRPr sz="1200" b="0" i="0" u="none" strike="noStrike" kern="1200" baseline="0">
                      <a:solidFill>
                        <a:schemeClr val="tx1"/>
                      </a:solidFill>
                      <a:latin typeface="Franklin Gothic Book" panose="020B0503020102020204" pitchFamily="34" charset="0"/>
                      <a:ea typeface="+mn-ea"/>
                      <a:cs typeface="+mn-cs"/>
                    </a:defRPr>
                  </a:pPr>
                  <a:endParaRPr lang="nb-NO"/>
                </a:p>
              </c:txPr>
              <c:dLblPos val="outEnd"/>
              <c:showLegendKey val="0"/>
              <c:showVal val="0"/>
              <c:showCatName val="0"/>
              <c:showSerName val="0"/>
              <c:showPercent val="1"/>
              <c:showBubbleSize val="0"/>
              <c:extLst>
                <c:ext xmlns:c15="http://schemas.microsoft.com/office/drawing/2012/chart" uri="{CE6537A1-D6FC-4f65-9D91-7224C49458BB}">
                  <c15:layout>
                    <c:manualLayout>
                      <c:w val="5.161138888888888E-2"/>
                      <c:h val="6.1254214430209022E-2"/>
                    </c:manualLayout>
                  </c15:layout>
                </c:ext>
                <c:ext xmlns:c16="http://schemas.microsoft.com/office/drawing/2014/chart" uri="{C3380CC4-5D6E-409C-BE32-E72D297353CC}">
                  <c16:uniqueId val="{0000000F-45C3-4AFB-A884-E976CFC38AA1}"/>
                </c:ext>
              </c:extLst>
            </c:dLbl>
            <c:dLbl>
              <c:idx val="8"/>
              <c:spPr>
                <a:noFill/>
                <a:ln>
                  <a:noFill/>
                </a:ln>
                <a:effectLst/>
              </c:spPr>
              <c:txPr>
                <a:bodyPr rot="0" spcFirstLastPara="1" vertOverflow="ellipsis" vert="horz" wrap="square" lIns="38100" tIns="19050" rIns="38100" bIns="19050" anchor="ctr" anchorCtr="1">
                  <a:noAutofit/>
                </a:bodyPr>
                <a:lstStyle/>
                <a:p>
                  <a:pPr>
                    <a:defRPr sz="1200" b="0" i="0" u="none" strike="noStrike" kern="1200" baseline="0">
                      <a:solidFill>
                        <a:schemeClr val="tx1"/>
                      </a:solidFill>
                      <a:latin typeface="Franklin Gothic Book" panose="020B0503020102020204" pitchFamily="34" charset="0"/>
                      <a:ea typeface="+mn-ea"/>
                      <a:cs typeface="+mn-cs"/>
                    </a:defRPr>
                  </a:pPr>
                  <a:endParaRPr lang="nb-NO"/>
                </a:p>
              </c:txPr>
              <c:dLblPos val="outEnd"/>
              <c:showLegendKey val="0"/>
              <c:showVal val="0"/>
              <c:showCatName val="0"/>
              <c:showSerName val="0"/>
              <c:showPercent val="1"/>
              <c:showBubbleSize val="0"/>
              <c:extLst>
                <c:ext xmlns:c15="http://schemas.microsoft.com/office/drawing/2012/chart" uri="{CE6537A1-D6FC-4f65-9D91-7224C49458BB}">
                  <c15:layout>
                    <c:manualLayout>
                      <c:w val="4.6600092592592589E-2"/>
                      <c:h val="4.5265162032446148E-2"/>
                    </c:manualLayout>
                  </c15:layout>
                </c:ext>
                <c:ext xmlns:c16="http://schemas.microsoft.com/office/drawing/2014/chart" uri="{C3380CC4-5D6E-409C-BE32-E72D297353CC}">
                  <c16:uniqueId val="{00000011-45C3-4AFB-A884-E976CFC38AA1}"/>
                </c:ext>
              </c:extLst>
            </c:dLbl>
            <c:dLbl>
              <c:idx val="9"/>
              <c:spPr>
                <a:noFill/>
                <a:ln>
                  <a:noFill/>
                </a:ln>
                <a:effectLst/>
              </c:spPr>
              <c:txPr>
                <a:bodyPr rot="0" spcFirstLastPara="1" vertOverflow="ellipsis" vert="horz" wrap="square" lIns="38100" tIns="19050" rIns="38100" bIns="19050" anchor="ctr" anchorCtr="1">
                  <a:noAutofit/>
                </a:bodyPr>
                <a:lstStyle/>
                <a:p>
                  <a:pPr>
                    <a:defRPr sz="1200" b="0" i="0" u="none" strike="noStrike" kern="1200" baseline="0">
                      <a:solidFill>
                        <a:schemeClr val="tx1"/>
                      </a:solidFill>
                      <a:latin typeface="Franklin Gothic Book" panose="020B0503020102020204" pitchFamily="34" charset="0"/>
                      <a:ea typeface="+mn-ea"/>
                      <a:cs typeface="+mn-cs"/>
                    </a:defRPr>
                  </a:pPr>
                  <a:endParaRPr lang="nb-NO"/>
                </a:p>
              </c:txPr>
              <c:dLblPos val="outEnd"/>
              <c:showLegendKey val="0"/>
              <c:showVal val="0"/>
              <c:showCatName val="0"/>
              <c:showSerName val="0"/>
              <c:showPercent val="1"/>
              <c:showBubbleSize val="0"/>
              <c:extLst>
                <c:ext xmlns:c15="http://schemas.microsoft.com/office/drawing/2012/chart" uri="{CE6537A1-D6FC-4f65-9D91-7224C49458BB}">
                  <c15:layout>
                    <c:manualLayout>
                      <c:w val="0.10530416666666667"/>
                      <c:h val="4.2832183908045975E-2"/>
                    </c:manualLayout>
                  </c15:layout>
                </c:ext>
                <c:ext xmlns:c16="http://schemas.microsoft.com/office/drawing/2014/chart" uri="{C3380CC4-5D6E-409C-BE32-E72D297353CC}">
                  <c16:uniqueId val="{00000013-45C3-4AFB-A884-E976CFC38AA1}"/>
                </c:ext>
              </c:extLst>
            </c:dLbl>
            <c:dLbl>
              <c:idx val="10"/>
              <c:layout>
                <c:manualLayout>
                  <c:x val="0.20225925925925925"/>
                  <c:y val="-0.32884831164347433"/>
                </c:manualLayout>
              </c:layout>
              <c:tx>
                <c:rich>
                  <a:bodyPr/>
                  <a:lstStyle/>
                  <a:p>
                    <a:r>
                      <a:rPr lang="en-US" baseline="0"/>
                      <a:t>Overført fra andre transportmidler til tog; </a:t>
                    </a:r>
                    <a:fld id="{DD2BCB19-144A-4544-8F62-5334AFAA4344}" type="PERCENTAGE">
                      <a:rPr lang="en-US" baseline="0"/>
                      <a:pPr/>
                      <a:t>[PROSENT]</a:t>
                    </a:fld>
                    <a:endParaRPr lang="en-US" baseline="0"/>
                  </a:p>
                </c:rich>
              </c:tx>
              <c:dLblPos val="bestFit"/>
              <c:showLegendKey val="0"/>
              <c:showVal val="0"/>
              <c:showCatName val="0"/>
              <c:showSerName val="0"/>
              <c:showPercent val="1"/>
              <c:showBubbleSize val="0"/>
              <c:extLst>
                <c:ext xmlns:c15="http://schemas.microsoft.com/office/drawing/2012/chart" uri="{CE6537A1-D6FC-4f65-9D91-7224C49458BB}">
                  <c15:dlblFieldTable/>
                  <c15:showDataLabelsRange val="0"/>
                </c:ext>
                <c:ext xmlns:c16="http://schemas.microsoft.com/office/drawing/2014/chart" uri="{C3380CC4-5D6E-409C-BE32-E72D297353CC}">
                  <c16:uniqueId val="{00000015-45C3-4AFB-A884-E976CFC38AA1}"/>
                </c:ext>
              </c:extLst>
            </c:dLbl>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solidFill>
                    <a:latin typeface="Franklin Gothic Book" panose="020B0503020102020204" pitchFamily="34" charset="0"/>
                    <a:ea typeface="+mn-ea"/>
                    <a:cs typeface="+mn-cs"/>
                  </a:defRPr>
                </a:pPr>
                <a:endParaRPr lang="nb-NO"/>
              </a:p>
            </c:txPr>
            <c:dLblPos val="outEnd"/>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('4.3.1 Data_Tverrsnittfigurer'!$B$59:$B$65,'4.3.1 Data_Tverrsnittfigurer'!$B$67:$B$69)</c:f>
              <c:strCache>
                <c:ptCount val="10"/>
                <c:pt idx="0">
                  <c:v>Togreisende i referanse</c:v>
                </c:pt>
                <c:pt idx="1">
                  <c:v>Nye togreisende</c:v>
                </c:pt>
                <c:pt idx="2">
                  <c:v>Bilreisende</c:v>
                </c:pt>
                <c:pt idx="3">
                  <c:v>Bussreisende</c:v>
                </c:pt>
                <c:pt idx="4">
                  <c:v>Flyreisende</c:v>
                </c:pt>
                <c:pt idx="5">
                  <c:v>Godskunder</c:v>
                </c:pt>
                <c:pt idx="6">
                  <c:v>Helsevirkninger</c:v>
                </c:pt>
                <c:pt idx="7">
                  <c:v>Overført: Bil </c:v>
                </c:pt>
                <c:pt idx="8">
                  <c:v>Overført: Buss</c:v>
                </c:pt>
                <c:pt idx="9">
                  <c:v>Oveført: Fly </c:v>
                </c:pt>
              </c:strCache>
            </c:strRef>
          </c:cat>
          <c:val>
            <c:numRef>
              <c:f>('4.3.1 Data_Tverrsnittfigurer'!$E$59:$E$65,'4.3.1 Data_Tverrsnittfigurer'!$E$67:$E$69)</c:f>
              <c:numCache>
                <c:formatCode>0</c:formatCode>
                <c:ptCount val="10"/>
                <c:pt idx="0">
                  <c:v>#N/A</c:v>
                </c:pt>
                <c:pt idx="1">
                  <c:v>#N/A</c:v>
                </c:pt>
                <c:pt idx="2">
                  <c:v>#N/A</c:v>
                </c:pt>
                <c:pt idx="3">
                  <c:v>#N/A</c:v>
                </c:pt>
                <c:pt idx="4">
                  <c:v>#N/A</c:v>
                </c:pt>
                <c:pt idx="5">
                  <c:v>#N/A</c:v>
                </c:pt>
                <c:pt idx="6">
                  <c:v>#N/A</c:v>
                </c:pt>
                <c:pt idx="7">
                  <c:v>#N/A</c:v>
                </c:pt>
                <c:pt idx="8">
                  <c:v>#N/A</c:v>
                </c:pt>
                <c:pt idx="9">
                  <c:v>#N/A</c:v>
                </c:pt>
              </c:numCache>
            </c:numRef>
          </c:val>
          <c:extLst>
            <c:ext xmlns:c16="http://schemas.microsoft.com/office/drawing/2014/chart" uri="{C3380CC4-5D6E-409C-BE32-E72D297353CC}">
              <c16:uniqueId val="{00000016-45C3-4AFB-A884-E976CFC38AA1}"/>
            </c:ext>
          </c:extLst>
        </c:ser>
        <c:dLbls>
          <c:dLblPos val="outEnd"/>
          <c:showLegendKey val="0"/>
          <c:showVal val="1"/>
          <c:showCatName val="0"/>
          <c:showSerName val="0"/>
          <c:showPercent val="0"/>
          <c:showBubbleSize val="0"/>
          <c:showLeaderLines val="1"/>
        </c:dLbls>
        <c:gapWidth val="120"/>
        <c:splitType val="cust"/>
        <c:custSplit>
          <c:secondPiePt val="7"/>
          <c:secondPiePt val="8"/>
          <c:secondPiePt val="9"/>
        </c:custSplit>
        <c:secondPieSize val="55"/>
        <c:serLines>
          <c:spPr>
            <a:ln w="9525" cap="flat" cmpd="sng" algn="ctr">
              <a:solidFill>
                <a:schemeClr val="tx1">
                  <a:lumMod val="35000"/>
                  <a:lumOff val="65000"/>
                </a:schemeClr>
              </a:solidFill>
              <a:round/>
            </a:ln>
            <a:effectLst/>
          </c:spPr>
        </c:serLines>
      </c:ofPieChart>
      <c:spPr>
        <a:noFill/>
        <a:ln>
          <a:noFill/>
        </a:ln>
        <a:effectLst/>
      </c:spPr>
    </c:plotArea>
    <c:legend>
      <c:legendPos val="r"/>
      <c:layout>
        <c:manualLayout>
          <c:xMode val="edge"/>
          <c:yMode val="edge"/>
          <c:x val="0.88354000000000021"/>
          <c:y val="2.7906361186500826E-2"/>
          <c:w val="0.10940444444444444"/>
          <c:h val="0.95183604576448366"/>
        </c:manualLayout>
      </c:layout>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nb-N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nb-NO"/>
    </a:p>
  </c:txPr>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b-NO"/>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'4.3.2 Data_Tidsseriefigurer'!$L$25</c:f>
          <c:strCache>
            <c:ptCount val="1"/>
            <c:pt idx="0">
              <c:v>Nyttebidraget fra endret CO2-utslipp, mill. kr. (venstre akse) og CO2-prisbane (høyre akse) (-kr)</c:v>
            </c:pt>
          </c:strCache>
        </c:strRef>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Franklin Gothic Book" panose="020B0503020102020204" pitchFamily="34" charset="0"/>
              <a:ea typeface="+mn-ea"/>
              <a:cs typeface="+mn-cs"/>
            </a:defRPr>
          </a:pPr>
          <a:endParaRPr lang="nb-NO"/>
        </a:p>
      </c:txPr>
    </c:title>
    <c:autoTitleDeleted val="0"/>
    <c:plotArea>
      <c:layout/>
      <c:lineChart>
        <c:grouping val="standard"/>
        <c:varyColors val="0"/>
        <c:ser>
          <c:idx val="0"/>
          <c:order val="0"/>
          <c:tx>
            <c:strRef>
              <c:f>'4.3.2 Data_Tidsseriefigurer'!$B$28</c:f>
              <c:strCache>
                <c:ptCount val="1"/>
                <c:pt idx="0">
                  <c:v>Jernbane - Persontog</c:v>
                </c:pt>
              </c:strCache>
            </c:strRef>
          </c:tx>
          <c:spPr>
            <a:ln w="28575" cap="rnd">
              <a:solidFill>
                <a:schemeClr val="accent1"/>
              </a:solidFill>
              <a:round/>
            </a:ln>
            <a:effectLst/>
          </c:spPr>
          <c:marker>
            <c:symbol val="none"/>
          </c:marker>
          <c:cat>
            <c:numRef>
              <c:f>'4.3.2 Data_Tidsseriefigurer'!$C$27:$CI$27</c:f>
              <c:numCache>
                <c:formatCode>General</c:formatCode>
                <c:ptCount val="85"/>
                <c:pt idx="0">
                  <c:v>-10</c:v>
                </c:pt>
                <c:pt idx="1">
                  <c:v>-9</c:v>
                </c:pt>
                <c:pt idx="2">
                  <c:v>-8</c:v>
                </c:pt>
                <c:pt idx="3">
                  <c:v>-7</c:v>
                </c:pt>
                <c:pt idx="4">
                  <c:v>-6</c:v>
                </c:pt>
                <c:pt idx="5">
                  <c:v>-5</c:v>
                </c:pt>
                <c:pt idx="6">
                  <c:v>-4</c:v>
                </c:pt>
                <c:pt idx="7">
                  <c:v>-3</c:v>
                </c:pt>
                <c:pt idx="8">
                  <c:v>-2</c:v>
                </c:pt>
                <c:pt idx="9">
                  <c:v>-1</c:v>
                </c:pt>
                <c:pt idx="10">
                  <c:v>0</c:v>
                </c:pt>
                <c:pt idx="11">
                  <c:v>1</c:v>
                </c:pt>
                <c:pt idx="12">
                  <c:v>2</c:v>
                </c:pt>
                <c:pt idx="13">
                  <c:v>3</c:v>
                </c:pt>
                <c:pt idx="14">
                  <c:v>4</c:v>
                </c:pt>
                <c:pt idx="15">
                  <c:v>5</c:v>
                </c:pt>
                <c:pt idx="16">
                  <c:v>6</c:v>
                </c:pt>
                <c:pt idx="17">
                  <c:v>7</c:v>
                </c:pt>
                <c:pt idx="18">
                  <c:v>8</c:v>
                </c:pt>
                <c:pt idx="19">
                  <c:v>9</c:v>
                </c:pt>
                <c:pt idx="20">
                  <c:v>10</c:v>
                </c:pt>
                <c:pt idx="21">
                  <c:v>11</c:v>
                </c:pt>
                <c:pt idx="22">
                  <c:v>12</c:v>
                </c:pt>
                <c:pt idx="23">
                  <c:v>13</c:v>
                </c:pt>
                <c:pt idx="24">
                  <c:v>14</c:v>
                </c:pt>
                <c:pt idx="25">
                  <c:v>15</c:v>
                </c:pt>
                <c:pt idx="26">
                  <c:v>16</c:v>
                </c:pt>
                <c:pt idx="27">
                  <c:v>17</c:v>
                </c:pt>
                <c:pt idx="28">
                  <c:v>18</c:v>
                </c:pt>
                <c:pt idx="29">
                  <c:v>19</c:v>
                </c:pt>
                <c:pt idx="30">
                  <c:v>20</c:v>
                </c:pt>
                <c:pt idx="31">
                  <c:v>21</c:v>
                </c:pt>
                <c:pt idx="32">
                  <c:v>22</c:v>
                </c:pt>
                <c:pt idx="33">
                  <c:v>23</c:v>
                </c:pt>
                <c:pt idx="34">
                  <c:v>24</c:v>
                </c:pt>
                <c:pt idx="35">
                  <c:v>25</c:v>
                </c:pt>
                <c:pt idx="36">
                  <c:v>26</c:v>
                </c:pt>
                <c:pt idx="37">
                  <c:v>27</c:v>
                </c:pt>
                <c:pt idx="38">
                  <c:v>28</c:v>
                </c:pt>
                <c:pt idx="39">
                  <c:v>29</c:v>
                </c:pt>
                <c:pt idx="40">
                  <c:v>30</c:v>
                </c:pt>
                <c:pt idx="41">
                  <c:v>31</c:v>
                </c:pt>
                <c:pt idx="42">
                  <c:v>32</c:v>
                </c:pt>
                <c:pt idx="43">
                  <c:v>33</c:v>
                </c:pt>
                <c:pt idx="44">
                  <c:v>34</c:v>
                </c:pt>
                <c:pt idx="45">
                  <c:v>35</c:v>
                </c:pt>
                <c:pt idx="46">
                  <c:v>36</c:v>
                </c:pt>
                <c:pt idx="47">
                  <c:v>37</c:v>
                </c:pt>
                <c:pt idx="48">
                  <c:v>38</c:v>
                </c:pt>
                <c:pt idx="49">
                  <c:v>39</c:v>
                </c:pt>
                <c:pt idx="50">
                  <c:v>40</c:v>
                </c:pt>
                <c:pt idx="51">
                  <c:v>41</c:v>
                </c:pt>
                <c:pt idx="52">
                  <c:v>42</c:v>
                </c:pt>
                <c:pt idx="53">
                  <c:v>43</c:v>
                </c:pt>
                <c:pt idx="54">
                  <c:v>44</c:v>
                </c:pt>
                <c:pt idx="55">
                  <c:v>45</c:v>
                </c:pt>
                <c:pt idx="56">
                  <c:v>46</c:v>
                </c:pt>
                <c:pt idx="57">
                  <c:v>47</c:v>
                </c:pt>
                <c:pt idx="58">
                  <c:v>48</c:v>
                </c:pt>
                <c:pt idx="59">
                  <c:v>49</c:v>
                </c:pt>
                <c:pt idx="60">
                  <c:v>50</c:v>
                </c:pt>
                <c:pt idx="61">
                  <c:v>51</c:v>
                </c:pt>
                <c:pt idx="62">
                  <c:v>52</c:v>
                </c:pt>
                <c:pt idx="63">
                  <c:v>53</c:v>
                </c:pt>
                <c:pt idx="64">
                  <c:v>54</c:v>
                </c:pt>
                <c:pt idx="65">
                  <c:v>55</c:v>
                </c:pt>
                <c:pt idx="66">
                  <c:v>56</c:v>
                </c:pt>
                <c:pt idx="67">
                  <c:v>57</c:v>
                </c:pt>
                <c:pt idx="68">
                  <c:v>58</c:v>
                </c:pt>
                <c:pt idx="69">
                  <c:v>59</c:v>
                </c:pt>
                <c:pt idx="70">
                  <c:v>60</c:v>
                </c:pt>
                <c:pt idx="71">
                  <c:v>61</c:v>
                </c:pt>
                <c:pt idx="72">
                  <c:v>62</c:v>
                </c:pt>
                <c:pt idx="73">
                  <c:v>63</c:v>
                </c:pt>
                <c:pt idx="74">
                  <c:v>64</c:v>
                </c:pt>
                <c:pt idx="75">
                  <c:v>65</c:v>
                </c:pt>
                <c:pt idx="76">
                  <c:v>66</c:v>
                </c:pt>
                <c:pt idx="77">
                  <c:v>67</c:v>
                </c:pt>
                <c:pt idx="78">
                  <c:v>68</c:v>
                </c:pt>
                <c:pt idx="79">
                  <c:v>69</c:v>
                </c:pt>
                <c:pt idx="80">
                  <c:v>70</c:v>
                </c:pt>
                <c:pt idx="81">
                  <c:v>71</c:v>
                </c:pt>
                <c:pt idx="82">
                  <c:v>72</c:v>
                </c:pt>
                <c:pt idx="83">
                  <c:v>73</c:v>
                </c:pt>
                <c:pt idx="84">
                  <c:v>74</c:v>
                </c:pt>
              </c:numCache>
            </c:numRef>
          </c:cat>
          <c:val>
            <c:numRef>
              <c:f>'4.3.2 Data_Tidsseriefigurer'!$C$28:$CI$28</c:f>
              <c:numCache>
                <c:formatCode>General</c:formatCode>
                <c:ptCount val="85"/>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pt idx="43">
                  <c:v>#N/A</c:v>
                </c:pt>
                <c:pt idx="44">
                  <c:v>#N/A</c:v>
                </c:pt>
                <c:pt idx="45">
                  <c:v>#N/A</c:v>
                </c:pt>
                <c:pt idx="46">
                  <c:v>#N/A</c:v>
                </c:pt>
                <c:pt idx="47">
                  <c:v>#N/A</c:v>
                </c:pt>
                <c:pt idx="48">
                  <c:v>#N/A</c:v>
                </c:pt>
                <c:pt idx="49">
                  <c:v>#N/A</c:v>
                </c:pt>
                <c:pt idx="50">
                  <c:v>#N/A</c:v>
                </c:pt>
                <c:pt idx="51">
                  <c:v>#N/A</c:v>
                </c:pt>
                <c:pt idx="52">
                  <c:v>#N/A</c:v>
                </c:pt>
                <c:pt idx="53">
                  <c:v>#N/A</c:v>
                </c:pt>
                <c:pt idx="54">
                  <c:v>#N/A</c:v>
                </c:pt>
                <c:pt idx="55">
                  <c:v>#N/A</c:v>
                </c:pt>
                <c:pt idx="56">
                  <c:v>#N/A</c:v>
                </c:pt>
                <c:pt idx="57">
                  <c:v>#N/A</c:v>
                </c:pt>
                <c:pt idx="58">
                  <c:v>#N/A</c:v>
                </c:pt>
                <c:pt idx="59">
                  <c:v>#N/A</c:v>
                </c:pt>
                <c:pt idx="60">
                  <c:v>#N/A</c:v>
                </c:pt>
                <c:pt idx="61">
                  <c:v>#N/A</c:v>
                </c:pt>
                <c:pt idx="62">
                  <c:v>#N/A</c:v>
                </c:pt>
                <c:pt idx="63">
                  <c:v>#N/A</c:v>
                </c:pt>
                <c:pt idx="64">
                  <c:v>#N/A</c:v>
                </c:pt>
                <c:pt idx="65">
                  <c:v>#N/A</c:v>
                </c:pt>
                <c:pt idx="66">
                  <c:v>#N/A</c:v>
                </c:pt>
                <c:pt idx="67">
                  <c:v>#N/A</c:v>
                </c:pt>
                <c:pt idx="68">
                  <c:v>#N/A</c:v>
                </c:pt>
                <c:pt idx="69">
                  <c:v>#N/A</c:v>
                </c:pt>
                <c:pt idx="70">
                  <c:v>#N/A</c:v>
                </c:pt>
                <c:pt idx="71">
                  <c:v>#N/A</c:v>
                </c:pt>
                <c:pt idx="72">
                  <c:v>#N/A</c:v>
                </c:pt>
                <c:pt idx="73">
                  <c:v>#N/A</c:v>
                </c:pt>
                <c:pt idx="74">
                  <c:v>#N/A</c:v>
                </c:pt>
                <c:pt idx="75">
                  <c:v>#N/A</c:v>
                </c:pt>
                <c:pt idx="76">
                  <c:v>#N/A</c:v>
                </c:pt>
                <c:pt idx="77">
                  <c:v>#N/A</c:v>
                </c:pt>
                <c:pt idx="78">
                  <c:v>#N/A</c:v>
                </c:pt>
                <c:pt idx="79">
                  <c:v>#N/A</c:v>
                </c:pt>
                <c:pt idx="80">
                  <c:v>#N/A</c:v>
                </c:pt>
                <c:pt idx="81">
                  <c:v>#N/A</c:v>
                </c:pt>
                <c:pt idx="82">
                  <c:v>#N/A</c:v>
                </c:pt>
                <c:pt idx="83">
                  <c:v>#N/A</c:v>
                </c:pt>
                <c:pt idx="84">
                  <c:v>#N/A</c:v>
                </c:pt>
              </c:numCache>
            </c:numRef>
          </c:val>
          <c:smooth val="0"/>
          <c:extLst>
            <c:ext xmlns:c16="http://schemas.microsoft.com/office/drawing/2014/chart" uri="{C3380CC4-5D6E-409C-BE32-E72D297353CC}">
              <c16:uniqueId val="{00000002-CEAF-4128-8AAA-112C0BD2A7D6}"/>
            </c:ext>
          </c:extLst>
        </c:ser>
        <c:ser>
          <c:idx val="1"/>
          <c:order val="1"/>
          <c:tx>
            <c:strRef>
              <c:f>'4.3.2 Data_Tidsseriefigurer'!$B$29</c:f>
              <c:strCache>
                <c:ptCount val="1"/>
                <c:pt idx="0">
                  <c:v>Jernbane - Godstog</c:v>
                </c:pt>
              </c:strCache>
            </c:strRef>
          </c:tx>
          <c:spPr>
            <a:ln w="28575" cap="rnd">
              <a:solidFill>
                <a:schemeClr val="accent2"/>
              </a:solidFill>
              <a:round/>
            </a:ln>
            <a:effectLst/>
          </c:spPr>
          <c:marker>
            <c:symbol val="none"/>
          </c:marker>
          <c:cat>
            <c:numRef>
              <c:f>'4.3.2 Data_Tidsseriefigurer'!$C$27:$CI$27</c:f>
              <c:numCache>
                <c:formatCode>General</c:formatCode>
                <c:ptCount val="85"/>
                <c:pt idx="0">
                  <c:v>-10</c:v>
                </c:pt>
                <c:pt idx="1">
                  <c:v>-9</c:v>
                </c:pt>
                <c:pt idx="2">
                  <c:v>-8</c:v>
                </c:pt>
                <c:pt idx="3">
                  <c:v>-7</c:v>
                </c:pt>
                <c:pt idx="4">
                  <c:v>-6</c:v>
                </c:pt>
                <c:pt idx="5">
                  <c:v>-5</c:v>
                </c:pt>
                <c:pt idx="6">
                  <c:v>-4</c:v>
                </c:pt>
                <c:pt idx="7">
                  <c:v>-3</c:v>
                </c:pt>
                <c:pt idx="8">
                  <c:v>-2</c:v>
                </c:pt>
                <c:pt idx="9">
                  <c:v>-1</c:v>
                </c:pt>
                <c:pt idx="10">
                  <c:v>0</c:v>
                </c:pt>
                <c:pt idx="11">
                  <c:v>1</c:v>
                </c:pt>
                <c:pt idx="12">
                  <c:v>2</c:v>
                </c:pt>
                <c:pt idx="13">
                  <c:v>3</c:v>
                </c:pt>
                <c:pt idx="14">
                  <c:v>4</c:v>
                </c:pt>
                <c:pt idx="15">
                  <c:v>5</c:v>
                </c:pt>
                <c:pt idx="16">
                  <c:v>6</c:v>
                </c:pt>
                <c:pt idx="17">
                  <c:v>7</c:v>
                </c:pt>
                <c:pt idx="18">
                  <c:v>8</c:v>
                </c:pt>
                <c:pt idx="19">
                  <c:v>9</c:v>
                </c:pt>
                <c:pt idx="20">
                  <c:v>10</c:v>
                </c:pt>
                <c:pt idx="21">
                  <c:v>11</c:v>
                </c:pt>
                <c:pt idx="22">
                  <c:v>12</c:v>
                </c:pt>
                <c:pt idx="23">
                  <c:v>13</c:v>
                </c:pt>
                <c:pt idx="24">
                  <c:v>14</c:v>
                </c:pt>
                <c:pt idx="25">
                  <c:v>15</c:v>
                </c:pt>
                <c:pt idx="26">
                  <c:v>16</c:v>
                </c:pt>
                <c:pt idx="27">
                  <c:v>17</c:v>
                </c:pt>
                <c:pt idx="28">
                  <c:v>18</c:v>
                </c:pt>
                <c:pt idx="29">
                  <c:v>19</c:v>
                </c:pt>
                <c:pt idx="30">
                  <c:v>20</c:v>
                </c:pt>
                <c:pt idx="31">
                  <c:v>21</c:v>
                </c:pt>
                <c:pt idx="32">
                  <c:v>22</c:v>
                </c:pt>
                <c:pt idx="33">
                  <c:v>23</c:v>
                </c:pt>
                <c:pt idx="34">
                  <c:v>24</c:v>
                </c:pt>
                <c:pt idx="35">
                  <c:v>25</c:v>
                </c:pt>
                <c:pt idx="36">
                  <c:v>26</c:v>
                </c:pt>
                <c:pt idx="37">
                  <c:v>27</c:v>
                </c:pt>
                <c:pt idx="38">
                  <c:v>28</c:v>
                </c:pt>
                <c:pt idx="39">
                  <c:v>29</c:v>
                </c:pt>
                <c:pt idx="40">
                  <c:v>30</c:v>
                </c:pt>
                <c:pt idx="41">
                  <c:v>31</c:v>
                </c:pt>
                <c:pt idx="42">
                  <c:v>32</c:v>
                </c:pt>
                <c:pt idx="43">
                  <c:v>33</c:v>
                </c:pt>
                <c:pt idx="44">
                  <c:v>34</c:v>
                </c:pt>
                <c:pt idx="45">
                  <c:v>35</c:v>
                </c:pt>
                <c:pt idx="46">
                  <c:v>36</c:v>
                </c:pt>
                <c:pt idx="47">
                  <c:v>37</c:v>
                </c:pt>
                <c:pt idx="48">
                  <c:v>38</c:v>
                </c:pt>
                <c:pt idx="49">
                  <c:v>39</c:v>
                </c:pt>
                <c:pt idx="50">
                  <c:v>40</c:v>
                </c:pt>
                <c:pt idx="51">
                  <c:v>41</c:v>
                </c:pt>
                <c:pt idx="52">
                  <c:v>42</c:v>
                </c:pt>
                <c:pt idx="53">
                  <c:v>43</c:v>
                </c:pt>
                <c:pt idx="54">
                  <c:v>44</c:v>
                </c:pt>
                <c:pt idx="55">
                  <c:v>45</c:v>
                </c:pt>
                <c:pt idx="56">
                  <c:v>46</c:v>
                </c:pt>
                <c:pt idx="57">
                  <c:v>47</c:v>
                </c:pt>
                <c:pt idx="58">
                  <c:v>48</c:v>
                </c:pt>
                <c:pt idx="59">
                  <c:v>49</c:v>
                </c:pt>
                <c:pt idx="60">
                  <c:v>50</c:v>
                </c:pt>
                <c:pt idx="61">
                  <c:v>51</c:v>
                </c:pt>
                <c:pt idx="62">
                  <c:v>52</c:v>
                </c:pt>
                <c:pt idx="63">
                  <c:v>53</c:v>
                </c:pt>
                <c:pt idx="64">
                  <c:v>54</c:v>
                </c:pt>
                <c:pt idx="65">
                  <c:v>55</c:v>
                </c:pt>
                <c:pt idx="66">
                  <c:v>56</c:v>
                </c:pt>
                <c:pt idx="67">
                  <c:v>57</c:v>
                </c:pt>
                <c:pt idx="68">
                  <c:v>58</c:v>
                </c:pt>
                <c:pt idx="69">
                  <c:v>59</c:v>
                </c:pt>
                <c:pt idx="70">
                  <c:v>60</c:v>
                </c:pt>
                <c:pt idx="71">
                  <c:v>61</c:v>
                </c:pt>
                <c:pt idx="72">
                  <c:v>62</c:v>
                </c:pt>
                <c:pt idx="73">
                  <c:v>63</c:v>
                </c:pt>
                <c:pt idx="74">
                  <c:v>64</c:v>
                </c:pt>
                <c:pt idx="75">
                  <c:v>65</c:v>
                </c:pt>
                <c:pt idx="76">
                  <c:v>66</c:v>
                </c:pt>
                <c:pt idx="77">
                  <c:v>67</c:v>
                </c:pt>
                <c:pt idx="78">
                  <c:v>68</c:v>
                </c:pt>
                <c:pt idx="79">
                  <c:v>69</c:v>
                </c:pt>
                <c:pt idx="80">
                  <c:v>70</c:v>
                </c:pt>
                <c:pt idx="81">
                  <c:v>71</c:v>
                </c:pt>
                <c:pt idx="82">
                  <c:v>72</c:v>
                </c:pt>
                <c:pt idx="83">
                  <c:v>73</c:v>
                </c:pt>
                <c:pt idx="84">
                  <c:v>74</c:v>
                </c:pt>
              </c:numCache>
            </c:numRef>
          </c:cat>
          <c:val>
            <c:numRef>
              <c:f>'4.3.2 Data_Tidsseriefigurer'!$C$29:$CI$29</c:f>
              <c:numCache>
                <c:formatCode>General</c:formatCode>
                <c:ptCount val="85"/>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pt idx="43">
                  <c:v>#N/A</c:v>
                </c:pt>
                <c:pt idx="44">
                  <c:v>#N/A</c:v>
                </c:pt>
                <c:pt idx="45">
                  <c:v>#N/A</c:v>
                </c:pt>
                <c:pt idx="46">
                  <c:v>#N/A</c:v>
                </c:pt>
                <c:pt idx="47">
                  <c:v>#N/A</c:v>
                </c:pt>
                <c:pt idx="48">
                  <c:v>#N/A</c:v>
                </c:pt>
                <c:pt idx="49">
                  <c:v>#N/A</c:v>
                </c:pt>
                <c:pt idx="50">
                  <c:v>#N/A</c:v>
                </c:pt>
                <c:pt idx="51">
                  <c:v>#N/A</c:v>
                </c:pt>
                <c:pt idx="52">
                  <c:v>#N/A</c:v>
                </c:pt>
                <c:pt idx="53">
                  <c:v>#N/A</c:v>
                </c:pt>
                <c:pt idx="54">
                  <c:v>#N/A</c:v>
                </c:pt>
                <c:pt idx="55">
                  <c:v>#N/A</c:v>
                </c:pt>
                <c:pt idx="56">
                  <c:v>#N/A</c:v>
                </c:pt>
                <c:pt idx="57">
                  <c:v>#N/A</c:v>
                </c:pt>
                <c:pt idx="58">
                  <c:v>#N/A</c:v>
                </c:pt>
                <c:pt idx="59">
                  <c:v>#N/A</c:v>
                </c:pt>
                <c:pt idx="60">
                  <c:v>#N/A</c:v>
                </c:pt>
                <c:pt idx="61">
                  <c:v>#N/A</c:v>
                </c:pt>
                <c:pt idx="62">
                  <c:v>#N/A</c:v>
                </c:pt>
                <c:pt idx="63">
                  <c:v>#N/A</c:v>
                </c:pt>
                <c:pt idx="64">
                  <c:v>#N/A</c:v>
                </c:pt>
                <c:pt idx="65">
                  <c:v>#N/A</c:v>
                </c:pt>
                <c:pt idx="66">
                  <c:v>#N/A</c:v>
                </c:pt>
                <c:pt idx="67">
                  <c:v>#N/A</c:v>
                </c:pt>
                <c:pt idx="68">
                  <c:v>#N/A</c:v>
                </c:pt>
                <c:pt idx="69">
                  <c:v>#N/A</c:v>
                </c:pt>
                <c:pt idx="70">
                  <c:v>#N/A</c:v>
                </c:pt>
                <c:pt idx="71">
                  <c:v>#N/A</c:v>
                </c:pt>
                <c:pt idx="72">
                  <c:v>#N/A</c:v>
                </c:pt>
                <c:pt idx="73">
                  <c:v>#N/A</c:v>
                </c:pt>
                <c:pt idx="74">
                  <c:v>#N/A</c:v>
                </c:pt>
                <c:pt idx="75">
                  <c:v>#N/A</c:v>
                </c:pt>
                <c:pt idx="76">
                  <c:v>#N/A</c:v>
                </c:pt>
                <c:pt idx="77">
                  <c:v>#N/A</c:v>
                </c:pt>
                <c:pt idx="78">
                  <c:v>#N/A</c:v>
                </c:pt>
                <c:pt idx="79">
                  <c:v>#N/A</c:v>
                </c:pt>
                <c:pt idx="80">
                  <c:v>#N/A</c:v>
                </c:pt>
                <c:pt idx="81">
                  <c:v>#N/A</c:v>
                </c:pt>
                <c:pt idx="82">
                  <c:v>#N/A</c:v>
                </c:pt>
                <c:pt idx="83">
                  <c:v>#N/A</c:v>
                </c:pt>
                <c:pt idx="84">
                  <c:v>#N/A</c:v>
                </c:pt>
              </c:numCache>
            </c:numRef>
          </c:val>
          <c:smooth val="0"/>
          <c:extLst>
            <c:ext xmlns:c16="http://schemas.microsoft.com/office/drawing/2014/chart" uri="{C3380CC4-5D6E-409C-BE32-E72D297353CC}">
              <c16:uniqueId val="{00000003-CEAF-4128-8AAA-112C0BD2A7D6}"/>
            </c:ext>
          </c:extLst>
        </c:ser>
        <c:ser>
          <c:idx val="2"/>
          <c:order val="2"/>
          <c:tx>
            <c:strRef>
              <c:f>'4.3.2 Data_Tidsseriefigurer'!$B$30</c:f>
              <c:strCache>
                <c:ptCount val="1"/>
                <c:pt idx="0">
                  <c:v>Personbil</c:v>
                </c:pt>
              </c:strCache>
            </c:strRef>
          </c:tx>
          <c:spPr>
            <a:ln w="28575" cap="rnd">
              <a:solidFill>
                <a:schemeClr val="accent3"/>
              </a:solidFill>
              <a:round/>
            </a:ln>
            <a:effectLst/>
          </c:spPr>
          <c:marker>
            <c:symbol val="none"/>
          </c:marker>
          <c:cat>
            <c:numRef>
              <c:f>'4.3.2 Data_Tidsseriefigurer'!$C$27:$CI$27</c:f>
              <c:numCache>
                <c:formatCode>General</c:formatCode>
                <c:ptCount val="85"/>
                <c:pt idx="0">
                  <c:v>-10</c:v>
                </c:pt>
                <c:pt idx="1">
                  <c:v>-9</c:v>
                </c:pt>
                <c:pt idx="2">
                  <c:v>-8</c:v>
                </c:pt>
                <c:pt idx="3">
                  <c:v>-7</c:v>
                </c:pt>
                <c:pt idx="4">
                  <c:v>-6</c:v>
                </c:pt>
                <c:pt idx="5">
                  <c:v>-5</c:v>
                </c:pt>
                <c:pt idx="6">
                  <c:v>-4</c:v>
                </c:pt>
                <c:pt idx="7">
                  <c:v>-3</c:v>
                </c:pt>
                <c:pt idx="8">
                  <c:v>-2</c:v>
                </c:pt>
                <c:pt idx="9">
                  <c:v>-1</c:v>
                </c:pt>
                <c:pt idx="10">
                  <c:v>0</c:v>
                </c:pt>
                <c:pt idx="11">
                  <c:v>1</c:v>
                </c:pt>
                <c:pt idx="12">
                  <c:v>2</c:v>
                </c:pt>
                <c:pt idx="13">
                  <c:v>3</c:v>
                </c:pt>
                <c:pt idx="14">
                  <c:v>4</c:v>
                </c:pt>
                <c:pt idx="15">
                  <c:v>5</c:v>
                </c:pt>
                <c:pt idx="16">
                  <c:v>6</c:v>
                </c:pt>
                <c:pt idx="17">
                  <c:v>7</c:v>
                </c:pt>
                <c:pt idx="18">
                  <c:v>8</c:v>
                </c:pt>
                <c:pt idx="19">
                  <c:v>9</c:v>
                </c:pt>
                <c:pt idx="20">
                  <c:v>10</c:v>
                </c:pt>
                <c:pt idx="21">
                  <c:v>11</c:v>
                </c:pt>
                <c:pt idx="22">
                  <c:v>12</c:v>
                </c:pt>
                <c:pt idx="23">
                  <c:v>13</c:v>
                </c:pt>
                <c:pt idx="24">
                  <c:v>14</c:v>
                </c:pt>
                <c:pt idx="25">
                  <c:v>15</c:v>
                </c:pt>
                <c:pt idx="26">
                  <c:v>16</c:v>
                </c:pt>
                <c:pt idx="27">
                  <c:v>17</c:v>
                </c:pt>
                <c:pt idx="28">
                  <c:v>18</c:v>
                </c:pt>
                <c:pt idx="29">
                  <c:v>19</c:v>
                </c:pt>
                <c:pt idx="30">
                  <c:v>20</c:v>
                </c:pt>
                <c:pt idx="31">
                  <c:v>21</c:v>
                </c:pt>
                <c:pt idx="32">
                  <c:v>22</c:v>
                </c:pt>
                <c:pt idx="33">
                  <c:v>23</c:v>
                </c:pt>
                <c:pt idx="34">
                  <c:v>24</c:v>
                </c:pt>
                <c:pt idx="35">
                  <c:v>25</c:v>
                </c:pt>
                <c:pt idx="36">
                  <c:v>26</c:v>
                </c:pt>
                <c:pt idx="37">
                  <c:v>27</c:v>
                </c:pt>
                <c:pt idx="38">
                  <c:v>28</c:v>
                </c:pt>
                <c:pt idx="39">
                  <c:v>29</c:v>
                </c:pt>
                <c:pt idx="40">
                  <c:v>30</c:v>
                </c:pt>
                <c:pt idx="41">
                  <c:v>31</c:v>
                </c:pt>
                <c:pt idx="42">
                  <c:v>32</c:v>
                </c:pt>
                <c:pt idx="43">
                  <c:v>33</c:v>
                </c:pt>
                <c:pt idx="44">
                  <c:v>34</c:v>
                </c:pt>
                <c:pt idx="45">
                  <c:v>35</c:v>
                </c:pt>
                <c:pt idx="46">
                  <c:v>36</c:v>
                </c:pt>
                <c:pt idx="47">
                  <c:v>37</c:v>
                </c:pt>
                <c:pt idx="48">
                  <c:v>38</c:v>
                </c:pt>
                <c:pt idx="49">
                  <c:v>39</c:v>
                </c:pt>
                <c:pt idx="50">
                  <c:v>40</c:v>
                </c:pt>
                <c:pt idx="51">
                  <c:v>41</c:v>
                </c:pt>
                <c:pt idx="52">
                  <c:v>42</c:v>
                </c:pt>
                <c:pt idx="53">
                  <c:v>43</c:v>
                </c:pt>
                <c:pt idx="54">
                  <c:v>44</c:v>
                </c:pt>
                <c:pt idx="55">
                  <c:v>45</c:v>
                </c:pt>
                <c:pt idx="56">
                  <c:v>46</c:v>
                </c:pt>
                <c:pt idx="57">
                  <c:v>47</c:v>
                </c:pt>
                <c:pt idx="58">
                  <c:v>48</c:v>
                </c:pt>
                <c:pt idx="59">
                  <c:v>49</c:v>
                </c:pt>
                <c:pt idx="60">
                  <c:v>50</c:v>
                </c:pt>
                <c:pt idx="61">
                  <c:v>51</c:v>
                </c:pt>
                <c:pt idx="62">
                  <c:v>52</c:v>
                </c:pt>
                <c:pt idx="63">
                  <c:v>53</c:v>
                </c:pt>
                <c:pt idx="64">
                  <c:v>54</c:v>
                </c:pt>
                <c:pt idx="65">
                  <c:v>55</c:v>
                </c:pt>
                <c:pt idx="66">
                  <c:v>56</c:v>
                </c:pt>
                <c:pt idx="67">
                  <c:v>57</c:v>
                </c:pt>
                <c:pt idx="68">
                  <c:v>58</c:v>
                </c:pt>
                <c:pt idx="69">
                  <c:v>59</c:v>
                </c:pt>
                <c:pt idx="70">
                  <c:v>60</c:v>
                </c:pt>
                <c:pt idx="71">
                  <c:v>61</c:v>
                </c:pt>
                <c:pt idx="72">
                  <c:v>62</c:v>
                </c:pt>
                <c:pt idx="73">
                  <c:v>63</c:v>
                </c:pt>
                <c:pt idx="74">
                  <c:v>64</c:v>
                </c:pt>
                <c:pt idx="75">
                  <c:v>65</c:v>
                </c:pt>
                <c:pt idx="76">
                  <c:v>66</c:v>
                </c:pt>
                <c:pt idx="77">
                  <c:v>67</c:v>
                </c:pt>
                <c:pt idx="78">
                  <c:v>68</c:v>
                </c:pt>
                <c:pt idx="79">
                  <c:v>69</c:v>
                </c:pt>
                <c:pt idx="80">
                  <c:v>70</c:v>
                </c:pt>
                <c:pt idx="81">
                  <c:v>71</c:v>
                </c:pt>
                <c:pt idx="82">
                  <c:v>72</c:v>
                </c:pt>
                <c:pt idx="83">
                  <c:v>73</c:v>
                </c:pt>
                <c:pt idx="84">
                  <c:v>74</c:v>
                </c:pt>
              </c:numCache>
            </c:numRef>
          </c:cat>
          <c:val>
            <c:numRef>
              <c:f>'4.3.2 Data_Tidsseriefigurer'!$C$30:$CI$30</c:f>
              <c:numCache>
                <c:formatCode>General</c:formatCode>
                <c:ptCount val="85"/>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pt idx="43">
                  <c:v>#N/A</c:v>
                </c:pt>
                <c:pt idx="44">
                  <c:v>#N/A</c:v>
                </c:pt>
                <c:pt idx="45">
                  <c:v>#N/A</c:v>
                </c:pt>
                <c:pt idx="46">
                  <c:v>#N/A</c:v>
                </c:pt>
                <c:pt idx="47">
                  <c:v>#N/A</c:v>
                </c:pt>
                <c:pt idx="48">
                  <c:v>#N/A</c:v>
                </c:pt>
                <c:pt idx="49">
                  <c:v>#N/A</c:v>
                </c:pt>
                <c:pt idx="50">
                  <c:v>#N/A</c:v>
                </c:pt>
                <c:pt idx="51">
                  <c:v>#N/A</c:v>
                </c:pt>
                <c:pt idx="52">
                  <c:v>#N/A</c:v>
                </c:pt>
                <c:pt idx="53">
                  <c:v>#N/A</c:v>
                </c:pt>
                <c:pt idx="54">
                  <c:v>#N/A</c:v>
                </c:pt>
                <c:pt idx="55">
                  <c:v>#N/A</c:v>
                </c:pt>
                <c:pt idx="56">
                  <c:v>#N/A</c:v>
                </c:pt>
                <c:pt idx="57">
                  <c:v>#N/A</c:v>
                </c:pt>
                <c:pt idx="58">
                  <c:v>#N/A</c:v>
                </c:pt>
                <c:pt idx="59">
                  <c:v>#N/A</c:v>
                </c:pt>
                <c:pt idx="60">
                  <c:v>#N/A</c:v>
                </c:pt>
                <c:pt idx="61">
                  <c:v>#N/A</c:v>
                </c:pt>
                <c:pt idx="62">
                  <c:v>#N/A</c:v>
                </c:pt>
                <c:pt idx="63">
                  <c:v>#N/A</c:v>
                </c:pt>
                <c:pt idx="64">
                  <c:v>#N/A</c:v>
                </c:pt>
                <c:pt idx="65">
                  <c:v>#N/A</c:v>
                </c:pt>
                <c:pt idx="66">
                  <c:v>#N/A</c:v>
                </c:pt>
                <c:pt idx="67">
                  <c:v>#N/A</c:v>
                </c:pt>
                <c:pt idx="68">
                  <c:v>#N/A</c:v>
                </c:pt>
                <c:pt idx="69">
                  <c:v>#N/A</c:v>
                </c:pt>
                <c:pt idx="70">
                  <c:v>#N/A</c:v>
                </c:pt>
                <c:pt idx="71">
                  <c:v>#N/A</c:v>
                </c:pt>
                <c:pt idx="72">
                  <c:v>#N/A</c:v>
                </c:pt>
                <c:pt idx="73">
                  <c:v>#N/A</c:v>
                </c:pt>
                <c:pt idx="74">
                  <c:v>#N/A</c:v>
                </c:pt>
                <c:pt idx="75">
                  <c:v>#N/A</c:v>
                </c:pt>
                <c:pt idx="76">
                  <c:v>#N/A</c:v>
                </c:pt>
                <c:pt idx="77">
                  <c:v>#N/A</c:v>
                </c:pt>
                <c:pt idx="78">
                  <c:v>#N/A</c:v>
                </c:pt>
                <c:pt idx="79">
                  <c:v>#N/A</c:v>
                </c:pt>
                <c:pt idx="80">
                  <c:v>#N/A</c:v>
                </c:pt>
                <c:pt idx="81">
                  <c:v>#N/A</c:v>
                </c:pt>
                <c:pt idx="82">
                  <c:v>#N/A</c:v>
                </c:pt>
                <c:pt idx="83">
                  <c:v>#N/A</c:v>
                </c:pt>
                <c:pt idx="84">
                  <c:v>#N/A</c:v>
                </c:pt>
              </c:numCache>
            </c:numRef>
          </c:val>
          <c:smooth val="0"/>
          <c:extLst>
            <c:ext xmlns:c16="http://schemas.microsoft.com/office/drawing/2014/chart" uri="{C3380CC4-5D6E-409C-BE32-E72D297353CC}">
              <c16:uniqueId val="{00000004-CEAF-4128-8AAA-112C0BD2A7D6}"/>
            </c:ext>
          </c:extLst>
        </c:ser>
        <c:ser>
          <c:idx val="3"/>
          <c:order val="3"/>
          <c:tx>
            <c:strRef>
              <c:f>'4.3.2 Data_Tidsseriefigurer'!$B$31</c:f>
              <c:strCache>
                <c:ptCount val="1"/>
                <c:pt idx="0">
                  <c:v>Buss</c:v>
                </c:pt>
              </c:strCache>
            </c:strRef>
          </c:tx>
          <c:spPr>
            <a:ln w="28575" cap="rnd">
              <a:solidFill>
                <a:schemeClr val="accent4"/>
              </a:solidFill>
              <a:round/>
            </a:ln>
            <a:effectLst/>
          </c:spPr>
          <c:marker>
            <c:symbol val="none"/>
          </c:marker>
          <c:cat>
            <c:numRef>
              <c:f>'4.3.2 Data_Tidsseriefigurer'!$C$27:$CI$27</c:f>
              <c:numCache>
                <c:formatCode>General</c:formatCode>
                <c:ptCount val="85"/>
                <c:pt idx="0">
                  <c:v>-10</c:v>
                </c:pt>
                <c:pt idx="1">
                  <c:v>-9</c:v>
                </c:pt>
                <c:pt idx="2">
                  <c:v>-8</c:v>
                </c:pt>
                <c:pt idx="3">
                  <c:v>-7</c:v>
                </c:pt>
                <c:pt idx="4">
                  <c:v>-6</c:v>
                </c:pt>
                <c:pt idx="5">
                  <c:v>-5</c:v>
                </c:pt>
                <c:pt idx="6">
                  <c:v>-4</c:v>
                </c:pt>
                <c:pt idx="7">
                  <c:v>-3</c:v>
                </c:pt>
                <c:pt idx="8">
                  <c:v>-2</c:v>
                </c:pt>
                <c:pt idx="9">
                  <c:v>-1</c:v>
                </c:pt>
                <c:pt idx="10">
                  <c:v>0</c:v>
                </c:pt>
                <c:pt idx="11">
                  <c:v>1</c:v>
                </c:pt>
                <c:pt idx="12">
                  <c:v>2</c:v>
                </c:pt>
                <c:pt idx="13">
                  <c:v>3</c:v>
                </c:pt>
                <c:pt idx="14">
                  <c:v>4</c:v>
                </c:pt>
                <c:pt idx="15">
                  <c:v>5</c:v>
                </c:pt>
                <c:pt idx="16">
                  <c:v>6</c:v>
                </c:pt>
                <c:pt idx="17">
                  <c:v>7</c:v>
                </c:pt>
                <c:pt idx="18">
                  <c:v>8</c:v>
                </c:pt>
                <c:pt idx="19">
                  <c:v>9</c:v>
                </c:pt>
                <c:pt idx="20">
                  <c:v>10</c:v>
                </c:pt>
                <c:pt idx="21">
                  <c:v>11</c:v>
                </c:pt>
                <c:pt idx="22">
                  <c:v>12</c:v>
                </c:pt>
                <c:pt idx="23">
                  <c:v>13</c:v>
                </c:pt>
                <c:pt idx="24">
                  <c:v>14</c:v>
                </c:pt>
                <c:pt idx="25">
                  <c:v>15</c:v>
                </c:pt>
                <c:pt idx="26">
                  <c:v>16</c:v>
                </c:pt>
                <c:pt idx="27">
                  <c:v>17</c:v>
                </c:pt>
                <c:pt idx="28">
                  <c:v>18</c:v>
                </c:pt>
                <c:pt idx="29">
                  <c:v>19</c:v>
                </c:pt>
                <c:pt idx="30">
                  <c:v>20</c:v>
                </c:pt>
                <c:pt idx="31">
                  <c:v>21</c:v>
                </c:pt>
                <c:pt idx="32">
                  <c:v>22</c:v>
                </c:pt>
                <c:pt idx="33">
                  <c:v>23</c:v>
                </c:pt>
                <c:pt idx="34">
                  <c:v>24</c:v>
                </c:pt>
                <c:pt idx="35">
                  <c:v>25</c:v>
                </c:pt>
                <c:pt idx="36">
                  <c:v>26</c:v>
                </c:pt>
                <c:pt idx="37">
                  <c:v>27</c:v>
                </c:pt>
                <c:pt idx="38">
                  <c:v>28</c:v>
                </c:pt>
                <c:pt idx="39">
                  <c:v>29</c:v>
                </c:pt>
                <c:pt idx="40">
                  <c:v>30</c:v>
                </c:pt>
                <c:pt idx="41">
                  <c:v>31</c:v>
                </c:pt>
                <c:pt idx="42">
                  <c:v>32</c:v>
                </c:pt>
                <c:pt idx="43">
                  <c:v>33</c:v>
                </c:pt>
                <c:pt idx="44">
                  <c:v>34</c:v>
                </c:pt>
                <c:pt idx="45">
                  <c:v>35</c:v>
                </c:pt>
                <c:pt idx="46">
                  <c:v>36</c:v>
                </c:pt>
                <c:pt idx="47">
                  <c:v>37</c:v>
                </c:pt>
                <c:pt idx="48">
                  <c:v>38</c:v>
                </c:pt>
                <c:pt idx="49">
                  <c:v>39</c:v>
                </c:pt>
                <c:pt idx="50">
                  <c:v>40</c:v>
                </c:pt>
                <c:pt idx="51">
                  <c:v>41</c:v>
                </c:pt>
                <c:pt idx="52">
                  <c:v>42</c:v>
                </c:pt>
                <c:pt idx="53">
                  <c:v>43</c:v>
                </c:pt>
                <c:pt idx="54">
                  <c:v>44</c:v>
                </c:pt>
                <c:pt idx="55">
                  <c:v>45</c:v>
                </c:pt>
                <c:pt idx="56">
                  <c:v>46</c:v>
                </c:pt>
                <c:pt idx="57">
                  <c:v>47</c:v>
                </c:pt>
                <c:pt idx="58">
                  <c:v>48</c:v>
                </c:pt>
                <c:pt idx="59">
                  <c:v>49</c:v>
                </c:pt>
                <c:pt idx="60">
                  <c:v>50</c:v>
                </c:pt>
                <c:pt idx="61">
                  <c:v>51</c:v>
                </c:pt>
                <c:pt idx="62">
                  <c:v>52</c:v>
                </c:pt>
                <c:pt idx="63">
                  <c:v>53</c:v>
                </c:pt>
                <c:pt idx="64">
                  <c:v>54</c:v>
                </c:pt>
                <c:pt idx="65">
                  <c:v>55</c:v>
                </c:pt>
                <c:pt idx="66">
                  <c:v>56</c:v>
                </c:pt>
                <c:pt idx="67">
                  <c:v>57</c:v>
                </c:pt>
                <c:pt idx="68">
                  <c:v>58</c:v>
                </c:pt>
                <c:pt idx="69">
                  <c:v>59</c:v>
                </c:pt>
                <c:pt idx="70">
                  <c:v>60</c:v>
                </c:pt>
                <c:pt idx="71">
                  <c:v>61</c:v>
                </c:pt>
                <c:pt idx="72">
                  <c:v>62</c:v>
                </c:pt>
                <c:pt idx="73">
                  <c:v>63</c:v>
                </c:pt>
                <c:pt idx="74">
                  <c:v>64</c:v>
                </c:pt>
                <c:pt idx="75">
                  <c:v>65</c:v>
                </c:pt>
                <c:pt idx="76">
                  <c:v>66</c:v>
                </c:pt>
                <c:pt idx="77">
                  <c:v>67</c:v>
                </c:pt>
                <c:pt idx="78">
                  <c:v>68</c:v>
                </c:pt>
                <c:pt idx="79">
                  <c:v>69</c:v>
                </c:pt>
                <c:pt idx="80">
                  <c:v>70</c:v>
                </c:pt>
                <c:pt idx="81">
                  <c:v>71</c:v>
                </c:pt>
                <c:pt idx="82">
                  <c:v>72</c:v>
                </c:pt>
                <c:pt idx="83">
                  <c:v>73</c:v>
                </c:pt>
                <c:pt idx="84">
                  <c:v>74</c:v>
                </c:pt>
              </c:numCache>
            </c:numRef>
          </c:cat>
          <c:val>
            <c:numRef>
              <c:f>'4.3.2 Data_Tidsseriefigurer'!$C$31:$CI$31</c:f>
              <c:numCache>
                <c:formatCode>General</c:formatCode>
                <c:ptCount val="85"/>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pt idx="43">
                  <c:v>#N/A</c:v>
                </c:pt>
                <c:pt idx="44">
                  <c:v>#N/A</c:v>
                </c:pt>
                <c:pt idx="45">
                  <c:v>#N/A</c:v>
                </c:pt>
                <c:pt idx="46">
                  <c:v>#N/A</c:v>
                </c:pt>
                <c:pt idx="47">
                  <c:v>#N/A</c:v>
                </c:pt>
                <c:pt idx="48">
                  <c:v>#N/A</c:v>
                </c:pt>
                <c:pt idx="49">
                  <c:v>#N/A</c:v>
                </c:pt>
                <c:pt idx="50">
                  <c:v>#N/A</c:v>
                </c:pt>
                <c:pt idx="51">
                  <c:v>#N/A</c:v>
                </c:pt>
                <c:pt idx="52">
                  <c:v>#N/A</c:v>
                </c:pt>
                <c:pt idx="53">
                  <c:v>#N/A</c:v>
                </c:pt>
                <c:pt idx="54">
                  <c:v>#N/A</c:v>
                </c:pt>
                <c:pt idx="55">
                  <c:v>#N/A</c:v>
                </c:pt>
                <c:pt idx="56">
                  <c:v>#N/A</c:v>
                </c:pt>
                <c:pt idx="57">
                  <c:v>#N/A</c:v>
                </c:pt>
                <c:pt idx="58">
                  <c:v>#N/A</c:v>
                </c:pt>
                <c:pt idx="59">
                  <c:v>#N/A</c:v>
                </c:pt>
                <c:pt idx="60">
                  <c:v>#N/A</c:v>
                </c:pt>
                <c:pt idx="61">
                  <c:v>#N/A</c:v>
                </c:pt>
                <c:pt idx="62">
                  <c:v>#N/A</c:v>
                </c:pt>
                <c:pt idx="63">
                  <c:v>#N/A</c:v>
                </c:pt>
                <c:pt idx="64">
                  <c:v>#N/A</c:v>
                </c:pt>
                <c:pt idx="65">
                  <c:v>#N/A</c:v>
                </c:pt>
                <c:pt idx="66">
                  <c:v>#N/A</c:v>
                </c:pt>
                <c:pt idx="67">
                  <c:v>#N/A</c:v>
                </c:pt>
                <c:pt idx="68">
                  <c:v>#N/A</c:v>
                </c:pt>
                <c:pt idx="69">
                  <c:v>#N/A</c:v>
                </c:pt>
                <c:pt idx="70">
                  <c:v>#N/A</c:v>
                </c:pt>
                <c:pt idx="71">
                  <c:v>#N/A</c:v>
                </c:pt>
                <c:pt idx="72">
                  <c:v>#N/A</c:v>
                </c:pt>
                <c:pt idx="73">
                  <c:v>#N/A</c:v>
                </c:pt>
                <c:pt idx="74">
                  <c:v>#N/A</c:v>
                </c:pt>
                <c:pt idx="75">
                  <c:v>#N/A</c:v>
                </c:pt>
                <c:pt idx="76">
                  <c:v>#N/A</c:v>
                </c:pt>
                <c:pt idx="77">
                  <c:v>#N/A</c:v>
                </c:pt>
                <c:pt idx="78">
                  <c:v>#N/A</c:v>
                </c:pt>
                <c:pt idx="79">
                  <c:v>#N/A</c:v>
                </c:pt>
                <c:pt idx="80">
                  <c:v>#N/A</c:v>
                </c:pt>
                <c:pt idx="81">
                  <c:v>#N/A</c:v>
                </c:pt>
                <c:pt idx="82">
                  <c:v>#N/A</c:v>
                </c:pt>
                <c:pt idx="83">
                  <c:v>#N/A</c:v>
                </c:pt>
                <c:pt idx="84">
                  <c:v>#N/A</c:v>
                </c:pt>
              </c:numCache>
            </c:numRef>
          </c:val>
          <c:smooth val="0"/>
          <c:extLst>
            <c:ext xmlns:c16="http://schemas.microsoft.com/office/drawing/2014/chart" uri="{C3380CC4-5D6E-409C-BE32-E72D297353CC}">
              <c16:uniqueId val="{00000005-CEAF-4128-8AAA-112C0BD2A7D6}"/>
            </c:ext>
          </c:extLst>
        </c:ser>
        <c:ser>
          <c:idx val="4"/>
          <c:order val="4"/>
          <c:tx>
            <c:strRef>
              <c:f>'4.3.2 Data_Tidsseriefigurer'!$B$32</c:f>
              <c:strCache>
                <c:ptCount val="1"/>
                <c:pt idx="0">
                  <c:v>Passasjerfly</c:v>
                </c:pt>
              </c:strCache>
            </c:strRef>
          </c:tx>
          <c:spPr>
            <a:ln w="28575" cap="rnd">
              <a:solidFill>
                <a:schemeClr val="accent5"/>
              </a:solidFill>
              <a:round/>
            </a:ln>
            <a:effectLst/>
          </c:spPr>
          <c:marker>
            <c:symbol val="none"/>
          </c:marker>
          <c:cat>
            <c:numRef>
              <c:f>'4.3.2 Data_Tidsseriefigurer'!$C$27:$CI$27</c:f>
              <c:numCache>
                <c:formatCode>General</c:formatCode>
                <c:ptCount val="85"/>
                <c:pt idx="0">
                  <c:v>-10</c:v>
                </c:pt>
                <c:pt idx="1">
                  <c:v>-9</c:v>
                </c:pt>
                <c:pt idx="2">
                  <c:v>-8</c:v>
                </c:pt>
                <c:pt idx="3">
                  <c:v>-7</c:v>
                </c:pt>
                <c:pt idx="4">
                  <c:v>-6</c:v>
                </c:pt>
                <c:pt idx="5">
                  <c:v>-5</c:v>
                </c:pt>
                <c:pt idx="6">
                  <c:v>-4</c:v>
                </c:pt>
                <c:pt idx="7">
                  <c:v>-3</c:v>
                </c:pt>
                <c:pt idx="8">
                  <c:v>-2</c:v>
                </c:pt>
                <c:pt idx="9">
                  <c:v>-1</c:v>
                </c:pt>
                <c:pt idx="10">
                  <c:v>0</c:v>
                </c:pt>
                <c:pt idx="11">
                  <c:v>1</c:v>
                </c:pt>
                <c:pt idx="12">
                  <c:v>2</c:v>
                </c:pt>
                <c:pt idx="13">
                  <c:v>3</c:v>
                </c:pt>
                <c:pt idx="14">
                  <c:v>4</c:v>
                </c:pt>
                <c:pt idx="15">
                  <c:v>5</c:v>
                </c:pt>
                <c:pt idx="16">
                  <c:v>6</c:v>
                </c:pt>
                <c:pt idx="17">
                  <c:v>7</c:v>
                </c:pt>
                <c:pt idx="18">
                  <c:v>8</c:v>
                </c:pt>
                <c:pt idx="19">
                  <c:v>9</c:v>
                </c:pt>
                <c:pt idx="20">
                  <c:v>10</c:v>
                </c:pt>
                <c:pt idx="21">
                  <c:v>11</c:v>
                </c:pt>
                <c:pt idx="22">
                  <c:v>12</c:v>
                </c:pt>
                <c:pt idx="23">
                  <c:v>13</c:v>
                </c:pt>
                <c:pt idx="24">
                  <c:v>14</c:v>
                </c:pt>
                <c:pt idx="25">
                  <c:v>15</c:v>
                </c:pt>
                <c:pt idx="26">
                  <c:v>16</c:v>
                </c:pt>
                <c:pt idx="27">
                  <c:v>17</c:v>
                </c:pt>
                <c:pt idx="28">
                  <c:v>18</c:v>
                </c:pt>
                <c:pt idx="29">
                  <c:v>19</c:v>
                </c:pt>
                <c:pt idx="30">
                  <c:v>20</c:v>
                </c:pt>
                <c:pt idx="31">
                  <c:v>21</c:v>
                </c:pt>
                <c:pt idx="32">
                  <c:v>22</c:v>
                </c:pt>
                <c:pt idx="33">
                  <c:v>23</c:v>
                </c:pt>
                <c:pt idx="34">
                  <c:v>24</c:v>
                </c:pt>
                <c:pt idx="35">
                  <c:v>25</c:v>
                </c:pt>
                <c:pt idx="36">
                  <c:v>26</c:v>
                </c:pt>
                <c:pt idx="37">
                  <c:v>27</c:v>
                </c:pt>
                <c:pt idx="38">
                  <c:v>28</c:v>
                </c:pt>
                <c:pt idx="39">
                  <c:v>29</c:v>
                </c:pt>
                <c:pt idx="40">
                  <c:v>30</c:v>
                </c:pt>
                <c:pt idx="41">
                  <c:v>31</c:v>
                </c:pt>
                <c:pt idx="42">
                  <c:v>32</c:v>
                </c:pt>
                <c:pt idx="43">
                  <c:v>33</c:v>
                </c:pt>
                <c:pt idx="44">
                  <c:v>34</c:v>
                </c:pt>
                <c:pt idx="45">
                  <c:v>35</c:v>
                </c:pt>
                <c:pt idx="46">
                  <c:v>36</c:v>
                </c:pt>
                <c:pt idx="47">
                  <c:v>37</c:v>
                </c:pt>
                <c:pt idx="48">
                  <c:v>38</c:v>
                </c:pt>
                <c:pt idx="49">
                  <c:v>39</c:v>
                </c:pt>
                <c:pt idx="50">
                  <c:v>40</c:v>
                </c:pt>
                <c:pt idx="51">
                  <c:v>41</c:v>
                </c:pt>
                <c:pt idx="52">
                  <c:v>42</c:v>
                </c:pt>
                <c:pt idx="53">
                  <c:v>43</c:v>
                </c:pt>
                <c:pt idx="54">
                  <c:v>44</c:v>
                </c:pt>
                <c:pt idx="55">
                  <c:v>45</c:v>
                </c:pt>
                <c:pt idx="56">
                  <c:v>46</c:v>
                </c:pt>
                <c:pt idx="57">
                  <c:v>47</c:v>
                </c:pt>
                <c:pt idx="58">
                  <c:v>48</c:v>
                </c:pt>
                <c:pt idx="59">
                  <c:v>49</c:v>
                </c:pt>
                <c:pt idx="60">
                  <c:v>50</c:v>
                </c:pt>
                <c:pt idx="61">
                  <c:v>51</c:v>
                </c:pt>
                <c:pt idx="62">
                  <c:v>52</c:v>
                </c:pt>
                <c:pt idx="63">
                  <c:v>53</c:v>
                </c:pt>
                <c:pt idx="64">
                  <c:v>54</c:v>
                </c:pt>
                <c:pt idx="65">
                  <c:v>55</c:v>
                </c:pt>
                <c:pt idx="66">
                  <c:v>56</c:v>
                </c:pt>
                <c:pt idx="67">
                  <c:v>57</c:v>
                </c:pt>
                <c:pt idx="68">
                  <c:v>58</c:v>
                </c:pt>
                <c:pt idx="69">
                  <c:v>59</c:v>
                </c:pt>
                <c:pt idx="70">
                  <c:v>60</c:v>
                </c:pt>
                <c:pt idx="71">
                  <c:v>61</c:v>
                </c:pt>
                <c:pt idx="72">
                  <c:v>62</c:v>
                </c:pt>
                <c:pt idx="73">
                  <c:v>63</c:v>
                </c:pt>
                <c:pt idx="74">
                  <c:v>64</c:v>
                </c:pt>
                <c:pt idx="75">
                  <c:v>65</c:v>
                </c:pt>
                <c:pt idx="76">
                  <c:v>66</c:v>
                </c:pt>
                <c:pt idx="77">
                  <c:v>67</c:v>
                </c:pt>
                <c:pt idx="78">
                  <c:v>68</c:v>
                </c:pt>
                <c:pt idx="79">
                  <c:v>69</c:v>
                </c:pt>
                <c:pt idx="80">
                  <c:v>70</c:v>
                </c:pt>
                <c:pt idx="81">
                  <c:v>71</c:v>
                </c:pt>
                <c:pt idx="82">
                  <c:v>72</c:v>
                </c:pt>
                <c:pt idx="83">
                  <c:v>73</c:v>
                </c:pt>
                <c:pt idx="84">
                  <c:v>74</c:v>
                </c:pt>
              </c:numCache>
            </c:numRef>
          </c:cat>
          <c:val>
            <c:numRef>
              <c:f>'4.3.2 Data_Tidsseriefigurer'!$C$32:$CI$32</c:f>
              <c:numCache>
                <c:formatCode>General</c:formatCode>
                <c:ptCount val="85"/>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pt idx="43">
                  <c:v>#N/A</c:v>
                </c:pt>
                <c:pt idx="44">
                  <c:v>#N/A</c:v>
                </c:pt>
                <c:pt idx="45">
                  <c:v>#N/A</c:v>
                </c:pt>
                <c:pt idx="46">
                  <c:v>#N/A</c:v>
                </c:pt>
                <c:pt idx="47">
                  <c:v>#N/A</c:v>
                </c:pt>
                <c:pt idx="48">
                  <c:v>#N/A</c:v>
                </c:pt>
                <c:pt idx="49">
                  <c:v>#N/A</c:v>
                </c:pt>
                <c:pt idx="50">
                  <c:v>#N/A</c:v>
                </c:pt>
                <c:pt idx="51">
                  <c:v>#N/A</c:v>
                </c:pt>
                <c:pt idx="52">
                  <c:v>#N/A</c:v>
                </c:pt>
                <c:pt idx="53">
                  <c:v>#N/A</c:v>
                </c:pt>
                <c:pt idx="54">
                  <c:v>#N/A</c:v>
                </c:pt>
                <c:pt idx="55">
                  <c:v>#N/A</c:v>
                </c:pt>
                <c:pt idx="56">
                  <c:v>#N/A</c:v>
                </c:pt>
                <c:pt idx="57">
                  <c:v>#N/A</c:v>
                </c:pt>
                <c:pt idx="58">
                  <c:v>#N/A</c:v>
                </c:pt>
                <c:pt idx="59">
                  <c:v>#N/A</c:v>
                </c:pt>
                <c:pt idx="60">
                  <c:v>#N/A</c:v>
                </c:pt>
                <c:pt idx="61">
                  <c:v>#N/A</c:v>
                </c:pt>
                <c:pt idx="62">
                  <c:v>#N/A</c:v>
                </c:pt>
                <c:pt idx="63">
                  <c:v>#N/A</c:v>
                </c:pt>
                <c:pt idx="64">
                  <c:v>#N/A</c:v>
                </c:pt>
                <c:pt idx="65">
                  <c:v>#N/A</c:v>
                </c:pt>
                <c:pt idx="66">
                  <c:v>#N/A</c:v>
                </c:pt>
                <c:pt idx="67">
                  <c:v>#N/A</c:v>
                </c:pt>
                <c:pt idx="68">
                  <c:v>#N/A</c:v>
                </c:pt>
                <c:pt idx="69">
                  <c:v>#N/A</c:v>
                </c:pt>
                <c:pt idx="70">
                  <c:v>#N/A</c:v>
                </c:pt>
                <c:pt idx="71">
                  <c:v>#N/A</c:v>
                </c:pt>
                <c:pt idx="72">
                  <c:v>#N/A</c:v>
                </c:pt>
                <c:pt idx="73">
                  <c:v>#N/A</c:v>
                </c:pt>
                <c:pt idx="74">
                  <c:v>#N/A</c:v>
                </c:pt>
                <c:pt idx="75">
                  <c:v>#N/A</c:v>
                </c:pt>
                <c:pt idx="76">
                  <c:v>#N/A</c:v>
                </c:pt>
                <c:pt idx="77">
                  <c:v>#N/A</c:v>
                </c:pt>
                <c:pt idx="78">
                  <c:v>#N/A</c:v>
                </c:pt>
                <c:pt idx="79">
                  <c:v>#N/A</c:v>
                </c:pt>
                <c:pt idx="80">
                  <c:v>#N/A</c:v>
                </c:pt>
                <c:pt idx="81">
                  <c:v>#N/A</c:v>
                </c:pt>
                <c:pt idx="82">
                  <c:v>#N/A</c:v>
                </c:pt>
                <c:pt idx="83">
                  <c:v>#N/A</c:v>
                </c:pt>
                <c:pt idx="84">
                  <c:v>#N/A</c:v>
                </c:pt>
              </c:numCache>
            </c:numRef>
          </c:val>
          <c:smooth val="0"/>
          <c:extLst>
            <c:ext xmlns:c16="http://schemas.microsoft.com/office/drawing/2014/chart" uri="{C3380CC4-5D6E-409C-BE32-E72D297353CC}">
              <c16:uniqueId val="{00000006-CEAF-4128-8AAA-112C0BD2A7D6}"/>
            </c:ext>
          </c:extLst>
        </c:ser>
        <c:ser>
          <c:idx val="5"/>
          <c:order val="5"/>
          <c:tx>
            <c:strRef>
              <c:f>'4.3.2 Data_Tidsseriefigurer'!$B$33</c:f>
              <c:strCache>
                <c:ptCount val="1"/>
                <c:pt idx="0">
                  <c:v>Lastebil</c:v>
                </c:pt>
              </c:strCache>
            </c:strRef>
          </c:tx>
          <c:spPr>
            <a:ln w="28575" cap="rnd">
              <a:solidFill>
                <a:schemeClr val="accent6"/>
              </a:solidFill>
              <a:round/>
            </a:ln>
            <a:effectLst/>
          </c:spPr>
          <c:marker>
            <c:symbol val="none"/>
          </c:marker>
          <c:cat>
            <c:numRef>
              <c:f>'4.3.2 Data_Tidsseriefigurer'!$C$27:$CI$27</c:f>
              <c:numCache>
                <c:formatCode>General</c:formatCode>
                <c:ptCount val="85"/>
                <c:pt idx="0">
                  <c:v>-10</c:v>
                </c:pt>
                <c:pt idx="1">
                  <c:v>-9</c:v>
                </c:pt>
                <c:pt idx="2">
                  <c:v>-8</c:v>
                </c:pt>
                <c:pt idx="3">
                  <c:v>-7</c:v>
                </c:pt>
                <c:pt idx="4">
                  <c:v>-6</c:v>
                </c:pt>
                <c:pt idx="5">
                  <c:v>-5</c:v>
                </c:pt>
                <c:pt idx="6">
                  <c:v>-4</c:v>
                </c:pt>
                <c:pt idx="7">
                  <c:v>-3</c:v>
                </c:pt>
                <c:pt idx="8">
                  <c:v>-2</c:v>
                </c:pt>
                <c:pt idx="9">
                  <c:v>-1</c:v>
                </c:pt>
                <c:pt idx="10">
                  <c:v>0</c:v>
                </c:pt>
                <c:pt idx="11">
                  <c:v>1</c:v>
                </c:pt>
                <c:pt idx="12">
                  <c:v>2</c:v>
                </c:pt>
                <c:pt idx="13">
                  <c:v>3</c:v>
                </c:pt>
                <c:pt idx="14">
                  <c:v>4</c:v>
                </c:pt>
                <c:pt idx="15">
                  <c:v>5</c:v>
                </c:pt>
                <c:pt idx="16">
                  <c:v>6</c:v>
                </c:pt>
                <c:pt idx="17">
                  <c:v>7</c:v>
                </c:pt>
                <c:pt idx="18">
                  <c:v>8</c:v>
                </c:pt>
                <c:pt idx="19">
                  <c:v>9</c:v>
                </c:pt>
                <c:pt idx="20">
                  <c:v>10</c:v>
                </c:pt>
                <c:pt idx="21">
                  <c:v>11</c:v>
                </c:pt>
                <c:pt idx="22">
                  <c:v>12</c:v>
                </c:pt>
                <c:pt idx="23">
                  <c:v>13</c:v>
                </c:pt>
                <c:pt idx="24">
                  <c:v>14</c:v>
                </c:pt>
                <c:pt idx="25">
                  <c:v>15</c:v>
                </c:pt>
                <c:pt idx="26">
                  <c:v>16</c:v>
                </c:pt>
                <c:pt idx="27">
                  <c:v>17</c:v>
                </c:pt>
                <c:pt idx="28">
                  <c:v>18</c:v>
                </c:pt>
                <c:pt idx="29">
                  <c:v>19</c:v>
                </c:pt>
                <c:pt idx="30">
                  <c:v>20</c:v>
                </c:pt>
                <c:pt idx="31">
                  <c:v>21</c:v>
                </c:pt>
                <c:pt idx="32">
                  <c:v>22</c:v>
                </c:pt>
                <c:pt idx="33">
                  <c:v>23</c:v>
                </c:pt>
                <c:pt idx="34">
                  <c:v>24</c:v>
                </c:pt>
                <c:pt idx="35">
                  <c:v>25</c:v>
                </c:pt>
                <c:pt idx="36">
                  <c:v>26</c:v>
                </c:pt>
                <c:pt idx="37">
                  <c:v>27</c:v>
                </c:pt>
                <c:pt idx="38">
                  <c:v>28</c:v>
                </c:pt>
                <c:pt idx="39">
                  <c:v>29</c:v>
                </c:pt>
                <c:pt idx="40">
                  <c:v>30</c:v>
                </c:pt>
                <c:pt idx="41">
                  <c:v>31</c:v>
                </c:pt>
                <c:pt idx="42">
                  <c:v>32</c:v>
                </c:pt>
                <c:pt idx="43">
                  <c:v>33</c:v>
                </c:pt>
                <c:pt idx="44">
                  <c:v>34</c:v>
                </c:pt>
                <c:pt idx="45">
                  <c:v>35</c:v>
                </c:pt>
                <c:pt idx="46">
                  <c:v>36</c:v>
                </c:pt>
                <c:pt idx="47">
                  <c:v>37</c:v>
                </c:pt>
                <c:pt idx="48">
                  <c:v>38</c:v>
                </c:pt>
                <c:pt idx="49">
                  <c:v>39</c:v>
                </c:pt>
                <c:pt idx="50">
                  <c:v>40</c:v>
                </c:pt>
                <c:pt idx="51">
                  <c:v>41</c:v>
                </c:pt>
                <c:pt idx="52">
                  <c:v>42</c:v>
                </c:pt>
                <c:pt idx="53">
                  <c:v>43</c:v>
                </c:pt>
                <c:pt idx="54">
                  <c:v>44</c:v>
                </c:pt>
                <c:pt idx="55">
                  <c:v>45</c:v>
                </c:pt>
                <c:pt idx="56">
                  <c:v>46</c:v>
                </c:pt>
                <c:pt idx="57">
                  <c:v>47</c:v>
                </c:pt>
                <c:pt idx="58">
                  <c:v>48</c:v>
                </c:pt>
                <c:pt idx="59">
                  <c:v>49</c:v>
                </c:pt>
                <c:pt idx="60">
                  <c:v>50</c:v>
                </c:pt>
                <c:pt idx="61">
                  <c:v>51</c:v>
                </c:pt>
                <c:pt idx="62">
                  <c:v>52</c:v>
                </c:pt>
                <c:pt idx="63">
                  <c:v>53</c:v>
                </c:pt>
                <c:pt idx="64">
                  <c:v>54</c:v>
                </c:pt>
                <c:pt idx="65">
                  <c:v>55</c:v>
                </c:pt>
                <c:pt idx="66">
                  <c:v>56</c:v>
                </c:pt>
                <c:pt idx="67">
                  <c:v>57</c:v>
                </c:pt>
                <c:pt idx="68">
                  <c:v>58</c:v>
                </c:pt>
                <c:pt idx="69">
                  <c:v>59</c:v>
                </c:pt>
                <c:pt idx="70">
                  <c:v>60</c:v>
                </c:pt>
                <c:pt idx="71">
                  <c:v>61</c:v>
                </c:pt>
                <c:pt idx="72">
                  <c:v>62</c:v>
                </c:pt>
                <c:pt idx="73">
                  <c:v>63</c:v>
                </c:pt>
                <c:pt idx="74">
                  <c:v>64</c:v>
                </c:pt>
                <c:pt idx="75">
                  <c:v>65</c:v>
                </c:pt>
                <c:pt idx="76">
                  <c:v>66</c:v>
                </c:pt>
                <c:pt idx="77">
                  <c:v>67</c:v>
                </c:pt>
                <c:pt idx="78">
                  <c:v>68</c:v>
                </c:pt>
                <c:pt idx="79">
                  <c:v>69</c:v>
                </c:pt>
                <c:pt idx="80">
                  <c:v>70</c:v>
                </c:pt>
                <c:pt idx="81">
                  <c:v>71</c:v>
                </c:pt>
                <c:pt idx="82">
                  <c:v>72</c:v>
                </c:pt>
                <c:pt idx="83">
                  <c:v>73</c:v>
                </c:pt>
                <c:pt idx="84">
                  <c:v>74</c:v>
                </c:pt>
              </c:numCache>
            </c:numRef>
          </c:cat>
          <c:val>
            <c:numRef>
              <c:f>'4.3.2 Data_Tidsseriefigurer'!$C$33:$CI$33</c:f>
              <c:numCache>
                <c:formatCode>General</c:formatCode>
                <c:ptCount val="85"/>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pt idx="43">
                  <c:v>#N/A</c:v>
                </c:pt>
                <c:pt idx="44">
                  <c:v>#N/A</c:v>
                </c:pt>
                <c:pt idx="45">
                  <c:v>#N/A</c:v>
                </c:pt>
                <c:pt idx="46">
                  <c:v>#N/A</c:v>
                </c:pt>
                <c:pt idx="47">
                  <c:v>#N/A</c:v>
                </c:pt>
                <c:pt idx="48">
                  <c:v>#N/A</c:v>
                </c:pt>
                <c:pt idx="49">
                  <c:v>#N/A</c:v>
                </c:pt>
                <c:pt idx="50">
                  <c:v>#N/A</c:v>
                </c:pt>
                <c:pt idx="51">
                  <c:v>#N/A</c:v>
                </c:pt>
                <c:pt idx="52">
                  <c:v>#N/A</c:v>
                </c:pt>
                <c:pt idx="53">
                  <c:v>#N/A</c:v>
                </c:pt>
                <c:pt idx="54">
                  <c:v>#N/A</c:v>
                </c:pt>
                <c:pt idx="55">
                  <c:v>#N/A</c:v>
                </c:pt>
                <c:pt idx="56">
                  <c:v>#N/A</c:v>
                </c:pt>
                <c:pt idx="57">
                  <c:v>#N/A</c:v>
                </c:pt>
                <c:pt idx="58">
                  <c:v>#N/A</c:v>
                </c:pt>
                <c:pt idx="59">
                  <c:v>#N/A</c:v>
                </c:pt>
                <c:pt idx="60">
                  <c:v>#N/A</c:v>
                </c:pt>
                <c:pt idx="61">
                  <c:v>#N/A</c:v>
                </c:pt>
                <c:pt idx="62">
                  <c:v>#N/A</c:v>
                </c:pt>
                <c:pt idx="63">
                  <c:v>#N/A</c:v>
                </c:pt>
                <c:pt idx="64">
                  <c:v>#N/A</c:v>
                </c:pt>
                <c:pt idx="65">
                  <c:v>#N/A</c:v>
                </c:pt>
                <c:pt idx="66">
                  <c:v>#N/A</c:v>
                </c:pt>
                <c:pt idx="67">
                  <c:v>#N/A</c:v>
                </c:pt>
                <c:pt idx="68">
                  <c:v>#N/A</c:v>
                </c:pt>
                <c:pt idx="69">
                  <c:v>#N/A</c:v>
                </c:pt>
                <c:pt idx="70">
                  <c:v>#N/A</c:v>
                </c:pt>
                <c:pt idx="71">
                  <c:v>#N/A</c:v>
                </c:pt>
                <c:pt idx="72">
                  <c:v>#N/A</c:v>
                </c:pt>
                <c:pt idx="73">
                  <c:v>#N/A</c:v>
                </c:pt>
                <c:pt idx="74">
                  <c:v>#N/A</c:v>
                </c:pt>
                <c:pt idx="75">
                  <c:v>#N/A</c:v>
                </c:pt>
                <c:pt idx="76">
                  <c:v>#N/A</c:v>
                </c:pt>
                <c:pt idx="77">
                  <c:v>#N/A</c:v>
                </c:pt>
                <c:pt idx="78">
                  <c:v>#N/A</c:v>
                </c:pt>
                <c:pt idx="79">
                  <c:v>#N/A</c:v>
                </c:pt>
                <c:pt idx="80">
                  <c:v>#N/A</c:v>
                </c:pt>
                <c:pt idx="81">
                  <c:v>#N/A</c:v>
                </c:pt>
                <c:pt idx="82">
                  <c:v>#N/A</c:v>
                </c:pt>
                <c:pt idx="83">
                  <c:v>#N/A</c:v>
                </c:pt>
                <c:pt idx="84">
                  <c:v>#N/A</c:v>
                </c:pt>
              </c:numCache>
            </c:numRef>
          </c:val>
          <c:smooth val="0"/>
          <c:extLst>
            <c:ext xmlns:c16="http://schemas.microsoft.com/office/drawing/2014/chart" uri="{C3380CC4-5D6E-409C-BE32-E72D297353CC}">
              <c16:uniqueId val="{00000007-CEAF-4128-8AAA-112C0BD2A7D6}"/>
            </c:ext>
          </c:extLst>
        </c:ser>
        <c:ser>
          <c:idx val="9"/>
          <c:order val="6"/>
          <c:tx>
            <c:strRef>
              <c:f>'4.3.2 Data_Tidsseriefigurer'!$B$34</c:f>
              <c:strCache>
                <c:ptCount val="1"/>
                <c:pt idx="0">
                  <c:v>Lett Lastebil</c:v>
                </c:pt>
              </c:strCache>
            </c:strRef>
          </c:tx>
          <c:spPr>
            <a:ln w="28575" cap="rnd">
              <a:solidFill>
                <a:schemeClr val="accent4">
                  <a:lumMod val="60000"/>
                </a:schemeClr>
              </a:solidFill>
              <a:round/>
            </a:ln>
            <a:effectLst/>
          </c:spPr>
          <c:marker>
            <c:symbol val="none"/>
          </c:marker>
          <c:cat>
            <c:numRef>
              <c:f>'4.3.2 Data_Tidsseriefigurer'!$C$27:$CI$27</c:f>
              <c:numCache>
                <c:formatCode>General</c:formatCode>
                <c:ptCount val="85"/>
                <c:pt idx="0">
                  <c:v>-10</c:v>
                </c:pt>
                <c:pt idx="1">
                  <c:v>-9</c:v>
                </c:pt>
                <c:pt idx="2">
                  <c:v>-8</c:v>
                </c:pt>
                <c:pt idx="3">
                  <c:v>-7</c:v>
                </c:pt>
                <c:pt idx="4">
                  <c:v>-6</c:v>
                </c:pt>
                <c:pt idx="5">
                  <c:v>-5</c:v>
                </c:pt>
                <c:pt idx="6">
                  <c:v>-4</c:v>
                </c:pt>
                <c:pt idx="7">
                  <c:v>-3</c:v>
                </c:pt>
                <c:pt idx="8">
                  <c:v>-2</c:v>
                </c:pt>
                <c:pt idx="9">
                  <c:v>-1</c:v>
                </c:pt>
                <c:pt idx="10">
                  <c:v>0</c:v>
                </c:pt>
                <c:pt idx="11">
                  <c:v>1</c:v>
                </c:pt>
                <c:pt idx="12">
                  <c:v>2</c:v>
                </c:pt>
                <c:pt idx="13">
                  <c:v>3</c:v>
                </c:pt>
                <c:pt idx="14">
                  <c:v>4</c:v>
                </c:pt>
                <c:pt idx="15">
                  <c:v>5</c:v>
                </c:pt>
                <c:pt idx="16">
                  <c:v>6</c:v>
                </c:pt>
                <c:pt idx="17">
                  <c:v>7</c:v>
                </c:pt>
                <c:pt idx="18">
                  <c:v>8</c:v>
                </c:pt>
                <c:pt idx="19">
                  <c:v>9</c:v>
                </c:pt>
                <c:pt idx="20">
                  <c:v>10</c:v>
                </c:pt>
                <c:pt idx="21">
                  <c:v>11</c:v>
                </c:pt>
                <c:pt idx="22">
                  <c:v>12</c:v>
                </c:pt>
                <c:pt idx="23">
                  <c:v>13</c:v>
                </c:pt>
                <c:pt idx="24">
                  <c:v>14</c:v>
                </c:pt>
                <c:pt idx="25">
                  <c:v>15</c:v>
                </c:pt>
                <c:pt idx="26">
                  <c:v>16</c:v>
                </c:pt>
                <c:pt idx="27">
                  <c:v>17</c:v>
                </c:pt>
                <c:pt idx="28">
                  <c:v>18</c:v>
                </c:pt>
                <c:pt idx="29">
                  <c:v>19</c:v>
                </c:pt>
                <c:pt idx="30">
                  <c:v>20</c:v>
                </c:pt>
                <c:pt idx="31">
                  <c:v>21</c:v>
                </c:pt>
                <c:pt idx="32">
                  <c:v>22</c:v>
                </c:pt>
                <c:pt idx="33">
                  <c:v>23</c:v>
                </c:pt>
                <c:pt idx="34">
                  <c:v>24</c:v>
                </c:pt>
                <c:pt idx="35">
                  <c:v>25</c:v>
                </c:pt>
                <c:pt idx="36">
                  <c:v>26</c:v>
                </c:pt>
                <c:pt idx="37">
                  <c:v>27</c:v>
                </c:pt>
                <c:pt idx="38">
                  <c:v>28</c:v>
                </c:pt>
                <c:pt idx="39">
                  <c:v>29</c:v>
                </c:pt>
                <c:pt idx="40">
                  <c:v>30</c:v>
                </c:pt>
                <c:pt idx="41">
                  <c:v>31</c:v>
                </c:pt>
                <c:pt idx="42">
                  <c:v>32</c:v>
                </c:pt>
                <c:pt idx="43">
                  <c:v>33</c:v>
                </c:pt>
                <c:pt idx="44">
                  <c:v>34</c:v>
                </c:pt>
                <c:pt idx="45">
                  <c:v>35</c:v>
                </c:pt>
                <c:pt idx="46">
                  <c:v>36</c:v>
                </c:pt>
                <c:pt idx="47">
                  <c:v>37</c:v>
                </c:pt>
                <c:pt idx="48">
                  <c:v>38</c:v>
                </c:pt>
                <c:pt idx="49">
                  <c:v>39</c:v>
                </c:pt>
                <c:pt idx="50">
                  <c:v>40</c:v>
                </c:pt>
                <c:pt idx="51">
                  <c:v>41</c:v>
                </c:pt>
                <c:pt idx="52">
                  <c:v>42</c:v>
                </c:pt>
                <c:pt idx="53">
                  <c:v>43</c:v>
                </c:pt>
                <c:pt idx="54">
                  <c:v>44</c:v>
                </c:pt>
                <c:pt idx="55">
                  <c:v>45</c:v>
                </c:pt>
                <c:pt idx="56">
                  <c:v>46</c:v>
                </c:pt>
                <c:pt idx="57">
                  <c:v>47</c:v>
                </c:pt>
                <c:pt idx="58">
                  <c:v>48</c:v>
                </c:pt>
                <c:pt idx="59">
                  <c:v>49</c:v>
                </c:pt>
                <c:pt idx="60">
                  <c:v>50</c:v>
                </c:pt>
                <c:pt idx="61">
                  <c:v>51</c:v>
                </c:pt>
                <c:pt idx="62">
                  <c:v>52</c:v>
                </c:pt>
                <c:pt idx="63">
                  <c:v>53</c:v>
                </c:pt>
                <c:pt idx="64">
                  <c:v>54</c:v>
                </c:pt>
                <c:pt idx="65">
                  <c:v>55</c:v>
                </c:pt>
                <c:pt idx="66">
                  <c:v>56</c:v>
                </c:pt>
                <c:pt idx="67">
                  <c:v>57</c:v>
                </c:pt>
                <c:pt idx="68">
                  <c:v>58</c:v>
                </c:pt>
                <c:pt idx="69">
                  <c:v>59</c:v>
                </c:pt>
                <c:pt idx="70">
                  <c:v>60</c:v>
                </c:pt>
                <c:pt idx="71">
                  <c:v>61</c:v>
                </c:pt>
                <c:pt idx="72">
                  <c:v>62</c:v>
                </c:pt>
                <c:pt idx="73">
                  <c:v>63</c:v>
                </c:pt>
                <c:pt idx="74">
                  <c:v>64</c:v>
                </c:pt>
                <c:pt idx="75">
                  <c:v>65</c:v>
                </c:pt>
                <c:pt idx="76">
                  <c:v>66</c:v>
                </c:pt>
                <c:pt idx="77">
                  <c:v>67</c:v>
                </c:pt>
                <c:pt idx="78">
                  <c:v>68</c:v>
                </c:pt>
                <c:pt idx="79">
                  <c:v>69</c:v>
                </c:pt>
                <c:pt idx="80">
                  <c:v>70</c:v>
                </c:pt>
                <c:pt idx="81">
                  <c:v>71</c:v>
                </c:pt>
                <c:pt idx="82">
                  <c:v>72</c:v>
                </c:pt>
                <c:pt idx="83">
                  <c:v>73</c:v>
                </c:pt>
                <c:pt idx="84">
                  <c:v>74</c:v>
                </c:pt>
              </c:numCache>
            </c:numRef>
          </c:cat>
          <c:val>
            <c:numRef>
              <c:f>'4.3.2 Data_Tidsseriefigurer'!$C$34:$CI$34</c:f>
              <c:numCache>
                <c:formatCode>General</c:formatCode>
                <c:ptCount val="85"/>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pt idx="43">
                  <c:v>#N/A</c:v>
                </c:pt>
                <c:pt idx="44">
                  <c:v>#N/A</c:v>
                </c:pt>
                <c:pt idx="45">
                  <c:v>#N/A</c:v>
                </c:pt>
                <c:pt idx="46">
                  <c:v>#N/A</c:v>
                </c:pt>
                <c:pt idx="47">
                  <c:v>#N/A</c:v>
                </c:pt>
                <c:pt idx="48">
                  <c:v>#N/A</c:v>
                </c:pt>
                <c:pt idx="49">
                  <c:v>#N/A</c:v>
                </c:pt>
                <c:pt idx="50">
                  <c:v>#N/A</c:v>
                </c:pt>
                <c:pt idx="51">
                  <c:v>#N/A</c:v>
                </c:pt>
                <c:pt idx="52">
                  <c:v>#N/A</c:v>
                </c:pt>
                <c:pt idx="53">
                  <c:v>#N/A</c:v>
                </c:pt>
                <c:pt idx="54">
                  <c:v>#N/A</c:v>
                </c:pt>
                <c:pt idx="55">
                  <c:v>#N/A</c:v>
                </c:pt>
                <c:pt idx="56">
                  <c:v>#N/A</c:v>
                </c:pt>
                <c:pt idx="57">
                  <c:v>#N/A</c:v>
                </c:pt>
                <c:pt idx="58">
                  <c:v>#N/A</c:v>
                </c:pt>
                <c:pt idx="59">
                  <c:v>#N/A</c:v>
                </c:pt>
                <c:pt idx="60">
                  <c:v>#N/A</c:v>
                </c:pt>
                <c:pt idx="61">
                  <c:v>#N/A</c:v>
                </c:pt>
                <c:pt idx="62">
                  <c:v>#N/A</c:v>
                </c:pt>
                <c:pt idx="63">
                  <c:v>#N/A</c:v>
                </c:pt>
                <c:pt idx="64">
                  <c:v>#N/A</c:v>
                </c:pt>
                <c:pt idx="65">
                  <c:v>#N/A</c:v>
                </c:pt>
                <c:pt idx="66">
                  <c:v>#N/A</c:v>
                </c:pt>
                <c:pt idx="67">
                  <c:v>#N/A</c:v>
                </c:pt>
                <c:pt idx="68">
                  <c:v>#N/A</c:v>
                </c:pt>
                <c:pt idx="69">
                  <c:v>#N/A</c:v>
                </c:pt>
                <c:pt idx="70">
                  <c:v>#N/A</c:v>
                </c:pt>
                <c:pt idx="71">
                  <c:v>#N/A</c:v>
                </c:pt>
                <c:pt idx="72">
                  <c:v>#N/A</c:v>
                </c:pt>
                <c:pt idx="73">
                  <c:v>#N/A</c:v>
                </c:pt>
                <c:pt idx="74">
                  <c:v>#N/A</c:v>
                </c:pt>
                <c:pt idx="75">
                  <c:v>#N/A</c:v>
                </c:pt>
                <c:pt idx="76">
                  <c:v>#N/A</c:v>
                </c:pt>
                <c:pt idx="77">
                  <c:v>#N/A</c:v>
                </c:pt>
                <c:pt idx="78">
                  <c:v>#N/A</c:v>
                </c:pt>
                <c:pt idx="79">
                  <c:v>#N/A</c:v>
                </c:pt>
                <c:pt idx="80">
                  <c:v>#N/A</c:v>
                </c:pt>
                <c:pt idx="81">
                  <c:v>#N/A</c:v>
                </c:pt>
                <c:pt idx="82">
                  <c:v>#N/A</c:v>
                </c:pt>
                <c:pt idx="83">
                  <c:v>#N/A</c:v>
                </c:pt>
                <c:pt idx="84">
                  <c:v>#N/A</c:v>
                </c:pt>
              </c:numCache>
            </c:numRef>
          </c:val>
          <c:smooth val="0"/>
          <c:extLst>
            <c:ext xmlns:c16="http://schemas.microsoft.com/office/drawing/2014/chart" uri="{C3380CC4-5D6E-409C-BE32-E72D297353CC}">
              <c16:uniqueId val="{00000001-FF1D-4611-8EB2-EC7C18668BE0}"/>
            </c:ext>
          </c:extLst>
        </c:ser>
        <c:ser>
          <c:idx val="10"/>
          <c:order val="7"/>
          <c:tx>
            <c:strRef>
              <c:f>'4.3.2 Data_Tidsseriefigurer'!$B$35</c:f>
              <c:strCache>
                <c:ptCount val="1"/>
                <c:pt idx="0">
                  <c:v>Skip</c:v>
                </c:pt>
              </c:strCache>
            </c:strRef>
          </c:tx>
          <c:spPr>
            <a:ln w="28575" cap="rnd">
              <a:solidFill>
                <a:schemeClr val="accent5">
                  <a:lumMod val="60000"/>
                </a:schemeClr>
              </a:solidFill>
              <a:round/>
            </a:ln>
            <a:effectLst/>
          </c:spPr>
          <c:marker>
            <c:symbol val="none"/>
          </c:marker>
          <c:cat>
            <c:numRef>
              <c:f>'4.3.2 Data_Tidsseriefigurer'!$C$27:$CI$27</c:f>
              <c:numCache>
                <c:formatCode>General</c:formatCode>
                <c:ptCount val="85"/>
                <c:pt idx="0">
                  <c:v>-10</c:v>
                </c:pt>
                <c:pt idx="1">
                  <c:v>-9</c:v>
                </c:pt>
                <c:pt idx="2">
                  <c:v>-8</c:v>
                </c:pt>
                <c:pt idx="3">
                  <c:v>-7</c:v>
                </c:pt>
                <c:pt idx="4">
                  <c:v>-6</c:v>
                </c:pt>
                <c:pt idx="5">
                  <c:v>-5</c:v>
                </c:pt>
                <c:pt idx="6">
                  <c:v>-4</c:v>
                </c:pt>
                <c:pt idx="7">
                  <c:v>-3</c:v>
                </c:pt>
                <c:pt idx="8">
                  <c:v>-2</c:v>
                </c:pt>
                <c:pt idx="9">
                  <c:v>-1</c:v>
                </c:pt>
                <c:pt idx="10">
                  <c:v>0</c:v>
                </c:pt>
                <c:pt idx="11">
                  <c:v>1</c:v>
                </c:pt>
                <c:pt idx="12">
                  <c:v>2</c:v>
                </c:pt>
                <c:pt idx="13">
                  <c:v>3</c:v>
                </c:pt>
                <c:pt idx="14">
                  <c:v>4</c:v>
                </c:pt>
                <c:pt idx="15">
                  <c:v>5</c:v>
                </c:pt>
                <c:pt idx="16">
                  <c:v>6</c:v>
                </c:pt>
                <c:pt idx="17">
                  <c:v>7</c:v>
                </c:pt>
                <c:pt idx="18">
                  <c:v>8</c:v>
                </c:pt>
                <c:pt idx="19">
                  <c:v>9</c:v>
                </c:pt>
                <c:pt idx="20">
                  <c:v>10</c:v>
                </c:pt>
                <c:pt idx="21">
                  <c:v>11</c:v>
                </c:pt>
                <c:pt idx="22">
                  <c:v>12</c:v>
                </c:pt>
                <c:pt idx="23">
                  <c:v>13</c:v>
                </c:pt>
                <c:pt idx="24">
                  <c:v>14</c:v>
                </c:pt>
                <c:pt idx="25">
                  <c:v>15</c:v>
                </c:pt>
                <c:pt idx="26">
                  <c:v>16</c:v>
                </c:pt>
                <c:pt idx="27">
                  <c:v>17</c:v>
                </c:pt>
                <c:pt idx="28">
                  <c:v>18</c:v>
                </c:pt>
                <c:pt idx="29">
                  <c:v>19</c:v>
                </c:pt>
                <c:pt idx="30">
                  <c:v>20</c:v>
                </c:pt>
                <c:pt idx="31">
                  <c:v>21</c:v>
                </c:pt>
                <c:pt idx="32">
                  <c:v>22</c:v>
                </c:pt>
                <c:pt idx="33">
                  <c:v>23</c:v>
                </c:pt>
                <c:pt idx="34">
                  <c:v>24</c:v>
                </c:pt>
                <c:pt idx="35">
                  <c:v>25</c:v>
                </c:pt>
                <c:pt idx="36">
                  <c:v>26</c:v>
                </c:pt>
                <c:pt idx="37">
                  <c:v>27</c:v>
                </c:pt>
                <c:pt idx="38">
                  <c:v>28</c:v>
                </c:pt>
                <c:pt idx="39">
                  <c:v>29</c:v>
                </c:pt>
                <c:pt idx="40">
                  <c:v>30</c:v>
                </c:pt>
                <c:pt idx="41">
                  <c:v>31</c:v>
                </c:pt>
                <c:pt idx="42">
                  <c:v>32</c:v>
                </c:pt>
                <c:pt idx="43">
                  <c:v>33</c:v>
                </c:pt>
                <c:pt idx="44">
                  <c:v>34</c:v>
                </c:pt>
                <c:pt idx="45">
                  <c:v>35</c:v>
                </c:pt>
                <c:pt idx="46">
                  <c:v>36</c:v>
                </c:pt>
                <c:pt idx="47">
                  <c:v>37</c:v>
                </c:pt>
                <c:pt idx="48">
                  <c:v>38</c:v>
                </c:pt>
                <c:pt idx="49">
                  <c:v>39</c:v>
                </c:pt>
                <c:pt idx="50">
                  <c:v>40</c:v>
                </c:pt>
                <c:pt idx="51">
                  <c:v>41</c:v>
                </c:pt>
                <c:pt idx="52">
                  <c:v>42</c:v>
                </c:pt>
                <c:pt idx="53">
                  <c:v>43</c:v>
                </c:pt>
                <c:pt idx="54">
                  <c:v>44</c:v>
                </c:pt>
                <c:pt idx="55">
                  <c:v>45</c:v>
                </c:pt>
                <c:pt idx="56">
                  <c:v>46</c:v>
                </c:pt>
                <c:pt idx="57">
                  <c:v>47</c:v>
                </c:pt>
                <c:pt idx="58">
                  <c:v>48</c:v>
                </c:pt>
                <c:pt idx="59">
                  <c:v>49</c:v>
                </c:pt>
                <c:pt idx="60">
                  <c:v>50</c:v>
                </c:pt>
                <c:pt idx="61">
                  <c:v>51</c:v>
                </c:pt>
                <c:pt idx="62">
                  <c:v>52</c:v>
                </c:pt>
                <c:pt idx="63">
                  <c:v>53</c:v>
                </c:pt>
                <c:pt idx="64">
                  <c:v>54</c:v>
                </c:pt>
                <c:pt idx="65">
                  <c:v>55</c:v>
                </c:pt>
                <c:pt idx="66">
                  <c:v>56</c:v>
                </c:pt>
                <c:pt idx="67">
                  <c:v>57</c:v>
                </c:pt>
                <c:pt idx="68">
                  <c:v>58</c:v>
                </c:pt>
                <c:pt idx="69">
                  <c:v>59</c:v>
                </c:pt>
                <c:pt idx="70">
                  <c:v>60</c:v>
                </c:pt>
                <c:pt idx="71">
                  <c:v>61</c:v>
                </c:pt>
                <c:pt idx="72">
                  <c:v>62</c:v>
                </c:pt>
                <c:pt idx="73">
                  <c:v>63</c:v>
                </c:pt>
                <c:pt idx="74">
                  <c:v>64</c:v>
                </c:pt>
                <c:pt idx="75">
                  <c:v>65</c:v>
                </c:pt>
                <c:pt idx="76">
                  <c:v>66</c:v>
                </c:pt>
                <c:pt idx="77">
                  <c:v>67</c:v>
                </c:pt>
                <c:pt idx="78">
                  <c:v>68</c:v>
                </c:pt>
                <c:pt idx="79">
                  <c:v>69</c:v>
                </c:pt>
                <c:pt idx="80">
                  <c:v>70</c:v>
                </c:pt>
                <c:pt idx="81">
                  <c:v>71</c:v>
                </c:pt>
                <c:pt idx="82">
                  <c:v>72</c:v>
                </c:pt>
                <c:pt idx="83">
                  <c:v>73</c:v>
                </c:pt>
                <c:pt idx="84">
                  <c:v>74</c:v>
                </c:pt>
              </c:numCache>
            </c:numRef>
          </c:cat>
          <c:val>
            <c:numRef>
              <c:f>'4.3.2 Data_Tidsseriefigurer'!$C$35:$CI$35</c:f>
              <c:numCache>
                <c:formatCode>General</c:formatCode>
                <c:ptCount val="85"/>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pt idx="43">
                  <c:v>#N/A</c:v>
                </c:pt>
                <c:pt idx="44">
                  <c:v>#N/A</c:v>
                </c:pt>
                <c:pt idx="45">
                  <c:v>#N/A</c:v>
                </c:pt>
                <c:pt idx="46">
                  <c:v>#N/A</c:v>
                </c:pt>
                <c:pt idx="47">
                  <c:v>#N/A</c:v>
                </c:pt>
                <c:pt idx="48">
                  <c:v>#N/A</c:v>
                </c:pt>
                <c:pt idx="49">
                  <c:v>#N/A</c:v>
                </c:pt>
                <c:pt idx="50">
                  <c:v>#N/A</c:v>
                </c:pt>
                <c:pt idx="51">
                  <c:v>#N/A</c:v>
                </c:pt>
                <c:pt idx="52">
                  <c:v>#N/A</c:v>
                </c:pt>
                <c:pt idx="53">
                  <c:v>#N/A</c:v>
                </c:pt>
                <c:pt idx="54">
                  <c:v>#N/A</c:v>
                </c:pt>
                <c:pt idx="55">
                  <c:v>#N/A</c:v>
                </c:pt>
                <c:pt idx="56">
                  <c:v>#N/A</c:v>
                </c:pt>
                <c:pt idx="57">
                  <c:v>#N/A</c:v>
                </c:pt>
                <c:pt idx="58">
                  <c:v>#N/A</c:v>
                </c:pt>
                <c:pt idx="59">
                  <c:v>#N/A</c:v>
                </c:pt>
                <c:pt idx="60">
                  <c:v>#N/A</c:v>
                </c:pt>
                <c:pt idx="61">
                  <c:v>#N/A</c:v>
                </c:pt>
                <c:pt idx="62">
                  <c:v>#N/A</c:v>
                </c:pt>
                <c:pt idx="63">
                  <c:v>#N/A</c:v>
                </c:pt>
                <c:pt idx="64">
                  <c:v>#N/A</c:v>
                </c:pt>
                <c:pt idx="65">
                  <c:v>#N/A</c:v>
                </c:pt>
                <c:pt idx="66">
                  <c:v>#N/A</c:v>
                </c:pt>
                <c:pt idx="67">
                  <c:v>#N/A</c:v>
                </c:pt>
                <c:pt idx="68">
                  <c:v>#N/A</c:v>
                </c:pt>
                <c:pt idx="69">
                  <c:v>#N/A</c:v>
                </c:pt>
                <c:pt idx="70">
                  <c:v>#N/A</c:v>
                </c:pt>
                <c:pt idx="71">
                  <c:v>#N/A</c:v>
                </c:pt>
                <c:pt idx="72">
                  <c:v>#N/A</c:v>
                </c:pt>
                <c:pt idx="73">
                  <c:v>#N/A</c:v>
                </c:pt>
                <c:pt idx="74">
                  <c:v>#N/A</c:v>
                </c:pt>
                <c:pt idx="75">
                  <c:v>#N/A</c:v>
                </c:pt>
                <c:pt idx="76">
                  <c:v>#N/A</c:v>
                </c:pt>
                <c:pt idx="77">
                  <c:v>#N/A</c:v>
                </c:pt>
                <c:pt idx="78">
                  <c:v>#N/A</c:v>
                </c:pt>
                <c:pt idx="79">
                  <c:v>#N/A</c:v>
                </c:pt>
                <c:pt idx="80">
                  <c:v>#N/A</c:v>
                </c:pt>
                <c:pt idx="81">
                  <c:v>#N/A</c:v>
                </c:pt>
                <c:pt idx="82">
                  <c:v>#N/A</c:v>
                </c:pt>
                <c:pt idx="83">
                  <c:v>#N/A</c:v>
                </c:pt>
                <c:pt idx="84">
                  <c:v>#N/A</c:v>
                </c:pt>
              </c:numCache>
            </c:numRef>
          </c:val>
          <c:smooth val="0"/>
          <c:extLst>
            <c:ext xmlns:c16="http://schemas.microsoft.com/office/drawing/2014/chart" uri="{C3380CC4-5D6E-409C-BE32-E72D297353CC}">
              <c16:uniqueId val="{00000002-FF1D-4611-8EB2-EC7C18668BE0}"/>
            </c:ext>
          </c:extLst>
        </c:ser>
        <c:ser>
          <c:idx val="6"/>
          <c:order val="8"/>
          <c:tx>
            <c:strRef>
              <c:f>'4.3.2 Data_Tidsseriefigurer'!$B$36</c:f>
              <c:strCache>
                <c:ptCount val="1"/>
                <c:pt idx="0">
                  <c:v>Godsfly</c:v>
                </c:pt>
              </c:strCache>
            </c:strRef>
          </c:tx>
          <c:spPr>
            <a:ln w="28575" cap="rnd">
              <a:solidFill>
                <a:schemeClr val="accent1">
                  <a:lumMod val="60000"/>
                </a:schemeClr>
              </a:solidFill>
              <a:round/>
            </a:ln>
            <a:effectLst/>
          </c:spPr>
          <c:marker>
            <c:symbol val="none"/>
          </c:marker>
          <c:cat>
            <c:numRef>
              <c:f>'4.3.2 Data_Tidsseriefigurer'!$C$27:$CI$27</c:f>
              <c:numCache>
                <c:formatCode>General</c:formatCode>
                <c:ptCount val="85"/>
                <c:pt idx="0">
                  <c:v>-10</c:v>
                </c:pt>
                <c:pt idx="1">
                  <c:v>-9</c:v>
                </c:pt>
                <c:pt idx="2">
                  <c:v>-8</c:v>
                </c:pt>
                <c:pt idx="3">
                  <c:v>-7</c:v>
                </c:pt>
                <c:pt idx="4">
                  <c:v>-6</c:v>
                </c:pt>
                <c:pt idx="5">
                  <c:v>-5</c:v>
                </c:pt>
                <c:pt idx="6">
                  <c:v>-4</c:v>
                </c:pt>
                <c:pt idx="7">
                  <c:v>-3</c:v>
                </c:pt>
                <c:pt idx="8">
                  <c:v>-2</c:v>
                </c:pt>
                <c:pt idx="9">
                  <c:v>-1</c:v>
                </c:pt>
                <c:pt idx="10">
                  <c:v>0</c:v>
                </c:pt>
                <c:pt idx="11">
                  <c:v>1</c:v>
                </c:pt>
                <c:pt idx="12">
                  <c:v>2</c:v>
                </c:pt>
                <c:pt idx="13">
                  <c:v>3</c:v>
                </c:pt>
                <c:pt idx="14">
                  <c:v>4</c:v>
                </c:pt>
                <c:pt idx="15">
                  <c:v>5</c:v>
                </c:pt>
                <c:pt idx="16">
                  <c:v>6</c:v>
                </c:pt>
                <c:pt idx="17">
                  <c:v>7</c:v>
                </c:pt>
                <c:pt idx="18">
                  <c:v>8</c:v>
                </c:pt>
                <c:pt idx="19">
                  <c:v>9</c:v>
                </c:pt>
                <c:pt idx="20">
                  <c:v>10</c:v>
                </c:pt>
                <c:pt idx="21">
                  <c:v>11</c:v>
                </c:pt>
                <c:pt idx="22">
                  <c:v>12</c:v>
                </c:pt>
                <c:pt idx="23">
                  <c:v>13</c:v>
                </c:pt>
                <c:pt idx="24">
                  <c:v>14</c:v>
                </c:pt>
                <c:pt idx="25">
                  <c:v>15</c:v>
                </c:pt>
                <c:pt idx="26">
                  <c:v>16</c:v>
                </c:pt>
                <c:pt idx="27">
                  <c:v>17</c:v>
                </c:pt>
                <c:pt idx="28">
                  <c:v>18</c:v>
                </c:pt>
                <c:pt idx="29">
                  <c:v>19</c:v>
                </c:pt>
                <c:pt idx="30">
                  <c:v>20</c:v>
                </c:pt>
                <c:pt idx="31">
                  <c:v>21</c:v>
                </c:pt>
                <c:pt idx="32">
                  <c:v>22</c:v>
                </c:pt>
                <c:pt idx="33">
                  <c:v>23</c:v>
                </c:pt>
                <c:pt idx="34">
                  <c:v>24</c:v>
                </c:pt>
                <c:pt idx="35">
                  <c:v>25</c:v>
                </c:pt>
                <c:pt idx="36">
                  <c:v>26</c:v>
                </c:pt>
                <c:pt idx="37">
                  <c:v>27</c:v>
                </c:pt>
                <c:pt idx="38">
                  <c:v>28</c:v>
                </c:pt>
                <c:pt idx="39">
                  <c:v>29</c:v>
                </c:pt>
                <c:pt idx="40">
                  <c:v>30</c:v>
                </c:pt>
                <c:pt idx="41">
                  <c:v>31</c:v>
                </c:pt>
                <c:pt idx="42">
                  <c:v>32</c:v>
                </c:pt>
                <c:pt idx="43">
                  <c:v>33</c:v>
                </c:pt>
                <c:pt idx="44">
                  <c:v>34</c:v>
                </c:pt>
                <c:pt idx="45">
                  <c:v>35</c:v>
                </c:pt>
                <c:pt idx="46">
                  <c:v>36</c:v>
                </c:pt>
                <c:pt idx="47">
                  <c:v>37</c:v>
                </c:pt>
                <c:pt idx="48">
                  <c:v>38</c:v>
                </c:pt>
                <c:pt idx="49">
                  <c:v>39</c:v>
                </c:pt>
                <c:pt idx="50">
                  <c:v>40</c:v>
                </c:pt>
                <c:pt idx="51">
                  <c:v>41</c:v>
                </c:pt>
                <c:pt idx="52">
                  <c:v>42</c:v>
                </c:pt>
                <c:pt idx="53">
                  <c:v>43</c:v>
                </c:pt>
                <c:pt idx="54">
                  <c:v>44</c:v>
                </c:pt>
                <c:pt idx="55">
                  <c:v>45</c:v>
                </c:pt>
                <c:pt idx="56">
                  <c:v>46</c:v>
                </c:pt>
                <c:pt idx="57">
                  <c:v>47</c:v>
                </c:pt>
                <c:pt idx="58">
                  <c:v>48</c:v>
                </c:pt>
                <c:pt idx="59">
                  <c:v>49</c:v>
                </c:pt>
                <c:pt idx="60">
                  <c:v>50</c:v>
                </c:pt>
                <c:pt idx="61">
                  <c:v>51</c:v>
                </c:pt>
                <c:pt idx="62">
                  <c:v>52</c:v>
                </c:pt>
                <c:pt idx="63">
                  <c:v>53</c:v>
                </c:pt>
                <c:pt idx="64">
                  <c:v>54</c:v>
                </c:pt>
                <c:pt idx="65">
                  <c:v>55</c:v>
                </c:pt>
                <c:pt idx="66">
                  <c:v>56</c:v>
                </c:pt>
                <c:pt idx="67">
                  <c:v>57</c:v>
                </c:pt>
                <c:pt idx="68">
                  <c:v>58</c:v>
                </c:pt>
                <c:pt idx="69">
                  <c:v>59</c:v>
                </c:pt>
                <c:pt idx="70">
                  <c:v>60</c:v>
                </c:pt>
                <c:pt idx="71">
                  <c:v>61</c:v>
                </c:pt>
                <c:pt idx="72">
                  <c:v>62</c:v>
                </c:pt>
                <c:pt idx="73">
                  <c:v>63</c:v>
                </c:pt>
                <c:pt idx="74">
                  <c:v>64</c:v>
                </c:pt>
                <c:pt idx="75">
                  <c:v>65</c:v>
                </c:pt>
                <c:pt idx="76">
                  <c:v>66</c:v>
                </c:pt>
                <c:pt idx="77">
                  <c:v>67</c:v>
                </c:pt>
                <c:pt idx="78">
                  <c:v>68</c:v>
                </c:pt>
                <c:pt idx="79">
                  <c:v>69</c:v>
                </c:pt>
                <c:pt idx="80">
                  <c:v>70</c:v>
                </c:pt>
                <c:pt idx="81">
                  <c:v>71</c:v>
                </c:pt>
                <c:pt idx="82">
                  <c:v>72</c:v>
                </c:pt>
                <c:pt idx="83">
                  <c:v>73</c:v>
                </c:pt>
                <c:pt idx="84">
                  <c:v>74</c:v>
                </c:pt>
              </c:numCache>
            </c:numRef>
          </c:cat>
          <c:val>
            <c:numRef>
              <c:f>'4.3.2 Data_Tidsseriefigurer'!$C$36:$CI$36</c:f>
              <c:numCache>
                <c:formatCode>General</c:formatCode>
                <c:ptCount val="85"/>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pt idx="43">
                  <c:v>#N/A</c:v>
                </c:pt>
                <c:pt idx="44">
                  <c:v>#N/A</c:v>
                </c:pt>
                <c:pt idx="45">
                  <c:v>#N/A</c:v>
                </c:pt>
                <c:pt idx="46">
                  <c:v>#N/A</c:v>
                </c:pt>
                <c:pt idx="47">
                  <c:v>#N/A</c:v>
                </c:pt>
                <c:pt idx="48">
                  <c:v>#N/A</c:v>
                </c:pt>
                <c:pt idx="49">
                  <c:v>#N/A</c:v>
                </c:pt>
                <c:pt idx="50">
                  <c:v>#N/A</c:v>
                </c:pt>
                <c:pt idx="51">
                  <c:v>#N/A</c:v>
                </c:pt>
                <c:pt idx="52">
                  <c:v>#N/A</c:v>
                </c:pt>
                <c:pt idx="53">
                  <c:v>#N/A</c:v>
                </c:pt>
                <c:pt idx="54">
                  <c:v>#N/A</c:v>
                </c:pt>
                <c:pt idx="55">
                  <c:v>#N/A</c:v>
                </c:pt>
                <c:pt idx="56">
                  <c:v>#N/A</c:v>
                </c:pt>
                <c:pt idx="57">
                  <c:v>#N/A</c:v>
                </c:pt>
                <c:pt idx="58">
                  <c:v>#N/A</c:v>
                </c:pt>
                <c:pt idx="59">
                  <c:v>#N/A</c:v>
                </c:pt>
                <c:pt idx="60">
                  <c:v>#N/A</c:v>
                </c:pt>
                <c:pt idx="61">
                  <c:v>#N/A</c:v>
                </c:pt>
                <c:pt idx="62">
                  <c:v>#N/A</c:v>
                </c:pt>
                <c:pt idx="63">
                  <c:v>#N/A</c:v>
                </c:pt>
                <c:pt idx="64">
                  <c:v>#N/A</c:v>
                </c:pt>
                <c:pt idx="65">
                  <c:v>#N/A</c:v>
                </c:pt>
                <c:pt idx="66">
                  <c:v>#N/A</c:v>
                </c:pt>
                <c:pt idx="67">
                  <c:v>#N/A</c:v>
                </c:pt>
                <c:pt idx="68">
                  <c:v>#N/A</c:v>
                </c:pt>
                <c:pt idx="69">
                  <c:v>#N/A</c:v>
                </c:pt>
                <c:pt idx="70">
                  <c:v>#N/A</c:v>
                </c:pt>
                <c:pt idx="71">
                  <c:v>#N/A</c:v>
                </c:pt>
                <c:pt idx="72">
                  <c:v>#N/A</c:v>
                </c:pt>
                <c:pt idx="73">
                  <c:v>#N/A</c:v>
                </c:pt>
                <c:pt idx="74">
                  <c:v>#N/A</c:v>
                </c:pt>
                <c:pt idx="75">
                  <c:v>#N/A</c:v>
                </c:pt>
                <c:pt idx="76">
                  <c:v>#N/A</c:v>
                </c:pt>
                <c:pt idx="77">
                  <c:v>#N/A</c:v>
                </c:pt>
                <c:pt idx="78">
                  <c:v>#N/A</c:v>
                </c:pt>
                <c:pt idx="79">
                  <c:v>#N/A</c:v>
                </c:pt>
                <c:pt idx="80">
                  <c:v>#N/A</c:v>
                </c:pt>
                <c:pt idx="81">
                  <c:v>#N/A</c:v>
                </c:pt>
                <c:pt idx="82">
                  <c:v>#N/A</c:v>
                </c:pt>
                <c:pt idx="83">
                  <c:v>#N/A</c:v>
                </c:pt>
                <c:pt idx="84">
                  <c:v>#N/A</c:v>
                </c:pt>
              </c:numCache>
            </c:numRef>
          </c:val>
          <c:smooth val="0"/>
          <c:extLst>
            <c:ext xmlns:c16="http://schemas.microsoft.com/office/drawing/2014/chart" uri="{C3380CC4-5D6E-409C-BE32-E72D297353CC}">
              <c16:uniqueId val="{00000008-CEAF-4128-8AAA-112C0BD2A7D6}"/>
            </c:ext>
          </c:extLst>
        </c:ser>
        <c:ser>
          <c:idx val="11"/>
          <c:order val="9"/>
          <c:tx>
            <c:strRef>
              <c:f>'4.3.2 Data_Tidsseriefigurer'!$B$37</c:f>
              <c:strCache>
                <c:ptCount val="1"/>
                <c:pt idx="0">
                  <c:v>Utslipp i byggefasen</c:v>
                </c:pt>
              </c:strCache>
            </c:strRef>
          </c:tx>
          <c:spPr>
            <a:ln w="28575" cap="rnd">
              <a:solidFill>
                <a:schemeClr val="accent6">
                  <a:lumMod val="60000"/>
                </a:schemeClr>
              </a:solidFill>
              <a:round/>
            </a:ln>
            <a:effectLst/>
          </c:spPr>
          <c:marker>
            <c:symbol val="none"/>
          </c:marker>
          <c:cat>
            <c:numRef>
              <c:f>'4.3.2 Data_Tidsseriefigurer'!$C$27:$CI$27</c:f>
              <c:numCache>
                <c:formatCode>General</c:formatCode>
                <c:ptCount val="85"/>
                <c:pt idx="0">
                  <c:v>-10</c:v>
                </c:pt>
                <c:pt idx="1">
                  <c:v>-9</c:v>
                </c:pt>
                <c:pt idx="2">
                  <c:v>-8</c:v>
                </c:pt>
                <c:pt idx="3">
                  <c:v>-7</c:v>
                </c:pt>
                <c:pt idx="4">
                  <c:v>-6</c:v>
                </c:pt>
                <c:pt idx="5">
                  <c:v>-5</c:v>
                </c:pt>
                <c:pt idx="6">
                  <c:v>-4</c:v>
                </c:pt>
                <c:pt idx="7">
                  <c:v>-3</c:v>
                </c:pt>
                <c:pt idx="8">
                  <c:v>-2</c:v>
                </c:pt>
                <c:pt idx="9">
                  <c:v>-1</c:v>
                </c:pt>
                <c:pt idx="10">
                  <c:v>0</c:v>
                </c:pt>
                <c:pt idx="11">
                  <c:v>1</c:v>
                </c:pt>
                <c:pt idx="12">
                  <c:v>2</c:v>
                </c:pt>
                <c:pt idx="13">
                  <c:v>3</c:v>
                </c:pt>
                <c:pt idx="14">
                  <c:v>4</c:v>
                </c:pt>
                <c:pt idx="15">
                  <c:v>5</c:v>
                </c:pt>
                <c:pt idx="16">
                  <c:v>6</c:v>
                </c:pt>
                <c:pt idx="17">
                  <c:v>7</c:v>
                </c:pt>
                <c:pt idx="18">
                  <c:v>8</c:v>
                </c:pt>
                <c:pt idx="19">
                  <c:v>9</c:v>
                </c:pt>
                <c:pt idx="20">
                  <c:v>10</c:v>
                </c:pt>
                <c:pt idx="21">
                  <c:v>11</c:v>
                </c:pt>
                <c:pt idx="22">
                  <c:v>12</c:v>
                </c:pt>
                <c:pt idx="23">
                  <c:v>13</c:v>
                </c:pt>
                <c:pt idx="24">
                  <c:v>14</c:v>
                </c:pt>
                <c:pt idx="25">
                  <c:v>15</c:v>
                </c:pt>
                <c:pt idx="26">
                  <c:v>16</c:v>
                </c:pt>
                <c:pt idx="27">
                  <c:v>17</c:v>
                </c:pt>
                <c:pt idx="28">
                  <c:v>18</c:v>
                </c:pt>
                <c:pt idx="29">
                  <c:v>19</c:v>
                </c:pt>
                <c:pt idx="30">
                  <c:v>20</c:v>
                </c:pt>
                <c:pt idx="31">
                  <c:v>21</c:v>
                </c:pt>
                <c:pt idx="32">
                  <c:v>22</c:v>
                </c:pt>
                <c:pt idx="33">
                  <c:v>23</c:v>
                </c:pt>
                <c:pt idx="34">
                  <c:v>24</c:v>
                </c:pt>
                <c:pt idx="35">
                  <c:v>25</c:v>
                </c:pt>
                <c:pt idx="36">
                  <c:v>26</c:v>
                </c:pt>
                <c:pt idx="37">
                  <c:v>27</c:v>
                </c:pt>
                <c:pt idx="38">
                  <c:v>28</c:v>
                </c:pt>
                <c:pt idx="39">
                  <c:v>29</c:v>
                </c:pt>
                <c:pt idx="40">
                  <c:v>30</c:v>
                </c:pt>
                <c:pt idx="41">
                  <c:v>31</c:v>
                </c:pt>
                <c:pt idx="42">
                  <c:v>32</c:v>
                </c:pt>
                <c:pt idx="43">
                  <c:v>33</c:v>
                </c:pt>
                <c:pt idx="44">
                  <c:v>34</c:v>
                </c:pt>
                <c:pt idx="45">
                  <c:v>35</c:v>
                </c:pt>
                <c:pt idx="46">
                  <c:v>36</c:v>
                </c:pt>
                <c:pt idx="47">
                  <c:v>37</c:v>
                </c:pt>
                <c:pt idx="48">
                  <c:v>38</c:v>
                </c:pt>
                <c:pt idx="49">
                  <c:v>39</c:v>
                </c:pt>
                <c:pt idx="50">
                  <c:v>40</c:v>
                </c:pt>
                <c:pt idx="51">
                  <c:v>41</c:v>
                </c:pt>
                <c:pt idx="52">
                  <c:v>42</c:v>
                </c:pt>
                <c:pt idx="53">
                  <c:v>43</c:v>
                </c:pt>
                <c:pt idx="54">
                  <c:v>44</c:v>
                </c:pt>
                <c:pt idx="55">
                  <c:v>45</c:v>
                </c:pt>
                <c:pt idx="56">
                  <c:v>46</c:v>
                </c:pt>
                <c:pt idx="57">
                  <c:v>47</c:v>
                </c:pt>
                <c:pt idx="58">
                  <c:v>48</c:v>
                </c:pt>
                <c:pt idx="59">
                  <c:v>49</c:v>
                </c:pt>
                <c:pt idx="60">
                  <c:v>50</c:v>
                </c:pt>
                <c:pt idx="61">
                  <c:v>51</c:v>
                </c:pt>
                <c:pt idx="62">
                  <c:v>52</c:v>
                </c:pt>
                <c:pt idx="63">
                  <c:v>53</c:v>
                </c:pt>
                <c:pt idx="64">
                  <c:v>54</c:v>
                </c:pt>
                <c:pt idx="65">
                  <c:v>55</c:v>
                </c:pt>
                <c:pt idx="66">
                  <c:v>56</c:v>
                </c:pt>
                <c:pt idx="67">
                  <c:v>57</c:v>
                </c:pt>
                <c:pt idx="68">
                  <c:v>58</c:v>
                </c:pt>
                <c:pt idx="69">
                  <c:v>59</c:v>
                </c:pt>
                <c:pt idx="70">
                  <c:v>60</c:v>
                </c:pt>
                <c:pt idx="71">
                  <c:v>61</c:v>
                </c:pt>
                <c:pt idx="72">
                  <c:v>62</c:v>
                </c:pt>
                <c:pt idx="73">
                  <c:v>63</c:v>
                </c:pt>
                <c:pt idx="74">
                  <c:v>64</c:v>
                </c:pt>
                <c:pt idx="75">
                  <c:v>65</c:v>
                </c:pt>
                <c:pt idx="76">
                  <c:v>66</c:v>
                </c:pt>
                <c:pt idx="77">
                  <c:v>67</c:v>
                </c:pt>
                <c:pt idx="78">
                  <c:v>68</c:v>
                </c:pt>
                <c:pt idx="79">
                  <c:v>69</c:v>
                </c:pt>
                <c:pt idx="80">
                  <c:v>70</c:v>
                </c:pt>
                <c:pt idx="81">
                  <c:v>71</c:v>
                </c:pt>
                <c:pt idx="82">
                  <c:v>72</c:v>
                </c:pt>
                <c:pt idx="83">
                  <c:v>73</c:v>
                </c:pt>
                <c:pt idx="84">
                  <c:v>74</c:v>
                </c:pt>
              </c:numCache>
            </c:numRef>
          </c:cat>
          <c:val>
            <c:numRef>
              <c:f>'4.3.2 Data_Tidsseriefigurer'!$C$37:$CI$37</c:f>
              <c:numCache>
                <c:formatCode>General</c:formatCode>
                <c:ptCount val="85"/>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pt idx="43">
                  <c:v>#N/A</c:v>
                </c:pt>
                <c:pt idx="44">
                  <c:v>#N/A</c:v>
                </c:pt>
                <c:pt idx="45">
                  <c:v>#N/A</c:v>
                </c:pt>
                <c:pt idx="46">
                  <c:v>#N/A</c:v>
                </c:pt>
                <c:pt idx="47">
                  <c:v>#N/A</c:v>
                </c:pt>
                <c:pt idx="48">
                  <c:v>#N/A</c:v>
                </c:pt>
                <c:pt idx="49">
                  <c:v>#N/A</c:v>
                </c:pt>
                <c:pt idx="50">
                  <c:v>#N/A</c:v>
                </c:pt>
                <c:pt idx="51">
                  <c:v>#N/A</c:v>
                </c:pt>
                <c:pt idx="52">
                  <c:v>#N/A</c:v>
                </c:pt>
                <c:pt idx="53">
                  <c:v>#N/A</c:v>
                </c:pt>
                <c:pt idx="54">
                  <c:v>#N/A</c:v>
                </c:pt>
                <c:pt idx="55">
                  <c:v>#N/A</c:v>
                </c:pt>
                <c:pt idx="56">
                  <c:v>#N/A</c:v>
                </c:pt>
                <c:pt idx="57">
                  <c:v>#N/A</c:v>
                </c:pt>
                <c:pt idx="58">
                  <c:v>#N/A</c:v>
                </c:pt>
                <c:pt idx="59">
                  <c:v>#N/A</c:v>
                </c:pt>
                <c:pt idx="60">
                  <c:v>#N/A</c:v>
                </c:pt>
                <c:pt idx="61">
                  <c:v>#N/A</c:v>
                </c:pt>
                <c:pt idx="62">
                  <c:v>#N/A</c:v>
                </c:pt>
                <c:pt idx="63">
                  <c:v>#N/A</c:v>
                </c:pt>
                <c:pt idx="64">
                  <c:v>#N/A</c:v>
                </c:pt>
                <c:pt idx="65">
                  <c:v>#N/A</c:v>
                </c:pt>
                <c:pt idx="66">
                  <c:v>#N/A</c:v>
                </c:pt>
                <c:pt idx="67">
                  <c:v>#N/A</c:v>
                </c:pt>
                <c:pt idx="68">
                  <c:v>#N/A</c:v>
                </c:pt>
                <c:pt idx="69">
                  <c:v>#N/A</c:v>
                </c:pt>
                <c:pt idx="70">
                  <c:v>#N/A</c:v>
                </c:pt>
                <c:pt idx="71">
                  <c:v>#N/A</c:v>
                </c:pt>
                <c:pt idx="72">
                  <c:v>#N/A</c:v>
                </c:pt>
                <c:pt idx="73">
                  <c:v>#N/A</c:v>
                </c:pt>
                <c:pt idx="74">
                  <c:v>#N/A</c:v>
                </c:pt>
                <c:pt idx="75">
                  <c:v>#N/A</c:v>
                </c:pt>
                <c:pt idx="76">
                  <c:v>#N/A</c:v>
                </c:pt>
                <c:pt idx="77">
                  <c:v>#N/A</c:v>
                </c:pt>
                <c:pt idx="78">
                  <c:v>#N/A</c:v>
                </c:pt>
                <c:pt idx="79">
                  <c:v>#N/A</c:v>
                </c:pt>
                <c:pt idx="80">
                  <c:v>#N/A</c:v>
                </c:pt>
                <c:pt idx="81">
                  <c:v>#N/A</c:v>
                </c:pt>
                <c:pt idx="82">
                  <c:v>#N/A</c:v>
                </c:pt>
                <c:pt idx="83">
                  <c:v>#N/A</c:v>
                </c:pt>
                <c:pt idx="84">
                  <c:v>#N/A</c:v>
                </c:pt>
              </c:numCache>
            </c:numRef>
          </c:val>
          <c:smooth val="0"/>
          <c:extLst>
            <c:ext xmlns:c16="http://schemas.microsoft.com/office/drawing/2014/chart" uri="{C3380CC4-5D6E-409C-BE32-E72D297353CC}">
              <c16:uniqueId val="{00000003-FF1D-4611-8EB2-EC7C18668BE0}"/>
            </c:ext>
          </c:extLst>
        </c:ser>
        <c:ser>
          <c:idx val="13"/>
          <c:order val="10"/>
          <c:tx>
            <c:strRef>
              <c:f>'4.3.2 Data_Tidsseriefigurer'!$B$38</c:f>
              <c:strCache>
                <c:ptCount val="1"/>
                <c:pt idx="0">
                  <c:v>Utslipp arealbeslag</c:v>
                </c:pt>
              </c:strCache>
            </c:strRef>
          </c:tx>
          <c:spPr>
            <a:ln w="28575" cap="rnd">
              <a:solidFill>
                <a:schemeClr val="accent2">
                  <a:lumMod val="80000"/>
                  <a:lumOff val="20000"/>
                </a:schemeClr>
              </a:solidFill>
              <a:round/>
            </a:ln>
            <a:effectLst/>
          </c:spPr>
          <c:marker>
            <c:symbol val="none"/>
          </c:marker>
          <c:cat>
            <c:numRef>
              <c:f>'4.3.2 Data_Tidsseriefigurer'!$C$27:$CI$27</c:f>
              <c:numCache>
                <c:formatCode>General</c:formatCode>
                <c:ptCount val="85"/>
                <c:pt idx="0">
                  <c:v>-10</c:v>
                </c:pt>
                <c:pt idx="1">
                  <c:v>-9</c:v>
                </c:pt>
                <c:pt idx="2">
                  <c:v>-8</c:v>
                </c:pt>
                <c:pt idx="3">
                  <c:v>-7</c:v>
                </c:pt>
                <c:pt idx="4">
                  <c:v>-6</c:v>
                </c:pt>
                <c:pt idx="5">
                  <c:v>-5</c:v>
                </c:pt>
                <c:pt idx="6">
                  <c:v>-4</c:v>
                </c:pt>
                <c:pt idx="7">
                  <c:v>-3</c:v>
                </c:pt>
                <c:pt idx="8">
                  <c:v>-2</c:v>
                </c:pt>
                <c:pt idx="9">
                  <c:v>-1</c:v>
                </c:pt>
                <c:pt idx="10">
                  <c:v>0</c:v>
                </c:pt>
                <c:pt idx="11">
                  <c:v>1</c:v>
                </c:pt>
                <c:pt idx="12">
                  <c:v>2</c:v>
                </c:pt>
                <c:pt idx="13">
                  <c:v>3</c:v>
                </c:pt>
                <c:pt idx="14">
                  <c:v>4</c:v>
                </c:pt>
                <c:pt idx="15">
                  <c:v>5</c:v>
                </c:pt>
                <c:pt idx="16">
                  <c:v>6</c:v>
                </c:pt>
                <c:pt idx="17">
                  <c:v>7</c:v>
                </c:pt>
                <c:pt idx="18">
                  <c:v>8</c:v>
                </c:pt>
                <c:pt idx="19">
                  <c:v>9</c:v>
                </c:pt>
                <c:pt idx="20">
                  <c:v>10</c:v>
                </c:pt>
                <c:pt idx="21">
                  <c:v>11</c:v>
                </c:pt>
                <c:pt idx="22">
                  <c:v>12</c:v>
                </c:pt>
                <c:pt idx="23">
                  <c:v>13</c:v>
                </c:pt>
                <c:pt idx="24">
                  <c:v>14</c:v>
                </c:pt>
                <c:pt idx="25">
                  <c:v>15</c:v>
                </c:pt>
                <c:pt idx="26">
                  <c:v>16</c:v>
                </c:pt>
                <c:pt idx="27">
                  <c:v>17</c:v>
                </c:pt>
                <c:pt idx="28">
                  <c:v>18</c:v>
                </c:pt>
                <c:pt idx="29">
                  <c:v>19</c:v>
                </c:pt>
                <c:pt idx="30">
                  <c:v>20</c:v>
                </c:pt>
                <c:pt idx="31">
                  <c:v>21</c:v>
                </c:pt>
                <c:pt idx="32">
                  <c:v>22</c:v>
                </c:pt>
                <c:pt idx="33">
                  <c:v>23</c:v>
                </c:pt>
                <c:pt idx="34">
                  <c:v>24</c:v>
                </c:pt>
                <c:pt idx="35">
                  <c:v>25</c:v>
                </c:pt>
                <c:pt idx="36">
                  <c:v>26</c:v>
                </c:pt>
                <c:pt idx="37">
                  <c:v>27</c:v>
                </c:pt>
                <c:pt idx="38">
                  <c:v>28</c:v>
                </c:pt>
                <c:pt idx="39">
                  <c:v>29</c:v>
                </c:pt>
                <c:pt idx="40">
                  <c:v>30</c:v>
                </c:pt>
                <c:pt idx="41">
                  <c:v>31</c:v>
                </c:pt>
                <c:pt idx="42">
                  <c:v>32</c:v>
                </c:pt>
                <c:pt idx="43">
                  <c:v>33</c:v>
                </c:pt>
                <c:pt idx="44">
                  <c:v>34</c:v>
                </c:pt>
                <c:pt idx="45">
                  <c:v>35</c:v>
                </c:pt>
                <c:pt idx="46">
                  <c:v>36</c:v>
                </c:pt>
                <c:pt idx="47">
                  <c:v>37</c:v>
                </c:pt>
                <c:pt idx="48">
                  <c:v>38</c:v>
                </c:pt>
                <c:pt idx="49">
                  <c:v>39</c:v>
                </c:pt>
                <c:pt idx="50">
                  <c:v>40</c:v>
                </c:pt>
                <c:pt idx="51">
                  <c:v>41</c:v>
                </c:pt>
                <c:pt idx="52">
                  <c:v>42</c:v>
                </c:pt>
                <c:pt idx="53">
                  <c:v>43</c:v>
                </c:pt>
                <c:pt idx="54">
                  <c:v>44</c:v>
                </c:pt>
                <c:pt idx="55">
                  <c:v>45</c:v>
                </c:pt>
                <c:pt idx="56">
                  <c:v>46</c:v>
                </c:pt>
                <c:pt idx="57">
                  <c:v>47</c:v>
                </c:pt>
                <c:pt idx="58">
                  <c:v>48</c:v>
                </c:pt>
                <c:pt idx="59">
                  <c:v>49</c:v>
                </c:pt>
                <c:pt idx="60">
                  <c:v>50</c:v>
                </c:pt>
                <c:pt idx="61">
                  <c:v>51</c:v>
                </c:pt>
                <c:pt idx="62">
                  <c:v>52</c:v>
                </c:pt>
                <c:pt idx="63">
                  <c:v>53</c:v>
                </c:pt>
                <c:pt idx="64">
                  <c:v>54</c:v>
                </c:pt>
                <c:pt idx="65">
                  <c:v>55</c:v>
                </c:pt>
                <c:pt idx="66">
                  <c:v>56</c:v>
                </c:pt>
                <c:pt idx="67">
                  <c:v>57</c:v>
                </c:pt>
                <c:pt idx="68">
                  <c:v>58</c:v>
                </c:pt>
                <c:pt idx="69">
                  <c:v>59</c:v>
                </c:pt>
                <c:pt idx="70">
                  <c:v>60</c:v>
                </c:pt>
                <c:pt idx="71">
                  <c:v>61</c:v>
                </c:pt>
                <c:pt idx="72">
                  <c:v>62</c:v>
                </c:pt>
                <c:pt idx="73">
                  <c:v>63</c:v>
                </c:pt>
                <c:pt idx="74">
                  <c:v>64</c:v>
                </c:pt>
                <c:pt idx="75">
                  <c:v>65</c:v>
                </c:pt>
                <c:pt idx="76">
                  <c:v>66</c:v>
                </c:pt>
                <c:pt idx="77">
                  <c:v>67</c:v>
                </c:pt>
                <c:pt idx="78">
                  <c:v>68</c:v>
                </c:pt>
                <c:pt idx="79">
                  <c:v>69</c:v>
                </c:pt>
                <c:pt idx="80">
                  <c:v>70</c:v>
                </c:pt>
                <c:pt idx="81">
                  <c:v>71</c:v>
                </c:pt>
                <c:pt idx="82">
                  <c:v>72</c:v>
                </c:pt>
                <c:pt idx="83">
                  <c:v>73</c:v>
                </c:pt>
                <c:pt idx="84">
                  <c:v>74</c:v>
                </c:pt>
              </c:numCache>
            </c:numRef>
          </c:cat>
          <c:val>
            <c:numRef>
              <c:f>'4.3.2 Data_Tidsseriefigurer'!$C$38:$CI$38</c:f>
              <c:numCache>
                <c:formatCode>General</c:formatCode>
                <c:ptCount val="85"/>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pt idx="43">
                  <c:v>#N/A</c:v>
                </c:pt>
                <c:pt idx="44">
                  <c:v>#N/A</c:v>
                </c:pt>
                <c:pt idx="45">
                  <c:v>#N/A</c:v>
                </c:pt>
                <c:pt idx="46">
                  <c:v>#N/A</c:v>
                </c:pt>
                <c:pt idx="47">
                  <c:v>#N/A</c:v>
                </c:pt>
                <c:pt idx="48">
                  <c:v>#N/A</c:v>
                </c:pt>
                <c:pt idx="49">
                  <c:v>#N/A</c:v>
                </c:pt>
                <c:pt idx="50">
                  <c:v>#N/A</c:v>
                </c:pt>
                <c:pt idx="51">
                  <c:v>#N/A</c:v>
                </c:pt>
                <c:pt idx="52">
                  <c:v>#N/A</c:v>
                </c:pt>
                <c:pt idx="53">
                  <c:v>#N/A</c:v>
                </c:pt>
                <c:pt idx="54">
                  <c:v>#N/A</c:v>
                </c:pt>
                <c:pt idx="55">
                  <c:v>#N/A</c:v>
                </c:pt>
                <c:pt idx="56">
                  <c:v>#N/A</c:v>
                </c:pt>
                <c:pt idx="57">
                  <c:v>#N/A</c:v>
                </c:pt>
                <c:pt idx="58">
                  <c:v>#N/A</c:v>
                </c:pt>
                <c:pt idx="59">
                  <c:v>#N/A</c:v>
                </c:pt>
                <c:pt idx="60">
                  <c:v>#N/A</c:v>
                </c:pt>
                <c:pt idx="61">
                  <c:v>#N/A</c:v>
                </c:pt>
                <c:pt idx="62">
                  <c:v>#N/A</c:v>
                </c:pt>
                <c:pt idx="63">
                  <c:v>#N/A</c:v>
                </c:pt>
                <c:pt idx="64">
                  <c:v>#N/A</c:v>
                </c:pt>
                <c:pt idx="65">
                  <c:v>#N/A</c:v>
                </c:pt>
                <c:pt idx="66">
                  <c:v>#N/A</c:v>
                </c:pt>
                <c:pt idx="67">
                  <c:v>#N/A</c:v>
                </c:pt>
                <c:pt idx="68">
                  <c:v>#N/A</c:v>
                </c:pt>
                <c:pt idx="69">
                  <c:v>#N/A</c:v>
                </c:pt>
                <c:pt idx="70">
                  <c:v>#N/A</c:v>
                </c:pt>
                <c:pt idx="71">
                  <c:v>#N/A</c:v>
                </c:pt>
                <c:pt idx="72">
                  <c:v>#N/A</c:v>
                </c:pt>
                <c:pt idx="73">
                  <c:v>#N/A</c:v>
                </c:pt>
                <c:pt idx="74">
                  <c:v>#N/A</c:v>
                </c:pt>
                <c:pt idx="75">
                  <c:v>#N/A</c:v>
                </c:pt>
                <c:pt idx="76">
                  <c:v>#N/A</c:v>
                </c:pt>
                <c:pt idx="77">
                  <c:v>#N/A</c:v>
                </c:pt>
                <c:pt idx="78">
                  <c:v>#N/A</c:v>
                </c:pt>
                <c:pt idx="79">
                  <c:v>#N/A</c:v>
                </c:pt>
                <c:pt idx="80">
                  <c:v>#N/A</c:v>
                </c:pt>
                <c:pt idx="81">
                  <c:v>#N/A</c:v>
                </c:pt>
                <c:pt idx="82">
                  <c:v>#N/A</c:v>
                </c:pt>
                <c:pt idx="83">
                  <c:v>#N/A</c:v>
                </c:pt>
                <c:pt idx="84">
                  <c:v>#N/A</c:v>
                </c:pt>
              </c:numCache>
            </c:numRef>
          </c:val>
          <c:smooth val="0"/>
          <c:extLst>
            <c:ext xmlns:c16="http://schemas.microsoft.com/office/drawing/2014/chart" uri="{C3380CC4-5D6E-409C-BE32-E72D297353CC}">
              <c16:uniqueId val="{00000001-8016-49F4-80C8-E2689268787A}"/>
            </c:ext>
          </c:extLst>
        </c:ser>
        <c:ser>
          <c:idx val="12"/>
          <c:order val="13"/>
          <c:tx>
            <c:strRef>
              <c:f>'4.3.2 Data_Tidsseriefigurer'!$B$39</c:f>
              <c:strCache>
                <c:ptCount val="1"/>
                <c:pt idx="0">
                  <c:v>Endring i totale utslipp</c:v>
                </c:pt>
              </c:strCache>
            </c:strRef>
          </c:tx>
          <c:spPr>
            <a:ln w="28575" cap="rnd">
              <a:solidFill>
                <a:schemeClr val="accent1">
                  <a:lumMod val="80000"/>
                  <a:lumOff val="20000"/>
                </a:schemeClr>
              </a:solidFill>
              <a:round/>
            </a:ln>
            <a:effectLst/>
          </c:spPr>
          <c:marker>
            <c:symbol val="none"/>
          </c:marker>
          <c:val>
            <c:numRef>
              <c:f>'4.3.2 Data_Tidsseriefigurer'!$C$39:$CI$39</c:f>
              <c:numCache>
                <c:formatCode>General</c:formatCode>
                <c:ptCount val="85"/>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pt idx="43">
                  <c:v>#N/A</c:v>
                </c:pt>
                <c:pt idx="44">
                  <c:v>#N/A</c:v>
                </c:pt>
                <c:pt idx="45">
                  <c:v>#N/A</c:v>
                </c:pt>
                <c:pt idx="46">
                  <c:v>#N/A</c:v>
                </c:pt>
                <c:pt idx="47">
                  <c:v>#N/A</c:v>
                </c:pt>
                <c:pt idx="48">
                  <c:v>#N/A</c:v>
                </c:pt>
                <c:pt idx="49">
                  <c:v>#N/A</c:v>
                </c:pt>
                <c:pt idx="50">
                  <c:v>#N/A</c:v>
                </c:pt>
                <c:pt idx="51">
                  <c:v>#N/A</c:v>
                </c:pt>
                <c:pt idx="52">
                  <c:v>#N/A</c:v>
                </c:pt>
                <c:pt idx="53">
                  <c:v>#N/A</c:v>
                </c:pt>
                <c:pt idx="54">
                  <c:v>#N/A</c:v>
                </c:pt>
                <c:pt idx="55">
                  <c:v>#N/A</c:v>
                </c:pt>
                <c:pt idx="56">
                  <c:v>#N/A</c:v>
                </c:pt>
                <c:pt idx="57">
                  <c:v>#N/A</c:v>
                </c:pt>
                <c:pt idx="58">
                  <c:v>#N/A</c:v>
                </c:pt>
                <c:pt idx="59">
                  <c:v>#N/A</c:v>
                </c:pt>
                <c:pt idx="60">
                  <c:v>#N/A</c:v>
                </c:pt>
                <c:pt idx="61">
                  <c:v>#N/A</c:v>
                </c:pt>
                <c:pt idx="62">
                  <c:v>#N/A</c:v>
                </c:pt>
                <c:pt idx="63">
                  <c:v>#N/A</c:v>
                </c:pt>
                <c:pt idx="64">
                  <c:v>#N/A</c:v>
                </c:pt>
                <c:pt idx="65">
                  <c:v>#N/A</c:v>
                </c:pt>
                <c:pt idx="66">
                  <c:v>#N/A</c:v>
                </c:pt>
                <c:pt idx="67">
                  <c:v>#N/A</c:v>
                </c:pt>
                <c:pt idx="68">
                  <c:v>#N/A</c:v>
                </c:pt>
                <c:pt idx="69">
                  <c:v>#N/A</c:v>
                </c:pt>
                <c:pt idx="70">
                  <c:v>#N/A</c:v>
                </c:pt>
                <c:pt idx="71">
                  <c:v>#N/A</c:v>
                </c:pt>
                <c:pt idx="72">
                  <c:v>#N/A</c:v>
                </c:pt>
                <c:pt idx="73">
                  <c:v>#N/A</c:v>
                </c:pt>
                <c:pt idx="74">
                  <c:v>#N/A</c:v>
                </c:pt>
                <c:pt idx="75">
                  <c:v>#N/A</c:v>
                </c:pt>
                <c:pt idx="76">
                  <c:v>#N/A</c:v>
                </c:pt>
                <c:pt idx="77">
                  <c:v>#N/A</c:v>
                </c:pt>
                <c:pt idx="78">
                  <c:v>#N/A</c:v>
                </c:pt>
                <c:pt idx="79">
                  <c:v>#N/A</c:v>
                </c:pt>
                <c:pt idx="80">
                  <c:v>#N/A</c:v>
                </c:pt>
                <c:pt idx="81">
                  <c:v>#N/A</c:v>
                </c:pt>
                <c:pt idx="82">
                  <c:v>#N/A</c:v>
                </c:pt>
                <c:pt idx="83">
                  <c:v>#N/A</c:v>
                </c:pt>
                <c:pt idx="84">
                  <c:v>#N/A</c:v>
                </c:pt>
              </c:numCache>
            </c:numRef>
          </c:val>
          <c:smooth val="0"/>
          <c:extLst>
            <c:ext xmlns:c16="http://schemas.microsoft.com/office/drawing/2014/chart" uri="{C3380CC4-5D6E-409C-BE32-E72D297353CC}">
              <c16:uniqueId val="{00000001-8BC0-4B5B-977A-A49C1723F97B}"/>
            </c:ext>
          </c:extLst>
        </c:ser>
        <c:dLbls>
          <c:showLegendKey val="0"/>
          <c:showVal val="0"/>
          <c:showCatName val="0"/>
          <c:showSerName val="0"/>
          <c:showPercent val="0"/>
          <c:showBubbleSize val="0"/>
        </c:dLbls>
        <c:marker val="1"/>
        <c:smooth val="0"/>
        <c:axId val="297410655"/>
        <c:axId val="1439717327"/>
      </c:lineChart>
      <c:lineChart>
        <c:grouping val="standard"/>
        <c:varyColors val="0"/>
        <c:ser>
          <c:idx val="7"/>
          <c:order val="11"/>
          <c:tx>
            <c:strRef>
              <c:f>'4.3.2 Data_Tidsseriefigurer'!$B$40</c:f>
              <c:strCache>
                <c:ptCount val="1"/>
                <c:pt idx="0">
                  <c:v>Karbonprisbane, KPI-justert</c:v>
                </c:pt>
              </c:strCache>
            </c:strRef>
          </c:tx>
          <c:spPr>
            <a:ln w="28575" cap="rnd">
              <a:solidFill>
                <a:schemeClr val="accent2">
                  <a:lumMod val="60000"/>
                </a:schemeClr>
              </a:solidFill>
              <a:round/>
            </a:ln>
            <a:effectLst/>
          </c:spPr>
          <c:marker>
            <c:symbol val="none"/>
          </c:marker>
          <c:cat>
            <c:numRef>
              <c:f>'4.3.2 Data_Tidsseriefigurer'!$C$27:$CI$27</c:f>
              <c:numCache>
                <c:formatCode>General</c:formatCode>
                <c:ptCount val="85"/>
                <c:pt idx="0">
                  <c:v>-10</c:v>
                </c:pt>
                <c:pt idx="1">
                  <c:v>-9</c:v>
                </c:pt>
                <c:pt idx="2">
                  <c:v>-8</c:v>
                </c:pt>
                <c:pt idx="3">
                  <c:v>-7</c:v>
                </c:pt>
                <c:pt idx="4">
                  <c:v>-6</c:v>
                </c:pt>
                <c:pt idx="5">
                  <c:v>-5</c:v>
                </c:pt>
                <c:pt idx="6">
                  <c:v>-4</c:v>
                </c:pt>
                <c:pt idx="7">
                  <c:v>-3</c:v>
                </c:pt>
                <c:pt idx="8">
                  <c:v>-2</c:v>
                </c:pt>
                <c:pt idx="9">
                  <c:v>-1</c:v>
                </c:pt>
                <c:pt idx="10">
                  <c:v>0</c:v>
                </c:pt>
                <c:pt idx="11">
                  <c:v>1</c:v>
                </c:pt>
                <c:pt idx="12">
                  <c:v>2</c:v>
                </c:pt>
                <c:pt idx="13">
                  <c:v>3</c:v>
                </c:pt>
                <c:pt idx="14">
                  <c:v>4</c:v>
                </c:pt>
                <c:pt idx="15">
                  <c:v>5</c:v>
                </c:pt>
                <c:pt idx="16">
                  <c:v>6</c:v>
                </c:pt>
                <c:pt idx="17">
                  <c:v>7</c:v>
                </c:pt>
                <c:pt idx="18">
                  <c:v>8</c:v>
                </c:pt>
                <c:pt idx="19">
                  <c:v>9</c:v>
                </c:pt>
                <c:pt idx="20">
                  <c:v>10</c:v>
                </c:pt>
                <c:pt idx="21">
                  <c:v>11</c:v>
                </c:pt>
                <c:pt idx="22">
                  <c:v>12</c:v>
                </c:pt>
                <c:pt idx="23">
                  <c:v>13</c:v>
                </c:pt>
                <c:pt idx="24">
                  <c:v>14</c:v>
                </c:pt>
                <c:pt idx="25">
                  <c:v>15</c:v>
                </c:pt>
                <c:pt idx="26">
                  <c:v>16</c:v>
                </c:pt>
                <c:pt idx="27">
                  <c:v>17</c:v>
                </c:pt>
                <c:pt idx="28">
                  <c:v>18</c:v>
                </c:pt>
                <c:pt idx="29">
                  <c:v>19</c:v>
                </c:pt>
                <c:pt idx="30">
                  <c:v>20</c:v>
                </c:pt>
                <c:pt idx="31">
                  <c:v>21</c:v>
                </c:pt>
                <c:pt idx="32">
                  <c:v>22</c:v>
                </c:pt>
                <c:pt idx="33">
                  <c:v>23</c:v>
                </c:pt>
                <c:pt idx="34">
                  <c:v>24</c:v>
                </c:pt>
                <c:pt idx="35">
                  <c:v>25</c:v>
                </c:pt>
                <c:pt idx="36">
                  <c:v>26</c:v>
                </c:pt>
                <c:pt idx="37">
                  <c:v>27</c:v>
                </c:pt>
                <c:pt idx="38">
                  <c:v>28</c:v>
                </c:pt>
                <c:pt idx="39">
                  <c:v>29</c:v>
                </c:pt>
                <c:pt idx="40">
                  <c:v>30</c:v>
                </c:pt>
                <c:pt idx="41">
                  <c:v>31</c:v>
                </c:pt>
                <c:pt idx="42">
                  <c:v>32</c:v>
                </c:pt>
                <c:pt idx="43">
                  <c:v>33</c:v>
                </c:pt>
                <c:pt idx="44">
                  <c:v>34</c:v>
                </c:pt>
                <c:pt idx="45">
                  <c:v>35</c:v>
                </c:pt>
                <c:pt idx="46">
                  <c:v>36</c:v>
                </c:pt>
                <c:pt idx="47">
                  <c:v>37</c:v>
                </c:pt>
                <c:pt idx="48">
                  <c:v>38</c:v>
                </c:pt>
                <c:pt idx="49">
                  <c:v>39</c:v>
                </c:pt>
                <c:pt idx="50">
                  <c:v>40</c:v>
                </c:pt>
                <c:pt idx="51">
                  <c:v>41</c:v>
                </c:pt>
                <c:pt idx="52">
                  <c:v>42</c:v>
                </c:pt>
                <c:pt idx="53">
                  <c:v>43</c:v>
                </c:pt>
                <c:pt idx="54">
                  <c:v>44</c:v>
                </c:pt>
                <c:pt idx="55">
                  <c:v>45</c:v>
                </c:pt>
                <c:pt idx="56">
                  <c:v>46</c:v>
                </c:pt>
                <c:pt idx="57">
                  <c:v>47</c:v>
                </c:pt>
                <c:pt idx="58">
                  <c:v>48</c:v>
                </c:pt>
                <c:pt idx="59">
                  <c:v>49</c:v>
                </c:pt>
                <c:pt idx="60">
                  <c:v>50</c:v>
                </c:pt>
                <c:pt idx="61">
                  <c:v>51</c:v>
                </c:pt>
                <c:pt idx="62">
                  <c:v>52</c:v>
                </c:pt>
                <c:pt idx="63">
                  <c:v>53</c:v>
                </c:pt>
                <c:pt idx="64">
                  <c:v>54</c:v>
                </c:pt>
                <c:pt idx="65">
                  <c:v>55</c:v>
                </c:pt>
                <c:pt idx="66">
                  <c:v>56</c:v>
                </c:pt>
                <c:pt idx="67">
                  <c:v>57</c:v>
                </c:pt>
                <c:pt idx="68">
                  <c:v>58</c:v>
                </c:pt>
                <c:pt idx="69">
                  <c:v>59</c:v>
                </c:pt>
                <c:pt idx="70">
                  <c:v>60</c:v>
                </c:pt>
                <c:pt idx="71">
                  <c:v>61</c:v>
                </c:pt>
                <c:pt idx="72">
                  <c:v>62</c:v>
                </c:pt>
                <c:pt idx="73">
                  <c:v>63</c:v>
                </c:pt>
                <c:pt idx="74">
                  <c:v>64</c:v>
                </c:pt>
                <c:pt idx="75">
                  <c:v>65</c:v>
                </c:pt>
                <c:pt idx="76">
                  <c:v>66</c:v>
                </c:pt>
                <c:pt idx="77">
                  <c:v>67</c:v>
                </c:pt>
                <c:pt idx="78">
                  <c:v>68</c:v>
                </c:pt>
                <c:pt idx="79">
                  <c:v>69</c:v>
                </c:pt>
                <c:pt idx="80">
                  <c:v>70</c:v>
                </c:pt>
                <c:pt idx="81">
                  <c:v>71</c:v>
                </c:pt>
                <c:pt idx="82">
                  <c:v>72</c:v>
                </c:pt>
                <c:pt idx="83">
                  <c:v>73</c:v>
                </c:pt>
                <c:pt idx="84">
                  <c:v>74</c:v>
                </c:pt>
              </c:numCache>
            </c:numRef>
          </c:cat>
          <c:val>
            <c:numRef>
              <c:f>'4.3.2 Data_Tidsseriefigurer'!$C$40:$CI$40</c:f>
              <c:numCache>
                <c:formatCode>General</c:formatCode>
                <c:ptCount val="85"/>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pt idx="43">
                  <c:v>#N/A</c:v>
                </c:pt>
                <c:pt idx="44">
                  <c:v>#N/A</c:v>
                </c:pt>
                <c:pt idx="45">
                  <c:v>#N/A</c:v>
                </c:pt>
                <c:pt idx="46">
                  <c:v>#N/A</c:v>
                </c:pt>
                <c:pt idx="47">
                  <c:v>#N/A</c:v>
                </c:pt>
                <c:pt idx="48">
                  <c:v>#N/A</c:v>
                </c:pt>
                <c:pt idx="49">
                  <c:v>#N/A</c:v>
                </c:pt>
                <c:pt idx="50">
                  <c:v>#N/A</c:v>
                </c:pt>
                <c:pt idx="51">
                  <c:v>#N/A</c:v>
                </c:pt>
                <c:pt idx="52">
                  <c:v>#N/A</c:v>
                </c:pt>
                <c:pt idx="53">
                  <c:v>#N/A</c:v>
                </c:pt>
                <c:pt idx="54">
                  <c:v>#N/A</c:v>
                </c:pt>
                <c:pt idx="55">
                  <c:v>#N/A</c:v>
                </c:pt>
                <c:pt idx="56">
                  <c:v>#N/A</c:v>
                </c:pt>
                <c:pt idx="57">
                  <c:v>#N/A</c:v>
                </c:pt>
                <c:pt idx="58">
                  <c:v>#N/A</c:v>
                </c:pt>
                <c:pt idx="59">
                  <c:v>#N/A</c:v>
                </c:pt>
                <c:pt idx="60">
                  <c:v>#N/A</c:v>
                </c:pt>
                <c:pt idx="61">
                  <c:v>#N/A</c:v>
                </c:pt>
                <c:pt idx="62">
                  <c:v>#N/A</c:v>
                </c:pt>
                <c:pt idx="63">
                  <c:v>#N/A</c:v>
                </c:pt>
                <c:pt idx="64">
                  <c:v>#N/A</c:v>
                </c:pt>
                <c:pt idx="65">
                  <c:v>#N/A</c:v>
                </c:pt>
                <c:pt idx="66">
                  <c:v>#N/A</c:v>
                </c:pt>
                <c:pt idx="67">
                  <c:v>#N/A</c:v>
                </c:pt>
                <c:pt idx="68">
                  <c:v>#N/A</c:v>
                </c:pt>
                <c:pt idx="69">
                  <c:v>#N/A</c:v>
                </c:pt>
                <c:pt idx="70">
                  <c:v>#N/A</c:v>
                </c:pt>
                <c:pt idx="71">
                  <c:v>#N/A</c:v>
                </c:pt>
                <c:pt idx="72">
                  <c:v>#N/A</c:v>
                </c:pt>
                <c:pt idx="73">
                  <c:v>#N/A</c:v>
                </c:pt>
                <c:pt idx="74">
                  <c:v>#N/A</c:v>
                </c:pt>
                <c:pt idx="75">
                  <c:v>#N/A</c:v>
                </c:pt>
                <c:pt idx="76">
                  <c:v>#N/A</c:v>
                </c:pt>
                <c:pt idx="77">
                  <c:v>#N/A</c:v>
                </c:pt>
                <c:pt idx="78">
                  <c:v>#N/A</c:v>
                </c:pt>
                <c:pt idx="79">
                  <c:v>#N/A</c:v>
                </c:pt>
                <c:pt idx="80">
                  <c:v>#N/A</c:v>
                </c:pt>
                <c:pt idx="81">
                  <c:v>#N/A</c:v>
                </c:pt>
                <c:pt idx="82">
                  <c:v>#N/A</c:v>
                </c:pt>
                <c:pt idx="83">
                  <c:v>#N/A</c:v>
                </c:pt>
                <c:pt idx="84">
                  <c:v>#N/A</c:v>
                </c:pt>
              </c:numCache>
            </c:numRef>
          </c:val>
          <c:smooth val="0"/>
          <c:extLst>
            <c:ext xmlns:c16="http://schemas.microsoft.com/office/drawing/2014/chart" uri="{C3380CC4-5D6E-409C-BE32-E72D297353CC}">
              <c16:uniqueId val="{00000009-CEAF-4128-8AAA-112C0BD2A7D6}"/>
            </c:ext>
          </c:extLst>
        </c:ser>
        <c:ser>
          <c:idx val="8"/>
          <c:order val="12"/>
          <c:tx>
            <c:strRef>
              <c:f>'4.3.2 Data_Tidsseriefigurer'!$B$41</c:f>
              <c:strCache>
                <c:ptCount val="1"/>
                <c:pt idx="0">
                  <c:v>CO2-avgiftsbane, KPI-justert</c:v>
                </c:pt>
              </c:strCache>
            </c:strRef>
          </c:tx>
          <c:spPr>
            <a:ln w="28575" cap="rnd">
              <a:solidFill>
                <a:schemeClr val="accent3">
                  <a:lumMod val="60000"/>
                </a:schemeClr>
              </a:solidFill>
              <a:round/>
            </a:ln>
            <a:effectLst/>
          </c:spPr>
          <c:marker>
            <c:symbol val="none"/>
          </c:marker>
          <c:cat>
            <c:numRef>
              <c:f>'4.3.2 Data_Tidsseriefigurer'!$C$27:$CI$27</c:f>
              <c:numCache>
                <c:formatCode>General</c:formatCode>
                <c:ptCount val="85"/>
                <c:pt idx="0">
                  <c:v>-10</c:v>
                </c:pt>
                <c:pt idx="1">
                  <c:v>-9</c:v>
                </c:pt>
                <c:pt idx="2">
                  <c:v>-8</c:v>
                </c:pt>
                <c:pt idx="3">
                  <c:v>-7</c:v>
                </c:pt>
                <c:pt idx="4">
                  <c:v>-6</c:v>
                </c:pt>
                <c:pt idx="5">
                  <c:v>-5</c:v>
                </c:pt>
                <c:pt idx="6">
                  <c:v>-4</c:v>
                </c:pt>
                <c:pt idx="7">
                  <c:v>-3</c:v>
                </c:pt>
                <c:pt idx="8">
                  <c:v>-2</c:v>
                </c:pt>
                <c:pt idx="9">
                  <c:v>-1</c:v>
                </c:pt>
                <c:pt idx="10">
                  <c:v>0</c:v>
                </c:pt>
                <c:pt idx="11">
                  <c:v>1</c:v>
                </c:pt>
                <c:pt idx="12">
                  <c:v>2</c:v>
                </c:pt>
                <c:pt idx="13">
                  <c:v>3</c:v>
                </c:pt>
                <c:pt idx="14">
                  <c:v>4</c:v>
                </c:pt>
                <c:pt idx="15">
                  <c:v>5</c:v>
                </c:pt>
                <c:pt idx="16">
                  <c:v>6</c:v>
                </c:pt>
                <c:pt idx="17">
                  <c:v>7</c:v>
                </c:pt>
                <c:pt idx="18">
                  <c:v>8</c:v>
                </c:pt>
                <c:pt idx="19">
                  <c:v>9</c:v>
                </c:pt>
                <c:pt idx="20">
                  <c:v>10</c:v>
                </c:pt>
                <c:pt idx="21">
                  <c:v>11</c:v>
                </c:pt>
                <c:pt idx="22">
                  <c:v>12</c:v>
                </c:pt>
                <c:pt idx="23">
                  <c:v>13</c:v>
                </c:pt>
                <c:pt idx="24">
                  <c:v>14</c:v>
                </c:pt>
                <c:pt idx="25">
                  <c:v>15</c:v>
                </c:pt>
                <c:pt idx="26">
                  <c:v>16</c:v>
                </c:pt>
                <c:pt idx="27">
                  <c:v>17</c:v>
                </c:pt>
                <c:pt idx="28">
                  <c:v>18</c:v>
                </c:pt>
                <c:pt idx="29">
                  <c:v>19</c:v>
                </c:pt>
                <c:pt idx="30">
                  <c:v>20</c:v>
                </c:pt>
                <c:pt idx="31">
                  <c:v>21</c:v>
                </c:pt>
                <c:pt idx="32">
                  <c:v>22</c:v>
                </c:pt>
                <c:pt idx="33">
                  <c:v>23</c:v>
                </c:pt>
                <c:pt idx="34">
                  <c:v>24</c:v>
                </c:pt>
                <c:pt idx="35">
                  <c:v>25</c:v>
                </c:pt>
                <c:pt idx="36">
                  <c:v>26</c:v>
                </c:pt>
                <c:pt idx="37">
                  <c:v>27</c:v>
                </c:pt>
                <c:pt idx="38">
                  <c:v>28</c:v>
                </c:pt>
                <c:pt idx="39">
                  <c:v>29</c:v>
                </c:pt>
                <c:pt idx="40">
                  <c:v>30</c:v>
                </c:pt>
                <c:pt idx="41">
                  <c:v>31</c:v>
                </c:pt>
                <c:pt idx="42">
                  <c:v>32</c:v>
                </c:pt>
                <c:pt idx="43">
                  <c:v>33</c:v>
                </c:pt>
                <c:pt idx="44">
                  <c:v>34</c:v>
                </c:pt>
                <c:pt idx="45">
                  <c:v>35</c:v>
                </c:pt>
                <c:pt idx="46">
                  <c:v>36</c:v>
                </c:pt>
                <c:pt idx="47">
                  <c:v>37</c:v>
                </c:pt>
                <c:pt idx="48">
                  <c:v>38</c:v>
                </c:pt>
                <c:pt idx="49">
                  <c:v>39</c:v>
                </c:pt>
                <c:pt idx="50">
                  <c:v>40</c:v>
                </c:pt>
                <c:pt idx="51">
                  <c:v>41</c:v>
                </c:pt>
                <c:pt idx="52">
                  <c:v>42</c:v>
                </c:pt>
                <c:pt idx="53">
                  <c:v>43</c:v>
                </c:pt>
                <c:pt idx="54">
                  <c:v>44</c:v>
                </c:pt>
                <c:pt idx="55">
                  <c:v>45</c:v>
                </c:pt>
                <c:pt idx="56">
                  <c:v>46</c:v>
                </c:pt>
                <c:pt idx="57">
                  <c:v>47</c:v>
                </c:pt>
                <c:pt idx="58">
                  <c:v>48</c:v>
                </c:pt>
                <c:pt idx="59">
                  <c:v>49</c:v>
                </c:pt>
                <c:pt idx="60">
                  <c:v>50</c:v>
                </c:pt>
                <c:pt idx="61">
                  <c:v>51</c:v>
                </c:pt>
                <c:pt idx="62">
                  <c:v>52</c:v>
                </c:pt>
                <c:pt idx="63">
                  <c:v>53</c:v>
                </c:pt>
                <c:pt idx="64">
                  <c:v>54</c:v>
                </c:pt>
                <c:pt idx="65">
                  <c:v>55</c:v>
                </c:pt>
                <c:pt idx="66">
                  <c:v>56</c:v>
                </c:pt>
                <c:pt idx="67">
                  <c:v>57</c:v>
                </c:pt>
                <c:pt idx="68">
                  <c:v>58</c:v>
                </c:pt>
                <c:pt idx="69">
                  <c:v>59</c:v>
                </c:pt>
                <c:pt idx="70">
                  <c:v>60</c:v>
                </c:pt>
                <c:pt idx="71">
                  <c:v>61</c:v>
                </c:pt>
                <c:pt idx="72">
                  <c:v>62</c:v>
                </c:pt>
                <c:pt idx="73">
                  <c:v>63</c:v>
                </c:pt>
                <c:pt idx="74">
                  <c:v>64</c:v>
                </c:pt>
                <c:pt idx="75">
                  <c:v>65</c:v>
                </c:pt>
                <c:pt idx="76">
                  <c:v>66</c:v>
                </c:pt>
                <c:pt idx="77">
                  <c:v>67</c:v>
                </c:pt>
                <c:pt idx="78">
                  <c:v>68</c:v>
                </c:pt>
                <c:pt idx="79">
                  <c:v>69</c:v>
                </c:pt>
                <c:pt idx="80">
                  <c:v>70</c:v>
                </c:pt>
                <c:pt idx="81">
                  <c:v>71</c:v>
                </c:pt>
                <c:pt idx="82">
                  <c:v>72</c:v>
                </c:pt>
                <c:pt idx="83">
                  <c:v>73</c:v>
                </c:pt>
                <c:pt idx="84">
                  <c:v>74</c:v>
                </c:pt>
              </c:numCache>
            </c:numRef>
          </c:cat>
          <c:val>
            <c:numRef>
              <c:f>'4.3.2 Data_Tidsseriefigurer'!$C$41:$CI$41</c:f>
              <c:numCache>
                <c:formatCode>General</c:formatCode>
                <c:ptCount val="85"/>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pt idx="43">
                  <c:v>#N/A</c:v>
                </c:pt>
                <c:pt idx="44">
                  <c:v>#N/A</c:v>
                </c:pt>
                <c:pt idx="45">
                  <c:v>#N/A</c:v>
                </c:pt>
                <c:pt idx="46">
                  <c:v>#N/A</c:v>
                </c:pt>
                <c:pt idx="47">
                  <c:v>#N/A</c:v>
                </c:pt>
                <c:pt idx="48">
                  <c:v>#N/A</c:v>
                </c:pt>
                <c:pt idx="49">
                  <c:v>#N/A</c:v>
                </c:pt>
                <c:pt idx="50">
                  <c:v>#N/A</c:v>
                </c:pt>
                <c:pt idx="51">
                  <c:v>#N/A</c:v>
                </c:pt>
                <c:pt idx="52">
                  <c:v>#N/A</c:v>
                </c:pt>
                <c:pt idx="53">
                  <c:v>#N/A</c:v>
                </c:pt>
                <c:pt idx="54">
                  <c:v>#N/A</c:v>
                </c:pt>
                <c:pt idx="55">
                  <c:v>#N/A</c:v>
                </c:pt>
                <c:pt idx="56">
                  <c:v>#N/A</c:v>
                </c:pt>
                <c:pt idx="57">
                  <c:v>#N/A</c:v>
                </c:pt>
                <c:pt idx="58">
                  <c:v>#N/A</c:v>
                </c:pt>
                <c:pt idx="59">
                  <c:v>#N/A</c:v>
                </c:pt>
                <c:pt idx="60">
                  <c:v>#N/A</c:v>
                </c:pt>
                <c:pt idx="61">
                  <c:v>#N/A</c:v>
                </c:pt>
                <c:pt idx="62">
                  <c:v>#N/A</c:v>
                </c:pt>
                <c:pt idx="63">
                  <c:v>#N/A</c:v>
                </c:pt>
                <c:pt idx="64">
                  <c:v>#N/A</c:v>
                </c:pt>
                <c:pt idx="65">
                  <c:v>#N/A</c:v>
                </c:pt>
                <c:pt idx="66">
                  <c:v>#N/A</c:v>
                </c:pt>
                <c:pt idx="67">
                  <c:v>#N/A</c:v>
                </c:pt>
                <c:pt idx="68">
                  <c:v>#N/A</c:v>
                </c:pt>
                <c:pt idx="69">
                  <c:v>#N/A</c:v>
                </c:pt>
                <c:pt idx="70">
                  <c:v>#N/A</c:v>
                </c:pt>
                <c:pt idx="71">
                  <c:v>#N/A</c:v>
                </c:pt>
                <c:pt idx="72">
                  <c:v>#N/A</c:v>
                </c:pt>
                <c:pt idx="73">
                  <c:v>#N/A</c:v>
                </c:pt>
                <c:pt idx="74">
                  <c:v>#N/A</c:v>
                </c:pt>
                <c:pt idx="75">
                  <c:v>#N/A</c:v>
                </c:pt>
                <c:pt idx="76">
                  <c:v>#N/A</c:v>
                </c:pt>
                <c:pt idx="77">
                  <c:v>#N/A</c:v>
                </c:pt>
                <c:pt idx="78">
                  <c:v>#N/A</c:v>
                </c:pt>
                <c:pt idx="79">
                  <c:v>#N/A</c:v>
                </c:pt>
                <c:pt idx="80">
                  <c:v>#N/A</c:v>
                </c:pt>
                <c:pt idx="81">
                  <c:v>#N/A</c:v>
                </c:pt>
                <c:pt idx="82">
                  <c:v>#N/A</c:v>
                </c:pt>
                <c:pt idx="83">
                  <c:v>#N/A</c:v>
                </c:pt>
                <c:pt idx="84">
                  <c:v>#N/A</c:v>
                </c:pt>
              </c:numCache>
            </c:numRef>
          </c:val>
          <c:smooth val="0"/>
          <c:extLst>
            <c:ext xmlns:c16="http://schemas.microsoft.com/office/drawing/2014/chart" uri="{C3380CC4-5D6E-409C-BE32-E72D297353CC}">
              <c16:uniqueId val="{0000000A-CEAF-4128-8AAA-112C0BD2A7D6}"/>
            </c:ext>
          </c:extLst>
        </c:ser>
        <c:dLbls>
          <c:showLegendKey val="0"/>
          <c:showVal val="0"/>
          <c:showCatName val="0"/>
          <c:showSerName val="0"/>
          <c:showPercent val="0"/>
          <c:showBubbleSize val="0"/>
        </c:dLbls>
        <c:marker val="1"/>
        <c:smooth val="0"/>
        <c:axId val="244201887"/>
        <c:axId val="268449375"/>
      </c:lineChart>
      <c:dateAx>
        <c:axId val="297410655"/>
        <c:scaling>
          <c:orientation val="minMax"/>
          <c:max val="-1"/>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Franklin Gothic Book" panose="020B0503020102020204" pitchFamily="34" charset="0"/>
                <a:ea typeface="+mn-ea"/>
                <a:cs typeface="+mn-cs"/>
              </a:defRPr>
            </a:pPr>
            <a:endParaRPr lang="nb-NO"/>
          </a:p>
        </c:txPr>
        <c:crossAx val="1439717327"/>
        <c:crosses val="autoZero"/>
        <c:auto val="0"/>
        <c:lblOffset val="100"/>
        <c:baseTimeUnit val="days"/>
        <c:majorUnit val="5"/>
      </c:dateAx>
      <c:valAx>
        <c:axId val="1439717327"/>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200" b="0" i="0" u="none" strike="noStrike" kern="1200" baseline="0">
                    <a:solidFill>
                      <a:schemeClr val="tx1">
                        <a:lumMod val="65000"/>
                        <a:lumOff val="35000"/>
                      </a:schemeClr>
                    </a:solidFill>
                    <a:latin typeface="Franklin Gothic Book" panose="020B0503020102020204" pitchFamily="34" charset="0"/>
                    <a:ea typeface="+mn-ea"/>
                    <a:cs typeface="+mn-cs"/>
                  </a:defRPr>
                </a:pPr>
                <a:r>
                  <a:rPr lang="nb-NO" sz="1200">
                    <a:latin typeface="Franklin Gothic Book" panose="020B0503020102020204" pitchFamily="34" charset="0"/>
                  </a:rPr>
                  <a:t>Millioner kroner</a:t>
                </a:r>
              </a:p>
            </c:rich>
          </c:tx>
          <c:overlay val="0"/>
          <c:spPr>
            <a:noFill/>
            <a:ln>
              <a:noFill/>
            </a:ln>
            <a:effectLst/>
          </c:spPr>
          <c:txPr>
            <a:bodyPr rot="-5400000" spcFirstLastPara="1" vertOverflow="ellipsis" vert="horz" wrap="square" anchor="ctr" anchorCtr="1"/>
            <a:lstStyle/>
            <a:p>
              <a:pPr>
                <a:defRPr sz="1200" b="0" i="0" u="none" strike="noStrike" kern="1200" baseline="0">
                  <a:solidFill>
                    <a:schemeClr val="tx1">
                      <a:lumMod val="65000"/>
                      <a:lumOff val="35000"/>
                    </a:schemeClr>
                  </a:solidFill>
                  <a:latin typeface="Franklin Gothic Book" panose="020B0503020102020204" pitchFamily="34" charset="0"/>
                  <a:ea typeface="+mn-ea"/>
                  <a:cs typeface="+mn-cs"/>
                </a:defRPr>
              </a:pPr>
              <a:endParaRPr lang="nb-NO"/>
            </a:p>
          </c:txPr>
        </c:title>
        <c:numFmt formatCode="#,##0.0" sourceLinked="0"/>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Franklin Gothic Book" panose="020B0503020102020204" pitchFamily="34" charset="0"/>
                <a:ea typeface="+mn-ea"/>
                <a:cs typeface="+mn-cs"/>
              </a:defRPr>
            </a:pPr>
            <a:endParaRPr lang="nb-NO"/>
          </a:p>
        </c:txPr>
        <c:crossAx val="297410655"/>
        <c:crosses val="autoZero"/>
        <c:crossBetween val="between"/>
      </c:valAx>
      <c:valAx>
        <c:axId val="268449375"/>
        <c:scaling>
          <c:orientation val="minMax"/>
        </c:scaling>
        <c:delete val="0"/>
        <c:axPos val="r"/>
        <c:title>
          <c:tx>
            <c:rich>
              <a:bodyPr rot="5400000" spcFirstLastPara="1" vertOverflow="ellipsis" wrap="square" anchor="ctr" anchorCtr="1"/>
              <a:lstStyle/>
              <a:p>
                <a:pPr>
                  <a:defRPr sz="1200" b="0" i="0" u="none" strike="noStrike" kern="1200" baseline="0">
                    <a:solidFill>
                      <a:schemeClr val="tx1">
                        <a:lumMod val="65000"/>
                        <a:lumOff val="35000"/>
                      </a:schemeClr>
                    </a:solidFill>
                    <a:latin typeface="Franklin Gothic Book" panose="020B0503020102020204" pitchFamily="34" charset="0"/>
                    <a:ea typeface="+mn-ea"/>
                    <a:cs typeface="+mn-cs"/>
                  </a:defRPr>
                </a:pPr>
                <a:r>
                  <a:rPr lang="nb-NO" sz="1200">
                    <a:latin typeface="Franklin Gothic Book" panose="020B0503020102020204" pitchFamily="34" charset="0"/>
                  </a:rPr>
                  <a:t>CO2-avgift/Karbonprisbane,</a:t>
                </a:r>
                <a:r>
                  <a:rPr lang="nb-NO" sz="1200" baseline="0">
                    <a:latin typeface="Franklin Gothic Book" panose="020B0503020102020204" pitchFamily="34" charset="0"/>
                  </a:rPr>
                  <a:t> kroner/tonn</a:t>
                </a:r>
                <a:endParaRPr lang="nb-NO" sz="1200">
                  <a:latin typeface="Franklin Gothic Book" panose="020B0503020102020204" pitchFamily="34" charset="0"/>
                </a:endParaRPr>
              </a:p>
            </c:rich>
          </c:tx>
          <c:overlay val="0"/>
          <c:spPr>
            <a:noFill/>
            <a:ln>
              <a:noFill/>
            </a:ln>
            <a:effectLst/>
          </c:spPr>
          <c:txPr>
            <a:bodyPr rot="5400000" spcFirstLastPara="1" vertOverflow="ellipsis" wrap="square" anchor="ctr" anchorCtr="1"/>
            <a:lstStyle/>
            <a:p>
              <a:pPr>
                <a:defRPr sz="1200" b="0" i="0" u="none" strike="noStrike" kern="1200" baseline="0">
                  <a:solidFill>
                    <a:schemeClr val="tx1">
                      <a:lumMod val="65000"/>
                      <a:lumOff val="35000"/>
                    </a:schemeClr>
                  </a:solidFill>
                  <a:latin typeface="Franklin Gothic Book" panose="020B0503020102020204" pitchFamily="34" charset="0"/>
                  <a:ea typeface="+mn-ea"/>
                  <a:cs typeface="+mn-cs"/>
                </a:defRPr>
              </a:pPr>
              <a:endParaRPr lang="nb-NO"/>
            </a:p>
          </c:txPr>
        </c:title>
        <c:numFmt formatCode="#,##0" sourceLinked="0"/>
        <c:majorTickMark val="out"/>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Franklin Gothic Book" panose="020B0503020102020204" pitchFamily="34" charset="0"/>
                <a:ea typeface="+mn-ea"/>
                <a:cs typeface="+mn-cs"/>
              </a:defRPr>
            </a:pPr>
            <a:endParaRPr lang="nb-NO"/>
          </a:p>
        </c:txPr>
        <c:crossAx val="244201887"/>
        <c:crosses val="max"/>
        <c:crossBetween val="between"/>
      </c:valAx>
      <c:catAx>
        <c:axId val="244201887"/>
        <c:scaling>
          <c:orientation val="minMax"/>
        </c:scaling>
        <c:delete val="1"/>
        <c:axPos val="b"/>
        <c:numFmt formatCode="General" sourceLinked="1"/>
        <c:majorTickMark val="out"/>
        <c:minorTickMark val="none"/>
        <c:tickLblPos val="nextTo"/>
        <c:crossAx val="268449375"/>
        <c:crosses val="autoZero"/>
        <c:auto val="1"/>
        <c:lblAlgn val="ctr"/>
        <c:lblOffset val="100"/>
        <c:noMultiLvlLbl val="0"/>
      </c:catAx>
      <c:spPr>
        <a:noFill/>
        <a:ln>
          <a:noFill/>
        </a:ln>
        <a:effectLst/>
      </c:spPr>
    </c:plotArea>
    <c:legend>
      <c:legendPos val="b"/>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Franklin Gothic Book" panose="020B0503020102020204" pitchFamily="34" charset="0"/>
              <a:ea typeface="+mn-ea"/>
              <a:cs typeface="+mn-cs"/>
            </a:defRPr>
          </a:pPr>
          <a:endParaRPr lang="nb-N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nb-NO"/>
    </a:p>
  </c:tx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b-NO"/>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'4.3.2 Data_Tidsseriefigurer'!$L$25</c:f>
          <c:strCache>
            <c:ptCount val="1"/>
            <c:pt idx="0">
              <c:v>Nyttebidraget fra endret CO2-utslipp, mill. kr. (venstre akse) og CO2-prisbane (høyre akse) (-kr)</c:v>
            </c:pt>
          </c:strCache>
        </c:strRef>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Franklin Gothic Book" panose="020B0503020102020204" pitchFamily="34" charset="0"/>
              <a:ea typeface="+mn-ea"/>
              <a:cs typeface="+mn-cs"/>
            </a:defRPr>
          </a:pPr>
          <a:endParaRPr lang="nb-NO"/>
        </a:p>
      </c:txPr>
    </c:title>
    <c:autoTitleDeleted val="0"/>
    <c:plotArea>
      <c:layout/>
      <c:lineChart>
        <c:grouping val="standard"/>
        <c:varyColors val="0"/>
        <c:ser>
          <c:idx val="0"/>
          <c:order val="0"/>
          <c:tx>
            <c:strRef>
              <c:f>'4.3.2 Data_Tidsseriefigurer'!$B$28</c:f>
              <c:strCache>
                <c:ptCount val="1"/>
                <c:pt idx="0">
                  <c:v>Jernbane - Persontog</c:v>
                </c:pt>
              </c:strCache>
            </c:strRef>
          </c:tx>
          <c:spPr>
            <a:ln w="28575" cap="rnd">
              <a:solidFill>
                <a:schemeClr val="accent1"/>
              </a:solidFill>
              <a:round/>
            </a:ln>
            <a:effectLst/>
          </c:spPr>
          <c:marker>
            <c:symbol val="none"/>
          </c:marker>
          <c:cat>
            <c:numRef>
              <c:f>'4.3.2 Data_Tidsseriefigurer'!$C$27:$CI$27</c:f>
              <c:numCache>
                <c:formatCode>General</c:formatCode>
                <c:ptCount val="85"/>
                <c:pt idx="0">
                  <c:v>-10</c:v>
                </c:pt>
                <c:pt idx="1">
                  <c:v>-9</c:v>
                </c:pt>
                <c:pt idx="2">
                  <c:v>-8</c:v>
                </c:pt>
                <c:pt idx="3">
                  <c:v>-7</c:v>
                </c:pt>
                <c:pt idx="4">
                  <c:v>-6</c:v>
                </c:pt>
                <c:pt idx="5">
                  <c:v>-5</c:v>
                </c:pt>
                <c:pt idx="6">
                  <c:v>-4</c:v>
                </c:pt>
                <c:pt idx="7">
                  <c:v>-3</c:v>
                </c:pt>
                <c:pt idx="8">
                  <c:v>-2</c:v>
                </c:pt>
                <c:pt idx="9">
                  <c:v>-1</c:v>
                </c:pt>
                <c:pt idx="10">
                  <c:v>0</c:v>
                </c:pt>
                <c:pt idx="11">
                  <c:v>1</c:v>
                </c:pt>
                <c:pt idx="12">
                  <c:v>2</c:v>
                </c:pt>
                <c:pt idx="13">
                  <c:v>3</c:v>
                </c:pt>
                <c:pt idx="14">
                  <c:v>4</c:v>
                </c:pt>
                <c:pt idx="15">
                  <c:v>5</c:v>
                </c:pt>
                <c:pt idx="16">
                  <c:v>6</c:v>
                </c:pt>
                <c:pt idx="17">
                  <c:v>7</c:v>
                </c:pt>
                <c:pt idx="18">
                  <c:v>8</c:v>
                </c:pt>
                <c:pt idx="19">
                  <c:v>9</c:v>
                </c:pt>
                <c:pt idx="20">
                  <c:v>10</c:v>
                </c:pt>
                <c:pt idx="21">
                  <c:v>11</c:v>
                </c:pt>
                <c:pt idx="22">
                  <c:v>12</c:v>
                </c:pt>
                <c:pt idx="23">
                  <c:v>13</c:v>
                </c:pt>
                <c:pt idx="24">
                  <c:v>14</c:v>
                </c:pt>
                <c:pt idx="25">
                  <c:v>15</c:v>
                </c:pt>
                <c:pt idx="26">
                  <c:v>16</c:v>
                </c:pt>
                <c:pt idx="27">
                  <c:v>17</c:v>
                </c:pt>
                <c:pt idx="28">
                  <c:v>18</c:v>
                </c:pt>
                <c:pt idx="29">
                  <c:v>19</c:v>
                </c:pt>
                <c:pt idx="30">
                  <c:v>20</c:v>
                </c:pt>
                <c:pt idx="31">
                  <c:v>21</c:v>
                </c:pt>
                <c:pt idx="32">
                  <c:v>22</c:v>
                </c:pt>
                <c:pt idx="33">
                  <c:v>23</c:v>
                </c:pt>
                <c:pt idx="34">
                  <c:v>24</c:v>
                </c:pt>
                <c:pt idx="35">
                  <c:v>25</c:v>
                </c:pt>
                <c:pt idx="36">
                  <c:v>26</c:v>
                </c:pt>
                <c:pt idx="37">
                  <c:v>27</c:v>
                </c:pt>
                <c:pt idx="38">
                  <c:v>28</c:v>
                </c:pt>
                <c:pt idx="39">
                  <c:v>29</c:v>
                </c:pt>
                <c:pt idx="40">
                  <c:v>30</c:v>
                </c:pt>
                <c:pt idx="41">
                  <c:v>31</c:v>
                </c:pt>
                <c:pt idx="42">
                  <c:v>32</c:v>
                </c:pt>
                <c:pt idx="43">
                  <c:v>33</c:v>
                </c:pt>
                <c:pt idx="44">
                  <c:v>34</c:v>
                </c:pt>
                <c:pt idx="45">
                  <c:v>35</c:v>
                </c:pt>
                <c:pt idx="46">
                  <c:v>36</c:v>
                </c:pt>
                <c:pt idx="47">
                  <c:v>37</c:v>
                </c:pt>
                <c:pt idx="48">
                  <c:v>38</c:v>
                </c:pt>
                <c:pt idx="49">
                  <c:v>39</c:v>
                </c:pt>
                <c:pt idx="50">
                  <c:v>40</c:v>
                </c:pt>
                <c:pt idx="51">
                  <c:v>41</c:v>
                </c:pt>
                <c:pt idx="52">
                  <c:v>42</c:v>
                </c:pt>
                <c:pt idx="53">
                  <c:v>43</c:v>
                </c:pt>
                <c:pt idx="54">
                  <c:v>44</c:v>
                </c:pt>
                <c:pt idx="55">
                  <c:v>45</c:v>
                </c:pt>
                <c:pt idx="56">
                  <c:v>46</c:v>
                </c:pt>
                <c:pt idx="57">
                  <c:v>47</c:v>
                </c:pt>
                <c:pt idx="58">
                  <c:v>48</c:v>
                </c:pt>
                <c:pt idx="59">
                  <c:v>49</c:v>
                </c:pt>
                <c:pt idx="60">
                  <c:v>50</c:v>
                </c:pt>
                <c:pt idx="61">
                  <c:v>51</c:v>
                </c:pt>
                <c:pt idx="62">
                  <c:v>52</c:v>
                </c:pt>
                <c:pt idx="63">
                  <c:v>53</c:v>
                </c:pt>
                <c:pt idx="64">
                  <c:v>54</c:v>
                </c:pt>
                <c:pt idx="65">
                  <c:v>55</c:v>
                </c:pt>
                <c:pt idx="66">
                  <c:v>56</c:v>
                </c:pt>
                <c:pt idx="67">
                  <c:v>57</c:v>
                </c:pt>
                <c:pt idx="68">
                  <c:v>58</c:v>
                </c:pt>
                <c:pt idx="69">
                  <c:v>59</c:v>
                </c:pt>
                <c:pt idx="70">
                  <c:v>60</c:v>
                </c:pt>
                <c:pt idx="71">
                  <c:v>61</c:v>
                </c:pt>
                <c:pt idx="72">
                  <c:v>62</c:v>
                </c:pt>
                <c:pt idx="73">
                  <c:v>63</c:v>
                </c:pt>
                <c:pt idx="74">
                  <c:v>64</c:v>
                </c:pt>
                <c:pt idx="75">
                  <c:v>65</c:v>
                </c:pt>
                <c:pt idx="76">
                  <c:v>66</c:v>
                </c:pt>
                <c:pt idx="77">
                  <c:v>67</c:v>
                </c:pt>
                <c:pt idx="78">
                  <c:v>68</c:v>
                </c:pt>
                <c:pt idx="79">
                  <c:v>69</c:v>
                </c:pt>
                <c:pt idx="80">
                  <c:v>70</c:v>
                </c:pt>
                <c:pt idx="81">
                  <c:v>71</c:v>
                </c:pt>
                <c:pt idx="82">
                  <c:v>72</c:v>
                </c:pt>
                <c:pt idx="83">
                  <c:v>73</c:v>
                </c:pt>
                <c:pt idx="84">
                  <c:v>74</c:v>
                </c:pt>
              </c:numCache>
            </c:numRef>
          </c:cat>
          <c:val>
            <c:numRef>
              <c:f>'4.3.2 Data_Tidsseriefigurer'!$C$28:$CI$28</c:f>
              <c:numCache>
                <c:formatCode>General</c:formatCode>
                <c:ptCount val="85"/>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pt idx="43">
                  <c:v>#N/A</c:v>
                </c:pt>
                <c:pt idx="44">
                  <c:v>#N/A</c:v>
                </c:pt>
                <c:pt idx="45">
                  <c:v>#N/A</c:v>
                </c:pt>
                <c:pt idx="46">
                  <c:v>#N/A</c:v>
                </c:pt>
                <c:pt idx="47">
                  <c:v>#N/A</c:v>
                </c:pt>
                <c:pt idx="48">
                  <c:v>#N/A</c:v>
                </c:pt>
                <c:pt idx="49">
                  <c:v>#N/A</c:v>
                </c:pt>
                <c:pt idx="50">
                  <c:v>#N/A</c:v>
                </c:pt>
                <c:pt idx="51">
                  <c:v>#N/A</c:v>
                </c:pt>
                <c:pt idx="52">
                  <c:v>#N/A</c:v>
                </c:pt>
                <c:pt idx="53">
                  <c:v>#N/A</c:v>
                </c:pt>
                <c:pt idx="54">
                  <c:v>#N/A</c:v>
                </c:pt>
                <c:pt idx="55">
                  <c:v>#N/A</c:v>
                </c:pt>
                <c:pt idx="56">
                  <c:v>#N/A</c:v>
                </c:pt>
                <c:pt idx="57">
                  <c:v>#N/A</c:v>
                </c:pt>
                <c:pt idx="58">
                  <c:v>#N/A</c:v>
                </c:pt>
                <c:pt idx="59">
                  <c:v>#N/A</c:v>
                </c:pt>
                <c:pt idx="60">
                  <c:v>#N/A</c:v>
                </c:pt>
                <c:pt idx="61">
                  <c:v>#N/A</c:v>
                </c:pt>
                <c:pt idx="62">
                  <c:v>#N/A</c:v>
                </c:pt>
                <c:pt idx="63">
                  <c:v>#N/A</c:v>
                </c:pt>
                <c:pt idx="64">
                  <c:v>#N/A</c:v>
                </c:pt>
                <c:pt idx="65">
                  <c:v>#N/A</c:v>
                </c:pt>
                <c:pt idx="66">
                  <c:v>#N/A</c:v>
                </c:pt>
                <c:pt idx="67">
                  <c:v>#N/A</c:v>
                </c:pt>
                <c:pt idx="68">
                  <c:v>#N/A</c:v>
                </c:pt>
                <c:pt idx="69">
                  <c:v>#N/A</c:v>
                </c:pt>
                <c:pt idx="70">
                  <c:v>#N/A</c:v>
                </c:pt>
                <c:pt idx="71">
                  <c:v>#N/A</c:v>
                </c:pt>
                <c:pt idx="72">
                  <c:v>#N/A</c:v>
                </c:pt>
                <c:pt idx="73">
                  <c:v>#N/A</c:v>
                </c:pt>
                <c:pt idx="74">
                  <c:v>#N/A</c:v>
                </c:pt>
                <c:pt idx="75">
                  <c:v>#N/A</c:v>
                </c:pt>
                <c:pt idx="76">
                  <c:v>#N/A</c:v>
                </c:pt>
                <c:pt idx="77">
                  <c:v>#N/A</c:v>
                </c:pt>
                <c:pt idx="78">
                  <c:v>#N/A</c:v>
                </c:pt>
                <c:pt idx="79">
                  <c:v>#N/A</c:v>
                </c:pt>
                <c:pt idx="80">
                  <c:v>#N/A</c:v>
                </c:pt>
                <c:pt idx="81">
                  <c:v>#N/A</c:v>
                </c:pt>
                <c:pt idx="82">
                  <c:v>#N/A</c:v>
                </c:pt>
                <c:pt idx="83">
                  <c:v>#N/A</c:v>
                </c:pt>
                <c:pt idx="84">
                  <c:v>#N/A</c:v>
                </c:pt>
              </c:numCache>
            </c:numRef>
          </c:val>
          <c:smooth val="0"/>
          <c:extLst>
            <c:ext xmlns:c16="http://schemas.microsoft.com/office/drawing/2014/chart" uri="{C3380CC4-5D6E-409C-BE32-E72D297353CC}">
              <c16:uniqueId val="{00000002-CEAF-4128-8AAA-112C0BD2A7D6}"/>
            </c:ext>
          </c:extLst>
        </c:ser>
        <c:ser>
          <c:idx val="1"/>
          <c:order val="1"/>
          <c:tx>
            <c:strRef>
              <c:f>'4.3.2 Data_Tidsseriefigurer'!$B$29</c:f>
              <c:strCache>
                <c:ptCount val="1"/>
                <c:pt idx="0">
                  <c:v>Jernbane - Godstog</c:v>
                </c:pt>
              </c:strCache>
            </c:strRef>
          </c:tx>
          <c:spPr>
            <a:ln w="28575" cap="rnd">
              <a:solidFill>
                <a:schemeClr val="accent2"/>
              </a:solidFill>
              <a:round/>
            </a:ln>
            <a:effectLst/>
          </c:spPr>
          <c:marker>
            <c:symbol val="none"/>
          </c:marker>
          <c:cat>
            <c:numRef>
              <c:f>'4.3.2 Data_Tidsseriefigurer'!$C$27:$CI$27</c:f>
              <c:numCache>
                <c:formatCode>General</c:formatCode>
                <c:ptCount val="85"/>
                <c:pt idx="0">
                  <c:v>-10</c:v>
                </c:pt>
                <c:pt idx="1">
                  <c:v>-9</c:v>
                </c:pt>
                <c:pt idx="2">
                  <c:v>-8</c:v>
                </c:pt>
                <c:pt idx="3">
                  <c:v>-7</c:v>
                </c:pt>
                <c:pt idx="4">
                  <c:v>-6</c:v>
                </c:pt>
                <c:pt idx="5">
                  <c:v>-5</c:v>
                </c:pt>
                <c:pt idx="6">
                  <c:v>-4</c:v>
                </c:pt>
                <c:pt idx="7">
                  <c:v>-3</c:v>
                </c:pt>
                <c:pt idx="8">
                  <c:v>-2</c:v>
                </c:pt>
                <c:pt idx="9">
                  <c:v>-1</c:v>
                </c:pt>
                <c:pt idx="10">
                  <c:v>0</c:v>
                </c:pt>
                <c:pt idx="11">
                  <c:v>1</c:v>
                </c:pt>
                <c:pt idx="12">
                  <c:v>2</c:v>
                </c:pt>
                <c:pt idx="13">
                  <c:v>3</c:v>
                </c:pt>
                <c:pt idx="14">
                  <c:v>4</c:v>
                </c:pt>
                <c:pt idx="15">
                  <c:v>5</c:v>
                </c:pt>
                <c:pt idx="16">
                  <c:v>6</c:v>
                </c:pt>
                <c:pt idx="17">
                  <c:v>7</c:v>
                </c:pt>
                <c:pt idx="18">
                  <c:v>8</c:v>
                </c:pt>
                <c:pt idx="19">
                  <c:v>9</c:v>
                </c:pt>
                <c:pt idx="20">
                  <c:v>10</c:v>
                </c:pt>
                <c:pt idx="21">
                  <c:v>11</c:v>
                </c:pt>
                <c:pt idx="22">
                  <c:v>12</c:v>
                </c:pt>
                <c:pt idx="23">
                  <c:v>13</c:v>
                </c:pt>
                <c:pt idx="24">
                  <c:v>14</c:v>
                </c:pt>
                <c:pt idx="25">
                  <c:v>15</c:v>
                </c:pt>
                <c:pt idx="26">
                  <c:v>16</c:v>
                </c:pt>
                <c:pt idx="27">
                  <c:v>17</c:v>
                </c:pt>
                <c:pt idx="28">
                  <c:v>18</c:v>
                </c:pt>
                <c:pt idx="29">
                  <c:v>19</c:v>
                </c:pt>
                <c:pt idx="30">
                  <c:v>20</c:v>
                </c:pt>
                <c:pt idx="31">
                  <c:v>21</c:v>
                </c:pt>
                <c:pt idx="32">
                  <c:v>22</c:v>
                </c:pt>
                <c:pt idx="33">
                  <c:v>23</c:v>
                </c:pt>
                <c:pt idx="34">
                  <c:v>24</c:v>
                </c:pt>
                <c:pt idx="35">
                  <c:v>25</c:v>
                </c:pt>
                <c:pt idx="36">
                  <c:v>26</c:v>
                </c:pt>
                <c:pt idx="37">
                  <c:v>27</c:v>
                </c:pt>
                <c:pt idx="38">
                  <c:v>28</c:v>
                </c:pt>
                <c:pt idx="39">
                  <c:v>29</c:v>
                </c:pt>
                <c:pt idx="40">
                  <c:v>30</c:v>
                </c:pt>
                <c:pt idx="41">
                  <c:v>31</c:v>
                </c:pt>
                <c:pt idx="42">
                  <c:v>32</c:v>
                </c:pt>
                <c:pt idx="43">
                  <c:v>33</c:v>
                </c:pt>
                <c:pt idx="44">
                  <c:v>34</c:v>
                </c:pt>
                <c:pt idx="45">
                  <c:v>35</c:v>
                </c:pt>
                <c:pt idx="46">
                  <c:v>36</c:v>
                </c:pt>
                <c:pt idx="47">
                  <c:v>37</c:v>
                </c:pt>
                <c:pt idx="48">
                  <c:v>38</c:v>
                </c:pt>
                <c:pt idx="49">
                  <c:v>39</c:v>
                </c:pt>
                <c:pt idx="50">
                  <c:v>40</c:v>
                </c:pt>
                <c:pt idx="51">
                  <c:v>41</c:v>
                </c:pt>
                <c:pt idx="52">
                  <c:v>42</c:v>
                </c:pt>
                <c:pt idx="53">
                  <c:v>43</c:v>
                </c:pt>
                <c:pt idx="54">
                  <c:v>44</c:v>
                </c:pt>
                <c:pt idx="55">
                  <c:v>45</c:v>
                </c:pt>
                <c:pt idx="56">
                  <c:v>46</c:v>
                </c:pt>
                <c:pt idx="57">
                  <c:v>47</c:v>
                </c:pt>
                <c:pt idx="58">
                  <c:v>48</c:v>
                </c:pt>
                <c:pt idx="59">
                  <c:v>49</c:v>
                </c:pt>
                <c:pt idx="60">
                  <c:v>50</c:v>
                </c:pt>
                <c:pt idx="61">
                  <c:v>51</c:v>
                </c:pt>
                <c:pt idx="62">
                  <c:v>52</c:v>
                </c:pt>
                <c:pt idx="63">
                  <c:v>53</c:v>
                </c:pt>
                <c:pt idx="64">
                  <c:v>54</c:v>
                </c:pt>
                <c:pt idx="65">
                  <c:v>55</c:v>
                </c:pt>
                <c:pt idx="66">
                  <c:v>56</c:v>
                </c:pt>
                <c:pt idx="67">
                  <c:v>57</c:v>
                </c:pt>
                <c:pt idx="68">
                  <c:v>58</c:v>
                </c:pt>
                <c:pt idx="69">
                  <c:v>59</c:v>
                </c:pt>
                <c:pt idx="70">
                  <c:v>60</c:v>
                </c:pt>
                <c:pt idx="71">
                  <c:v>61</c:v>
                </c:pt>
                <c:pt idx="72">
                  <c:v>62</c:v>
                </c:pt>
                <c:pt idx="73">
                  <c:v>63</c:v>
                </c:pt>
                <c:pt idx="74">
                  <c:v>64</c:v>
                </c:pt>
                <c:pt idx="75">
                  <c:v>65</c:v>
                </c:pt>
                <c:pt idx="76">
                  <c:v>66</c:v>
                </c:pt>
                <c:pt idx="77">
                  <c:v>67</c:v>
                </c:pt>
                <c:pt idx="78">
                  <c:v>68</c:v>
                </c:pt>
                <c:pt idx="79">
                  <c:v>69</c:v>
                </c:pt>
                <c:pt idx="80">
                  <c:v>70</c:v>
                </c:pt>
                <c:pt idx="81">
                  <c:v>71</c:v>
                </c:pt>
                <c:pt idx="82">
                  <c:v>72</c:v>
                </c:pt>
                <c:pt idx="83">
                  <c:v>73</c:v>
                </c:pt>
                <c:pt idx="84">
                  <c:v>74</c:v>
                </c:pt>
              </c:numCache>
            </c:numRef>
          </c:cat>
          <c:val>
            <c:numRef>
              <c:f>'4.3.2 Data_Tidsseriefigurer'!$C$29:$CI$29</c:f>
              <c:numCache>
                <c:formatCode>General</c:formatCode>
                <c:ptCount val="85"/>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pt idx="43">
                  <c:v>#N/A</c:v>
                </c:pt>
                <c:pt idx="44">
                  <c:v>#N/A</c:v>
                </c:pt>
                <c:pt idx="45">
                  <c:v>#N/A</c:v>
                </c:pt>
                <c:pt idx="46">
                  <c:v>#N/A</c:v>
                </c:pt>
                <c:pt idx="47">
                  <c:v>#N/A</c:v>
                </c:pt>
                <c:pt idx="48">
                  <c:v>#N/A</c:v>
                </c:pt>
                <c:pt idx="49">
                  <c:v>#N/A</c:v>
                </c:pt>
                <c:pt idx="50">
                  <c:v>#N/A</c:v>
                </c:pt>
                <c:pt idx="51">
                  <c:v>#N/A</c:v>
                </c:pt>
                <c:pt idx="52">
                  <c:v>#N/A</c:v>
                </c:pt>
                <c:pt idx="53">
                  <c:v>#N/A</c:v>
                </c:pt>
                <c:pt idx="54">
                  <c:v>#N/A</c:v>
                </c:pt>
                <c:pt idx="55">
                  <c:v>#N/A</c:v>
                </c:pt>
                <c:pt idx="56">
                  <c:v>#N/A</c:v>
                </c:pt>
                <c:pt idx="57">
                  <c:v>#N/A</c:v>
                </c:pt>
                <c:pt idx="58">
                  <c:v>#N/A</c:v>
                </c:pt>
                <c:pt idx="59">
                  <c:v>#N/A</c:v>
                </c:pt>
                <c:pt idx="60">
                  <c:v>#N/A</c:v>
                </c:pt>
                <c:pt idx="61">
                  <c:v>#N/A</c:v>
                </c:pt>
                <c:pt idx="62">
                  <c:v>#N/A</c:v>
                </c:pt>
                <c:pt idx="63">
                  <c:v>#N/A</c:v>
                </c:pt>
                <c:pt idx="64">
                  <c:v>#N/A</c:v>
                </c:pt>
                <c:pt idx="65">
                  <c:v>#N/A</c:v>
                </c:pt>
                <c:pt idx="66">
                  <c:v>#N/A</c:v>
                </c:pt>
                <c:pt idx="67">
                  <c:v>#N/A</c:v>
                </c:pt>
                <c:pt idx="68">
                  <c:v>#N/A</c:v>
                </c:pt>
                <c:pt idx="69">
                  <c:v>#N/A</c:v>
                </c:pt>
                <c:pt idx="70">
                  <c:v>#N/A</c:v>
                </c:pt>
                <c:pt idx="71">
                  <c:v>#N/A</c:v>
                </c:pt>
                <c:pt idx="72">
                  <c:v>#N/A</c:v>
                </c:pt>
                <c:pt idx="73">
                  <c:v>#N/A</c:v>
                </c:pt>
                <c:pt idx="74">
                  <c:v>#N/A</c:v>
                </c:pt>
                <c:pt idx="75">
                  <c:v>#N/A</c:v>
                </c:pt>
                <c:pt idx="76">
                  <c:v>#N/A</c:v>
                </c:pt>
                <c:pt idx="77">
                  <c:v>#N/A</c:v>
                </c:pt>
                <c:pt idx="78">
                  <c:v>#N/A</c:v>
                </c:pt>
                <c:pt idx="79">
                  <c:v>#N/A</c:v>
                </c:pt>
                <c:pt idx="80">
                  <c:v>#N/A</c:v>
                </c:pt>
                <c:pt idx="81">
                  <c:v>#N/A</c:v>
                </c:pt>
                <c:pt idx="82">
                  <c:v>#N/A</c:v>
                </c:pt>
                <c:pt idx="83">
                  <c:v>#N/A</c:v>
                </c:pt>
                <c:pt idx="84">
                  <c:v>#N/A</c:v>
                </c:pt>
              </c:numCache>
            </c:numRef>
          </c:val>
          <c:smooth val="0"/>
          <c:extLst>
            <c:ext xmlns:c16="http://schemas.microsoft.com/office/drawing/2014/chart" uri="{C3380CC4-5D6E-409C-BE32-E72D297353CC}">
              <c16:uniqueId val="{00000003-CEAF-4128-8AAA-112C0BD2A7D6}"/>
            </c:ext>
          </c:extLst>
        </c:ser>
        <c:ser>
          <c:idx val="2"/>
          <c:order val="2"/>
          <c:tx>
            <c:strRef>
              <c:f>'4.3.2 Data_Tidsseriefigurer'!$B$30</c:f>
              <c:strCache>
                <c:ptCount val="1"/>
                <c:pt idx="0">
                  <c:v>Personbil</c:v>
                </c:pt>
              </c:strCache>
            </c:strRef>
          </c:tx>
          <c:spPr>
            <a:ln w="28575" cap="rnd">
              <a:solidFill>
                <a:schemeClr val="accent3"/>
              </a:solidFill>
              <a:round/>
            </a:ln>
            <a:effectLst/>
          </c:spPr>
          <c:marker>
            <c:symbol val="none"/>
          </c:marker>
          <c:cat>
            <c:numRef>
              <c:f>'4.3.2 Data_Tidsseriefigurer'!$C$27:$CI$27</c:f>
              <c:numCache>
                <c:formatCode>General</c:formatCode>
                <c:ptCount val="85"/>
                <c:pt idx="0">
                  <c:v>-10</c:v>
                </c:pt>
                <c:pt idx="1">
                  <c:v>-9</c:v>
                </c:pt>
                <c:pt idx="2">
                  <c:v>-8</c:v>
                </c:pt>
                <c:pt idx="3">
                  <c:v>-7</c:v>
                </c:pt>
                <c:pt idx="4">
                  <c:v>-6</c:v>
                </c:pt>
                <c:pt idx="5">
                  <c:v>-5</c:v>
                </c:pt>
                <c:pt idx="6">
                  <c:v>-4</c:v>
                </c:pt>
                <c:pt idx="7">
                  <c:v>-3</c:v>
                </c:pt>
                <c:pt idx="8">
                  <c:v>-2</c:v>
                </c:pt>
                <c:pt idx="9">
                  <c:v>-1</c:v>
                </c:pt>
                <c:pt idx="10">
                  <c:v>0</c:v>
                </c:pt>
                <c:pt idx="11">
                  <c:v>1</c:v>
                </c:pt>
                <c:pt idx="12">
                  <c:v>2</c:v>
                </c:pt>
                <c:pt idx="13">
                  <c:v>3</c:v>
                </c:pt>
                <c:pt idx="14">
                  <c:v>4</c:v>
                </c:pt>
                <c:pt idx="15">
                  <c:v>5</c:v>
                </c:pt>
                <c:pt idx="16">
                  <c:v>6</c:v>
                </c:pt>
                <c:pt idx="17">
                  <c:v>7</c:v>
                </c:pt>
                <c:pt idx="18">
                  <c:v>8</c:v>
                </c:pt>
                <c:pt idx="19">
                  <c:v>9</c:v>
                </c:pt>
                <c:pt idx="20">
                  <c:v>10</c:v>
                </c:pt>
                <c:pt idx="21">
                  <c:v>11</c:v>
                </c:pt>
                <c:pt idx="22">
                  <c:v>12</c:v>
                </c:pt>
                <c:pt idx="23">
                  <c:v>13</c:v>
                </c:pt>
                <c:pt idx="24">
                  <c:v>14</c:v>
                </c:pt>
                <c:pt idx="25">
                  <c:v>15</c:v>
                </c:pt>
                <c:pt idx="26">
                  <c:v>16</c:v>
                </c:pt>
                <c:pt idx="27">
                  <c:v>17</c:v>
                </c:pt>
                <c:pt idx="28">
                  <c:v>18</c:v>
                </c:pt>
                <c:pt idx="29">
                  <c:v>19</c:v>
                </c:pt>
                <c:pt idx="30">
                  <c:v>20</c:v>
                </c:pt>
                <c:pt idx="31">
                  <c:v>21</c:v>
                </c:pt>
                <c:pt idx="32">
                  <c:v>22</c:v>
                </c:pt>
                <c:pt idx="33">
                  <c:v>23</c:v>
                </c:pt>
                <c:pt idx="34">
                  <c:v>24</c:v>
                </c:pt>
                <c:pt idx="35">
                  <c:v>25</c:v>
                </c:pt>
                <c:pt idx="36">
                  <c:v>26</c:v>
                </c:pt>
                <c:pt idx="37">
                  <c:v>27</c:v>
                </c:pt>
                <c:pt idx="38">
                  <c:v>28</c:v>
                </c:pt>
                <c:pt idx="39">
                  <c:v>29</c:v>
                </c:pt>
                <c:pt idx="40">
                  <c:v>30</c:v>
                </c:pt>
                <c:pt idx="41">
                  <c:v>31</c:v>
                </c:pt>
                <c:pt idx="42">
                  <c:v>32</c:v>
                </c:pt>
                <c:pt idx="43">
                  <c:v>33</c:v>
                </c:pt>
                <c:pt idx="44">
                  <c:v>34</c:v>
                </c:pt>
                <c:pt idx="45">
                  <c:v>35</c:v>
                </c:pt>
                <c:pt idx="46">
                  <c:v>36</c:v>
                </c:pt>
                <c:pt idx="47">
                  <c:v>37</c:v>
                </c:pt>
                <c:pt idx="48">
                  <c:v>38</c:v>
                </c:pt>
                <c:pt idx="49">
                  <c:v>39</c:v>
                </c:pt>
                <c:pt idx="50">
                  <c:v>40</c:v>
                </c:pt>
                <c:pt idx="51">
                  <c:v>41</c:v>
                </c:pt>
                <c:pt idx="52">
                  <c:v>42</c:v>
                </c:pt>
                <c:pt idx="53">
                  <c:v>43</c:v>
                </c:pt>
                <c:pt idx="54">
                  <c:v>44</c:v>
                </c:pt>
                <c:pt idx="55">
                  <c:v>45</c:v>
                </c:pt>
                <c:pt idx="56">
                  <c:v>46</c:v>
                </c:pt>
                <c:pt idx="57">
                  <c:v>47</c:v>
                </c:pt>
                <c:pt idx="58">
                  <c:v>48</c:v>
                </c:pt>
                <c:pt idx="59">
                  <c:v>49</c:v>
                </c:pt>
                <c:pt idx="60">
                  <c:v>50</c:v>
                </c:pt>
                <c:pt idx="61">
                  <c:v>51</c:v>
                </c:pt>
                <c:pt idx="62">
                  <c:v>52</c:v>
                </c:pt>
                <c:pt idx="63">
                  <c:v>53</c:v>
                </c:pt>
                <c:pt idx="64">
                  <c:v>54</c:v>
                </c:pt>
                <c:pt idx="65">
                  <c:v>55</c:v>
                </c:pt>
                <c:pt idx="66">
                  <c:v>56</c:v>
                </c:pt>
                <c:pt idx="67">
                  <c:v>57</c:v>
                </c:pt>
                <c:pt idx="68">
                  <c:v>58</c:v>
                </c:pt>
                <c:pt idx="69">
                  <c:v>59</c:v>
                </c:pt>
                <c:pt idx="70">
                  <c:v>60</c:v>
                </c:pt>
                <c:pt idx="71">
                  <c:v>61</c:v>
                </c:pt>
                <c:pt idx="72">
                  <c:v>62</c:v>
                </c:pt>
                <c:pt idx="73">
                  <c:v>63</c:v>
                </c:pt>
                <c:pt idx="74">
                  <c:v>64</c:v>
                </c:pt>
                <c:pt idx="75">
                  <c:v>65</c:v>
                </c:pt>
                <c:pt idx="76">
                  <c:v>66</c:v>
                </c:pt>
                <c:pt idx="77">
                  <c:v>67</c:v>
                </c:pt>
                <c:pt idx="78">
                  <c:v>68</c:v>
                </c:pt>
                <c:pt idx="79">
                  <c:v>69</c:v>
                </c:pt>
                <c:pt idx="80">
                  <c:v>70</c:v>
                </c:pt>
                <c:pt idx="81">
                  <c:v>71</c:v>
                </c:pt>
                <c:pt idx="82">
                  <c:v>72</c:v>
                </c:pt>
                <c:pt idx="83">
                  <c:v>73</c:v>
                </c:pt>
                <c:pt idx="84">
                  <c:v>74</c:v>
                </c:pt>
              </c:numCache>
            </c:numRef>
          </c:cat>
          <c:val>
            <c:numRef>
              <c:f>'4.3.2 Data_Tidsseriefigurer'!$C$30:$CI$30</c:f>
              <c:numCache>
                <c:formatCode>General</c:formatCode>
                <c:ptCount val="85"/>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pt idx="43">
                  <c:v>#N/A</c:v>
                </c:pt>
                <c:pt idx="44">
                  <c:v>#N/A</c:v>
                </c:pt>
                <c:pt idx="45">
                  <c:v>#N/A</c:v>
                </c:pt>
                <c:pt idx="46">
                  <c:v>#N/A</c:v>
                </c:pt>
                <c:pt idx="47">
                  <c:v>#N/A</c:v>
                </c:pt>
                <c:pt idx="48">
                  <c:v>#N/A</c:v>
                </c:pt>
                <c:pt idx="49">
                  <c:v>#N/A</c:v>
                </c:pt>
                <c:pt idx="50">
                  <c:v>#N/A</c:v>
                </c:pt>
                <c:pt idx="51">
                  <c:v>#N/A</c:v>
                </c:pt>
                <c:pt idx="52">
                  <c:v>#N/A</c:v>
                </c:pt>
                <c:pt idx="53">
                  <c:v>#N/A</c:v>
                </c:pt>
                <c:pt idx="54">
                  <c:v>#N/A</c:v>
                </c:pt>
                <c:pt idx="55">
                  <c:v>#N/A</c:v>
                </c:pt>
                <c:pt idx="56">
                  <c:v>#N/A</c:v>
                </c:pt>
                <c:pt idx="57">
                  <c:v>#N/A</c:v>
                </c:pt>
                <c:pt idx="58">
                  <c:v>#N/A</c:v>
                </c:pt>
                <c:pt idx="59">
                  <c:v>#N/A</c:v>
                </c:pt>
                <c:pt idx="60">
                  <c:v>#N/A</c:v>
                </c:pt>
                <c:pt idx="61">
                  <c:v>#N/A</c:v>
                </c:pt>
                <c:pt idx="62">
                  <c:v>#N/A</c:v>
                </c:pt>
                <c:pt idx="63">
                  <c:v>#N/A</c:v>
                </c:pt>
                <c:pt idx="64">
                  <c:v>#N/A</c:v>
                </c:pt>
                <c:pt idx="65">
                  <c:v>#N/A</c:v>
                </c:pt>
                <c:pt idx="66">
                  <c:v>#N/A</c:v>
                </c:pt>
                <c:pt idx="67">
                  <c:v>#N/A</c:v>
                </c:pt>
                <c:pt idx="68">
                  <c:v>#N/A</c:v>
                </c:pt>
                <c:pt idx="69">
                  <c:v>#N/A</c:v>
                </c:pt>
                <c:pt idx="70">
                  <c:v>#N/A</c:v>
                </c:pt>
                <c:pt idx="71">
                  <c:v>#N/A</c:v>
                </c:pt>
                <c:pt idx="72">
                  <c:v>#N/A</c:v>
                </c:pt>
                <c:pt idx="73">
                  <c:v>#N/A</c:v>
                </c:pt>
                <c:pt idx="74">
                  <c:v>#N/A</c:v>
                </c:pt>
                <c:pt idx="75">
                  <c:v>#N/A</c:v>
                </c:pt>
                <c:pt idx="76">
                  <c:v>#N/A</c:v>
                </c:pt>
                <c:pt idx="77">
                  <c:v>#N/A</c:v>
                </c:pt>
                <c:pt idx="78">
                  <c:v>#N/A</c:v>
                </c:pt>
                <c:pt idx="79">
                  <c:v>#N/A</c:v>
                </c:pt>
                <c:pt idx="80">
                  <c:v>#N/A</c:v>
                </c:pt>
                <c:pt idx="81">
                  <c:v>#N/A</c:v>
                </c:pt>
                <c:pt idx="82">
                  <c:v>#N/A</c:v>
                </c:pt>
                <c:pt idx="83">
                  <c:v>#N/A</c:v>
                </c:pt>
                <c:pt idx="84">
                  <c:v>#N/A</c:v>
                </c:pt>
              </c:numCache>
            </c:numRef>
          </c:val>
          <c:smooth val="0"/>
          <c:extLst>
            <c:ext xmlns:c16="http://schemas.microsoft.com/office/drawing/2014/chart" uri="{C3380CC4-5D6E-409C-BE32-E72D297353CC}">
              <c16:uniqueId val="{00000004-CEAF-4128-8AAA-112C0BD2A7D6}"/>
            </c:ext>
          </c:extLst>
        </c:ser>
        <c:ser>
          <c:idx val="3"/>
          <c:order val="3"/>
          <c:tx>
            <c:strRef>
              <c:f>'4.3.2 Data_Tidsseriefigurer'!$B$31</c:f>
              <c:strCache>
                <c:ptCount val="1"/>
                <c:pt idx="0">
                  <c:v>Buss</c:v>
                </c:pt>
              </c:strCache>
            </c:strRef>
          </c:tx>
          <c:spPr>
            <a:ln w="28575" cap="rnd">
              <a:solidFill>
                <a:schemeClr val="accent4"/>
              </a:solidFill>
              <a:round/>
            </a:ln>
            <a:effectLst/>
          </c:spPr>
          <c:marker>
            <c:symbol val="none"/>
          </c:marker>
          <c:cat>
            <c:numRef>
              <c:f>'4.3.2 Data_Tidsseriefigurer'!$C$27:$CI$27</c:f>
              <c:numCache>
                <c:formatCode>General</c:formatCode>
                <c:ptCount val="85"/>
                <c:pt idx="0">
                  <c:v>-10</c:v>
                </c:pt>
                <c:pt idx="1">
                  <c:v>-9</c:v>
                </c:pt>
                <c:pt idx="2">
                  <c:v>-8</c:v>
                </c:pt>
                <c:pt idx="3">
                  <c:v>-7</c:v>
                </c:pt>
                <c:pt idx="4">
                  <c:v>-6</c:v>
                </c:pt>
                <c:pt idx="5">
                  <c:v>-5</c:v>
                </c:pt>
                <c:pt idx="6">
                  <c:v>-4</c:v>
                </c:pt>
                <c:pt idx="7">
                  <c:v>-3</c:v>
                </c:pt>
                <c:pt idx="8">
                  <c:v>-2</c:v>
                </c:pt>
                <c:pt idx="9">
                  <c:v>-1</c:v>
                </c:pt>
                <c:pt idx="10">
                  <c:v>0</c:v>
                </c:pt>
                <c:pt idx="11">
                  <c:v>1</c:v>
                </c:pt>
                <c:pt idx="12">
                  <c:v>2</c:v>
                </c:pt>
                <c:pt idx="13">
                  <c:v>3</c:v>
                </c:pt>
                <c:pt idx="14">
                  <c:v>4</c:v>
                </c:pt>
                <c:pt idx="15">
                  <c:v>5</c:v>
                </c:pt>
                <c:pt idx="16">
                  <c:v>6</c:v>
                </c:pt>
                <c:pt idx="17">
                  <c:v>7</c:v>
                </c:pt>
                <c:pt idx="18">
                  <c:v>8</c:v>
                </c:pt>
                <c:pt idx="19">
                  <c:v>9</c:v>
                </c:pt>
                <c:pt idx="20">
                  <c:v>10</c:v>
                </c:pt>
                <c:pt idx="21">
                  <c:v>11</c:v>
                </c:pt>
                <c:pt idx="22">
                  <c:v>12</c:v>
                </c:pt>
                <c:pt idx="23">
                  <c:v>13</c:v>
                </c:pt>
                <c:pt idx="24">
                  <c:v>14</c:v>
                </c:pt>
                <c:pt idx="25">
                  <c:v>15</c:v>
                </c:pt>
                <c:pt idx="26">
                  <c:v>16</c:v>
                </c:pt>
                <c:pt idx="27">
                  <c:v>17</c:v>
                </c:pt>
                <c:pt idx="28">
                  <c:v>18</c:v>
                </c:pt>
                <c:pt idx="29">
                  <c:v>19</c:v>
                </c:pt>
                <c:pt idx="30">
                  <c:v>20</c:v>
                </c:pt>
                <c:pt idx="31">
                  <c:v>21</c:v>
                </c:pt>
                <c:pt idx="32">
                  <c:v>22</c:v>
                </c:pt>
                <c:pt idx="33">
                  <c:v>23</c:v>
                </c:pt>
                <c:pt idx="34">
                  <c:v>24</c:v>
                </c:pt>
                <c:pt idx="35">
                  <c:v>25</c:v>
                </c:pt>
                <c:pt idx="36">
                  <c:v>26</c:v>
                </c:pt>
                <c:pt idx="37">
                  <c:v>27</c:v>
                </c:pt>
                <c:pt idx="38">
                  <c:v>28</c:v>
                </c:pt>
                <c:pt idx="39">
                  <c:v>29</c:v>
                </c:pt>
                <c:pt idx="40">
                  <c:v>30</c:v>
                </c:pt>
                <c:pt idx="41">
                  <c:v>31</c:v>
                </c:pt>
                <c:pt idx="42">
                  <c:v>32</c:v>
                </c:pt>
                <c:pt idx="43">
                  <c:v>33</c:v>
                </c:pt>
                <c:pt idx="44">
                  <c:v>34</c:v>
                </c:pt>
                <c:pt idx="45">
                  <c:v>35</c:v>
                </c:pt>
                <c:pt idx="46">
                  <c:v>36</c:v>
                </c:pt>
                <c:pt idx="47">
                  <c:v>37</c:v>
                </c:pt>
                <c:pt idx="48">
                  <c:v>38</c:v>
                </c:pt>
                <c:pt idx="49">
                  <c:v>39</c:v>
                </c:pt>
                <c:pt idx="50">
                  <c:v>40</c:v>
                </c:pt>
                <c:pt idx="51">
                  <c:v>41</c:v>
                </c:pt>
                <c:pt idx="52">
                  <c:v>42</c:v>
                </c:pt>
                <c:pt idx="53">
                  <c:v>43</c:v>
                </c:pt>
                <c:pt idx="54">
                  <c:v>44</c:v>
                </c:pt>
                <c:pt idx="55">
                  <c:v>45</c:v>
                </c:pt>
                <c:pt idx="56">
                  <c:v>46</c:v>
                </c:pt>
                <c:pt idx="57">
                  <c:v>47</c:v>
                </c:pt>
                <c:pt idx="58">
                  <c:v>48</c:v>
                </c:pt>
                <c:pt idx="59">
                  <c:v>49</c:v>
                </c:pt>
                <c:pt idx="60">
                  <c:v>50</c:v>
                </c:pt>
                <c:pt idx="61">
                  <c:v>51</c:v>
                </c:pt>
                <c:pt idx="62">
                  <c:v>52</c:v>
                </c:pt>
                <c:pt idx="63">
                  <c:v>53</c:v>
                </c:pt>
                <c:pt idx="64">
                  <c:v>54</c:v>
                </c:pt>
                <c:pt idx="65">
                  <c:v>55</c:v>
                </c:pt>
                <c:pt idx="66">
                  <c:v>56</c:v>
                </c:pt>
                <c:pt idx="67">
                  <c:v>57</c:v>
                </c:pt>
                <c:pt idx="68">
                  <c:v>58</c:v>
                </c:pt>
                <c:pt idx="69">
                  <c:v>59</c:v>
                </c:pt>
                <c:pt idx="70">
                  <c:v>60</c:v>
                </c:pt>
                <c:pt idx="71">
                  <c:v>61</c:v>
                </c:pt>
                <c:pt idx="72">
                  <c:v>62</c:v>
                </c:pt>
                <c:pt idx="73">
                  <c:v>63</c:v>
                </c:pt>
                <c:pt idx="74">
                  <c:v>64</c:v>
                </c:pt>
                <c:pt idx="75">
                  <c:v>65</c:v>
                </c:pt>
                <c:pt idx="76">
                  <c:v>66</c:v>
                </c:pt>
                <c:pt idx="77">
                  <c:v>67</c:v>
                </c:pt>
                <c:pt idx="78">
                  <c:v>68</c:v>
                </c:pt>
                <c:pt idx="79">
                  <c:v>69</c:v>
                </c:pt>
                <c:pt idx="80">
                  <c:v>70</c:v>
                </c:pt>
                <c:pt idx="81">
                  <c:v>71</c:v>
                </c:pt>
                <c:pt idx="82">
                  <c:v>72</c:v>
                </c:pt>
                <c:pt idx="83">
                  <c:v>73</c:v>
                </c:pt>
                <c:pt idx="84">
                  <c:v>74</c:v>
                </c:pt>
              </c:numCache>
            </c:numRef>
          </c:cat>
          <c:val>
            <c:numRef>
              <c:f>'4.3.2 Data_Tidsseriefigurer'!$C$31:$CI$31</c:f>
              <c:numCache>
                <c:formatCode>General</c:formatCode>
                <c:ptCount val="85"/>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pt idx="43">
                  <c:v>#N/A</c:v>
                </c:pt>
                <c:pt idx="44">
                  <c:v>#N/A</c:v>
                </c:pt>
                <c:pt idx="45">
                  <c:v>#N/A</c:v>
                </c:pt>
                <c:pt idx="46">
                  <c:v>#N/A</c:v>
                </c:pt>
                <c:pt idx="47">
                  <c:v>#N/A</c:v>
                </c:pt>
                <c:pt idx="48">
                  <c:v>#N/A</c:v>
                </c:pt>
                <c:pt idx="49">
                  <c:v>#N/A</c:v>
                </c:pt>
                <c:pt idx="50">
                  <c:v>#N/A</c:v>
                </c:pt>
                <c:pt idx="51">
                  <c:v>#N/A</c:v>
                </c:pt>
                <c:pt idx="52">
                  <c:v>#N/A</c:v>
                </c:pt>
                <c:pt idx="53">
                  <c:v>#N/A</c:v>
                </c:pt>
                <c:pt idx="54">
                  <c:v>#N/A</c:v>
                </c:pt>
                <c:pt idx="55">
                  <c:v>#N/A</c:v>
                </c:pt>
                <c:pt idx="56">
                  <c:v>#N/A</c:v>
                </c:pt>
                <c:pt idx="57">
                  <c:v>#N/A</c:v>
                </c:pt>
                <c:pt idx="58">
                  <c:v>#N/A</c:v>
                </c:pt>
                <c:pt idx="59">
                  <c:v>#N/A</c:v>
                </c:pt>
                <c:pt idx="60">
                  <c:v>#N/A</c:v>
                </c:pt>
                <c:pt idx="61">
                  <c:v>#N/A</c:v>
                </c:pt>
                <c:pt idx="62">
                  <c:v>#N/A</c:v>
                </c:pt>
                <c:pt idx="63">
                  <c:v>#N/A</c:v>
                </c:pt>
                <c:pt idx="64">
                  <c:v>#N/A</c:v>
                </c:pt>
                <c:pt idx="65">
                  <c:v>#N/A</c:v>
                </c:pt>
                <c:pt idx="66">
                  <c:v>#N/A</c:v>
                </c:pt>
                <c:pt idx="67">
                  <c:v>#N/A</c:v>
                </c:pt>
                <c:pt idx="68">
                  <c:v>#N/A</c:v>
                </c:pt>
                <c:pt idx="69">
                  <c:v>#N/A</c:v>
                </c:pt>
                <c:pt idx="70">
                  <c:v>#N/A</c:v>
                </c:pt>
                <c:pt idx="71">
                  <c:v>#N/A</c:v>
                </c:pt>
                <c:pt idx="72">
                  <c:v>#N/A</c:v>
                </c:pt>
                <c:pt idx="73">
                  <c:v>#N/A</c:v>
                </c:pt>
                <c:pt idx="74">
                  <c:v>#N/A</c:v>
                </c:pt>
                <c:pt idx="75">
                  <c:v>#N/A</c:v>
                </c:pt>
                <c:pt idx="76">
                  <c:v>#N/A</c:v>
                </c:pt>
                <c:pt idx="77">
                  <c:v>#N/A</c:v>
                </c:pt>
                <c:pt idx="78">
                  <c:v>#N/A</c:v>
                </c:pt>
                <c:pt idx="79">
                  <c:v>#N/A</c:v>
                </c:pt>
                <c:pt idx="80">
                  <c:v>#N/A</c:v>
                </c:pt>
                <c:pt idx="81">
                  <c:v>#N/A</c:v>
                </c:pt>
                <c:pt idx="82">
                  <c:v>#N/A</c:v>
                </c:pt>
                <c:pt idx="83">
                  <c:v>#N/A</c:v>
                </c:pt>
                <c:pt idx="84">
                  <c:v>#N/A</c:v>
                </c:pt>
              </c:numCache>
            </c:numRef>
          </c:val>
          <c:smooth val="0"/>
          <c:extLst>
            <c:ext xmlns:c16="http://schemas.microsoft.com/office/drawing/2014/chart" uri="{C3380CC4-5D6E-409C-BE32-E72D297353CC}">
              <c16:uniqueId val="{00000005-CEAF-4128-8AAA-112C0BD2A7D6}"/>
            </c:ext>
          </c:extLst>
        </c:ser>
        <c:ser>
          <c:idx val="4"/>
          <c:order val="4"/>
          <c:tx>
            <c:strRef>
              <c:f>'4.3.2 Data_Tidsseriefigurer'!$B$32</c:f>
              <c:strCache>
                <c:ptCount val="1"/>
                <c:pt idx="0">
                  <c:v>Passasjerfly</c:v>
                </c:pt>
              </c:strCache>
            </c:strRef>
          </c:tx>
          <c:spPr>
            <a:ln w="28575" cap="rnd">
              <a:solidFill>
                <a:schemeClr val="accent5"/>
              </a:solidFill>
              <a:round/>
            </a:ln>
            <a:effectLst/>
          </c:spPr>
          <c:marker>
            <c:symbol val="none"/>
          </c:marker>
          <c:cat>
            <c:numRef>
              <c:f>'4.3.2 Data_Tidsseriefigurer'!$C$27:$CI$27</c:f>
              <c:numCache>
                <c:formatCode>General</c:formatCode>
                <c:ptCount val="85"/>
                <c:pt idx="0">
                  <c:v>-10</c:v>
                </c:pt>
                <c:pt idx="1">
                  <c:v>-9</c:v>
                </c:pt>
                <c:pt idx="2">
                  <c:v>-8</c:v>
                </c:pt>
                <c:pt idx="3">
                  <c:v>-7</c:v>
                </c:pt>
                <c:pt idx="4">
                  <c:v>-6</c:v>
                </c:pt>
                <c:pt idx="5">
                  <c:v>-5</c:v>
                </c:pt>
                <c:pt idx="6">
                  <c:v>-4</c:v>
                </c:pt>
                <c:pt idx="7">
                  <c:v>-3</c:v>
                </c:pt>
                <c:pt idx="8">
                  <c:v>-2</c:v>
                </c:pt>
                <c:pt idx="9">
                  <c:v>-1</c:v>
                </c:pt>
                <c:pt idx="10">
                  <c:v>0</c:v>
                </c:pt>
                <c:pt idx="11">
                  <c:v>1</c:v>
                </c:pt>
                <c:pt idx="12">
                  <c:v>2</c:v>
                </c:pt>
                <c:pt idx="13">
                  <c:v>3</c:v>
                </c:pt>
                <c:pt idx="14">
                  <c:v>4</c:v>
                </c:pt>
                <c:pt idx="15">
                  <c:v>5</c:v>
                </c:pt>
                <c:pt idx="16">
                  <c:v>6</c:v>
                </c:pt>
                <c:pt idx="17">
                  <c:v>7</c:v>
                </c:pt>
                <c:pt idx="18">
                  <c:v>8</c:v>
                </c:pt>
                <c:pt idx="19">
                  <c:v>9</c:v>
                </c:pt>
                <c:pt idx="20">
                  <c:v>10</c:v>
                </c:pt>
                <c:pt idx="21">
                  <c:v>11</c:v>
                </c:pt>
                <c:pt idx="22">
                  <c:v>12</c:v>
                </c:pt>
                <c:pt idx="23">
                  <c:v>13</c:v>
                </c:pt>
                <c:pt idx="24">
                  <c:v>14</c:v>
                </c:pt>
                <c:pt idx="25">
                  <c:v>15</c:v>
                </c:pt>
                <c:pt idx="26">
                  <c:v>16</c:v>
                </c:pt>
                <c:pt idx="27">
                  <c:v>17</c:v>
                </c:pt>
                <c:pt idx="28">
                  <c:v>18</c:v>
                </c:pt>
                <c:pt idx="29">
                  <c:v>19</c:v>
                </c:pt>
                <c:pt idx="30">
                  <c:v>20</c:v>
                </c:pt>
                <c:pt idx="31">
                  <c:v>21</c:v>
                </c:pt>
                <c:pt idx="32">
                  <c:v>22</c:v>
                </c:pt>
                <c:pt idx="33">
                  <c:v>23</c:v>
                </c:pt>
                <c:pt idx="34">
                  <c:v>24</c:v>
                </c:pt>
                <c:pt idx="35">
                  <c:v>25</c:v>
                </c:pt>
                <c:pt idx="36">
                  <c:v>26</c:v>
                </c:pt>
                <c:pt idx="37">
                  <c:v>27</c:v>
                </c:pt>
                <c:pt idx="38">
                  <c:v>28</c:v>
                </c:pt>
                <c:pt idx="39">
                  <c:v>29</c:v>
                </c:pt>
                <c:pt idx="40">
                  <c:v>30</c:v>
                </c:pt>
                <c:pt idx="41">
                  <c:v>31</c:v>
                </c:pt>
                <c:pt idx="42">
                  <c:v>32</c:v>
                </c:pt>
                <c:pt idx="43">
                  <c:v>33</c:v>
                </c:pt>
                <c:pt idx="44">
                  <c:v>34</c:v>
                </c:pt>
                <c:pt idx="45">
                  <c:v>35</c:v>
                </c:pt>
                <c:pt idx="46">
                  <c:v>36</c:v>
                </c:pt>
                <c:pt idx="47">
                  <c:v>37</c:v>
                </c:pt>
                <c:pt idx="48">
                  <c:v>38</c:v>
                </c:pt>
                <c:pt idx="49">
                  <c:v>39</c:v>
                </c:pt>
                <c:pt idx="50">
                  <c:v>40</c:v>
                </c:pt>
                <c:pt idx="51">
                  <c:v>41</c:v>
                </c:pt>
                <c:pt idx="52">
                  <c:v>42</c:v>
                </c:pt>
                <c:pt idx="53">
                  <c:v>43</c:v>
                </c:pt>
                <c:pt idx="54">
                  <c:v>44</c:v>
                </c:pt>
                <c:pt idx="55">
                  <c:v>45</c:v>
                </c:pt>
                <c:pt idx="56">
                  <c:v>46</c:v>
                </c:pt>
                <c:pt idx="57">
                  <c:v>47</c:v>
                </c:pt>
                <c:pt idx="58">
                  <c:v>48</c:v>
                </c:pt>
                <c:pt idx="59">
                  <c:v>49</c:v>
                </c:pt>
                <c:pt idx="60">
                  <c:v>50</c:v>
                </c:pt>
                <c:pt idx="61">
                  <c:v>51</c:v>
                </c:pt>
                <c:pt idx="62">
                  <c:v>52</c:v>
                </c:pt>
                <c:pt idx="63">
                  <c:v>53</c:v>
                </c:pt>
                <c:pt idx="64">
                  <c:v>54</c:v>
                </c:pt>
                <c:pt idx="65">
                  <c:v>55</c:v>
                </c:pt>
                <c:pt idx="66">
                  <c:v>56</c:v>
                </c:pt>
                <c:pt idx="67">
                  <c:v>57</c:v>
                </c:pt>
                <c:pt idx="68">
                  <c:v>58</c:v>
                </c:pt>
                <c:pt idx="69">
                  <c:v>59</c:v>
                </c:pt>
                <c:pt idx="70">
                  <c:v>60</c:v>
                </c:pt>
                <c:pt idx="71">
                  <c:v>61</c:v>
                </c:pt>
                <c:pt idx="72">
                  <c:v>62</c:v>
                </c:pt>
                <c:pt idx="73">
                  <c:v>63</c:v>
                </c:pt>
                <c:pt idx="74">
                  <c:v>64</c:v>
                </c:pt>
                <c:pt idx="75">
                  <c:v>65</c:v>
                </c:pt>
                <c:pt idx="76">
                  <c:v>66</c:v>
                </c:pt>
                <c:pt idx="77">
                  <c:v>67</c:v>
                </c:pt>
                <c:pt idx="78">
                  <c:v>68</c:v>
                </c:pt>
                <c:pt idx="79">
                  <c:v>69</c:v>
                </c:pt>
                <c:pt idx="80">
                  <c:v>70</c:v>
                </c:pt>
                <c:pt idx="81">
                  <c:v>71</c:v>
                </c:pt>
                <c:pt idx="82">
                  <c:v>72</c:v>
                </c:pt>
                <c:pt idx="83">
                  <c:v>73</c:v>
                </c:pt>
                <c:pt idx="84">
                  <c:v>74</c:v>
                </c:pt>
              </c:numCache>
            </c:numRef>
          </c:cat>
          <c:val>
            <c:numRef>
              <c:f>'4.3.2 Data_Tidsseriefigurer'!$C$32:$CI$32</c:f>
              <c:numCache>
                <c:formatCode>General</c:formatCode>
                <c:ptCount val="85"/>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pt idx="43">
                  <c:v>#N/A</c:v>
                </c:pt>
                <c:pt idx="44">
                  <c:v>#N/A</c:v>
                </c:pt>
                <c:pt idx="45">
                  <c:v>#N/A</c:v>
                </c:pt>
                <c:pt idx="46">
                  <c:v>#N/A</c:v>
                </c:pt>
                <c:pt idx="47">
                  <c:v>#N/A</c:v>
                </c:pt>
                <c:pt idx="48">
                  <c:v>#N/A</c:v>
                </c:pt>
                <c:pt idx="49">
                  <c:v>#N/A</c:v>
                </c:pt>
                <c:pt idx="50">
                  <c:v>#N/A</c:v>
                </c:pt>
                <c:pt idx="51">
                  <c:v>#N/A</c:v>
                </c:pt>
                <c:pt idx="52">
                  <c:v>#N/A</c:v>
                </c:pt>
                <c:pt idx="53">
                  <c:v>#N/A</c:v>
                </c:pt>
                <c:pt idx="54">
                  <c:v>#N/A</c:v>
                </c:pt>
                <c:pt idx="55">
                  <c:v>#N/A</c:v>
                </c:pt>
                <c:pt idx="56">
                  <c:v>#N/A</c:v>
                </c:pt>
                <c:pt idx="57">
                  <c:v>#N/A</c:v>
                </c:pt>
                <c:pt idx="58">
                  <c:v>#N/A</c:v>
                </c:pt>
                <c:pt idx="59">
                  <c:v>#N/A</c:v>
                </c:pt>
                <c:pt idx="60">
                  <c:v>#N/A</c:v>
                </c:pt>
                <c:pt idx="61">
                  <c:v>#N/A</c:v>
                </c:pt>
                <c:pt idx="62">
                  <c:v>#N/A</c:v>
                </c:pt>
                <c:pt idx="63">
                  <c:v>#N/A</c:v>
                </c:pt>
                <c:pt idx="64">
                  <c:v>#N/A</c:v>
                </c:pt>
                <c:pt idx="65">
                  <c:v>#N/A</c:v>
                </c:pt>
                <c:pt idx="66">
                  <c:v>#N/A</c:v>
                </c:pt>
                <c:pt idx="67">
                  <c:v>#N/A</c:v>
                </c:pt>
                <c:pt idx="68">
                  <c:v>#N/A</c:v>
                </c:pt>
                <c:pt idx="69">
                  <c:v>#N/A</c:v>
                </c:pt>
                <c:pt idx="70">
                  <c:v>#N/A</c:v>
                </c:pt>
                <c:pt idx="71">
                  <c:v>#N/A</c:v>
                </c:pt>
                <c:pt idx="72">
                  <c:v>#N/A</c:v>
                </c:pt>
                <c:pt idx="73">
                  <c:v>#N/A</c:v>
                </c:pt>
                <c:pt idx="74">
                  <c:v>#N/A</c:v>
                </c:pt>
                <c:pt idx="75">
                  <c:v>#N/A</c:v>
                </c:pt>
                <c:pt idx="76">
                  <c:v>#N/A</c:v>
                </c:pt>
                <c:pt idx="77">
                  <c:v>#N/A</c:v>
                </c:pt>
                <c:pt idx="78">
                  <c:v>#N/A</c:v>
                </c:pt>
                <c:pt idx="79">
                  <c:v>#N/A</c:v>
                </c:pt>
                <c:pt idx="80">
                  <c:v>#N/A</c:v>
                </c:pt>
                <c:pt idx="81">
                  <c:v>#N/A</c:v>
                </c:pt>
                <c:pt idx="82">
                  <c:v>#N/A</c:v>
                </c:pt>
                <c:pt idx="83">
                  <c:v>#N/A</c:v>
                </c:pt>
                <c:pt idx="84">
                  <c:v>#N/A</c:v>
                </c:pt>
              </c:numCache>
            </c:numRef>
          </c:val>
          <c:smooth val="0"/>
          <c:extLst>
            <c:ext xmlns:c16="http://schemas.microsoft.com/office/drawing/2014/chart" uri="{C3380CC4-5D6E-409C-BE32-E72D297353CC}">
              <c16:uniqueId val="{00000006-CEAF-4128-8AAA-112C0BD2A7D6}"/>
            </c:ext>
          </c:extLst>
        </c:ser>
        <c:ser>
          <c:idx val="5"/>
          <c:order val="5"/>
          <c:tx>
            <c:strRef>
              <c:f>'4.3.2 Data_Tidsseriefigurer'!$B$33</c:f>
              <c:strCache>
                <c:ptCount val="1"/>
                <c:pt idx="0">
                  <c:v>Lastebil</c:v>
                </c:pt>
              </c:strCache>
            </c:strRef>
          </c:tx>
          <c:spPr>
            <a:ln w="28575" cap="rnd">
              <a:solidFill>
                <a:schemeClr val="accent6"/>
              </a:solidFill>
              <a:round/>
            </a:ln>
            <a:effectLst/>
          </c:spPr>
          <c:marker>
            <c:symbol val="none"/>
          </c:marker>
          <c:cat>
            <c:numRef>
              <c:f>'4.3.2 Data_Tidsseriefigurer'!$C$27:$CI$27</c:f>
              <c:numCache>
                <c:formatCode>General</c:formatCode>
                <c:ptCount val="85"/>
                <c:pt idx="0">
                  <c:v>-10</c:v>
                </c:pt>
                <c:pt idx="1">
                  <c:v>-9</c:v>
                </c:pt>
                <c:pt idx="2">
                  <c:v>-8</c:v>
                </c:pt>
                <c:pt idx="3">
                  <c:v>-7</c:v>
                </c:pt>
                <c:pt idx="4">
                  <c:v>-6</c:v>
                </c:pt>
                <c:pt idx="5">
                  <c:v>-5</c:v>
                </c:pt>
                <c:pt idx="6">
                  <c:v>-4</c:v>
                </c:pt>
                <c:pt idx="7">
                  <c:v>-3</c:v>
                </c:pt>
                <c:pt idx="8">
                  <c:v>-2</c:v>
                </c:pt>
                <c:pt idx="9">
                  <c:v>-1</c:v>
                </c:pt>
                <c:pt idx="10">
                  <c:v>0</c:v>
                </c:pt>
                <c:pt idx="11">
                  <c:v>1</c:v>
                </c:pt>
                <c:pt idx="12">
                  <c:v>2</c:v>
                </c:pt>
                <c:pt idx="13">
                  <c:v>3</c:v>
                </c:pt>
                <c:pt idx="14">
                  <c:v>4</c:v>
                </c:pt>
                <c:pt idx="15">
                  <c:v>5</c:v>
                </c:pt>
                <c:pt idx="16">
                  <c:v>6</c:v>
                </c:pt>
                <c:pt idx="17">
                  <c:v>7</c:v>
                </c:pt>
                <c:pt idx="18">
                  <c:v>8</c:v>
                </c:pt>
                <c:pt idx="19">
                  <c:v>9</c:v>
                </c:pt>
                <c:pt idx="20">
                  <c:v>10</c:v>
                </c:pt>
                <c:pt idx="21">
                  <c:v>11</c:v>
                </c:pt>
                <c:pt idx="22">
                  <c:v>12</c:v>
                </c:pt>
                <c:pt idx="23">
                  <c:v>13</c:v>
                </c:pt>
                <c:pt idx="24">
                  <c:v>14</c:v>
                </c:pt>
                <c:pt idx="25">
                  <c:v>15</c:v>
                </c:pt>
                <c:pt idx="26">
                  <c:v>16</c:v>
                </c:pt>
                <c:pt idx="27">
                  <c:v>17</c:v>
                </c:pt>
                <c:pt idx="28">
                  <c:v>18</c:v>
                </c:pt>
                <c:pt idx="29">
                  <c:v>19</c:v>
                </c:pt>
                <c:pt idx="30">
                  <c:v>20</c:v>
                </c:pt>
                <c:pt idx="31">
                  <c:v>21</c:v>
                </c:pt>
                <c:pt idx="32">
                  <c:v>22</c:v>
                </c:pt>
                <c:pt idx="33">
                  <c:v>23</c:v>
                </c:pt>
                <c:pt idx="34">
                  <c:v>24</c:v>
                </c:pt>
                <c:pt idx="35">
                  <c:v>25</c:v>
                </c:pt>
                <c:pt idx="36">
                  <c:v>26</c:v>
                </c:pt>
                <c:pt idx="37">
                  <c:v>27</c:v>
                </c:pt>
                <c:pt idx="38">
                  <c:v>28</c:v>
                </c:pt>
                <c:pt idx="39">
                  <c:v>29</c:v>
                </c:pt>
                <c:pt idx="40">
                  <c:v>30</c:v>
                </c:pt>
                <c:pt idx="41">
                  <c:v>31</c:v>
                </c:pt>
                <c:pt idx="42">
                  <c:v>32</c:v>
                </c:pt>
                <c:pt idx="43">
                  <c:v>33</c:v>
                </c:pt>
                <c:pt idx="44">
                  <c:v>34</c:v>
                </c:pt>
                <c:pt idx="45">
                  <c:v>35</c:v>
                </c:pt>
                <c:pt idx="46">
                  <c:v>36</c:v>
                </c:pt>
                <c:pt idx="47">
                  <c:v>37</c:v>
                </c:pt>
                <c:pt idx="48">
                  <c:v>38</c:v>
                </c:pt>
                <c:pt idx="49">
                  <c:v>39</c:v>
                </c:pt>
                <c:pt idx="50">
                  <c:v>40</c:v>
                </c:pt>
                <c:pt idx="51">
                  <c:v>41</c:v>
                </c:pt>
                <c:pt idx="52">
                  <c:v>42</c:v>
                </c:pt>
                <c:pt idx="53">
                  <c:v>43</c:v>
                </c:pt>
                <c:pt idx="54">
                  <c:v>44</c:v>
                </c:pt>
                <c:pt idx="55">
                  <c:v>45</c:v>
                </c:pt>
                <c:pt idx="56">
                  <c:v>46</c:v>
                </c:pt>
                <c:pt idx="57">
                  <c:v>47</c:v>
                </c:pt>
                <c:pt idx="58">
                  <c:v>48</c:v>
                </c:pt>
                <c:pt idx="59">
                  <c:v>49</c:v>
                </c:pt>
                <c:pt idx="60">
                  <c:v>50</c:v>
                </c:pt>
                <c:pt idx="61">
                  <c:v>51</c:v>
                </c:pt>
                <c:pt idx="62">
                  <c:v>52</c:v>
                </c:pt>
                <c:pt idx="63">
                  <c:v>53</c:v>
                </c:pt>
                <c:pt idx="64">
                  <c:v>54</c:v>
                </c:pt>
                <c:pt idx="65">
                  <c:v>55</c:v>
                </c:pt>
                <c:pt idx="66">
                  <c:v>56</c:v>
                </c:pt>
                <c:pt idx="67">
                  <c:v>57</c:v>
                </c:pt>
                <c:pt idx="68">
                  <c:v>58</c:v>
                </c:pt>
                <c:pt idx="69">
                  <c:v>59</c:v>
                </c:pt>
                <c:pt idx="70">
                  <c:v>60</c:v>
                </c:pt>
                <c:pt idx="71">
                  <c:v>61</c:v>
                </c:pt>
                <c:pt idx="72">
                  <c:v>62</c:v>
                </c:pt>
                <c:pt idx="73">
                  <c:v>63</c:v>
                </c:pt>
                <c:pt idx="74">
                  <c:v>64</c:v>
                </c:pt>
                <c:pt idx="75">
                  <c:v>65</c:v>
                </c:pt>
                <c:pt idx="76">
                  <c:v>66</c:v>
                </c:pt>
                <c:pt idx="77">
                  <c:v>67</c:v>
                </c:pt>
                <c:pt idx="78">
                  <c:v>68</c:v>
                </c:pt>
                <c:pt idx="79">
                  <c:v>69</c:v>
                </c:pt>
                <c:pt idx="80">
                  <c:v>70</c:v>
                </c:pt>
                <c:pt idx="81">
                  <c:v>71</c:v>
                </c:pt>
                <c:pt idx="82">
                  <c:v>72</c:v>
                </c:pt>
                <c:pt idx="83">
                  <c:v>73</c:v>
                </c:pt>
                <c:pt idx="84">
                  <c:v>74</c:v>
                </c:pt>
              </c:numCache>
            </c:numRef>
          </c:cat>
          <c:val>
            <c:numRef>
              <c:f>'4.3.2 Data_Tidsseriefigurer'!$C$33:$CI$33</c:f>
              <c:numCache>
                <c:formatCode>General</c:formatCode>
                <c:ptCount val="85"/>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pt idx="43">
                  <c:v>#N/A</c:v>
                </c:pt>
                <c:pt idx="44">
                  <c:v>#N/A</c:v>
                </c:pt>
                <c:pt idx="45">
                  <c:v>#N/A</c:v>
                </c:pt>
                <c:pt idx="46">
                  <c:v>#N/A</c:v>
                </c:pt>
                <c:pt idx="47">
                  <c:v>#N/A</c:v>
                </c:pt>
                <c:pt idx="48">
                  <c:v>#N/A</c:v>
                </c:pt>
                <c:pt idx="49">
                  <c:v>#N/A</c:v>
                </c:pt>
                <c:pt idx="50">
                  <c:v>#N/A</c:v>
                </c:pt>
                <c:pt idx="51">
                  <c:v>#N/A</c:v>
                </c:pt>
                <c:pt idx="52">
                  <c:v>#N/A</c:v>
                </c:pt>
                <c:pt idx="53">
                  <c:v>#N/A</c:v>
                </c:pt>
                <c:pt idx="54">
                  <c:v>#N/A</c:v>
                </c:pt>
                <c:pt idx="55">
                  <c:v>#N/A</c:v>
                </c:pt>
                <c:pt idx="56">
                  <c:v>#N/A</c:v>
                </c:pt>
                <c:pt idx="57">
                  <c:v>#N/A</c:v>
                </c:pt>
                <c:pt idx="58">
                  <c:v>#N/A</c:v>
                </c:pt>
                <c:pt idx="59">
                  <c:v>#N/A</c:v>
                </c:pt>
                <c:pt idx="60">
                  <c:v>#N/A</c:v>
                </c:pt>
                <c:pt idx="61">
                  <c:v>#N/A</c:v>
                </c:pt>
                <c:pt idx="62">
                  <c:v>#N/A</c:v>
                </c:pt>
                <c:pt idx="63">
                  <c:v>#N/A</c:v>
                </c:pt>
                <c:pt idx="64">
                  <c:v>#N/A</c:v>
                </c:pt>
                <c:pt idx="65">
                  <c:v>#N/A</c:v>
                </c:pt>
                <c:pt idx="66">
                  <c:v>#N/A</c:v>
                </c:pt>
                <c:pt idx="67">
                  <c:v>#N/A</c:v>
                </c:pt>
                <c:pt idx="68">
                  <c:v>#N/A</c:v>
                </c:pt>
                <c:pt idx="69">
                  <c:v>#N/A</c:v>
                </c:pt>
                <c:pt idx="70">
                  <c:v>#N/A</c:v>
                </c:pt>
                <c:pt idx="71">
                  <c:v>#N/A</c:v>
                </c:pt>
                <c:pt idx="72">
                  <c:v>#N/A</c:v>
                </c:pt>
                <c:pt idx="73">
                  <c:v>#N/A</c:v>
                </c:pt>
                <c:pt idx="74">
                  <c:v>#N/A</c:v>
                </c:pt>
                <c:pt idx="75">
                  <c:v>#N/A</c:v>
                </c:pt>
                <c:pt idx="76">
                  <c:v>#N/A</c:v>
                </c:pt>
                <c:pt idx="77">
                  <c:v>#N/A</c:v>
                </c:pt>
                <c:pt idx="78">
                  <c:v>#N/A</c:v>
                </c:pt>
                <c:pt idx="79">
                  <c:v>#N/A</c:v>
                </c:pt>
                <c:pt idx="80">
                  <c:v>#N/A</c:v>
                </c:pt>
                <c:pt idx="81">
                  <c:v>#N/A</c:v>
                </c:pt>
                <c:pt idx="82">
                  <c:v>#N/A</c:v>
                </c:pt>
                <c:pt idx="83">
                  <c:v>#N/A</c:v>
                </c:pt>
                <c:pt idx="84">
                  <c:v>#N/A</c:v>
                </c:pt>
              </c:numCache>
            </c:numRef>
          </c:val>
          <c:smooth val="0"/>
          <c:extLst>
            <c:ext xmlns:c16="http://schemas.microsoft.com/office/drawing/2014/chart" uri="{C3380CC4-5D6E-409C-BE32-E72D297353CC}">
              <c16:uniqueId val="{00000007-CEAF-4128-8AAA-112C0BD2A7D6}"/>
            </c:ext>
          </c:extLst>
        </c:ser>
        <c:ser>
          <c:idx val="9"/>
          <c:order val="6"/>
          <c:tx>
            <c:strRef>
              <c:f>'4.3.2 Data_Tidsseriefigurer'!$B$34</c:f>
              <c:strCache>
                <c:ptCount val="1"/>
                <c:pt idx="0">
                  <c:v>Lett Lastebil</c:v>
                </c:pt>
              </c:strCache>
            </c:strRef>
          </c:tx>
          <c:spPr>
            <a:ln w="28575" cap="rnd">
              <a:solidFill>
                <a:schemeClr val="accent4">
                  <a:lumMod val="60000"/>
                </a:schemeClr>
              </a:solidFill>
              <a:round/>
            </a:ln>
            <a:effectLst/>
          </c:spPr>
          <c:marker>
            <c:symbol val="none"/>
          </c:marker>
          <c:cat>
            <c:numRef>
              <c:f>'4.3.2 Data_Tidsseriefigurer'!$C$27:$CI$27</c:f>
              <c:numCache>
                <c:formatCode>General</c:formatCode>
                <c:ptCount val="85"/>
                <c:pt idx="0">
                  <c:v>-10</c:v>
                </c:pt>
                <c:pt idx="1">
                  <c:v>-9</c:v>
                </c:pt>
                <c:pt idx="2">
                  <c:v>-8</c:v>
                </c:pt>
                <c:pt idx="3">
                  <c:v>-7</c:v>
                </c:pt>
                <c:pt idx="4">
                  <c:v>-6</c:v>
                </c:pt>
                <c:pt idx="5">
                  <c:v>-5</c:v>
                </c:pt>
                <c:pt idx="6">
                  <c:v>-4</c:v>
                </c:pt>
                <c:pt idx="7">
                  <c:v>-3</c:v>
                </c:pt>
                <c:pt idx="8">
                  <c:v>-2</c:v>
                </c:pt>
                <c:pt idx="9">
                  <c:v>-1</c:v>
                </c:pt>
                <c:pt idx="10">
                  <c:v>0</c:v>
                </c:pt>
                <c:pt idx="11">
                  <c:v>1</c:v>
                </c:pt>
                <c:pt idx="12">
                  <c:v>2</c:v>
                </c:pt>
                <c:pt idx="13">
                  <c:v>3</c:v>
                </c:pt>
                <c:pt idx="14">
                  <c:v>4</c:v>
                </c:pt>
                <c:pt idx="15">
                  <c:v>5</c:v>
                </c:pt>
                <c:pt idx="16">
                  <c:v>6</c:v>
                </c:pt>
                <c:pt idx="17">
                  <c:v>7</c:v>
                </c:pt>
                <c:pt idx="18">
                  <c:v>8</c:v>
                </c:pt>
                <c:pt idx="19">
                  <c:v>9</c:v>
                </c:pt>
                <c:pt idx="20">
                  <c:v>10</c:v>
                </c:pt>
                <c:pt idx="21">
                  <c:v>11</c:v>
                </c:pt>
                <c:pt idx="22">
                  <c:v>12</c:v>
                </c:pt>
                <c:pt idx="23">
                  <c:v>13</c:v>
                </c:pt>
                <c:pt idx="24">
                  <c:v>14</c:v>
                </c:pt>
                <c:pt idx="25">
                  <c:v>15</c:v>
                </c:pt>
                <c:pt idx="26">
                  <c:v>16</c:v>
                </c:pt>
                <c:pt idx="27">
                  <c:v>17</c:v>
                </c:pt>
                <c:pt idx="28">
                  <c:v>18</c:v>
                </c:pt>
                <c:pt idx="29">
                  <c:v>19</c:v>
                </c:pt>
                <c:pt idx="30">
                  <c:v>20</c:v>
                </c:pt>
                <c:pt idx="31">
                  <c:v>21</c:v>
                </c:pt>
                <c:pt idx="32">
                  <c:v>22</c:v>
                </c:pt>
                <c:pt idx="33">
                  <c:v>23</c:v>
                </c:pt>
                <c:pt idx="34">
                  <c:v>24</c:v>
                </c:pt>
                <c:pt idx="35">
                  <c:v>25</c:v>
                </c:pt>
                <c:pt idx="36">
                  <c:v>26</c:v>
                </c:pt>
                <c:pt idx="37">
                  <c:v>27</c:v>
                </c:pt>
                <c:pt idx="38">
                  <c:v>28</c:v>
                </c:pt>
                <c:pt idx="39">
                  <c:v>29</c:v>
                </c:pt>
                <c:pt idx="40">
                  <c:v>30</c:v>
                </c:pt>
                <c:pt idx="41">
                  <c:v>31</c:v>
                </c:pt>
                <c:pt idx="42">
                  <c:v>32</c:v>
                </c:pt>
                <c:pt idx="43">
                  <c:v>33</c:v>
                </c:pt>
                <c:pt idx="44">
                  <c:v>34</c:v>
                </c:pt>
                <c:pt idx="45">
                  <c:v>35</c:v>
                </c:pt>
                <c:pt idx="46">
                  <c:v>36</c:v>
                </c:pt>
                <c:pt idx="47">
                  <c:v>37</c:v>
                </c:pt>
                <c:pt idx="48">
                  <c:v>38</c:v>
                </c:pt>
                <c:pt idx="49">
                  <c:v>39</c:v>
                </c:pt>
                <c:pt idx="50">
                  <c:v>40</c:v>
                </c:pt>
                <c:pt idx="51">
                  <c:v>41</c:v>
                </c:pt>
                <c:pt idx="52">
                  <c:v>42</c:v>
                </c:pt>
                <c:pt idx="53">
                  <c:v>43</c:v>
                </c:pt>
                <c:pt idx="54">
                  <c:v>44</c:v>
                </c:pt>
                <c:pt idx="55">
                  <c:v>45</c:v>
                </c:pt>
                <c:pt idx="56">
                  <c:v>46</c:v>
                </c:pt>
                <c:pt idx="57">
                  <c:v>47</c:v>
                </c:pt>
                <c:pt idx="58">
                  <c:v>48</c:v>
                </c:pt>
                <c:pt idx="59">
                  <c:v>49</c:v>
                </c:pt>
                <c:pt idx="60">
                  <c:v>50</c:v>
                </c:pt>
                <c:pt idx="61">
                  <c:v>51</c:v>
                </c:pt>
                <c:pt idx="62">
                  <c:v>52</c:v>
                </c:pt>
                <c:pt idx="63">
                  <c:v>53</c:v>
                </c:pt>
                <c:pt idx="64">
                  <c:v>54</c:v>
                </c:pt>
                <c:pt idx="65">
                  <c:v>55</c:v>
                </c:pt>
                <c:pt idx="66">
                  <c:v>56</c:v>
                </c:pt>
                <c:pt idx="67">
                  <c:v>57</c:v>
                </c:pt>
                <c:pt idx="68">
                  <c:v>58</c:v>
                </c:pt>
                <c:pt idx="69">
                  <c:v>59</c:v>
                </c:pt>
                <c:pt idx="70">
                  <c:v>60</c:v>
                </c:pt>
                <c:pt idx="71">
                  <c:v>61</c:v>
                </c:pt>
                <c:pt idx="72">
                  <c:v>62</c:v>
                </c:pt>
                <c:pt idx="73">
                  <c:v>63</c:v>
                </c:pt>
                <c:pt idx="74">
                  <c:v>64</c:v>
                </c:pt>
                <c:pt idx="75">
                  <c:v>65</c:v>
                </c:pt>
                <c:pt idx="76">
                  <c:v>66</c:v>
                </c:pt>
                <c:pt idx="77">
                  <c:v>67</c:v>
                </c:pt>
                <c:pt idx="78">
                  <c:v>68</c:v>
                </c:pt>
                <c:pt idx="79">
                  <c:v>69</c:v>
                </c:pt>
                <c:pt idx="80">
                  <c:v>70</c:v>
                </c:pt>
                <c:pt idx="81">
                  <c:v>71</c:v>
                </c:pt>
                <c:pt idx="82">
                  <c:v>72</c:v>
                </c:pt>
                <c:pt idx="83">
                  <c:v>73</c:v>
                </c:pt>
                <c:pt idx="84">
                  <c:v>74</c:v>
                </c:pt>
              </c:numCache>
            </c:numRef>
          </c:cat>
          <c:val>
            <c:numRef>
              <c:f>'4.3.2 Data_Tidsseriefigurer'!$C$34:$CI$34</c:f>
              <c:numCache>
                <c:formatCode>General</c:formatCode>
                <c:ptCount val="85"/>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pt idx="43">
                  <c:v>#N/A</c:v>
                </c:pt>
                <c:pt idx="44">
                  <c:v>#N/A</c:v>
                </c:pt>
                <c:pt idx="45">
                  <c:v>#N/A</c:v>
                </c:pt>
                <c:pt idx="46">
                  <c:v>#N/A</c:v>
                </c:pt>
                <c:pt idx="47">
                  <c:v>#N/A</c:v>
                </c:pt>
                <c:pt idx="48">
                  <c:v>#N/A</c:v>
                </c:pt>
                <c:pt idx="49">
                  <c:v>#N/A</c:v>
                </c:pt>
                <c:pt idx="50">
                  <c:v>#N/A</c:v>
                </c:pt>
                <c:pt idx="51">
                  <c:v>#N/A</c:v>
                </c:pt>
                <c:pt idx="52">
                  <c:v>#N/A</c:v>
                </c:pt>
                <c:pt idx="53">
                  <c:v>#N/A</c:v>
                </c:pt>
                <c:pt idx="54">
                  <c:v>#N/A</c:v>
                </c:pt>
                <c:pt idx="55">
                  <c:v>#N/A</c:v>
                </c:pt>
                <c:pt idx="56">
                  <c:v>#N/A</c:v>
                </c:pt>
                <c:pt idx="57">
                  <c:v>#N/A</c:v>
                </c:pt>
                <c:pt idx="58">
                  <c:v>#N/A</c:v>
                </c:pt>
                <c:pt idx="59">
                  <c:v>#N/A</c:v>
                </c:pt>
                <c:pt idx="60">
                  <c:v>#N/A</c:v>
                </c:pt>
                <c:pt idx="61">
                  <c:v>#N/A</c:v>
                </c:pt>
                <c:pt idx="62">
                  <c:v>#N/A</c:v>
                </c:pt>
                <c:pt idx="63">
                  <c:v>#N/A</c:v>
                </c:pt>
                <c:pt idx="64">
                  <c:v>#N/A</c:v>
                </c:pt>
                <c:pt idx="65">
                  <c:v>#N/A</c:v>
                </c:pt>
                <c:pt idx="66">
                  <c:v>#N/A</c:v>
                </c:pt>
                <c:pt idx="67">
                  <c:v>#N/A</c:v>
                </c:pt>
                <c:pt idx="68">
                  <c:v>#N/A</c:v>
                </c:pt>
                <c:pt idx="69">
                  <c:v>#N/A</c:v>
                </c:pt>
                <c:pt idx="70">
                  <c:v>#N/A</c:v>
                </c:pt>
                <c:pt idx="71">
                  <c:v>#N/A</c:v>
                </c:pt>
                <c:pt idx="72">
                  <c:v>#N/A</c:v>
                </c:pt>
                <c:pt idx="73">
                  <c:v>#N/A</c:v>
                </c:pt>
                <c:pt idx="74">
                  <c:v>#N/A</c:v>
                </c:pt>
                <c:pt idx="75">
                  <c:v>#N/A</c:v>
                </c:pt>
                <c:pt idx="76">
                  <c:v>#N/A</c:v>
                </c:pt>
                <c:pt idx="77">
                  <c:v>#N/A</c:v>
                </c:pt>
                <c:pt idx="78">
                  <c:v>#N/A</c:v>
                </c:pt>
                <c:pt idx="79">
                  <c:v>#N/A</c:v>
                </c:pt>
                <c:pt idx="80">
                  <c:v>#N/A</c:v>
                </c:pt>
                <c:pt idx="81">
                  <c:v>#N/A</c:v>
                </c:pt>
                <c:pt idx="82">
                  <c:v>#N/A</c:v>
                </c:pt>
                <c:pt idx="83">
                  <c:v>#N/A</c:v>
                </c:pt>
                <c:pt idx="84">
                  <c:v>#N/A</c:v>
                </c:pt>
              </c:numCache>
            </c:numRef>
          </c:val>
          <c:smooth val="0"/>
          <c:extLst>
            <c:ext xmlns:c16="http://schemas.microsoft.com/office/drawing/2014/chart" uri="{C3380CC4-5D6E-409C-BE32-E72D297353CC}">
              <c16:uniqueId val="{00000001-FF1D-4611-8EB2-EC7C18668BE0}"/>
            </c:ext>
          </c:extLst>
        </c:ser>
        <c:ser>
          <c:idx val="10"/>
          <c:order val="7"/>
          <c:tx>
            <c:strRef>
              <c:f>'4.3.2 Data_Tidsseriefigurer'!$B$35</c:f>
              <c:strCache>
                <c:ptCount val="1"/>
                <c:pt idx="0">
                  <c:v>Skip</c:v>
                </c:pt>
              </c:strCache>
            </c:strRef>
          </c:tx>
          <c:spPr>
            <a:ln w="28575" cap="rnd">
              <a:solidFill>
                <a:schemeClr val="accent5">
                  <a:lumMod val="60000"/>
                </a:schemeClr>
              </a:solidFill>
              <a:round/>
            </a:ln>
            <a:effectLst/>
          </c:spPr>
          <c:marker>
            <c:symbol val="none"/>
          </c:marker>
          <c:cat>
            <c:numRef>
              <c:f>'4.3.2 Data_Tidsseriefigurer'!$C$27:$CI$27</c:f>
              <c:numCache>
                <c:formatCode>General</c:formatCode>
                <c:ptCount val="85"/>
                <c:pt idx="0">
                  <c:v>-10</c:v>
                </c:pt>
                <c:pt idx="1">
                  <c:v>-9</c:v>
                </c:pt>
                <c:pt idx="2">
                  <c:v>-8</c:v>
                </c:pt>
                <c:pt idx="3">
                  <c:v>-7</c:v>
                </c:pt>
                <c:pt idx="4">
                  <c:v>-6</c:v>
                </c:pt>
                <c:pt idx="5">
                  <c:v>-5</c:v>
                </c:pt>
                <c:pt idx="6">
                  <c:v>-4</c:v>
                </c:pt>
                <c:pt idx="7">
                  <c:v>-3</c:v>
                </c:pt>
                <c:pt idx="8">
                  <c:v>-2</c:v>
                </c:pt>
                <c:pt idx="9">
                  <c:v>-1</c:v>
                </c:pt>
                <c:pt idx="10">
                  <c:v>0</c:v>
                </c:pt>
                <c:pt idx="11">
                  <c:v>1</c:v>
                </c:pt>
                <c:pt idx="12">
                  <c:v>2</c:v>
                </c:pt>
                <c:pt idx="13">
                  <c:v>3</c:v>
                </c:pt>
                <c:pt idx="14">
                  <c:v>4</c:v>
                </c:pt>
                <c:pt idx="15">
                  <c:v>5</c:v>
                </c:pt>
                <c:pt idx="16">
                  <c:v>6</c:v>
                </c:pt>
                <c:pt idx="17">
                  <c:v>7</c:v>
                </c:pt>
                <c:pt idx="18">
                  <c:v>8</c:v>
                </c:pt>
                <c:pt idx="19">
                  <c:v>9</c:v>
                </c:pt>
                <c:pt idx="20">
                  <c:v>10</c:v>
                </c:pt>
                <c:pt idx="21">
                  <c:v>11</c:v>
                </c:pt>
                <c:pt idx="22">
                  <c:v>12</c:v>
                </c:pt>
                <c:pt idx="23">
                  <c:v>13</c:v>
                </c:pt>
                <c:pt idx="24">
                  <c:v>14</c:v>
                </c:pt>
                <c:pt idx="25">
                  <c:v>15</c:v>
                </c:pt>
                <c:pt idx="26">
                  <c:v>16</c:v>
                </c:pt>
                <c:pt idx="27">
                  <c:v>17</c:v>
                </c:pt>
                <c:pt idx="28">
                  <c:v>18</c:v>
                </c:pt>
                <c:pt idx="29">
                  <c:v>19</c:v>
                </c:pt>
                <c:pt idx="30">
                  <c:v>20</c:v>
                </c:pt>
                <c:pt idx="31">
                  <c:v>21</c:v>
                </c:pt>
                <c:pt idx="32">
                  <c:v>22</c:v>
                </c:pt>
                <c:pt idx="33">
                  <c:v>23</c:v>
                </c:pt>
                <c:pt idx="34">
                  <c:v>24</c:v>
                </c:pt>
                <c:pt idx="35">
                  <c:v>25</c:v>
                </c:pt>
                <c:pt idx="36">
                  <c:v>26</c:v>
                </c:pt>
                <c:pt idx="37">
                  <c:v>27</c:v>
                </c:pt>
                <c:pt idx="38">
                  <c:v>28</c:v>
                </c:pt>
                <c:pt idx="39">
                  <c:v>29</c:v>
                </c:pt>
                <c:pt idx="40">
                  <c:v>30</c:v>
                </c:pt>
                <c:pt idx="41">
                  <c:v>31</c:v>
                </c:pt>
                <c:pt idx="42">
                  <c:v>32</c:v>
                </c:pt>
                <c:pt idx="43">
                  <c:v>33</c:v>
                </c:pt>
                <c:pt idx="44">
                  <c:v>34</c:v>
                </c:pt>
                <c:pt idx="45">
                  <c:v>35</c:v>
                </c:pt>
                <c:pt idx="46">
                  <c:v>36</c:v>
                </c:pt>
                <c:pt idx="47">
                  <c:v>37</c:v>
                </c:pt>
                <c:pt idx="48">
                  <c:v>38</c:v>
                </c:pt>
                <c:pt idx="49">
                  <c:v>39</c:v>
                </c:pt>
                <c:pt idx="50">
                  <c:v>40</c:v>
                </c:pt>
                <c:pt idx="51">
                  <c:v>41</c:v>
                </c:pt>
                <c:pt idx="52">
                  <c:v>42</c:v>
                </c:pt>
                <c:pt idx="53">
                  <c:v>43</c:v>
                </c:pt>
                <c:pt idx="54">
                  <c:v>44</c:v>
                </c:pt>
                <c:pt idx="55">
                  <c:v>45</c:v>
                </c:pt>
                <c:pt idx="56">
                  <c:v>46</c:v>
                </c:pt>
                <c:pt idx="57">
                  <c:v>47</c:v>
                </c:pt>
                <c:pt idx="58">
                  <c:v>48</c:v>
                </c:pt>
                <c:pt idx="59">
                  <c:v>49</c:v>
                </c:pt>
                <c:pt idx="60">
                  <c:v>50</c:v>
                </c:pt>
                <c:pt idx="61">
                  <c:v>51</c:v>
                </c:pt>
                <c:pt idx="62">
                  <c:v>52</c:v>
                </c:pt>
                <c:pt idx="63">
                  <c:v>53</c:v>
                </c:pt>
                <c:pt idx="64">
                  <c:v>54</c:v>
                </c:pt>
                <c:pt idx="65">
                  <c:v>55</c:v>
                </c:pt>
                <c:pt idx="66">
                  <c:v>56</c:v>
                </c:pt>
                <c:pt idx="67">
                  <c:v>57</c:v>
                </c:pt>
                <c:pt idx="68">
                  <c:v>58</c:v>
                </c:pt>
                <c:pt idx="69">
                  <c:v>59</c:v>
                </c:pt>
                <c:pt idx="70">
                  <c:v>60</c:v>
                </c:pt>
                <c:pt idx="71">
                  <c:v>61</c:v>
                </c:pt>
                <c:pt idx="72">
                  <c:v>62</c:v>
                </c:pt>
                <c:pt idx="73">
                  <c:v>63</c:v>
                </c:pt>
                <c:pt idx="74">
                  <c:v>64</c:v>
                </c:pt>
                <c:pt idx="75">
                  <c:v>65</c:v>
                </c:pt>
                <c:pt idx="76">
                  <c:v>66</c:v>
                </c:pt>
                <c:pt idx="77">
                  <c:v>67</c:v>
                </c:pt>
                <c:pt idx="78">
                  <c:v>68</c:v>
                </c:pt>
                <c:pt idx="79">
                  <c:v>69</c:v>
                </c:pt>
                <c:pt idx="80">
                  <c:v>70</c:v>
                </c:pt>
                <c:pt idx="81">
                  <c:v>71</c:v>
                </c:pt>
                <c:pt idx="82">
                  <c:v>72</c:v>
                </c:pt>
                <c:pt idx="83">
                  <c:v>73</c:v>
                </c:pt>
                <c:pt idx="84">
                  <c:v>74</c:v>
                </c:pt>
              </c:numCache>
            </c:numRef>
          </c:cat>
          <c:val>
            <c:numRef>
              <c:f>'4.3.2 Data_Tidsseriefigurer'!$C$35:$CI$35</c:f>
              <c:numCache>
                <c:formatCode>General</c:formatCode>
                <c:ptCount val="85"/>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pt idx="43">
                  <c:v>#N/A</c:v>
                </c:pt>
                <c:pt idx="44">
                  <c:v>#N/A</c:v>
                </c:pt>
                <c:pt idx="45">
                  <c:v>#N/A</c:v>
                </c:pt>
                <c:pt idx="46">
                  <c:v>#N/A</c:v>
                </c:pt>
                <c:pt idx="47">
                  <c:v>#N/A</c:v>
                </c:pt>
                <c:pt idx="48">
                  <c:v>#N/A</c:v>
                </c:pt>
                <c:pt idx="49">
                  <c:v>#N/A</c:v>
                </c:pt>
                <c:pt idx="50">
                  <c:v>#N/A</c:v>
                </c:pt>
                <c:pt idx="51">
                  <c:v>#N/A</c:v>
                </c:pt>
                <c:pt idx="52">
                  <c:v>#N/A</c:v>
                </c:pt>
                <c:pt idx="53">
                  <c:v>#N/A</c:v>
                </c:pt>
                <c:pt idx="54">
                  <c:v>#N/A</c:v>
                </c:pt>
                <c:pt idx="55">
                  <c:v>#N/A</c:v>
                </c:pt>
                <c:pt idx="56">
                  <c:v>#N/A</c:v>
                </c:pt>
                <c:pt idx="57">
                  <c:v>#N/A</c:v>
                </c:pt>
                <c:pt idx="58">
                  <c:v>#N/A</c:v>
                </c:pt>
                <c:pt idx="59">
                  <c:v>#N/A</c:v>
                </c:pt>
                <c:pt idx="60">
                  <c:v>#N/A</c:v>
                </c:pt>
                <c:pt idx="61">
                  <c:v>#N/A</c:v>
                </c:pt>
                <c:pt idx="62">
                  <c:v>#N/A</c:v>
                </c:pt>
                <c:pt idx="63">
                  <c:v>#N/A</c:v>
                </c:pt>
                <c:pt idx="64">
                  <c:v>#N/A</c:v>
                </c:pt>
                <c:pt idx="65">
                  <c:v>#N/A</c:v>
                </c:pt>
                <c:pt idx="66">
                  <c:v>#N/A</c:v>
                </c:pt>
                <c:pt idx="67">
                  <c:v>#N/A</c:v>
                </c:pt>
                <c:pt idx="68">
                  <c:v>#N/A</c:v>
                </c:pt>
                <c:pt idx="69">
                  <c:v>#N/A</c:v>
                </c:pt>
                <c:pt idx="70">
                  <c:v>#N/A</c:v>
                </c:pt>
                <c:pt idx="71">
                  <c:v>#N/A</c:v>
                </c:pt>
                <c:pt idx="72">
                  <c:v>#N/A</c:v>
                </c:pt>
                <c:pt idx="73">
                  <c:v>#N/A</c:v>
                </c:pt>
                <c:pt idx="74">
                  <c:v>#N/A</c:v>
                </c:pt>
                <c:pt idx="75">
                  <c:v>#N/A</c:v>
                </c:pt>
                <c:pt idx="76">
                  <c:v>#N/A</c:v>
                </c:pt>
                <c:pt idx="77">
                  <c:v>#N/A</c:v>
                </c:pt>
                <c:pt idx="78">
                  <c:v>#N/A</c:v>
                </c:pt>
                <c:pt idx="79">
                  <c:v>#N/A</c:v>
                </c:pt>
                <c:pt idx="80">
                  <c:v>#N/A</c:v>
                </c:pt>
                <c:pt idx="81">
                  <c:v>#N/A</c:v>
                </c:pt>
                <c:pt idx="82">
                  <c:v>#N/A</c:v>
                </c:pt>
                <c:pt idx="83">
                  <c:v>#N/A</c:v>
                </c:pt>
                <c:pt idx="84">
                  <c:v>#N/A</c:v>
                </c:pt>
              </c:numCache>
            </c:numRef>
          </c:val>
          <c:smooth val="0"/>
          <c:extLst>
            <c:ext xmlns:c16="http://schemas.microsoft.com/office/drawing/2014/chart" uri="{C3380CC4-5D6E-409C-BE32-E72D297353CC}">
              <c16:uniqueId val="{00000002-FF1D-4611-8EB2-EC7C18668BE0}"/>
            </c:ext>
          </c:extLst>
        </c:ser>
        <c:ser>
          <c:idx val="6"/>
          <c:order val="8"/>
          <c:tx>
            <c:strRef>
              <c:f>'4.3.2 Data_Tidsseriefigurer'!$B$36</c:f>
              <c:strCache>
                <c:ptCount val="1"/>
                <c:pt idx="0">
                  <c:v>Godsfly</c:v>
                </c:pt>
              </c:strCache>
            </c:strRef>
          </c:tx>
          <c:spPr>
            <a:ln w="28575" cap="rnd">
              <a:solidFill>
                <a:schemeClr val="accent1">
                  <a:lumMod val="60000"/>
                </a:schemeClr>
              </a:solidFill>
              <a:round/>
            </a:ln>
            <a:effectLst/>
          </c:spPr>
          <c:marker>
            <c:symbol val="none"/>
          </c:marker>
          <c:cat>
            <c:numRef>
              <c:f>'4.3.2 Data_Tidsseriefigurer'!$C$27:$CI$27</c:f>
              <c:numCache>
                <c:formatCode>General</c:formatCode>
                <c:ptCount val="85"/>
                <c:pt idx="0">
                  <c:v>-10</c:v>
                </c:pt>
                <c:pt idx="1">
                  <c:v>-9</c:v>
                </c:pt>
                <c:pt idx="2">
                  <c:v>-8</c:v>
                </c:pt>
                <c:pt idx="3">
                  <c:v>-7</c:v>
                </c:pt>
                <c:pt idx="4">
                  <c:v>-6</c:v>
                </c:pt>
                <c:pt idx="5">
                  <c:v>-5</c:v>
                </c:pt>
                <c:pt idx="6">
                  <c:v>-4</c:v>
                </c:pt>
                <c:pt idx="7">
                  <c:v>-3</c:v>
                </c:pt>
                <c:pt idx="8">
                  <c:v>-2</c:v>
                </c:pt>
                <c:pt idx="9">
                  <c:v>-1</c:v>
                </c:pt>
                <c:pt idx="10">
                  <c:v>0</c:v>
                </c:pt>
                <c:pt idx="11">
                  <c:v>1</c:v>
                </c:pt>
                <c:pt idx="12">
                  <c:v>2</c:v>
                </c:pt>
                <c:pt idx="13">
                  <c:v>3</c:v>
                </c:pt>
                <c:pt idx="14">
                  <c:v>4</c:v>
                </c:pt>
                <c:pt idx="15">
                  <c:v>5</c:v>
                </c:pt>
                <c:pt idx="16">
                  <c:v>6</c:v>
                </c:pt>
                <c:pt idx="17">
                  <c:v>7</c:v>
                </c:pt>
                <c:pt idx="18">
                  <c:v>8</c:v>
                </c:pt>
                <c:pt idx="19">
                  <c:v>9</c:v>
                </c:pt>
                <c:pt idx="20">
                  <c:v>10</c:v>
                </c:pt>
                <c:pt idx="21">
                  <c:v>11</c:v>
                </c:pt>
                <c:pt idx="22">
                  <c:v>12</c:v>
                </c:pt>
                <c:pt idx="23">
                  <c:v>13</c:v>
                </c:pt>
                <c:pt idx="24">
                  <c:v>14</c:v>
                </c:pt>
                <c:pt idx="25">
                  <c:v>15</c:v>
                </c:pt>
                <c:pt idx="26">
                  <c:v>16</c:v>
                </c:pt>
                <c:pt idx="27">
                  <c:v>17</c:v>
                </c:pt>
                <c:pt idx="28">
                  <c:v>18</c:v>
                </c:pt>
                <c:pt idx="29">
                  <c:v>19</c:v>
                </c:pt>
                <c:pt idx="30">
                  <c:v>20</c:v>
                </c:pt>
                <c:pt idx="31">
                  <c:v>21</c:v>
                </c:pt>
                <c:pt idx="32">
                  <c:v>22</c:v>
                </c:pt>
                <c:pt idx="33">
                  <c:v>23</c:v>
                </c:pt>
                <c:pt idx="34">
                  <c:v>24</c:v>
                </c:pt>
                <c:pt idx="35">
                  <c:v>25</c:v>
                </c:pt>
                <c:pt idx="36">
                  <c:v>26</c:v>
                </c:pt>
                <c:pt idx="37">
                  <c:v>27</c:v>
                </c:pt>
                <c:pt idx="38">
                  <c:v>28</c:v>
                </c:pt>
                <c:pt idx="39">
                  <c:v>29</c:v>
                </c:pt>
                <c:pt idx="40">
                  <c:v>30</c:v>
                </c:pt>
                <c:pt idx="41">
                  <c:v>31</c:v>
                </c:pt>
                <c:pt idx="42">
                  <c:v>32</c:v>
                </c:pt>
                <c:pt idx="43">
                  <c:v>33</c:v>
                </c:pt>
                <c:pt idx="44">
                  <c:v>34</c:v>
                </c:pt>
                <c:pt idx="45">
                  <c:v>35</c:v>
                </c:pt>
                <c:pt idx="46">
                  <c:v>36</c:v>
                </c:pt>
                <c:pt idx="47">
                  <c:v>37</c:v>
                </c:pt>
                <c:pt idx="48">
                  <c:v>38</c:v>
                </c:pt>
                <c:pt idx="49">
                  <c:v>39</c:v>
                </c:pt>
                <c:pt idx="50">
                  <c:v>40</c:v>
                </c:pt>
                <c:pt idx="51">
                  <c:v>41</c:v>
                </c:pt>
                <c:pt idx="52">
                  <c:v>42</c:v>
                </c:pt>
                <c:pt idx="53">
                  <c:v>43</c:v>
                </c:pt>
                <c:pt idx="54">
                  <c:v>44</c:v>
                </c:pt>
                <c:pt idx="55">
                  <c:v>45</c:v>
                </c:pt>
                <c:pt idx="56">
                  <c:v>46</c:v>
                </c:pt>
                <c:pt idx="57">
                  <c:v>47</c:v>
                </c:pt>
                <c:pt idx="58">
                  <c:v>48</c:v>
                </c:pt>
                <c:pt idx="59">
                  <c:v>49</c:v>
                </c:pt>
                <c:pt idx="60">
                  <c:v>50</c:v>
                </c:pt>
                <c:pt idx="61">
                  <c:v>51</c:v>
                </c:pt>
                <c:pt idx="62">
                  <c:v>52</c:v>
                </c:pt>
                <c:pt idx="63">
                  <c:v>53</c:v>
                </c:pt>
                <c:pt idx="64">
                  <c:v>54</c:v>
                </c:pt>
                <c:pt idx="65">
                  <c:v>55</c:v>
                </c:pt>
                <c:pt idx="66">
                  <c:v>56</c:v>
                </c:pt>
                <c:pt idx="67">
                  <c:v>57</c:v>
                </c:pt>
                <c:pt idx="68">
                  <c:v>58</c:v>
                </c:pt>
                <c:pt idx="69">
                  <c:v>59</c:v>
                </c:pt>
                <c:pt idx="70">
                  <c:v>60</c:v>
                </c:pt>
                <c:pt idx="71">
                  <c:v>61</c:v>
                </c:pt>
                <c:pt idx="72">
                  <c:v>62</c:v>
                </c:pt>
                <c:pt idx="73">
                  <c:v>63</c:v>
                </c:pt>
                <c:pt idx="74">
                  <c:v>64</c:v>
                </c:pt>
                <c:pt idx="75">
                  <c:v>65</c:v>
                </c:pt>
                <c:pt idx="76">
                  <c:v>66</c:v>
                </c:pt>
                <c:pt idx="77">
                  <c:v>67</c:v>
                </c:pt>
                <c:pt idx="78">
                  <c:v>68</c:v>
                </c:pt>
                <c:pt idx="79">
                  <c:v>69</c:v>
                </c:pt>
                <c:pt idx="80">
                  <c:v>70</c:v>
                </c:pt>
                <c:pt idx="81">
                  <c:v>71</c:v>
                </c:pt>
                <c:pt idx="82">
                  <c:v>72</c:v>
                </c:pt>
                <c:pt idx="83">
                  <c:v>73</c:v>
                </c:pt>
                <c:pt idx="84">
                  <c:v>74</c:v>
                </c:pt>
              </c:numCache>
            </c:numRef>
          </c:cat>
          <c:val>
            <c:numRef>
              <c:f>'4.3.2 Data_Tidsseriefigurer'!$C$36:$CI$36</c:f>
              <c:numCache>
                <c:formatCode>General</c:formatCode>
                <c:ptCount val="85"/>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pt idx="43">
                  <c:v>#N/A</c:v>
                </c:pt>
                <c:pt idx="44">
                  <c:v>#N/A</c:v>
                </c:pt>
                <c:pt idx="45">
                  <c:v>#N/A</c:v>
                </c:pt>
                <c:pt idx="46">
                  <c:v>#N/A</c:v>
                </c:pt>
                <c:pt idx="47">
                  <c:v>#N/A</c:v>
                </c:pt>
                <c:pt idx="48">
                  <c:v>#N/A</c:v>
                </c:pt>
                <c:pt idx="49">
                  <c:v>#N/A</c:v>
                </c:pt>
                <c:pt idx="50">
                  <c:v>#N/A</c:v>
                </c:pt>
                <c:pt idx="51">
                  <c:v>#N/A</c:v>
                </c:pt>
                <c:pt idx="52">
                  <c:v>#N/A</c:v>
                </c:pt>
                <c:pt idx="53">
                  <c:v>#N/A</c:v>
                </c:pt>
                <c:pt idx="54">
                  <c:v>#N/A</c:v>
                </c:pt>
                <c:pt idx="55">
                  <c:v>#N/A</c:v>
                </c:pt>
                <c:pt idx="56">
                  <c:v>#N/A</c:v>
                </c:pt>
                <c:pt idx="57">
                  <c:v>#N/A</c:v>
                </c:pt>
                <c:pt idx="58">
                  <c:v>#N/A</c:v>
                </c:pt>
                <c:pt idx="59">
                  <c:v>#N/A</c:v>
                </c:pt>
                <c:pt idx="60">
                  <c:v>#N/A</c:v>
                </c:pt>
                <c:pt idx="61">
                  <c:v>#N/A</c:v>
                </c:pt>
                <c:pt idx="62">
                  <c:v>#N/A</c:v>
                </c:pt>
                <c:pt idx="63">
                  <c:v>#N/A</c:v>
                </c:pt>
                <c:pt idx="64">
                  <c:v>#N/A</c:v>
                </c:pt>
                <c:pt idx="65">
                  <c:v>#N/A</c:v>
                </c:pt>
                <c:pt idx="66">
                  <c:v>#N/A</c:v>
                </c:pt>
                <c:pt idx="67">
                  <c:v>#N/A</c:v>
                </c:pt>
                <c:pt idx="68">
                  <c:v>#N/A</c:v>
                </c:pt>
                <c:pt idx="69">
                  <c:v>#N/A</c:v>
                </c:pt>
                <c:pt idx="70">
                  <c:v>#N/A</c:v>
                </c:pt>
                <c:pt idx="71">
                  <c:v>#N/A</c:v>
                </c:pt>
                <c:pt idx="72">
                  <c:v>#N/A</c:v>
                </c:pt>
                <c:pt idx="73">
                  <c:v>#N/A</c:v>
                </c:pt>
                <c:pt idx="74">
                  <c:v>#N/A</c:v>
                </c:pt>
                <c:pt idx="75">
                  <c:v>#N/A</c:v>
                </c:pt>
                <c:pt idx="76">
                  <c:v>#N/A</c:v>
                </c:pt>
                <c:pt idx="77">
                  <c:v>#N/A</c:v>
                </c:pt>
                <c:pt idx="78">
                  <c:v>#N/A</c:v>
                </c:pt>
                <c:pt idx="79">
                  <c:v>#N/A</c:v>
                </c:pt>
                <c:pt idx="80">
                  <c:v>#N/A</c:v>
                </c:pt>
                <c:pt idx="81">
                  <c:v>#N/A</c:v>
                </c:pt>
                <c:pt idx="82">
                  <c:v>#N/A</c:v>
                </c:pt>
                <c:pt idx="83">
                  <c:v>#N/A</c:v>
                </c:pt>
                <c:pt idx="84">
                  <c:v>#N/A</c:v>
                </c:pt>
              </c:numCache>
            </c:numRef>
          </c:val>
          <c:smooth val="0"/>
          <c:extLst>
            <c:ext xmlns:c16="http://schemas.microsoft.com/office/drawing/2014/chart" uri="{C3380CC4-5D6E-409C-BE32-E72D297353CC}">
              <c16:uniqueId val="{00000008-CEAF-4128-8AAA-112C0BD2A7D6}"/>
            </c:ext>
          </c:extLst>
        </c:ser>
        <c:ser>
          <c:idx val="11"/>
          <c:order val="9"/>
          <c:tx>
            <c:strRef>
              <c:f>'4.3.2 Data_Tidsseriefigurer'!$B$37</c:f>
              <c:strCache>
                <c:ptCount val="1"/>
                <c:pt idx="0">
                  <c:v>Utslipp i byggefasen</c:v>
                </c:pt>
              </c:strCache>
            </c:strRef>
          </c:tx>
          <c:spPr>
            <a:ln w="28575" cap="rnd">
              <a:solidFill>
                <a:schemeClr val="accent6">
                  <a:lumMod val="60000"/>
                </a:schemeClr>
              </a:solidFill>
              <a:round/>
            </a:ln>
            <a:effectLst/>
          </c:spPr>
          <c:marker>
            <c:symbol val="none"/>
          </c:marker>
          <c:cat>
            <c:numRef>
              <c:f>'4.3.2 Data_Tidsseriefigurer'!$C$27:$CI$27</c:f>
              <c:numCache>
                <c:formatCode>General</c:formatCode>
                <c:ptCount val="85"/>
                <c:pt idx="0">
                  <c:v>-10</c:v>
                </c:pt>
                <c:pt idx="1">
                  <c:v>-9</c:v>
                </c:pt>
                <c:pt idx="2">
                  <c:v>-8</c:v>
                </c:pt>
                <c:pt idx="3">
                  <c:v>-7</c:v>
                </c:pt>
                <c:pt idx="4">
                  <c:v>-6</c:v>
                </c:pt>
                <c:pt idx="5">
                  <c:v>-5</c:v>
                </c:pt>
                <c:pt idx="6">
                  <c:v>-4</c:v>
                </c:pt>
                <c:pt idx="7">
                  <c:v>-3</c:v>
                </c:pt>
                <c:pt idx="8">
                  <c:v>-2</c:v>
                </c:pt>
                <c:pt idx="9">
                  <c:v>-1</c:v>
                </c:pt>
                <c:pt idx="10">
                  <c:v>0</c:v>
                </c:pt>
                <c:pt idx="11">
                  <c:v>1</c:v>
                </c:pt>
                <c:pt idx="12">
                  <c:v>2</c:v>
                </c:pt>
                <c:pt idx="13">
                  <c:v>3</c:v>
                </c:pt>
                <c:pt idx="14">
                  <c:v>4</c:v>
                </c:pt>
                <c:pt idx="15">
                  <c:v>5</c:v>
                </c:pt>
                <c:pt idx="16">
                  <c:v>6</c:v>
                </c:pt>
                <c:pt idx="17">
                  <c:v>7</c:v>
                </c:pt>
                <c:pt idx="18">
                  <c:v>8</c:v>
                </c:pt>
                <c:pt idx="19">
                  <c:v>9</c:v>
                </c:pt>
                <c:pt idx="20">
                  <c:v>10</c:v>
                </c:pt>
                <c:pt idx="21">
                  <c:v>11</c:v>
                </c:pt>
                <c:pt idx="22">
                  <c:v>12</c:v>
                </c:pt>
                <c:pt idx="23">
                  <c:v>13</c:v>
                </c:pt>
                <c:pt idx="24">
                  <c:v>14</c:v>
                </c:pt>
                <c:pt idx="25">
                  <c:v>15</c:v>
                </c:pt>
                <c:pt idx="26">
                  <c:v>16</c:v>
                </c:pt>
                <c:pt idx="27">
                  <c:v>17</c:v>
                </c:pt>
                <c:pt idx="28">
                  <c:v>18</c:v>
                </c:pt>
                <c:pt idx="29">
                  <c:v>19</c:v>
                </c:pt>
                <c:pt idx="30">
                  <c:v>20</c:v>
                </c:pt>
                <c:pt idx="31">
                  <c:v>21</c:v>
                </c:pt>
                <c:pt idx="32">
                  <c:v>22</c:v>
                </c:pt>
                <c:pt idx="33">
                  <c:v>23</c:v>
                </c:pt>
                <c:pt idx="34">
                  <c:v>24</c:v>
                </c:pt>
                <c:pt idx="35">
                  <c:v>25</c:v>
                </c:pt>
                <c:pt idx="36">
                  <c:v>26</c:v>
                </c:pt>
                <c:pt idx="37">
                  <c:v>27</c:v>
                </c:pt>
                <c:pt idx="38">
                  <c:v>28</c:v>
                </c:pt>
                <c:pt idx="39">
                  <c:v>29</c:v>
                </c:pt>
                <c:pt idx="40">
                  <c:v>30</c:v>
                </c:pt>
                <c:pt idx="41">
                  <c:v>31</c:v>
                </c:pt>
                <c:pt idx="42">
                  <c:v>32</c:v>
                </c:pt>
                <c:pt idx="43">
                  <c:v>33</c:v>
                </c:pt>
                <c:pt idx="44">
                  <c:v>34</c:v>
                </c:pt>
                <c:pt idx="45">
                  <c:v>35</c:v>
                </c:pt>
                <c:pt idx="46">
                  <c:v>36</c:v>
                </c:pt>
                <c:pt idx="47">
                  <c:v>37</c:v>
                </c:pt>
                <c:pt idx="48">
                  <c:v>38</c:v>
                </c:pt>
                <c:pt idx="49">
                  <c:v>39</c:v>
                </c:pt>
                <c:pt idx="50">
                  <c:v>40</c:v>
                </c:pt>
                <c:pt idx="51">
                  <c:v>41</c:v>
                </c:pt>
                <c:pt idx="52">
                  <c:v>42</c:v>
                </c:pt>
                <c:pt idx="53">
                  <c:v>43</c:v>
                </c:pt>
                <c:pt idx="54">
                  <c:v>44</c:v>
                </c:pt>
                <c:pt idx="55">
                  <c:v>45</c:v>
                </c:pt>
                <c:pt idx="56">
                  <c:v>46</c:v>
                </c:pt>
                <c:pt idx="57">
                  <c:v>47</c:v>
                </c:pt>
                <c:pt idx="58">
                  <c:v>48</c:v>
                </c:pt>
                <c:pt idx="59">
                  <c:v>49</c:v>
                </c:pt>
                <c:pt idx="60">
                  <c:v>50</c:v>
                </c:pt>
                <c:pt idx="61">
                  <c:v>51</c:v>
                </c:pt>
                <c:pt idx="62">
                  <c:v>52</c:v>
                </c:pt>
                <c:pt idx="63">
                  <c:v>53</c:v>
                </c:pt>
                <c:pt idx="64">
                  <c:v>54</c:v>
                </c:pt>
                <c:pt idx="65">
                  <c:v>55</c:v>
                </c:pt>
                <c:pt idx="66">
                  <c:v>56</c:v>
                </c:pt>
                <c:pt idx="67">
                  <c:v>57</c:v>
                </c:pt>
                <c:pt idx="68">
                  <c:v>58</c:v>
                </c:pt>
                <c:pt idx="69">
                  <c:v>59</c:v>
                </c:pt>
                <c:pt idx="70">
                  <c:v>60</c:v>
                </c:pt>
                <c:pt idx="71">
                  <c:v>61</c:v>
                </c:pt>
                <c:pt idx="72">
                  <c:v>62</c:v>
                </c:pt>
                <c:pt idx="73">
                  <c:v>63</c:v>
                </c:pt>
                <c:pt idx="74">
                  <c:v>64</c:v>
                </c:pt>
                <c:pt idx="75">
                  <c:v>65</c:v>
                </c:pt>
                <c:pt idx="76">
                  <c:v>66</c:v>
                </c:pt>
                <c:pt idx="77">
                  <c:v>67</c:v>
                </c:pt>
                <c:pt idx="78">
                  <c:v>68</c:v>
                </c:pt>
                <c:pt idx="79">
                  <c:v>69</c:v>
                </c:pt>
                <c:pt idx="80">
                  <c:v>70</c:v>
                </c:pt>
                <c:pt idx="81">
                  <c:v>71</c:v>
                </c:pt>
                <c:pt idx="82">
                  <c:v>72</c:v>
                </c:pt>
                <c:pt idx="83">
                  <c:v>73</c:v>
                </c:pt>
                <c:pt idx="84">
                  <c:v>74</c:v>
                </c:pt>
              </c:numCache>
            </c:numRef>
          </c:cat>
          <c:val>
            <c:numRef>
              <c:f>'4.3.2 Data_Tidsseriefigurer'!$C$37:$CI$37</c:f>
              <c:numCache>
                <c:formatCode>General</c:formatCode>
                <c:ptCount val="85"/>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pt idx="43">
                  <c:v>#N/A</c:v>
                </c:pt>
                <c:pt idx="44">
                  <c:v>#N/A</c:v>
                </c:pt>
                <c:pt idx="45">
                  <c:v>#N/A</c:v>
                </c:pt>
                <c:pt idx="46">
                  <c:v>#N/A</c:v>
                </c:pt>
                <c:pt idx="47">
                  <c:v>#N/A</c:v>
                </c:pt>
                <c:pt idx="48">
                  <c:v>#N/A</c:v>
                </c:pt>
                <c:pt idx="49">
                  <c:v>#N/A</c:v>
                </c:pt>
                <c:pt idx="50">
                  <c:v>#N/A</c:v>
                </c:pt>
                <c:pt idx="51">
                  <c:v>#N/A</c:v>
                </c:pt>
                <c:pt idx="52">
                  <c:v>#N/A</c:v>
                </c:pt>
                <c:pt idx="53">
                  <c:v>#N/A</c:v>
                </c:pt>
                <c:pt idx="54">
                  <c:v>#N/A</c:v>
                </c:pt>
                <c:pt idx="55">
                  <c:v>#N/A</c:v>
                </c:pt>
                <c:pt idx="56">
                  <c:v>#N/A</c:v>
                </c:pt>
                <c:pt idx="57">
                  <c:v>#N/A</c:v>
                </c:pt>
                <c:pt idx="58">
                  <c:v>#N/A</c:v>
                </c:pt>
                <c:pt idx="59">
                  <c:v>#N/A</c:v>
                </c:pt>
                <c:pt idx="60">
                  <c:v>#N/A</c:v>
                </c:pt>
                <c:pt idx="61">
                  <c:v>#N/A</c:v>
                </c:pt>
                <c:pt idx="62">
                  <c:v>#N/A</c:v>
                </c:pt>
                <c:pt idx="63">
                  <c:v>#N/A</c:v>
                </c:pt>
                <c:pt idx="64">
                  <c:v>#N/A</c:v>
                </c:pt>
                <c:pt idx="65">
                  <c:v>#N/A</c:v>
                </c:pt>
                <c:pt idx="66">
                  <c:v>#N/A</c:v>
                </c:pt>
                <c:pt idx="67">
                  <c:v>#N/A</c:v>
                </c:pt>
                <c:pt idx="68">
                  <c:v>#N/A</c:v>
                </c:pt>
                <c:pt idx="69">
                  <c:v>#N/A</c:v>
                </c:pt>
                <c:pt idx="70">
                  <c:v>#N/A</c:v>
                </c:pt>
                <c:pt idx="71">
                  <c:v>#N/A</c:v>
                </c:pt>
                <c:pt idx="72">
                  <c:v>#N/A</c:v>
                </c:pt>
                <c:pt idx="73">
                  <c:v>#N/A</c:v>
                </c:pt>
                <c:pt idx="74">
                  <c:v>#N/A</c:v>
                </c:pt>
                <c:pt idx="75">
                  <c:v>#N/A</c:v>
                </c:pt>
                <c:pt idx="76">
                  <c:v>#N/A</c:v>
                </c:pt>
                <c:pt idx="77">
                  <c:v>#N/A</c:v>
                </c:pt>
                <c:pt idx="78">
                  <c:v>#N/A</c:v>
                </c:pt>
                <c:pt idx="79">
                  <c:v>#N/A</c:v>
                </c:pt>
                <c:pt idx="80">
                  <c:v>#N/A</c:v>
                </c:pt>
                <c:pt idx="81">
                  <c:v>#N/A</c:v>
                </c:pt>
                <c:pt idx="82">
                  <c:v>#N/A</c:v>
                </c:pt>
                <c:pt idx="83">
                  <c:v>#N/A</c:v>
                </c:pt>
                <c:pt idx="84">
                  <c:v>#N/A</c:v>
                </c:pt>
              </c:numCache>
            </c:numRef>
          </c:val>
          <c:smooth val="0"/>
          <c:extLst>
            <c:ext xmlns:c16="http://schemas.microsoft.com/office/drawing/2014/chart" uri="{C3380CC4-5D6E-409C-BE32-E72D297353CC}">
              <c16:uniqueId val="{00000003-FF1D-4611-8EB2-EC7C18668BE0}"/>
            </c:ext>
          </c:extLst>
        </c:ser>
        <c:ser>
          <c:idx val="13"/>
          <c:order val="10"/>
          <c:tx>
            <c:strRef>
              <c:f>'4.3.2 Data_Tidsseriefigurer'!$B$38</c:f>
              <c:strCache>
                <c:ptCount val="1"/>
                <c:pt idx="0">
                  <c:v>Utslipp arealbeslag</c:v>
                </c:pt>
              </c:strCache>
            </c:strRef>
          </c:tx>
          <c:spPr>
            <a:ln w="28575" cap="rnd">
              <a:solidFill>
                <a:schemeClr val="accent2">
                  <a:lumMod val="80000"/>
                  <a:lumOff val="20000"/>
                </a:schemeClr>
              </a:solidFill>
              <a:round/>
            </a:ln>
            <a:effectLst/>
          </c:spPr>
          <c:marker>
            <c:symbol val="none"/>
          </c:marker>
          <c:cat>
            <c:numRef>
              <c:f>'4.3.2 Data_Tidsseriefigurer'!$C$27:$CI$27</c:f>
              <c:numCache>
                <c:formatCode>General</c:formatCode>
                <c:ptCount val="85"/>
                <c:pt idx="0">
                  <c:v>-10</c:v>
                </c:pt>
                <c:pt idx="1">
                  <c:v>-9</c:v>
                </c:pt>
                <c:pt idx="2">
                  <c:v>-8</c:v>
                </c:pt>
                <c:pt idx="3">
                  <c:v>-7</c:v>
                </c:pt>
                <c:pt idx="4">
                  <c:v>-6</c:v>
                </c:pt>
                <c:pt idx="5">
                  <c:v>-5</c:v>
                </c:pt>
                <c:pt idx="6">
                  <c:v>-4</c:v>
                </c:pt>
                <c:pt idx="7">
                  <c:v>-3</c:v>
                </c:pt>
                <c:pt idx="8">
                  <c:v>-2</c:v>
                </c:pt>
                <c:pt idx="9">
                  <c:v>-1</c:v>
                </c:pt>
                <c:pt idx="10">
                  <c:v>0</c:v>
                </c:pt>
                <c:pt idx="11">
                  <c:v>1</c:v>
                </c:pt>
                <c:pt idx="12">
                  <c:v>2</c:v>
                </c:pt>
                <c:pt idx="13">
                  <c:v>3</c:v>
                </c:pt>
                <c:pt idx="14">
                  <c:v>4</c:v>
                </c:pt>
                <c:pt idx="15">
                  <c:v>5</c:v>
                </c:pt>
                <c:pt idx="16">
                  <c:v>6</c:v>
                </c:pt>
                <c:pt idx="17">
                  <c:v>7</c:v>
                </c:pt>
                <c:pt idx="18">
                  <c:v>8</c:v>
                </c:pt>
                <c:pt idx="19">
                  <c:v>9</c:v>
                </c:pt>
                <c:pt idx="20">
                  <c:v>10</c:v>
                </c:pt>
                <c:pt idx="21">
                  <c:v>11</c:v>
                </c:pt>
                <c:pt idx="22">
                  <c:v>12</c:v>
                </c:pt>
                <c:pt idx="23">
                  <c:v>13</c:v>
                </c:pt>
                <c:pt idx="24">
                  <c:v>14</c:v>
                </c:pt>
                <c:pt idx="25">
                  <c:v>15</c:v>
                </c:pt>
                <c:pt idx="26">
                  <c:v>16</c:v>
                </c:pt>
                <c:pt idx="27">
                  <c:v>17</c:v>
                </c:pt>
                <c:pt idx="28">
                  <c:v>18</c:v>
                </c:pt>
                <c:pt idx="29">
                  <c:v>19</c:v>
                </c:pt>
                <c:pt idx="30">
                  <c:v>20</c:v>
                </c:pt>
                <c:pt idx="31">
                  <c:v>21</c:v>
                </c:pt>
                <c:pt idx="32">
                  <c:v>22</c:v>
                </c:pt>
                <c:pt idx="33">
                  <c:v>23</c:v>
                </c:pt>
                <c:pt idx="34">
                  <c:v>24</c:v>
                </c:pt>
                <c:pt idx="35">
                  <c:v>25</c:v>
                </c:pt>
                <c:pt idx="36">
                  <c:v>26</c:v>
                </c:pt>
                <c:pt idx="37">
                  <c:v>27</c:v>
                </c:pt>
                <c:pt idx="38">
                  <c:v>28</c:v>
                </c:pt>
                <c:pt idx="39">
                  <c:v>29</c:v>
                </c:pt>
                <c:pt idx="40">
                  <c:v>30</c:v>
                </c:pt>
                <c:pt idx="41">
                  <c:v>31</c:v>
                </c:pt>
                <c:pt idx="42">
                  <c:v>32</c:v>
                </c:pt>
                <c:pt idx="43">
                  <c:v>33</c:v>
                </c:pt>
                <c:pt idx="44">
                  <c:v>34</c:v>
                </c:pt>
                <c:pt idx="45">
                  <c:v>35</c:v>
                </c:pt>
                <c:pt idx="46">
                  <c:v>36</c:v>
                </c:pt>
                <c:pt idx="47">
                  <c:v>37</c:v>
                </c:pt>
                <c:pt idx="48">
                  <c:v>38</c:v>
                </c:pt>
                <c:pt idx="49">
                  <c:v>39</c:v>
                </c:pt>
                <c:pt idx="50">
                  <c:v>40</c:v>
                </c:pt>
                <c:pt idx="51">
                  <c:v>41</c:v>
                </c:pt>
                <c:pt idx="52">
                  <c:v>42</c:v>
                </c:pt>
                <c:pt idx="53">
                  <c:v>43</c:v>
                </c:pt>
                <c:pt idx="54">
                  <c:v>44</c:v>
                </c:pt>
                <c:pt idx="55">
                  <c:v>45</c:v>
                </c:pt>
                <c:pt idx="56">
                  <c:v>46</c:v>
                </c:pt>
                <c:pt idx="57">
                  <c:v>47</c:v>
                </c:pt>
                <c:pt idx="58">
                  <c:v>48</c:v>
                </c:pt>
                <c:pt idx="59">
                  <c:v>49</c:v>
                </c:pt>
                <c:pt idx="60">
                  <c:v>50</c:v>
                </c:pt>
                <c:pt idx="61">
                  <c:v>51</c:v>
                </c:pt>
                <c:pt idx="62">
                  <c:v>52</c:v>
                </c:pt>
                <c:pt idx="63">
                  <c:v>53</c:v>
                </c:pt>
                <c:pt idx="64">
                  <c:v>54</c:v>
                </c:pt>
                <c:pt idx="65">
                  <c:v>55</c:v>
                </c:pt>
                <c:pt idx="66">
                  <c:v>56</c:v>
                </c:pt>
                <c:pt idx="67">
                  <c:v>57</c:v>
                </c:pt>
                <c:pt idx="68">
                  <c:v>58</c:v>
                </c:pt>
                <c:pt idx="69">
                  <c:v>59</c:v>
                </c:pt>
                <c:pt idx="70">
                  <c:v>60</c:v>
                </c:pt>
                <c:pt idx="71">
                  <c:v>61</c:v>
                </c:pt>
                <c:pt idx="72">
                  <c:v>62</c:v>
                </c:pt>
                <c:pt idx="73">
                  <c:v>63</c:v>
                </c:pt>
                <c:pt idx="74">
                  <c:v>64</c:v>
                </c:pt>
                <c:pt idx="75">
                  <c:v>65</c:v>
                </c:pt>
                <c:pt idx="76">
                  <c:v>66</c:v>
                </c:pt>
                <c:pt idx="77">
                  <c:v>67</c:v>
                </c:pt>
                <c:pt idx="78">
                  <c:v>68</c:v>
                </c:pt>
                <c:pt idx="79">
                  <c:v>69</c:v>
                </c:pt>
                <c:pt idx="80">
                  <c:v>70</c:v>
                </c:pt>
                <c:pt idx="81">
                  <c:v>71</c:v>
                </c:pt>
                <c:pt idx="82">
                  <c:v>72</c:v>
                </c:pt>
                <c:pt idx="83">
                  <c:v>73</c:v>
                </c:pt>
                <c:pt idx="84">
                  <c:v>74</c:v>
                </c:pt>
              </c:numCache>
            </c:numRef>
          </c:cat>
          <c:val>
            <c:numRef>
              <c:f>'4.3.2 Data_Tidsseriefigurer'!$C$38:$CI$38</c:f>
              <c:numCache>
                <c:formatCode>General</c:formatCode>
                <c:ptCount val="85"/>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pt idx="43">
                  <c:v>#N/A</c:v>
                </c:pt>
                <c:pt idx="44">
                  <c:v>#N/A</c:v>
                </c:pt>
                <c:pt idx="45">
                  <c:v>#N/A</c:v>
                </c:pt>
                <c:pt idx="46">
                  <c:v>#N/A</c:v>
                </c:pt>
                <c:pt idx="47">
                  <c:v>#N/A</c:v>
                </c:pt>
                <c:pt idx="48">
                  <c:v>#N/A</c:v>
                </c:pt>
                <c:pt idx="49">
                  <c:v>#N/A</c:v>
                </c:pt>
                <c:pt idx="50">
                  <c:v>#N/A</c:v>
                </c:pt>
                <c:pt idx="51">
                  <c:v>#N/A</c:v>
                </c:pt>
                <c:pt idx="52">
                  <c:v>#N/A</c:v>
                </c:pt>
                <c:pt idx="53">
                  <c:v>#N/A</c:v>
                </c:pt>
                <c:pt idx="54">
                  <c:v>#N/A</c:v>
                </c:pt>
                <c:pt idx="55">
                  <c:v>#N/A</c:v>
                </c:pt>
                <c:pt idx="56">
                  <c:v>#N/A</c:v>
                </c:pt>
                <c:pt idx="57">
                  <c:v>#N/A</c:v>
                </c:pt>
                <c:pt idx="58">
                  <c:v>#N/A</c:v>
                </c:pt>
                <c:pt idx="59">
                  <c:v>#N/A</c:v>
                </c:pt>
                <c:pt idx="60">
                  <c:v>#N/A</c:v>
                </c:pt>
                <c:pt idx="61">
                  <c:v>#N/A</c:v>
                </c:pt>
                <c:pt idx="62">
                  <c:v>#N/A</c:v>
                </c:pt>
                <c:pt idx="63">
                  <c:v>#N/A</c:v>
                </c:pt>
                <c:pt idx="64">
                  <c:v>#N/A</c:v>
                </c:pt>
                <c:pt idx="65">
                  <c:v>#N/A</c:v>
                </c:pt>
                <c:pt idx="66">
                  <c:v>#N/A</c:v>
                </c:pt>
                <c:pt idx="67">
                  <c:v>#N/A</c:v>
                </c:pt>
                <c:pt idx="68">
                  <c:v>#N/A</c:v>
                </c:pt>
                <c:pt idx="69">
                  <c:v>#N/A</c:v>
                </c:pt>
                <c:pt idx="70">
                  <c:v>#N/A</c:v>
                </c:pt>
                <c:pt idx="71">
                  <c:v>#N/A</c:v>
                </c:pt>
                <c:pt idx="72">
                  <c:v>#N/A</c:v>
                </c:pt>
                <c:pt idx="73">
                  <c:v>#N/A</c:v>
                </c:pt>
                <c:pt idx="74">
                  <c:v>#N/A</c:v>
                </c:pt>
                <c:pt idx="75">
                  <c:v>#N/A</c:v>
                </c:pt>
                <c:pt idx="76">
                  <c:v>#N/A</c:v>
                </c:pt>
                <c:pt idx="77">
                  <c:v>#N/A</c:v>
                </c:pt>
                <c:pt idx="78">
                  <c:v>#N/A</c:v>
                </c:pt>
                <c:pt idx="79">
                  <c:v>#N/A</c:v>
                </c:pt>
                <c:pt idx="80">
                  <c:v>#N/A</c:v>
                </c:pt>
                <c:pt idx="81">
                  <c:v>#N/A</c:v>
                </c:pt>
                <c:pt idx="82">
                  <c:v>#N/A</c:v>
                </c:pt>
                <c:pt idx="83">
                  <c:v>#N/A</c:v>
                </c:pt>
                <c:pt idx="84">
                  <c:v>#N/A</c:v>
                </c:pt>
              </c:numCache>
            </c:numRef>
          </c:val>
          <c:smooth val="0"/>
          <c:extLst>
            <c:ext xmlns:c16="http://schemas.microsoft.com/office/drawing/2014/chart" uri="{C3380CC4-5D6E-409C-BE32-E72D297353CC}">
              <c16:uniqueId val="{00000001-8016-49F4-80C8-E2689268787A}"/>
            </c:ext>
          </c:extLst>
        </c:ser>
        <c:ser>
          <c:idx val="12"/>
          <c:order val="13"/>
          <c:tx>
            <c:strRef>
              <c:f>'4.3.2 Data_Tidsseriefigurer'!$B$39</c:f>
              <c:strCache>
                <c:ptCount val="1"/>
                <c:pt idx="0">
                  <c:v>Endring i totale utslipp</c:v>
                </c:pt>
              </c:strCache>
            </c:strRef>
          </c:tx>
          <c:spPr>
            <a:ln w="28575" cap="rnd">
              <a:solidFill>
                <a:schemeClr val="accent1">
                  <a:lumMod val="80000"/>
                  <a:lumOff val="20000"/>
                </a:schemeClr>
              </a:solidFill>
              <a:round/>
            </a:ln>
            <a:effectLst/>
          </c:spPr>
          <c:marker>
            <c:symbol val="none"/>
          </c:marker>
          <c:val>
            <c:numRef>
              <c:f>'4.3.2 Data_Tidsseriefigurer'!$C$39:$CI$39</c:f>
              <c:numCache>
                <c:formatCode>General</c:formatCode>
                <c:ptCount val="85"/>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pt idx="43">
                  <c:v>#N/A</c:v>
                </c:pt>
                <c:pt idx="44">
                  <c:v>#N/A</c:v>
                </c:pt>
                <c:pt idx="45">
                  <c:v>#N/A</c:v>
                </c:pt>
                <c:pt idx="46">
                  <c:v>#N/A</c:v>
                </c:pt>
                <c:pt idx="47">
                  <c:v>#N/A</c:v>
                </c:pt>
                <c:pt idx="48">
                  <c:v>#N/A</c:v>
                </c:pt>
                <c:pt idx="49">
                  <c:v>#N/A</c:v>
                </c:pt>
                <c:pt idx="50">
                  <c:v>#N/A</c:v>
                </c:pt>
                <c:pt idx="51">
                  <c:v>#N/A</c:v>
                </c:pt>
                <c:pt idx="52">
                  <c:v>#N/A</c:v>
                </c:pt>
                <c:pt idx="53">
                  <c:v>#N/A</c:v>
                </c:pt>
                <c:pt idx="54">
                  <c:v>#N/A</c:v>
                </c:pt>
                <c:pt idx="55">
                  <c:v>#N/A</c:v>
                </c:pt>
                <c:pt idx="56">
                  <c:v>#N/A</c:v>
                </c:pt>
                <c:pt idx="57">
                  <c:v>#N/A</c:v>
                </c:pt>
                <c:pt idx="58">
                  <c:v>#N/A</c:v>
                </c:pt>
                <c:pt idx="59">
                  <c:v>#N/A</c:v>
                </c:pt>
                <c:pt idx="60">
                  <c:v>#N/A</c:v>
                </c:pt>
                <c:pt idx="61">
                  <c:v>#N/A</c:v>
                </c:pt>
                <c:pt idx="62">
                  <c:v>#N/A</c:v>
                </c:pt>
                <c:pt idx="63">
                  <c:v>#N/A</c:v>
                </c:pt>
                <c:pt idx="64">
                  <c:v>#N/A</c:v>
                </c:pt>
                <c:pt idx="65">
                  <c:v>#N/A</c:v>
                </c:pt>
                <c:pt idx="66">
                  <c:v>#N/A</c:v>
                </c:pt>
                <c:pt idx="67">
                  <c:v>#N/A</c:v>
                </c:pt>
                <c:pt idx="68">
                  <c:v>#N/A</c:v>
                </c:pt>
                <c:pt idx="69">
                  <c:v>#N/A</c:v>
                </c:pt>
                <c:pt idx="70">
                  <c:v>#N/A</c:v>
                </c:pt>
                <c:pt idx="71">
                  <c:v>#N/A</c:v>
                </c:pt>
                <c:pt idx="72">
                  <c:v>#N/A</c:v>
                </c:pt>
                <c:pt idx="73">
                  <c:v>#N/A</c:v>
                </c:pt>
                <c:pt idx="74">
                  <c:v>#N/A</c:v>
                </c:pt>
                <c:pt idx="75">
                  <c:v>#N/A</c:v>
                </c:pt>
                <c:pt idx="76">
                  <c:v>#N/A</c:v>
                </c:pt>
                <c:pt idx="77">
                  <c:v>#N/A</c:v>
                </c:pt>
                <c:pt idx="78">
                  <c:v>#N/A</c:v>
                </c:pt>
                <c:pt idx="79">
                  <c:v>#N/A</c:v>
                </c:pt>
                <c:pt idx="80">
                  <c:v>#N/A</c:v>
                </c:pt>
                <c:pt idx="81">
                  <c:v>#N/A</c:v>
                </c:pt>
                <c:pt idx="82">
                  <c:v>#N/A</c:v>
                </c:pt>
                <c:pt idx="83">
                  <c:v>#N/A</c:v>
                </c:pt>
                <c:pt idx="84">
                  <c:v>#N/A</c:v>
                </c:pt>
              </c:numCache>
            </c:numRef>
          </c:val>
          <c:smooth val="0"/>
          <c:extLst>
            <c:ext xmlns:c16="http://schemas.microsoft.com/office/drawing/2014/chart" uri="{C3380CC4-5D6E-409C-BE32-E72D297353CC}">
              <c16:uniqueId val="{00000001-8BC0-4B5B-977A-A49C1723F97B}"/>
            </c:ext>
          </c:extLst>
        </c:ser>
        <c:dLbls>
          <c:showLegendKey val="0"/>
          <c:showVal val="0"/>
          <c:showCatName val="0"/>
          <c:showSerName val="0"/>
          <c:showPercent val="0"/>
          <c:showBubbleSize val="0"/>
        </c:dLbls>
        <c:marker val="1"/>
        <c:smooth val="0"/>
        <c:axId val="297410655"/>
        <c:axId val="1439717327"/>
      </c:lineChart>
      <c:lineChart>
        <c:grouping val="standard"/>
        <c:varyColors val="0"/>
        <c:ser>
          <c:idx val="7"/>
          <c:order val="11"/>
          <c:tx>
            <c:strRef>
              <c:f>'4.3.2 Data_Tidsseriefigurer'!$B$40</c:f>
              <c:strCache>
                <c:ptCount val="1"/>
                <c:pt idx="0">
                  <c:v>Karbonprisbane, KPI-justert</c:v>
                </c:pt>
              </c:strCache>
            </c:strRef>
          </c:tx>
          <c:spPr>
            <a:ln w="28575" cap="rnd">
              <a:solidFill>
                <a:schemeClr val="accent2">
                  <a:lumMod val="60000"/>
                </a:schemeClr>
              </a:solidFill>
              <a:round/>
            </a:ln>
            <a:effectLst/>
          </c:spPr>
          <c:marker>
            <c:symbol val="none"/>
          </c:marker>
          <c:cat>
            <c:numRef>
              <c:f>'4.3.2 Data_Tidsseriefigurer'!$C$27:$CI$27</c:f>
              <c:numCache>
                <c:formatCode>General</c:formatCode>
                <c:ptCount val="85"/>
                <c:pt idx="0">
                  <c:v>-10</c:v>
                </c:pt>
                <c:pt idx="1">
                  <c:v>-9</c:v>
                </c:pt>
                <c:pt idx="2">
                  <c:v>-8</c:v>
                </c:pt>
                <c:pt idx="3">
                  <c:v>-7</c:v>
                </c:pt>
                <c:pt idx="4">
                  <c:v>-6</c:v>
                </c:pt>
                <c:pt idx="5">
                  <c:v>-5</c:v>
                </c:pt>
                <c:pt idx="6">
                  <c:v>-4</c:v>
                </c:pt>
                <c:pt idx="7">
                  <c:v>-3</c:v>
                </c:pt>
                <c:pt idx="8">
                  <c:v>-2</c:v>
                </c:pt>
                <c:pt idx="9">
                  <c:v>-1</c:v>
                </c:pt>
                <c:pt idx="10">
                  <c:v>0</c:v>
                </c:pt>
                <c:pt idx="11">
                  <c:v>1</c:v>
                </c:pt>
                <c:pt idx="12">
                  <c:v>2</c:v>
                </c:pt>
                <c:pt idx="13">
                  <c:v>3</c:v>
                </c:pt>
                <c:pt idx="14">
                  <c:v>4</c:v>
                </c:pt>
                <c:pt idx="15">
                  <c:v>5</c:v>
                </c:pt>
                <c:pt idx="16">
                  <c:v>6</c:v>
                </c:pt>
                <c:pt idx="17">
                  <c:v>7</c:v>
                </c:pt>
                <c:pt idx="18">
                  <c:v>8</c:v>
                </c:pt>
                <c:pt idx="19">
                  <c:v>9</c:v>
                </c:pt>
                <c:pt idx="20">
                  <c:v>10</c:v>
                </c:pt>
                <c:pt idx="21">
                  <c:v>11</c:v>
                </c:pt>
                <c:pt idx="22">
                  <c:v>12</c:v>
                </c:pt>
                <c:pt idx="23">
                  <c:v>13</c:v>
                </c:pt>
                <c:pt idx="24">
                  <c:v>14</c:v>
                </c:pt>
                <c:pt idx="25">
                  <c:v>15</c:v>
                </c:pt>
                <c:pt idx="26">
                  <c:v>16</c:v>
                </c:pt>
                <c:pt idx="27">
                  <c:v>17</c:v>
                </c:pt>
                <c:pt idx="28">
                  <c:v>18</c:v>
                </c:pt>
                <c:pt idx="29">
                  <c:v>19</c:v>
                </c:pt>
                <c:pt idx="30">
                  <c:v>20</c:v>
                </c:pt>
                <c:pt idx="31">
                  <c:v>21</c:v>
                </c:pt>
                <c:pt idx="32">
                  <c:v>22</c:v>
                </c:pt>
                <c:pt idx="33">
                  <c:v>23</c:v>
                </c:pt>
                <c:pt idx="34">
                  <c:v>24</c:v>
                </c:pt>
                <c:pt idx="35">
                  <c:v>25</c:v>
                </c:pt>
                <c:pt idx="36">
                  <c:v>26</c:v>
                </c:pt>
                <c:pt idx="37">
                  <c:v>27</c:v>
                </c:pt>
                <c:pt idx="38">
                  <c:v>28</c:v>
                </c:pt>
                <c:pt idx="39">
                  <c:v>29</c:v>
                </c:pt>
                <c:pt idx="40">
                  <c:v>30</c:v>
                </c:pt>
                <c:pt idx="41">
                  <c:v>31</c:v>
                </c:pt>
                <c:pt idx="42">
                  <c:v>32</c:v>
                </c:pt>
                <c:pt idx="43">
                  <c:v>33</c:v>
                </c:pt>
                <c:pt idx="44">
                  <c:v>34</c:v>
                </c:pt>
                <c:pt idx="45">
                  <c:v>35</c:v>
                </c:pt>
                <c:pt idx="46">
                  <c:v>36</c:v>
                </c:pt>
                <c:pt idx="47">
                  <c:v>37</c:v>
                </c:pt>
                <c:pt idx="48">
                  <c:v>38</c:v>
                </c:pt>
                <c:pt idx="49">
                  <c:v>39</c:v>
                </c:pt>
                <c:pt idx="50">
                  <c:v>40</c:v>
                </c:pt>
                <c:pt idx="51">
                  <c:v>41</c:v>
                </c:pt>
                <c:pt idx="52">
                  <c:v>42</c:v>
                </c:pt>
                <c:pt idx="53">
                  <c:v>43</c:v>
                </c:pt>
                <c:pt idx="54">
                  <c:v>44</c:v>
                </c:pt>
                <c:pt idx="55">
                  <c:v>45</c:v>
                </c:pt>
                <c:pt idx="56">
                  <c:v>46</c:v>
                </c:pt>
                <c:pt idx="57">
                  <c:v>47</c:v>
                </c:pt>
                <c:pt idx="58">
                  <c:v>48</c:v>
                </c:pt>
                <c:pt idx="59">
                  <c:v>49</c:v>
                </c:pt>
                <c:pt idx="60">
                  <c:v>50</c:v>
                </c:pt>
                <c:pt idx="61">
                  <c:v>51</c:v>
                </c:pt>
                <c:pt idx="62">
                  <c:v>52</c:v>
                </c:pt>
                <c:pt idx="63">
                  <c:v>53</c:v>
                </c:pt>
                <c:pt idx="64">
                  <c:v>54</c:v>
                </c:pt>
                <c:pt idx="65">
                  <c:v>55</c:v>
                </c:pt>
                <c:pt idx="66">
                  <c:v>56</c:v>
                </c:pt>
                <c:pt idx="67">
                  <c:v>57</c:v>
                </c:pt>
                <c:pt idx="68">
                  <c:v>58</c:v>
                </c:pt>
                <c:pt idx="69">
                  <c:v>59</c:v>
                </c:pt>
                <c:pt idx="70">
                  <c:v>60</c:v>
                </c:pt>
                <c:pt idx="71">
                  <c:v>61</c:v>
                </c:pt>
                <c:pt idx="72">
                  <c:v>62</c:v>
                </c:pt>
                <c:pt idx="73">
                  <c:v>63</c:v>
                </c:pt>
                <c:pt idx="74">
                  <c:v>64</c:v>
                </c:pt>
                <c:pt idx="75">
                  <c:v>65</c:v>
                </c:pt>
                <c:pt idx="76">
                  <c:v>66</c:v>
                </c:pt>
                <c:pt idx="77">
                  <c:v>67</c:v>
                </c:pt>
                <c:pt idx="78">
                  <c:v>68</c:v>
                </c:pt>
                <c:pt idx="79">
                  <c:v>69</c:v>
                </c:pt>
                <c:pt idx="80">
                  <c:v>70</c:v>
                </c:pt>
                <c:pt idx="81">
                  <c:v>71</c:v>
                </c:pt>
                <c:pt idx="82">
                  <c:v>72</c:v>
                </c:pt>
                <c:pt idx="83">
                  <c:v>73</c:v>
                </c:pt>
                <c:pt idx="84">
                  <c:v>74</c:v>
                </c:pt>
              </c:numCache>
            </c:numRef>
          </c:cat>
          <c:val>
            <c:numRef>
              <c:f>'4.3.2 Data_Tidsseriefigurer'!$C$40:$CI$40</c:f>
              <c:numCache>
                <c:formatCode>General</c:formatCode>
                <c:ptCount val="85"/>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pt idx="43">
                  <c:v>#N/A</c:v>
                </c:pt>
                <c:pt idx="44">
                  <c:v>#N/A</c:v>
                </c:pt>
                <c:pt idx="45">
                  <c:v>#N/A</c:v>
                </c:pt>
                <c:pt idx="46">
                  <c:v>#N/A</c:v>
                </c:pt>
                <c:pt idx="47">
                  <c:v>#N/A</c:v>
                </c:pt>
                <c:pt idx="48">
                  <c:v>#N/A</c:v>
                </c:pt>
                <c:pt idx="49">
                  <c:v>#N/A</c:v>
                </c:pt>
                <c:pt idx="50">
                  <c:v>#N/A</c:v>
                </c:pt>
                <c:pt idx="51">
                  <c:v>#N/A</c:v>
                </c:pt>
                <c:pt idx="52">
                  <c:v>#N/A</c:v>
                </c:pt>
                <c:pt idx="53">
                  <c:v>#N/A</c:v>
                </c:pt>
                <c:pt idx="54">
                  <c:v>#N/A</c:v>
                </c:pt>
                <c:pt idx="55">
                  <c:v>#N/A</c:v>
                </c:pt>
                <c:pt idx="56">
                  <c:v>#N/A</c:v>
                </c:pt>
                <c:pt idx="57">
                  <c:v>#N/A</c:v>
                </c:pt>
                <c:pt idx="58">
                  <c:v>#N/A</c:v>
                </c:pt>
                <c:pt idx="59">
                  <c:v>#N/A</c:v>
                </c:pt>
                <c:pt idx="60">
                  <c:v>#N/A</c:v>
                </c:pt>
                <c:pt idx="61">
                  <c:v>#N/A</c:v>
                </c:pt>
                <c:pt idx="62">
                  <c:v>#N/A</c:v>
                </c:pt>
                <c:pt idx="63">
                  <c:v>#N/A</c:v>
                </c:pt>
                <c:pt idx="64">
                  <c:v>#N/A</c:v>
                </c:pt>
                <c:pt idx="65">
                  <c:v>#N/A</c:v>
                </c:pt>
                <c:pt idx="66">
                  <c:v>#N/A</c:v>
                </c:pt>
                <c:pt idx="67">
                  <c:v>#N/A</c:v>
                </c:pt>
                <c:pt idx="68">
                  <c:v>#N/A</c:v>
                </c:pt>
                <c:pt idx="69">
                  <c:v>#N/A</c:v>
                </c:pt>
                <c:pt idx="70">
                  <c:v>#N/A</c:v>
                </c:pt>
                <c:pt idx="71">
                  <c:v>#N/A</c:v>
                </c:pt>
                <c:pt idx="72">
                  <c:v>#N/A</c:v>
                </c:pt>
                <c:pt idx="73">
                  <c:v>#N/A</c:v>
                </c:pt>
                <c:pt idx="74">
                  <c:v>#N/A</c:v>
                </c:pt>
                <c:pt idx="75">
                  <c:v>#N/A</c:v>
                </c:pt>
                <c:pt idx="76">
                  <c:v>#N/A</c:v>
                </c:pt>
                <c:pt idx="77">
                  <c:v>#N/A</c:v>
                </c:pt>
                <c:pt idx="78">
                  <c:v>#N/A</c:v>
                </c:pt>
                <c:pt idx="79">
                  <c:v>#N/A</c:v>
                </c:pt>
                <c:pt idx="80">
                  <c:v>#N/A</c:v>
                </c:pt>
                <c:pt idx="81">
                  <c:v>#N/A</c:v>
                </c:pt>
                <c:pt idx="82">
                  <c:v>#N/A</c:v>
                </c:pt>
                <c:pt idx="83">
                  <c:v>#N/A</c:v>
                </c:pt>
                <c:pt idx="84">
                  <c:v>#N/A</c:v>
                </c:pt>
              </c:numCache>
            </c:numRef>
          </c:val>
          <c:smooth val="0"/>
          <c:extLst>
            <c:ext xmlns:c16="http://schemas.microsoft.com/office/drawing/2014/chart" uri="{C3380CC4-5D6E-409C-BE32-E72D297353CC}">
              <c16:uniqueId val="{00000009-CEAF-4128-8AAA-112C0BD2A7D6}"/>
            </c:ext>
          </c:extLst>
        </c:ser>
        <c:ser>
          <c:idx val="8"/>
          <c:order val="12"/>
          <c:tx>
            <c:strRef>
              <c:f>'4.3.2 Data_Tidsseriefigurer'!$B$41</c:f>
              <c:strCache>
                <c:ptCount val="1"/>
                <c:pt idx="0">
                  <c:v>CO2-avgiftsbane, KPI-justert</c:v>
                </c:pt>
              </c:strCache>
            </c:strRef>
          </c:tx>
          <c:spPr>
            <a:ln w="28575" cap="rnd">
              <a:solidFill>
                <a:schemeClr val="accent3">
                  <a:lumMod val="60000"/>
                </a:schemeClr>
              </a:solidFill>
              <a:round/>
            </a:ln>
            <a:effectLst/>
          </c:spPr>
          <c:marker>
            <c:symbol val="none"/>
          </c:marker>
          <c:cat>
            <c:numRef>
              <c:f>'4.3.2 Data_Tidsseriefigurer'!$C$27:$CI$27</c:f>
              <c:numCache>
                <c:formatCode>General</c:formatCode>
                <c:ptCount val="85"/>
                <c:pt idx="0">
                  <c:v>-10</c:v>
                </c:pt>
                <c:pt idx="1">
                  <c:v>-9</c:v>
                </c:pt>
                <c:pt idx="2">
                  <c:v>-8</c:v>
                </c:pt>
                <c:pt idx="3">
                  <c:v>-7</c:v>
                </c:pt>
                <c:pt idx="4">
                  <c:v>-6</c:v>
                </c:pt>
                <c:pt idx="5">
                  <c:v>-5</c:v>
                </c:pt>
                <c:pt idx="6">
                  <c:v>-4</c:v>
                </c:pt>
                <c:pt idx="7">
                  <c:v>-3</c:v>
                </c:pt>
                <c:pt idx="8">
                  <c:v>-2</c:v>
                </c:pt>
                <c:pt idx="9">
                  <c:v>-1</c:v>
                </c:pt>
                <c:pt idx="10">
                  <c:v>0</c:v>
                </c:pt>
                <c:pt idx="11">
                  <c:v>1</c:v>
                </c:pt>
                <c:pt idx="12">
                  <c:v>2</c:v>
                </c:pt>
                <c:pt idx="13">
                  <c:v>3</c:v>
                </c:pt>
                <c:pt idx="14">
                  <c:v>4</c:v>
                </c:pt>
                <c:pt idx="15">
                  <c:v>5</c:v>
                </c:pt>
                <c:pt idx="16">
                  <c:v>6</c:v>
                </c:pt>
                <c:pt idx="17">
                  <c:v>7</c:v>
                </c:pt>
                <c:pt idx="18">
                  <c:v>8</c:v>
                </c:pt>
                <c:pt idx="19">
                  <c:v>9</c:v>
                </c:pt>
                <c:pt idx="20">
                  <c:v>10</c:v>
                </c:pt>
                <c:pt idx="21">
                  <c:v>11</c:v>
                </c:pt>
                <c:pt idx="22">
                  <c:v>12</c:v>
                </c:pt>
                <c:pt idx="23">
                  <c:v>13</c:v>
                </c:pt>
                <c:pt idx="24">
                  <c:v>14</c:v>
                </c:pt>
                <c:pt idx="25">
                  <c:v>15</c:v>
                </c:pt>
                <c:pt idx="26">
                  <c:v>16</c:v>
                </c:pt>
                <c:pt idx="27">
                  <c:v>17</c:v>
                </c:pt>
                <c:pt idx="28">
                  <c:v>18</c:v>
                </c:pt>
                <c:pt idx="29">
                  <c:v>19</c:v>
                </c:pt>
                <c:pt idx="30">
                  <c:v>20</c:v>
                </c:pt>
                <c:pt idx="31">
                  <c:v>21</c:v>
                </c:pt>
                <c:pt idx="32">
                  <c:v>22</c:v>
                </c:pt>
                <c:pt idx="33">
                  <c:v>23</c:v>
                </c:pt>
                <c:pt idx="34">
                  <c:v>24</c:v>
                </c:pt>
                <c:pt idx="35">
                  <c:v>25</c:v>
                </c:pt>
                <c:pt idx="36">
                  <c:v>26</c:v>
                </c:pt>
                <c:pt idx="37">
                  <c:v>27</c:v>
                </c:pt>
                <c:pt idx="38">
                  <c:v>28</c:v>
                </c:pt>
                <c:pt idx="39">
                  <c:v>29</c:v>
                </c:pt>
                <c:pt idx="40">
                  <c:v>30</c:v>
                </c:pt>
                <c:pt idx="41">
                  <c:v>31</c:v>
                </c:pt>
                <c:pt idx="42">
                  <c:v>32</c:v>
                </c:pt>
                <c:pt idx="43">
                  <c:v>33</c:v>
                </c:pt>
                <c:pt idx="44">
                  <c:v>34</c:v>
                </c:pt>
                <c:pt idx="45">
                  <c:v>35</c:v>
                </c:pt>
                <c:pt idx="46">
                  <c:v>36</c:v>
                </c:pt>
                <c:pt idx="47">
                  <c:v>37</c:v>
                </c:pt>
                <c:pt idx="48">
                  <c:v>38</c:v>
                </c:pt>
                <c:pt idx="49">
                  <c:v>39</c:v>
                </c:pt>
                <c:pt idx="50">
                  <c:v>40</c:v>
                </c:pt>
                <c:pt idx="51">
                  <c:v>41</c:v>
                </c:pt>
                <c:pt idx="52">
                  <c:v>42</c:v>
                </c:pt>
                <c:pt idx="53">
                  <c:v>43</c:v>
                </c:pt>
                <c:pt idx="54">
                  <c:v>44</c:v>
                </c:pt>
                <c:pt idx="55">
                  <c:v>45</c:v>
                </c:pt>
                <c:pt idx="56">
                  <c:v>46</c:v>
                </c:pt>
                <c:pt idx="57">
                  <c:v>47</c:v>
                </c:pt>
                <c:pt idx="58">
                  <c:v>48</c:v>
                </c:pt>
                <c:pt idx="59">
                  <c:v>49</c:v>
                </c:pt>
                <c:pt idx="60">
                  <c:v>50</c:v>
                </c:pt>
                <c:pt idx="61">
                  <c:v>51</c:v>
                </c:pt>
                <c:pt idx="62">
                  <c:v>52</c:v>
                </c:pt>
                <c:pt idx="63">
                  <c:v>53</c:v>
                </c:pt>
                <c:pt idx="64">
                  <c:v>54</c:v>
                </c:pt>
                <c:pt idx="65">
                  <c:v>55</c:v>
                </c:pt>
                <c:pt idx="66">
                  <c:v>56</c:v>
                </c:pt>
                <c:pt idx="67">
                  <c:v>57</c:v>
                </c:pt>
                <c:pt idx="68">
                  <c:v>58</c:v>
                </c:pt>
                <c:pt idx="69">
                  <c:v>59</c:v>
                </c:pt>
                <c:pt idx="70">
                  <c:v>60</c:v>
                </c:pt>
                <c:pt idx="71">
                  <c:v>61</c:v>
                </c:pt>
                <c:pt idx="72">
                  <c:v>62</c:v>
                </c:pt>
                <c:pt idx="73">
                  <c:v>63</c:v>
                </c:pt>
                <c:pt idx="74">
                  <c:v>64</c:v>
                </c:pt>
                <c:pt idx="75">
                  <c:v>65</c:v>
                </c:pt>
                <c:pt idx="76">
                  <c:v>66</c:v>
                </c:pt>
                <c:pt idx="77">
                  <c:v>67</c:v>
                </c:pt>
                <c:pt idx="78">
                  <c:v>68</c:v>
                </c:pt>
                <c:pt idx="79">
                  <c:v>69</c:v>
                </c:pt>
                <c:pt idx="80">
                  <c:v>70</c:v>
                </c:pt>
                <c:pt idx="81">
                  <c:v>71</c:v>
                </c:pt>
                <c:pt idx="82">
                  <c:v>72</c:v>
                </c:pt>
                <c:pt idx="83">
                  <c:v>73</c:v>
                </c:pt>
                <c:pt idx="84">
                  <c:v>74</c:v>
                </c:pt>
              </c:numCache>
            </c:numRef>
          </c:cat>
          <c:val>
            <c:numRef>
              <c:f>'4.3.2 Data_Tidsseriefigurer'!$C$41:$CI$41</c:f>
              <c:numCache>
                <c:formatCode>General</c:formatCode>
                <c:ptCount val="85"/>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pt idx="43">
                  <c:v>#N/A</c:v>
                </c:pt>
                <c:pt idx="44">
                  <c:v>#N/A</c:v>
                </c:pt>
                <c:pt idx="45">
                  <c:v>#N/A</c:v>
                </c:pt>
                <c:pt idx="46">
                  <c:v>#N/A</c:v>
                </c:pt>
                <c:pt idx="47">
                  <c:v>#N/A</c:v>
                </c:pt>
                <c:pt idx="48">
                  <c:v>#N/A</c:v>
                </c:pt>
                <c:pt idx="49">
                  <c:v>#N/A</c:v>
                </c:pt>
                <c:pt idx="50">
                  <c:v>#N/A</c:v>
                </c:pt>
                <c:pt idx="51">
                  <c:v>#N/A</c:v>
                </c:pt>
                <c:pt idx="52">
                  <c:v>#N/A</c:v>
                </c:pt>
                <c:pt idx="53">
                  <c:v>#N/A</c:v>
                </c:pt>
                <c:pt idx="54">
                  <c:v>#N/A</c:v>
                </c:pt>
                <c:pt idx="55">
                  <c:v>#N/A</c:v>
                </c:pt>
                <c:pt idx="56">
                  <c:v>#N/A</c:v>
                </c:pt>
                <c:pt idx="57">
                  <c:v>#N/A</c:v>
                </c:pt>
                <c:pt idx="58">
                  <c:v>#N/A</c:v>
                </c:pt>
                <c:pt idx="59">
                  <c:v>#N/A</c:v>
                </c:pt>
                <c:pt idx="60">
                  <c:v>#N/A</c:v>
                </c:pt>
                <c:pt idx="61">
                  <c:v>#N/A</c:v>
                </c:pt>
                <c:pt idx="62">
                  <c:v>#N/A</c:v>
                </c:pt>
                <c:pt idx="63">
                  <c:v>#N/A</c:v>
                </c:pt>
                <c:pt idx="64">
                  <c:v>#N/A</c:v>
                </c:pt>
                <c:pt idx="65">
                  <c:v>#N/A</c:v>
                </c:pt>
                <c:pt idx="66">
                  <c:v>#N/A</c:v>
                </c:pt>
                <c:pt idx="67">
                  <c:v>#N/A</c:v>
                </c:pt>
                <c:pt idx="68">
                  <c:v>#N/A</c:v>
                </c:pt>
                <c:pt idx="69">
                  <c:v>#N/A</c:v>
                </c:pt>
                <c:pt idx="70">
                  <c:v>#N/A</c:v>
                </c:pt>
                <c:pt idx="71">
                  <c:v>#N/A</c:v>
                </c:pt>
                <c:pt idx="72">
                  <c:v>#N/A</c:v>
                </c:pt>
                <c:pt idx="73">
                  <c:v>#N/A</c:v>
                </c:pt>
                <c:pt idx="74">
                  <c:v>#N/A</c:v>
                </c:pt>
                <c:pt idx="75">
                  <c:v>#N/A</c:v>
                </c:pt>
                <c:pt idx="76">
                  <c:v>#N/A</c:v>
                </c:pt>
                <c:pt idx="77">
                  <c:v>#N/A</c:v>
                </c:pt>
                <c:pt idx="78">
                  <c:v>#N/A</c:v>
                </c:pt>
                <c:pt idx="79">
                  <c:v>#N/A</c:v>
                </c:pt>
                <c:pt idx="80">
                  <c:v>#N/A</c:v>
                </c:pt>
                <c:pt idx="81">
                  <c:v>#N/A</c:v>
                </c:pt>
                <c:pt idx="82">
                  <c:v>#N/A</c:v>
                </c:pt>
                <c:pt idx="83">
                  <c:v>#N/A</c:v>
                </c:pt>
                <c:pt idx="84">
                  <c:v>#N/A</c:v>
                </c:pt>
              </c:numCache>
            </c:numRef>
          </c:val>
          <c:smooth val="0"/>
          <c:extLst>
            <c:ext xmlns:c16="http://schemas.microsoft.com/office/drawing/2014/chart" uri="{C3380CC4-5D6E-409C-BE32-E72D297353CC}">
              <c16:uniqueId val="{0000000A-CEAF-4128-8AAA-112C0BD2A7D6}"/>
            </c:ext>
          </c:extLst>
        </c:ser>
        <c:dLbls>
          <c:showLegendKey val="0"/>
          <c:showVal val="0"/>
          <c:showCatName val="0"/>
          <c:showSerName val="0"/>
          <c:showPercent val="0"/>
          <c:showBubbleSize val="0"/>
        </c:dLbls>
        <c:marker val="1"/>
        <c:smooth val="0"/>
        <c:axId val="244201887"/>
        <c:axId val="268449375"/>
      </c:lineChart>
      <c:dateAx>
        <c:axId val="297410655"/>
        <c:scaling>
          <c:orientation val="minMax"/>
          <c:max val="2104"/>
          <c:min val="2029"/>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Franklin Gothic Book" panose="020B0503020102020204" pitchFamily="34" charset="0"/>
                <a:ea typeface="+mn-ea"/>
                <a:cs typeface="+mn-cs"/>
              </a:defRPr>
            </a:pPr>
            <a:endParaRPr lang="nb-NO"/>
          </a:p>
        </c:txPr>
        <c:crossAx val="1439717327"/>
        <c:crosses val="autoZero"/>
        <c:auto val="0"/>
        <c:lblOffset val="100"/>
        <c:baseTimeUnit val="days"/>
        <c:majorUnit val="5"/>
      </c:dateAx>
      <c:valAx>
        <c:axId val="1439717327"/>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200" b="0" i="0" u="none" strike="noStrike" kern="1200" baseline="0">
                    <a:solidFill>
                      <a:schemeClr val="tx1">
                        <a:lumMod val="65000"/>
                        <a:lumOff val="35000"/>
                      </a:schemeClr>
                    </a:solidFill>
                    <a:latin typeface="Franklin Gothic Book" panose="020B0503020102020204" pitchFamily="34" charset="0"/>
                    <a:ea typeface="+mn-ea"/>
                    <a:cs typeface="+mn-cs"/>
                  </a:defRPr>
                </a:pPr>
                <a:r>
                  <a:rPr lang="nb-NO" sz="1200">
                    <a:latin typeface="Franklin Gothic Book" panose="020B0503020102020204" pitchFamily="34" charset="0"/>
                  </a:rPr>
                  <a:t>Millioner kroner</a:t>
                </a:r>
              </a:p>
            </c:rich>
          </c:tx>
          <c:overlay val="0"/>
          <c:spPr>
            <a:noFill/>
            <a:ln>
              <a:noFill/>
            </a:ln>
            <a:effectLst/>
          </c:spPr>
          <c:txPr>
            <a:bodyPr rot="-5400000" spcFirstLastPara="1" vertOverflow="ellipsis" vert="horz" wrap="square" anchor="ctr" anchorCtr="1"/>
            <a:lstStyle/>
            <a:p>
              <a:pPr>
                <a:defRPr sz="1200" b="0" i="0" u="none" strike="noStrike" kern="1200" baseline="0">
                  <a:solidFill>
                    <a:schemeClr val="tx1">
                      <a:lumMod val="65000"/>
                      <a:lumOff val="35000"/>
                    </a:schemeClr>
                  </a:solidFill>
                  <a:latin typeface="Franklin Gothic Book" panose="020B0503020102020204" pitchFamily="34" charset="0"/>
                  <a:ea typeface="+mn-ea"/>
                  <a:cs typeface="+mn-cs"/>
                </a:defRPr>
              </a:pPr>
              <a:endParaRPr lang="nb-NO"/>
            </a:p>
          </c:txPr>
        </c:title>
        <c:numFmt formatCode="#,##0.0" sourceLinked="0"/>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Franklin Gothic Book" panose="020B0503020102020204" pitchFamily="34" charset="0"/>
                <a:ea typeface="+mn-ea"/>
                <a:cs typeface="+mn-cs"/>
              </a:defRPr>
            </a:pPr>
            <a:endParaRPr lang="nb-NO"/>
          </a:p>
        </c:txPr>
        <c:crossAx val="297410655"/>
        <c:crosses val="autoZero"/>
        <c:crossBetween val="between"/>
      </c:valAx>
      <c:valAx>
        <c:axId val="268449375"/>
        <c:scaling>
          <c:orientation val="minMax"/>
        </c:scaling>
        <c:delete val="0"/>
        <c:axPos val="r"/>
        <c:title>
          <c:tx>
            <c:rich>
              <a:bodyPr rot="5400000" spcFirstLastPara="1" vertOverflow="ellipsis" wrap="square" anchor="ctr" anchorCtr="1"/>
              <a:lstStyle/>
              <a:p>
                <a:pPr>
                  <a:defRPr sz="1200" b="0" i="0" u="none" strike="noStrike" kern="1200" baseline="0">
                    <a:solidFill>
                      <a:schemeClr val="tx1">
                        <a:lumMod val="65000"/>
                        <a:lumOff val="35000"/>
                      </a:schemeClr>
                    </a:solidFill>
                    <a:latin typeface="Franklin Gothic Book" panose="020B0503020102020204" pitchFamily="34" charset="0"/>
                    <a:ea typeface="+mn-ea"/>
                    <a:cs typeface="+mn-cs"/>
                  </a:defRPr>
                </a:pPr>
                <a:r>
                  <a:rPr lang="nb-NO" sz="1200">
                    <a:latin typeface="Franklin Gothic Book" panose="020B0503020102020204" pitchFamily="34" charset="0"/>
                  </a:rPr>
                  <a:t>CO2-avgift/Karbonprisbane,</a:t>
                </a:r>
                <a:r>
                  <a:rPr lang="nb-NO" sz="1200" baseline="0">
                    <a:latin typeface="Franklin Gothic Book" panose="020B0503020102020204" pitchFamily="34" charset="0"/>
                  </a:rPr>
                  <a:t> kroner/tonn</a:t>
                </a:r>
                <a:endParaRPr lang="nb-NO" sz="1200">
                  <a:latin typeface="Franklin Gothic Book" panose="020B0503020102020204" pitchFamily="34" charset="0"/>
                </a:endParaRPr>
              </a:p>
            </c:rich>
          </c:tx>
          <c:overlay val="0"/>
          <c:spPr>
            <a:noFill/>
            <a:ln>
              <a:noFill/>
            </a:ln>
            <a:effectLst/>
          </c:spPr>
          <c:txPr>
            <a:bodyPr rot="5400000" spcFirstLastPara="1" vertOverflow="ellipsis" wrap="square" anchor="ctr" anchorCtr="1"/>
            <a:lstStyle/>
            <a:p>
              <a:pPr>
                <a:defRPr sz="1200" b="0" i="0" u="none" strike="noStrike" kern="1200" baseline="0">
                  <a:solidFill>
                    <a:schemeClr val="tx1">
                      <a:lumMod val="65000"/>
                      <a:lumOff val="35000"/>
                    </a:schemeClr>
                  </a:solidFill>
                  <a:latin typeface="Franklin Gothic Book" panose="020B0503020102020204" pitchFamily="34" charset="0"/>
                  <a:ea typeface="+mn-ea"/>
                  <a:cs typeface="+mn-cs"/>
                </a:defRPr>
              </a:pPr>
              <a:endParaRPr lang="nb-NO"/>
            </a:p>
          </c:txPr>
        </c:title>
        <c:numFmt formatCode="#,##0" sourceLinked="0"/>
        <c:majorTickMark val="out"/>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Franklin Gothic Book" panose="020B0503020102020204" pitchFamily="34" charset="0"/>
                <a:ea typeface="+mn-ea"/>
                <a:cs typeface="+mn-cs"/>
              </a:defRPr>
            </a:pPr>
            <a:endParaRPr lang="nb-NO"/>
          </a:p>
        </c:txPr>
        <c:crossAx val="244201887"/>
        <c:crosses val="max"/>
        <c:crossBetween val="between"/>
      </c:valAx>
      <c:catAx>
        <c:axId val="244201887"/>
        <c:scaling>
          <c:orientation val="minMax"/>
        </c:scaling>
        <c:delete val="1"/>
        <c:axPos val="b"/>
        <c:numFmt formatCode="General" sourceLinked="1"/>
        <c:majorTickMark val="out"/>
        <c:minorTickMark val="none"/>
        <c:tickLblPos val="nextTo"/>
        <c:crossAx val="268449375"/>
        <c:crosses val="autoZero"/>
        <c:auto val="1"/>
        <c:lblAlgn val="ctr"/>
        <c:lblOffset val="100"/>
        <c:noMultiLvlLbl val="0"/>
      </c:catAx>
      <c:spPr>
        <a:noFill/>
        <a:ln>
          <a:noFill/>
        </a:ln>
        <a:effectLst/>
      </c:spPr>
    </c:plotArea>
    <c:legend>
      <c:legendPos val="b"/>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Franklin Gothic Book" panose="020B0503020102020204" pitchFamily="34" charset="0"/>
              <a:ea typeface="+mn-ea"/>
              <a:cs typeface="+mn-cs"/>
            </a:defRPr>
          </a:pPr>
          <a:endParaRPr lang="nb-N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nb-NO"/>
    </a:p>
  </c:txPr>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b-NO"/>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'4.3.2 Data_Tidsseriefigurer'!$C$62</c:f>
          <c:strCache>
            <c:ptCount val="1"/>
            <c:pt idx="0">
              <c:v>Budsjettvirkninger for det offentlige, mill. -kr</c:v>
            </c:pt>
          </c:strCache>
        </c:strRef>
      </c:tx>
      <c:overlay val="0"/>
      <c:spPr>
        <a:noFill/>
        <a:ln>
          <a:noFill/>
        </a:ln>
        <a:effectLst/>
      </c:spPr>
      <c:txPr>
        <a:bodyPr rot="0" spcFirstLastPara="1" vertOverflow="ellipsis" vert="horz" wrap="square" anchor="ctr" anchorCtr="1"/>
        <a:lstStyle/>
        <a:p>
          <a:pPr>
            <a:defRPr sz="1600" b="0" i="0" u="none" strike="noStrike" kern="1200" spc="0" baseline="0">
              <a:solidFill>
                <a:schemeClr val="tx1">
                  <a:lumMod val="65000"/>
                  <a:lumOff val="35000"/>
                </a:schemeClr>
              </a:solidFill>
              <a:latin typeface="Franklin Gothic Book" panose="020B0503020102020204" pitchFamily="34" charset="0"/>
              <a:ea typeface="+mn-ea"/>
              <a:cs typeface="+mn-cs"/>
            </a:defRPr>
          </a:pPr>
          <a:endParaRPr lang="nb-NO"/>
        </a:p>
      </c:txPr>
    </c:title>
    <c:autoTitleDeleted val="0"/>
    <c:plotArea>
      <c:layout>
        <c:manualLayout>
          <c:layoutTarget val="inner"/>
          <c:xMode val="edge"/>
          <c:yMode val="edge"/>
          <c:x val="8.3619259259259254E-2"/>
          <c:y val="0.1060440286351471"/>
          <c:w val="0.87173666666666672"/>
          <c:h val="0.81630586021410478"/>
        </c:manualLayout>
      </c:layout>
      <c:barChart>
        <c:barDir val="col"/>
        <c:grouping val="clustered"/>
        <c:varyColors val="0"/>
        <c:ser>
          <c:idx val="4"/>
          <c:order val="0"/>
          <c:tx>
            <c:strRef>
              <c:f>'4.3.2 Data_Tidsseriefigurer'!$B$66</c:f>
              <c:strCache>
                <c:ptCount val="1"/>
                <c:pt idx="0">
                  <c:v>Investeringer  </c:v>
                </c:pt>
              </c:strCache>
            </c:strRef>
          </c:tx>
          <c:spPr>
            <a:solidFill>
              <a:srgbClr val="B9CDE5"/>
            </a:solidFill>
            <a:ln>
              <a:noFill/>
            </a:ln>
            <a:effectLst/>
          </c:spPr>
          <c:invertIfNegative val="0"/>
          <c:cat>
            <c:numRef>
              <c:f>'4.3.2 Data_Tidsseriefigurer'!$C$65:$CI$65</c:f>
              <c:numCache>
                <c:formatCode>General</c:formatCode>
                <c:ptCount val="85"/>
                <c:pt idx="0">
                  <c:v>-10</c:v>
                </c:pt>
                <c:pt idx="1">
                  <c:v>-9</c:v>
                </c:pt>
                <c:pt idx="2">
                  <c:v>-8</c:v>
                </c:pt>
                <c:pt idx="3">
                  <c:v>-7</c:v>
                </c:pt>
                <c:pt idx="4">
                  <c:v>-6</c:v>
                </c:pt>
                <c:pt idx="5">
                  <c:v>-5</c:v>
                </c:pt>
                <c:pt idx="6">
                  <c:v>-4</c:v>
                </c:pt>
                <c:pt idx="7">
                  <c:v>-3</c:v>
                </c:pt>
                <c:pt idx="8">
                  <c:v>-2</c:v>
                </c:pt>
                <c:pt idx="9">
                  <c:v>-1</c:v>
                </c:pt>
                <c:pt idx="10">
                  <c:v>0</c:v>
                </c:pt>
                <c:pt idx="11">
                  <c:v>1</c:v>
                </c:pt>
                <c:pt idx="12">
                  <c:v>2</c:v>
                </c:pt>
                <c:pt idx="13">
                  <c:v>3</c:v>
                </c:pt>
                <c:pt idx="14">
                  <c:v>4</c:v>
                </c:pt>
                <c:pt idx="15">
                  <c:v>5</c:v>
                </c:pt>
                <c:pt idx="16">
                  <c:v>6</c:v>
                </c:pt>
                <c:pt idx="17">
                  <c:v>7</c:v>
                </c:pt>
                <c:pt idx="18">
                  <c:v>8</c:v>
                </c:pt>
                <c:pt idx="19">
                  <c:v>9</c:v>
                </c:pt>
                <c:pt idx="20">
                  <c:v>10</c:v>
                </c:pt>
                <c:pt idx="21">
                  <c:v>11</c:v>
                </c:pt>
                <c:pt idx="22">
                  <c:v>12</c:v>
                </c:pt>
                <c:pt idx="23">
                  <c:v>13</c:v>
                </c:pt>
                <c:pt idx="24">
                  <c:v>14</c:v>
                </c:pt>
                <c:pt idx="25">
                  <c:v>15</c:v>
                </c:pt>
                <c:pt idx="26">
                  <c:v>16</c:v>
                </c:pt>
                <c:pt idx="27">
                  <c:v>17</c:v>
                </c:pt>
                <c:pt idx="28">
                  <c:v>18</c:v>
                </c:pt>
                <c:pt idx="29">
                  <c:v>19</c:v>
                </c:pt>
                <c:pt idx="30">
                  <c:v>20</c:v>
                </c:pt>
                <c:pt idx="31">
                  <c:v>21</c:v>
                </c:pt>
                <c:pt idx="32">
                  <c:v>22</c:v>
                </c:pt>
                <c:pt idx="33">
                  <c:v>23</c:v>
                </c:pt>
                <c:pt idx="34">
                  <c:v>24</c:v>
                </c:pt>
                <c:pt idx="35">
                  <c:v>25</c:v>
                </c:pt>
                <c:pt idx="36">
                  <c:v>26</c:v>
                </c:pt>
                <c:pt idx="37">
                  <c:v>27</c:v>
                </c:pt>
                <c:pt idx="38">
                  <c:v>28</c:v>
                </c:pt>
                <c:pt idx="39">
                  <c:v>29</c:v>
                </c:pt>
                <c:pt idx="40">
                  <c:v>30</c:v>
                </c:pt>
                <c:pt idx="41">
                  <c:v>31</c:v>
                </c:pt>
                <c:pt idx="42">
                  <c:v>32</c:v>
                </c:pt>
                <c:pt idx="43">
                  <c:v>33</c:v>
                </c:pt>
                <c:pt idx="44">
                  <c:v>34</c:v>
                </c:pt>
                <c:pt idx="45">
                  <c:v>35</c:v>
                </c:pt>
                <c:pt idx="46">
                  <c:v>36</c:v>
                </c:pt>
                <c:pt idx="47">
                  <c:v>37</c:v>
                </c:pt>
                <c:pt idx="48">
                  <c:v>38</c:v>
                </c:pt>
                <c:pt idx="49">
                  <c:v>39</c:v>
                </c:pt>
                <c:pt idx="50">
                  <c:v>40</c:v>
                </c:pt>
                <c:pt idx="51">
                  <c:v>41</c:v>
                </c:pt>
                <c:pt idx="52">
                  <c:v>42</c:v>
                </c:pt>
                <c:pt idx="53">
                  <c:v>43</c:v>
                </c:pt>
                <c:pt idx="54">
                  <c:v>44</c:v>
                </c:pt>
                <c:pt idx="55">
                  <c:v>45</c:v>
                </c:pt>
                <c:pt idx="56">
                  <c:v>46</c:v>
                </c:pt>
                <c:pt idx="57">
                  <c:v>47</c:v>
                </c:pt>
                <c:pt idx="58">
                  <c:v>48</c:v>
                </c:pt>
                <c:pt idx="59">
                  <c:v>49</c:v>
                </c:pt>
                <c:pt idx="60">
                  <c:v>50</c:v>
                </c:pt>
                <c:pt idx="61">
                  <c:v>51</c:v>
                </c:pt>
                <c:pt idx="62">
                  <c:v>52</c:v>
                </c:pt>
                <c:pt idx="63">
                  <c:v>53</c:v>
                </c:pt>
                <c:pt idx="64">
                  <c:v>54</c:v>
                </c:pt>
                <c:pt idx="65">
                  <c:v>55</c:v>
                </c:pt>
                <c:pt idx="66">
                  <c:v>56</c:v>
                </c:pt>
                <c:pt idx="67">
                  <c:v>57</c:v>
                </c:pt>
                <c:pt idx="68">
                  <c:v>58</c:v>
                </c:pt>
                <c:pt idx="69">
                  <c:v>59</c:v>
                </c:pt>
                <c:pt idx="70">
                  <c:v>60</c:v>
                </c:pt>
                <c:pt idx="71">
                  <c:v>61</c:v>
                </c:pt>
                <c:pt idx="72">
                  <c:v>62</c:v>
                </c:pt>
                <c:pt idx="73">
                  <c:v>63</c:v>
                </c:pt>
                <c:pt idx="74">
                  <c:v>64</c:v>
                </c:pt>
                <c:pt idx="75">
                  <c:v>65</c:v>
                </c:pt>
                <c:pt idx="76">
                  <c:v>66</c:v>
                </c:pt>
                <c:pt idx="77">
                  <c:v>67</c:v>
                </c:pt>
                <c:pt idx="78">
                  <c:v>68</c:v>
                </c:pt>
                <c:pt idx="79">
                  <c:v>69</c:v>
                </c:pt>
                <c:pt idx="80">
                  <c:v>70</c:v>
                </c:pt>
                <c:pt idx="81">
                  <c:v>71</c:v>
                </c:pt>
                <c:pt idx="82">
                  <c:v>72</c:v>
                </c:pt>
                <c:pt idx="83">
                  <c:v>73</c:v>
                </c:pt>
                <c:pt idx="84">
                  <c:v>74</c:v>
                </c:pt>
              </c:numCache>
            </c:numRef>
          </c:cat>
          <c:val>
            <c:numRef>
              <c:f>'4.3.2 Data_Tidsseriefigurer'!$C$66:$CI$66</c:f>
              <c:numCache>
                <c:formatCode>General</c:formatCode>
                <c:ptCount val="8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numCache>
            </c:numRef>
          </c:val>
          <c:extLst>
            <c:ext xmlns:c16="http://schemas.microsoft.com/office/drawing/2014/chart" uri="{C3380CC4-5D6E-409C-BE32-E72D297353CC}">
              <c16:uniqueId val="{00000004-1EDF-42A4-B418-B8ED7D17B66C}"/>
            </c:ext>
          </c:extLst>
        </c:ser>
        <c:ser>
          <c:idx val="0"/>
          <c:order val="1"/>
          <c:tx>
            <c:strRef>
              <c:f>'4.3.2 Data_Tidsseriefigurer'!$B$67</c:f>
              <c:strCache>
                <c:ptCount val="1"/>
                <c:pt idx="0">
                  <c:v>Reinvesteringer</c:v>
                </c:pt>
              </c:strCache>
            </c:strRef>
          </c:tx>
          <c:spPr>
            <a:solidFill>
              <a:schemeClr val="accent1"/>
            </a:solidFill>
            <a:ln>
              <a:noFill/>
            </a:ln>
            <a:effectLst/>
          </c:spPr>
          <c:invertIfNegative val="0"/>
          <c:cat>
            <c:numRef>
              <c:f>'4.3.2 Data_Tidsseriefigurer'!$C$65:$CI$65</c:f>
              <c:numCache>
                <c:formatCode>General</c:formatCode>
                <c:ptCount val="85"/>
                <c:pt idx="0">
                  <c:v>-10</c:v>
                </c:pt>
                <c:pt idx="1">
                  <c:v>-9</c:v>
                </c:pt>
                <c:pt idx="2">
                  <c:v>-8</c:v>
                </c:pt>
                <c:pt idx="3">
                  <c:v>-7</c:v>
                </c:pt>
                <c:pt idx="4">
                  <c:v>-6</c:v>
                </c:pt>
                <c:pt idx="5">
                  <c:v>-5</c:v>
                </c:pt>
                <c:pt idx="6">
                  <c:v>-4</c:v>
                </c:pt>
                <c:pt idx="7">
                  <c:v>-3</c:v>
                </c:pt>
                <c:pt idx="8">
                  <c:v>-2</c:v>
                </c:pt>
                <c:pt idx="9">
                  <c:v>-1</c:v>
                </c:pt>
                <c:pt idx="10">
                  <c:v>0</c:v>
                </c:pt>
                <c:pt idx="11">
                  <c:v>1</c:v>
                </c:pt>
                <c:pt idx="12">
                  <c:v>2</c:v>
                </c:pt>
                <c:pt idx="13">
                  <c:v>3</c:v>
                </c:pt>
                <c:pt idx="14">
                  <c:v>4</c:v>
                </c:pt>
                <c:pt idx="15">
                  <c:v>5</c:v>
                </c:pt>
                <c:pt idx="16">
                  <c:v>6</c:v>
                </c:pt>
                <c:pt idx="17">
                  <c:v>7</c:v>
                </c:pt>
                <c:pt idx="18">
                  <c:v>8</c:v>
                </c:pt>
                <c:pt idx="19">
                  <c:v>9</c:v>
                </c:pt>
                <c:pt idx="20">
                  <c:v>10</c:v>
                </c:pt>
                <c:pt idx="21">
                  <c:v>11</c:v>
                </c:pt>
                <c:pt idx="22">
                  <c:v>12</c:v>
                </c:pt>
                <c:pt idx="23">
                  <c:v>13</c:v>
                </c:pt>
                <c:pt idx="24">
                  <c:v>14</c:v>
                </c:pt>
                <c:pt idx="25">
                  <c:v>15</c:v>
                </c:pt>
                <c:pt idx="26">
                  <c:v>16</c:v>
                </c:pt>
                <c:pt idx="27">
                  <c:v>17</c:v>
                </c:pt>
                <c:pt idx="28">
                  <c:v>18</c:v>
                </c:pt>
                <c:pt idx="29">
                  <c:v>19</c:v>
                </c:pt>
                <c:pt idx="30">
                  <c:v>20</c:v>
                </c:pt>
                <c:pt idx="31">
                  <c:v>21</c:v>
                </c:pt>
                <c:pt idx="32">
                  <c:v>22</c:v>
                </c:pt>
                <c:pt idx="33">
                  <c:v>23</c:v>
                </c:pt>
                <c:pt idx="34">
                  <c:v>24</c:v>
                </c:pt>
                <c:pt idx="35">
                  <c:v>25</c:v>
                </c:pt>
                <c:pt idx="36">
                  <c:v>26</c:v>
                </c:pt>
                <c:pt idx="37">
                  <c:v>27</c:v>
                </c:pt>
                <c:pt idx="38">
                  <c:v>28</c:v>
                </c:pt>
                <c:pt idx="39">
                  <c:v>29</c:v>
                </c:pt>
                <c:pt idx="40">
                  <c:v>30</c:v>
                </c:pt>
                <c:pt idx="41">
                  <c:v>31</c:v>
                </c:pt>
                <c:pt idx="42">
                  <c:v>32</c:v>
                </c:pt>
                <c:pt idx="43">
                  <c:v>33</c:v>
                </c:pt>
                <c:pt idx="44">
                  <c:v>34</c:v>
                </c:pt>
                <c:pt idx="45">
                  <c:v>35</c:v>
                </c:pt>
                <c:pt idx="46">
                  <c:v>36</c:v>
                </c:pt>
                <c:pt idx="47">
                  <c:v>37</c:v>
                </c:pt>
                <c:pt idx="48">
                  <c:v>38</c:v>
                </c:pt>
                <c:pt idx="49">
                  <c:v>39</c:v>
                </c:pt>
                <c:pt idx="50">
                  <c:v>40</c:v>
                </c:pt>
                <c:pt idx="51">
                  <c:v>41</c:v>
                </c:pt>
                <c:pt idx="52">
                  <c:v>42</c:v>
                </c:pt>
                <c:pt idx="53">
                  <c:v>43</c:v>
                </c:pt>
                <c:pt idx="54">
                  <c:v>44</c:v>
                </c:pt>
                <c:pt idx="55">
                  <c:v>45</c:v>
                </c:pt>
                <c:pt idx="56">
                  <c:v>46</c:v>
                </c:pt>
                <c:pt idx="57">
                  <c:v>47</c:v>
                </c:pt>
                <c:pt idx="58">
                  <c:v>48</c:v>
                </c:pt>
                <c:pt idx="59">
                  <c:v>49</c:v>
                </c:pt>
                <c:pt idx="60">
                  <c:v>50</c:v>
                </c:pt>
                <c:pt idx="61">
                  <c:v>51</c:v>
                </c:pt>
                <c:pt idx="62">
                  <c:v>52</c:v>
                </c:pt>
                <c:pt idx="63">
                  <c:v>53</c:v>
                </c:pt>
                <c:pt idx="64">
                  <c:v>54</c:v>
                </c:pt>
                <c:pt idx="65">
                  <c:v>55</c:v>
                </c:pt>
                <c:pt idx="66">
                  <c:v>56</c:v>
                </c:pt>
                <c:pt idx="67">
                  <c:v>57</c:v>
                </c:pt>
                <c:pt idx="68">
                  <c:v>58</c:v>
                </c:pt>
                <c:pt idx="69">
                  <c:v>59</c:v>
                </c:pt>
                <c:pt idx="70">
                  <c:v>60</c:v>
                </c:pt>
                <c:pt idx="71">
                  <c:v>61</c:v>
                </c:pt>
                <c:pt idx="72">
                  <c:v>62</c:v>
                </c:pt>
                <c:pt idx="73">
                  <c:v>63</c:v>
                </c:pt>
                <c:pt idx="74">
                  <c:v>64</c:v>
                </c:pt>
                <c:pt idx="75">
                  <c:v>65</c:v>
                </c:pt>
                <c:pt idx="76">
                  <c:v>66</c:v>
                </c:pt>
                <c:pt idx="77">
                  <c:v>67</c:v>
                </c:pt>
                <c:pt idx="78">
                  <c:v>68</c:v>
                </c:pt>
                <c:pt idx="79">
                  <c:v>69</c:v>
                </c:pt>
                <c:pt idx="80">
                  <c:v>70</c:v>
                </c:pt>
                <c:pt idx="81">
                  <c:v>71</c:v>
                </c:pt>
                <c:pt idx="82">
                  <c:v>72</c:v>
                </c:pt>
                <c:pt idx="83">
                  <c:v>73</c:v>
                </c:pt>
                <c:pt idx="84">
                  <c:v>74</c:v>
                </c:pt>
              </c:numCache>
            </c:numRef>
          </c:cat>
          <c:val>
            <c:numRef>
              <c:f>'4.3.2 Data_Tidsseriefigurer'!$C$67:$CI$67</c:f>
              <c:numCache>
                <c:formatCode>General</c:formatCode>
                <c:ptCount val="8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numCache>
            </c:numRef>
          </c:val>
          <c:extLst>
            <c:ext xmlns:c16="http://schemas.microsoft.com/office/drawing/2014/chart" uri="{C3380CC4-5D6E-409C-BE32-E72D297353CC}">
              <c16:uniqueId val="{00000001-1606-4E27-8EE2-D8283A990826}"/>
            </c:ext>
          </c:extLst>
        </c:ser>
        <c:ser>
          <c:idx val="5"/>
          <c:order val="2"/>
          <c:tx>
            <c:strRef>
              <c:f>'4.3.2 Data_Tidsseriefigurer'!$B$68</c:f>
              <c:strCache>
                <c:ptCount val="1"/>
                <c:pt idx="0">
                  <c:v>Budsjettvirkninger ekskl. investering og reinvestering</c:v>
                </c:pt>
              </c:strCache>
            </c:strRef>
          </c:tx>
          <c:spPr>
            <a:solidFill>
              <a:srgbClr val="F2DCDB"/>
            </a:solidFill>
            <a:ln>
              <a:noFill/>
            </a:ln>
            <a:effectLst/>
          </c:spPr>
          <c:invertIfNegative val="0"/>
          <c:cat>
            <c:numRef>
              <c:f>'4.3.2 Data_Tidsseriefigurer'!$C$65:$CI$65</c:f>
              <c:numCache>
                <c:formatCode>General</c:formatCode>
                <c:ptCount val="85"/>
                <c:pt idx="0">
                  <c:v>-10</c:v>
                </c:pt>
                <c:pt idx="1">
                  <c:v>-9</c:v>
                </c:pt>
                <c:pt idx="2">
                  <c:v>-8</c:v>
                </c:pt>
                <c:pt idx="3">
                  <c:v>-7</c:v>
                </c:pt>
                <c:pt idx="4">
                  <c:v>-6</c:v>
                </c:pt>
                <c:pt idx="5">
                  <c:v>-5</c:v>
                </c:pt>
                <c:pt idx="6">
                  <c:v>-4</c:v>
                </c:pt>
                <c:pt idx="7">
                  <c:v>-3</c:v>
                </c:pt>
                <c:pt idx="8">
                  <c:v>-2</c:v>
                </c:pt>
                <c:pt idx="9">
                  <c:v>-1</c:v>
                </c:pt>
                <c:pt idx="10">
                  <c:v>0</c:v>
                </c:pt>
                <c:pt idx="11">
                  <c:v>1</c:v>
                </c:pt>
                <c:pt idx="12">
                  <c:v>2</c:v>
                </c:pt>
                <c:pt idx="13">
                  <c:v>3</c:v>
                </c:pt>
                <c:pt idx="14">
                  <c:v>4</c:v>
                </c:pt>
                <c:pt idx="15">
                  <c:v>5</c:v>
                </c:pt>
                <c:pt idx="16">
                  <c:v>6</c:v>
                </c:pt>
                <c:pt idx="17">
                  <c:v>7</c:v>
                </c:pt>
                <c:pt idx="18">
                  <c:v>8</c:v>
                </c:pt>
                <c:pt idx="19">
                  <c:v>9</c:v>
                </c:pt>
                <c:pt idx="20">
                  <c:v>10</c:v>
                </c:pt>
                <c:pt idx="21">
                  <c:v>11</c:v>
                </c:pt>
                <c:pt idx="22">
                  <c:v>12</c:v>
                </c:pt>
                <c:pt idx="23">
                  <c:v>13</c:v>
                </c:pt>
                <c:pt idx="24">
                  <c:v>14</c:v>
                </c:pt>
                <c:pt idx="25">
                  <c:v>15</c:v>
                </c:pt>
                <c:pt idx="26">
                  <c:v>16</c:v>
                </c:pt>
                <c:pt idx="27">
                  <c:v>17</c:v>
                </c:pt>
                <c:pt idx="28">
                  <c:v>18</c:v>
                </c:pt>
                <c:pt idx="29">
                  <c:v>19</c:v>
                </c:pt>
                <c:pt idx="30">
                  <c:v>20</c:v>
                </c:pt>
                <c:pt idx="31">
                  <c:v>21</c:v>
                </c:pt>
                <c:pt idx="32">
                  <c:v>22</c:v>
                </c:pt>
                <c:pt idx="33">
                  <c:v>23</c:v>
                </c:pt>
                <c:pt idx="34">
                  <c:v>24</c:v>
                </c:pt>
                <c:pt idx="35">
                  <c:v>25</c:v>
                </c:pt>
                <c:pt idx="36">
                  <c:v>26</c:v>
                </c:pt>
                <c:pt idx="37">
                  <c:v>27</c:v>
                </c:pt>
                <c:pt idx="38">
                  <c:v>28</c:v>
                </c:pt>
                <c:pt idx="39">
                  <c:v>29</c:v>
                </c:pt>
                <c:pt idx="40">
                  <c:v>30</c:v>
                </c:pt>
                <c:pt idx="41">
                  <c:v>31</c:v>
                </c:pt>
                <c:pt idx="42">
                  <c:v>32</c:v>
                </c:pt>
                <c:pt idx="43">
                  <c:v>33</c:v>
                </c:pt>
                <c:pt idx="44">
                  <c:v>34</c:v>
                </c:pt>
                <c:pt idx="45">
                  <c:v>35</c:v>
                </c:pt>
                <c:pt idx="46">
                  <c:v>36</c:v>
                </c:pt>
                <c:pt idx="47">
                  <c:v>37</c:v>
                </c:pt>
                <c:pt idx="48">
                  <c:v>38</c:v>
                </c:pt>
                <c:pt idx="49">
                  <c:v>39</c:v>
                </c:pt>
                <c:pt idx="50">
                  <c:v>40</c:v>
                </c:pt>
                <c:pt idx="51">
                  <c:v>41</c:v>
                </c:pt>
                <c:pt idx="52">
                  <c:v>42</c:v>
                </c:pt>
                <c:pt idx="53">
                  <c:v>43</c:v>
                </c:pt>
                <c:pt idx="54">
                  <c:v>44</c:v>
                </c:pt>
                <c:pt idx="55">
                  <c:v>45</c:v>
                </c:pt>
                <c:pt idx="56">
                  <c:v>46</c:v>
                </c:pt>
                <c:pt idx="57">
                  <c:v>47</c:v>
                </c:pt>
                <c:pt idx="58">
                  <c:v>48</c:v>
                </c:pt>
                <c:pt idx="59">
                  <c:v>49</c:v>
                </c:pt>
                <c:pt idx="60">
                  <c:v>50</c:v>
                </c:pt>
                <c:pt idx="61">
                  <c:v>51</c:v>
                </c:pt>
                <c:pt idx="62">
                  <c:v>52</c:v>
                </c:pt>
                <c:pt idx="63">
                  <c:v>53</c:v>
                </c:pt>
                <c:pt idx="64">
                  <c:v>54</c:v>
                </c:pt>
                <c:pt idx="65">
                  <c:v>55</c:v>
                </c:pt>
                <c:pt idx="66">
                  <c:v>56</c:v>
                </c:pt>
                <c:pt idx="67">
                  <c:v>57</c:v>
                </c:pt>
                <c:pt idx="68">
                  <c:v>58</c:v>
                </c:pt>
                <c:pt idx="69">
                  <c:v>59</c:v>
                </c:pt>
                <c:pt idx="70">
                  <c:v>60</c:v>
                </c:pt>
                <c:pt idx="71">
                  <c:v>61</c:v>
                </c:pt>
                <c:pt idx="72">
                  <c:v>62</c:v>
                </c:pt>
                <c:pt idx="73">
                  <c:v>63</c:v>
                </c:pt>
                <c:pt idx="74">
                  <c:v>64</c:v>
                </c:pt>
                <c:pt idx="75">
                  <c:v>65</c:v>
                </c:pt>
                <c:pt idx="76">
                  <c:v>66</c:v>
                </c:pt>
                <c:pt idx="77">
                  <c:v>67</c:v>
                </c:pt>
                <c:pt idx="78">
                  <c:v>68</c:v>
                </c:pt>
                <c:pt idx="79">
                  <c:v>69</c:v>
                </c:pt>
                <c:pt idx="80">
                  <c:v>70</c:v>
                </c:pt>
                <c:pt idx="81">
                  <c:v>71</c:v>
                </c:pt>
                <c:pt idx="82">
                  <c:v>72</c:v>
                </c:pt>
                <c:pt idx="83">
                  <c:v>73</c:v>
                </c:pt>
                <c:pt idx="84">
                  <c:v>74</c:v>
                </c:pt>
              </c:numCache>
            </c:numRef>
          </c:cat>
          <c:val>
            <c:numRef>
              <c:f>'4.3.2 Data_Tidsseriefigurer'!$C$68:$CI$68</c:f>
              <c:numCache>
                <c:formatCode>General</c:formatCode>
                <c:ptCount val="8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numCache>
            </c:numRef>
          </c:val>
          <c:extLst>
            <c:ext xmlns:c16="http://schemas.microsoft.com/office/drawing/2014/chart" uri="{C3380CC4-5D6E-409C-BE32-E72D297353CC}">
              <c16:uniqueId val="{00000005-1EDF-42A4-B418-B8ED7D17B66C}"/>
            </c:ext>
          </c:extLst>
        </c:ser>
        <c:dLbls>
          <c:showLegendKey val="0"/>
          <c:showVal val="0"/>
          <c:showCatName val="0"/>
          <c:showSerName val="0"/>
          <c:showPercent val="0"/>
          <c:showBubbleSize val="0"/>
        </c:dLbls>
        <c:gapWidth val="219"/>
        <c:overlap val="-27"/>
        <c:axId val="214113775"/>
        <c:axId val="345675167"/>
      </c:barChart>
      <c:dateAx>
        <c:axId val="214113775"/>
        <c:scaling>
          <c:orientation val="minMax"/>
          <c:max val="-1"/>
        </c:scaling>
        <c:delete val="0"/>
        <c:axPos val="b"/>
        <c:numFmt formatCode="0" sourceLinked="0"/>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Franklin Gothic Book" panose="020B0503020102020204" pitchFamily="34" charset="0"/>
                <a:ea typeface="+mn-ea"/>
                <a:cs typeface="+mn-cs"/>
              </a:defRPr>
            </a:pPr>
            <a:endParaRPr lang="nb-NO"/>
          </a:p>
        </c:txPr>
        <c:crossAx val="345675167"/>
        <c:crosses val="autoZero"/>
        <c:auto val="0"/>
        <c:lblOffset val="100"/>
        <c:baseTimeUnit val="days"/>
      </c:dateAx>
      <c:valAx>
        <c:axId val="345675167"/>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200" b="0" i="0" u="none" strike="noStrike" kern="1200" baseline="0">
                    <a:solidFill>
                      <a:schemeClr val="tx1">
                        <a:lumMod val="65000"/>
                        <a:lumOff val="35000"/>
                      </a:schemeClr>
                    </a:solidFill>
                    <a:latin typeface="Franklin Gothic Book" panose="020B0503020102020204" pitchFamily="34" charset="0"/>
                    <a:ea typeface="+mn-ea"/>
                    <a:cs typeface="+mn-cs"/>
                  </a:defRPr>
                </a:pPr>
                <a:r>
                  <a:rPr lang="nb-NO" sz="1200">
                    <a:latin typeface="Franklin Gothic Book" panose="020B0503020102020204" pitchFamily="34" charset="0"/>
                  </a:rPr>
                  <a:t>Millioner kroner</a:t>
                </a:r>
              </a:p>
            </c:rich>
          </c:tx>
          <c:overlay val="0"/>
          <c:spPr>
            <a:noFill/>
            <a:ln>
              <a:noFill/>
            </a:ln>
            <a:effectLst/>
          </c:spPr>
          <c:txPr>
            <a:bodyPr rot="-5400000" spcFirstLastPara="1" vertOverflow="ellipsis" vert="horz" wrap="square" anchor="ctr" anchorCtr="1"/>
            <a:lstStyle/>
            <a:p>
              <a:pPr>
                <a:defRPr sz="1200" b="0" i="0" u="none" strike="noStrike" kern="1200" baseline="0">
                  <a:solidFill>
                    <a:schemeClr val="tx1">
                      <a:lumMod val="65000"/>
                      <a:lumOff val="35000"/>
                    </a:schemeClr>
                  </a:solidFill>
                  <a:latin typeface="Franklin Gothic Book" panose="020B0503020102020204" pitchFamily="34" charset="0"/>
                  <a:ea typeface="+mn-ea"/>
                  <a:cs typeface="+mn-cs"/>
                </a:defRPr>
              </a:pPr>
              <a:endParaRPr lang="nb-NO"/>
            </a:p>
          </c:txPr>
        </c:title>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Franklin Gothic Book" panose="020B0503020102020204" pitchFamily="34" charset="0"/>
                <a:ea typeface="+mn-ea"/>
                <a:cs typeface="+mn-cs"/>
              </a:defRPr>
            </a:pPr>
            <a:endParaRPr lang="nb-NO"/>
          </a:p>
        </c:txPr>
        <c:crossAx val="214113775"/>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Franklin Gothic Book" panose="020B0503020102020204" pitchFamily="34" charset="0"/>
              <a:ea typeface="+mn-ea"/>
              <a:cs typeface="+mn-cs"/>
            </a:defRPr>
          </a:pPr>
          <a:endParaRPr lang="nb-NO"/>
        </a:p>
      </c:txPr>
    </c:legend>
    <c:plotVisOnly val="1"/>
    <c:dispBlanksAs val="zero"/>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nb-NO"/>
    </a:p>
  </c:txPr>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b-NO"/>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'4.3.2 Data_Tidsseriefigurer'!$C$88</c:f>
          <c:strCache>
            <c:ptCount val="1"/>
            <c:pt idx="0">
              <c:v>Netto nytte akkumulert etter et gitt antall år etter åpning, mill. -kr</c:v>
            </c:pt>
          </c:strCache>
        </c:strRef>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Franklin Gothic Book" panose="020B0503020102020204" pitchFamily="34" charset="0"/>
              <a:ea typeface="+mn-ea"/>
              <a:cs typeface="+mn-cs"/>
            </a:defRPr>
          </a:pPr>
          <a:endParaRPr lang="nb-NO"/>
        </a:p>
      </c:txPr>
    </c:title>
    <c:autoTitleDeleted val="0"/>
    <c:plotArea>
      <c:layout/>
      <c:lineChart>
        <c:grouping val="standard"/>
        <c:varyColors val="0"/>
        <c:ser>
          <c:idx val="0"/>
          <c:order val="0"/>
          <c:tx>
            <c:strRef>
              <c:f>'4.3.2 Data_Tidsseriefigurer'!$B$93</c:f>
              <c:strCache>
                <c:ptCount val="1"/>
                <c:pt idx="0">
                  <c:v>Neddiskontert akkumulert </c:v>
                </c:pt>
              </c:strCache>
            </c:strRef>
          </c:tx>
          <c:spPr>
            <a:ln w="28575" cap="rnd">
              <a:solidFill>
                <a:srgbClr val="95B3D7"/>
              </a:solidFill>
              <a:round/>
            </a:ln>
            <a:effectLst/>
          </c:spPr>
          <c:marker>
            <c:symbol val="none"/>
          </c:marker>
          <c:cat>
            <c:numRef>
              <c:f>'4.3.2 Data_Tidsseriefigurer'!$D$90:$CJ$90</c:f>
              <c:numCache>
                <c:formatCode>General</c:formatCode>
                <c:ptCount val="85"/>
                <c:pt idx="0">
                  <c:v>-10</c:v>
                </c:pt>
                <c:pt idx="1">
                  <c:v>-9</c:v>
                </c:pt>
                <c:pt idx="2">
                  <c:v>-8</c:v>
                </c:pt>
                <c:pt idx="3">
                  <c:v>-7</c:v>
                </c:pt>
                <c:pt idx="4">
                  <c:v>-6</c:v>
                </c:pt>
                <c:pt idx="5">
                  <c:v>-5</c:v>
                </c:pt>
                <c:pt idx="6">
                  <c:v>-4</c:v>
                </c:pt>
                <c:pt idx="7">
                  <c:v>-3</c:v>
                </c:pt>
                <c:pt idx="8">
                  <c:v>-2</c:v>
                </c:pt>
                <c:pt idx="9">
                  <c:v>-1</c:v>
                </c:pt>
                <c:pt idx="10">
                  <c:v>0</c:v>
                </c:pt>
                <c:pt idx="11">
                  <c:v>1</c:v>
                </c:pt>
                <c:pt idx="12">
                  <c:v>2</c:v>
                </c:pt>
                <c:pt idx="13">
                  <c:v>3</c:v>
                </c:pt>
                <c:pt idx="14">
                  <c:v>4</c:v>
                </c:pt>
                <c:pt idx="15">
                  <c:v>5</c:v>
                </c:pt>
                <c:pt idx="16">
                  <c:v>6</c:v>
                </c:pt>
                <c:pt idx="17">
                  <c:v>7</c:v>
                </c:pt>
                <c:pt idx="18">
                  <c:v>8</c:v>
                </c:pt>
                <c:pt idx="19">
                  <c:v>9</c:v>
                </c:pt>
                <c:pt idx="20">
                  <c:v>10</c:v>
                </c:pt>
                <c:pt idx="21">
                  <c:v>11</c:v>
                </c:pt>
                <c:pt idx="22">
                  <c:v>12</c:v>
                </c:pt>
                <c:pt idx="23">
                  <c:v>13</c:v>
                </c:pt>
                <c:pt idx="24">
                  <c:v>14</c:v>
                </c:pt>
                <c:pt idx="25">
                  <c:v>15</c:v>
                </c:pt>
                <c:pt idx="26">
                  <c:v>16</c:v>
                </c:pt>
                <c:pt idx="27">
                  <c:v>17</c:v>
                </c:pt>
                <c:pt idx="28">
                  <c:v>18</c:v>
                </c:pt>
                <c:pt idx="29">
                  <c:v>19</c:v>
                </c:pt>
                <c:pt idx="30">
                  <c:v>20</c:v>
                </c:pt>
                <c:pt idx="31">
                  <c:v>21</c:v>
                </c:pt>
                <c:pt idx="32">
                  <c:v>22</c:v>
                </c:pt>
                <c:pt idx="33">
                  <c:v>23</c:v>
                </c:pt>
                <c:pt idx="34">
                  <c:v>24</c:v>
                </c:pt>
                <c:pt idx="35">
                  <c:v>25</c:v>
                </c:pt>
                <c:pt idx="36">
                  <c:v>26</c:v>
                </c:pt>
                <c:pt idx="37">
                  <c:v>27</c:v>
                </c:pt>
                <c:pt idx="38">
                  <c:v>28</c:v>
                </c:pt>
                <c:pt idx="39">
                  <c:v>29</c:v>
                </c:pt>
                <c:pt idx="40">
                  <c:v>30</c:v>
                </c:pt>
                <c:pt idx="41">
                  <c:v>31</c:v>
                </c:pt>
                <c:pt idx="42">
                  <c:v>32</c:v>
                </c:pt>
                <c:pt idx="43">
                  <c:v>33</c:v>
                </c:pt>
                <c:pt idx="44">
                  <c:v>34</c:v>
                </c:pt>
                <c:pt idx="45">
                  <c:v>35</c:v>
                </c:pt>
                <c:pt idx="46">
                  <c:v>36</c:v>
                </c:pt>
                <c:pt idx="47">
                  <c:v>37</c:v>
                </c:pt>
                <c:pt idx="48">
                  <c:v>38</c:v>
                </c:pt>
                <c:pt idx="49">
                  <c:v>39</c:v>
                </c:pt>
                <c:pt idx="50">
                  <c:v>40</c:v>
                </c:pt>
                <c:pt idx="51">
                  <c:v>41</c:v>
                </c:pt>
                <c:pt idx="52">
                  <c:v>42</c:v>
                </c:pt>
                <c:pt idx="53">
                  <c:v>43</c:v>
                </c:pt>
                <c:pt idx="54">
                  <c:v>44</c:v>
                </c:pt>
                <c:pt idx="55">
                  <c:v>45</c:v>
                </c:pt>
                <c:pt idx="56">
                  <c:v>46</c:v>
                </c:pt>
                <c:pt idx="57">
                  <c:v>47</c:v>
                </c:pt>
                <c:pt idx="58">
                  <c:v>48</c:v>
                </c:pt>
                <c:pt idx="59">
                  <c:v>49</c:v>
                </c:pt>
                <c:pt idx="60">
                  <c:v>50</c:v>
                </c:pt>
                <c:pt idx="61">
                  <c:v>51</c:v>
                </c:pt>
                <c:pt idx="62">
                  <c:v>52</c:v>
                </c:pt>
                <c:pt idx="63">
                  <c:v>53</c:v>
                </c:pt>
                <c:pt idx="64">
                  <c:v>54</c:v>
                </c:pt>
                <c:pt idx="65">
                  <c:v>55</c:v>
                </c:pt>
                <c:pt idx="66">
                  <c:v>56</c:v>
                </c:pt>
                <c:pt idx="67">
                  <c:v>57</c:v>
                </c:pt>
                <c:pt idx="68">
                  <c:v>58</c:v>
                </c:pt>
                <c:pt idx="69">
                  <c:v>59</c:v>
                </c:pt>
                <c:pt idx="70">
                  <c:v>60</c:v>
                </c:pt>
                <c:pt idx="71">
                  <c:v>61</c:v>
                </c:pt>
                <c:pt idx="72">
                  <c:v>62</c:v>
                </c:pt>
                <c:pt idx="73">
                  <c:v>63</c:v>
                </c:pt>
                <c:pt idx="74">
                  <c:v>64</c:v>
                </c:pt>
                <c:pt idx="75">
                  <c:v>65</c:v>
                </c:pt>
                <c:pt idx="76">
                  <c:v>66</c:v>
                </c:pt>
                <c:pt idx="77">
                  <c:v>67</c:v>
                </c:pt>
                <c:pt idx="78">
                  <c:v>68</c:v>
                </c:pt>
                <c:pt idx="79">
                  <c:v>69</c:v>
                </c:pt>
                <c:pt idx="80">
                  <c:v>70</c:v>
                </c:pt>
                <c:pt idx="81">
                  <c:v>71</c:v>
                </c:pt>
                <c:pt idx="82">
                  <c:v>72</c:v>
                </c:pt>
                <c:pt idx="83">
                  <c:v>73</c:v>
                </c:pt>
                <c:pt idx="84">
                  <c:v>74</c:v>
                </c:pt>
              </c:numCache>
            </c:numRef>
          </c:cat>
          <c:val>
            <c:numRef>
              <c:f>'4.3.2 Data_Tidsseriefigurer'!$D$93:$CJ$93</c:f>
              <c:numCache>
                <c:formatCode>General</c:formatCode>
                <c:ptCount val="85"/>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pt idx="43">
                  <c:v>#N/A</c:v>
                </c:pt>
                <c:pt idx="44">
                  <c:v>#N/A</c:v>
                </c:pt>
                <c:pt idx="45">
                  <c:v>#N/A</c:v>
                </c:pt>
                <c:pt idx="46">
                  <c:v>#N/A</c:v>
                </c:pt>
                <c:pt idx="47">
                  <c:v>#N/A</c:v>
                </c:pt>
                <c:pt idx="48">
                  <c:v>#N/A</c:v>
                </c:pt>
                <c:pt idx="49">
                  <c:v>#N/A</c:v>
                </c:pt>
                <c:pt idx="50">
                  <c:v>#N/A</c:v>
                </c:pt>
                <c:pt idx="51">
                  <c:v>#N/A</c:v>
                </c:pt>
                <c:pt idx="52">
                  <c:v>#N/A</c:v>
                </c:pt>
                <c:pt idx="53">
                  <c:v>#N/A</c:v>
                </c:pt>
                <c:pt idx="54">
                  <c:v>#N/A</c:v>
                </c:pt>
                <c:pt idx="55">
                  <c:v>#N/A</c:v>
                </c:pt>
                <c:pt idx="56">
                  <c:v>#N/A</c:v>
                </c:pt>
                <c:pt idx="57">
                  <c:v>#N/A</c:v>
                </c:pt>
                <c:pt idx="58">
                  <c:v>#N/A</c:v>
                </c:pt>
                <c:pt idx="59">
                  <c:v>#N/A</c:v>
                </c:pt>
                <c:pt idx="60">
                  <c:v>#N/A</c:v>
                </c:pt>
                <c:pt idx="61">
                  <c:v>#N/A</c:v>
                </c:pt>
                <c:pt idx="62">
                  <c:v>#N/A</c:v>
                </c:pt>
                <c:pt idx="63">
                  <c:v>#N/A</c:v>
                </c:pt>
                <c:pt idx="64">
                  <c:v>#N/A</c:v>
                </c:pt>
                <c:pt idx="65">
                  <c:v>#N/A</c:v>
                </c:pt>
                <c:pt idx="66">
                  <c:v>#N/A</c:v>
                </c:pt>
                <c:pt idx="67">
                  <c:v>#N/A</c:v>
                </c:pt>
                <c:pt idx="68">
                  <c:v>#N/A</c:v>
                </c:pt>
                <c:pt idx="69">
                  <c:v>#N/A</c:v>
                </c:pt>
                <c:pt idx="70">
                  <c:v>#N/A</c:v>
                </c:pt>
                <c:pt idx="71">
                  <c:v>#N/A</c:v>
                </c:pt>
                <c:pt idx="72">
                  <c:v>#N/A</c:v>
                </c:pt>
                <c:pt idx="73">
                  <c:v>#N/A</c:v>
                </c:pt>
                <c:pt idx="74">
                  <c:v>#N/A</c:v>
                </c:pt>
                <c:pt idx="75">
                  <c:v>#N/A</c:v>
                </c:pt>
                <c:pt idx="76">
                  <c:v>#N/A</c:v>
                </c:pt>
                <c:pt idx="77">
                  <c:v>#N/A</c:v>
                </c:pt>
                <c:pt idx="78">
                  <c:v>#N/A</c:v>
                </c:pt>
                <c:pt idx="79">
                  <c:v>#N/A</c:v>
                </c:pt>
                <c:pt idx="80">
                  <c:v>#N/A</c:v>
                </c:pt>
                <c:pt idx="81">
                  <c:v>#N/A</c:v>
                </c:pt>
                <c:pt idx="82">
                  <c:v>#N/A</c:v>
                </c:pt>
                <c:pt idx="83">
                  <c:v>#N/A</c:v>
                </c:pt>
                <c:pt idx="84">
                  <c:v>#N/A</c:v>
                </c:pt>
              </c:numCache>
            </c:numRef>
          </c:val>
          <c:smooth val="0"/>
          <c:extLst>
            <c:ext xmlns:c16="http://schemas.microsoft.com/office/drawing/2014/chart" uri="{C3380CC4-5D6E-409C-BE32-E72D297353CC}">
              <c16:uniqueId val="{00000002-CEF9-425D-8DE7-01CC59D2E5C1}"/>
            </c:ext>
          </c:extLst>
        </c:ser>
        <c:ser>
          <c:idx val="2"/>
          <c:order val="1"/>
          <c:tx>
            <c:strRef>
              <c:f>'4.3.2 Data_Tidsseriefigurer'!$B$95</c:f>
              <c:strCache>
                <c:ptCount val="1"/>
                <c:pt idx="0">
                  <c:v>Break-even </c:v>
                </c:pt>
              </c:strCache>
            </c:strRef>
          </c:tx>
          <c:spPr>
            <a:ln w="28575" cap="rnd">
              <a:solidFill>
                <a:srgbClr val="F2DCDB"/>
              </a:solidFill>
              <a:round/>
            </a:ln>
            <a:effectLst>
              <a:outerShdw sx="1000" sy="1000" algn="ctr" rotWithShape="0">
                <a:srgbClr val="000000"/>
              </a:outerShdw>
            </a:effectLst>
          </c:spPr>
          <c:marker>
            <c:symbol val="none"/>
          </c:marker>
          <c:errBars>
            <c:errDir val="y"/>
            <c:errBarType val="both"/>
            <c:errValType val="cust"/>
            <c:noEndCap val="1"/>
            <c:plus>
              <c:numRef>
                <c:f>'4.3.2 Data_Tidsseriefigurer'!$C$98</c:f>
                <c:numCache>
                  <c:formatCode>General</c:formatCode>
                  <c:ptCount val="1"/>
                  <c:pt idx="0">
                    <c:v>0</c:v>
                  </c:pt>
                </c:numCache>
              </c:numRef>
            </c:plus>
            <c:minus>
              <c:numRef>
                <c:f>'4.3.2 Data_Tidsseriefigurer'!$C$99</c:f>
                <c:numCache>
                  <c:formatCode>General</c:formatCode>
                  <c:ptCount val="1"/>
                  <c:pt idx="0">
                    <c:v>0</c:v>
                  </c:pt>
                </c:numCache>
              </c:numRef>
            </c:minus>
            <c:spPr>
              <a:noFill/>
              <a:ln w="15875" cap="flat" cmpd="sng" algn="ctr">
                <a:solidFill>
                  <a:sysClr val="windowText" lastClr="000000"/>
                </a:solidFill>
                <a:prstDash val="sysDash"/>
                <a:round/>
              </a:ln>
              <a:effectLst/>
            </c:spPr>
          </c:errBars>
          <c:cat>
            <c:numRef>
              <c:f>'4.3.2 Data_Tidsseriefigurer'!$D$90:$CJ$90</c:f>
              <c:numCache>
                <c:formatCode>General</c:formatCode>
                <c:ptCount val="85"/>
                <c:pt idx="0">
                  <c:v>-10</c:v>
                </c:pt>
                <c:pt idx="1">
                  <c:v>-9</c:v>
                </c:pt>
                <c:pt idx="2">
                  <c:v>-8</c:v>
                </c:pt>
                <c:pt idx="3">
                  <c:v>-7</c:v>
                </c:pt>
                <c:pt idx="4">
                  <c:v>-6</c:v>
                </c:pt>
                <c:pt idx="5">
                  <c:v>-5</c:v>
                </c:pt>
                <c:pt idx="6">
                  <c:v>-4</c:v>
                </c:pt>
                <c:pt idx="7">
                  <c:v>-3</c:v>
                </c:pt>
                <c:pt idx="8">
                  <c:v>-2</c:v>
                </c:pt>
                <c:pt idx="9">
                  <c:v>-1</c:v>
                </c:pt>
                <c:pt idx="10">
                  <c:v>0</c:v>
                </c:pt>
                <c:pt idx="11">
                  <c:v>1</c:v>
                </c:pt>
                <c:pt idx="12">
                  <c:v>2</c:v>
                </c:pt>
                <c:pt idx="13">
                  <c:v>3</c:v>
                </c:pt>
                <c:pt idx="14">
                  <c:v>4</c:v>
                </c:pt>
                <c:pt idx="15">
                  <c:v>5</c:v>
                </c:pt>
                <c:pt idx="16">
                  <c:v>6</c:v>
                </c:pt>
                <c:pt idx="17">
                  <c:v>7</c:v>
                </c:pt>
                <c:pt idx="18">
                  <c:v>8</c:v>
                </c:pt>
                <c:pt idx="19">
                  <c:v>9</c:v>
                </c:pt>
                <c:pt idx="20">
                  <c:v>10</c:v>
                </c:pt>
                <c:pt idx="21">
                  <c:v>11</c:v>
                </c:pt>
                <c:pt idx="22">
                  <c:v>12</c:v>
                </c:pt>
                <c:pt idx="23">
                  <c:v>13</c:v>
                </c:pt>
                <c:pt idx="24">
                  <c:v>14</c:v>
                </c:pt>
                <c:pt idx="25">
                  <c:v>15</c:v>
                </c:pt>
                <c:pt idx="26">
                  <c:v>16</c:v>
                </c:pt>
                <c:pt idx="27">
                  <c:v>17</c:v>
                </c:pt>
                <c:pt idx="28">
                  <c:v>18</c:v>
                </c:pt>
                <c:pt idx="29">
                  <c:v>19</c:v>
                </c:pt>
                <c:pt idx="30">
                  <c:v>20</c:v>
                </c:pt>
                <c:pt idx="31">
                  <c:v>21</c:v>
                </c:pt>
                <c:pt idx="32">
                  <c:v>22</c:v>
                </c:pt>
                <c:pt idx="33">
                  <c:v>23</c:v>
                </c:pt>
                <c:pt idx="34">
                  <c:v>24</c:v>
                </c:pt>
                <c:pt idx="35">
                  <c:v>25</c:v>
                </c:pt>
                <c:pt idx="36">
                  <c:v>26</c:v>
                </c:pt>
                <c:pt idx="37">
                  <c:v>27</c:v>
                </c:pt>
                <c:pt idx="38">
                  <c:v>28</c:v>
                </c:pt>
                <c:pt idx="39">
                  <c:v>29</c:v>
                </c:pt>
                <c:pt idx="40">
                  <c:v>30</c:v>
                </c:pt>
                <c:pt idx="41">
                  <c:v>31</c:v>
                </c:pt>
                <c:pt idx="42">
                  <c:v>32</c:v>
                </c:pt>
                <c:pt idx="43">
                  <c:v>33</c:v>
                </c:pt>
                <c:pt idx="44">
                  <c:v>34</c:v>
                </c:pt>
                <c:pt idx="45">
                  <c:v>35</c:v>
                </c:pt>
                <c:pt idx="46">
                  <c:v>36</c:v>
                </c:pt>
                <c:pt idx="47">
                  <c:v>37</c:v>
                </c:pt>
                <c:pt idx="48">
                  <c:v>38</c:v>
                </c:pt>
                <c:pt idx="49">
                  <c:v>39</c:v>
                </c:pt>
                <c:pt idx="50">
                  <c:v>40</c:v>
                </c:pt>
                <c:pt idx="51">
                  <c:v>41</c:v>
                </c:pt>
                <c:pt idx="52">
                  <c:v>42</c:v>
                </c:pt>
                <c:pt idx="53">
                  <c:v>43</c:v>
                </c:pt>
                <c:pt idx="54">
                  <c:v>44</c:v>
                </c:pt>
                <c:pt idx="55">
                  <c:v>45</c:v>
                </c:pt>
                <c:pt idx="56">
                  <c:v>46</c:v>
                </c:pt>
                <c:pt idx="57">
                  <c:v>47</c:v>
                </c:pt>
                <c:pt idx="58">
                  <c:v>48</c:v>
                </c:pt>
                <c:pt idx="59">
                  <c:v>49</c:v>
                </c:pt>
                <c:pt idx="60">
                  <c:v>50</c:v>
                </c:pt>
                <c:pt idx="61">
                  <c:v>51</c:v>
                </c:pt>
                <c:pt idx="62">
                  <c:v>52</c:v>
                </c:pt>
                <c:pt idx="63">
                  <c:v>53</c:v>
                </c:pt>
                <c:pt idx="64">
                  <c:v>54</c:v>
                </c:pt>
                <c:pt idx="65">
                  <c:v>55</c:v>
                </c:pt>
                <c:pt idx="66">
                  <c:v>56</c:v>
                </c:pt>
                <c:pt idx="67">
                  <c:v>57</c:v>
                </c:pt>
                <c:pt idx="68">
                  <c:v>58</c:v>
                </c:pt>
                <c:pt idx="69">
                  <c:v>59</c:v>
                </c:pt>
                <c:pt idx="70">
                  <c:v>60</c:v>
                </c:pt>
                <c:pt idx="71">
                  <c:v>61</c:v>
                </c:pt>
                <c:pt idx="72">
                  <c:v>62</c:v>
                </c:pt>
                <c:pt idx="73">
                  <c:v>63</c:v>
                </c:pt>
                <c:pt idx="74">
                  <c:v>64</c:v>
                </c:pt>
                <c:pt idx="75">
                  <c:v>65</c:v>
                </c:pt>
                <c:pt idx="76">
                  <c:v>66</c:v>
                </c:pt>
                <c:pt idx="77">
                  <c:v>67</c:v>
                </c:pt>
                <c:pt idx="78">
                  <c:v>68</c:v>
                </c:pt>
                <c:pt idx="79">
                  <c:v>69</c:v>
                </c:pt>
                <c:pt idx="80">
                  <c:v>70</c:v>
                </c:pt>
                <c:pt idx="81">
                  <c:v>71</c:v>
                </c:pt>
                <c:pt idx="82">
                  <c:v>72</c:v>
                </c:pt>
                <c:pt idx="83">
                  <c:v>73</c:v>
                </c:pt>
                <c:pt idx="84">
                  <c:v>74</c:v>
                </c:pt>
              </c:numCache>
            </c:numRef>
          </c:cat>
          <c:val>
            <c:numRef>
              <c:f>'4.3.2 Data_Tidsseriefigurer'!$D$95:$CJ$95</c:f>
              <c:numCache>
                <c:formatCode>General</c:formatCode>
                <c:ptCount val="85"/>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pt idx="43">
                  <c:v>#N/A</c:v>
                </c:pt>
                <c:pt idx="44">
                  <c:v>#N/A</c:v>
                </c:pt>
                <c:pt idx="45">
                  <c:v>#N/A</c:v>
                </c:pt>
                <c:pt idx="46">
                  <c:v>#N/A</c:v>
                </c:pt>
                <c:pt idx="47">
                  <c:v>#N/A</c:v>
                </c:pt>
                <c:pt idx="48">
                  <c:v>#N/A</c:v>
                </c:pt>
                <c:pt idx="49">
                  <c:v>#N/A</c:v>
                </c:pt>
                <c:pt idx="50">
                  <c:v>#N/A</c:v>
                </c:pt>
                <c:pt idx="51">
                  <c:v>#N/A</c:v>
                </c:pt>
                <c:pt idx="52">
                  <c:v>#N/A</c:v>
                </c:pt>
                <c:pt idx="53">
                  <c:v>#N/A</c:v>
                </c:pt>
                <c:pt idx="54">
                  <c:v>#N/A</c:v>
                </c:pt>
                <c:pt idx="55">
                  <c:v>#N/A</c:v>
                </c:pt>
                <c:pt idx="56">
                  <c:v>#N/A</c:v>
                </c:pt>
                <c:pt idx="57">
                  <c:v>#N/A</c:v>
                </c:pt>
                <c:pt idx="58">
                  <c:v>#N/A</c:v>
                </c:pt>
                <c:pt idx="59">
                  <c:v>#N/A</c:v>
                </c:pt>
                <c:pt idx="60">
                  <c:v>#N/A</c:v>
                </c:pt>
                <c:pt idx="61">
                  <c:v>#N/A</c:v>
                </c:pt>
                <c:pt idx="62">
                  <c:v>#N/A</c:v>
                </c:pt>
                <c:pt idx="63">
                  <c:v>#N/A</c:v>
                </c:pt>
                <c:pt idx="64">
                  <c:v>#N/A</c:v>
                </c:pt>
                <c:pt idx="65">
                  <c:v>#N/A</c:v>
                </c:pt>
                <c:pt idx="66">
                  <c:v>#N/A</c:v>
                </c:pt>
                <c:pt idx="67">
                  <c:v>#N/A</c:v>
                </c:pt>
                <c:pt idx="68">
                  <c:v>#N/A</c:v>
                </c:pt>
                <c:pt idx="69">
                  <c:v>#N/A</c:v>
                </c:pt>
                <c:pt idx="70">
                  <c:v>#N/A</c:v>
                </c:pt>
                <c:pt idx="71">
                  <c:v>#N/A</c:v>
                </c:pt>
                <c:pt idx="72">
                  <c:v>#N/A</c:v>
                </c:pt>
                <c:pt idx="73">
                  <c:v>#N/A</c:v>
                </c:pt>
                <c:pt idx="74">
                  <c:v>#N/A</c:v>
                </c:pt>
                <c:pt idx="75">
                  <c:v>#N/A</c:v>
                </c:pt>
                <c:pt idx="76">
                  <c:v>#N/A</c:v>
                </c:pt>
                <c:pt idx="77">
                  <c:v>#N/A</c:v>
                </c:pt>
                <c:pt idx="78">
                  <c:v>#N/A</c:v>
                </c:pt>
                <c:pt idx="79">
                  <c:v>#N/A</c:v>
                </c:pt>
                <c:pt idx="80">
                  <c:v>#N/A</c:v>
                </c:pt>
                <c:pt idx="81">
                  <c:v>#N/A</c:v>
                </c:pt>
                <c:pt idx="82">
                  <c:v>#N/A</c:v>
                </c:pt>
                <c:pt idx="83">
                  <c:v>#N/A</c:v>
                </c:pt>
                <c:pt idx="84">
                  <c:v>#N/A</c:v>
                </c:pt>
              </c:numCache>
            </c:numRef>
          </c:val>
          <c:smooth val="0"/>
          <c:extLst>
            <c:ext xmlns:c16="http://schemas.microsoft.com/office/drawing/2014/chart" uri="{C3380CC4-5D6E-409C-BE32-E72D297353CC}">
              <c16:uniqueId val="{00000004-CEF9-425D-8DE7-01CC59D2E5C1}"/>
            </c:ext>
          </c:extLst>
        </c:ser>
        <c:ser>
          <c:idx val="1"/>
          <c:order val="2"/>
          <c:tx>
            <c:strRef>
              <c:f>'4.3.2 Data_Tidsseriefigurer'!$B$96</c:f>
              <c:strCache>
                <c:ptCount val="1"/>
                <c:pt idx="0">
                  <c:v>Break even</c:v>
                </c:pt>
              </c:strCache>
            </c:strRef>
          </c:tx>
          <c:spPr>
            <a:ln w="28575" cap="rnd">
              <a:solidFill>
                <a:schemeClr val="accent2"/>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Franklin Gothic Book" panose="020B0503020102020204" pitchFamily="34" charset="0"/>
                    <a:ea typeface="+mn-ea"/>
                    <a:cs typeface="+mn-cs"/>
                  </a:defRPr>
                </a:pPr>
                <a:endParaRPr lang="nb-NO"/>
              </a:p>
            </c:txPr>
            <c:dLblPos val="t"/>
            <c:showLegendKey val="0"/>
            <c:showVal val="0"/>
            <c:showCatName val="1"/>
            <c:showSerName val="1"/>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'4.3.2 Data_Tidsseriefigurer'!$D$96:$CJ$96</c:f>
              <c:numCache>
                <c:formatCode>General</c:formatCode>
                <c:ptCount val="85"/>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pt idx="43">
                  <c:v>#N/A</c:v>
                </c:pt>
                <c:pt idx="44">
                  <c:v>#N/A</c:v>
                </c:pt>
                <c:pt idx="45">
                  <c:v>#N/A</c:v>
                </c:pt>
                <c:pt idx="46">
                  <c:v>#N/A</c:v>
                </c:pt>
                <c:pt idx="47">
                  <c:v>#N/A</c:v>
                </c:pt>
                <c:pt idx="48">
                  <c:v>#N/A</c:v>
                </c:pt>
                <c:pt idx="49">
                  <c:v>#N/A</c:v>
                </c:pt>
                <c:pt idx="50">
                  <c:v>#N/A</c:v>
                </c:pt>
                <c:pt idx="51">
                  <c:v>#N/A</c:v>
                </c:pt>
                <c:pt idx="52">
                  <c:v>#N/A</c:v>
                </c:pt>
                <c:pt idx="53">
                  <c:v>#N/A</c:v>
                </c:pt>
                <c:pt idx="54">
                  <c:v>#N/A</c:v>
                </c:pt>
                <c:pt idx="55">
                  <c:v>#N/A</c:v>
                </c:pt>
                <c:pt idx="56">
                  <c:v>#N/A</c:v>
                </c:pt>
                <c:pt idx="57">
                  <c:v>#N/A</c:v>
                </c:pt>
                <c:pt idx="58">
                  <c:v>#N/A</c:v>
                </c:pt>
                <c:pt idx="59">
                  <c:v>#N/A</c:v>
                </c:pt>
                <c:pt idx="60">
                  <c:v>#N/A</c:v>
                </c:pt>
                <c:pt idx="61">
                  <c:v>#N/A</c:v>
                </c:pt>
                <c:pt idx="62">
                  <c:v>#N/A</c:v>
                </c:pt>
                <c:pt idx="63">
                  <c:v>#N/A</c:v>
                </c:pt>
                <c:pt idx="64">
                  <c:v>#N/A</c:v>
                </c:pt>
                <c:pt idx="65">
                  <c:v>#N/A</c:v>
                </c:pt>
                <c:pt idx="66">
                  <c:v>#N/A</c:v>
                </c:pt>
                <c:pt idx="67">
                  <c:v>#N/A</c:v>
                </c:pt>
                <c:pt idx="68">
                  <c:v>#N/A</c:v>
                </c:pt>
                <c:pt idx="69">
                  <c:v>#N/A</c:v>
                </c:pt>
                <c:pt idx="70">
                  <c:v>#N/A</c:v>
                </c:pt>
                <c:pt idx="71">
                  <c:v>#N/A</c:v>
                </c:pt>
                <c:pt idx="72">
                  <c:v>#N/A</c:v>
                </c:pt>
                <c:pt idx="73">
                  <c:v>#N/A</c:v>
                </c:pt>
                <c:pt idx="74">
                  <c:v>#N/A</c:v>
                </c:pt>
                <c:pt idx="75">
                  <c:v>#N/A</c:v>
                </c:pt>
                <c:pt idx="76">
                  <c:v>#N/A</c:v>
                </c:pt>
                <c:pt idx="77">
                  <c:v>#N/A</c:v>
                </c:pt>
                <c:pt idx="78">
                  <c:v>#N/A</c:v>
                </c:pt>
                <c:pt idx="79">
                  <c:v>#N/A</c:v>
                </c:pt>
                <c:pt idx="80">
                  <c:v>#N/A</c:v>
                </c:pt>
                <c:pt idx="81">
                  <c:v>#N/A</c:v>
                </c:pt>
                <c:pt idx="82">
                  <c:v>#N/A</c:v>
                </c:pt>
                <c:pt idx="83">
                  <c:v>#N/A</c:v>
                </c:pt>
                <c:pt idx="84">
                  <c:v>#N/A</c:v>
                </c:pt>
              </c:numCache>
            </c:numRef>
          </c:val>
          <c:smooth val="0"/>
          <c:extLst>
            <c:ext xmlns:c16="http://schemas.microsoft.com/office/drawing/2014/chart" uri="{C3380CC4-5D6E-409C-BE32-E72D297353CC}">
              <c16:uniqueId val="{00000003-EBE4-4746-A814-4F86C0530906}"/>
            </c:ext>
          </c:extLst>
        </c:ser>
        <c:dLbls>
          <c:showLegendKey val="0"/>
          <c:showVal val="0"/>
          <c:showCatName val="0"/>
          <c:showSerName val="0"/>
          <c:showPercent val="0"/>
          <c:showBubbleSize val="0"/>
        </c:dLbls>
        <c:smooth val="0"/>
        <c:axId val="1068055871"/>
        <c:axId val="977068831"/>
      </c:lineChart>
      <c:dateAx>
        <c:axId val="1068055871"/>
        <c:scaling>
          <c:orientation val="minMax"/>
          <c:max val="-1"/>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Franklin Gothic Book" panose="020B0503020102020204" pitchFamily="34" charset="0"/>
                <a:ea typeface="+mn-ea"/>
                <a:cs typeface="+mn-cs"/>
              </a:defRPr>
            </a:pPr>
            <a:endParaRPr lang="nb-NO"/>
          </a:p>
        </c:txPr>
        <c:crossAx val="977068831"/>
        <c:crosses val="autoZero"/>
        <c:auto val="0"/>
        <c:lblOffset val="100"/>
        <c:baseTimeUnit val="days"/>
      </c:dateAx>
      <c:valAx>
        <c:axId val="97706883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200" b="0" i="0" u="none" strike="noStrike" kern="1200" baseline="0">
                    <a:solidFill>
                      <a:schemeClr val="tx1">
                        <a:lumMod val="65000"/>
                        <a:lumOff val="35000"/>
                      </a:schemeClr>
                    </a:solidFill>
                    <a:latin typeface="Franklin Gothic Book" panose="020B0503020102020204" pitchFamily="34" charset="0"/>
                    <a:ea typeface="+mn-ea"/>
                    <a:cs typeface="+mn-cs"/>
                  </a:defRPr>
                </a:pPr>
                <a:r>
                  <a:rPr lang="nb-NO" sz="1200">
                    <a:latin typeface="Franklin Gothic Book" panose="020B0503020102020204" pitchFamily="34" charset="0"/>
                  </a:rPr>
                  <a:t>Millioner kroner</a:t>
                </a:r>
              </a:p>
            </c:rich>
          </c:tx>
          <c:overlay val="0"/>
          <c:spPr>
            <a:noFill/>
            <a:ln>
              <a:noFill/>
            </a:ln>
            <a:effectLst/>
          </c:spPr>
          <c:txPr>
            <a:bodyPr rot="-5400000" spcFirstLastPara="1" vertOverflow="ellipsis" vert="horz" wrap="square" anchor="ctr" anchorCtr="1"/>
            <a:lstStyle/>
            <a:p>
              <a:pPr>
                <a:defRPr sz="1200" b="0" i="0" u="none" strike="noStrike" kern="1200" baseline="0">
                  <a:solidFill>
                    <a:schemeClr val="tx1">
                      <a:lumMod val="65000"/>
                      <a:lumOff val="35000"/>
                    </a:schemeClr>
                  </a:solidFill>
                  <a:latin typeface="Franklin Gothic Book" panose="020B0503020102020204" pitchFamily="34" charset="0"/>
                  <a:ea typeface="+mn-ea"/>
                  <a:cs typeface="+mn-cs"/>
                </a:defRPr>
              </a:pPr>
              <a:endParaRPr lang="nb-NO"/>
            </a:p>
          </c:txPr>
        </c:title>
        <c:numFmt formatCode="General" sourceLinked="0"/>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Franklin Gothic Book" panose="020B0503020102020204" pitchFamily="34" charset="0"/>
                <a:ea typeface="+mn-ea"/>
                <a:cs typeface="+mn-cs"/>
              </a:defRPr>
            </a:pPr>
            <a:endParaRPr lang="nb-NO"/>
          </a:p>
        </c:txPr>
        <c:crossAx val="1068055871"/>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nb-NO"/>
    </a:p>
  </c:txPr>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b-NO"/>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'4.3.2 Data_Tidsseriefigurer'!$C$62</c:f>
          <c:strCache>
            <c:ptCount val="1"/>
            <c:pt idx="0">
              <c:v>Budsjettvirkninger for det offentlige, mill. -kr</c:v>
            </c:pt>
          </c:strCache>
        </c:strRef>
      </c:tx>
      <c:overlay val="0"/>
      <c:spPr>
        <a:noFill/>
        <a:ln>
          <a:noFill/>
        </a:ln>
        <a:effectLst/>
      </c:spPr>
      <c:txPr>
        <a:bodyPr rot="0" spcFirstLastPara="1" vertOverflow="ellipsis" vert="horz" wrap="square" anchor="ctr" anchorCtr="1"/>
        <a:lstStyle/>
        <a:p>
          <a:pPr>
            <a:defRPr sz="1600" b="0" i="0" u="none" strike="noStrike" kern="1200" spc="0" baseline="0">
              <a:solidFill>
                <a:schemeClr val="tx1">
                  <a:lumMod val="65000"/>
                  <a:lumOff val="35000"/>
                </a:schemeClr>
              </a:solidFill>
              <a:latin typeface="Franklin Gothic Book" panose="020B0503020102020204" pitchFamily="34" charset="0"/>
              <a:ea typeface="+mn-ea"/>
              <a:cs typeface="+mn-cs"/>
            </a:defRPr>
          </a:pPr>
          <a:endParaRPr lang="nb-NO"/>
        </a:p>
      </c:txPr>
    </c:title>
    <c:autoTitleDeleted val="0"/>
    <c:plotArea>
      <c:layout>
        <c:manualLayout>
          <c:layoutTarget val="inner"/>
          <c:xMode val="edge"/>
          <c:yMode val="edge"/>
          <c:x val="8.3619259259259254E-2"/>
          <c:y val="0.1060440286351471"/>
          <c:w val="0.87173666666666672"/>
          <c:h val="0.81630586021410478"/>
        </c:manualLayout>
      </c:layout>
      <c:barChart>
        <c:barDir val="col"/>
        <c:grouping val="clustered"/>
        <c:varyColors val="0"/>
        <c:ser>
          <c:idx val="4"/>
          <c:order val="0"/>
          <c:tx>
            <c:strRef>
              <c:f>'4.3.2 Data_Tidsseriefigurer'!$B$66</c:f>
              <c:strCache>
                <c:ptCount val="1"/>
                <c:pt idx="0">
                  <c:v>Investeringer  </c:v>
                </c:pt>
              </c:strCache>
            </c:strRef>
          </c:tx>
          <c:spPr>
            <a:solidFill>
              <a:srgbClr val="B9CDE5"/>
            </a:solidFill>
            <a:ln>
              <a:noFill/>
            </a:ln>
            <a:effectLst/>
          </c:spPr>
          <c:invertIfNegative val="0"/>
          <c:cat>
            <c:numRef>
              <c:f>'4.3.2 Data_Tidsseriefigurer'!$C$65:$CI$65</c:f>
              <c:numCache>
                <c:formatCode>General</c:formatCode>
                <c:ptCount val="85"/>
                <c:pt idx="0">
                  <c:v>-10</c:v>
                </c:pt>
                <c:pt idx="1">
                  <c:v>-9</c:v>
                </c:pt>
                <c:pt idx="2">
                  <c:v>-8</c:v>
                </c:pt>
                <c:pt idx="3">
                  <c:v>-7</c:v>
                </c:pt>
                <c:pt idx="4">
                  <c:v>-6</c:v>
                </c:pt>
                <c:pt idx="5">
                  <c:v>-5</c:v>
                </c:pt>
                <c:pt idx="6">
                  <c:v>-4</c:v>
                </c:pt>
                <c:pt idx="7">
                  <c:v>-3</c:v>
                </c:pt>
                <c:pt idx="8">
                  <c:v>-2</c:v>
                </c:pt>
                <c:pt idx="9">
                  <c:v>-1</c:v>
                </c:pt>
                <c:pt idx="10">
                  <c:v>0</c:v>
                </c:pt>
                <c:pt idx="11">
                  <c:v>1</c:v>
                </c:pt>
                <c:pt idx="12">
                  <c:v>2</c:v>
                </c:pt>
                <c:pt idx="13">
                  <c:v>3</c:v>
                </c:pt>
                <c:pt idx="14">
                  <c:v>4</c:v>
                </c:pt>
                <c:pt idx="15">
                  <c:v>5</c:v>
                </c:pt>
                <c:pt idx="16">
                  <c:v>6</c:v>
                </c:pt>
                <c:pt idx="17">
                  <c:v>7</c:v>
                </c:pt>
                <c:pt idx="18">
                  <c:v>8</c:v>
                </c:pt>
                <c:pt idx="19">
                  <c:v>9</c:v>
                </c:pt>
                <c:pt idx="20">
                  <c:v>10</c:v>
                </c:pt>
                <c:pt idx="21">
                  <c:v>11</c:v>
                </c:pt>
                <c:pt idx="22">
                  <c:v>12</c:v>
                </c:pt>
                <c:pt idx="23">
                  <c:v>13</c:v>
                </c:pt>
                <c:pt idx="24">
                  <c:v>14</c:v>
                </c:pt>
                <c:pt idx="25">
                  <c:v>15</c:v>
                </c:pt>
                <c:pt idx="26">
                  <c:v>16</c:v>
                </c:pt>
                <c:pt idx="27">
                  <c:v>17</c:v>
                </c:pt>
                <c:pt idx="28">
                  <c:v>18</c:v>
                </c:pt>
                <c:pt idx="29">
                  <c:v>19</c:v>
                </c:pt>
                <c:pt idx="30">
                  <c:v>20</c:v>
                </c:pt>
                <c:pt idx="31">
                  <c:v>21</c:v>
                </c:pt>
                <c:pt idx="32">
                  <c:v>22</c:v>
                </c:pt>
                <c:pt idx="33">
                  <c:v>23</c:v>
                </c:pt>
                <c:pt idx="34">
                  <c:v>24</c:v>
                </c:pt>
                <c:pt idx="35">
                  <c:v>25</c:v>
                </c:pt>
                <c:pt idx="36">
                  <c:v>26</c:v>
                </c:pt>
                <c:pt idx="37">
                  <c:v>27</c:v>
                </c:pt>
                <c:pt idx="38">
                  <c:v>28</c:v>
                </c:pt>
                <c:pt idx="39">
                  <c:v>29</c:v>
                </c:pt>
                <c:pt idx="40">
                  <c:v>30</c:v>
                </c:pt>
                <c:pt idx="41">
                  <c:v>31</c:v>
                </c:pt>
                <c:pt idx="42">
                  <c:v>32</c:v>
                </c:pt>
                <c:pt idx="43">
                  <c:v>33</c:v>
                </c:pt>
                <c:pt idx="44">
                  <c:v>34</c:v>
                </c:pt>
                <c:pt idx="45">
                  <c:v>35</c:v>
                </c:pt>
                <c:pt idx="46">
                  <c:v>36</c:v>
                </c:pt>
                <c:pt idx="47">
                  <c:v>37</c:v>
                </c:pt>
                <c:pt idx="48">
                  <c:v>38</c:v>
                </c:pt>
                <c:pt idx="49">
                  <c:v>39</c:v>
                </c:pt>
                <c:pt idx="50">
                  <c:v>40</c:v>
                </c:pt>
                <c:pt idx="51">
                  <c:v>41</c:v>
                </c:pt>
                <c:pt idx="52">
                  <c:v>42</c:v>
                </c:pt>
                <c:pt idx="53">
                  <c:v>43</c:v>
                </c:pt>
                <c:pt idx="54">
                  <c:v>44</c:v>
                </c:pt>
                <c:pt idx="55">
                  <c:v>45</c:v>
                </c:pt>
                <c:pt idx="56">
                  <c:v>46</c:v>
                </c:pt>
                <c:pt idx="57">
                  <c:v>47</c:v>
                </c:pt>
                <c:pt idx="58">
                  <c:v>48</c:v>
                </c:pt>
                <c:pt idx="59">
                  <c:v>49</c:v>
                </c:pt>
                <c:pt idx="60">
                  <c:v>50</c:v>
                </c:pt>
                <c:pt idx="61">
                  <c:v>51</c:v>
                </c:pt>
                <c:pt idx="62">
                  <c:v>52</c:v>
                </c:pt>
                <c:pt idx="63">
                  <c:v>53</c:v>
                </c:pt>
                <c:pt idx="64">
                  <c:v>54</c:v>
                </c:pt>
                <c:pt idx="65">
                  <c:v>55</c:v>
                </c:pt>
                <c:pt idx="66">
                  <c:v>56</c:v>
                </c:pt>
                <c:pt idx="67">
                  <c:v>57</c:v>
                </c:pt>
                <c:pt idx="68">
                  <c:v>58</c:v>
                </c:pt>
                <c:pt idx="69">
                  <c:v>59</c:v>
                </c:pt>
                <c:pt idx="70">
                  <c:v>60</c:v>
                </c:pt>
                <c:pt idx="71">
                  <c:v>61</c:v>
                </c:pt>
                <c:pt idx="72">
                  <c:v>62</c:v>
                </c:pt>
                <c:pt idx="73">
                  <c:v>63</c:v>
                </c:pt>
                <c:pt idx="74">
                  <c:v>64</c:v>
                </c:pt>
                <c:pt idx="75">
                  <c:v>65</c:v>
                </c:pt>
                <c:pt idx="76">
                  <c:v>66</c:v>
                </c:pt>
                <c:pt idx="77">
                  <c:v>67</c:v>
                </c:pt>
                <c:pt idx="78">
                  <c:v>68</c:v>
                </c:pt>
                <c:pt idx="79">
                  <c:v>69</c:v>
                </c:pt>
                <c:pt idx="80">
                  <c:v>70</c:v>
                </c:pt>
                <c:pt idx="81">
                  <c:v>71</c:v>
                </c:pt>
                <c:pt idx="82">
                  <c:v>72</c:v>
                </c:pt>
                <c:pt idx="83">
                  <c:v>73</c:v>
                </c:pt>
                <c:pt idx="84">
                  <c:v>74</c:v>
                </c:pt>
              </c:numCache>
            </c:numRef>
          </c:cat>
          <c:val>
            <c:numRef>
              <c:f>'4.3.2 Data_Tidsseriefigurer'!$C$66:$CI$66</c:f>
              <c:numCache>
                <c:formatCode>General</c:formatCode>
                <c:ptCount val="8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numCache>
            </c:numRef>
          </c:val>
          <c:extLst>
            <c:ext xmlns:c16="http://schemas.microsoft.com/office/drawing/2014/chart" uri="{C3380CC4-5D6E-409C-BE32-E72D297353CC}">
              <c16:uniqueId val="{00000004-1EDF-42A4-B418-B8ED7D17B66C}"/>
            </c:ext>
          </c:extLst>
        </c:ser>
        <c:ser>
          <c:idx val="0"/>
          <c:order val="1"/>
          <c:tx>
            <c:strRef>
              <c:f>'4.3.2 Data_Tidsseriefigurer'!$B$67</c:f>
              <c:strCache>
                <c:ptCount val="1"/>
                <c:pt idx="0">
                  <c:v>Reinvesteringer</c:v>
                </c:pt>
              </c:strCache>
            </c:strRef>
          </c:tx>
          <c:spPr>
            <a:solidFill>
              <a:schemeClr val="accent1"/>
            </a:solidFill>
            <a:ln>
              <a:noFill/>
            </a:ln>
            <a:effectLst/>
          </c:spPr>
          <c:invertIfNegative val="0"/>
          <c:cat>
            <c:numRef>
              <c:f>'4.3.2 Data_Tidsseriefigurer'!$C$65:$CI$65</c:f>
              <c:numCache>
                <c:formatCode>General</c:formatCode>
                <c:ptCount val="85"/>
                <c:pt idx="0">
                  <c:v>-10</c:v>
                </c:pt>
                <c:pt idx="1">
                  <c:v>-9</c:v>
                </c:pt>
                <c:pt idx="2">
                  <c:v>-8</c:v>
                </c:pt>
                <c:pt idx="3">
                  <c:v>-7</c:v>
                </c:pt>
                <c:pt idx="4">
                  <c:v>-6</c:v>
                </c:pt>
                <c:pt idx="5">
                  <c:v>-5</c:v>
                </c:pt>
                <c:pt idx="6">
                  <c:v>-4</c:v>
                </c:pt>
                <c:pt idx="7">
                  <c:v>-3</c:v>
                </c:pt>
                <c:pt idx="8">
                  <c:v>-2</c:v>
                </c:pt>
                <c:pt idx="9">
                  <c:v>-1</c:v>
                </c:pt>
                <c:pt idx="10">
                  <c:v>0</c:v>
                </c:pt>
                <c:pt idx="11">
                  <c:v>1</c:v>
                </c:pt>
                <c:pt idx="12">
                  <c:v>2</c:v>
                </c:pt>
                <c:pt idx="13">
                  <c:v>3</c:v>
                </c:pt>
                <c:pt idx="14">
                  <c:v>4</c:v>
                </c:pt>
                <c:pt idx="15">
                  <c:v>5</c:v>
                </c:pt>
                <c:pt idx="16">
                  <c:v>6</c:v>
                </c:pt>
                <c:pt idx="17">
                  <c:v>7</c:v>
                </c:pt>
                <c:pt idx="18">
                  <c:v>8</c:v>
                </c:pt>
                <c:pt idx="19">
                  <c:v>9</c:v>
                </c:pt>
                <c:pt idx="20">
                  <c:v>10</c:v>
                </c:pt>
                <c:pt idx="21">
                  <c:v>11</c:v>
                </c:pt>
                <c:pt idx="22">
                  <c:v>12</c:v>
                </c:pt>
                <c:pt idx="23">
                  <c:v>13</c:v>
                </c:pt>
                <c:pt idx="24">
                  <c:v>14</c:v>
                </c:pt>
                <c:pt idx="25">
                  <c:v>15</c:v>
                </c:pt>
                <c:pt idx="26">
                  <c:v>16</c:v>
                </c:pt>
                <c:pt idx="27">
                  <c:v>17</c:v>
                </c:pt>
                <c:pt idx="28">
                  <c:v>18</c:v>
                </c:pt>
                <c:pt idx="29">
                  <c:v>19</c:v>
                </c:pt>
                <c:pt idx="30">
                  <c:v>20</c:v>
                </c:pt>
                <c:pt idx="31">
                  <c:v>21</c:v>
                </c:pt>
                <c:pt idx="32">
                  <c:v>22</c:v>
                </c:pt>
                <c:pt idx="33">
                  <c:v>23</c:v>
                </c:pt>
                <c:pt idx="34">
                  <c:v>24</c:v>
                </c:pt>
                <c:pt idx="35">
                  <c:v>25</c:v>
                </c:pt>
                <c:pt idx="36">
                  <c:v>26</c:v>
                </c:pt>
                <c:pt idx="37">
                  <c:v>27</c:v>
                </c:pt>
                <c:pt idx="38">
                  <c:v>28</c:v>
                </c:pt>
                <c:pt idx="39">
                  <c:v>29</c:v>
                </c:pt>
                <c:pt idx="40">
                  <c:v>30</c:v>
                </c:pt>
                <c:pt idx="41">
                  <c:v>31</c:v>
                </c:pt>
                <c:pt idx="42">
                  <c:v>32</c:v>
                </c:pt>
                <c:pt idx="43">
                  <c:v>33</c:v>
                </c:pt>
                <c:pt idx="44">
                  <c:v>34</c:v>
                </c:pt>
                <c:pt idx="45">
                  <c:v>35</c:v>
                </c:pt>
                <c:pt idx="46">
                  <c:v>36</c:v>
                </c:pt>
                <c:pt idx="47">
                  <c:v>37</c:v>
                </c:pt>
                <c:pt idx="48">
                  <c:v>38</c:v>
                </c:pt>
                <c:pt idx="49">
                  <c:v>39</c:v>
                </c:pt>
                <c:pt idx="50">
                  <c:v>40</c:v>
                </c:pt>
                <c:pt idx="51">
                  <c:v>41</c:v>
                </c:pt>
                <c:pt idx="52">
                  <c:v>42</c:v>
                </c:pt>
                <c:pt idx="53">
                  <c:v>43</c:v>
                </c:pt>
                <c:pt idx="54">
                  <c:v>44</c:v>
                </c:pt>
                <c:pt idx="55">
                  <c:v>45</c:v>
                </c:pt>
                <c:pt idx="56">
                  <c:v>46</c:v>
                </c:pt>
                <c:pt idx="57">
                  <c:v>47</c:v>
                </c:pt>
                <c:pt idx="58">
                  <c:v>48</c:v>
                </c:pt>
                <c:pt idx="59">
                  <c:v>49</c:v>
                </c:pt>
                <c:pt idx="60">
                  <c:v>50</c:v>
                </c:pt>
                <c:pt idx="61">
                  <c:v>51</c:v>
                </c:pt>
                <c:pt idx="62">
                  <c:v>52</c:v>
                </c:pt>
                <c:pt idx="63">
                  <c:v>53</c:v>
                </c:pt>
                <c:pt idx="64">
                  <c:v>54</c:v>
                </c:pt>
                <c:pt idx="65">
                  <c:v>55</c:v>
                </c:pt>
                <c:pt idx="66">
                  <c:v>56</c:v>
                </c:pt>
                <c:pt idx="67">
                  <c:v>57</c:v>
                </c:pt>
                <c:pt idx="68">
                  <c:v>58</c:v>
                </c:pt>
                <c:pt idx="69">
                  <c:v>59</c:v>
                </c:pt>
                <c:pt idx="70">
                  <c:v>60</c:v>
                </c:pt>
                <c:pt idx="71">
                  <c:v>61</c:v>
                </c:pt>
                <c:pt idx="72">
                  <c:v>62</c:v>
                </c:pt>
                <c:pt idx="73">
                  <c:v>63</c:v>
                </c:pt>
                <c:pt idx="74">
                  <c:v>64</c:v>
                </c:pt>
                <c:pt idx="75">
                  <c:v>65</c:v>
                </c:pt>
                <c:pt idx="76">
                  <c:v>66</c:v>
                </c:pt>
                <c:pt idx="77">
                  <c:v>67</c:v>
                </c:pt>
                <c:pt idx="78">
                  <c:v>68</c:v>
                </c:pt>
                <c:pt idx="79">
                  <c:v>69</c:v>
                </c:pt>
                <c:pt idx="80">
                  <c:v>70</c:v>
                </c:pt>
                <c:pt idx="81">
                  <c:v>71</c:v>
                </c:pt>
                <c:pt idx="82">
                  <c:v>72</c:v>
                </c:pt>
                <c:pt idx="83">
                  <c:v>73</c:v>
                </c:pt>
                <c:pt idx="84">
                  <c:v>74</c:v>
                </c:pt>
              </c:numCache>
            </c:numRef>
          </c:cat>
          <c:val>
            <c:numRef>
              <c:f>'4.3.2 Data_Tidsseriefigurer'!$C$67:$CI$67</c:f>
              <c:numCache>
                <c:formatCode>General</c:formatCode>
                <c:ptCount val="8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numCache>
            </c:numRef>
          </c:val>
          <c:extLst>
            <c:ext xmlns:c16="http://schemas.microsoft.com/office/drawing/2014/chart" uri="{C3380CC4-5D6E-409C-BE32-E72D297353CC}">
              <c16:uniqueId val="{00000001-1606-4E27-8EE2-D8283A990826}"/>
            </c:ext>
          </c:extLst>
        </c:ser>
        <c:ser>
          <c:idx val="5"/>
          <c:order val="2"/>
          <c:tx>
            <c:strRef>
              <c:f>'4.3.2 Data_Tidsseriefigurer'!$B$68</c:f>
              <c:strCache>
                <c:ptCount val="1"/>
                <c:pt idx="0">
                  <c:v>Budsjettvirkninger ekskl. investering og reinvestering</c:v>
                </c:pt>
              </c:strCache>
            </c:strRef>
          </c:tx>
          <c:spPr>
            <a:solidFill>
              <a:srgbClr val="F2DCDB"/>
            </a:solidFill>
            <a:ln>
              <a:noFill/>
            </a:ln>
            <a:effectLst/>
          </c:spPr>
          <c:invertIfNegative val="0"/>
          <c:cat>
            <c:numRef>
              <c:f>'4.3.2 Data_Tidsseriefigurer'!$C$65:$CI$65</c:f>
              <c:numCache>
                <c:formatCode>General</c:formatCode>
                <c:ptCount val="85"/>
                <c:pt idx="0">
                  <c:v>-10</c:v>
                </c:pt>
                <c:pt idx="1">
                  <c:v>-9</c:v>
                </c:pt>
                <c:pt idx="2">
                  <c:v>-8</c:v>
                </c:pt>
                <c:pt idx="3">
                  <c:v>-7</c:v>
                </c:pt>
                <c:pt idx="4">
                  <c:v>-6</c:v>
                </c:pt>
                <c:pt idx="5">
                  <c:v>-5</c:v>
                </c:pt>
                <c:pt idx="6">
                  <c:v>-4</c:v>
                </c:pt>
                <c:pt idx="7">
                  <c:v>-3</c:v>
                </c:pt>
                <c:pt idx="8">
                  <c:v>-2</c:v>
                </c:pt>
                <c:pt idx="9">
                  <c:v>-1</c:v>
                </c:pt>
                <c:pt idx="10">
                  <c:v>0</c:v>
                </c:pt>
                <c:pt idx="11">
                  <c:v>1</c:v>
                </c:pt>
                <c:pt idx="12">
                  <c:v>2</c:v>
                </c:pt>
                <c:pt idx="13">
                  <c:v>3</c:v>
                </c:pt>
                <c:pt idx="14">
                  <c:v>4</c:v>
                </c:pt>
                <c:pt idx="15">
                  <c:v>5</c:v>
                </c:pt>
                <c:pt idx="16">
                  <c:v>6</c:v>
                </c:pt>
                <c:pt idx="17">
                  <c:v>7</c:v>
                </c:pt>
                <c:pt idx="18">
                  <c:v>8</c:v>
                </c:pt>
                <c:pt idx="19">
                  <c:v>9</c:v>
                </c:pt>
                <c:pt idx="20">
                  <c:v>10</c:v>
                </c:pt>
                <c:pt idx="21">
                  <c:v>11</c:v>
                </c:pt>
                <c:pt idx="22">
                  <c:v>12</c:v>
                </c:pt>
                <c:pt idx="23">
                  <c:v>13</c:v>
                </c:pt>
                <c:pt idx="24">
                  <c:v>14</c:v>
                </c:pt>
                <c:pt idx="25">
                  <c:v>15</c:v>
                </c:pt>
                <c:pt idx="26">
                  <c:v>16</c:v>
                </c:pt>
                <c:pt idx="27">
                  <c:v>17</c:v>
                </c:pt>
                <c:pt idx="28">
                  <c:v>18</c:v>
                </c:pt>
                <c:pt idx="29">
                  <c:v>19</c:v>
                </c:pt>
                <c:pt idx="30">
                  <c:v>20</c:v>
                </c:pt>
                <c:pt idx="31">
                  <c:v>21</c:v>
                </c:pt>
                <c:pt idx="32">
                  <c:v>22</c:v>
                </c:pt>
                <c:pt idx="33">
                  <c:v>23</c:v>
                </c:pt>
                <c:pt idx="34">
                  <c:v>24</c:v>
                </c:pt>
                <c:pt idx="35">
                  <c:v>25</c:v>
                </c:pt>
                <c:pt idx="36">
                  <c:v>26</c:v>
                </c:pt>
                <c:pt idx="37">
                  <c:v>27</c:v>
                </c:pt>
                <c:pt idx="38">
                  <c:v>28</c:v>
                </c:pt>
                <c:pt idx="39">
                  <c:v>29</c:v>
                </c:pt>
                <c:pt idx="40">
                  <c:v>30</c:v>
                </c:pt>
                <c:pt idx="41">
                  <c:v>31</c:v>
                </c:pt>
                <c:pt idx="42">
                  <c:v>32</c:v>
                </c:pt>
                <c:pt idx="43">
                  <c:v>33</c:v>
                </c:pt>
                <c:pt idx="44">
                  <c:v>34</c:v>
                </c:pt>
                <c:pt idx="45">
                  <c:v>35</c:v>
                </c:pt>
                <c:pt idx="46">
                  <c:v>36</c:v>
                </c:pt>
                <c:pt idx="47">
                  <c:v>37</c:v>
                </c:pt>
                <c:pt idx="48">
                  <c:v>38</c:v>
                </c:pt>
                <c:pt idx="49">
                  <c:v>39</c:v>
                </c:pt>
                <c:pt idx="50">
                  <c:v>40</c:v>
                </c:pt>
                <c:pt idx="51">
                  <c:v>41</c:v>
                </c:pt>
                <c:pt idx="52">
                  <c:v>42</c:v>
                </c:pt>
                <c:pt idx="53">
                  <c:v>43</c:v>
                </c:pt>
                <c:pt idx="54">
                  <c:v>44</c:v>
                </c:pt>
                <c:pt idx="55">
                  <c:v>45</c:v>
                </c:pt>
                <c:pt idx="56">
                  <c:v>46</c:v>
                </c:pt>
                <c:pt idx="57">
                  <c:v>47</c:v>
                </c:pt>
                <c:pt idx="58">
                  <c:v>48</c:v>
                </c:pt>
                <c:pt idx="59">
                  <c:v>49</c:v>
                </c:pt>
                <c:pt idx="60">
                  <c:v>50</c:v>
                </c:pt>
                <c:pt idx="61">
                  <c:v>51</c:v>
                </c:pt>
                <c:pt idx="62">
                  <c:v>52</c:v>
                </c:pt>
                <c:pt idx="63">
                  <c:v>53</c:v>
                </c:pt>
                <c:pt idx="64">
                  <c:v>54</c:v>
                </c:pt>
                <c:pt idx="65">
                  <c:v>55</c:v>
                </c:pt>
                <c:pt idx="66">
                  <c:v>56</c:v>
                </c:pt>
                <c:pt idx="67">
                  <c:v>57</c:v>
                </c:pt>
                <c:pt idx="68">
                  <c:v>58</c:v>
                </c:pt>
                <c:pt idx="69">
                  <c:v>59</c:v>
                </c:pt>
                <c:pt idx="70">
                  <c:v>60</c:v>
                </c:pt>
                <c:pt idx="71">
                  <c:v>61</c:v>
                </c:pt>
                <c:pt idx="72">
                  <c:v>62</c:v>
                </c:pt>
                <c:pt idx="73">
                  <c:v>63</c:v>
                </c:pt>
                <c:pt idx="74">
                  <c:v>64</c:v>
                </c:pt>
                <c:pt idx="75">
                  <c:v>65</c:v>
                </c:pt>
                <c:pt idx="76">
                  <c:v>66</c:v>
                </c:pt>
                <c:pt idx="77">
                  <c:v>67</c:v>
                </c:pt>
                <c:pt idx="78">
                  <c:v>68</c:v>
                </c:pt>
                <c:pt idx="79">
                  <c:v>69</c:v>
                </c:pt>
                <c:pt idx="80">
                  <c:v>70</c:v>
                </c:pt>
                <c:pt idx="81">
                  <c:v>71</c:v>
                </c:pt>
                <c:pt idx="82">
                  <c:v>72</c:v>
                </c:pt>
                <c:pt idx="83">
                  <c:v>73</c:v>
                </c:pt>
                <c:pt idx="84">
                  <c:v>74</c:v>
                </c:pt>
              </c:numCache>
            </c:numRef>
          </c:cat>
          <c:val>
            <c:numRef>
              <c:f>'4.3.2 Data_Tidsseriefigurer'!$C$68:$CI$68</c:f>
              <c:numCache>
                <c:formatCode>General</c:formatCode>
                <c:ptCount val="8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numCache>
            </c:numRef>
          </c:val>
          <c:extLst>
            <c:ext xmlns:c16="http://schemas.microsoft.com/office/drawing/2014/chart" uri="{C3380CC4-5D6E-409C-BE32-E72D297353CC}">
              <c16:uniqueId val="{00000005-1EDF-42A4-B418-B8ED7D17B66C}"/>
            </c:ext>
          </c:extLst>
        </c:ser>
        <c:dLbls>
          <c:showLegendKey val="0"/>
          <c:showVal val="0"/>
          <c:showCatName val="0"/>
          <c:showSerName val="0"/>
          <c:showPercent val="0"/>
          <c:showBubbleSize val="0"/>
        </c:dLbls>
        <c:gapWidth val="219"/>
        <c:overlap val="-27"/>
        <c:axId val="214113775"/>
        <c:axId val="345675167"/>
      </c:barChart>
      <c:dateAx>
        <c:axId val="214113775"/>
        <c:scaling>
          <c:orientation val="minMax"/>
          <c:max val="2104"/>
          <c:min val="2025"/>
        </c:scaling>
        <c:delete val="0"/>
        <c:axPos val="b"/>
        <c:numFmt formatCode="0" sourceLinked="0"/>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Franklin Gothic Book" panose="020B0503020102020204" pitchFamily="34" charset="0"/>
                <a:ea typeface="+mn-ea"/>
                <a:cs typeface="+mn-cs"/>
              </a:defRPr>
            </a:pPr>
            <a:endParaRPr lang="nb-NO"/>
          </a:p>
        </c:txPr>
        <c:crossAx val="345675167"/>
        <c:crosses val="autoZero"/>
        <c:auto val="0"/>
        <c:lblOffset val="100"/>
        <c:baseTimeUnit val="days"/>
      </c:dateAx>
      <c:valAx>
        <c:axId val="345675167"/>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200" b="0" i="0" u="none" strike="noStrike" kern="1200" baseline="0">
                    <a:solidFill>
                      <a:schemeClr val="tx1">
                        <a:lumMod val="65000"/>
                        <a:lumOff val="35000"/>
                      </a:schemeClr>
                    </a:solidFill>
                    <a:latin typeface="Franklin Gothic Book" panose="020B0503020102020204" pitchFamily="34" charset="0"/>
                    <a:ea typeface="+mn-ea"/>
                    <a:cs typeface="+mn-cs"/>
                  </a:defRPr>
                </a:pPr>
                <a:r>
                  <a:rPr lang="nb-NO" sz="1200">
                    <a:latin typeface="Franklin Gothic Book" panose="020B0503020102020204" pitchFamily="34" charset="0"/>
                  </a:rPr>
                  <a:t>Millioner kroner</a:t>
                </a:r>
              </a:p>
            </c:rich>
          </c:tx>
          <c:overlay val="0"/>
          <c:spPr>
            <a:noFill/>
            <a:ln>
              <a:noFill/>
            </a:ln>
            <a:effectLst/>
          </c:spPr>
          <c:txPr>
            <a:bodyPr rot="-5400000" spcFirstLastPara="1" vertOverflow="ellipsis" vert="horz" wrap="square" anchor="ctr" anchorCtr="1"/>
            <a:lstStyle/>
            <a:p>
              <a:pPr>
                <a:defRPr sz="1200" b="0" i="0" u="none" strike="noStrike" kern="1200" baseline="0">
                  <a:solidFill>
                    <a:schemeClr val="tx1">
                      <a:lumMod val="65000"/>
                      <a:lumOff val="35000"/>
                    </a:schemeClr>
                  </a:solidFill>
                  <a:latin typeface="Franklin Gothic Book" panose="020B0503020102020204" pitchFamily="34" charset="0"/>
                  <a:ea typeface="+mn-ea"/>
                  <a:cs typeface="+mn-cs"/>
                </a:defRPr>
              </a:pPr>
              <a:endParaRPr lang="nb-NO"/>
            </a:p>
          </c:txPr>
        </c:title>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Franklin Gothic Book" panose="020B0503020102020204" pitchFamily="34" charset="0"/>
                <a:ea typeface="+mn-ea"/>
                <a:cs typeface="+mn-cs"/>
              </a:defRPr>
            </a:pPr>
            <a:endParaRPr lang="nb-NO"/>
          </a:p>
        </c:txPr>
        <c:crossAx val="214113775"/>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Franklin Gothic Book" panose="020B0503020102020204" pitchFamily="34" charset="0"/>
              <a:ea typeface="+mn-ea"/>
              <a:cs typeface="+mn-cs"/>
            </a:defRPr>
          </a:pPr>
          <a:endParaRPr lang="nb-NO"/>
        </a:p>
      </c:txPr>
    </c:legend>
    <c:plotVisOnly val="1"/>
    <c:dispBlanksAs val="zero"/>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nb-NO"/>
    </a:p>
  </c:txPr>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b-NO"/>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'4.3.2 Data_Tidsseriefigurer'!$C$88</c:f>
          <c:strCache>
            <c:ptCount val="1"/>
            <c:pt idx="0">
              <c:v>Netto nytte akkumulert etter et gitt antall år etter åpning, mill. -kr</c:v>
            </c:pt>
          </c:strCache>
        </c:strRef>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Franklin Gothic Book" panose="020B0503020102020204" pitchFamily="34" charset="0"/>
              <a:ea typeface="+mn-ea"/>
              <a:cs typeface="+mn-cs"/>
            </a:defRPr>
          </a:pPr>
          <a:endParaRPr lang="nb-NO"/>
        </a:p>
      </c:txPr>
    </c:title>
    <c:autoTitleDeleted val="0"/>
    <c:plotArea>
      <c:layout/>
      <c:lineChart>
        <c:grouping val="standard"/>
        <c:varyColors val="0"/>
        <c:ser>
          <c:idx val="0"/>
          <c:order val="0"/>
          <c:tx>
            <c:strRef>
              <c:f>'4.3.2 Data_Tidsseriefigurer'!$B$93</c:f>
              <c:strCache>
                <c:ptCount val="1"/>
                <c:pt idx="0">
                  <c:v>Neddiskontert akkumulert </c:v>
                </c:pt>
              </c:strCache>
            </c:strRef>
          </c:tx>
          <c:spPr>
            <a:ln w="28575" cap="rnd">
              <a:solidFill>
                <a:srgbClr val="95B3D7"/>
              </a:solidFill>
              <a:round/>
            </a:ln>
            <a:effectLst/>
          </c:spPr>
          <c:marker>
            <c:symbol val="none"/>
          </c:marker>
          <c:cat>
            <c:numRef>
              <c:f>'4.3.2 Data_Tidsseriefigurer'!$D$90:$CJ$90</c:f>
              <c:numCache>
                <c:formatCode>General</c:formatCode>
                <c:ptCount val="85"/>
                <c:pt idx="0">
                  <c:v>-10</c:v>
                </c:pt>
                <c:pt idx="1">
                  <c:v>-9</c:v>
                </c:pt>
                <c:pt idx="2">
                  <c:v>-8</c:v>
                </c:pt>
                <c:pt idx="3">
                  <c:v>-7</c:v>
                </c:pt>
                <c:pt idx="4">
                  <c:v>-6</c:v>
                </c:pt>
                <c:pt idx="5">
                  <c:v>-5</c:v>
                </c:pt>
                <c:pt idx="6">
                  <c:v>-4</c:v>
                </c:pt>
                <c:pt idx="7">
                  <c:v>-3</c:v>
                </c:pt>
                <c:pt idx="8">
                  <c:v>-2</c:v>
                </c:pt>
                <c:pt idx="9">
                  <c:v>-1</c:v>
                </c:pt>
                <c:pt idx="10">
                  <c:v>0</c:v>
                </c:pt>
                <c:pt idx="11">
                  <c:v>1</c:v>
                </c:pt>
                <c:pt idx="12">
                  <c:v>2</c:v>
                </c:pt>
                <c:pt idx="13">
                  <c:v>3</c:v>
                </c:pt>
                <c:pt idx="14">
                  <c:v>4</c:v>
                </c:pt>
                <c:pt idx="15">
                  <c:v>5</c:v>
                </c:pt>
                <c:pt idx="16">
                  <c:v>6</c:v>
                </c:pt>
                <c:pt idx="17">
                  <c:v>7</c:v>
                </c:pt>
                <c:pt idx="18">
                  <c:v>8</c:v>
                </c:pt>
                <c:pt idx="19">
                  <c:v>9</c:v>
                </c:pt>
                <c:pt idx="20">
                  <c:v>10</c:v>
                </c:pt>
                <c:pt idx="21">
                  <c:v>11</c:v>
                </c:pt>
                <c:pt idx="22">
                  <c:v>12</c:v>
                </c:pt>
                <c:pt idx="23">
                  <c:v>13</c:v>
                </c:pt>
                <c:pt idx="24">
                  <c:v>14</c:v>
                </c:pt>
                <c:pt idx="25">
                  <c:v>15</c:v>
                </c:pt>
                <c:pt idx="26">
                  <c:v>16</c:v>
                </c:pt>
                <c:pt idx="27">
                  <c:v>17</c:v>
                </c:pt>
                <c:pt idx="28">
                  <c:v>18</c:v>
                </c:pt>
                <c:pt idx="29">
                  <c:v>19</c:v>
                </c:pt>
                <c:pt idx="30">
                  <c:v>20</c:v>
                </c:pt>
                <c:pt idx="31">
                  <c:v>21</c:v>
                </c:pt>
                <c:pt idx="32">
                  <c:v>22</c:v>
                </c:pt>
                <c:pt idx="33">
                  <c:v>23</c:v>
                </c:pt>
                <c:pt idx="34">
                  <c:v>24</c:v>
                </c:pt>
                <c:pt idx="35">
                  <c:v>25</c:v>
                </c:pt>
                <c:pt idx="36">
                  <c:v>26</c:v>
                </c:pt>
                <c:pt idx="37">
                  <c:v>27</c:v>
                </c:pt>
                <c:pt idx="38">
                  <c:v>28</c:v>
                </c:pt>
                <c:pt idx="39">
                  <c:v>29</c:v>
                </c:pt>
                <c:pt idx="40">
                  <c:v>30</c:v>
                </c:pt>
                <c:pt idx="41">
                  <c:v>31</c:v>
                </c:pt>
                <c:pt idx="42">
                  <c:v>32</c:v>
                </c:pt>
                <c:pt idx="43">
                  <c:v>33</c:v>
                </c:pt>
                <c:pt idx="44">
                  <c:v>34</c:v>
                </c:pt>
                <c:pt idx="45">
                  <c:v>35</c:v>
                </c:pt>
                <c:pt idx="46">
                  <c:v>36</c:v>
                </c:pt>
                <c:pt idx="47">
                  <c:v>37</c:v>
                </c:pt>
                <c:pt idx="48">
                  <c:v>38</c:v>
                </c:pt>
                <c:pt idx="49">
                  <c:v>39</c:v>
                </c:pt>
                <c:pt idx="50">
                  <c:v>40</c:v>
                </c:pt>
                <c:pt idx="51">
                  <c:v>41</c:v>
                </c:pt>
                <c:pt idx="52">
                  <c:v>42</c:v>
                </c:pt>
                <c:pt idx="53">
                  <c:v>43</c:v>
                </c:pt>
                <c:pt idx="54">
                  <c:v>44</c:v>
                </c:pt>
                <c:pt idx="55">
                  <c:v>45</c:v>
                </c:pt>
                <c:pt idx="56">
                  <c:v>46</c:v>
                </c:pt>
                <c:pt idx="57">
                  <c:v>47</c:v>
                </c:pt>
                <c:pt idx="58">
                  <c:v>48</c:v>
                </c:pt>
                <c:pt idx="59">
                  <c:v>49</c:v>
                </c:pt>
                <c:pt idx="60">
                  <c:v>50</c:v>
                </c:pt>
                <c:pt idx="61">
                  <c:v>51</c:v>
                </c:pt>
                <c:pt idx="62">
                  <c:v>52</c:v>
                </c:pt>
                <c:pt idx="63">
                  <c:v>53</c:v>
                </c:pt>
                <c:pt idx="64">
                  <c:v>54</c:v>
                </c:pt>
                <c:pt idx="65">
                  <c:v>55</c:v>
                </c:pt>
                <c:pt idx="66">
                  <c:v>56</c:v>
                </c:pt>
                <c:pt idx="67">
                  <c:v>57</c:v>
                </c:pt>
                <c:pt idx="68">
                  <c:v>58</c:v>
                </c:pt>
                <c:pt idx="69">
                  <c:v>59</c:v>
                </c:pt>
                <c:pt idx="70">
                  <c:v>60</c:v>
                </c:pt>
                <c:pt idx="71">
                  <c:v>61</c:v>
                </c:pt>
                <c:pt idx="72">
                  <c:v>62</c:v>
                </c:pt>
                <c:pt idx="73">
                  <c:v>63</c:v>
                </c:pt>
                <c:pt idx="74">
                  <c:v>64</c:v>
                </c:pt>
                <c:pt idx="75">
                  <c:v>65</c:v>
                </c:pt>
                <c:pt idx="76">
                  <c:v>66</c:v>
                </c:pt>
                <c:pt idx="77">
                  <c:v>67</c:v>
                </c:pt>
                <c:pt idx="78">
                  <c:v>68</c:v>
                </c:pt>
                <c:pt idx="79">
                  <c:v>69</c:v>
                </c:pt>
                <c:pt idx="80">
                  <c:v>70</c:v>
                </c:pt>
                <c:pt idx="81">
                  <c:v>71</c:v>
                </c:pt>
                <c:pt idx="82">
                  <c:v>72</c:v>
                </c:pt>
                <c:pt idx="83">
                  <c:v>73</c:v>
                </c:pt>
                <c:pt idx="84">
                  <c:v>74</c:v>
                </c:pt>
              </c:numCache>
            </c:numRef>
          </c:cat>
          <c:val>
            <c:numRef>
              <c:f>'4.3.2 Data_Tidsseriefigurer'!$D$93:$CJ$93</c:f>
              <c:numCache>
                <c:formatCode>General</c:formatCode>
                <c:ptCount val="85"/>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pt idx="43">
                  <c:v>#N/A</c:v>
                </c:pt>
                <c:pt idx="44">
                  <c:v>#N/A</c:v>
                </c:pt>
                <c:pt idx="45">
                  <c:v>#N/A</c:v>
                </c:pt>
                <c:pt idx="46">
                  <c:v>#N/A</c:v>
                </c:pt>
                <c:pt idx="47">
                  <c:v>#N/A</c:v>
                </c:pt>
                <c:pt idx="48">
                  <c:v>#N/A</c:v>
                </c:pt>
                <c:pt idx="49">
                  <c:v>#N/A</c:v>
                </c:pt>
                <c:pt idx="50">
                  <c:v>#N/A</c:v>
                </c:pt>
                <c:pt idx="51">
                  <c:v>#N/A</c:v>
                </c:pt>
                <c:pt idx="52">
                  <c:v>#N/A</c:v>
                </c:pt>
                <c:pt idx="53">
                  <c:v>#N/A</c:v>
                </c:pt>
                <c:pt idx="54">
                  <c:v>#N/A</c:v>
                </c:pt>
                <c:pt idx="55">
                  <c:v>#N/A</c:v>
                </c:pt>
                <c:pt idx="56">
                  <c:v>#N/A</c:v>
                </c:pt>
                <c:pt idx="57">
                  <c:v>#N/A</c:v>
                </c:pt>
                <c:pt idx="58">
                  <c:v>#N/A</c:v>
                </c:pt>
                <c:pt idx="59">
                  <c:v>#N/A</c:v>
                </c:pt>
                <c:pt idx="60">
                  <c:v>#N/A</c:v>
                </c:pt>
                <c:pt idx="61">
                  <c:v>#N/A</c:v>
                </c:pt>
                <c:pt idx="62">
                  <c:v>#N/A</c:v>
                </c:pt>
                <c:pt idx="63">
                  <c:v>#N/A</c:v>
                </c:pt>
                <c:pt idx="64">
                  <c:v>#N/A</c:v>
                </c:pt>
                <c:pt idx="65">
                  <c:v>#N/A</c:v>
                </c:pt>
                <c:pt idx="66">
                  <c:v>#N/A</c:v>
                </c:pt>
                <c:pt idx="67">
                  <c:v>#N/A</c:v>
                </c:pt>
                <c:pt idx="68">
                  <c:v>#N/A</c:v>
                </c:pt>
                <c:pt idx="69">
                  <c:v>#N/A</c:v>
                </c:pt>
                <c:pt idx="70">
                  <c:v>#N/A</c:v>
                </c:pt>
                <c:pt idx="71">
                  <c:v>#N/A</c:v>
                </c:pt>
                <c:pt idx="72">
                  <c:v>#N/A</c:v>
                </c:pt>
                <c:pt idx="73">
                  <c:v>#N/A</c:v>
                </c:pt>
                <c:pt idx="74">
                  <c:v>#N/A</c:v>
                </c:pt>
                <c:pt idx="75">
                  <c:v>#N/A</c:v>
                </c:pt>
                <c:pt idx="76">
                  <c:v>#N/A</c:v>
                </c:pt>
                <c:pt idx="77">
                  <c:v>#N/A</c:v>
                </c:pt>
                <c:pt idx="78">
                  <c:v>#N/A</c:v>
                </c:pt>
                <c:pt idx="79">
                  <c:v>#N/A</c:v>
                </c:pt>
                <c:pt idx="80">
                  <c:v>#N/A</c:v>
                </c:pt>
                <c:pt idx="81">
                  <c:v>#N/A</c:v>
                </c:pt>
                <c:pt idx="82">
                  <c:v>#N/A</c:v>
                </c:pt>
                <c:pt idx="83">
                  <c:v>#N/A</c:v>
                </c:pt>
                <c:pt idx="84">
                  <c:v>#N/A</c:v>
                </c:pt>
              </c:numCache>
            </c:numRef>
          </c:val>
          <c:smooth val="0"/>
          <c:extLst>
            <c:ext xmlns:c16="http://schemas.microsoft.com/office/drawing/2014/chart" uri="{C3380CC4-5D6E-409C-BE32-E72D297353CC}">
              <c16:uniqueId val="{00000002-CEF9-425D-8DE7-01CC59D2E5C1}"/>
            </c:ext>
          </c:extLst>
        </c:ser>
        <c:ser>
          <c:idx val="2"/>
          <c:order val="1"/>
          <c:tx>
            <c:strRef>
              <c:f>'4.3.2 Data_Tidsseriefigurer'!$B$95</c:f>
              <c:strCache>
                <c:ptCount val="1"/>
                <c:pt idx="0">
                  <c:v>Break-even </c:v>
                </c:pt>
              </c:strCache>
            </c:strRef>
          </c:tx>
          <c:spPr>
            <a:ln w="28575" cap="rnd">
              <a:solidFill>
                <a:srgbClr val="F2DCDB"/>
              </a:solidFill>
              <a:round/>
            </a:ln>
            <a:effectLst>
              <a:outerShdw sx="1000" sy="1000" algn="ctr" rotWithShape="0">
                <a:srgbClr val="000000"/>
              </a:outerShdw>
            </a:effectLst>
          </c:spPr>
          <c:marker>
            <c:symbol val="none"/>
          </c:marker>
          <c:errBars>
            <c:errDir val="y"/>
            <c:errBarType val="both"/>
            <c:errValType val="cust"/>
            <c:noEndCap val="1"/>
            <c:plus>
              <c:numRef>
                <c:f>'4.3.2 Data_Tidsseriefigurer'!$C$98</c:f>
                <c:numCache>
                  <c:formatCode>General</c:formatCode>
                  <c:ptCount val="1"/>
                  <c:pt idx="0">
                    <c:v>0</c:v>
                  </c:pt>
                </c:numCache>
              </c:numRef>
            </c:plus>
            <c:minus>
              <c:numRef>
                <c:f>'4.3.2 Data_Tidsseriefigurer'!$C$99</c:f>
                <c:numCache>
                  <c:formatCode>General</c:formatCode>
                  <c:ptCount val="1"/>
                  <c:pt idx="0">
                    <c:v>0</c:v>
                  </c:pt>
                </c:numCache>
              </c:numRef>
            </c:minus>
            <c:spPr>
              <a:noFill/>
              <a:ln w="15875" cap="flat" cmpd="sng" algn="ctr">
                <a:solidFill>
                  <a:sysClr val="windowText" lastClr="000000"/>
                </a:solidFill>
                <a:prstDash val="sysDash"/>
                <a:round/>
              </a:ln>
              <a:effectLst/>
            </c:spPr>
          </c:errBars>
          <c:cat>
            <c:numRef>
              <c:f>'4.3.2 Data_Tidsseriefigurer'!$D$90:$CJ$90</c:f>
              <c:numCache>
                <c:formatCode>General</c:formatCode>
                <c:ptCount val="85"/>
                <c:pt idx="0">
                  <c:v>-10</c:v>
                </c:pt>
                <c:pt idx="1">
                  <c:v>-9</c:v>
                </c:pt>
                <c:pt idx="2">
                  <c:v>-8</c:v>
                </c:pt>
                <c:pt idx="3">
                  <c:v>-7</c:v>
                </c:pt>
                <c:pt idx="4">
                  <c:v>-6</c:v>
                </c:pt>
                <c:pt idx="5">
                  <c:v>-5</c:v>
                </c:pt>
                <c:pt idx="6">
                  <c:v>-4</c:v>
                </c:pt>
                <c:pt idx="7">
                  <c:v>-3</c:v>
                </c:pt>
                <c:pt idx="8">
                  <c:v>-2</c:v>
                </c:pt>
                <c:pt idx="9">
                  <c:v>-1</c:v>
                </c:pt>
                <c:pt idx="10">
                  <c:v>0</c:v>
                </c:pt>
                <c:pt idx="11">
                  <c:v>1</c:v>
                </c:pt>
                <c:pt idx="12">
                  <c:v>2</c:v>
                </c:pt>
                <c:pt idx="13">
                  <c:v>3</c:v>
                </c:pt>
                <c:pt idx="14">
                  <c:v>4</c:v>
                </c:pt>
                <c:pt idx="15">
                  <c:v>5</c:v>
                </c:pt>
                <c:pt idx="16">
                  <c:v>6</c:v>
                </c:pt>
                <c:pt idx="17">
                  <c:v>7</c:v>
                </c:pt>
                <c:pt idx="18">
                  <c:v>8</c:v>
                </c:pt>
                <c:pt idx="19">
                  <c:v>9</c:v>
                </c:pt>
                <c:pt idx="20">
                  <c:v>10</c:v>
                </c:pt>
                <c:pt idx="21">
                  <c:v>11</c:v>
                </c:pt>
                <c:pt idx="22">
                  <c:v>12</c:v>
                </c:pt>
                <c:pt idx="23">
                  <c:v>13</c:v>
                </c:pt>
                <c:pt idx="24">
                  <c:v>14</c:v>
                </c:pt>
                <c:pt idx="25">
                  <c:v>15</c:v>
                </c:pt>
                <c:pt idx="26">
                  <c:v>16</c:v>
                </c:pt>
                <c:pt idx="27">
                  <c:v>17</c:v>
                </c:pt>
                <c:pt idx="28">
                  <c:v>18</c:v>
                </c:pt>
                <c:pt idx="29">
                  <c:v>19</c:v>
                </c:pt>
                <c:pt idx="30">
                  <c:v>20</c:v>
                </c:pt>
                <c:pt idx="31">
                  <c:v>21</c:v>
                </c:pt>
                <c:pt idx="32">
                  <c:v>22</c:v>
                </c:pt>
                <c:pt idx="33">
                  <c:v>23</c:v>
                </c:pt>
                <c:pt idx="34">
                  <c:v>24</c:v>
                </c:pt>
                <c:pt idx="35">
                  <c:v>25</c:v>
                </c:pt>
                <c:pt idx="36">
                  <c:v>26</c:v>
                </c:pt>
                <c:pt idx="37">
                  <c:v>27</c:v>
                </c:pt>
                <c:pt idx="38">
                  <c:v>28</c:v>
                </c:pt>
                <c:pt idx="39">
                  <c:v>29</c:v>
                </c:pt>
                <c:pt idx="40">
                  <c:v>30</c:v>
                </c:pt>
                <c:pt idx="41">
                  <c:v>31</c:v>
                </c:pt>
                <c:pt idx="42">
                  <c:v>32</c:v>
                </c:pt>
                <c:pt idx="43">
                  <c:v>33</c:v>
                </c:pt>
                <c:pt idx="44">
                  <c:v>34</c:v>
                </c:pt>
                <c:pt idx="45">
                  <c:v>35</c:v>
                </c:pt>
                <c:pt idx="46">
                  <c:v>36</c:v>
                </c:pt>
                <c:pt idx="47">
                  <c:v>37</c:v>
                </c:pt>
                <c:pt idx="48">
                  <c:v>38</c:v>
                </c:pt>
                <c:pt idx="49">
                  <c:v>39</c:v>
                </c:pt>
                <c:pt idx="50">
                  <c:v>40</c:v>
                </c:pt>
                <c:pt idx="51">
                  <c:v>41</c:v>
                </c:pt>
                <c:pt idx="52">
                  <c:v>42</c:v>
                </c:pt>
                <c:pt idx="53">
                  <c:v>43</c:v>
                </c:pt>
                <c:pt idx="54">
                  <c:v>44</c:v>
                </c:pt>
                <c:pt idx="55">
                  <c:v>45</c:v>
                </c:pt>
                <c:pt idx="56">
                  <c:v>46</c:v>
                </c:pt>
                <c:pt idx="57">
                  <c:v>47</c:v>
                </c:pt>
                <c:pt idx="58">
                  <c:v>48</c:v>
                </c:pt>
                <c:pt idx="59">
                  <c:v>49</c:v>
                </c:pt>
                <c:pt idx="60">
                  <c:v>50</c:v>
                </c:pt>
                <c:pt idx="61">
                  <c:v>51</c:v>
                </c:pt>
                <c:pt idx="62">
                  <c:v>52</c:v>
                </c:pt>
                <c:pt idx="63">
                  <c:v>53</c:v>
                </c:pt>
                <c:pt idx="64">
                  <c:v>54</c:v>
                </c:pt>
                <c:pt idx="65">
                  <c:v>55</c:v>
                </c:pt>
                <c:pt idx="66">
                  <c:v>56</c:v>
                </c:pt>
                <c:pt idx="67">
                  <c:v>57</c:v>
                </c:pt>
                <c:pt idx="68">
                  <c:v>58</c:v>
                </c:pt>
                <c:pt idx="69">
                  <c:v>59</c:v>
                </c:pt>
                <c:pt idx="70">
                  <c:v>60</c:v>
                </c:pt>
                <c:pt idx="71">
                  <c:v>61</c:v>
                </c:pt>
                <c:pt idx="72">
                  <c:v>62</c:v>
                </c:pt>
                <c:pt idx="73">
                  <c:v>63</c:v>
                </c:pt>
                <c:pt idx="74">
                  <c:v>64</c:v>
                </c:pt>
                <c:pt idx="75">
                  <c:v>65</c:v>
                </c:pt>
                <c:pt idx="76">
                  <c:v>66</c:v>
                </c:pt>
                <c:pt idx="77">
                  <c:v>67</c:v>
                </c:pt>
                <c:pt idx="78">
                  <c:v>68</c:v>
                </c:pt>
                <c:pt idx="79">
                  <c:v>69</c:v>
                </c:pt>
                <c:pt idx="80">
                  <c:v>70</c:v>
                </c:pt>
                <c:pt idx="81">
                  <c:v>71</c:v>
                </c:pt>
                <c:pt idx="82">
                  <c:v>72</c:v>
                </c:pt>
                <c:pt idx="83">
                  <c:v>73</c:v>
                </c:pt>
                <c:pt idx="84">
                  <c:v>74</c:v>
                </c:pt>
              </c:numCache>
            </c:numRef>
          </c:cat>
          <c:val>
            <c:numRef>
              <c:f>'4.3.2 Data_Tidsseriefigurer'!$D$95:$CJ$95</c:f>
              <c:numCache>
                <c:formatCode>General</c:formatCode>
                <c:ptCount val="85"/>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pt idx="43">
                  <c:v>#N/A</c:v>
                </c:pt>
                <c:pt idx="44">
                  <c:v>#N/A</c:v>
                </c:pt>
                <c:pt idx="45">
                  <c:v>#N/A</c:v>
                </c:pt>
                <c:pt idx="46">
                  <c:v>#N/A</c:v>
                </c:pt>
                <c:pt idx="47">
                  <c:v>#N/A</c:v>
                </c:pt>
                <c:pt idx="48">
                  <c:v>#N/A</c:v>
                </c:pt>
                <c:pt idx="49">
                  <c:v>#N/A</c:v>
                </c:pt>
                <c:pt idx="50">
                  <c:v>#N/A</c:v>
                </c:pt>
                <c:pt idx="51">
                  <c:v>#N/A</c:v>
                </c:pt>
                <c:pt idx="52">
                  <c:v>#N/A</c:v>
                </c:pt>
                <c:pt idx="53">
                  <c:v>#N/A</c:v>
                </c:pt>
                <c:pt idx="54">
                  <c:v>#N/A</c:v>
                </c:pt>
                <c:pt idx="55">
                  <c:v>#N/A</c:v>
                </c:pt>
                <c:pt idx="56">
                  <c:v>#N/A</c:v>
                </c:pt>
                <c:pt idx="57">
                  <c:v>#N/A</c:v>
                </c:pt>
                <c:pt idx="58">
                  <c:v>#N/A</c:v>
                </c:pt>
                <c:pt idx="59">
                  <c:v>#N/A</c:v>
                </c:pt>
                <c:pt idx="60">
                  <c:v>#N/A</c:v>
                </c:pt>
                <c:pt idx="61">
                  <c:v>#N/A</c:v>
                </c:pt>
                <c:pt idx="62">
                  <c:v>#N/A</c:v>
                </c:pt>
                <c:pt idx="63">
                  <c:v>#N/A</c:v>
                </c:pt>
                <c:pt idx="64">
                  <c:v>#N/A</c:v>
                </c:pt>
                <c:pt idx="65">
                  <c:v>#N/A</c:v>
                </c:pt>
                <c:pt idx="66">
                  <c:v>#N/A</c:v>
                </c:pt>
                <c:pt idx="67">
                  <c:v>#N/A</c:v>
                </c:pt>
                <c:pt idx="68">
                  <c:v>#N/A</c:v>
                </c:pt>
                <c:pt idx="69">
                  <c:v>#N/A</c:v>
                </c:pt>
                <c:pt idx="70">
                  <c:v>#N/A</c:v>
                </c:pt>
                <c:pt idx="71">
                  <c:v>#N/A</c:v>
                </c:pt>
                <c:pt idx="72">
                  <c:v>#N/A</c:v>
                </c:pt>
                <c:pt idx="73">
                  <c:v>#N/A</c:v>
                </c:pt>
                <c:pt idx="74">
                  <c:v>#N/A</c:v>
                </c:pt>
                <c:pt idx="75">
                  <c:v>#N/A</c:v>
                </c:pt>
                <c:pt idx="76">
                  <c:v>#N/A</c:v>
                </c:pt>
                <c:pt idx="77">
                  <c:v>#N/A</c:v>
                </c:pt>
                <c:pt idx="78">
                  <c:v>#N/A</c:v>
                </c:pt>
                <c:pt idx="79">
                  <c:v>#N/A</c:v>
                </c:pt>
                <c:pt idx="80">
                  <c:v>#N/A</c:v>
                </c:pt>
                <c:pt idx="81">
                  <c:v>#N/A</c:v>
                </c:pt>
                <c:pt idx="82">
                  <c:v>#N/A</c:v>
                </c:pt>
                <c:pt idx="83">
                  <c:v>#N/A</c:v>
                </c:pt>
                <c:pt idx="84">
                  <c:v>#N/A</c:v>
                </c:pt>
              </c:numCache>
            </c:numRef>
          </c:val>
          <c:smooth val="0"/>
          <c:extLst>
            <c:ext xmlns:c16="http://schemas.microsoft.com/office/drawing/2014/chart" uri="{C3380CC4-5D6E-409C-BE32-E72D297353CC}">
              <c16:uniqueId val="{00000004-CEF9-425D-8DE7-01CC59D2E5C1}"/>
            </c:ext>
          </c:extLst>
        </c:ser>
        <c:ser>
          <c:idx val="1"/>
          <c:order val="2"/>
          <c:tx>
            <c:strRef>
              <c:f>'4.3.2 Data_Tidsseriefigurer'!$B$96</c:f>
              <c:strCache>
                <c:ptCount val="1"/>
                <c:pt idx="0">
                  <c:v>Break even</c:v>
                </c:pt>
              </c:strCache>
            </c:strRef>
          </c:tx>
          <c:spPr>
            <a:ln w="28575" cap="rnd">
              <a:solidFill>
                <a:schemeClr val="accent2"/>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Franklin Gothic Book" panose="020B0503020102020204" pitchFamily="34" charset="0"/>
                    <a:ea typeface="+mn-ea"/>
                    <a:cs typeface="+mn-cs"/>
                  </a:defRPr>
                </a:pPr>
                <a:endParaRPr lang="nb-NO"/>
              </a:p>
            </c:txPr>
            <c:dLblPos val="t"/>
            <c:showLegendKey val="0"/>
            <c:showVal val="0"/>
            <c:showCatName val="1"/>
            <c:showSerName val="1"/>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'4.3.2 Data_Tidsseriefigurer'!$D$96:$CJ$96</c:f>
              <c:numCache>
                <c:formatCode>General</c:formatCode>
                <c:ptCount val="85"/>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pt idx="43">
                  <c:v>#N/A</c:v>
                </c:pt>
                <c:pt idx="44">
                  <c:v>#N/A</c:v>
                </c:pt>
                <c:pt idx="45">
                  <c:v>#N/A</c:v>
                </c:pt>
                <c:pt idx="46">
                  <c:v>#N/A</c:v>
                </c:pt>
                <c:pt idx="47">
                  <c:v>#N/A</c:v>
                </c:pt>
                <c:pt idx="48">
                  <c:v>#N/A</c:v>
                </c:pt>
                <c:pt idx="49">
                  <c:v>#N/A</c:v>
                </c:pt>
                <c:pt idx="50">
                  <c:v>#N/A</c:v>
                </c:pt>
                <c:pt idx="51">
                  <c:v>#N/A</c:v>
                </c:pt>
                <c:pt idx="52">
                  <c:v>#N/A</c:v>
                </c:pt>
                <c:pt idx="53">
                  <c:v>#N/A</c:v>
                </c:pt>
                <c:pt idx="54">
                  <c:v>#N/A</c:v>
                </c:pt>
                <c:pt idx="55">
                  <c:v>#N/A</c:v>
                </c:pt>
                <c:pt idx="56">
                  <c:v>#N/A</c:v>
                </c:pt>
                <c:pt idx="57">
                  <c:v>#N/A</c:v>
                </c:pt>
                <c:pt idx="58">
                  <c:v>#N/A</c:v>
                </c:pt>
                <c:pt idx="59">
                  <c:v>#N/A</c:v>
                </c:pt>
                <c:pt idx="60">
                  <c:v>#N/A</c:v>
                </c:pt>
                <c:pt idx="61">
                  <c:v>#N/A</c:v>
                </c:pt>
                <c:pt idx="62">
                  <c:v>#N/A</c:v>
                </c:pt>
                <c:pt idx="63">
                  <c:v>#N/A</c:v>
                </c:pt>
                <c:pt idx="64">
                  <c:v>#N/A</c:v>
                </c:pt>
                <c:pt idx="65">
                  <c:v>#N/A</c:v>
                </c:pt>
                <c:pt idx="66">
                  <c:v>#N/A</c:v>
                </c:pt>
                <c:pt idx="67">
                  <c:v>#N/A</c:v>
                </c:pt>
                <c:pt idx="68">
                  <c:v>#N/A</c:v>
                </c:pt>
                <c:pt idx="69">
                  <c:v>#N/A</c:v>
                </c:pt>
                <c:pt idx="70">
                  <c:v>#N/A</c:v>
                </c:pt>
                <c:pt idx="71">
                  <c:v>#N/A</c:v>
                </c:pt>
                <c:pt idx="72">
                  <c:v>#N/A</c:v>
                </c:pt>
                <c:pt idx="73">
                  <c:v>#N/A</c:v>
                </c:pt>
                <c:pt idx="74">
                  <c:v>#N/A</c:v>
                </c:pt>
                <c:pt idx="75">
                  <c:v>#N/A</c:v>
                </c:pt>
                <c:pt idx="76">
                  <c:v>#N/A</c:v>
                </c:pt>
                <c:pt idx="77">
                  <c:v>#N/A</c:v>
                </c:pt>
                <c:pt idx="78">
                  <c:v>#N/A</c:v>
                </c:pt>
                <c:pt idx="79">
                  <c:v>#N/A</c:v>
                </c:pt>
                <c:pt idx="80">
                  <c:v>#N/A</c:v>
                </c:pt>
                <c:pt idx="81">
                  <c:v>#N/A</c:v>
                </c:pt>
                <c:pt idx="82">
                  <c:v>#N/A</c:v>
                </c:pt>
                <c:pt idx="83">
                  <c:v>#N/A</c:v>
                </c:pt>
                <c:pt idx="84">
                  <c:v>#N/A</c:v>
                </c:pt>
              </c:numCache>
            </c:numRef>
          </c:val>
          <c:smooth val="0"/>
          <c:extLst>
            <c:ext xmlns:c16="http://schemas.microsoft.com/office/drawing/2014/chart" uri="{C3380CC4-5D6E-409C-BE32-E72D297353CC}">
              <c16:uniqueId val="{00000003-EBE4-4746-A814-4F86C0530906}"/>
            </c:ext>
          </c:extLst>
        </c:ser>
        <c:dLbls>
          <c:showLegendKey val="0"/>
          <c:showVal val="0"/>
          <c:showCatName val="0"/>
          <c:showSerName val="0"/>
          <c:showPercent val="0"/>
          <c:showBubbleSize val="0"/>
        </c:dLbls>
        <c:smooth val="0"/>
        <c:axId val="1068055871"/>
        <c:axId val="977068831"/>
      </c:lineChart>
      <c:dateAx>
        <c:axId val="1068055871"/>
        <c:scaling>
          <c:orientation val="minMax"/>
          <c:max val="2104"/>
          <c:min val="2024"/>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Franklin Gothic Book" panose="020B0503020102020204" pitchFamily="34" charset="0"/>
                <a:ea typeface="+mn-ea"/>
                <a:cs typeface="+mn-cs"/>
              </a:defRPr>
            </a:pPr>
            <a:endParaRPr lang="nb-NO"/>
          </a:p>
        </c:txPr>
        <c:crossAx val="977068831"/>
        <c:crosses val="autoZero"/>
        <c:auto val="0"/>
        <c:lblOffset val="100"/>
        <c:baseTimeUnit val="days"/>
      </c:dateAx>
      <c:valAx>
        <c:axId val="97706883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200" b="0" i="0" u="none" strike="noStrike" kern="1200" baseline="0">
                    <a:solidFill>
                      <a:schemeClr val="tx1">
                        <a:lumMod val="65000"/>
                        <a:lumOff val="35000"/>
                      </a:schemeClr>
                    </a:solidFill>
                    <a:latin typeface="Franklin Gothic Book" panose="020B0503020102020204" pitchFamily="34" charset="0"/>
                    <a:ea typeface="+mn-ea"/>
                    <a:cs typeface="+mn-cs"/>
                  </a:defRPr>
                </a:pPr>
                <a:r>
                  <a:rPr lang="nb-NO" sz="1200">
                    <a:latin typeface="Franklin Gothic Book" panose="020B0503020102020204" pitchFamily="34" charset="0"/>
                  </a:rPr>
                  <a:t>Millioner kroner</a:t>
                </a:r>
              </a:p>
            </c:rich>
          </c:tx>
          <c:overlay val="0"/>
          <c:spPr>
            <a:noFill/>
            <a:ln>
              <a:noFill/>
            </a:ln>
            <a:effectLst/>
          </c:spPr>
          <c:txPr>
            <a:bodyPr rot="-5400000" spcFirstLastPara="1" vertOverflow="ellipsis" vert="horz" wrap="square" anchor="ctr" anchorCtr="1"/>
            <a:lstStyle/>
            <a:p>
              <a:pPr>
                <a:defRPr sz="1200" b="0" i="0" u="none" strike="noStrike" kern="1200" baseline="0">
                  <a:solidFill>
                    <a:schemeClr val="tx1">
                      <a:lumMod val="65000"/>
                      <a:lumOff val="35000"/>
                    </a:schemeClr>
                  </a:solidFill>
                  <a:latin typeface="Franklin Gothic Book" panose="020B0503020102020204" pitchFamily="34" charset="0"/>
                  <a:ea typeface="+mn-ea"/>
                  <a:cs typeface="+mn-cs"/>
                </a:defRPr>
              </a:pPr>
              <a:endParaRPr lang="nb-NO"/>
            </a:p>
          </c:txPr>
        </c:title>
        <c:numFmt formatCode="General" sourceLinked="0"/>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Franklin Gothic Book" panose="020B0503020102020204" pitchFamily="34" charset="0"/>
                <a:ea typeface="+mn-ea"/>
                <a:cs typeface="+mn-cs"/>
              </a:defRPr>
            </a:pPr>
            <a:endParaRPr lang="nb-NO"/>
          </a:p>
        </c:txPr>
        <c:crossAx val="1068055871"/>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nb-NO"/>
    </a:p>
  </c:txPr>
  <c:printSettings>
    <c:headerFooter/>
    <c:pageMargins b="0.75" l="0.7" r="0.7" t="0.75" header="0.3" footer="0.3"/>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b-NO"/>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'4.3.2 Data_Tidsseriefigurer'!$C$139</c:f>
          <c:strCache>
            <c:ptCount val="1"/>
            <c:pt idx="0">
              <c:v>Utvikling i CO2-utslipp, kg (venstre akse) og CO2-prisbane (høyre akse) (-kr)</c:v>
            </c:pt>
          </c:strCache>
        </c:strRef>
      </c:tx>
      <c:overlay val="0"/>
      <c:spPr>
        <a:noFill/>
        <a:ln>
          <a:noFill/>
        </a:ln>
        <a:effectLst/>
      </c:spPr>
      <c:txPr>
        <a:bodyPr rot="0" spcFirstLastPara="1" vertOverflow="ellipsis" vert="horz" wrap="square" anchor="ctr" anchorCtr="1"/>
        <a:lstStyle/>
        <a:p>
          <a:pPr>
            <a:defRPr sz="1600" b="0" i="0" u="none" strike="noStrike" kern="1200" spc="0" baseline="0">
              <a:solidFill>
                <a:schemeClr val="tx1">
                  <a:lumMod val="65000"/>
                  <a:lumOff val="35000"/>
                </a:schemeClr>
              </a:solidFill>
              <a:latin typeface="Franklin Gothic Book" panose="020B0503020102020204" pitchFamily="34" charset="0"/>
              <a:ea typeface="+mn-ea"/>
              <a:cs typeface="+mn-cs"/>
            </a:defRPr>
          </a:pPr>
          <a:endParaRPr lang="nb-NO"/>
        </a:p>
      </c:txPr>
    </c:title>
    <c:autoTitleDeleted val="0"/>
    <c:plotArea>
      <c:layout/>
      <c:lineChart>
        <c:grouping val="standard"/>
        <c:varyColors val="0"/>
        <c:ser>
          <c:idx val="1"/>
          <c:order val="0"/>
          <c:tx>
            <c:strRef>
              <c:f>'4.3.2 Data_Tidsseriefigurer'!$B$142</c:f>
              <c:strCache>
                <c:ptCount val="1"/>
                <c:pt idx="0">
                  <c:v>Jernbane - Persontog</c:v>
                </c:pt>
              </c:strCache>
            </c:strRef>
          </c:tx>
          <c:spPr>
            <a:ln w="28575" cap="rnd">
              <a:solidFill>
                <a:schemeClr val="accent2"/>
              </a:solidFill>
              <a:round/>
            </a:ln>
            <a:effectLst/>
          </c:spPr>
          <c:marker>
            <c:symbol val="none"/>
          </c:marker>
          <c:cat>
            <c:numRef>
              <c:f>'4.3.2 Data_Tidsseriefigurer'!$M$141:$CS$141</c:f>
              <c:numCache>
                <c:formatCode>General</c:formatCode>
                <c:ptCount val="85"/>
                <c:pt idx="0">
                  <c:v>-10</c:v>
                </c:pt>
                <c:pt idx="1">
                  <c:v>-9</c:v>
                </c:pt>
                <c:pt idx="2">
                  <c:v>-8</c:v>
                </c:pt>
                <c:pt idx="3">
                  <c:v>-7</c:v>
                </c:pt>
                <c:pt idx="4">
                  <c:v>-6</c:v>
                </c:pt>
                <c:pt idx="5">
                  <c:v>-5</c:v>
                </c:pt>
                <c:pt idx="6">
                  <c:v>-4</c:v>
                </c:pt>
                <c:pt idx="7">
                  <c:v>-3</c:v>
                </c:pt>
                <c:pt idx="8">
                  <c:v>-2</c:v>
                </c:pt>
                <c:pt idx="9">
                  <c:v>-1</c:v>
                </c:pt>
                <c:pt idx="10">
                  <c:v>0</c:v>
                </c:pt>
                <c:pt idx="11">
                  <c:v>1</c:v>
                </c:pt>
                <c:pt idx="12">
                  <c:v>2</c:v>
                </c:pt>
                <c:pt idx="13">
                  <c:v>3</c:v>
                </c:pt>
                <c:pt idx="14">
                  <c:v>4</c:v>
                </c:pt>
                <c:pt idx="15">
                  <c:v>5</c:v>
                </c:pt>
                <c:pt idx="16">
                  <c:v>6</c:v>
                </c:pt>
                <c:pt idx="17">
                  <c:v>7</c:v>
                </c:pt>
                <c:pt idx="18">
                  <c:v>8</c:v>
                </c:pt>
                <c:pt idx="19">
                  <c:v>9</c:v>
                </c:pt>
                <c:pt idx="20">
                  <c:v>10</c:v>
                </c:pt>
                <c:pt idx="21">
                  <c:v>11</c:v>
                </c:pt>
                <c:pt idx="22">
                  <c:v>12</c:v>
                </c:pt>
                <c:pt idx="23">
                  <c:v>13</c:v>
                </c:pt>
                <c:pt idx="24">
                  <c:v>14</c:v>
                </c:pt>
                <c:pt idx="25">
                  <c:v>15</c:v>
                </c:pt>
                <c:pt idx="26">
                  <c:v>16</c:v>
                </c:pt>
                <c:pt idx="27">
                  <c:v>17</c:v>
                </c:pt>
                <c:pt idx="28">
                  <c:v>18</c:v>
                </c:pt>
                <c:pt idx="29">
                  <c:v>19</c:v>
                </c:pt>
                <c:pt idx="30">
                  <c:v>20</c:v>
                </c:pt>
                <c:pt idx="31">
                  <c:v>21</c:v>
                </c:pt>
                <c:pt idx="32">
                  <c:v>22</c:v>
                </c:pt>
                <c:pt idx="33">
                  <c:v>23</c:v>
                </c:pt>
                <c:pt idx="34">
                  <c:v>24</c:v>
                </c:pt>
                <c:pt idx="35">
                  <c:v>25</c:v>
                </c:pt>
                <c:pt idx="36">
                  <c:v>26</c:v>
                </c:pt>
                <c:pt idx="37">
                  <c:v>27</c:v>
                </c:pt>
                <c:pt idx="38">
                  <c:v>28</c:v>
                </c:pt>
                <c:pt idx="39">
                  <c:v>29</c:v>
                </c:pt>
                <c:pt idx="40">
                  <c:v>30</c:v>
                </c:pt>
                <c:pt idx="41">
                  <c:v>31</c:v>
                </c:pt>
                <c:pt idx="42">
                  <c:v>32</c:v>
                </c:pt>
                <c:pt idx="43">
                  <c:v>33</c:v>
                </c:pt>
                <c:pt idx="44">
                  <c:v>34</c:v>
                </c:pt>
                <c:pt idx="45">
                  <c:v>35</c:v>
                </c:pt>
                <c:pt idx="46">
                  <c:v>36</c:v>
                </c:pt>
                <c:pt idx="47">
                  <c:v>37</c:v>
                </c:pt>
                <c:pt idx="48">
                  <c:v>38</c:v>
                </c:pt>
                <c:pt idx="49">
                  <c:v>39</c:v>
                </c:pt>
                <c:pt idx="50">
                  <c:v>40</c:v>
                </c:pt>
                <c:pt idx="51">
                  <c:v>41</c:v>
                </c:pt>
                <c:pt idx="52">
                  <c:v>42</c:v>
                </c:pt>
                <c:pt idx="53">
                  <c:v>43</c:v>
                </c:pt>
                <c:pt idx="54">
                  <c:v>44</c:v>
                </c:pt>
                <c:pt idx="55">
                  <c:v>45</c:v>
                </c:pt>
                <c:pt idx="56">
                  <c:v>46</c:v>
                </c:pt>
                <c:pt idx="57">
                  <c:v>47</c:v>
                </c:pt>
                <c:pt idx="58">
                  <c:v>48</c:v>
                </c:pt>
                <c:pt idx="59">
                  <c:v>49</c:v>
                </c:pt>
                <c:pt idx="60">
                  <c:v>50</c:v>
                </c:pt>
                <c:pt idx="61">
                  <c:v>51</c:v>
                </c:pt>
                <c:pt idx="62">
                  <c:v>52</c:v>
                </c:pt>
                <c:pt idx="63">
                  <c:v>53</c:v>
                </c:pt>
                <c:pt idx="64">
                  <c:v>54</c:v>
                </c:pt>
                <c:pt idx="65">
                  <c:v>55</c:v>
                </c:pt>
                <c:pt idx="66">
                  <c:v>56</c:v>
                </c:pt>
                <c:pt idx="67">
                  <c:v>57</c:v>
                </c:pt>
                <c:pt idx="68">
                  <c:v>58</c:v>
                </c:pt>
                <c:pt idx="69">
                  <c:v>59</c:v>
                </c:pt>
                <c:pt idx="70">
                  <c:v>60</c:v>
                </c:pt>
                <c:pt idx="71">
                  <c:v>61</c:v>
                </c:pt>
                <c:pt idx="72">
                  <c:v>62</c:v>
                </c:pt>
                <c:pt idx="73">
                  <c:v>63</c:v>
                </c:pt>
                <c:pt idx="74">
                  <c:v>64</c:v>
                </c:pt>
                <c:pt idx="75">
                  <c:v>65</c:v>
                </c:pt>
                <c:pt idx="76">
                  <c:v>66</c:v>
                </c:pt>
                <c:pt idx="77">
                  <c:v>67</c:v>
                </c:pt>
                <c:pt idx="78">
                  <c:v>68</c:v>
                </c:pt>
                <c:pt idx="79">
                  <c:v>69</c:v>
                </c:pt>
                <c:pt idx="80">
                  <c:v>70</c:v>
                </c:pt>
                <c:pt idx="81">
                  <c:v>71</c:v>
                </c:pt>
                <c:pt idx="82">
                  <c:v>72</c:v>
                </c:pt>
                <c:pt idx="83">
                  <c:v>73</c:v>
                </c:pt>
                <c:pt idx="84">
                  <c:v>74</c:v>
                </c:pt>
              </c:numCache>
            </c:numRef>
          </c:cat>
          <c:val>
            <c:numRef>
              <c:f>'4.3.2 Data_Tidsseriefigurer'!$M$142:$CS$142</c:f>
              <c:numCache>
                <c:formatCode>General</c:formatCode>
                <c:ptCount val="85"/>
                <c:pt idx="9">
                  <c:v>0</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pt idx="43">
                  <c:v>#N/A</c:v>
                </c:pt>
                <c:pt idx="44">
                  <c:v>#N/A</c:v>
                </c:pt>
                <c:pt idx="45">
                  <c:v>#N/A</c:v>
                </c:pt>
                <c:pt idx="46">
                  <c:v>#N/A</c:v>
                </c:pt>
                <c:pt idx="47">
                  <c:v>#N/A</c:v>
                </c:pt>
                <c:pt idx="48">
                  <c:v>#N/A</c:v>
                </c:pt>
                <c:pt idx="49">
                  <c:v>#N/A</c:v>
                </c:pt>
                <c:pt idx="50">
                  <c:v>#N/A</c:v>
                </c:pt>
                <c:pt idx="51">
                  <c:v>#N/A</c:v>
                </c:pt>
                <c:pt idx="52">
                  <c:v>#N/A</c:v>
                </c:pt>
                <c:pt idx="53">
                  <c:v>#N/A</c:v>
                </c:pt>
                <c:pt idx="54">
                  <c:v>#N/A</c:v>
                </c:pt>
                <c:pt idx="55">
                  <c:v>#N/A</c:v>
                </c:pt>
                <c:pt idx="56">
                  <c:v>#N/A</c:v>
                </c:pt>
                <c:pt idx="57">
                  <c:v>#N/A</c:v>
                </c:pt>
                <c:pt idx="58">
                  <c:v>#N/A</c:v>
                </c:pt>
                <c:pt idx="59">
                  <c:v>#N/A</c:v>
                </c:pt>
                <c:pt idx="60">
                  <c:v>#N/A</c:v>
                </c:pt>
                <c:pt idx="61">
                  <c:v>#N/A</c:v>
                </c:pt>
                <c:pt idx="62">
                  <c:v>#N/A</c:v>
                </c:pt>
                <c:pt idx="63">
                  <c:v>#N/A</c:v>
                </c:pt>
                <c:pt idx="64">
                  <c:v>#N/A</c:v>
                </c:pt>
                <c:pt idx="65">
                  <c:v>#N/A</c:v>
                </c:pt>
                <c:pt idx="66">
                  <c:v>#N/A</c:v>
                </c:pt>
                <c:pt idx="67">
                  <c:v>#N/A</c:v>
                </c:pt>
                <c:pt idx="68">
                  <c:v>#N/A</c:v>
                </c:pt>
                <c:pt idx="69">
                  <c:v>#N/A</c:v>
                </c:pt>
                <c:pt idx="70">
                  <c:v>#N/A</c:v>
                </c:pt>
                <c:pt idx="71">
                  <c:v>#N/A</c:v>
                </c:pt>
                <c:pt idx="72">
                  <c:v>#N/A</c:v>
                </c:pt>
                <c:pt idx="73">
                  <c:v>#N/A</c:v>
                </c:pt>
                <c:pt idx="74">
                  <c:v>#N/A</c:v>
                </c:pt>
                <c:pt idx="75">
                  <c:v>#N/A</c:v>
                </c:pt>
                <c:pt idx="76">
                  <c:v>#N/A</c:v>
                </c:pt>
                <c:pt idx="77">
                  <c:v>#N/A</c:v>
                </c:pt>
                <c:pt idx="78">
                  <c:v>#N/A</c:v>
                </c:pt>
                <c:pt idx="79">
                  <c:v>#N/A</c:v>
                </c:pt>
                <c:pt idx="80">
                  <c:v>#N/A</c:v>
                </c:pt>
                <c:pt idx="81">
                  <c:v>#N/A</c:v>
                </c:pt>
                <c:pt idx="82">
                  <c:v>#N/A</c:v>
                </c:pt>
                <c:pt idx="83">
                  <c:v>#N/A</c:v>
                </c:pt>
                <c:pt idx="84">
                  <c:v>#N/A</c:v>
                </c:pt>
              </c:numCache>
            </c:numRef>
          </c:val>
          <c:smooth val="0"/>
          <c:extLst>
            <c:ext xmlns:c16="http://schemas.microsoft.com/office/drawing/2014/chart" uri="{C3380CC4-5D6E-409C-BE32-E72D297353CC}">
              <c16:uniqueId val="{00000001-FCE1-4EB5-97D1-FF348DE5AF7E}"/>
            </c:ext>
          </c:extLst>
        </c:ser>
        <c:ser>
          <c:idx val="2"/>
          <c:order val="1"/>
          <c:tx>
            <c:strRef>
              <c:f>'4.3.2 Data_Tidsseriefigurer'!$B$143</c:f>
              <c:strCache>
                <c:ptCount val="1"/>
                <c:pt idx="0">
                  <c:v>Jernbane - Godstog</c:v>
                </c:pt>
              </c:strCache>
            </c:strRef>
          </c:tx>
          <c:spPr>
            <a:ln w="28575" cap="rnd">
              <a:solidFill>
                <a:schemeClr val="accent3"/>
              </a:solidFill>
              <a:round/>
            </a:ln>
            <a:effectLst/>
          </c:spPr>
          <c:marker>
            <c:symbol val="none"/>
          </c:marker>
          <c:cat>
            <c:numRef>
              <c:f>'4.3.2 Data_Tidsseriefigurer'!$M$141:$CS$141</c:f>
              <c:numCache>
                <c:formatCode>General</c:formatCode>
                <c:ptCount val="85"/>
                <c:pt idx="0">
                  <c:v>-10</c:v>
                </c:pt>
                <c:pt idx="1">
                  <c:v>-9</c:v>
                </c:pt>
                <c:pt idx="2">
                  <c:v>-8</c:v>
                </c:pt>
                <c:pt idx="3">
                  <c:v>-7</c:v>
                </c:pt>
                <c:pt idx="4">
                  <c:v>-6</c:v>
                </c:pt>
                <c:pt idx="5">
                  <c:v>-5</c:v>
                </c:pt>
                <c:pt idx="6">
                  <c:v>-4</c:v>
                </c:pt>
                <c:pt idx="7">
                  <c:v>-3</c:v>
                </c:pt>
                <c:pt idx="8">
                  <c:v>-2</c:v>
                </c:pt>
                <c:pt idx="9">
                  <c:v>-1</c:v>
                </c:pt>
                <c:pt idx="10">
                  <c:v>0</c:v>
                </c:pt>
                <c:pt idx="11">
                  <c:v>1</c:v>
                </c:pt>
                <c:pt idx="12">
                  <c:v>2</c:v>
                </c:pt>
                <c:pt idx="13">
                  <c:v>3</c:v>
                </c:pt>
                <c:pt idx="14">
                  <c:v>4</c:v>
                </c:pt>
                <c:pt idx="15">
                  <c:v>5</c:v>
                </c:pt>
                <c:pt idx="16">
                  <c:v>6</c:v>
                </c:pt>
                <c:pt idx="17">
                  <c:v>7</c:v>
                </c:pt>
                <c:pt idx="18">
                  <c:v>8</c:v>
                </c:pt>
                <c:pt idx="19">
                  <c:v>9</c:v>
                </c:pt>
                <c:pt idx="20">
                  <c:v>10</c:v>
                </c:pt>
                <c:pt idx="21">
                  <c:v>11</c:v>
                </c:pt>
                <c:pt idx="22">
                  <c:v>12</c:v>
                </c:pt>
                <c:pt idx="23">
                  <c:v>13</c:v>
                </c:pt>
                <c:pt idx="24">
                  <c:v>14</c:v>
                </c:pt>
                <c:pt idx="25">
                  <c:v>15</c:v>
                </c:pt>
                <c:pt idx="26">
                  <c:v>16</c:v>
                </c:pt>
                <c:pt idx="27">
                  <c:v>17</c:v>
                </c:pt>
                <c:pt idx="28">
                  <c:v>18</c:v>
                </c:pt>
                <c:pt idx="29">
                  <c:v>19</c:v>
                </c:pt>
                <c:pt idx="30">
                  <c:v>20</c:v>
                </c:pt>
                <c:pt idx="31">
                  <c:v>21</c:v>
                </c:pt>
                <c:pt idx="32">
                  <c:v>22</c:v>
                </c:pt>
                <c:pt idx="33">
                  <c:v>23</c:v>
                </c:pt>
                <c:pt idx="34">
                  <c:v>24</c:v>
                </c:pt>
                <c:pt idx="35">
                  <c:v>25</c:v>
                </c:pt>
                <c:pt idx="36">
                  <c:v>26</c:v>
                </c:pt>
                <c:pt idx="37">
                  <c:v>27</c:v>
                </c:pt>
                <c:pt idx="38">
                  <c:v>28</c:v>
                </c:pt>
                <c:pt idx="39">
                  <c:v>29</c:v>
                </c:pt>
                <c:pt idx="40">
                  <c:v>30</c:v>
                </c:pt>
                <c:pt idx="41">
                  <c:v>31</c:v>
                </c:pt>
                <c:pt idx="42">
                  <c:v>32</c:v>
                </c:pt>
                <c:pt idx="43">
                  <c:v>33</c:v>
                </c:pt>
                <c:pt idx="44">
                  <c:v>34</c:v>
                </c:pt>
                <c:pt idx="45">
                  <c:v>35</c:v>
                </c:pt>
                <c:pt idx="46">
                  <c:v>36</c:v>
                </c:pt>
                <c:pt idx="47">
                  <c:v>37</c:v>
                </c:pt>
                <c:pt idx="48">
                  <c:v>38</c:v>
                </c:pt>
                <c:pt idx="49">
                  <c:v>39</c:v>
                </c:pt>
                <c:pt idx="50">
                  <c:v>40</c:v>
                </c:pt>
                <c:pt idx="51">
                  <c:v>41</c:v>
                </c:pt>
                <c:pt idx="52">
                  <c:v>42</c:v>
                </c:pt>
                <c:pt idx="53">
                  <c:v>43</c:v>
                </c:pt>
                <c:pt idx="54">
                  <c:v>44</c:v>
                </c:pt>
                <c:pt idx="55">
                  <c:v>45</c:v>
                </c:pt>
                <c:pt idx="56">
                  <c:v>46</c:v>
                </c:pt>
                <c:pt idx="57">
                  <c:v>47</c:v>
                </c:pt>
                <c:pt idx="58">
                  <c:v>48</c:v>
                </c:pt>
                <c:pt idx="59">
                  <c:v>49</c:v>
                </c:pt>
                <c:pt idx="60">
                  <c:v>50</c:v>
                </c:pt>
                <c:pt idx="61">
                  <c:v>51</c:v>
                </c:pt>
                <c:pt idx="62">
                  <c:v>52</c:v>
                </c:pt>
                <c:pt idx="63">
                  <c:v>53</c:v>
                </c:pt>
                <c:pt idx="64">
                  <c:v>54</c:v>
                </c:pt>
                <c:pt idx="65">
                  <c:v>55</c:v>
                </c:pt>
                <c:pt idx="66">
                  <c:v>56</c:v>
                </c:pt>
                <c:pt idx="67">
                  <c:v>57</c:v>
                </c:pt>
                <c:pt idx="68">
                  <c:v>58</c:v>
                </c:pt>
                <c:pt idx="69">
                  <c:v>59</c:v>
                </c:pt>
                <c:pt idx="70">
                  <c:v>60</c:v>
                </c:pt>
                <c:pt idx="71">
                  <c:v>61</c:v>
                </c:pt>
                <c:pt idx="72">
                  <c:v>62</c:v>
                </c:pt>
                <c:pt idx="73">
                  <c:v>63</c:v>
                </c:pt>
                <c:pt idx="74">
                  <c:v>64</c:v>
                </c:pt>
                <c:pt idx="75">
                  <c:v>65</c:v>
                </c:pt>
                <c:pt idx="76">
                  <c:v>66</c:v>
                </c:pt>
                <c:pt idx="77">
                  <c:v>67</c:v>
                </c:pt>
                <c:pt idx="78">
                  <c:v>68</c:v>
                </c:pt>
                <c:pt idx="79">
                  <c:v>69</c:v>
                </c:pt>
                <c:pt idx="80">
                  <c:v>70</c:v>
                </c:pt>
                <c:pt idx="81">
                  <c:v>71</c:v>
                </c:pt>
                <c:pt idx="82">
                  <c:v>72</c:v>
                </c:pt>
                <c:pt idx="83">
                  <c:v>73</c:v>
                </c:pt>
                <c:pt idx="84">
                  <c:v>74</c:v>
                </c:pt>
              </c:numCache>
            </c:numRef>
          </c:cat>
          <c:val>
            <c:numRef>
              <c:f>'4.3.2 Data_Tidsseriefigurer'!$M$143:$CS$143</c:f>
              <c:numCache>
                <c:formatCode>General</c:formatCode>
                <c:ptCount val="85"/>
                <c:pt idx="9">
                  <c:v>0</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pt idx="43">
                  <c:v>#N/A</c:v>
                </c:pt>
                <c:pt idx="44">
                  <c:v>#N/A</c:v>
                </c:pt>
                <c:pt idx="45">
                  <c:v>#N/A</c:v>
                </c:pt>
                <c:pt idx="46">
                  <c:v>#N/A</c:v>
                </c:pt>
                <c:pt idx="47">
                  <c:v>#N/A</c:v>
                </c:pt>
                <c:pt idx="48">
                  <c:v>#N/A</c:v>
                </c:pt>
                <c:pt idx="49">
                  <c:v>#N/A</c:v>
                </c:pt>
                <c:pt idx="50">
                  <c:v>#N/A</c:v>
                </c:pt>
                <c:pt idx="51">
                  <c:v>#N/A</c:v>
                </c:pt>
                <c:pt idx="52">
                  <c:v>#N/A</c:v>
                </c:pt>
                <c:pt idx="53">
                  <c:v>#N/A</c:v>
                </c:pt>
                <c:pt idx="54">
                  <c:v>#N/A</c:v>
                </c:pt>
                <c:pt idx="55">
                  <c:v>#N/A</c:v>
                </c:pt>
                <c:pt idx="56">
                  <c:v>#N/A</c:v>
                </c:pt>
                <c:pt idx="57">
                  <c:v>#N/A</c:v>
                </c:pt>
                <c:pt idx="58">
                  <c:v>#N/A</c:v>
                </c:pt>
                <c:pt idx="59">
                  <c:v>#N/A</c:v>
                </c:pt>
                <c:pt idx="60">
                  <c:v>#N/A</c:v>
                </c:pt>
                <c:pt idx="61">
                  <c:v>#N/A</c:v>
                </c:pt>
                <c:pt idx="62">
                  <c:v>#N/A</c:v>
                </c:pt>
                <c:pt idx="63">
                  <c:v>#N/A</c:v>
                </c:pt>
                <c:pt idx="64">
                  <c:v>#N/A</c:v>
                </c:pt>
                <c:pt idx="65">
                  <c:v>#N/A</c:v>
                </c:pt>
                <c:pt idx="66">
                  <c:v>#N/A</c:v>
                </c:pt>
                <c:pt idx="67">
                  <c:v>#N/A</c:v>
                </c:pt>
                <c:pt idx="68">
                  <c:v>#N/A</c:v>
                </c:pt>
                <c:pt idx="69">
                  <c:v>#N/A</c:v>
                </c:pt>
                <c:pt idx="70">
                  <c:v>#N/A</c:v>
                </c:pt>
                <c:pt idx="71">
                  <c:v>#N/A</c:v>
                </c:pt>
                <c:pt idx="72">
                  <c:v>#N/A</c:v>
                </c:pt>
                <c:pt idx="73">
                  <c:v>#N/A</c:v>
                </c:pt>
                <c:pt idx="74">
                  <c:v>#N/A</c:v>
                </c:pt>
                <c:pt idx="75">
                  <c:v>#N/A</c:v>
                </c:pt>
                <c:pt idx="76">
                  <c:v>#N/A</c:v>
                </c:pt>
                <c:pt idx="77">
                  <c:v>#N/A</c:v>
                </c:pt>
                <c:pt idx="78">
                  <c:v>#N/A</c:v>
                </c:pt>
                <c:pt idx="79">
                  <c:v>#N/A</c:v>
                </c:pt>
                <c:pt idx="80">
                  <c:v>#N/A</c:v>
                </c:pt>
                <c:pt idx="81">
                  <c:v>#N/A</c:v>
                </c:pt>
                <c:pt idx="82">
                  <c:v>#N/A</c:v>
                </c:pt>
                <c:pt idx="83">
                  <c:v>#N/A</c:v>
                </c:pt>
                <c:pt idx="84">
                  <c:v>#N/A</c:v>
                </c:pt>
              </c:numCache>
            </c:numRef>
          </c:val>
          <c:smooth val="0"/>
          <c:extLst>
            <c:ext xmlns:c16="http://schemas.microsoft.com/office/drawing/2014/chart" uri="{C3380CC4-5D6E-409C-BE32-E72D297353CC}">
              <c16:uniqueId val="{00000002-FCE1-4EB5-97D1-FF348DE5AF7E}"/>
            </c:ext>
          </c:extLst>
        </c:ser>
        <c:ser>
          <c:idx val="3"/>
          <c:order val="2"/>
          <c:tx>
            <c:strRef>
              <c:f>'4.3.2 Data_Tidsseriefigurer'!$B$144</c:f>
              <c:strCache>
                <c:ptCount val="1"/>
                <c:pt idx="0">
                  <c:v>Personbil</c:v>
                </c:pt>
              </c:strCache>
            </c:strRef>
          </c:tx>
          <c:spPr>
            <a:ln w="28575" cap="rnd">
              <a:solidFill>
                <a:schemeClr val="accent4"/>
              </a:solidFill>
              <a:round/>
            </a:ln>
            <a:effectLst/>
          </c:spPr>
          <c:marker>
            <c:symbol val="none"/>
          </c:marker>
          <c:cat>
            <c:numRef>
              <c:f>'4.3.2 Data_Tidsseriefigurer'!$M$141:$CS$141</c:f>
              <c:numCache>
                <c:formatCode>General</c:formatCode>
                <c:ptCount val="85"/>
                <c:pt idx="0">
                  <c:v>-10</c:v>
                </c:pt>
                <c:pt idx="1">
                  <c:v>-9</c:v>
                </c:pt>
                <c:pt idx="2">
                  <c:v>-8</c:v>
                </c:pt>
                <c:pt idx="3">
                  <c:v>-7</c:v>
                </c:pt>
                <c:pt idx="4">
                  <c:v>-6</c:v>
                </c:pt>
                <c:pt idx="5">
                  <c:v>-5</c:v>
                </c:pt>
                <c:pt idx="6">
                  <c:v>-4</c:v>
                </c:pt>
                <c:pt idx="7">
                  <c:v>-3</c:v>
                </c:pt>
                <c:pt idx="8">
                  <c:v>-2</c:v>
                </c:pt>
                <c:pt idx="9">
                  <c:v>-1</c:v>
                </c:pt>
                <c:pt idx="10">
                  <c:v>0</c:v>
                </c:pt>
                <c:pt idx="11">
                  <c:v>1</c:v>
                </c:pt>
                <c:pt idx="12">
                  <c:v>2</c:v>
                </c:pt>
                <c:pt idx="13">
                  <c:v>3</c:v>
                </c:pt>
                <c:pt idx="14">
                  <c:v>4</c:v>
                </c:pt>
                <c:pt idx="15">
                  <c:v>5</c:v>
                </c:pt>
                <c:pt idx="16">
                  <c:v>6</c:v>
                </c:pt>
                <c:pt idx="17">
                  <c:v>7</c:v>
                </c:pt>
                <c:pt idx="18">
                  <c:v>8</c:v>
                </c:pt>
                <c:pt idx="19">
                  <c:v>9</c:v>
                </c:pt>
                <c:pt idx="20">
                  <c:v>10</c:v>
                </c:pt>
                <c:pt idx="21">
                  <c:v>11</c:v>
                </c:pt>
                <c:pt idx="22">
                  <c:v>12</c:v>
                </c:pt>
                <c:pt idx="23">
                  <c:v>13</c:v>
                </c:pt>
                <c:pt idx="24">
                  <c:v>14</c:v>
                </c:pt>
                <c:pt idx="25">
                  <c:v>15</c:v>
                </c:pt>
                <c:pt idx="26">
                  <c:v>16</c:v>
                </c:pt>
                <c:pt idx="27">
                  <c:v>17</c:v>
                </c:pt>
                <c:pt idx="28">
                  <c:v>18</c:v>
                </c:pt>
                <c:pt idx="29">
                  <c:v>19</c:v>
                </c:pt>
                <c:pt idx="30">
                  <c:v>20</c:v>
                </c:pt>
                <c:pt idx="31">
                  <c:v>21</c:v>
                </c:pt>
                <c:pt idx="32">
                  <c:v>22</c:v>
                </c:pt>
                <c:pt idx="33">
                  <c:v>23</c:v>
                </c:pt>
                <c:pt idx="34">
                  <c:v>24</c:v>
                </c:pt>
                <c:pt idx="35">
                  <c:v>25</c:v>
                </c:pt>
                <c:pt idx="36">
                  <c:v>26</c:v>
                </c:pt>
                <c:pt idx="37">
                  <c:v>27</c:v>
                </c:pt>
                <c:pt idx="38">
                  <c:v>28</c:v>
                </c:pt>
                <c:pt idx="39">
                  <c:v>29</c:v>
                </c:pt>
                <c:pt idx="40">
                  <c:v>30</c:v>
                </c:pt>
                <c:pt idx="41">
                  <c:v>31</c:v>
                </c:pt>
                <c:pt idx="42">
                  <c:v>32</c:v>
                </c:pt>
                <c:pt idx="43">
                  <c:v>33</c:v>
                </c:pt>
                <c:pt idx="44">
                  <c:v>34</c:v>
                </c:pt>
                <c:pt idx="45">
                  <c:v>35</c:v>
                </c:pt>
                <c:pt idx="46">
                  <c:v>36</c:v>
                </c:pt>
                <c:pt idx="47">
                  <c:v>37</c:v>
                </c:pt>
                <c:pt idx="48">
                  <c:v>38</c:v>
                </c:pt>
                <c:pt idx="49">
                  <c:v>39</c:v>
                </c:pt>
                <c:pt idx="50">
                  <c:v>40</c:v>
                </c:pt>
                <c:pt idx="51">
                  <c:v>41</c:v>
                </c:pt>
                <c:pt idx="52">
                  <c:v>42</c:v>
                </c:pt>
                <c:pt idx="53">
                  <c:v>43</c:v>
                </c:pt>
                <c:pt idx="54">
                  <c:v>44</c:v>
                </c:pt>
                <c:pt idx="55">
                  <c:v>45</c:v>
                </c:pt>
                <c:pt idx="56">
                  <c:v>46</c:v>
                </c:pt>
                <c:pt idx="57">
                  <c:v>47</c:v>
                </c:pt>
                <c:pt idx="58">
                  <c:v>48</c:v>
                </c:pt>
                <c:pt idx="59">
                  <c:v>49</c:v>
                </c:pt>
                <c:pt idx="60">
                  <c:v>50</c:v>
                </c:pt>
                <c:pt idx="61">
                  <c:v>51</c:v>
                </c:pt>
                <c:pt idx="62">
                  <c:v>52</c:v>
                </c:pt>
                <c:pt idx="63">
                  <c:v>53</c:v>
                </c:pt>
                <c:pt idx="64">
                  <c:v>54</c:v>
                </c:pt>
                <c:pt idx="65">
                  <c:v>55</c:v>
                </c:pt>
                <c:pt idx="66">
                  <c:v>56</c:v>
                </c:pt>
                <c:pt idx="67">
                  <c:v>57</c:v>
                </c:pt>
                <c:pt idx="68">
                  <c:v>58</c:v>
                </c:pt>
                <c:pt idx="69">
                  <c:v>59</c:v>
                </c:pt>
                <c:pt idx="70">
                  <c:v>60</c:v>
                </c:pt>
                <c:pt idx="71">
                  <c:v>61</c:v>
                </c:pt>
                <c:pt idx="72">
                  <c:v>62</c:v>
                </c:pt>
                <c:pt idx="73">
                  <c:v>63</c:v>
                </c:pt>
                <c:pt idx="74">
                  <c:v>64</c:v>
                </c:pt>
                <c:pt idx="75">
                  <c:v>65</c:v>
                </c:pt>
                <c:pt idx="76">
                  <c:v>66</c:v>
                </c:pt>
                <c:pt idx="77">
                  <c:v>67</c:v>
                </c:pt>
                <c:pt idx="78">
                  <c:v>68</c:v>
                </c:pt>
                <c:pt idx="79">
                  <c:v>69</c:v>
                </c:pt>
                <c:pt idx="80">
                  <c:v>70</c:v>
                </c:pt>
                <c:pt idx="81">
                  <c:v>71</c:v>
                </c:pt>
                <c:pt idx="82">
                  <c:v>72</c:v>
                </c:pt>
                <c:pt idx="83">
                  <c:v>73</c:v>
                </c:pt>
                <c:pt idx="84">
                  <c:v>74</c:v>
                </c:pt>
              </c:numCache>
            </c:numRef>
          </c:cat>
          <c:val>
            <c:numRef>
              <c:f>'4.3.2 Data_Tidsseriefigurer'!$M$144:$CS$144</c:f>
              <c:numCache>
                <c:formatCode>General</c:formatCode>
                <c:ptCount val="85"/>
                <c:pt idx="9">
                  <c:v>0</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pt idx="43">
                  <c:v>#N/A</c:v>
                </c:pt>
                <c:pt idx="44">
                  <c:v>#N/A</c:v>
                </c:pt>
                <c:pt idx="45">
                  <c:v>#N/A</c:v>
                </c:pt>
                <c:pt idx="46">
                  <c:v>#N/A</c:v>
                </c:pt>
                <c:pt idx="47">
                  <c:v>#N/A</c:v>
                </c:pt>
                <c:pt idx="48">
                  <c:v>#N/A</c:v>
                </c:pt>
                <c:pt idx="49">
                  <c:v>#N/A</c:v>
                </c:pt>
                <c:pt idx="50">
                  <c:v>#N/A</c:v>
                </c:pt>
                <c:pt idx="51">
                  <c:v>#N/A</c:v>
                </c:pt>
                <c:pt idx="52">
                  <c:v>#N/A</c:v>
                </c:pt>
                <c:pt idx="53">
                  <c:v>#N/A</c:v>
                </c:pt>
                <c:pt idx="54">
                  <c:v>#N/A</c:v>
                </c:pt>
                <c:pt idx="55">
                  <c:v>#N/A</c:v>
                </c:pt>
                <c:pt idx="56">
                  <c:v>#N/A</c:v>
                </c:pt>
                <c:pt idx="57">
                  <c:v>#N/A</c:v>
                </c:pt>
                <c:pt idx="58">
                  <c:v>#N/A</c:v>
                </c:pt>
                <c:pt idx="59">
                  <c:v>#N/A</c:v>
                </c:pt>
                <c:pt idx="60">
                  <c:v>#N/A</c:v>
                </c:pt>
                <c:pt idx="61">
                  <c:v>#N/A</c:v>
                </c:pt>
                <c:pt idx="62">
                  <c:v>#N/A</c:v>
                </c:pt>
                <c:pt idx="63">
                  <c:v>#N/A</c:v>
                </c:pt>
                <c:pt idx="64">
                  <c:v>#N/A</c:v>
                </c:pt>
                <c:pt idx="65">
                  <c:v>#N/A</c:v>
                </c:pt>
                <c:pt idx="66">
                  <c:v>#N/A</c:v>
                </c:pt>
                <c:pt idx="67">
                  <c:v>#N/A</c:v>
                </c:pt>
                <c:pt idx="68">
                  <c:v>#N/A</c:v>
                </c:pt>
                <c:pt idx="69">
                  <c:v>#N/A</c:v>
                </c:pt>
                <c:pt idx="70">
                  <c:v>#N/A</c:v>
                </c:pt>
                <c:pt idx="71">
                  <c:v>#N/A</c:v>
                </c:pt>
                <c:pt idx="72">
                  <c:v>#N/A</c:v>
                </c:pt>
                <c:pt idx="73">
                  <c:v>#N/A</c:v>
                </c:pt>
                <c:pt idx="74">
                  <c:v>#N/A</c:v>
                </c:pt>
                <c:pt idx="75">
                  <c:v>#N/A</c:v>
                </c:pt>
                <c:pt idx="76">
                  <c:v>#N/A</c:v>
                </c:pt>
                <c:pt idx="77">
                  <c:v>#N/A</c:v>
                </c:pt>
                <c:pt idx="78">
                  <c:v>#N/A</c:v>
                </c:pt>
                <c:pt idx="79">
                  <c:v>#N/A</c:v>
                </c:pt>
                <c:pt idx="80">
                  <c:v>#N/A</c:v>
                </c:pt>
                <c:pt idx="81">
                  <c:v>#N/A</c:v>
                </c:pt>
                <c:pt idx="82">
                  <c:v>#N/A</c:v>
                </c:pt>
                <c:pt idx="83">
                  <c:v>#N/A</c:v>
                </c:pt>
                <c:pt idx="84">
                  <c:v>#N/A</c:v>
                </c:pt>
              </c:numCache>
            </c:numRef>
          </c:val>
          <c:smooth val="0"/>
          <c:extLst>
            <c:ext xmlns:c16="http://schemas.microsoft.com/office/drawing/2014/chart" uri="{C3380CC4-5D6E-409C-BE32-E72D297353CC}">
              <c16:uniqueId val="{00000003-FCE1-4EB5-97D1-FF348DE5AF7E}"/>
            </c:ext>
          </c:extLst>
        </c:ser>
        <c:ser>
          <c:idx val="4"/>
          <c:order val="3"/>
          <c:tx>
            <c:strRef>
              <c:f>'4.3.2 Data_Tidsseriefigurer'!$B$145</c:f>
              <c:strCache>
                <c:ptCount val="1"/>
                <c:pt idx="0">
                  <c:v>Buss</c:v>
                </c:pt>
              </c:strCache>
            </c:strRef>
          </c:tx>
          <c:spPr>
            <a:ln w="28575" cap="rnd">
              <a:solidFill>
                <a:schemeClr val="accent5"/>
              </a:solidFill>
              <a:round/>
            </a:ln>
            <a:effectLst/>
          </c:spPr>
          <c:marker>
            <c:symbol val="none"/>
          </c:marker>
          <c:cat>
            <c:numRef>
              <c:f>'4.3.2 Data_Tidsseriefigurer'!$M$141:$CS$141</c:f>
              <c:numCache>
                <c:formatCode>General</c:formatCode>
                <c:ptCount val="85"/>
                <c:pt idx="0">
                  <c:v>-10</c:v>
                </c:pt>
                <c:pt idx="1">
                  <c:v>-9</c:v>
                </c:pt>
                <c:pt idx="2">
                  <c:v>-8</c:v>
                </c:pt>
                <c:pt idx="3">
                  <c:v>-7</c:v>
                </c:pt>
                <c:pt idx="4">
                  <c:v>-6</c:v>
                </c:pt>
                <c:pt idx="5">
                  <c:v>-5</c:v>
                </c:pt>
                <c:pt idx="6">
                  <c:v>-4</c:v>
                </c:pt>
                <c:pt idx="7">
                  <c:v>-3</c:v>
                </c:pt>
                <c:pt idx="8">
                  <c:v>-2</c:v>
                </c:pt>
                <c:pt idx="9">
                  <c:v>-1</c:v>
                </c:pt>
                <c:pt idx="10">
                  <c:v>0</c:v>
                </c:pt>
                <c:pt idx="11">
                  <c:v>1</c:v>
                </c:pt>
                <c:pt idx="12">
                  <c:v>2</c:v>
                </c:pt>
                <c:pt idx="13">
                  <c:v>3</c:v>
                </c:pt>
                <c:pt idx="14">
                  <c:v>4</c:v>
                </c:pt>
                <c:pt idx="15">
                  <c:v>5</c:v>
                </c:pt>
                <c:pt idx="16">
                  <c:v>6</c:v>
                </c:pt>
                <c:pt idx="17">
                  <c:v>7</c:v>
                </c:pt>
                <c:pt idx="18">
                  <c:v>8</c:v>
                </c:pt>
                <c:pt idx="19">
                  <c:v>9</c:v>
                </c:pt>
                <c:pt idx="20">
                  <c:v>10</c:v>
                </c:pt>
                <c:pt idx="21">
                  <c:v>11</c:v>
                </c:pt>
                <c:pt idx="22">
                  <c:v>12</c:v>
                </c:pt>
                <c:pt idx="23">
                  <c:v>13</c:v>
                </c:pt>
                <c:pt idx="24">
                  <c:v>14</c:v>
                </c:pt>
                <c:pt idx="25">
                  <c:v>15</c:v>
                </c:pt>
                <c:pt idx="26">
                  <c:v>16</c:v>
                </c:pt>
                <c:pt idx="27">
                  <c:v>17</c:v>
                </c:pt>
                <c:pt idx="28">
                  <c:v>18</c:v>
                </c:pt>
                <c:pt idx="29">
                  <c:v>19</c:v>
                </c:pt>
                <c:pt idx="30">
                  <c:v>20</c:v>
                </c:pt>
                <c:pt idx="31">
                  <c:v>21</c:v>
                </c:pt>
                <c:pt idx="32">
                  <c:v>22</c:v>
                </c:pt>
                <c:pt idx="33">
                  <c:v>23</c:v>
                </c:pt>
                <c:pt idx="34">
                  <c:v>24</c:v>
                </c:pt>
                <c:pt idx="35">
                  <c:v>25</c:v>
                </c:pt>
                <c:pt idx="36">
                  <c:v>26</c:v>
                </c:pt>
                <c:pt idx="37">
                  <c:v>27</c:v>
                </c:pt>
                <c:pt idx="38">
                  <c:v>28</c:v>
                </c:pt>
                <c:pt idx="39">
                  <c:v>29</c:v>
                </c:pt>
                <c:pt idx="40">
                  <c:v>30</c:v>
                </c:pt>
                <c:pt idx="41">
                  <c:v>31</c:v>
                </c:pt>
                <c:pt idx="42">
                  <c:v>32</c:v>
                </c:pt>
                <c:pt idx="43">
                  <c:v>33</c:v>
                </c:pt>
                <c:pt idx="44">
                  <c:v>34</c:v>
                </c:pt>
                <c:pt idx="45">
                  <c:v>35</c:v>
                </c:pt>
                <c:pt idx="46">
                  <c:v>36</c:v>
                </c:pt>
                <c:pt idx="47">
                  <c:v>37</c:v>
                </c:pt>
                <c:pt idx="48">
                  <c:v>38</c:v>
                </c:pt>
                <c:pt idx="49">
                  <c:v>39</c:v>
                </c:pt>
                <c:pt idx="50">
                  <c:v>40</c:v>
                </c:pt>
                <c:pt idx="51">
                  <c:v>41</c:v>
                </c:pt>
                <c:pt idx="52">
                  <c:v>42</c:v>
                </c:pt>
                <c:pt idx="53">
                  <c:v>43</c:v>
                </c:pt>
                <c:pt idx="54">
                  <c:v>44</c:v>
                </c:pt>
                <c:pt idx="55">
                  <c:v>45</c:v>
                </c:pt>
                <c:pt idx="56">
                  <c:v>46</c:v>
                </c:pt>
                <c:pt idx="57">
                  <c:v>47</c:v>
                </c:pt>
                <c:pt idx="58">
                  <c:v>48</c:v>
                </c:pt>
                <c:pt idx="59">
                  <c:v>49</c:v>
                </c:pt>
                <c:pt idx="60">
                  <c:v>50</c:v>
                </c:pt>
                <c:pt idx="61">
                  <c:v>51</c:v>
                </c:pt>
                <c:pt idx="62">
                  <c:v>52</c:v>
                </c:pt>
                <c:pt idx="63">
                  <c:v>53</c:v>
                </c:pt>
                <c:pt idx="64">
                  <c:v>54</c:v>
                </c:pt>
                <c:pt idx="65">
                  <c:v>55</c:v>
                </c:pt>
                <c:pt idx="66">
                  <c:v>56</c:v>
                </c:pt>
                <c:pt idx="67">
                  <c:v>57</c:v>
                </c:pt>
                <c:pt idx="68">
                  <c:v>58</c:v>
                </c:pt>
                <c:pt idx="69">
                  <c:v>59</c:v>
                </c:pt>
                <c:pt idx="70">
                  <c:v>60</c:v>
                </c:pt>
                <c:pt idx="71">
                  <c:v>61</c:v>
                </c:pt>
                <c:pt idx="72">
                  <c:v>62</c:v>
                </c:pt>
                <c:pt idx="73">
                  <c:v>63</c:v>
                </c:pt>
                <c:pt idx="74">
                  <c:v>64</c:v>
                </c:pt>
                <c:pt idx="75">
                  <c:v>65</c:v>
                </c:pt>
                <c:pt idx="76">
                  <c:v>66</c:v>
                </c:pt>
                <c:pt idx="77">
                  <c:v>67</c:v>
                </c:pt>
                <c:pt idx="78">
                  <c:v>68</c:v>
                </c:pt>
                <c:pt idx="79">
                  <c:v>69</c:v>
                </c:pt>
                <c:pt idx="80">
                  <c:v>70</c:v>
                </c:pt>
                <c:pt idx="81">
                  <c:v>71</c:v>
                </c:pt>
                <c:pt idx="82">
                  <c:v>72</c:v>
                </c:pt>
                <c:pt idx="83">
                  <c:v>73</c:v>
                </c:pt>
                <c:pt idx="84">
                  <c:v>74</c:v>
                </c:pt>
              </c:numCache>
            </c:numRef>
          </c:cat>
          <c:val>
            <c:numRef>
              <c:f>'4.3.2 Data_Tidsseriefigurer'!$M$145:$CS$145</c:f>
              <c:numCache>
                <c:formatCode>General</c:formatCode>
                <c:ptCount val="85"/>
                <c:pt idx="9">
                  <c:v>0</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pt idx="43">
                  <c:v>#N/A</c:v>
                </c:pt>
                <c:pt idx="44">
                  <c:v>#N/A</c:v>
                </c:pt>
                <c:pt idx="45">
                  <c:v>#N/A</c:v>
                </c:pt>
                <c:pt idx="46">
                  <c:v>#N/A</c:v>
                </c:pt>
                <c:pt idx="47">
                  <c:v>#N/A</c:v>
                </c:pt>
                <c:pt idx="48">
                  <c:v>#N/A</c:v>
                </c:pt>
                <c:pt idx="49">
                  <c:v>#N/A</c:v>
                </c:pt>
                <c:pt idx="50">
                  <c:v>#N/A</c:v>
                </c:pt>
                <c:pt idx="51">
                  <c:v>#N/A</c:v>
                </c:pt>
                <c:pt idx="52">
                  <c:v>#N/A</c:v>
                </c:pt>
                <c:pt idx="53">
                  <c:v>#N/A</c:v>
                </c:pt>
                <c:pt idx="54">
                  <c:v>#N/A</c:v>
                </c:pt>
                <c:pt idx="55">
                  <c:v>#N/A</c:v>
                </c:pt>
                <c:pt idx="56">
                  <c:v>#N/A</c:v>
                </c:pt>
                <c:pt idx="57">
                  <c:v>#N/A</c:v>
                </c:pt>
                <c:pt idx="58">
                  <c:v>#N/A</c:v>
                </c:pt>
                <c:pt idx="59">
                  <c:v>#N/A</c:v>
                </c:pt>
                <c:pt idx="60">
                  <c:v>#N/A</c:v>
                </c:pt>
                <c:pt idx="61">
                  <c:v>#N/A</c:v>
                </c:pt>
                <c:pt idx="62">
                  <c:v>#N/A</c:v>
                </c:pt>
                <c:pt idx="63">
                  <c:v>#N/A</c:v>
                </c:pt>
                <c:pt idx="64">
                  <c:v>#N/A</c:v>
                </c:pt>
                <c:pt idx="65">
                  <c:v>#N/A</c:v>
                </c:pt>
                <c:pt idx="66">
                  <c:v>#N/A</c:v>
                </c:pt>
                <c:pt idx="67">
                  <c:v>#N/A</c:v>
                </c:pt>
                <c:pt idx="68">
                  <c:v>#N/A</c:v>
                </c:pt>
                <c:pt idx="69">
                  <c:v>#N/A</c:v>
                </c:pt>
                <c:pt idx="70">
                  <c:v>#N/A</c:v>
                </c:pt>
                <c:pt idx="71">
                  <c:v>#N/A</c:v>
                </c:pt>
                <c:pt idx="72">
                  <c:v>#N/A</c:v>
                </c:pt>
                <c:pt idx="73">
                  <c:v>#N/A</c:v>
                </c:pt>
                <c:pt idx="74">
                  <c:v>#N/A</c:v>
                </c:pt>
                <c:pt idx="75">
                  <c:v>#N/A</c:v>
                </c:pt>
                <c:pt idx="76">
                  <c:v>#N/A</c:v>
                </c:pt>
                <c:pt idx="77">
                  <c:v>#N/A</c:v>
                </c:pt>
                <c:pt idx="78">
                  <c:v>#N/A</c:v>
                </c:pt>
                <c:pt idx="79">
                  <c:v>#N/A</c:v>
                </c:pt>
                <c:pt idx="80">
                  <c:v>#N/A</c:v>
                </c:pt>
                <c:pt idx="81">
                  <c:v>#N/A</c:v>
                </c:pt>
                <c:pt idx="82">
                  <c:v>#N/A</c:v>
                </c:pt>
                <c:pt idx="83">
                  <c:v>#N/A</c:v>
                </c:pt>
                <c:pt idx="84">
                  <c:v>#N/A</c:v>
                </c:pt>
              </c:numCache>
            </c:numRef>
          </c:val>
          <c:smooth val="0"/>
          <c:extLst>
            <c:ext xmlns:c16="http://schemas.microsoft.com/office/drawing/2014/chart" uri="{C3380CC4-5D6E-409C-BE32-E72D297353CC}">
              <c16:uniqueId val="{00000004-FCE1-4EB5-97D1-FF348DE5AF7E}"/>
            </c:ext>
          </c:extLst>
        </c:ser>
        <c:ser>
          <c:idx val="5"/>
          <c:order val="4"/>
          <c:tx>
            <c:strRef>
              <c:f>'4.3.2 Data_Tidsseriefigurer'!$B$146</c:f>
              <c:strCache>
                <c:ptCount val="1"/>
                <c:pt idx="0">
                  <c:v>Passasjerfly</c:v>
                </c:pt>
              </c:strCache>
            </c:strRef>
          </c:tx>
          <c:spPr>
            <a:ln w="28575" cap="rnd">
              <a:solidFill>
                <a:schemeClr val="accent6"/>
              </a:solidFill>
              <a:round/>
            </a:ln>
            <a:effectLst/>
          </c:spPr>
          <c:marker>
            <c:symbol val="none"/>
          </c:marker>
          <c:cat>
            <c:numRef>
              <c:f>'4.3.2 Data_Tidsseriefigurer'!$M$141:$CS$141</c:f>
              <c:numCache>
                <c:formatCode>General</c:formatCode>
                <c:ptCount val="85"/>
                <c:pt idx="0">
                  <c:v>-10</c:v>
                </c:pt>
                <c:pt idx="1">
                  <c:v>-9</c:v>
                </c:pt>
                <c:pt idx="2">
                  <c:v>-8</c:v>
                </c:pt>
                <c:pt idx="3">
                  <c:v>-7</c:v>
                </c:pt>
                <c:pt idx="4">
                  <c:v>-6</c:v>
                </c:pt>
                <c:pt idx="5">
                  <c:v>-5</c:v>
                </c:pt>
                <c:pt idx="6">
                  <c:v>-4</c:v>
                </c:pt>
                <c:pt idx="7">
                  <c:v>-3</c:v>
                </c:pt>
                <c:pt idx="8">
                  <c:v>-2</c:v>
                </c:pt>
                <c:pt idx="9">
                  <c:v>-1</c:v>
                </c:pt>
                <c:pt idx="10">
                  <c:v>0</c:v>
                </c:pt>
                <c:pt idx="11">
                  <c:v>1</c:v>
                </c:pt>
                <c:pt idx="12">
                  <c:v>2</c:v>
                </c:pt>
                <c:pt idx="13">
                  <c:v>3</c:v>
                </c:pt>
                <c:pt idx="14">
                  <c:v>4</c:v>
                </c:pt>
                <c:pt idx="15">
                  <c:v>5</c:v>
                </c:pt>
                <c:pt idx="16">
                  <c:v>6</c:v>
                </c:pt>
                <c:pt idx="17">
                  <c:v>7</c:v>
                </c:pt>
                <c:pt idx="18">
                  <c:v>8</c:v>
                </c:pt>
                <c:pt idx="19">
                  <c:v>9</c:v>
                </c:pt>
                <c:pt idx="20">
                  <c:v>10</c:v>
                </c:pt>
                <c:pt idx="21">
                  <c:v>11</c:v>
                </c:pt>
                <c:pt idx="22">
                  <c:v>12</c:v>
                </c:pt>
                <c:pt idx="23">
                  <c:v>13</c:v>
                </c:pt>
                <c:pt idx="24">
                  <c:v>14</c:v>
                </c:pt>
                <c:pt idx="25">
                  <c:v>15</c:v>
                </c:pt>
                <c:pt idx="26">
                  <c:v>16</c:v>
                </c:pt>
                <c:pt idx="27">
                  <c:v>17</c:v>
                </c:pt>
                <c:pt idx="28">
                  <c:v>18</c:v>
                </c:pt>
                <c:pt idx="29">
                  <c:v>19</c:v>
                </c:pt>
                <c:pt idx="30">
                  <c:v>20</c:v>
                </c:pt>
                <c:pt idx="31">
                  <c:v>21</c:v>
                </c:pt>
                <c:pt idx="32">
                  <c:v>22</c:v>
                </c:pt>
                <c:pt idx="33">
                  <c:v>23</c:v>
                </c:pt>
                <c:pt idx="34">
                  <c:v>24</c:v>
                </c:pt>
                <c:pt idx="35">
                  <c:v>25</c:v>
                </c:pt>
                <c:pt idx="36">
                  <c:v>26</c:v>
                </c:pt>
                <c:pt idx="37">
                  <c:v>27</c:v>
                </c:pt>
                <c:pt idx="38">
                  <c:v>28</c:v>
                </c:pt>
                <c:pt idx="39">
                  <c:v>29</c:v>
                </c:pt>
                <c:pt idx="40">
                  <c:v>30</c:v>
                </c:pt>
                <c:pt idx="41">
                  <c:v>31</c:v>
                </c:pt>
                <c:pt idx="42">
                  <c:v>32</c:v>
                </c:pt>
                <c:pt idx="43">
                  <c:v>33</c:v>
                </c:pt>
                <c:pt idx="44">
                  <c:v>34</c:v>
                </c:pt>
                <c:pt idx="45">
                  <c:v>35</c:v>
                </c:pt>
                <c:pt idx="46">
                  <c:v>36</c:v>
                </c:pt>
                <c:pt idx="47">
                  <c:v>37</c:v>
                </c:pt>
                <c:pt idx="48">
                  <c:v>38</c:v>
                </c:pt>
                <c:pt idx="49">
                  <c:v>39</c:v>
                </c:pt>
                <c:pt idx="50">
                  <c:v>40</c:v>
                </c:pt>
                <c:pt idx="51">
                  <c:v>41</c:v>
                </c:pt>
                <c:pt idx="52">
                  <c:v>42</c:v>
                </c:pt>
                <c:pt idx="53">
                  <c:v>43</c:v>
                </c:pt>
                <c:pt idx="54">
                  <c:v>44</c:v>
                </c:pt>
                <c:pt idx="55">
                  <c:v>45</c:v>
                </c:pt>
                <c:pt idx="56">
                  <c:v>46</c:v>
                </c:pt>
                <c:pt idx="57">
                  <c:v>47</c:v>
                </c:pt>
                <c:pt idx="58">
                  <c:v>48</c:v>
                </c:pt>
                <c:pt idx="59">
                  <c:v>49</c:v>
                </c:pt>
                <c:pt idx="60">
                  <c:v>50</c:v>
                </c:pt>
                <c:pt idx="61">
                  <c:v>51</c:v>
                </c:pt>
                <c:pt idx="62">
                  <c:v>52</c:v>
                </c:pt>
                <c:pt idx="63">
                  <c:v>53</c:v>
                </c:pt>
                <c:pt idx="64">
                  <c:v>54</c:v>
                </c:pt>
                <c:pt idx="65">
                  <c:v>55</c:v>
                </c:pt>
                <c:pt idx="66">
                  <c:v>56</c:v>
                </c:pt>
                <c:pt idx="67">
                  <c:v>57</c:v>
                </c:pt>
                <c:pt idx="68">
                  <c:v>58</c:v>
                </c:pt>
                <c:pt idx="69">
                  <c:v>59</c:v>
                </c:pt>
                <c:pt idx="70">
                  <c:v>60</c:v>
                </c:pt>
                <c:pt idx="71">
                  <c:v>61</c:v>
                </c:pt>
                <c:pt idx="72">
                  <c:v>62</c:v>
                </c:pt>
                <c:pt idx="73">
                  <c:v>63</c:v>
                </c:pt>
                <c:pt idx="74">
                  <c:v>64</c:v>
                </c:pt>
                <c:pt idx="75">
                  <c:v>65</c:v>
                </c:pt>
                <c:pt idx="76">
                  <c:v>66</c:v>
                </c:pt>
                <c:pt idx="77">
                  <c:v>67</c:v>
                </c:pt>
                <c:pt idx="78">
                  <c:v>68</c:v>
                </c:pt>
                <c:pt idx="79">
                  <c:v>69</c:v>
                </c:pt>
                <c:pt idx="80">
                  <c:v>70</c:v>
                </c:pt>
                <c:pt idx="81">
                  <c:v>71</c:v>
                </c:pt>
                <c:pt idx="82">
                  <c:v>72</c:v>
                </c:pt>
                <c:pt idx="83">
                  <c:v>73</c:v>
                </c:pt>
                <c:pt idx="84">
                  <c:v>74</c:v>
                </c:pt>
              </c:numCache>
            </c:numRef>
          </c:cat>
          <c:val>
            <c:numRef>
              <c:f>'4.3.2 Data_Tidsseriefigurer'!$M$146:$CS$146</c:f>
              <c:numCache>
                <c:formatCode>General</c:formatCode>
                <c:ptCount val="85"/>
                <c:pt idx="9">
                  <c:v>0</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pt idx="43">
                  <c:v>#N/A</c:v>
                </c:pt>
                <c:pt idx="44">
                  <c:v>#N/A</c:v>
                </c:pt>
                <c:pt idx="45">
                  <c:v>#N/A</c:v>
                </c:pt>
                <c:pt idx="46">
                  <c:v>#N/A</c:v>
                </c:pt>
                <c:pt idx="47">
                  <c:v>#N/A</c:v>
                </c:pt>
                <c:pt idx="48">
                  <c:v>#N/A</c:v>
                </c:pt>
                <c:pt idx="49">
                  <c:v>#N/A</c:v>
                </c:pt>
                <c:pt idx="50">
                  <c:v>#N/A</c:v>
                </c:pt>
                <c:pt idx="51">
                  <c:v>#N/A</c:v>
                </c:pt>
                <c:pt idx="52">
                  <c:v>#N/A</c:v>
                </c:pt>
                <c:pt idx="53">
                  <c:v>#N/A</c:v>
                </c:pt>
                <c:pt idx="54">
                  <c:v>#N/A</c:v>
                </c:pt>
                <c:pt idx="55">
                  <c:v>#N/A</c:v>
                </c:pt>
                <c:pt idx="56">
                  <c:v>#N/A</c:v>
                </c:pt>
                <c:pt idx="57">
                  <c:v>#N/A</c:v>
                </c:pt>
                <c:pt idx="58">
                  <c:v>#N/A</c:v>
                </c:pt>
                <c:pt idx="59">
                  <c:v>#N/A</c:v>
                </c:pt>
                <c:pt idx="60">
                  <c:v>#N/A</c:v>
                </c:pt>
                <c:pt idx="61">
                  <c:v>#N/A</c:v>
                </c:pt>
                <c:pt idx="62">
                  <c:v>#N/A</c:v>
                </c:pt>
                <c:pt idx="63">
                  <c:v>#N/A</c:v>
                </c:pt>
                <c:pt idx="64">
                  <c:v>#N/A</c:v>
                </c:pt>
                <c:pt idx="65">
                  <c:v>#N/A</c:v>
                </c:pt>
                <c:pt idx="66">
                  <c:v>#N/A</c:v>
                </c:pt>
                <c:pt idx="67">
                  <c:v>#N/A</c:v>
                </c:pt>
                <c:pt idx="68">
                  <c:v>#N/A</c:v>
                </c:pt>
                <c:pt idx="69">
                  <c:v>#N/A</c:v>
                </c:pt>
                <c:pt idx="70">
                  <c:v>#N/A</c:v>
                </c:pt>
                <c:pt idx="71">
                  <c:v>#N/A</c:v>
                </c:pt>
                <c:pt idx="72">
                  <c:v>#N/A</c:v>
                </c:pt>
                <c:pt idx="73">
                  <c:v>#N/A</c:v>
                </c:pt>
                <c:pt idx="74">
                  <c:v>#N/A</c:v>
                </c:pt>
                <c:pt idx="75">
                  <c:v>#N/A</c:v>
                </c:pt>
                <c:pt idx="76">
                  <c:v>#N/A</c:v>
                </c:pt>
                <c:pt idx="77">
                  <c:v>#N/A</c:v>
                </c:pt>
                <c:pt idx="78">
                  <c:v>#N/A</c:v>
                </c:pt>
                <c:pt idx="79">
                  <c:v>#N/A</c:v>
                </c:pt>
                <c:pt idx="80">
                  <c:v>#N/A</c:v>
                </c:pt>
                <c:pt idx="81">
                  <c:v>#N/A</c:v>
                </c:pt>
                <c:pt idx="82">
                  <c:v>#N/A</c:v>
                </c:pt>
                <c:pt idx="83">
                  <c:v>#N/A</c:v>
                </c:pt>
                <c:pt idx="84">
                  <c:v>#N/A</c:v>
                </c:pt>
              </c:numCache>
            </c:numRef>
          </c:val>
          <c:smooth val="0"/>
          <c:extLst>
            <c:ext xmlns:c16="http://schemas.microsoft.com/office/drawing/2014/chart" uri="{C3380CC4-5D6E-409C-BE32-E72D297353CC}">
              <c16:uniqueId val="{00000005-FCE1-4EB5-97D1-FF348DE5AF7E}"/>
            </c:ext>
          </c:extLst>
        </c:ser>
        <c:ser>
          <c:idx val="6"/>
          <c:order val="5"/>
          <c:tx>
            <c:strRef>
              <c:f>'4.3.2 Data_Tidsseriefigurer'!$B$147</c:f>
              <c:strCache>
                <c:ptCount val="1"/>
                <c:pt idx="0">
                  <c:v>Lastebil</c:v>
                </c:pt>
              </c:strCache>
            </c:strRef>
          </c:tx>
          <c:spPr>
            <a:ln w="28575" cap="rnd">
              <a:solidFill>
                <a:schemeClr val="accent1">
                  <a:lumMod val="60000"/>
                </a:schemeClr>
              </a:solidFill>
              <a:round/>
            </a:ln>
            <a:effectLst/>
          </c:spPr>
          <c:marker>
            <c:symbol val="none"/>
          </c:marker>
          <c:cat>
            <c:numRef>
              <c:f>'4.3.2 Data_Tidsseriefigurer'!$M$141:$CS$141</c:f>
              <c:numCache>
                <c:formatCode>General</c:formatCode>
                <c:ptCount val="85"/>
                <c:pt idx="0">
                  <c:v>-10</c:v>
                </c:pt>
                <c:pt idx="1">
                  <c:v>-9</c:v>
                </c:pt>
                <c:pt idx="2">
                  <c:v>-8</c:v>
                </c:pt>
                <c:pt idx="3">
                  <c:v>-7</c:v>
                </c:pt>
                <c:pt idx="4">
                  <c:v>-6</c:v>
                </c:pt>
                <c:pt idx="5">
                  <c:v>-5</c:v>
                </c:pt>
                <c:pt idx="6">
                  <c:v>-4</c:v>
                </c:pt>
                <c:pt idx="7">
                  <c:v>-3</c:v>
                </c:pt>
                <c:pt idx="8">
                  <c:v>-2</c:v>
                </c:pt>
                <c:pt idx="9">
                  <c:v>-1</c:v>
                </c:pt>
                <c:pt idx="10">
                  <c:v>0</c:v>
                </c:pt>
                <c:pt idx="11">
                  <c:v>1</c:v>
                </c:pt>
                <c:pt idx="12">
                  <c:v>2</c:v>
                </c:pt>
                <c:pt idx="13">
                  <c:v>3</c:v>
                </c:pt>
                <c:pt idx="14">
                  <c:v>4</c:v>
                </c:pt>
                <c:pt idx="15">
                  <c:v>5</c:v>
                </c:pt>
                <c:pt idx="16">
                  <c:v>6</c:v>
                </c:pt>
                <c:pt idx="17">
                  <c:v>7</c:v>
                </c:pt>
                <c:pt idx="18">
                  <c:v>8</c:v>
                </c:pt>
                <c:pt idx="19">
                  <c:v>9</c:v>
                </c:pt>
                <c:pt idx="20">
                  <c:v>10</c:v>
                </c:pt>
                <c:pt idx="21">
                  <c:v>11</c:v>
                </c:pt>
                <c:pt idx="22">
                  <c:v>12</c:v>
                </c:pt>
                <c:pt idx="23">
                  <c:v>13</c:v>
                </c:pt>
                <c:pt idx="24">
                  <c:v>14</c:v>
                </c:pt>
                <c:pt idx="25">
                  <c:v>15</c:v>
                </c:pt>
                <c:pt idx="26">
                  <c:v>16</c:v>
                </c:pt>
                <c:pt idx="27">
                  <c:v>17</c:v>
                </c:pt>
                <c:pt idx="28">
                  <c:v>18</c:v>
                </c:pt>
                <c:pt idx="29">
                  <c:v>19</c:v>
                </c:pt>
                <c:pt idx="30">
                  <c:v>20</c:v>
                </c:pt>
                <c:pt idx="31">
                  <c:v>21</c:v>
                </c:pt>
                <c:pt idx="32">
                  <c:v>22</c:v>
                </c:pt>
                <c:pt idx="33">
                  <c:v>23</c:v>
                </c:pt>
                <c:pt idx="34">
                  <c:v>24</c:v>
                </c:pt>
                <c:pt idx="35">
                  <c:v>25</c:v>
                </c:pt>
                <c:pt idx="36">
                  <c:v>26</c:v>
                </c:pt>
                <c:pt idx="37">
                  <c:v>27</c:v>
                </c:pt>
                <c:pt idx="38">
                  <c:v>28</c:v>
                </c:pt>
                <c:pt idx="39">
                  <c:v>29</c:v>
                </c:pt>
                <c:pt idx="40">
                  <c:v>30</c:v>
                </c:pt>
                <c:pt idx="41">
                  <c:v>31</c:v>
                </c:pt>
                <c:pt idx="42">
                  <c:v>32</c:v>
                </c:pt>
                <c:pt idx="43">
                  <c:v>33</c:v>
                </c:pt>
                <c:pt idx="44">
                  <c:v>34</c:v>
                </c:pt>
                <c:pt idx="45">
                  <c:v>35</c:v>
                </c:pt>
                <c:pt idx="46">
                  <c:v>36</c:v>
                </c:pt>
                <c:pt idx="47">
                  <c:v>37</c:v>
                </c:pt>
                <c:pt idx="48">
                  <c:v>38</c:v>
                </c:pt>
                <c:pt idx="49">
                  <c:v>39</c:v>
                </c:pt>
                <c:pt idx="50">
                  <c:v>40</c:v>
                </c:pt>
                <c:pt idx="51">
                  <c:v>41</c:v>
                </c:pt>
                <c:pt idx="52">
                  <c:v>42</c:v>
                </c:pt>
                <c:pt idx="53">
                  <c:v>43</c:v>
                </c:pt>
                <c:pt idx="54">
                  <c:v>44</c:v>
                </c:pt>
                <c:pt idx="55">
                  <c:v>45</c:v>
                </c:pt>
                <c:pt idx="56">
                  <c:v>46</c:v>
                </c:pt>
                <c:pt idx="57">
                  <c:v>47</c:v>
                </c:pt>
                <c:pt idx="58">
                  <c:v>48</c:v>
                </c:pt>
                <c:pt idx="59">
                  <c:v>49</c:v>
                </c:pt>
                <c:pt idx="60">
                  <c:v>50</c:v>
                </c:pt>
                <c:pt idx="61">
                  <c:v>51</c:v>
                </c:pt>
                <c:pt idx="62">
                  <c:v>52</c:v>
                </c:pt>
                <c:pt idx="63">
                  <c:v>53</c:v>
                </c:pt>
                <c:pt idx="64">
                  <c:v>54</c:v>
                </c:pt>
                <c:pt idx="65">
                  <c:v>55</c:v>
                </c:pt>
                <c:pt idx="66">
                  <c:v>56</c:v>
                </c:pt>
                <c:pt idx="67">
                  <c:v>57</c:v>
                </c:pt>
                <c:pt idx="68">
                  <c:v>58</c:v>
                </c:pt>
                <c:pt idx="69">
                  <c:v>59</c:v>
                </c:pt>
                <c:pt idx="70">
                  <c:v>60</c:v>
                </c:pt>
                <c:pt idx="71">
                  <c:v>61</c:v>
                </c:pt>
                <c:pt idx="72">
                  <c:v>62</c:v>
                </c:pt>
                <c:pt idx="73">
                  <c:v>63</c:v>
                </c:pt>
                <c:pt idx="74">
                  <c:v>64</c:v>
                </c:pt>
                <c:pt idx="75">
                  <c:v>65</c:v>
                </c:pt>
                <c:pt idx="76">
                  <c:v>66</c:v>
                </c:pt>
                <c:pt idx="77">
                  <c:v>67</c:v>
                </c:pt>
                <c:pt idx="78">
                  <c:v>68</c:v>
                </c:pt>
                <c:pt idx="79">
                  <c:v>69</c:v>
                </c:pt>
                <c:pt idx="80">
                  <c:v>70</c:v>
                </c:pt>
                <c:pt idx="81">
                  <c:v>71</c:v>
                </c:pt>
                <c:pt idx="82">
                  <c:v>72</c:v>
                </c:pt>
                <c:pt idx="83">
                  <c:v>73</c:v>
                </c:pt>
                <c:pt idx="84">
                  <c:v>74</c:v>
                </c:pt>
              </c:numCache>
            </c:numRef>
          </c:cat>
          <c:val>
            <c:numRef>
              <c:f>'4.3.2 Data_Tidsseriefigurer'!$M$147:$CS$147</c:f>
              <c:numCache>
                <c:formatCode>General</c:formatCode>
                <c:ptCount val="85"/>
                <c:pt idx="9">
                  <c:v>0</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pt idx="43">
                  <c:v>#N/A</c:v>
                </c:pt>
                <c:pt idx="44">
                  <c:v>#N/A</c:v>
                </c:pt>
                <c:pt idx="45">
                  <c:v>#N/A</c:v>
                </c:pt>
                <c:pt idx="46">
                  <c:v>#N/A</c:v>
                </c:pt>
                <c:pt idx="47">
                  <c:v>#N/A</c:v>
                </c:pt>
                <c:pt idx="48">
                  <c:v>#N/A</c:v>
                </c:pt>
                <c:pt idx="49">
                  <c:v>#N/A</c:v>
                </c:pt>
                <c:pt idx="50">
                  <c:v>#N/A</c:v>
                </c:pt>
                <c:pt idx="51">
                  <c:v>#N/A</c:v>
                </c:pt>
                <c:pt idx="52">
                  <c:v>#N/A</c:v>
                </c:pt>
                <c:pt idx="53">
                  <c:v>#N/A</c:v>
                </c:pt>
                <c:pt idx="54">
                  <c:v>#N/A</c:v>
                </c:pt>
                <c:pt idx="55">
                  <c:v>#N/A</c:v>
                </c:pt>
                <c:pt idx="56">
                  <c:v>#N/A</c:v>
                </c:pt>
                <c:pt idx="57">
                  <c:v>#N/A</c:v>
                </c:pt>
                <c:pt idx="58">
                  <c:v>#N/A</c:v>
                </c:pt>
                <c:pt idx="59">
                  <c:v>#N/A</c:v>
                </c:pt>
                <c:pt idx="60">
                  <c:v>#N/A</c:v>
                </c:pt>
                <c:pt idx="61">
                  <c:v>#N/A</c:v>
                </c:pt>
                <c:pt idx="62">
                  <c:v>#N/A</c:v>
                </c:pt>
                <c:pt idx="63">
                  <c:v>#N/A</c:v>
                </c:pt>
                <c:pt idx="64">
                  <c:v>#N/A</c:v>
                </c:pt>
                <c:pt idx="65">
                  <c:v>#N/A</c:v>
                </c:pt>
                <c:pt idx="66">
                  <c:v>#N/A</c:v>
                </c:pt>
                <c:pt idx="67">
                  <c:v>#N/A</c:v>
                </c:pt>
                <c:pt idx="68">
                  <c:v>#N/A</c:v>
                </c:pt>
                <c:pt idx="69">
                  <c:v>#N/A</c:v>
                </c:pt>
                <c:pt idx="70">
                  <c:v>#N/A</c:v>
                </c:pt>
                <c:pt idx="71">
                  <c:v>#N/A</c:v>
                </c:pt>
                <c:pt idx="72">
                  <c:v>#N/A</c:v>
                </c:pt>
                <c:pt idx="73">
                  <c:v>#N/A</c:v>
                </c:pt>
                <c:pt idx="74">
                  <c:v>#N/A</c:v>
                </c:pt>
                <c:pt idx="75">
                  <c:v>#N/A</c:v>
                </c:pt>
                <c:pt idx="76">
                  <c:v>#N/A</c:v>
                </c:pt>
                <c:pt idx="77">
                  <c:v>#N/A</c:v>
                </c:pt>
                <c:pt idx="78">
                  <c:v>#N/A</c:v>
                </c:pt>
                <c:pt idx="79">
                  <c:v>#N/A</c:v>
                </c:pt>
                <c:pt idx="80">
                  <c:v>#N/A</c:v>
                </c:pt>
                <c:pt idx="81">
                  <c:v>#N/A</c:v>
                </c:pt>
                <c:pt idx="82">
                  <c:v>#N/A</c:v>
                </c:pt>
                <c:pt idx="83">
                  <c:v>#N/A</c:v>
                </c:pt>
                <c:pt idx="84">
                  <c:v>#N/A</c:v>
                </c:pt>
              </c:numCache>
            </c:numRef>
          </c:val>
          <c:smooth val="0"/>
          <c:extLst>
            <c:ext xmlns:c16="http://schemas.microsoft.com/office/drawing/2014/chart" uri="{C3380CC4-5D6E-409C-BE32-E72D297353CC}">
              <c16:uniqueId val="{00000006-FCE1-4EB5-97D1-FF348DE5AF7E}"/>
            </c:ext>
          </c:extLst>
        </c:ser>
        <c:ser>
          <c:idx val="0"/>
          <c:order val="6"/>
          <c:tx>
            <c:strRef>
              <c:f>'4.3.2 Data_Tidsseriefigurer'!$B$148</c:f>
              <c:strCache>
                <c:ptCount val="1"/>
                <c:pt idx="0">
                  <c:v>Lett Lastebil</c:v>
                </c:pt>
              </c:strCache>
            </c:strRef>
          </c:tx>
          <c:spPr>
            <a:ln w="28575" cap="rnd">
              <a:solidFill>
                <a:schemeClr val="accent1"/>
              </a:solidFill>
              <a:round/>
            </a:ln>
            <a:effectLst/>
          </c:spPr>
          <c:marker>
            <c:symbol val="none"/>
          </c:marker>
          <c:cat>
            <c:numRef>
              <c:f>'4.3.2 Data_Tidsseriefigurer'!$M$141:$CS$141</c:f>
              <c:numCache>
                <c:formatCode>General</c:formatCode>
                <c:ptCount val="85"/>
                <c:pt idx="0">
                  <c:v>-10</c:v>
                </c:pt>
                <c:pt idx="1">
                  <c:v>-9</c:v>
                </c:pt>
                <c:pt idx="2">
                  <c:v>-8</c:v>
                </c:pt>
                <c:pt idx="3">
                  <c:v>-7</c:v>
                </c:pt>
                <c:pt idx="4">
                  <c:v>-6</c:v>
                </c:pt>
                <c:pt idx="5">
                  <c:v>-5</c:v>
                </c:pt>
                <c:pt idx="6">
                  <c:v>-4</c:v>
                </c:pt>
                <c:pt idx="7">
                  <c:v>-3</c:v>
                </c:pt>
                <c:pt idx="8">
                  <c:v>-2</c:v>
                </c:pt>
                <c:pt idx="9">
                  <c:v>-1</c:v>
                </c:pt>
                <c:pt idx="10">
                  <c:v>0</c:v>
                </c:pt>
                <c:pt idx="11">
                  <c:v>1</c:v>
                </c:pt>
                <c:pt idx="12">
                  <c:v>2</c:v>
                </c:pt>
                <c:pt idx="13">
                  <c:v>3</c:v>
                </c:pt>
                <c:pt idx="14">
                  <c:v>4</c:v>
                </c:pt>
                <c:pt idx="15">
                  <c:v>5</c:v>
                </c:pt>
                <c:pt idx="16">
                  <c:v>6</c:v>
                </c:pt>
                <c:pt idx="17">
                  <c:v>7</c:v>
                </c:pt>
                <c:pt idx="18">
                  <c:v>8</c:v>
                </c:pt>
                <c:pt idx="19">
                  <c:v>9</c:v>
                </c:pt>
                <c:pt idx="20">
                  <c:v>10</c:v>
                </c:pt>
                <c:pt idx="21">
                  <c:v>11</c:v>
                </c:pt>
                <c:pt idx="22">
                  <c:v>12</c:v>
                </c:pt>
                <c:pt idx="23">
                  <c:v>13</c:v>
                </c:pt>
                <c:pt idx="24">
                  <c:v>14</c:v>
                </c:pt>
                <c:pt idx="25">
                  <c:v>15</c:v>
                </c:pt>
                <c:pt idx="26">
                  <c:v>16</c:v>
                </c:pt>
                <c:pt idx="27">
                  <c:v>17</c:v>
                </c:pt>
                <c:pt idx="28">
                  <c:v>18</c:v>
                </c:pt>
                <c:pt idx="29">
                  <c:v>19</c:v>
                </c:pt>
                <c:pt idx="30">
                  <c:v>20</c:v>
                </c:pt>
                <c:pt idx="31">
                  <c:v>21</c:v>
                </c:pt>
                <c:pt idx="32">
                  <c:v>22</c:v>
                </c:pt>
                <c:pt idx="33">
                  <c:v>23</c:v>
                </c:pt>
                <c:pt idx="34">
                  <c:v>24</c:v>
                </c:pt>
                <c:pt idx="35">
                  <c:v>25</c:v>
                </c:pt>
                <c:pt idx="36">
                  <c:v>26</c:v>
                </c:pt>
                <c:pt idx="37">
                  <c:v>27</c:v>
                </c:pt>
                <c:pt idx="38">
                  <c:v>28</c:v>
                </c:pt>
                <c:pt idx="39">
                  <c:v>29</c:v>
                </c:pt>
                <c:pt idx="40">
                  <c:v>30</c:v>
                </c:pt>
                <c:pt idx="41">
                  <c:v>31</c:v>
                </c:pt>
                <c:pt idx="42">
                  <c:v>32</c:v>
                </c:pt>
                <c:pt idx="43">
                  <c:v>33</c:v>
                </c:pt>
                <c:pt idx="44">
                  <c:v>34</c:v>
                </c:pt>
                <c:pt idx="45">
                  <c:v>35</c:v>
                </c:pt>
                <c:pt idx="46">
                  <c:v>36</c:v>
                </c:pt>
                <c:pt idx="47">
                  <c:v>37</c:v>
                </c:pt>
                <c:pt idx="48">
                  <c:v>38</c:v>
                </c:pt>
                <c:pt idx="49">
                  <c:v>39</c:v>
                </c:pt>
                <c:pt idx="50">
                  <c:v>40</c:v>
                </c:pt>
                <c:pt idx="51">
                  <c:v>41</c:v>
                </c:pt>
                <c:pt idx="52">
                  <c:v>42</c:v>
                </c:pt>
                <c:pt idx="53">
                  <c:v>43</c:v>
                </c:pt>
                <c:pt idx="54">
                  <c:v>44</c:v>
                </c:pt>
                <c:pt idx="55">
                  <c:v>45</c:v>
                </c:pt>
                <c:pt idx="56">
                  <c:v>46</c:v>
                </c:pt>
                <c:pt idx="57">
                  <c:v>47</c:v>
                </c:pt>
                <c:pt idx="58">
                  <c:v>48</c:v>
                </c:pt>
                <c:pt idx="59">
                  <c:v>49</c:v>
                </c:pt>
                <c:pt idx="60">
                  <c:v>50</c:v>
                </c:pt>
                <c:pt idx="61">
                  <c:v>51</c:v>
                </c:pt>
                <c:pt idx="62">
                  <c:v>52</c:v>
                </c:pt>
                <c:pt idx="63">
                  <c:v>53</c:v>
                </c:pt>
                <c:pt idx="64">
                  <c:v>54</c:v>
                </c:pt>
                <c:pt idx="65">
                  <c:v>55</c:v>
                </c:pt>
                <c:pt idx="66">
                  <c:v>56</c:v>
                </c:pt>
                <c:pt idx="67">
                  <c:v>57</c:v>
                </c:pt>
                <c:pt idx="68">
                  <c:v>58</c:v>
                </c:pt>
                <c:pt idx="69">
                  <c:v>59</c:v>
                </c:pt>
                <c:pt idx="70">
                  <c:v>60</c:v>
                </c:pt>
                <c:pt idx="71">
                  <c:v>61</c:v>
                </c:pt>
                <c:pt idx="72">
                  <c:v>62</c:v>
                </c:pt>
                <c:pt idx="73">
                  <c:v>63</c:v>
                </c:pt>
                <c:pt idx="74">
                  <c:v>64</c:v>
                </c:pt>
                <c:pt idx="75">
                  <c:v>65</c:v>
                </c:pt>
                <c:pt idx="76">
                  <c:v>66</c:v>
                </c:pt>
                <c:pt idx="77">
                  <c:v>67</c:v>
                </c:pt>
                <c:pt idx="78">
                  <c:v>68</c:v>
                </c:pt>
                <c:pt idx="79">
                  <c:v>69</c:v>
                </c:pt>
                <c:pt idx="80">
                  <c:v>70</c:v>
                </c:pt>
                <c:pt idx="81">
                  <c:v>71</c:v>
                </c:pt>
                <c:pt idx="82">
                  <c:v>72</c:v>
                </c:pt>
                <c:pt idx="83">
                  <c:v>73</c:v>
                </c:pt>
                <c:pt idx="84">
                  <c:v>74</c:v>
                </c:pt>
              </c:numCache>
            </c:numRef>
          </c:cat>
          <c:val>
            <c:numRef>
              <c:f>'4.3.2 Data_Tidsseriefigurer'!$M$148:$CS$148</c:f>
              <c:numCache>
                <c:formatCode>General</c:formatCode>
                <c:ptCount val="85"/>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pt idx="43">
                  <c:v>#N/A</c:v>
                </c:pt>
                <c:pt idx="44">
                  <c:v>#N/A</c:v>
                </c:pt>
                <c:pt idx="45">
                  <c:v>#N/A</c:v>
                </c:pt>
                <c:pt idx="46">
                  <c:v>#N/A</c:v>
                </c:pt>
                <c:pt idx="47">
                  <c:v>#N/A</c:v>
                </c:pt>
                <c:pt idx="48">
                  <c:v>#N/A</c:v>
                </c:pt>
                <c:pt idx="49">
                  <c:v>#N/A</c:v>
                </c:pt>
                <c:pt idx="50">
                  <c:v>#N/A</c:v>
                </c:pt>
                <c:pt idx="51">
                  <c:v>#N/A</c:v>
                </c:pt>
                <c:pt idx="52">
                  <c:v>#N/A</c:v>
                </c:pt>
                <c:pt idx="53">
                  <c:v>#N/A</c:v>
                </c:pt>
                <c:pt idx="54">
                  <c:v>#N/A</c:v>
                </c:pt>
                <c:pt idx="55">
                  <c:v>#N/A</c:v>
                </c:pt>
                <c:pt idx="56">
                  <c:v>#N/A</c:v>
                </c:pt>
                <c:pt idx="57">
                  <c:v>#N/A</c:v>
                </c:pt>
                <c:pt idx="58">
                  <c:v>#N/A</c:v>
                </c:pt>
                <c:pt idx="59">
                  <c:v>#N/A</c:v>
                </c:pt>
                <c:pt idx="60">
                  <c:v>#N/A</c:v>
                </c:pt>
                <c:pt idx="61">
                  <c:v>#N/A</c:v>
                </c:pt>
                <c:pt idx="62">
                  <c:v>#N/A</c:v>
                </c:pt>
                <c:pt idx="63">
                  <c:v>#N/A</c:v>
                </c:pt>
                <c:pt idx="64">
                  <c:v>#N/A</c:v>
                </c:pt>
                <c:pt idx="65">
                  <c:v>#N/A</c:v>
                </c:pt>
                <c:pt idx="66">
                  <c:v>#N/A</c:v>
                </c:pt>
                <c:pt idx="67">
                  <c:v>#N/A</c:v>
                </c:pt>
                <c:pt idx="68">
                  <c:v>#N/A</c:v>
                </c:pt>
                <c:pt idx="69">
                  <c:v>#N/A</c:v>
                </c:pt>
                <c:pt idx="70">
                  <c:v>#N/A</c:v>
                </c:pt>
                <c:pt idx="71">
                  <c:v>#N/A</c:v>
                </c:pt>
                <c:pt idx="72">
                  <c:v>#N/A</c:v>
                </c:pt>
                <c:pt idx="73">
                  <c:v>#N/A</c:v>
                </c:pt>
                <c:pt idx="74">
                  <c:v>#N/A</c:v>
                </c:pt>
                <c:pt idx="75">
                  <c:v>#N/A</c:v>
                </c:pt>
                <c:pt idx="76">
                  <c:v>#N/A</c:v>
                </c:pt>
                <c:pt idx="77">
                  <c:v>#N/A</c:v>
                </c:pt>
                <c:pt idx="78">
                  <c:v>#N/A</c:v>
                </c:pt>
                <c:pt idx="79">
                  <c:v>#N/A</c:v>
                </c:pt>
                <c:pt idx="80">
                  <c:v>#N/A</c:v>
                </c:pt>
                <c:pt idx="81">
                  <c:v>#N/A</c:v>
                </c:pt>
                <c:pt idx="82">
                  <c:v>#N/A</c:v>
                </c:pt>
                <c:pt idx="83">
                  <c:v>#N/A</c:v>
                </c:pt>
                <c:pt idx="84">
                  <c:v>#N/A</c:v>
                </c:pt>
              </c:numCache>
            </c:numRef>
          </c:val>
          <c:smooth val="0"/>
          <c:extLst>
            <c:ext xmlns:c16="http://schemas.microsoft.com/office/drawing/2014/chart" uri="{C3380CC4-5D6E-409C-BE32-E72D297353CC}">
              <c16:uniqueId val="{00000001-72AC-45A2-9640-F00C0EFA2871}"/>
            </c:ext>
          </c:extLst>
        </c:ser>
        <c:ser>
          <c:idx val="7"/>
          <c:order val="7"/>
          <c:tx>
            <c:strRef>
              <c:f>'4.3.2 Data_Tidsseriefigurer'!$B$149</c:f>
              <c:strCache>
                <c:ptCount val="1"/>
                <c:pt idx="0">
                  <c:v>Skip</c:v>
                </c:pt>
              </c:strCache>
            </c:strRef>
          </c:tx>
          <c:spPr>
            <a:ln w="28575" cap="rnd">
              <a:solidFill>
                <a:schemeClr val="accent2">
                  <a:lumMod val="60000"/>
                </a:schemeClr>
              </a:solidFill>
              <a:round/>
            </a:ln>
            <a:effectLst/>
          </c:spPr>
          <c:marker>
            <c:symbol val="none"/>
          </c:marker>
          <c:cat>
            <c:numRef>
              <c:f>'4.3.2 Data_Tidsseriefigurer'!$M$141:$CS$141</c:f>
              <c:numCache>
                <c:formatCode>General</c:formatCode>
                <c:ptCount val="85"/>
                <c:pt idx="0">
                  <c:v>-10</c:v>
                </c:pt>
                <c:pt idx="1">
                  <c:v>-9</c:v>
                </c:pt>
                <c:pt idx="2">
                  <c:v>-8</c:v>
                </c:pt>
                <c:pt idx="3">
                  <c:v>-7</c:v>
                </c:pt>
                <c:pt idx="4">
                  <c:v>-6</c:v>
                </c:pt>
                <c:pt idx="5">
                  <c:v>-5</c:v>
                </c:pt>
                <c:pt idx="6">
                  <c:v>-4</c:v>
                </c:pt>
                <c:pt idx="7">
                  <c:v>-3</c:v>
                </c:pt>
                <c:pt idx="8">
                  <c:v>-2</c:v>
                </c:pt>
                <c:pt idx="9">
                  <c:v>-1</c:v>
                </c:pt>
                <c:pt idx="10">
                  <c:v>0</c:v>
                </c:pt>
                <c:pt idx="11">
                  <c:v>1</c:v>
                </c:pt>
                <c:pt idx="12">
                  <c:v>2</c:v>
                </c:pt>
                <c:pt idx="13">
                  <c:v>3</c:v>
                </c:pt>
                <c:pt idx="14">
                  <c:v>4</c:v>
                </c:pt>
                <c:pt idx="15">
                  <c:v>5</c:v>
                </c:pt>
                <c:pt idx="16">
                  <c:v>6</c:v>
                </c:pt>
                <c:pt idx="17">
                  <c:v>7</c:v>
                </c:pt>
                <c:pt idx="18">
                  <c:v>8</c:v>
                </c:pt>
                <c:pt idx="19">
                  <c:v>9</c:v>
                </c:pt>
                <c:pt idx="20">
                  <c:v>10</c:v>
                </c:pt>
                <c:pt idx="21">
                  <c:v>11</c:v>
                </c:pt>
                <c:pt idx="22">
                  <c:v>12</c:v>
                </c:pt>
                <c:pt idx="23">
                  <c:v>13</c:v>
                </c:pt>
                <c:pt idx="24">
                  <c:v>14</c:v>
                </c:pt>
                <c:pt idx="25">
                  <c:v>15</c:v>
                </c:pt>
                <c:pt idx="26">
                  <c:v>16</c:v>
                </c:pt>
                <c:pt idx="27">
                  <c:v>17</c:v>
                </c:pt>
                <c:pt idx="28">
                  <c:v>18</c:v>
                </c:pt>
                <c:pt idx="29">
                  <c:v>19</c:v>
                </c:pt>
                <c:pt idx="30">
                  <c:v>20</c:v>
                </c:pt>
                <c:pt idx="31">
                  <c:v>21</c:v>
                </c:pt>
                <c:pt idx="32">
                  <c:v>22</c:v>
                </c:pt>
                <c:pt idx="33">
                  <c:v>23</c:v>
                </c:pt>
                <c:pt idx="34">
                  <c:v>24</c:v>
                </c:pt>
                <c:pt idx="35">
                  <c:v>25</c:v>
                </c:pt>
                <c:pt idx="36">
                  <c:v>26</c:v>
                </c:pt>
                <c:pt idx="37">
                  <c:v>27</c:v>
                </c:pt>
                <c:pt idx="38">
                  <c:v>28</c:v>
                </c:pt>
                <c:pt idx="39">
                  <c:v>29</c:v>
                </c:pt>
                <c:pt idx="40">
                  <c:v>30</c:v>
                </c:pt>
                <c:pt idx="41">
                  <c:v>31</c:v>
                </c:pt>
                <c:pt idx="42">
                  <c:v>32</c:v>
                </c:pt>
                <c:pt idx="43">
                  <c:v>33</c:v>
                </c:pt>
                <c:pt idx="44">
                  <c:v>34</c:v>
                </c:pt>
                <c:pt idx="45">
                  <c:v>35</c:v>
                </c:pt>
                <c:pt idx="46">
                  <c:v>36</c:v>
                </c:pt>
                <c:pt idx="47">
                  <c:v>37</c:v>
                </c:pt>
                <c:pt idx="48">
                  <c:v>38</c:v>
                </c:pt>
                <c:pt idx="49">
                  <c:v>39</c:v>
                </c:pt>
                <c:pt idx="50">
                  <c:v>40</c:v>
                </c:pt>
                <c:pt idx="51">
                  <c:v>41</c:v>
                </c:pt>
                <c:pt idx="52">
                  <c:v>42</c:v>
                </c:pt>
                <c:pt idx="53">
                  <c:v>43</c:v>
                </c:pt>
                <c:pt idx="54">
                  <c:v>44</c:v>
                </c:pt>
                <c:pt idx="55">
                  <c:v>45</c:v>
                </c:pt>
                <c:pt idx="56">
                  <c:v>46</c:v>
                </c:pt>
                <c:pt idx="57">
                  <c:v>47</c:v>
                </c:pt>
                <c:pt idx="58">
                  <c:v>48</c:v>
                </c:pt>
                <c:pt idx="59">
                  <c:v>49</c:v>
                </c:pt>
                <c:pt idx="60">
                  <c:v>50</c:v>
                </c:pt>
                <c:pt idx="61">
                  <c:v>51</c:v>
                </c:pt>
                <c:pt idx="62">
                  <c:v>52</c:v>
                </c:pt>
                <c:pt idx="63">
                  <c:v>53</c:v>
                </c:pt>
                <c:pt idx="64">
                  <c:v>54</c:v>
                </c:pt>
                <c:pt idx="65">
                  <c:v>55</c:v>
                </c:pt>
                <c:pt idx="66">
                  <c:v>56</c:v>
                </c:pt>
                <c:pt idx="67">
                  <c:v>57</c:v>
                </c:pt>
                <c:pt idx="68">
                  <c:v>58</c:v>
                </c:pt>
                <c:pt idx="69">
                  <c:v>59</c:v>
                </c:pt>
                <c:pt idx="70">
                  <c:v>60</c:v>
                </c:pt>
                <c:pt idx="71">
                  <c:v>61</c:v>
                </c:pt>
                <c:pt idx="72">
                  <c:v>62</c:v>
                </c:pt>
                <c:pt idx="73">
                  <c:v>63</c:v>
                </c:pt>
                <c:pt idx="74">
                  <c:v>64</c:v>
                </c:pt>
                <c:pt idx="75">
                  <c:v>65</c:v>
                </c:pt>
                <c:pt idx="76">
                  <c:v>66</c:v>
                </c:pt>
                <c:pt idx="77">
                  <c:v>67</c:v>
                </c:pt>
                <c:pt idx="78">
                  <c:v>68</c:v>
                </c:pt>
                <c:pt idx="79">
                  <c:v>69</c:v>
                </c:pt>
                <c:pt idx="80">
                  <c:v>70</c:v>
                </c:pt>
                <c:pt idx="81">
                  <c:v>71</c:v>
                </c:pt>
                <c:pt idx="82">
                  <c:v>72</c:v>
                </c:pt>
                <c:pt idx="83">
                  <c:v>73</c:v>
                </c:pt>
                <c:pt idx="84">
                  <c:v>74</c:v>
                </c:pt>
              </c:numCache>
            </c:numRef>
          </c:cat>
          <c:val>
            <c:numRef>
              <c:f>'4.3.2 Data_Tidsseriefigurer'!$M$149:$CS$149</c:f>
              <c:numCache>
                <c:formatCode>General</c:formatCode>
                <c:ptCount val="85"/>
                <c:pt idx="9">
                  <c:v>0</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pt idx="43">
                  <c:v>#N/A</c:v>
                </c:pt>
                <c:pt idx="44">
                  <c:v>#N/A</c:v>
                </c:pt>
                <c:pt idx="45">
                  <c:v>#N/A</c:v>
                </c:pt>
                <c:pt idx="46">
                  <c:v>#N/A</c:v>
                </c:pt>
                <c:pt idx="47">
                  <c:v>#N/A</c:v>
                </c:pt>
                <c:pt idx="48">
                  <c:v>#N/A</c:v>
                </c:pt>
                <c:pt idx="49">
                  <c:v>#N/A</c:v>
                </c:pt>
                <c:pt idx="50">
                  <c:v>#N/A</c:v>
                </c:pt>
                <c:pt idx="51">
                  <c:v>#N/A</c:v>
                </c:pt>
                <c:pt idx="52">
                  <c:v>#N/A</c:v>
                </c:pt>
                <c:pt idx="53">
                  <c:v>#N/A</c:v>
                </c:pt>
                <c:pt idx="54">
                  <c:v>#N/A</c:v>
                </c:pt>
                <c:pt idx="55">
                  <c:v>#N/A</c:v>
                </c:pt>
                <c:pt idx="56">
                  <c:v>#N/A</c:v>
                </c:pt>
                <c:pt idx="57">
                  <c:v>#N/A</c:v>
                </c:pt>
                <c:pt idx="58">
                  <c:v>#N/A</c:v>
                </c:pt>
                <c:pt idx="59">
                  <c:v>#N/A</c:v>
                </c:pt>
                <c:pt idx="60">
                  <c:v>#N/A</c:v>
                </c:pt>
                <c:pt idx="61">
                  <c:v>#N/A</c:v>
                </c:pt>
                <c:pt idx="62">
                  <c:v>#N/A</c:v>
                </c:pt>
                <c:pt idx="63">
                  <c:v>#N/A</c:v>
                </c:pt>
                <c:pt idx="64">
                  <c:v>#N/A</c:v>
                </c:pt>
                <c:pt idx="65">
                  <c:v>#N/A</c:v>
                </c:pt>
                <c:pt idx="66">
                  <c:v>#N/A</c:v>
                </c:pt>
                <c:pt idx="67">
                  <c:v>#N/A</c:v>
                </c:pt>
                <c:pt idx="68">
                  <c:v>#N/A</c:v>
                </c:pt>
                <c:pt idx="69">
                  <c:v>#N/A</c:v>
                </c:pt>
                <c:pt idx="70">
                  <c:v>#N/A</c:v>
                </c:pt>
                <c:pt idx="71">
                  <c:v>#N/A</c:v>
                </c:pt>
                <c:pt idx="72">
                  <c:v>#N/A</c:v>
                </c:pt>
                <c:pt idx="73">
                  <c:v>#N/A</c:v>
                </c:pt>
                <c:pt idx="74">
                  <c:v>#N/A</c:v>
                </c:pt>
                <c:pt idx="75">
                  <c:v>#N/A</c:v>
                </c:pt>
                <c:pt idx="76">
                  <c:v>#N/A</c:v>
                </c:pt>
                <c:pt idx="77">
                  <c:v>#N/A</c:v>
                </c:pt>
                <c:pt idx="78">
                  <c:v>#N/A</c:v>
                </c:pt>
                <c:pt idx="79">
                  <c:v>#N/A</c:v>
                </c:pt>
                <c:pt idx="80">
                  <c:v>#N/A</c:v>
                </c:pt>
                <c:pt idx="81">
                  <c:v>#N/A</c:v>
                </c:pt>
                <c:pt idx="82">
                  <c:v>#N/A</c:v>
                </c:pt>
                <c:pt idx="83">
                  <c:v>#N/A</c:v>
                </c:pt>
                <c:pt idx="84">
                  <c:v>#N/A</c:v>
                </c:pt>
              </c:numCache>
            </c:numRef>
          </c:val>
          <c:smooth val="0"/>
          <c:extLst>
            <c:ext xmlns:c16="http://schemas.microsoft.com/office/drawing/2014/chart" uri="{C3380CC4-5D6E-409C-BE32-E72D297353CC}">
              <c16:uniqueId val="{00000007-FCE1-4EB5-97D1-FF348DE5AF7E}"/>
            </c:ext>
          </c:extLst>
        </c:ser>
        <c:ser>
          <c:idx val="10"/>
          <c:order val="8"/>
          <c:tx>
            <c:strRef>
              <c:f>'4.3.2 Data_Tidsseriefigurer'!$B$150</c:f>
              <c:strCache>
                <c:ptCount val="1"/>
                <c:pt idx="0">
                  <c:v>Godsfly</c:v>
                </c:pt>
              </c:strCache>
            </c:strRef>
          </c:tx>
          <c:spPr>
            <a:ln w="28575" cap="rnd">
              <a:solidFill>
                <a:schemeClr val="accent5">
                  <a:lumMod val="60000"/>
                </a:schemeClr>
              </a:solidFill>
              <a:round/>
            </a:ln>
            <a:effectLst/>
          </c:spPr>
          <c:marker>
            <c:symbol val="none"/>
          </c:marker>
          <c:cat>
            <c:numRef>
              <c:f>'4.3.2 Data_Tidsseriefigurer'!$M$141:$CS$141</c:f>
              <c:numCache>
                <c:formatCode>General</c:formatCode>
                <c:ptCount val="85"/>
                <c:pt idx="0">
                  <c:v>-10</c:v>
                </c:pt>
                <c:pt idx="1">
                  <c:v>-9</c:v>
                </c:pt>
                <c:pt idx="2">
                  <c:v>-8</c:v>
                </c:pt>
                <c:pt idx="3">
                  <c:v>-7</c:v>
                </c:pt>
                <c:pt idx="4">
                  <c:v>-6</c:v>
                </c:pt>
                <c:pt idx="5">
                  <c:v>-5</c:v>
                </c:pt>
                <c:pt idx="6">
                  <c:v>-4</c:v>
                </c:pt>
                <c:pt idx="7">
                  <c:v>-3</c:v>
                </c:pt>
                <c:pt idx="8">
                  <c:v>-2</c:v>
                </c:pt>
                <c:pt idx="9">
                  <c:v>-1</c:v>
                </c:pt>
                <c:pt idx="10">
                  <c:v>0</c:v>
                </c:pt>
                <c:pt idx="11">
                  <c:v>1</c:v>
                </c:pt>
                <c:pt idx="12">
                  <c:v>2</c:v>
                </c:pt>
                <c:pt idx="13">
                  <c:v>3</c:v>
                </c:pt>
                <c:pt idx="14">
                  <c:v>4</c:v>
                </c:pt>
                <c:pt idx="15">
                  <c:v>5</c:v>
                </c:pt>
                <c:pt idx="16">
                  <c:v>6</c:v>
                </c:pt>
                <c:pt idx="17">
                  <c:v>7</c:v>
                </c:pt>
                <c:pt idx="18">
                  <c:v>8</c:v>
                </c:pt>
                <c:pt idx="19">
                  <c:v>9</c:v>
                </c:pt>
                <c:pt idx="20">
                  <c:v>10</c:v>
                </c:pt>
                <c:pt idx="21">
                  <c:v>11</c:v>
                </c:pt>
                <c:pt idx="22">
                  <c:v>12</c:v>
                </c:pt>
                <c:pt idx="23">
                  <c:v>13</c:v>
                </c:pt>
                <c:pt idx="24">
                  <c:v>14</c:v>
                </c:pt>
                <c:pt idx="25">
                  <c:v>15</c:v>
                </c:pt>
                <c:pt idx="26">
                  <c:v>16</c:v>
                </c:pt>
                <c:pt idx="27">
                  <c:v>17</c:v>
                </c:pt>
                <c:pt idx="28">
                  <c:v>18</c:v>
                </c:pt>
                <c:pt idx="29">
                  <c:v>19</c:v>
                </c:pt>
                <c:pt idx="30">
                  <c:v>20</c:v>
                </c:pt>
                <c:pt idx="31">
                  <c:v>21</c:v>
                </c:pt>
                <c:pt idx="32">
                  <c:v>22</c:v>
                </c:pt>
                <c:pt idx="33">
                  <c:v>23</c:v>
                </c:pt>
                <c:pt idx="34">
                  <c:v>24</c:v>
                </c:pt>
                <c:pt idx="35">
                  <c:v>25</c:v>
                </c:pt>
                <c:pt idx="36">
                  <c:v>26</c:v>
                </c:pt>
                <c:pt idx="37">
                  <c:v>27</c:v>
                </c:pt>
                <c:pt idx="38">
                  <c:v>28</c:v>
                </c:pt>
                <c:pt idx="39">
                  <c:v>29</c:v>
                </c:pt>
                <c:pt idx="40">
                  <c:v>30</c:v>
                </c:pt>
                <c:pt idx="41">
                  <c:v>31</c:v>
                </c:pt>
                <c:pt idx="42">
                  <c:v>32</c:v>
                </c:pt>
                <c:pt idx="43">
                  <c:v>33</c:v>
                </c:pt>
                <c:pt idx="44">
                  <c:v>34</c:v>
                </c:pt>
                <c:pt idx="45">
                  <c:v>35</c:v>
                </c:pt>
                <c:pt idx="46">
                  <c:v>36</c:v>
                </c:pt>
                <c:pt idx="47">
                  <c:v>37</c:v>
                </c:pt>
                <c:pt idx="48">
                  <c:v>38</c:v>
                </c:pt>
                <c:pt idx="49">
                  <c:v>39</c:v>
                </c:pt>
                <c:pt idx="50">
                  <c:v>40</c:v>
                </c:pt>
                <c:pt idx="51">
                  <c:v>41</c:v>
                </c:pt>
                <c:pt idx="52">
                  <c:v>42</c:v>
                </c:pt>
                <c:pt idx="53">
                  <c:v>43</c:v>
                </c:pt>
                <c:pt idx="54">
                  <c:v>44</c:v>
                </c:pt>
                <c:pt idx="55">
                  <c:v>45</c:v>
                </c:pt>
                <c:pt idx="56">
                  <c:v>46</c:v>
                </c:pt>
                <c:pt idx="57">
                  <c:v>47</c:v>
                </c:pt>
                <c:pt idx="58">
                  <c:v>48</c:v>
                </c:pt>
                <c:pt idx="59">
                  <c:v>49</c:v>
                </c:pt>
                <c:pt idx="60">
                  <c:v>50</c:v>
                </c:pt>
                <c:pt idx="61">
                  <c:v>51</c:v>
                </c:pt>
                <c:pt idx="62">
                  <c:v>52</c:v>
                </c:pt>
                <c:pt idx="63">
                  <c:v>53</c:v>
                </c:pt>
                <c:pt idx="64">
                  <c:v>54</c:v>
                </c:pt>
                <c:pt idx="65">
                  <c:v>55</c:v>
                </c:pt>
                <c:pt idx="66">
                  <c:v>56</c:v>
                </c:pt>
                <c:pt idx="67">
                  <c:v>57</c:v>
                </c:pt>
                <c:pt idx="68">
                  <c:v>58</c:v>
                </c:pt>
                <c:pt idx="69">
                  <c:v>59</c:v>
                </c:pt>
                <c:pt idx="70">
                  <c:v>60</c:v>
                </c:pt>
                <c:pt idx="71">
                  <c:v>61</c:v>
                </c:pt>
                <c:pt idx="72">
                  <c:v>62</c:v>
                </c:pt>
                <c:pt idx="73">
                  <c:v>63</c:v>
                </c:pt>
                <c:pt idx="74">
                  <c:v>64</c:v>
                </c:pt>
                <c:pt idx="75">
                  <c:v>65</c:v>
                </c:pt>
                <c:pt idx="76">
                  <c:v>66</c:v>
                </c:pt>
                <c:pt idx="77">
                  <c:v>67</c:v>
                </c:pt>
                <c:pt idx="78">
                  <c:v>68</c:v>
                </c:pt>
                <c:pt idx="79">
                  <c:v>69</c:v>
                </c:pt>
                <c:pt idx="80">
                  <c:v>70</c:v>
                </c:pt>
                <c:pt idx="81">
                  <c:v>71</c:v>
                </c:pt>
                <c:pt idx="82">
                  <c:v>72</c:v>
                </c:pt>
                <c:pt idx="83">
                  <c:v>73</c:v>
                </c:pt>
                <c:pt idx="84">
                  <c:v>74</c:v>
                </c:pt>
              </c:numCache>
            </c:numRef>
          </c:cat>
          <c:val>
            <c:numRef>
              <c:f>'4.3.2 Data_Tidsseriefigurer'!$M$150:$CS$150</c:f>
              <c:numCache>
                <c:formatCode>General</c:formatCode>
                <c:ptCount val="85"/>
                <c:pt idx="9">
                  <c:v>0</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pt idx="43">
                  <c:v>#N/A</c:v>
                </c:pt>
                <c:pt idx="44">
                  <c:v>#N/A</c:v>
                </c:pt>
                <c:pt idx="45">
                  <c:v>#N/A</c:v>
                </c:pt>
                <c:pt idx="46">
                  <c:v>#N/A</c:v>
                </c:pt>
                <c:pt idx="47">
                  <c:v>#N/A</c:v>
                </c:pt>
                <c:pt idx="48">
                  <c:v>#N/A</c:v>
                </c:pt>
                <c:pt idx="49">
                  <c:v>#N/A</c:v>
                </c:pt>
                <c:pt idx="50">
                  <c:v>#N/A</c:v>
                </c:pt>
                <c:pt idx="51">
                  <c:v>#N/A</c:v>
                </c:pt>
                <c:pt idx="52">
                  <c:v>#N/A</c:v>
                </c:pt>
                <c:pt idx="53">
                  <c:v>#N/A</c:v>
                </c:pt>
                <c:pt idx="54">
                  <c:v>#N/A</c:v>
                </c:pt>
                <c:pt idx="55">
                  <c:v>#N/A</c:v>
                </c:pt>
                <c:pt idx="56">
                  <c:v>#N/A</c:v>
                </c:pt>
                <c:pt idx="57">
                  <c:v>#N/A</c:v>
                </c:pt>
                <c:pt idx="58">
                  <c:v>#N/A</c:v>
                </c:pt>
                <c:pt idx="59">
                  <c:v>#N/A</c:v>
                </c:pt>
                <c:pt idx="60">
                  <c:v>#N/A</c:v>
                </c:pt>
                <c:pt idx="61">
                  <c:v>#N/A</c:v>
                </c:pt>
                <c:pt idx="62">
                  <c:v>#N/A</c:v>
                </c:pt>
                <c:pt idx="63">
                  <c:v>#N/A</c:v>
                </c:pt>
                <c:pt idx="64">
                  <c:v>#N/A</c:v>
                </c:pt>
                <c:pt idx="65">
                  <c:v>#N/A</c:v>
                </c:pt>
                <c:pt idx="66">
                  <c:v>#N/A</c:v>
                </c:pt>
                <c:pt idx="67">
                  <c:v>#N/A</c:v>
                </c:pt>
                <c:pt idx="68">
                  <c:v>#N/A</c:v>
                </c:pt>
                <c:pt idx="69">
                  <c:v>#N/A</c:v>
                </c:pt>
                <c:pt idx="70">
                  <c:v>#N/A</c:v>
                </c:pt>
                <c:pt idx="71">
                  <c:v>#N/A</c:v>
                </c:pt>
                <c:pt idx="72">
                  <c:v>#N/A</c:v>
                </c:pt>
                <c:pt idx="73">
                  <c:v>#N/A</c:v>
                </c:pt>
                <c:pt idx="74">
                  <c:v>#N/A</c:v>
                </c:pt>
                <c:pt idx="75">
                  <c:v>#N/A</c:v>
                </c:pt>
                <c:pt idx="76">
                  <c:v>#N/A</c:v>
                </c:pt>
                <c:pt idx="77">
                  <c:v>#N/A</c:v>
                </c:pt>
                <c:pt idx="78">
                  <c:v>#N/A</c:v>
                </c:pt>
                <c:pt idx="79">
                  <c:v>#N/A</c:v>
                </c:pt>
                <c:pt idx="80">
                  <c:v>#N/A</c:v>
                </c:pt>
                <c:pt idx="81">
                  <c:v>#N/A</c:v>
                </c:pt>
                <c:pt idx="82">
                  <c:v>#N/A</c:v>
                </c:pt>
                <c:pt idx="83">
                  <c:v>#N/A</c:v>
                </c:pt>
                <c:pt idx="84">
                  <c:v>#N/A</c:v>
                </c:pt>
              </c:numCache>
            </c:numRef>
          </c:val>
          <c:smooth val="0"/>
          <c:extLst>
            <c:ext xmlns:c16="http://schemas.microsoft.com/office/drawing/2014/chart" uri="{C3380CC4-5D6E-409C-BE32-E72D297353CC}">
              <c16:uniqueId val="{00000002-72AC-45A2-9640-F00C0EFA2871}"/>
            </c:ext>
          </c:extLst>
        </c:ser>
        <c:ser>
          <c:idx val="11"/>
          <c:order val="9"/>
          <c:tx>
            <c:strRef>
              <c:f>'4.3.2 Data_Tidsseriefigurer'!$B$151</c:f>
              <c:strCache>
                <c:ptCount val="1"/>
                <c:pt idx="0">
                  <c:v>Utslipp i byggefasen</c:v>
                </c:pt>
              </c:strCache>
            </c:strRef>
          </c:tx>
          <c:spPr>
            <a:ln w="28575" cap="rnd">
              <a:solidFill>
                <a:schemeClr val="accent6">
                  <a:lumMod val="60000"/>
                </a:schemeClr>
              </a:solidFill>
              <a:round/>
            </a:ln>
            <a:effectLst/>
          </c:spPr>
          <c:marker>
            <c:symbol val="circle"/>
            <c:size val="5"/>
            <c:spPr>
              <a:solidFill>
                <a:schemeClr val="accent6">
                  <a:lumMod val="60000"/>
                </a:schemeClr>
              </a:solidFill>
              <a:ln w="9525">
                <a:solidFill>
                  <a:schemeClr val="accent6">
                    <a:lumMod val="60000"/>
                  </a:schemeClr>
                </a:solidFill>
              </a:ln>
              <a:effectLst/>
            </c:spPr>
          </c:marker>
          <c:cat>
            <c:numRef>
              <c:f>'4.3.2 Data_Tidsseriefigurer'!$M$141:$CS$141</c:f>
              <c:numCache>
                <c:formatCode>General</c:formatCode>
                <c:ptCount val="85"/>
                <c:pt idx="0">
                  <c:v>-10</c:v>
                </c:pt>
                <c:pt idx="1">
                  <c:v>-9</c:v>
                </c:pt>
                <c:pt idx="2">
                  <c:v>-8</c:v>
                </c:pt>
                <c:pt idx="3">
                  <c:v>-7</c:v>
                </c:pt>
                <c:pt idx="4">
                  <c:v>-6</c:v>
                </c:pt>
                <c:pt idx="5">
                  <c:v>-5</c:v>
                </c:pt>
                <c:pt idx="6">
                  <c:v>-4</c:v>
                </c:pt>
                <c:pt idx="7">
                  <c:v>-3</c:v>
                </c:pt>
                <c:pt idx="8">
                  <c:v>-2</c:v>
                </c:pt>
                <c:pt idx="9">
                  <c:v>-1</c:v>
                </c:pt>
                <c:pt idx="10">
                  <c:v>0</c:v>
                </c:pt>
                <c:pt idx="11">
                  <c:v>1</c:v>
                </c:pt>
                <c:pt idx="12">
                  <c:v>2</c:v>
                </c:pt>
                <c:pt idx="13">
                  <c:v>3</c:v>
                </c:pt>
                <c:pt idx="14">
                  <c:v>4</c:v>
                </c:pt>
                <c:pt idx="15">
                  <c:v>5</c:v>
                </c:pt>
                <c:pt idx="16">
                  <c:v>6</c:v>
                </c:pt>
                <c:pt idx="17">
                  <c:v>7</c:v>
                </c:pt>
                <c:pt idx="18">
                  <c:v>8</c:v>
                </c:pt>
                <c:pt idx="19">
                  <c:v>9</c:v>
                </c:pt>
                <c:pt idx="20">
                  <c:v>10</c:v>
                </c:pt>
                <c:pt idx="21">
                  <c:v>11</c:v>
                </c:pt>
                <c:pt idx="22">
                  <c:v>12</c:v>
                </c:pt>
                <c:pt idx="23">
                  <c:v>13</c:v>
                </c:pt>
                <c:pt idx="24">
                  <c:v>14</c:v>
                </c:pt>
                <c:pt idx="25">
                  <c:v>15</c:v>
                </c:pt>
                <c:pt idx="26">
                  <c:v>16</c:v>
                </c:pt>
                <c:pt idx="27">
                  <c:v>17</c:v>
                </c:pt>
                <c:pt idx="28">
                  <c:v>18</c:v>
                </c:pt>
                <c:pt idx="29">
                  <c:v>19</c:v>
                </c:pt>
                <c:pt idx="30">
                  <c:v>20</c:v>
                </c:pt>
                <c:pt idx="31">
                  <c:v>21</c:v>
                </c:pt>
                <c:pt idx="32">
                  <c:v>22</c:v>
                </c:pt>
                <c:pt idx="33">
                  <c:v>23</c:v>
                </c:pt>
                <c:pt idx="34">
                  <c:v>24</c:v>
                </c:pt>
                <c:pt idx="35">
                  <c:v>25</c:v>
                </c:pt>
                <c:pt idx="36">
                  <c:v>26</c:v>
                </c:pt>
                <c:pt idx="37">
                  <c:v>27</c:v>
                </c:pt>
                <c:pt idx="38">
                  <c:v>28</c:v>
                </c:pt>
                <c:pt idx="39">
                  <c:v>29</c:v>
                </c:pt>
                <c:pt idx="40">
                  <c:v>30</c:v>
                </c:pt>
                <c:pt idx="41">
                  <c:v>31</c:v>
                </c:pt>
                <c:pt idx="42">
                  <c:v>32</c:v>
                </c:pt>
                <c:pt idx="43">
                  <c:v>33</c:v>
                </c:pt>
                <c:pt idx="44">
                  <c:v>34</c:v>
                </c:pt>
                <c:pt idx="45">
                  <c:v>35</c:v>
                </c:pt>
                <c:pt idx="46">
                  <c:v>36</c:v>
                </c:pt>
                <c:pt idx="47">
                  <c:v>37</c:v>
                </c:pt>
                <c:pt idx="48">
                  <c:v>38</c:v>
                </c:pt>
                <c:pt idx="49">
                  <c:v>39</c:v>
                </c:pt>
                <c:pt idx="50">
                  <c:v>40</c:v>
                </c:pt>
                <c:pt idx="51">
                  <c:v>41</c:v>
                </c:pt>
                <c:pt idx="52">
                  <c:v>42</c:v>
                </c:pt>
                <c:pt idx="53">
                  <c:v>43</c:v>
                </c:pt>
                <c:pt idx="54">
                  <c:v>44</c:v>
                </c:pt>
                <c:pt idx="55">
                  <c:v>45</c:v>
                </c:pt>
                <c:pt idx="56">
                  <c:v>46</c:v>
                </c:pt>
                <c:pt idx="57">
                  <c:v>47</c:v>
                </c:pt>
                <c:pt idx="58">
                  <c:v>48</c:v>
                </c:pt>
                <c:pt idx="59">
                  <c:v>49</c:v>
                </c:pt>
                <c:pt idx="60">
                  <c:v>50</c:v>
                </c:pt>
                <c:pt idx="61">
                  <c:v>51</c:v>
                </c:pt>
                <c:pt idx="62">
                  <c:v>52</c:v>
                </c:pt>
                <c:pt idx="63">
                  <c:v>53</c:v>
                </c:pt>
                <c:pt idx="64">
                  <c:v>54</c:v>
                </c:pt>
                <c:pt idx="65">
                  <c:v>55</c:v>
                </c:pt>
                <c:pt idx="66">
                  <c:v>56</c:v>
                </c:pt>
                <c:pt idx="67">
                  <c:v>57</c:v>
                </c:pt>
                <c:pt idx="68">
                  <c:v>58</c:v>
                </c:pt>
                <c:pt idx="69">
                  <c:v>59</c:v>
                </c:pt>
                <c:pt idx="70">
                  <c:v>60</c:v>
                </c:pt>
                <c:pt idx="71">
                  <c:v>61</c:v>
                </c:pt>
                <c:pt idx="72">
                  <c:v>62</c:v>
                </c:pt>
                <c:pt idx="73">
                  <c:v>63</c:v>
                </c:pt>
                <c:pt idx="74">
                  <c:v>64</c:v>
                </c:pt>
                <c:pt idx="75">
                  <c:v>65</c:v>
                </c:pt>
                <c:pt idx="76">
                  <c:v>66</c:v>
                </c:pt>
                <c:pt idx="77">
                  <c:v>67</c:v>
                </c:pt>
                <c:pt idx="78">
                  <c:v>68</c:v>
                </c:pt>
                <c:pt idx="79">
                  <c:v>69</c:v>
                </c:pt>
                <c:pt idx="80">
                  <c:v>70</c:v>
                </c:pt>
                <c:pt idx="81">
                  <c:v>71</c:v>
                </c:pt>
                <c:pt idx="82">
                  <c:v>72</c:v>
                </c:pt>
                <c:pt idx="83">
                  <c:v>73</c:v>
                </c:pt>
                <c:pt idx="84">
                  <c:v>74</c:v>
                </c:pt>
              </c:numCache>
            </c:numRef>
          </c:cat>
          <c:val>
            <c:numRef>
              <c:f>'4.3.2 Data_Tidsseriefigurer'!$M$151:$CS$151</c:f>
              <c:numCache>
                <c:formatCode>General</c:formatCode>
                <c:ptCount val="85"/>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pt idx="43">
                  <c:v>#N/A</c:v>
                </c:pt>
                <c:pt idx="44">
                  <c:v>#N/A</c:v>
                </c:pt>
                <c:pt idx="45">
                  <c:v>#N/A</c:v>
                </c:pt>
                <c:pt idx="46">
                  <c:v>#N/A</c:v>
                </c:pt>
                <c:pt idx="47">
                  <c:v>#N/A</c:v>
                </c:pt>
                <c:pt idx="48">
                  <c:v>#N/A</c:v>
                </c:pt>
                <c:pt idx="49">
                  <c:v>#N/A</c:v>
                </c:pt>
                <c:pt idx="50">
                  <c:v>#N/A</c:v>
                </c:pt>
                <c:pt idx="51">
                  <c:v>#N/A</c:v>
                </c:pt>
                <c:pt idx="52">
                  <c:v>#N/A</c:v>
                </c:pt>
                <c:pt idx="53">
                  <c:v>#N/A</c:v>
                </c:pt>
                <c:pt idx="54">
                  <c:v>#N/A</c:v>
                </c:pt>
                <c:pt idx="55">
                  <c:v>#N/A</c:v>
                </c:pt>
                <c:pt idx="56">
                  <c:v>#N/A</c:v>
                </c:pt>
                <c:pt idx="57">
                  <c:v>#N/A</c:v>
                </c:pt>
                <c:pt idx="58">
                  <c:v>#N/A</c:v>
                </c:pt>
                <c:pt idx="59">
                  <c:v>#N/A</c:v>
                </c:pt>
                <c:pt idx="60">
                  <c:v>#N/A</c:v>
                </c:pt>
                <c:pt idx="61">
                  <c:v>#N/A</c:v>
                </c:pt>
                <c:pt idx="62">
                  <c:v>#N/A</c:v>
                </c:pt>
                <c:pt idx="63">
                  <c:v>#N/A</c:v>
                </c:pt>
                <c:pt idx="64">
                  <c:v>#N/A</c:v>
                </c:pt>
                <c:pt idx="65">
                  <c:v>#N/A</c:v>
                </c:pt>
                <c:pt idx="66">
                  <c:v>#N/A</c:v>
                </c:pt>
                <c:pt idx="67">
                  <c:v>#N/A</c:v>
                </c:pt>
                <c:pt idx="68">
                  <c:v>#N/A</c:v>
                </c:pt>
                <c:pt idx="69">
                  <c:v>#N/A</c:v>
                </c:pt>
                <c:pt idx="70">
                  <c:v>#N/A</c:v>
                </c:pt>
                <c:pt idx="71">
                  <c:v>#N/A</c:v>
                </c:pt>
                <c:pt idx="72">
                  <c:v>#N/A</c:v>
                </c:pt>
                <c:pt idx="73">
                  <c:v>#N/A</c:v>
                </c:pt>
                <c:pt idx="74">
                  <c:v>#N/A</c:v>
                </c:pt>
                <c:pt idx="75">
                  <c:v>#N/A</c:v>
                </c:pt>
                <c:pt idx="76">
                  <c:v>#N/A</c:v>
                </c:pt>
                <c:pt idx="77">
                  <c:v>#N/A</c:v>
                </c:pt>
                <c:pt idx="78">
                  <c:v>#N/A</c:v>
                </c:pt>
                <c:pt idx="79">
                  <c:v>#N/A</c:v>
                </c:pt>
                <c:pt idx="80">
                  <c:v>#N/A</c:v>
                </c:pt>
                <c:pt idx="81">
                  <c:v>#N/A</c:v>
                </c:pt>
                <c:pt idx="82">
                  <c:v>#N/A</c:v>
                </c:pt>
                <c:pt idx="83">
                  <c:v>#N/A</c:v>
                </c:pt>
                <c:pt idx="84">
                  <c:v>#N/A</c:v>
                </c:pt>
              </c:numCache>
            </c:numRef>
          </c:val>
          <c:smooth val="0"/>
          <c:extLst>
            <c:ext xmlns:c16="http://schemas.microsoft.com/office/drawing/2014/chart" uri="{C3380CC4-5D6E-409C-BE32-E72D297353CC}">
              <c16:uniqueId val="{00000003-72AC-45A2-9640-F00C0EFA2871}"/>
            </c:ext>
          </c:extLst>
        </c:ser>
        <c:ser>
          <c:idx val="13"/>
          <c:order val="10"/>
          <c:tx>
            <c:strRef>
              <c:f>'4.3.2 Data_Tidsseriefigurer'!$B$152</c:f>
              <c:strCache>
                <c:ptCount val="1"/>
                <c:pt idx="0">
                  <c:v>Utslipp arealbeslag</c:v>
                </c:pt>
              </c:strCache>
            </c:strRef>
          </c:tx>
          <c:spPr>
            <a:ln w="28575" cap="rnd">
              <a:solidFill>
                <a:schemeClr val="accent2">
                  <a:lumMod val="80000"/>
                  <a:lumOff val="20000"/>
                </a:schemeClr>
              </a:solidFill>
              <a:round/>
            </a:ln>
            <a:effectLst/>
          </c:spPr>
          <c:marker>
            <c:symbol val="none"/>
          </c:marker>
          <c:cat>
            <c:numRef>
              <c:f>'4.3.2 Data_Tidsseriefigurer'!$M$141:$CS$141</c:f>
              <c:numCache>
                <c:formatCode>General</c:formatCode>
                <c:ptCount val="85"/>
                <c:pt idx="0">
                  <c:v>-10</c:v>
                </c:pt>
                <c:pt idx="1">
                  <c:v>-9</c:v>
                </c:pt>
                <c:pt idx="2">
                  <c:v>-8</c:v>
                </c:pt>
                <c:pt idx="3">
                  <c:v>-7</c:v>
                </c:pt>
                <c:pt idx="4">
                  <c:v>-6</c:v>
                </c:pt>
                <c:pt idx="5">
                  <c:v>-5</c:v>
                </c:pt>
                <c:pt idx="6">
                  <c:v>-4</c:v>
                </c:pt>
                <c:pt idx="7">
                  <c:v>-3</c:v>
                </c:pt>
                <c:pt idx="8">
                  <c:v>-2</c:v>
                </c:pt>
                <c:pt idx="9">
                  <c:v>-1</c:v>
                </c:pt>
                <c:pt idx="10">
                  <c:v>0</c:v>
                </c:pt>
                <c:pt idx="11">
                  <c:v>1</c:v>
                </c:pt>
                <c:pt idx="12">
                  <c:v>2</c:v>
                </c:pt>
                <c:pt idx="13">
                  <c:v>3</c:v>
                </c:pt>
                <c:pt idx="14">
                  <c:v>4</c:v>
                </c:pt>
                <c:pt idx="15">
                  <c:v>5</c:v>
                </c:pt>
                <c:pt idx="16">
                  <c:v>6</c:v>
                </c:pt>
                <c:pt idx="17">
                  <c:v>7</c:v>
                </c:pt>
                <c:pt idx="18">
                  <c:v>8</c:v>
                </c:pt>
                <c:pt idx="19">
                  <c:v>9</c:v>
                </c:pt>
                <c:pt idx="20">
                  <c:v>10</c:v>
                </c:pt>
                <c:pt idx="21">
                  <c:v>11</c:v>
                </c:pt>
                <c:pt idx="22">
                  <c:v>12</c:v>
                </c:pt>
                <c:pt idx="23">
                  <c:v>13</c:v>
                </c:pt>
                <c:pt idx="24">
                  <c:v>14</c:v>
                </c:pt>
                <c:pt idx="25">
                  <c:v>15</c:v>
                </c:pt>
                <c:pt idx="26">
                  <c:v>16</c:v>
                </c:pt>
                <c:pt idx="27">
                  <c:v>17</c:v>
                </c:pt>
                <c:pt idx="28">
                  <c:v>18</c:v>
                </c:pt>
                <c:pt idx="29">
                  <c:v>19</c:v>
                </c:pt>
                <c:pt idx="30">
                  <c:v>20</c:v>
                </c:pt>
                <c:pt idx="31">
                  <c:v>21</c:v>
                </c:pt>
                <c:pt idx="32">
                  <c:v>22</c:v>
                </c:pt>
                <c:pt idx="33">
                  <c:v>23</c:v>
                </c:pt>
                <c:pt idx="34">
                  <c:v>24</c:v>
                </c:pt>
                <c:pt idx="35">
                  <c:v>25</c:v>
                </c:pt>
                <c:pt idx="36">
                  <c:v>26</c:v>
                </c:pt>
                <c:pt idx="37">
                  <c:v>27</c:v>
                </c:pt>
                <c:pt idx="38">
                  <c:v>28</c:v>
                </c:pt>
                <c:pt idx="39">
                  <c:v>29</c:v>
                </c:pt>
                <c:pt idx="40">
                  <c:v>30</c:v>
                </c:pt>
                <c:pt idx="41">
                  <c:v>31</c:v>
                </c:pt>
                <c:pt idx="42">
                  <c:v>32</c:v>
                </c:pt>
                <c:pt idx="43">
                  <c:v>33</c:v>
                </c:pt>
                <c:pt idx="44">
                  <c:v>34</c:v>
                </c:pt>
                <c:pt idx="45">
                  <c:v>35</c:v>
                </c:pt>
                <c:pt idx="46">
                  <c:v>36</c:v>
                </c:pt>
                <c:pt idx="47">
                  <c:v>37</c:v>
                </c:pt>
                <c:pt idx="48">
                  <c:v>38</c:v>
                </c:pt>
                <c:pt idx="49">
                  <c:v>39</c:v>
                </c:pt>
                <c:pt idx="50">
                  <c:v>40</c:v>
                </c:pt>
                <c:pt idx="51">
                  <c:v>41</c:v>
                </c:pt>
                <c:pt idx="52">
                  <c:v>42</c:v>
                </c:pt>
                <c:pt idx="53">
                  <c:v>43</c:v>
                </c:pt>
                <c:pt idx="54">
                  <c:v>44</c:v>
                </c:pt>
                <c:pt idx="55">
                  <c:v>45</c:v>
                </c:pt>
                <c:pt idx="56">
                  <c:v>46</c:v>
                </c:pt>
                <c:pt idx="57">
                  <c:v>47</c:v>
                </c:pt>
                <c:pt idx="58">
                  <c:v>48</c:v>
                </c:pt>
                <c:pt idx="59">
                  <c:v>49</c:v>
                </c:pt>
                <c:pt idx="60">
                  <c:v>50</c:v>
                </c:pt>
                <c:pt idx="61">
                  <c:v>51</c:v>
                </c:pt>
                <c:pt idx="62">
                  <c:v>52</c:v>
                </c:pt>
                <c:pt idx="63">
                  <c:v>53</c:v>
                </c:pt>
                <c:pt idx="64">
                  <c:v>54</c:v>
                </c:pt>
                <c:pt idx="65">
                  <c:v>55</c:v>
                </c:pt>
                <c:pt idx="66">
                  <c:v>56</c:v>
                </c:pt>
                <c:pt idx="67">
                  <c:v>57</c:v>
                </c:pt>
                <c:pt idx="68">
                  <c:v>58</c:v>
                </c:pt>
                <c:pt idx="69">
                  <c:v>59</c:v>
                </c:pt>
                <c:pt idx="70">
                  <c:v>60</c:v>
                </c:pt>
                <c:pt idx="71">
                  <c:v>61</c:v>
                </c:pt>
                <c:pt idx="72">
                  <c:v>62</c:v>
                </c:pt>
                <c:pt idx="73">
                  <c:v>63</c:v>
                </c:pt>
                <c:pt idx="74">
                  <c:v>64</c:v>
                </c:pt>
                <c:pt idx="75">
                  <c:v>65</c:v>
                </c:pt>
                <c:pt idx="76">
                  <c:v>66</c:v>
                </c:pt>
                <c:pt idx="77">
                  <c:v>67</c:v>
                </c:pt>
                <c:pt idx="78">
                  <c:v>68</c:v>
                </c:pt>
                <c:pt idx="79">
                  <c:v>69</c:v>
                </c:pt>
                <c:pt idx="80">
                  <c:v>70</c:v>
                </c:pt>
                <c:pt idx="81">
                  <c:v>71</c:v>
                </c:pt>
                <c:pt idx="82">
                  <c:v>72</c:v>
                </c:pt>
                <c:pt idx="83">
                  <c:v>73</c:v>
                </c:pt>
                <c:pt idx="84">
                  <c:v>74</c:v>
                </c:pt>
              </c:numCache>
            </c:numRef>
          </c:cat>
          <c:val>
            <c:numRef>
              <c:f>'4.3.2 Data_Tidsseriefigurer'!$M$152:$CS$152</c:f>
              <c:numCache>
                <c:formatCode>General</c:formatCode>
                <c:ptCount val="85"/>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pt idx="43">
                  <c:v>#N/A</c:v>
                </c:pt>
                <c:pt idx="44">
                  <c:v>#N/A</c:v>
                </c:pt>
                <c:pt idx="45">
                  <c:v>#N/A</c:v>
                </c:pt>
                <c:pt idx="46">
                  <c:v>#N/A</c:v>
                </c:pt>
                <c:pt idx="47">
                  <c:v>#N/A</c:v>
                </c:pt>
                <c:pt idx="48">
                  <c:v>#N/A</c:v>
                </c:pt>
                <c:pt idx="49">
                  <c:v>#N/A</c:v>
                </c:pt>
                <c:pt idx="50">
                  <c:v>#N/A</c:v>
                </c:pt>
                <c:pt idx="51">
                  <c:v>#N/A</c:v>
                </c:pt>
                <c:pt idx="52">
                  <c:v>#N/A</c:v>
                </c:pt>
                <c:pt idx="53">
                  <c:v>#N/A</c:v>
                </c:pt>
                <c:pt idx="54">
                  <c:v>#N/A</c:v>
                </c:pt>
                <c:pt idx="55">
                  <c:v>#N/A</c:v>
                </c:pt>
                <c:pt idx="56">
                  <c:v>#N/A</c:v>
                </c:pt>
                <c:pt idx="57">
                  <c:v>#N/A</c:v>
                </c:pt>
                <c:pt idx="58">
                  <c:v>#N/A</c:v>
                </c:pt>
                <c:pt idx="59">
                  <c:v>#N/A</c:v>
                </c:pt>
                <c:pt idx="60">
                  <c:v>#N/A</c:v>
                </c:pt>
                <c:pt idx="61">
                  <c:v>#N/A</c:v>
                </c:pt>
                <c:pt idx="62">
                  <c:v>#N/A</c:v>
                </c:pt>
                <c:pt idx="63">
                  <c:v>#N/A</c:v>
                </c:pt>
                <c:pt idx="64">
                  <c:v>#N/A</c:v>
                </c:pt>
                <c:pt idx="65">
                  <c:v>#N/A</c:v>
                </c:pt>
                <c:pt idx="66">
                  <c:v>#N/A</c:v>
                </c:pt>
                <c:pt idx="67">
                  <c:v>#N/A</c:v>
                </c:pt>
                <c:pt idx="68">
                  <c:v>#N/A</c:v>
                </c:pt>
                <c:pt idx="69">
                  <c:v>#N/A</c:v>
                </c:pt>
                <c:pt idx="70">
                  <c:v>#N/A</c:v>
                </c:pt>
                <c:pt idx="71">
                  <c:v>#N/A</c:v>
                </c:pt>
                <c:pt idx="72">
                  <c:v>#N/A</c:v>
                </c:pt>
                <c:pt idx="73">
                  <c:v>#N/A</c:v>
                </c:pt>
                <c:pt idx="74">
                  <c:v>#N/A</c:v>
                </c:pt>
                <c:pt idx="75">
                  <c:v>#N/A</c:v>
                </c:pt>
                <c:pt idx="76">
                  <c:v>#N/A</c:v>
                </c:pt>
                <c:pt idx="77">
                  <c:v>#N/A</c:v>
                </c:pt>
                <c:pt idx="78">
                  <c:v>#N/A</c:v>
                </c:pt>
                <c:pt idx="79">
                  <c:v>#N/A</c:v>
                </c:pt>
                <c:pt idx="80">
                  <c:v>#N/A</c:v>
                </c:pt>
                <c:pt idx="81">
                  <c:v>#N/A</c:v>
                </c:pt>
                <c:pt idx="82">
                  <c:v>#N/A</c:v>
                </c:pt>
                <c:pt idx="83">
                  <c:v>#N/A</c:v>
                </c:pt>
                <c:pt idx="84">
                  <c:v>#N/A</c:v>
                </c:pt>
              </c:numCache>
            </c:numRef>
          </c:val>
          <c:smooth val="0"/>
          <c:extLst>
            <c:ext xmlns:c16="http://schemas.microsoft.com/office/drawing/2014/chart" uri="{C3380CC4-5D6E-409C-BE32-E72D297353CC}">
              <c16:uniqueId val="{00000001-DB0C-4E9A-AAA2-43B8FF239D8C}"/>
            </c:ext>
          </c:extLst>
        </c:ser>
        <c:ser>
          <c:idx val="12"/>
          <c:order val="11"/>
          <c:tx>
            <c:strRef>
              <c:f>'4.3.2 Data_Tidsseriefigurer'!$B$153</c:f>
              <c:strCache>
                <c:ptCount val="1"/>
                <c:pt idx="0">
                  <c:v>Endring i totale utslipp</c:v>
                </c:pt>
              </c:strCache>
            </c:strRef>
          </c:tx>
          <c:spPr>
            <a:ln w="28575" cap="rnd">
              <a:solidFill>
                <a:schemeClr val="accent1">
                  <a:lumMod val="80000"/>
                  <a:lumOff val="20000"/>
                </a:schemeClr>
              </a:solidFill>
              <a:round/>
            </a:ln>
            <a:effectLst/>
          </c:spPr>
          <c:marker>
            <c:symbol val="none"/>
          </c:marker>
          <c:val>
            <c:numRef>
              <c:f>'4.3.2 Data_Tidsseriefigurer'!$M$153:$CS$153</c:f>
              <c:numCache>
                <c:formatCode>General</c:formatCode>
                <c:ptCount val="85"/>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pt idx="43">
                  <c:v>#N/A</c:v>
                </c:pt>
                <c:pt idx="44">
                  <c:v>#N/A</c:v>
                </c:pt>
                <c:pt idx="45">
                  <c:v>#N/A</c:v>
                </c:pt>
                <c:pt idx="46">
                  <c:v>#N/A</c:v>
                </c:pt>
                <c:pt idx="47">
                  <c:v>#N/A</c:v>
                </c:pt>
                <c:pt idx="48">
                  <c:v>#N/A</c:v>
                </c:pt>
                <c:pt idx="49">
                  <c:v>#N/A</c:v>
                </c:pt>
                <c:pt idx="50">
                  <c:v>#N/A</c:v>
                </c:pt>
                <c:pt idx="51">
                  <c:v>#N/A</c:v>
                </c:pt>
                <c:pt idx="52">
                  <c:v>#N/A</c:v>
                </c:pt>
                <c:pt idx="53">
                  <c:v>#N/A</c:v>
                </c:pt>
                <c:pt idx="54">
                  <c:v>#N/A</c:v>
                </c:pt>
                <c:pt idx="55">
                  <c:v>#N/A</c:v>
                </c:pt>
                <c:pt idx="56">
                  <c:v>#N/A</c:v>
                </c:pt>
                <c:pt idx="57">
                  <c:v>#N/A</c:v>
                </c:pt>
                <c:pt idx="58">
                  <c:v>#N/A</c:v>
                </c:pt>
                <c:pt idx="59">
                  <c:v>#N/A</c:v>
                </c:pt>
                <c:pt idx="60">
                  <c:v>#N/A</c:v>
                </c:pt>
                <c:pt idx="61">
                  <c:v>#N/A</c:v>
                </c:pt>
                <c:pt idx="62">
                  <c:v>#N/A</c:v>
                </c:pt>
                <c:pt idx="63">
                  <c:v>#N/A</c:v>
                </c:pt>
                <c:pt idx="64">
                  <c:v>#N/A</c:v>
                </c:pt>
                <c:pt idx="65">
                  <c:v>#N/A</c:v>
                </c:pt>
                <c:pt idx="66">
                  <c:v>#N/A</c:v>
                </c:pt>
                <c:pt idx="67">
                  <c:v>#N/A</c:v>
                </c:pt>
                <c:pt idx="68">
                  <c:v>#N/A</c:v>
                </c:pt>
                <c:pt idx="69">
                  <c:v>#N/A</c:v>
                </c:pt>
                <c:pt idx="70">
                  <c:v>#N/A</c:v>
                </c:pt>
                <c:pt idx="71">
                  <c:v>#N/A</c:v>
                </c:pt>
                <c:pt idx="72">
                  <c:v>#N/A</c:v>
                </c:pt>
                <c:pt idx="73">
                  <c:v>#N/A</c:v>
                </c:pt>
                <c:pt idx="74">
                  <c:v>#N/A</c:v>
                </c:pt>
                <c:pt idx="75">
                  <c:v>#N/A</c:v>
                </c:pt>
                <c:pt idx="76">
                  <c:v>#N/A</c:v>
                </c:pt>
                <c:pt idx="77">
                  <c:v>#N/A</c:v>
                </c:pt>
                <c:pt idx="78">
                  <c:v>#N/A</c:v>
                </c:pt>
                <c:pt idx="79">
                  <c:v>#N/A</c:v>
                </c:pt>
                <c:pt idx="80">
                  <c:v>#N/A</c:v>
                </c:pt>
                <c:pt idx="81">
                  <c:v>#N/A</c:v>
                </c:pt>
                <c:pt idx="82">
                  <c:v>#N/A</c:v>
                </c:pt>
                <c:pt idx="83">
                  <c:v>#N/A</c:v>
                </c:pt>
                <c:pt idx="84">
                  <c:v>#N/A</c:v>
                </c:pt>
              </c:numCache>
            </c:numRef>
          </c:val>
          <c:smooth val="0"/>
          <c:extLst>
            <c:ext xmlns:c16="http://schemas.microsoft.com/office/drawing/2014/chart" uri="{C3380CC4-5D6E-409C-BE32-E72D297353CC}">
              <c16:uniqueId val="{00000001-3064-4C81-A859-20DB3F9510A6}"/>
            </c:ext>
          </c:extLst>
        </c:ser>
        <c:dLbls>
          <c:showLegendKey val="0"/>
          <c:showVal val="0"/>
          <c:showCatName val="0"/>
          <c:showSerName val="0"/>
          <c:showPercent val="0"/>
          <c:showBubbleSize val="0"/>
        </c:dLbls>
        <c:marker val="1"/>
        <c:smooth val="0"/>
        <c:axId val="1946888016"/>
        <c:axId val="1855491952"/>
      </c:lineChart>
      <c:lineChart>
        <c:grouping val="standard"/>
        <c:varyColors val="0"/>
        <c:ser>
          <c:idx val="8"/>
          <c:order val="12"/>
          <c:tx>
            <c:strRef>
              <c:f>'4.3.2 Data_Tidsseriefigurer'!$B$154</c:f>
              <c:strCache>
                <c:ptCount val="1"/>
                <c:pt idx="0">
                  <c:v>Karbonprisbane, KPI-justert</c:v>
                </c:pt>
              </c:strCache>
            </c:strRef>
          </c:tx>
          <c:spPr>
            <a:ln w="28575" cap="rnd">
              <a:solidFill>
                <a:schemeClr val="accent3">
                  <a:lumMod val="60000"/>
                </a:schemeClr>
              </a:solidFill>
              <a:round/>
            </a:ln>
            <a:effectLst/>
          </c:spPr>
          <c:marker>
            <c:symbol val="none"/>
          </c:marker>
          <c:cat>
            <c:numRef>
              <c:f>'4.3.2 Data_Tidsseriefigurer'!$M$141:$CS$141</c:f>
              <c:numCache>
                <c:formatCode>General</c:formatCode>
                <c:ptCount val="85"/>
                <c:pt idx="0">
                  <c:v>-10</c:v>
                </c:pt>
                <c:pt idx="1">
                  <c:v>-9</c:v>
                </c:pt>
                <c:pt idx="2">
                  <c:v>-8</c:v>
                </c:pt>
                <c:pt idx="3">
                  <c:v>-7</c:v>
                </c:pt>
                <c:pt idx="4">
                  <c:v>-6</c:v>
                </c:pt>
                <c:pt idx="5">
                  <c:v>-5</c:v>
                </c:pt>
                <c:pt idx="6">
                  <c:v>-4</c:v>
                </c:pt>
                <c:pt idx="7">
                  <c:v>-3</c:v>
                </c:pt>
                <c:pt idx="8">
                  <c:v>-2</c:v>
                </c:pt>
                <c:pt idx="9">
                  <c:v>-1</c:v>
                </c:pt>
                <c:pt idx="10">
                  <c:v>0</c:v>
                </c:pt>
                <c:pt idx="11">
                  <c:v>1</c:v>
                </c:pt>
                <c:pt idx="12">
                  <c:v>2</c:v>
                </c:pt>
                <c:pt idx="13">
                  <c:v>3</c:v>
                </c:pt>
                <c:pt idx="14">
                  <c:v>4</c:v>
                </c:pt>
                <c:pt idx="15">
                  <c:v>5</c:v>
                </c:pt>
                <c:pt idx="16">
                  <c:v>6</c:v>
                </c:pt>
                <c:pt idx="17">
                  <c:v>7</c:v>
                </c:pt>
                <c:pt idx="18">
                  <c:v>8</c:v>
                </c:pt>
                <c:pt idx="19">
                  <c:v>9</c:v>
                </c:pt>
                <c:pt idx="20">
                  <c:v>10</c:v>
                </c:pt>
                <c:pt idx="21">
                  <c:v>11</c:v>
                </c:pt>
                <c:pt idx="22">
                  <c:v>12</c:v>
                </c:pt>
                <c:pt idx="23">
                  <c:v>13</c:v>
                </c:pt>
                <c:pt idx="24">
                  <c:v>14</c:v>
                </c:pt>
                <c:pt idx="25">
                  <c:v>15</c:v>
                </c:pt>
                <c:pt idx="26">
                  <c:v>16</c:v>
                </c:pt>
                <c:pt idx="27">
                  <c:v>17</c:v>
                </c:pt>
                <c:pt idx="28">
                  <c:v>18</c:v>
                </c:pt>
                <c:pt idx="29">
                  <c:v>19</c:v>
                </c:pt>
                <c:pt idx="30">
                  <c:v>20</c:v>
                </c:pt>
                <c:pt idx="31">
                  <c:v>21</c:v>
                </c:pt>
                <c:pt idx="32">
                  <c:v>22</c:v>
                </c:pt>
                <c:pt idx="33">
                  <c:v>23</c:v>
                </c:pt>
                <c:pt idx="34">
                  <c:v>24</c:v>
                </c:pt>
                <c:pt idx="35">
                  <c:v>25</c:v>
                </c:pt>
                <c:pt idx="36">
                  <c:v>26</c:v>
                </c:pt>
                <c:pt idx="37">
                  <c:v>27</c:v>
                </c:pt>
                <c:pt idx="38">
                  <c:v>28</c:v>
                </c:pt>
                <c:pt idx="39">
                  <c:v>29</c:v>
                </c:pt>
                <c:pt idx="40">
                  <c:v>30</c:v>
                </c:pt>
                <c:pt idx="41">
                  <c:v>31</c:v>
                </c:pt>
                <c:pt idx="42">
                  <c:v>32</c:v>
                </c:pt>
                <c:pt idx="43">
                  <c:v>33</c:v>
                </c:pt>
                <c:pt idx="44">
                  <c:v>34</c:v>
                </c:pt>
                <c:pt idx="45">
                  <c:v>35</c:v>
                </c:pt>
                <c:pt idx="46">
                  <c:v>36</c:v>
                </c:pt>
                <c:pt idx="47">
                  <c:v>37</c:v>
                </c:pt>
                <c:pt idx="48">
                  <c:v>38</c:v>
                </c:pt>
                <c:pt idx="49">
                  <c:v>39</c:v>
                </c:pt>
                <c:pt idx="50">
                  <c:v>40</c:v>
                </c:pt>
                <c:pt idx="51">
                  <c:v>41</c:v>
                </c:pt>
                <c:pt idx="52">
                  <c:v>42</c:v>
                </c:pt>
                <c:pt idx="53">
                  <c:v>43</c:v>
                </c:pt>
                <c:pt idx="54">
                  <c:v>44</c:v>
                </c:pt>
                <c:pt idx="55">
                  <c:v>45</c:v>
                </c:pt>
                <c:pt idx="56">
                  <c:v>46</c:v>
                </c:pt>
                <c:pt idx="57">
                  <c:v>47</c:v>
                </c:pt>
                <c:pt idx="58">
                  <c:v>48</c:v>
                </c:pt>
                <c:pt idx="59">
                  <c:v>49</c:v>
                </c:pt>
                <c:pt idx="60">
                  <c:v>50</c:v>
                </c:pt>
                <c:pt idx="61">
                  <c:v>51</c:v>
                </c:pt>
                <c:pt idx="62">
                  <c:v>52</c:v>
                </c:pt>
                <c:pt idx="63">
                  <c:v>53</c:v>
                </c:pt>
                <c:pt idx="64">
                  <c:v>54</c:v>
                </c:pt>
                <c:pt idx="65">
                  <c:v>55</c:v>
                </c:pt>
                <c:pt idx="66">
                  <c:v>56</c:v>
                </c:pt>
                <c:pt idx="67">
                  <c:v>57</c:v>
                </c:pt>
                <c:pt idx="68">
                  <c:v>58</c:v>
                </c:pt>
                <c:pt idx="69">
                  <c:v>59</c:v>
                </c:pt>
                <c:pt idx="70">
                  <c:v>60</c:v>
                </c:pt>
                <c:pt idx="71">
                  <c:v>61</c:v>
                </c:pt>
                <c:pt idx="72">
                  <c:v>62</c:v>
                </c:pt>
                <c:pt idx="73">
                  <c:v>63</c:v>
                </c:pt>
                <c:pt idx="74">
                  <c:v>64</c:v>
                </c:pt>
                <c:pt idx="75">
                  <c:v>65</c:v>
                </c:pt>
                <c:pt idx="76">
                  <c:v>66</c:v>
                </c:pt>
                <c:pt idx="77">
                  <c:v>67</c:v>
                </c:pt>
                <c:pt idx="78">
                  <c:v>68</c:v>
                </c:pt>
                <c:pt idx="79">
                  <c:v>69</c:v>
                </c:pt>
                <c:pt idx="80">
                  <c:v>70</c:v>
                </c:pt>
                <c:pt idx="81">
                  <c:v>71</c:v>
                </c:pt>
                <c:pt idx="82">
                  <c:v>72</c:v>
                </c:pt>
                <c:pt idx="83">
                  <c:v>73</c:v>
                </c:pt>
                <c:pt idx="84">
                  <c:v>74</c:v>
                </c:pt>
              </c:numCache>
            </c:numRef>
          </c:cat>
          <c:val>
            <c:numRef>
              <c:f>'4.3.2 Data_Tidsseriefigurer'!$M$154:$CS$154</c:f>
              <c:numCache>
                <c:formatCode>General</c:formatCode>
                <c:ptCount val="85"/>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pt idx="43">
                  <c:v>#N/A</c:v>
                </c:pt>
                <c:pt idx="44">
                  <c:v>#N/A</c:v>
                </c:pt>
                <c:pt idx="45">
                  <c:v>#N/A</c:v>
                </c:pt>
                <c:pt idx="46">
                  <c:v>#N/A</c:v>
                </c:pt>
                <c:pt idx="47">
                  <c:v>#N/A</c:v>
                </c:pt>
                <c:pt idx="48">
                  <c:v>#N/A</c:v>
                </c:pt>
                <c:pt idx="49">
                  <c:v>#N/A</c:v>
                </c:pt>
                <c:pt idx="50">
                  <c:v>#N/A</c:v>
                </c:pt>
                <c:pt idx="51">
                  <c:v>#N/A</c:v>
                </c:pt>
                <c:pt idx="52">
                  <c:v>#N/A</c:v>
                </c:pt>
                <c:pt idx="53">
                  <c:v>#N/A</c:v>
                </c:pt>
                <c:pt idx="54">
                  <c:v>#N/A</c:v>
                </c:pt>
                <c:pt idx="55">
                  <c:v>#N/A</c:v>
                </c:pt>
                <c:pt idx="56">
                  <c:v>#N/A</c:v>
                </c:pt>
                <c:pt idx="57">
                  <c:v>#N/A</c:v>
                </c:pt>
                <c:pt idx="58">
                  <c:v>#N/A</c:v>
                </c:pt>
                <c:pt idx="59">
                  <c:v>#N/A</c:v>
                </c:pt>
                <c:pt idx="60">
                  <c:v>#N/A</c:v>
                </c:pt>
                <c:pt idx="61">
                  <c:v>#N/A</c:v>
                </c:pt>
                <c:pt idx="62">
                  <c:v>#N/A</c:v>
                </c:pt>
                <c:pt idx="63">
                  <c:v>#N/A</c:v>
                </c:pt>
                <c:pt idx="64">
                  <c:v>#N/A</c:v>
                </c:pt>
                <c:pt idx="65">
                  <c:v>#N/A</c:v>
                </c:pt>
                <c:pt idx="66">
                  <c:v>#N/A</c:v>
                </c:pt>
                <c:pt idx="67">
                  <c:v>#N/A</c:v>
                </c:pt>
                <c:pt idx="68">
                  <c:v>#N/A</c:v>
                </c:pt>
                <c:pt idx="69">
                  <c:v>#N/A</c:v>
                </c:pt>
                <c:pt idx="70">
                  <c:v>#N/A</c:v>
                </c:pt>
                <c:pt idx="71">
                  <c:v>#N/A</c:v>
                </c:pt>
                <c:pt idx="72">
                  <c:v>#N/A</c:v>
                </c:pt>
                <c:pt idx="73">
                  <c:v>#N/A</c:v>
                </c:pt>
                <c:pt idx="74">
                  <c:v>#N/A</c:v>
                </c:pt>
                <c:pt idx="75">
                  <c:v>#N/A</c:v>
                </c:pt>
                <c:pt idx="76">
                  <c:v>#N/A</c:v>
                </c:pt>
                <c:pt idx="77">
                  <c:v>#N/A</c:v>
                </c:pt>
                <c:pt idx="78">
                  <c:v>#N/A</c:v>
                </c:pt>
                <c:pt idx="79">
                  <c:v>#N/A</c:v>
                </c:pt>
                <c:pt idx="80">
                  <c:v>#N/A</c:v>
                </c:pt>
                <c:pt idx="81">
                  <c:v>#N/A</c:v>
                </c:pt>
                <c:pt idx="82">
                  <c:v>#N/A</c:v>
                </c:pt>
                <c:pt idx="83">
                  <c:v>#N/A</c:v>
                </c:pt>
                <c:pt idx="84">
                  <c:v>#N/A</c:v>
                </c:pt>
              </c:numCache>
            </c:numRef>
          </c:val>
          <c:smooth val="0"/>
          <c:extLst>
            <c:ext xmlns:c16="http://schemas.microsoft.com/office/drawing/2014/chart" uri="{C3380CC4-5D6E-409C-BE32-E72D297353CC}">
              <c16:uniqueId val="{00000008-FCE1-4EB5-97D1-FF348DE5AF7E}"/>
            </c:ext>
          </c:extLst>
        </c:ser>
        <c:ser>
          <c:idx val="9"/>
          <c:order val="13"/>
          <c:tx>
            <c:strRef>
              <c:f>'4.3.2 Data_Tidsseriefigurer'!$B$155</c:f>
              <c:strCache>
                <c:ptCount val="1"/>
                <c:pt idx="0">
                  <c:v>CO2-avgiftsbane, KPI-justert</c:v>
                </c:pt>
              </c:strCache>
            </c:strRef>
          </c:tx>
          <c:spPr>
            <a:ln w="28575" cap="rnd">
              <a:solidFill>
                <a:schemeClr val="accent4">
                  <a:lumMod val="60000"/>
                </a:schemeClr>
              </a:solidFill>
              <a:round/>
            </a:ln>
            <a:effectLst/>
          </c:spPr>
          <c:marker>
            <c:symbol val="none"/>
          </c:marker>
          <c:cat>
            <c:numRef>
              <c:f>'4.3.2 Data_Tidsseriefigurer'!$M$141:$CS$141</c:f>
              <c:numCache>
                <c:formatCode>General</c:formatCode>
                <c:ptCount val="85"/>
                <c:pt idx="0">
                  <c:v>-10</c:v>
                </c:pt>
                <c:pt idx="1">
                  <c:v>-9</c:v>
                </c:pt>
                <c:pt idx="2">
                  <c:v>-8</c:v>
                </c:pt>
                <c:pt idx="3">
                  <c:v>-7</c:v>
                </c:pt>
                <c:pt idx="4">
                  <c:v>-6</c:v>
                </c:pt>
                <c:pt idx="5">
                  <c:v>-5</c:v>
                </c:pt>
                <c:pt idx="6">
                  <c:v>-4</c:v>
                </c:pt>
                <c:pt idx="7">
                  <c:v>-3</c:v>
                </c:pt>
                <c:pt idx="8">
                  <c:v>-2</c:v>
                </c:pt>
                <c:pt idx="9">
                  <c:v>-1</c:v>
                </c:pt>
                <c:pt idx="10">
                  <c:v>0</c:v>
                </c:pt>
                <c:pt idx="11">
                  <c:v>1</c:v>
                </c:pt>
                <c:pt idx="12">
                  <c:v>2</c:v>
                </c:pt>
                <c:pt idx="13">
                  <c:v>3</c:v>
                </c:pt>
                <c:pt idx="14">
                  <c:v>4</c:v>
                </c:pt>
                <c:pt idx="15">
                  <c:v>5</c:v>
                </c:pt>
                <c:pt idx="16">
                  <c:v>6</c:v>
                </c:pt>
                <c:pt idx="17">
                  <c:v>7</c:v>
                </c:pt>
                <c:pt idx="18">
                  <c:v>8</c:v>
                </c:pt>
                <c:pt idx="19">
                  <c:v>9</c:v>
                </c:pt>
                <c:pt idx="20">
                  <c:v>10</c:v>
                </c:pt>
                <c:pt idx="21">
                  <c:v>11</c:v>
                </c:pt>
                <c:pt idx="22">
                  <c:v>12</c:v>
                </c:pt>
                <c:pt idx="23">
                  <c:v>13</c:v>
                </c:pt>
                <c:pt idx="24">
                  <c:v>14</c:v>
                </c:pt>
                <c:pt idx="25">
                  <c:v>15</c:v>
                </c:pt>
                <c:pt idx="26">
                  <c:v>16</c:v>
                </c:pt>
                <c:pt idx="27">
                  <c:v>17</c:v>
                </c:pt>
                <c:pt idx="28">
                  <c:v>18</c:v>
                </c:pt>
                <c:pt idx="29">
                  <c:v>19</c:v>
                </c:pt>
                <c:pt idx="30">
                  <c:v>20</c:v>
                </c:pt>
                <c:pt idx="31">
                  <c:v>21</c:v>
                </c:pt>
                <c:pt idx="32">
                  <c:v>22</c:v>
                </c:pt>
                <c:pt idx="33">
                  <c:v>23</c:v>
                </c:pt>
                <c:pt idx="34">
                  <c:v>24</c:v>
                </c:pt>
                <c:pt idx="35">
                  <c:v>25</c:v>
                </c:pt>
                <c:pt idx="36">
                  <c:v>26</c:v>
                </c:pt>
                <c:pt idx="37">
                  <c:v>27</c:v>
                </c:pt>
                <c:pt idx="38">
                  <c:v>28</c:v>
                </c:pt>
                <c:pt idx="39">
                  <c:v>29</c:v>
                </c:pt>
                <c:pt idx="40">
                  <c:v>30</c:v>
                </c:pt>
                <c:pt idx="41">
                  <c:v>31</c:v>
                </c:pt>
                <c:pt idx="42">
                  <c:v>32</c:v>
                </c:pt>
                <c:pt idx="43">
                  <c:v>33</c:v>
                </c:pt>
                <c:pt idx="44">
                  <c:v>34</c:v>
                </c:pt>
                <c:pt idx="45">
                  <c:v>35</c:v>
                </c:pt>
                <c:pt idx="46">
                  <c:v>36</c:v>
                </c:pt>
                <c:pt idx="47">
                  <c:v>37</c:v>
                </c:pt>
                <c:pt idx="48">
                  <c:v>38</c:v>
                </c:pt>
                <c:pt idx="49">
                  <c:v>39</c:v>
                </c:pt>
                <c:pt idx="50">
                  <c:v>40</c:v>
                </c:pt>
                <c:pt idx="51">
                  <c:v>41</c:v>
                </c:pt>
                <c:pt idx="52">
                  <c:v>42</c:v>
                </c:pt>
                <c:pt idx="53">
                  <c:v>43</c:v>
                </c:pt>
                <c:pt idx="54">
                  <c:v>44</c:v>
                </c:pt>
                <c:pt idx="55">
                  <c:v>45</c:v>
                </c:pt>
                <c:pt idx="56">
                  <c:v>46</c:v>
                </c:pt>
                <c:pt idx="57">
                  <c:v>47</c:v>
                </c:pt>
                <c:pt idx="58">
                  <c:v>48</c:v>
                </c:pt>
                <c:pt idx="59">
                  <c:v>49</c:v>
                </c:pt>
                <c:pt idx="60">
                  <c:v>50</c:v>
                </c:pt>
                <c:pt idx="61">
                  <c:v>51</c:v>
                </c:pt>
                <c:pt idx="62">
                  <c:v>52</c:v>
                </c:pt>
                <c:pt idx="63">
                  <c:v>53</c:v>
                </c:pt>
                <c:pt idx="64">
                  <c:v>54</c:v>
                </c:pt>
                <c:pt idx="65">
                  <c:v>55</c:v>
                </c:pt>
                <c:pt idx="66">
                  <c:v>56</c:v>
                </c:pt>
                <c:pt idx="67">
                  <c:v>57</c:v>
                </c:pt>
                <c:pt idx="68">
                  <c:v>58</c:v>
                </c:pt>
                <c:pt idx="69">
                  <c:v>59</c:v>
                </c:pt>
                <c:pt idx="70">
                  <c:v>60</c:v>
                </c:pt>
                <c:pt idx="71">
                  <c:v>61</c:v>
                </c:pt>
                <c:pt idx="72">
                  <c:v>62</c:v>
                </c:pt>
                <c:pt idx="73">
                  <c:v>63</c:v>
                </c:pt>
                <c:pt idx="74">
                  <c:v>64</c:v>
                </c:pt>
                <c:pt idx="75">
                  <c:v>65</c:v>
                </c:pt>
                <c:pt idx="76">
                  <c:v>66</c:v>
                </c:pt>
                <c:pt idx="77">
                  <c:v>67</c:v>
                </c:pt>
                <c:pt idx="78">
                  <c:v>68</c:v>
                </c:pt>
                <c:pt idx="79">
                  <c:v>69</c:v>
                </c:pt>
                <c:pt idx="80">
                  <c:v>70</c:v>
                </c:pt>
                <c:pt idx="81">
                  <c:v>71</c:v>
                </c:pt>
                <c:pt idx="82">
                  <c:v>72</c:v>
                </c:pt>
                <c:pt idx="83">
                  <c:v>73</c:v>
                </c:pt>
                <c:pt idx="84">
                  <c:v>74</c:v>
                </c:pt>
              </c:numCache>
            </c:numRef>
          </c:cat>
          <c:val>
            <c:numRef>
              <c:f>'4.3.2 Data_Tidsseriefigurer'!$M$155:$CS$155</c:f>
              <c:numCache>
                <c:formatCode>General</c:formatCode>
                <c:ptCount val="85"/>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pt idx="43">
                  <c:v>#N/A</c:v>
                </c:pt>
                <c:pt idx="44">
                  <c:v>#N/A</c:v>
                </c:pt>
                <c:pt idx="45">
                  <c:v>#N/A</c:v>
                </c:pt>
                <c:pt idx="46">
                  <c:v>#N/A</c:v>
                </c:pt>
                <c:pt idx="47">
                  <c:v>#N/A</c:v>
                </c:pt>
                <c:pt idx="48">
                  <c:v>#N/A</c:v>
                </c:pt>
                <c:pt idx="49">
                  <c:v>#N/A</c:v>
                </c:pt>
                <c:pt idx="50">
                  <c:v>#N/A</c:v>
                </c:pt>
                <c:pt idx="51">
                  <c:v>#N/A</c:v>
                </c:pt>
                <c:pt idx="52">
                  <c:v>#N/A</c:v>
                </c:pt>
                <c:pt idx="53">
                  <c:v>#N/A</c:v>
                </c:pt>
                <c:pt idx="54">
                  <c:v>#N/A</c:v>
                </c:pt>
                <c:pt idx="55">
                  <c:v>#N/A</c:v>
                </c:pt>
                <c:pt idx="56">
                  <c:v>#N/A</c:v>
                </c:pt>
                <c:pt idx="57">
                  <c:v>#N/A</c:v>
                </c:pt>
                <c:pt idx="58">
                  <c:v>#N/A</c:v>
                </c:pt>
                <c:pt idx="59">
                  <c:v>#N/A</c:v>
                </c:pt>
                <c:pt idx="60">
                  <c:v>#N/A</c:v>
                </c:pt>
                <c:pt idx="61">
                  <c:v>#N/A</c:v>
                </c:pt>
                <c:pt idx="62">
                  <c:v>#N/A</c:v>
                </c:pt>
                <c:pt idx="63">
                  <c:v>#N/A</c:v>
                </c:pt>
                <c:pt idx="64">
                  <c:v>#N/A</c:v>
                </c:pt>
                <c:pt idx="65">
                  <c:v>#N/A</c:v>
                </c:pt>
                <c:pt idx="66">
                  <c:v>#N/A</c:v>
                </c:pt>
                <c:pt idx="67">
                  <c:v>#N/A</c:v>
                </c:pt>
                <c:pt idx="68">
                  <c:v>#N/A</c:v>
                </c:pt>
                <c:pt idx="69">
                  <c:v>#N/A</c:v>
                </c:pt>
                <c:pt idx="70">
                  <c:v>#N/A</c:v>
                </c:pt>
                <c:pt idx="71">
                  <c:v>#N/A</c:v>
                </c:pt>
                <c:pt idx="72">
                  <c:v>#N/A</c:v>
                </c:pt>
                <c:pt idx="73">
                  <c:v>#N/A</c:v>
                </c:pt>
                <c:pt idx="74">
                  <c:v>#N/A</c:v>
                </c:pt>
                <c:pt idx="75">
                  <c:v>#N/A</c:v>
                </c:pt>
                <c:pt idx="76">
                  <c:v>#N/A</c:v>
                </c:pt>
                <c:pt idx="77">
                  <c:v>#N/A</c:v>
                </c:pt>
                <c:pt idx="78">
                  <c:v>#N/A</c:v>
                </c:pt>
                <c:pt idx="79">
                  <c:v>#N/A</c:v>
                </c:pt>
                <c:pt idx="80">
                  <c:v>#N/A</c:v>
                </c:pt>
                <c:pt idx="81">
                  <c:v>#N/A</c:v>
                </c:pt>
                <c:pt idx="82">
                  <c:v>#N/A</c:v>
                </c:pt>
                <c:pt idx="83">
                  <c:v>#N/A</c:v>
                </c:pt>
                <c:pt idx="84">
                  <c:v>#N/A</c:v>
                </c:pt>
              </c:numCache>
            </c:numRef>
          </c:val>
          <c:smooth val="0"/>
          <c:extLst>
            <c:ext xmlns:c16="http://schemas.microsoft.com/office/drawing/2014/chart" uri="{C3380CC4-5D6E-409C-BE32-E72D297353CC}">
              <c16:uniqueId val="{0000004C-FCE1-4EB5-97D1-FF348DE5AF7E}"/>
            </c:ext>
          </c:extLst>
        </c:ser>
        <c:dLbls>
          <c:showLegendKey val="0"/>
          <c:showVal val="0"/>
          <c:showCatName val="0"/>
          <c:showSerName val="0"/>
          <c:showPercent val="0"/>
          <c:showBubbleSize val="0"/>
        </c:dLbls>
        <c:marker val="1"/>
        <c:smooth val="0"/>
        <c:axId val="1896714928"/>
        <c:axId val="1855529392"/>
      </c:lineChart>
      <c:dateAx>
        <c:axId val="1946888016"/>
        <c:scaling>
          <c:orientation val="minMax"/>
          <c:max val="-1"/>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Franklin Gothic Book" panose="020B0503020102020204" pitchFamily="34" charset="0"/>
                <a:ea typeface="+mn-ea"/>
                <a:cs typeface="+mn-cs"/>
              </a:defRPr>
            </a:pPr>
            <a:endParaRPr lang="nb-NO"/>
          </a:p>
        </c:txPr>
        <c:crossAx val="1855491952"/>
        <c:crosses val="autoZero"/>
        <c:auto val="0"/>
        <c:lblOffset val="100"/>
        <c:baseTimeUnit val="days"/>
        <c:majorUnit val="5"/>
      </c:dateAx>
      <c:valAx>
        <c:axId val="185549195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nb-NO"/>
                  <a:t>CO2-utslipp, 1000 tonn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nb-NO"/>
            </a:p>
          </c:txPr>
        </c:title>
        <c:numFmt formatCode="#,##0.0" sourceLinked="0"/>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Franklin Gothic Book" panose="020B0503020102020204" pitchFamily="34" charset="0"/>
                <a:ea typeface="+mn-ea"/>
                <a:cs typeface="+mn-cs"/>
              </a:defRPr>
            </a:pPr>
            <a:endParaRPr lang="nb-NO"/>
          </a:p>
        </c:txPr>
        <c:crossAx val="1946888016"/>
        <c:crosses val="autoZero"/>
        <c:crossBetween val="between"/>
        <c:dispUnits>
          <c:builtInUnit val="millions"/>
        </c:dispUnits>
      </c:valAx>
      <c:valAx>
        <c:axId val="1855529392"/>
        <c:scaling>
          <c:orientation val="minMax"/>
        </c:scaling>
        <c:delete val="0"/>
        <c:axPos val="r"/>
        <c:title>
          <c:tx>
            <c:rich>
              <a:bodyPr rot="5400000" spcFirstLastPara="1" vertOverflow="ellipsis" wrap="square" anchor="ctr" anchorCtr="1"/>
              <a:lstStyle/>
              <a:p>
                <a:pPr>
                  <a:defRPr sz="1000" b="0" i="0" u="none" strike="noStrike" kern="1200" baseline="0">
                    <a:solidFill>
                      <a:schemeClr val="tx1">
                        <a:lumMod val="65000"/>
                        <a:lumOff val="35000"/>
                      </a:schemeClr>
                    </a:solidFill>
                    <a:latin typeface="+mn-lt"/>
                    <a:ea typeface="+mn-ea"/>
                    <a:cs typeface="+mn-cs"/>
                  </a:defRPr>
                </a:pPr>
                <a:r>
                  <a:rPr lang="nb-NO"/>
                  <a:t>CO2-avgift/Karbonprisbane,</a:t>
                </a:r>
                <a:r>
                  <a:rPr lang="nb-NO" baseline="0"/>
                  <a:t> kroner/tonn</a:t>
                </a:r>
                <a:endParaRPr lang="nb-NO"/>
              </a:p>
            </c:rich>
          </c:tx>
          <c:overlay val="0"/>
          <c:spPr>
            <a:noFill/>
            <a:ln>
              <a:noFill/>
            </a:ln>
            <a:effectLst/>
          </c:spPr>
          <c:txPr>
            <a:bodyPr rot="5400000" spcFirstLastPara="1" vertOverflow="ellipsis"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nb-NO"/>
            </a:p>
          </c:txPr>
        </c:title>
        <c:numFmt formatCode="#,##0" sourceLinked="0"/>
        <c:majorTickMark val="out"/>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Franklin Gothic Book" panose="020B0503020102020204" pitchFamily="34" charset="0"/>
                <a:ea typeface="+mn-ea"/>
                <a:cs typeface="+mn-cs"/>
              </a:defRPr>
            </a:pPr>
            <a:endParaRPr lang="nb-NO"/>
          </a:p>
        </c:txPr>
        <c:crossAx val="1896714928"/>
        <c:crosses val="max"/>
        <c:crossBetween val="between"/>
      </c:valAx>
      <c:catAx>
        <c:axId val="1896714928"/>
        <c:scaling>
          <c:orientation val="minMax"/>
        </c:scaling>
        <c:delete val="1"/>
        <c:axPos val="b"/>
        <c:numFmt formatCode="General" sourceLinked="1"/>
        <c:majorTickMark val="out"/>
        <c:minorTickMark val="none"/>
        <c:tickLblPos val="nextTo"/>
        <c:crossAx val="1855529392"/>
        <c:crosses val="autoZero"/>
        <c:auto val="1"/>
        <c:lblAlgn val="ctr"/>
        <c:lblOffset val="100"/>
        <c:noMultiLvlLbl val="0"/>
      </c:catAx>
      <c:spPr>
        <a:noFill/>
        <a:ln>
          <a:noFill/>
        </a:ln>
        <a:effectLst/>
      </c:spPr>
    </c:plotArea>
    <c:legend>
      <c:legendPos val="b"/>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Franklin Gothic Book" panose="020B0503020102020204" pitchFamily="34" charset="0"/>
              <a:ea typeface="+mn-ea"/>
              <a:cs typeface="+mn-cs"/>
            </a:defRPr>
          </a:pPr>
          <a:endParaRPr lang="nb-N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nb-NO"/>
    </a:p>
  </c:txPr>
  <c:printSettings>
    <c:headerFooter/>
    <c:pageMargins b="0.75" l="0.7" r="0.7" t="0.75" header="0.3" footer="0.3"/>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b-NO"/>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'4.3.2 Data_Tidsseriefigurer'!$C$139</c:f>
          <c:strCache>
            <c:ptCount val="1"/>
            <c:pt idx="0">
              <c:v>Utvikling i CO2-utslipp, kg (venstre akse) og CO2-prisbane (høyre akse) (-kr)</c:v>
            </c:pt>
          </c:strCache>
        </c:strRef>
      </c:tx>
      <c:overlay val="0"/>
      <c:spPr>
        <a:noFill/>
        <a:ln>
          <a:noFill/>
        </a:ln>
        <a:effectLst/>
      </c:spPr>
      <c:txPr>
        <a:bodyPr rot="0" spcFirstLastPara="1" vertOverflow="ellipsis" vert="horz" wrap="square" anchor="ctr" anchorCtr="1"/>
        <a:lstStyle/>
        <a:p>
          <a:pPr>
            <a:defRPr sz="1600" b="0" i="0" u="none" strike="noStrike" kern="1200" spc="0" baseline="0">
              <a:solidFill>
                <a:schemeClr val="tx1">
                  <a:lumMod val="65000"/>
                  <a:lumOff val="35000"/>
                </a:schemeClr>
              </a:solidFill>
              <a:latin typeface="Franklin Gothic Book" panose="020B0503020102020204" pitchFamily="34" charset="0"/>
              <a:ea typeface="+mn-ea"/>
              <a:cs typeface="+mn-cs"/>
            </a:defRPr>
          </a:pPr>
          <a:endParaRPr lang="nb-NO"/>
        </a:p>
      </c:txPr>
    </c:title>
    <c:autoTitleDeleted val="0"/>
    <c:plotArea>
      <c:layout/>
      <c:lineChart>
        <c:grouping val="standard"/>
        <c:varyColors val="0"/>
        <c:ser>
          <c:idx val="1"/>
          <c:order val="0"/>
          <c:tx>
            <c:strRef>
              <c:f>'4.3.2 Data_Tidsseriefigurer'!$B$142</c:f>
              <c:strCache>
                <c:ptCount val="1"/>
                <c:pt idx="0">
                  <c:v>Jernbane - Persontog</c:v>
                </c:pt>
              </c:strCache>
            </c:strRef>
          </c:tx>
          <c:spPr>
            <a:ln w="28575" cap="rnd">
              <a:solidFill>
                <a:schemeClr val="accent2"/>
              </a:solidFill>
              <a:round/>
            </a:ln>
            <a:effectLst/>
          </c:spPr>
          <c:marker>
            <c:symbol val="none"/>
          </c:marker>
          <c:cat>
            <c:numRef>
              <c:f>'4.3.2 Data_Tidsseriefigurer'!$M$141:$CS$141</c:f>
              <c:numCache>
                <c:formatCode>General</c:formatCode>
                <c:ptCount val="85"/>
                <c:pt idx="0">
                  <c:v>-10</c:v>
                </c:pt>
                <c:pt idx="1">
                  <c:v>-9</c:v>
                </c:pt>
                <c:pt idx="2">
                  <c:v>-8</c:v>
                </c:pt>
                <c:pt idx="3">
                  <c:v>-7</c:v>
                </c:pt>
                <c:pt idx="4">
                  <c:v>-6</c:v>
                </c:pt>
                <c:pt idx="5">
                  <c:v>-5</c:v>
                </c:pt>
                <c:pt idx="6">
                  <c:v>-4</c:v>
                </c:pt>
                <c:pt idx="7">
                  <c:v>-3</c:v>
                </c:pt>
                <c:pt idx="8">
                  <c:v>-2</c:v>
                </c:pt>
                <c:pt idx="9">
                  <c:v>-1</c:v>
                </c:pt>
                <c:pt idx="10">
                  <c:v>0</c:v>
                </c:pt>
                <c:pt idx="11">
                  <c:v>1</c:v>
                </c:pt>
                <c:pt idx="12">
                  <c:v>2</c:v>
                </c:pt>
                <c:pt idx="13">
                  <c:v>3</c:v>
                </c:pt>
                <c:pt idx="14">
                  <c:v>4</c:v>
                </c:pt>
                <c:pt idx="15">
                  <c:v>5</c:v>
                </c:pt>
                <c:pt idx="16">
                  <c:v>6</c:v>
                </c:pt>
                <c:pt idx="17">
                  <c:v>7</c:v>
                </c:pt>
                <c:pt idx="18">
                  <c:v>8</c:v>
                </c:pt>
                <c:pt idx="19">
                  <c:v>9</c:v>
                </c:pt>
                <c:pt idx="20">
                  <c:v>10</c:v>
                </c:pt>
                <c:pt idx="21">
                  <c:v>11</c:v>
                </c:pt>
                <c:pt idx="22">
                  <c:v>12</c:v>
                </c:pt>
                <c:pt idx="23">
                  <c:v>13</c:v>
                </c:pt>
                <c:pt idx="24">
                  <c:v>14</c:v>
                </c:pt>
                <c:pt idx="25">
                  <c:v>15</c:v>
                </c:pt>
                <c:pt idx="26">
                  <c:v>16</c:v>
                </c:pt>
                <c:pt idx="27">
                  <c:v>17</c:v>
                </c:pt>
                <c:pt idx="28">
                  <c:v>18</c:v>
                </c:pt>
                <c:pt idx="29">
                  <c:v>19</c:v>
                </c:pt>
                <c:pt idx="30">
                  <c:v>20</c:v>
                </c:pt>
                <c:pt idx="31">
                  <c:v>21</c:v>
                </c:pt>
                <c:pt idx="32">
                  <c:v>22</c:v>
                </c:pt>
                <c:pt idx="33">
                  <c:v>23</c:v>
                </c:pt>
                <c:pt idx="34">
                  <c:v>24</c:v>
                </c:pt>
                <c:pt idx="35">
                  <c:v>25</c:v>
                </c:pt>
                <c:pt idx="36">
                  <c:v>26</c:v>
                </c:pt>
                <c:pt idx="37">
                  <c:v>27</c:v>
                </c:pt>
                <c:pt idx="38">
                  <c:v>28</c:v>
                </c:pt>
                <c:pt idx="39">
                  <c:v>29</c:v>
                </c:pt>
                <c:pt idx="40">
                  <c:v>30</c:v>
                </c:pt>
                <c:pt idx="41">
                  <c:v>31</c:v>
                </c:pt>
                <c:pt idx="42">
                  <c:v>32</c:v>
                </c:pt>
                <c:pt idx="43">
                  <c:v>33</c:v>
                </c:pt>
                <c:pt idx="44">
                  <c:v>34</c:v>
                </c:pt>
                <c:pt idx="45">
                  <c:v>35</c:v>
                </c:pt>
                <c:pt idx="46">
                  <c:v>36</c:v>
                </c:pt>
                <c:pt idx="47">
                  <c:v>37</c:v>
                </c:pt>
                <c:pt idx="48">
                  <c:v>38</c:v>
                </c:pt>
                <c:pt idx="49">
                  <c:v>39</c:v>
                </c:pt>
                <c:pt idx="50">
                  <c:v>40</c:v>
                </c:pt>
                <c:pt idx="51">
                  <c:v>41</c:v>
                </c:pt>
                <c:pt idx="52">
                  <c:v>42</c:v>
                </c:pt>
                <c:pt idx="53">
                  <c:v>43</c:v>
                </c:pt>
                <c:pt idx="54">
                  <c:v>44</c:v>
                </c:pt>
                <c:pt idx="55">
                  <c:v>45</c:v>
                </c:pt>
                <c:pt idx="56">
                  <c:v>46</c:v>
                </c:pt>
                <c:pt idx="57">
                  <c:v>47</c:v>
                </c:pt>
                <c:pt idx="58">
                  <c:v>48</c:v>
                </c:pt>
                <c:pt idx="59">
                  <c:v>49</c:v>
                </c:pt>
                <c:pt idx="60">
                  <c:v>50</c:v>
                </c:pt>
                <c:pt idx="61">
                  <c:v>51</c:v>
                </c:pt>
                <c:pt idx="62">
                  <c:v>52</c:v>
                </c:pt>
                <c:pt idx="63">
                  <c:v>53</c:v>
                </c:pt>
                <c:pt idx="64">
                  <c:v>54</c:v>
                </c:pt>
                <c:pt idx="65">
                  <c:v>55</c:v>
                </c:pt>
                <c:pt idx="66">
                  <c:v>56</c:v>
                </c:pt>
                <c:pt idx="67">
                  <c:v>57</c:v>
                </c:pt>
                <c:pt idx="68">
                  <c:v>58</c:v>
                </c:pt>
                <c:pt idx="69">
                  <c:v>59</c:v>
                </c:pt>
                <c:pt idx="70">
                  <c:v>60</c:v>
                </c:pt>
                <c:pt idx="71">
                  <c:v>61</c:v>
                </c:pt>
                <c:pt idx="72">
                  <c:v>62</c:v>
                </c:pt>
                <c:pt idx="73">
                  <c:v>63</c:v>
                </c:pt>
                <c:pt idx="74">
                  <c:v>64</c:v>
                </c:pt>
                <c:pt idx="75">
                  <c:v>65</c:v>
                </c:pt>
                <c:pt idx="76">
                  <c:v>66</c:v>
                </c:pt>
                <c:pt idx="77">
                  <c:v>67</c:v>
                </c:pt>
                <c:pt idx="78">
                  <c:v>68</c:v>
                </c:pt>
                <c:pt idx="79">
                  <c:v>69</c:v>
                </c:pt>
                <c:pt idx="80">
                  <c:v>70</c:v>
                </c:pt>
                <c:pt idx="81">
                  <c:v>71</c:v>
                </c:pt>
                <c:pt idx="82">
                  <c:v>72</c:v>
                </c:pt>
                <c:pt idx="83">
                  <c:v>73</c:v>
                </c:pt>
                <c:pt idx="84">
                  <c:v>74</c:v>
                </c:pt>
              </c:numCache>
            </c:numRef>
          </c:cat>
          <c:val>
            <c:numRef>
              <c:f>'4.3.2 Data_Tidsseriefigurer'!$M$142:$CS$142</c:f>
              <c:numCache>
                <c:formatCode>General</c:formatCode>
                <c:ptCount val="85"/>
                <c:pt idx="9">
                  <c:v>0</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pt idx="43">
                  <c:v>#N/A</c:v>
                </c:pt>
                <c:pt idx="44">
                  <c:v>#N/A</c:v>
                </c:pt>
                <c:pt idx="45">
                  <c:v>#N/A</c:v>
                </c:pt>
                <c:pt idx="46">
                  <c:v>#N/A</c:v>
                </c:pt>
                <c:pt idx="47">
                  <c:v>#N/A</c:v>
                </c:pt>
                <c:pt idx="48">
                  <c:v>#N/A</c:v>
                </c:pt>
                <c:pt idx="49">
                  <c:v>#N/A</c:v>
                </c:pt>
                <c:pt idx="50">
                  <c:v>#N/A</c:v>
                </c:pt>
                <c:pt idx="51">
                  <c:v>#N/A</c:v>
                </c:pt>
                <c:pt idx="52">
                  <c:v>#N/A</c:v>
                </c:pt>
                <c:pt idx="53">
                  <c:v>#N/A</c:v>
                </c:pt>
                <c:pt idx="54">
                  <c:v>#N/A</c:v>
                </c:pt>
                <c:pt idx="55">
                  <c:v>#N/A</c:v>
                </c:pt>
                <c:pt idx="56">
                  <c:v>#N/A</c:v>
                </c:pt>
                <c:pt idx="57">
                  <c:v>#N/A</c:v>
                </c:pt>
                <c:pt idx="58">
                  <c:v>#N/A</c:v>
                </c:pt>
                <c:pt idx="59">
                  <c:v>#N/A</c:v>
                </c:pt>
                <c:pt idx="60">
                  <c:v>#N/A</c:v>
                </c:pt>
                <c:pt idx="61">
                  <c:v>#N/A</c:v>
                </c:pt>
                <c:pt idx="62">
                  <c:v>#N/A</c:v>
                </c:pt>
                <c:pt idx="63">
                  <c:v>#N/A</c:v>
                </c:pt>
                <c:pt idx="64">
                  <c:v>#N/A</c:v>
                </c:pt>
                <c:pt idx="65">
                  <c:v>#N/A</c:v>
                </c:pt>
                <c:pt idx="66">
                  <c:v>#N/A</c:v>
                </c:pt>
                <c:pt idx="67">
                  <c:v>#N/A</c:v>
                </c:pt>
                <c:pt idx="68">
                  <c:v>#N/A</c:v>
                </c:pt>
                <c:pt idx="69">
                  <c:v>#N/A</c:v>
                </c:pt>
                <c:pt idx="70">
                  <c:v>#N/A</c:v>
                </c:pt>
                <c:pt idx="71">
                  <c:v>#N/A</c:v>
                </c:pt>
                <c:pt idx="72">
                  <c:v>#N/A</c:v>
                </c:pt>
                <c:pt idx="73">
                  <c:v>#N/A</c:v>
                </c:pt>
                <c:pt idx="74">
                  <c:v>#N/A</c:v>
                </c:pt>
                <c:pt idx="75">
                  <c:v>#N/A</c:v>
                </c:pt>
                <c:pt idx="76">
                  <c:v>#N/A</c:v>
                </c:pt>
                <c:pt idx="77">
                  <c:v>#N/A</c:v>
                </c:pt>
                <c:pt idx="78">
                  <c:v>#N/A</c:v>
                </c:pt>
                <c:pt idx="79">
                  <c:v>#N/A</c:v>
                </c:pt>
                <c:pt idx="80">
                  <c:v>#N/A</c:v>
                </c:pt>
                <c:pt idx="81">
                  <c:v>#N/A</c:v>
                </c:pt>
                <c:pt idx="82">
                  <c:v>#N/A</c:v>
                </c:pt>
                <c:pt idx="83">
                  <c:v>#N/A</c:v>
                </c:pt>
                <c:pt idx="84">
                  <c:v>#N/A</c:v>
                </c:pt>
              </c:numCache>
            </c:numRef>
          </c:val>
          <c:smooth val="0"/>
          <c:extLst>
            <c:ext xmlns:c16="http://schemas.microsoft.com/office/drawing/2014/chart" uri="{C3380CC4-5D6E-409C-BE32-E72D297353CC}">
              <c16:uniqueId val="{00000001-FCE1-4EB5-97D1-FF348DE5AF7E}"/>
            </c:ext>
          </c:extLst>
        </c:ser>
        <c:ser>
          <c:idx val="2"/>
          <c:order val="1"/>
          <c:tx>
            <c:strRef>
              <c:f>'4.3.2 Data_Tidsseriefigurer'!$B$143</c:f>
              <c:strCache>
                <c:ptCount val="1"/>
                <c:pt idx="0">
                  <c:v>Jernbane - Godstog</c:v>
                </c:pt>
              </c:strCache>
            </c:strRef>
          </c:tx>
          <c:spPr>
            <a:ln w="28575" cap="rnd">
              <a:solidFill>
                <a:schemeClr val="accent3"/>
              </a:solidFill>
              <a:round/>
            </a:ln>
            <a:effectLst/>
          </c:spPr>
          <c:marker>
            <c:symbol val="none"/>
          </c:marker>
          <c:cat>
            <c:numRef>
              <c:f>'4.3.2 Data_Tidsseriefigurer'!$M$141:$CS$141</c:f>
              <c:numCache>
                <c:formatCode>General</c:formatCode>
                <c:ptCount val="85"/>
                <c:pt idx="0">
                  <c:v>-10</c:v>
                </c:pt>
                <c:pt idx="1">
                  <c:v>-9</c:v>
                </c:pt>
                <c:pt idx="2">
                  <c:v>-8</c:v>
                </c:pt>
                <c:pt idx="3">
                  <c:v>-7</c:v>
                </c:pt>
                <c:pt idx="4">
                  <c:v>-6</c:v>
                </c:pt>
                <c:pt idx="5">
                  <c:v>-5</c:v>
                </c:pt>
                <c:pt idx="6">
                  <c:v>-4</c:v>
                </c:pt>
                <c:pt idx="7">
                  <c:v>-3</c:v>
                </c:pt>
                <c:pt idx="8">
                  <c:v>-2</c:v>
                </c:pt>
                <c:pt idx="9">
                  <c:v>-1</c:v>
                </c:pt>
                <c:pt idx="10">
                  <c:v>0</c:v>
                </c:pt>
                <c:pt idx="11">
                  <c:v>1</c:v>
                </c:pt>
                <c:pt idx="12">
                  <c:v>2</c:v>
                </c:pt>
                <c:pt idx="13">
                  <c:v>3</c:v>
                </c:pt>
                <c:pt idx="14">
                  <c:v>4</c:v>
                </c:pt>
                <c:pt idx="15">
                  <c:v>5</c:v>
                </c:pt>
                <c:pt idx="16">
                  <c:v>6</c:v>
                </c:pt>
                <c:pt idx="17">
                  <c:v>7</c:v>
                </c:pt>
                <c:pt idx="18">
                  <c:v>8</c:v>
                </c:pt>
                <c:pt idx="19">
                  <c:v>9</c:v>
                </c:pt>
                <c:pt idx="20">
                  <c:v>10</c:v>
                </c:pt>
                <c:pt idx="21">
                  <c:v>11</c:v>
                </c:pt>
                <c:pt idx="22">
                  <c:v>12</c:v>
                </c:pt>
                <c:pt idx="23">
                  <c:v>13</c:v>
                </c:pt>
                <c:pt idx="24">
                  <c:v>14</c:v>
                </c:pt>
                <c:pt idx="25">
                  <c:v>15</c:v>
                </c:pt>
                <c:pt idx="26">
                  <c:v>16</c:v>
                </c:pt>
                <c:pt idx="27">
                  <c:v>17</c:v>
                </c:pt>
                <c:pt idx="28">
                  <c:v>18</c:v>
                </c:pt>
                <c:pt idx="29">
                  <c:v>19</c:v>
                </c:pt>
                <c:pt idx="30">
                  <c:v>20</c:v>
                </c:pt>
                <c:pt idx="31">
                  <c:v>21</c:v>
                </c:pt>
                <c:pt idx="32">
                  <c:v>22</c:v>
                </c:pt>
                <c:pt idx="33">
                  <c:v>23</c:v>
                </c:pt>
                <c:pt idx="34">
                  <c:v>24</c:v>
                </c:pt>
                <c:pt idx="35">
                  <c:v>25</c:v>
                </c:pt>
                <c:pt idx="36">
                  <c:v>26</c:v>
                </c:pt>
                <c:pt idx="37">
                  <c:v>27</c:v>
                </c:pt>
                <c:pt idx="38">
                  <c:v>28</c:v>
                </c:pt>
                <c:pt idx="39">
                  <c:v>29</c:v>
                </c:pt>
                <c:pt idx="40">
                  <c:v>30</c:v>
                </c:pt>
                <c:pt idx="41">
                  <c:v>31</c:v>
                </c:pt>
                <c:pt idx="42">
                  <c:v>32</c:v>
                </c:pt>
                <c:pt idx="43">
                  <c:v>33</c:v>
                </c:pt>
                <c:pt idx="44">
                  <c:v>34</c:v>
                </c:pt>
                <c:pt idx="45">
                  <c:v>35</c:v>
                </c:pt>
                <c:pt idx="46">
                  <c:v>36</c:v>
                </c:pt>
                <c:pt idx="47">
                  <c:v>37</c:v>
                </c:pt>
                <c:pt idx="48">
                  <c:v>38</c:v>
                </c:pt>
                <c:pt idx="49">
                  <c:v>39</c:v>
                </c:pt>
                <c:pt idx="50">
                  <c:v>40</c:v>
                </c:pt>
                <c:pt idx="51">
                  <c:v>41</c:v>
                </c:pt>
                <c:pt idx="52">
                  <c:v>42</c:v>
                </c:pt>
                <c:pt idx="53">
                  <c:v>43</c:v>
                </c:pt>
                <c:pt idx="54">
                  <c:v>44</c:v>
                </c:pt>
                <c:pt idx="55">
                  <c:v>45</c:v>
                </c:pt>
                <c:pt idx="56">
                  <c:v>46</c:v>
                </c:pt>
                <c:pt idx="57">
                  <c:v>47</c:v>
                </c:pt>
                <c:pt idx="58">
                  <c:v>48</c:v>
                </c:pt>
                <c:pt idx="59">
                  <c:v>49</c:v>
                </c:pt>
                <c:pt idx="60">
                  <c:v>50</c:v>
                </c:pt>
                <c:pt idx="61">
                  <c:v>51</c:v>
                </c:pt>
                <c:pt idx="62">
                  <c:v>52</c:v>
                </c:pt>
                <c:pt idx="63">
                  <c:v>53</c:v>
                </c:pt>
                <c:pt idx="64">
                  <c:v>54</c:v>
                </c:pt>
                <c:pt idx="65">
                  <c:v>55</c:v>
                </c:pt>
                <c:pt idx="66">
                  <c:v>56</c:v>
                </c:pt>
                <c:pt idx="67">
                  <c:v>57</c:v>
                </c:pt>
                <c:pt idx="68">
                  <c:v>58</c:v>
                </c:pt>
                <c:pt idx="69">
                  <c:v>59</c:v>
                </c:pt>
                <c:pt idx="70">
                  <c:v>60</c:v>
                </c:pt>
                <c:pt idx="71">
                  <c:v>61</c:v>
                </c:pt>
                <c:pt idx="72">
                  <c:v>62</c:v>
                </c:pt>
                <c:pt idx="73">
                  <c:v>63</c:v>
                </c:pt>
                <c:pt idx="74">
                  <c:v>64</c:v>
                </c:pt>
                <c:pt idx="75">
                  <c:v>65</c:v>
                </c:pt>
                <c:pt idx="76">
                  <c:v>66</c:v>
                </c:pt>
                <c:pt idx="77">
                  <c:v>67</c:v>
                </c:pt>
                <c:pt idx="78">
                  <c:v>68</c:v>
                </c:pt>
                <c:pt idx="79">
                  <c:v>69</c:v>
                </c:pt>
                <c:pt idx="80">
                  <c:v>70</c:v>
                </c:pt>
                <c:pt idx="81">
                  <c:v>71</c:v>
                </c:pt>
                <c:pt idx="82">
                  <c:v>72</c:v>
                </c:pt>
                <c:pt idx="83">
                  <c:v>73</c:v>
                </c:pt>
                <c:pt idx="84">
                  <c:v>74</c:v>
                </c:pt>
              </c:numCache>
            </c:numRef>
          </c:cat>
          <c:val>
            <c:numRef>
              <c:f>'4.3.2 Data_Tidsseriefigurer'!$M$143:$CS$143</c:f>
              <c:numCache>
                <c:formatCode>General</c:formatCode>
                <c:ptCount val="85"/>
                <c:pt idx="9">
                  <c:v>0</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pt idx="43">
                  <c:v>#N/A</c:v>
                </c:pt>
                <c:pt idx="44">
                  <c:v>#N/A</c:v>
                </c:pt>
                <c:pt idx="45">
                  <c:v>#N/A</c:v>
                </c:pt>
                <c:pt idx="46">
                  <c:v>#N/A</c:v>
                </c:pt>
                <c:pt idx="47">
                  <c:v>#N/A</c:v>
                </c:pt>
                <c:pt idx="48">
                  <c:v>#N/A</c:v>
                </c:pt>
                <c:pt idx="49">
                  <c:v>#N/A</c:v>
                </c:pt>
                <c:pt idx="50">
                  <c:v>#N/A</c:v>
                </c:pt>
                <c:pt idx="51">
                  <c:v>#N/A</c:v>
                </c:pt>
                <c:pt idx="52">
                  <c:v>#N/A</c:v>
                </c:pt>
                <c:pt idx="53">
                  <c:v>#N/A</c:v>
                </c:pt>
                <c:pt idx="54">
                  <c:v>#N/A</c:v>
                </c:pt>
                <c:pt idx="55">
                  <c:v>#N/A</c:v>
                </c:pt>
                <c:pt idx="56">
                  <c:v>#N/A</c:v>
                </c:pt>
                <c:pt idx="57">
                  <c:v>#N/A</c:v>
                </c:pt>
                <c:pt idx="58">
                  <c:v>#N/A</c:v>
                </c:pt>
                <c:pt idx="59">
                  <c:v>#N/A</c:v>
                </c:pt>
                <c:pt idx="60">
                  <c:v>#N/A</c:v>
                </c:pt>
                <c:pt idx="61">
                  <c:v>#N/A</c:v>
                </c:pt>
                <c:pt idx="62">
                  <c:v>#N/A</c:v>
                </c:pt>
                <c:pt idx="63">
                  <c:v>#N/A</c:v>
                </c:pt>
                <c:pt idx="64">
                  <c:v>#N/A</c:v>
                </c:pt>
                <c:pt idx="65">
                  <c:v>#N/A</c:v>
                </c:pt>
                <c:pt idx="66">
                  <c:v>#N/A</c:v>
                </c:pt>
                <c:pt idx="67">
                  <c:v>#N/A</c:v>
                </c:pt>
                <c:pt idx="68">
                  <c:v>#N/A</c:v>
                </c:pt>
                <c:pt idx="69">
                  <c:v>#N/A</c:v>
                </c:pt>
                <c:pt idx="70">
                  <c:v>#N/A</c:v>
                </c:pt>
                <c:pt idx="71">
                  <c:v>#N/A</c:v>
                </c:pt>
                <c:pt idx="72">
                  <c:v>#N/A</c:v>
                </c:pt>
                <c:pt idx="73">
                  <c:v>#N/A</c:v>
                </c:pt>
                <c:pt idx="74">
                  <c:v>#N/A</c:v>
                </c:pt>
                <c:pt idx="75">
                  <c:v>#N/A</c:v>
                </c:pt>
                <c:pt idx="76">
                  <c:v>#N/A</c:v>
                </c:pt>
                <c:pt idx="77">
                  <c:v>#N/A</c:v>
                </c:pt>
                <c:pt idx="78">
                  <c:v>#N/A</c:v>
                </c:pt>
                <c:pt idx="79">
                  <c:v>#N/A</c:v>
                </c:pt>
                <c:pt idx="80">
                  <c:v>#N/A</c:v>
                </c:pt>
                <c:pt idx="81">
                  <c:v>#N/A</c:v>
                </c:pt>
                <c:pt idx="82">
                  <c:v>#N/A</c:v>
                </c:pt>
                <c:pt idx="83">
                  <c:v>#N/A</c:v>
                </c:pt>
                <c:pt idx="84">
                  <c:v>#N/A</c:v>
                </c:pt>
              </c:numCache>
            </c:numRef>
          </c:val>
          <c:smooth val="0"/>
          <c:extLst>
            <c:ext xmlns:c16="http://schemas.microsoft.com/office/drawing/2014/chart" uri="{C3380CC4-5D6E-409C-BE32-E72D297353CC}">
              <c16:uniqueId val="{00000002-FCE1-4EB5-97D1-FF348DE5AF7E}"/>
            </c:ext>
          </c:extLst>
        </c:ser>
        <c:ser>
          <c:idx val="3"/>
          <c:order val="2"/>
          <c:tx>
            <c:strRef>
              <c:f>'4.3.2 Data_Tidsseriefigurer'!$B$144</c:f>
              <c:strCache>
                <c:ptCount val="1"/>
                <c:pt idx="0">
                  <c:v>Personbil</c:v>
                </c:pt>
              </c:strCache>
            </c:strRef>
          </c:tx>
          <c:spPr>
            <a:ln w="28575" cap="rnd">
              <a:solidFill>
                <a:schemeClr val="accent4"/>
              </a:solidFill>
              <a:round/>
            </a:ln>
            <a:effectLst/>
          </c:spPr>
          <c:marker>
            <c:symbol val="none"/>
          </c:marker>
          <c:cat>
            <c:numRef>
              <c:f>'4.3.2 Data_Tidsseriefigurer'!$M$141:$CS$141</c:f>
              <c:numCache>
                <c:formatCode>General</c:formatCode>
                <c:ptCount val="85"/>
                <c:pt idx="0">
                  <c:v>-10</c:v>
                </c:pt>
                <c:pt idx="1">
                  <c:v>-9</c:v>
                </c:pt>
                <c:pt idx="2">
                  <c:v>-8</c:v>
                </c:pt>
                <c:pt idx="3">
                  <c:v>-7</c:v>
                </c:pt>
                <c:pt idx="4">
                  <c:v>-6</c:v>
                </c:pt>
                <c:pt idx="5">
                  <c:v>-5</c:v>
                </c:pt>
                <c:pt idx="6">
                  <c:v>-4</c:v>
                </c:pt>
                <c:pt idx="7">
                  <c:v>-3</c:v>
                </c:pt>
                <c:pt idx="8">
                  <c:v>-2</c:v>
                </c:pt>
                <c:pt idx="9">
                  <c:v>-1</c:v>
                </c:pt>
                <c:pt idx="10">
                  <c:v>0</c:v>
                </c:pt>
                <c:pt idx="11">
                  <c:v>1</c:v>
                </c:pt>
                <c:pt idx="12">
                  <c:v>2</c:v>
                </c:pt>
                <c:pt idx="13">
                  <c:v>3</c:v>
                </c:pt>
                <c:pt idx="14">
                  <c:v>4</c:v>
                </c:pt>
                <c:pt idx="15">
                  <c:v>5</c:v>
                </c:pt>
                <c:pt idx="16">
                  <c:v>6</c:v>
                </c:pt>
                <c:pt idx="17">
                  <c:v>7</c:v>
                </c:pt>
                <c:pt idx="18">
                  <c:v>8</c:v>
                </c:pt>
                <c:pt idx="19">
                  <c:v>9</c:v>
                </c:pt>
                <c:pt idx="20">
                  <c:v>10</c:v>
                </c:pt>
                <c:pt idx="21">
                  <c:v>11</c:v>
                </c:pt>
                <c:pt idx="22">
                  <c:v>12</c:v>
                </c:pt>
                <c:pt idx="23">
                  <c:v>13</c:v>
                </c:pt>
                <c:pt idx="24">
                  <c:v>14</c:v>
                </c:pt>
                <c:pt idx="25">
                  <c:v>15</c:v>
                </c:pt>
                <c:pt idx="26">
                  <c:v>16</c:v>
                </c:pt>
                <c:pt idx="27">
                  <c:v>17</c:v>
                </c:pt>
                <c:pt idx="28">
                  <c:v>18</c:v>
                </c:pt>
                <c:pt idx="29">
                  <c:v>19</c:v>
                </c:pt>
                <c:pt idx="30">
                  <c:v>20</c:v>
                </c:pt>
                <c:pt idx="31">
                  <c:v>21</c:v>
                </c:pt>
                <c:pt idx="32">
                  <c:v>22</c:v>
                </c:pt>
                <c:pt idx="33">
                  <c:v>23</c:v>
                </c:pt>
                <c:pt idx="34">
                  <c:v>24</c:v>
                </c:pt>
                <c:pt idx="35">
                  <c:v>25</c:v>
                </c:pt>
                <c:pt idx="36">
                  <c:v>26</c:v>
                </c:pt>
                <c:pt idx="37">
                  <c:v>27</c:v>
                </c:pt>
                <c:pt idx="38">
                  <c:v>28</c:v>
                </c:pt>
                <c:pt idx="39">
                  <c:v>29</c:v>
                </c:pt>
                <c:pt idx="40">
                  <c:v>30</c:v>
                </c:pt>
                <c:pt idx="41">
                  <c:v>31</c:v>
                </c:pt>
                <c:pt idx="42">
                  <c:v>32</c:v>
                </c:pt>
                <c:pt idx="43">
                  <c:v>33</c:v>
                </c:pt>
                <c:pt idx="44">
                  <c:v>34</c:v>
                </c:pt>
                <c:pt idx="45">
                  <c:v>35</c:v>
                </c:pt>
                <c:pt idx="46">
                  <c:v>36</c:v>
                </c:pt>
                <c:pt idx="47">
                  <c:v>37</c:v>
                </c:pt>
                <c:pt idx="48">
                  <c:v>38</c:v>
                </c:pt>
                <c:pt idx="49">
                  <c:v>39</c:v>
                </c:pt>
                <c:pt idx="50">
                  <c:v>40</c:v>
                </c:pt>
                <c:pt idx="51">
                  <c:v>41</c:v>
                </c:pt>
                <c:pt idx="52">
                  <c:v>42</c:v>
                </c:pt>
                <c:pt idx="53">
                  <c:v>43</c:v>
                </c:pt>
                <c:pt idx="54">
                  <c:v>44</c:v>
                </c:pt>
                <c:pt idx="55">
                  <c:v>45</c:v>
                </c:pt>
                <c:pt idx="56">
                  <c:v>46</c:v>
                </c:pt>
                <c:pt idx="57">
                  <c:v>47</c:v>
                </c:pt>
                <c:pt idx="58">
                  <c:v>48</c:v>
                </c:pt>
                <c:pt idx="59">
                  <c:v>49</c:v>
                </c:pt>
                <c:pt idx="60">
                  <c:v>50</c:v>
                </c:pt>
                <c:pt idx="61">
                  <c:v>51</c:v>
                </c:pt>
                <c:pt idx="62">
                  <c:v>52</c:v>
                </c:pt>
                <c:pt idx="63">
                  <c:v>53</c:v>
                </c:pt>
                <c:pt idx="64">
                  <c:v>54</c:v>
                </c:pt>
                <c:pt idx="65">
                  <c:v>55</c:v>
                </c:pt>
                <c:pt idx="66">
                  <c:v>56</c:v>
                </c:pt>
                <c:pt idx="67">
                  <c:v>57</c:v>
                </c:pt>
                <c:pt idx="68">
                  <c:v>58</c:v>
                </c:pt>
                <c:pt idx="69">
                  <c:v>59</c:v>
                </c:pt>
                <c:pt idx="70">
                  <c:v>60</c:v>
                </c:pt>
                <c:pt idx="71">
                  <c:v>61</c:v>
                </c:pt>
                <c:pt idx="72">
                  <c:v>62</c:v>
                </c:pt>
                <c:pt idx="73">
                  <c:v>63</c:v>
                </c:pt>
                <c:pt idx="74">
                  <c:v>64</c:v>
                </c:pt>
                <c:pt idx="75">
                  <c:v>65</c:v>
                </c:pt>
                <c:pt idx="76">
                  <c:v>66</c:v>
                </c:pt>
                <c:pt idx="77">
                  <c:v>67</c:v>
                </c:pt>
                <c:pt idx="78">
                  <c:v>68</c:v>
                </c:pt>
                <c:pt idx="79">
                  <c:v>69</c:v>
                </c:pt>
                <c:pt idx="80">
                  <c:v>70</c:v>
                </c:pt>
                <c:pt idx="81">
                  <c:v>71</c:v>
                </c:pt>
                <c:pt idx="82">
                  <c:v>72</c:v>
                </c:pt>
                <c:pt idx="83">
                  <c:v>73</c:v>
                </c:pt>
                <c:pt idx="84">
                  <c:v>74</c:v>
                </c:pt>
              </c:numCache>
            </c:numRef>
          </c:cat>
          <c:val>
            <c:numRef>
              <c:f>'4.3.2 Data_Tidsseriefigurer'!$M$144:$CS$144</c:f>
              <c:numCache>
                <c:formatCode>General</c:formatCode>
                <c:ptCount val="85"/>
                <c:pt idx="9">
                  <c:v>0</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pt idx="43">
                  <c:v>#N/A</c:v>
                </c:pt>
                <c:pt idx="44">
                  <c:v>#N/A</c:v>
                </c:pt>
                <c:pt idx="45">
                  <c:v>#N/A</c:v>
                </c:pt>
                <c:pt idx="46">
                  <c:v>#N/A</c:v>
                </c:pt>
                <c:pt idx="47">
                  <c:v>#N/A</c:v>
                </c:pt>
                <c:pt idx="48">
                  <c:v>#N/A</c:v>
                </c:pt>
                <c:pt idx="49">
                  <c:v>#N/A</c:v>
                </c:pt>
                <c:pt idx="50">
                  <c:v>#N/A</c:v>
                </c:pt>
                <c:pt idx="51">
                  <c:v>#N/A</c:v>
                </c:pt>
                <c:pt idx="52">
                  <c:v>#N/A</c:v>
                </c:pt>
                <c:pt idx="53">
                  <c:v>#N/A</c:v>
                </c:pt>
                <c:pt idx="54">
                  <c:v>#N/A</c:v>
                </c:pt>
                <c:pt idx="55">
                  <c:v>#N/A</c:v>
                </c:pt>
                <c:pt idx="56">
                  <c:v>#N/A</c:v>
                </c:pt>
                <c:pt idx="57">
                  <c:v>#N/A</c:v>
                </c:pt>
                <c:pt idx="58">
                  <c:v>#N/A</c:v>
                </c:pt>
                <c:pt idx="59">
                  <c:v>#N/A</c:v>
                </c:pt>
                <c:pt idx="60">
                  <c:v>#N/A</c:v>
                </c:pt>
                <c:pt idx="61">
                  <c:v>#N/A</c:v>
                </c:pt>
                <c:pt idx="62">
                  <c:v>#N/A</c:v>
                </c:pt>
                <c:pt idx="63">
                  <c:v>#N/A</c:v>
                </c:pt>
                <c:pt idx="64">
                  <c:v>#N/A</c:v>
                </c:pt>
                <c:pt idx="65">
                  <c:v>#N/A</c:v>
                </c:pt>
                <c:pt idx="66">
                  <c:v>#N/A</c:v>
                </c:pt>
                <c:pt idx="67">
                  <c:v>#N/A</c:v>
                </c:pt>
                <c:pt idx="68">
                  <c:v>#N/A</c:v>
                </c:pt>
                <c:pt idx="69">
                  <c:v>#N/A</c:v>
                </c:pt>
                <c:pt idx="70">
                  <c:v>#N/A</c:v>
                </c:pt>
                <c:pt idx="71">
                  <c:v>#N/A</c:v>
                </c:pt>
                <c:pt idx="72">
                  <c:v>#N/A</c:v>
                </c:pt>
                <c:pt idx="73">
                  <c:v>#N/A</c:v>
                </c:pt>
                <c:pt idx="74">
                  <c:v>#N/A</c:v>
                </c:pt>
                <c:pt idx="75">
                  <c:v>#N/A</c:v>
                </c:pt>
                <c:pt idx="76">
                  <c:v>#N/A</c:v>
                </c:pt>
                <c:pt idx="77">
                  <c:v>#N/A</c:v>
                </c:pt>
                <c:pt idx="78">
                  <c:v>#N/A</c:v>
                </c:pt>
                <c:pt idx="79">
                  <c:v>#N/A</c:v>
                </c:pt>
                <c:pt idx="80">
                  <c:v>#N/A</c:v>
                </c:pt>
                <c:pt idx="81">
                  <c:v>#N/A</c:v>
                </c:pt>
                <c:pt idx="82">
                  <c:v>#N/A</c:v>
                </c:pt>
                <c:pt idx="83">
                  <c:v>#N/A</c:v>
                </c:pt>
                <c:pt idx="84">
                  <c:v>#N/A</c:v>
                </c:pt>
              </c:numCache>
            </c:numRef>
          </c:val>
          <c:smooth val="0"/>
          <c:extLst>
            <c:ext xmlns:c16="http://schemas.microsoft.com/office/drawing/2014/chart" uri="{C3380CC4-5D6E-409C-BE32-E72D297353CC}">
              <c16:uniqueId val="{00000003-FCE1-4EB5-97D1-FF348DE5AF7E}"/>
            </c:ext>
          </c:extLst>
        </c:ser>
        <c:ser>
          <c:idx val="4"/>
          <c:order val="3"/>
          <c:tx>
            <c:strRef>
              <c:f>'4.3.2 Data_Tidsseriefigurer'!$B$145</c:f>
              <c:strCache>
                <c:ptCount val="1"/>
                <c:pt idx="0">
                  <c:v>Buss</c:v>
                </c:pt>
              </c:strCache>
            </c:strRef>
          </c:tx>
          <c:spPr>
            <a:ln w="28575" cap="rnd">
              <a:solidFill>
                <a:schemeClr val="accent5"/>
              </a:solidFill>
              <a:round/>
            </a:ln>
            <a:effectLst/>
          </c:spPr>
          <c:marker>
            <c:symbol val="none"/>
          </c:marker>
          <c:cat>
            <c:numRef>
              <c:f>'4.3.2 Data_Tidsseriefigurer'!$M$141:$CS$141</c:f>
              <c:numCache>
                <c:formatCode>General</c:formatCode>
                <c:ptCount val="85"/>
                <c:pt idx="0">
                  <c:v>-10</c:v>
                </c:pt>
                <c:pt idx="1">
                  <c:v>-9</c:v>
                </c:pt>
                <c:pt idx="2">
                  <c:v>-8</c:v>
                </c:pt>
                <c:pt idx="3">
                  <c:v>-7</c:v>
                </c:pt>
                <c:pt idx="4">
                  <c:v>-6</c:v>
                </c:pt>
                <c:pt idx="5">
                  <c:v>-5</c:v>
                </c:pt>
                <c:pt idx="6">
                  <c:v>-4</c:v>
                </c:pt>
                <c:pt idx="7">
                  <c:v>-3</c:v>
                </c:pt>
                <c:pt idx="8">
                  <c:v>-2</c:v>
                </c:pt>
                <c:pt idx="9">
                  <c:v>-1</c:v>
                </c:pt>
                <c:pt idx="10">
                  <c:v>0</c:v>
                </c:pt>
                <c:pt idx="11">
                  <c:v>1</c:v>
                </c:pt>
                <c:pt idx="12">
                  <c:v>2</c:v>
                </c:pt>
                <c:pt idx="13">
                  <c:v>3</c:v>
                </c:pt>
                <c:pt idx="14">
                  <c:v>4</c:v>
                </c:pt>
                <c:pt idx="15">
                  <c:v>5</c:v>
                </c:pt>
                <c:pt idx="16">
                  <c:v>6</c:v>
                </c:pt>
                <c:pt idx="17">
                  <c:v>7</c:v>
                </c:pt>
                <c:pt idx="18">
                  <c:v>8</c:v>
                </c:pt>
                <c:pt idx="19">
                  <c:v>9</c:v>
                </c:pt>
                <c:pt idx="20">
                  <c:v>10</c:v>
                </c:pt>
                <c:pt idx="21">
                  <c:v>11</c:v>
                </c:pt>
                <c:pt idx="22">
                  <c:v>12</c:v>
                </c:pt>
                <c:pt idx="23">
                  <c:v>13</c:v>
                </c:pt>
                <c:pt idx="24">
                  <c:v>14</c:v>
                </c:pt>
                <c:pt idx="25">
                  <c:v>15</c:v>
                </c:pt>
                <c:pt idx="26">
                  <c:v>16</c:v>
                </c:pt>
                <c:pt idx="27">
                  <c:v>17</c:v>
                </c:pt>
                <c:pt idx="28">
                  <c:v>18</c:v>
                </c:pt>
                <c:pt idx="29">
                  <c:v>19</c:v>
                </c:pt>
                <c:pt idx="30">
                  <c:v>20</c:v>
                </c:pt>
                <c:pt idx="31">
                  <c:v>21</c:v>
                </c:pt>
                <c:pt idx="32">
                  <c:v>22</c:v>
                </c:pt>
                <c:pt idx="33">
                  <c:v>23</c:v>
                </c:pt>
                <c:pt idx="34">
                  <c:v>24</c:v>
                </c:pt>
                <c:pt idx="35">
                  <c:v>25</c:v>
                </c:pt>
                <c:pt idx="36">
                  <c:v>26</c:v>
                </c:pt>
                <c:pt idx="37">
                  <c:v>27</c:v>
                </c:pt>
                <c:pt idx="38">
                  <c:v>28</c:v>
                </c:pt>
                <c:pt idx="39">
                  <c:v>29</c:v>
                </c:pt>
                <c:pt idx="40">
                  <c:v>30</c:v>
                </c:pt>
                <c:pt idx="41">
                  <c:v>31</c:v>
                </c:pt>
                <c:pt idx="42">
                  <c:v>32</c:v>
                </c:pt>
                <c:pt idx="43">
                  <c:v>33</c:v>
                </c:pt>
                <c:pt idx="44">
                  <c:v>34</c:v>
                </c:pt>
                <c:pt idx="45">
                  <c:v>35</c:v>
                </c:pt>
                <c:pt idx="46">
                  <c:v>36</c:v>
                </c:pt>
                <c:pt idx="47">
                  <c:v>37</c:v>
                </c:pt>
                <c:pt idx="48">
                  <c:v>38</c:v>
                </c:pt>
                <c:pt idx="49">
                  <c:v>39</c:v>
                </c:pt>
                <c:pt idx="50">
                  <c:v>40</c:v>
                </c:pt>
                <c:pt idx="51">
                  <c:v>41</c:v>
                </c:pt>
                <c:pt idx="52">
                  <c:v>42</c:v>
                </c:pt>
                <c:pt idx="53">
                  <c:v>43</c:v>
                </c:pt>
                <c:pt idx="54">
                  <c:v>44</c:v>
                </c:pt>
                <c:pt idx="55">
                  <c:v>45</c:v>
                </c:pt>
                <c:pt idx="56">
                  <c:v>46</c:v>
                </c:pt>
                <c:pt idx="57">
                  <c:v>47</c:v>
                </c:pt>
                <c:pt idx="58">
                  <c:v>48</c:v>
                </c:pt>
                <c:pt idx="59">
                  <c:v>49</c:v>
                </c:pt>
                <c:pt idx="60">
                  <c:v>50</c:v>
                </c:pt>
                <c:pt idx="61">
                  <c:v>51</c:v>
                </c:pt>
                <c:pt idx="62">
                  <c:v>52</c:v>
                </c:pt>
                <c:pt idx="63">
                  <c:v>53</c:v>
                </c:pt>
                <c:pt idx="64">
                  <c:v>54</c:v>
                </c:pt>
                <c:pt idx="65">
                  <c:v>55</c:v>
                </c:pt>
                <c:pt idx="66">
                  <c:v>56</c:v>
                </c:pt>
                <c:pt idx="67">
                  <c:v>57</c:v>
                </c:pt>
                <c:pt idx="68">
                  <c:v>58</c:v>
                </c:pt>
                <c:pt idx="69">
                  <c:v>59</c:v>
                </c:pt>
                <c:pt idx="70">
                  <c:v>60</c:v>
                </c:pt>
                <c:pt idx="71">
                  <c:v>61</c:v>
                </c:pt>
                <c:pt idx="72">
                  <c:v>62</c:v>
                </c:pt>
                <c:pt idx="73">
                  <c:v>63</c:v>
                </c:pt>
                <c:pt idx="74">
                  <c:v>64</c:v>
                </c:pt>
                <c:pt idx="75">
                  <c:v>65</c:v>
                </c:pt>
                <c:pt idx="76">
                  <c:v>66</c:v>
                </c:pt>
                <c:pt idx="77">
                  <c:v>67</c:v>
                </c:pt>
                <c:pt idx="78">
                  <c:v>68</c:v>
                </c:pt>
                <c:pt idx="79">
                  <c:v>69</c:v>
                </c:pt>
                <c:pt idx="80">
                  <c:v>70</c:v>
                </c:pt>
                <c:pt idx="81">
                  <c:v>71</c:v>
                </c:pt>
                <c:pt idx="82">
                  <c:v>72</c:v>
                </c:pt>
                <c:pt idx="83">
                  <c:v>73</c:v>
                </c:pt>
                <c:pt idx="84">
                  <c:v>74</c:v>
                </c:pt>
              </c:numCache>
            </c:numRef>
          </c:cat>
          <c:val>
            <c:numRef>
              <c:f>'4.3.2 Data_Tidsseriefigurer'!$M$145:$CS$145</c:f>
              <c:numCache>
                <c:formatCode>General</c:formatCode>
                <c:ptCount val="85"/>
                <c:pt idx="9">
                  <c:v>0</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pt idx="43">
                  <c:v>#N/A</c:v>
                </c:pt>
                <c:pt idx="44">
                  <c:v>#N/A</c:v>
                </c:pt>
                <c:pt idx="45">
                  <c:v>#N/A</c:v>
                </c:pt>
                <c:pt idx="46">
                  <c:v>#N/A</c:v>
                </c:pt>
                <c:pt idx="47">
                  <c:v>#N/A</c:v>
                </c:pt>
                <c:pt idx="48">
                  <c:v>#N/A</c:v>
                </c:pt>
                <c:pt idx="49">
                  <c:v>#N/A</c:v>
                </c:pt>
                <c:pt idx="50">
                  <c:v>#N/A</c:v>
                </c:pt>
                <c:pt idx="51">
                  <c:v>#N/A</c:v>
                </c:pt>
                <c:pt idx="52">
                  <c:v>#N/A</c:v>
                </c:pt>
                <c:pt idx="53">
                  <c:v>#N/A</c:v>
                </c:pt>
                <c:pt idx="54">
                  <c:v>#N/A</c:v>
                </c:pt>
                <c:pt idx="55">
                  <c:v>#N/A</c:v>
                </c:pt>
                <c:pt idx="56">
                  <c:v>#N/A</c:v>
                </c:pt>
                <c:pt idx="57">
                  <c:v>#N/A</c:v>
                </c:pt>
                <c:pt idx="58">
                  <c:v>#N/A</c:v>
                </c:pt>
                <c:pt idx="59">
                  <c:v>#N/A</c:v>
                </c:pt>
                <c:pt idx="60">
                  <c:v>#N/A</c:v>
                </c:pt>
                <c:pt idx="61">
                  <c:v>#N/A</c:v>
                </c:pt>
                <c:pt idx="62">
                  <c:v>#N/A</c:v>
                </c:pt>
                <c:pt idx="63">
                  <c:v>#N/A</c:v>
                </c:pt>
                <c:pt idx="64">
                  <c:v>#N/A</c:v>
                </c:pt>
                <c:pt idx="65">
                  <c:v>#N/A</c:v>
                </c:pt>
                <c:pt idx="66">
                  <c:v>#N/A</c:v>
                </c:pt>
                <c:pt idx="67">
                  <c:v>#N/A</c:v>
                </c:pt>
                <c:pt idx="68">
                  <c:v>#N/A</c:v>
                </c:pt>
                <c:pt idx="69">
                  <c:v>#N/A</c:v>
                </c:pt>
                <c:pt idx="70">
                  <c:v>#N/A</c:v>
                </c:pt>
                <c:pt idx="71">
                  <c:v>#N/A</c:v>
                </c:pt>
                <c:pt idx="72">
                  <c:v>#N/A</c:v>
                </c:pt>
                <c:pt idx="73">
                  <c:v>#N/A</c:v>
                </c:pt>
                <c:pt idx="74">
                  <c:v>#N/A</c:v>
                </c:pt>
                <c:pt idx="75">
                  <c:v>#N/A</c:v>
                </c:pt>
                <c:pt idx="76">
                  <c:v>#N/A</c:v>
                </c:pt>
                <c:pt idx="77">
                  <c:v>#N/A</c:v>
                </c:pt>
                <c:pt idx="78">
                  <c:v>#N/A</c:v>
                </c:pt>
                <c:pt idx="79">
                  <c:v>#N/A</c:v>
                </c:pt>
                <c:pt idx="80">
                  <c:v>#N/A</c:v>
                </c:pt>
                <c:pt idx="81">
                  <c:v>#N/A</c:v>
                </c:pt>
                <c:pt idx="82">
                  <c:v>#N/A</c:v>
                </c:pt>
                <c:pt idx="83">
                  <c:v>#N/A</c:v>
                </c:pt>
                <c:pt idx="84">
                  <c:v>#N/A</c:v>
                </c:pt>
              </c:numCache>
            </c:numRef>
          </c:val>
          <c:smooth val="0"/>
          <c:extLst>
            <c:ext xmlns:c16="http://schemas.microsoft.com/office/drawing/2014/chart" uri="{C3380CC4-5D6E-409C-BE32-E72D297353CC}">
              <c16:uniqueId val="{00000004-FCE1-4EB5-97D1-FF348DE5AF7E}"/>
            </c:ext>
          </c:extLst>
        </c:ser>
        <c:ser>
          <c:idx val="5"/>
          <c:order val="4"/>
          <c:tx>
            <c:strRef>
              <c:f>'4.3.2 Data_Tidsseriefigurer'!$B$146</c:f>
              <c:strCache>
                <c:ptCount val="1"/>
                <c:pt idx="0">
                  <c:v>Passasjerfly</c:v>
                </c:pt>
              </c:strCache>
            </c:strRef>
          </c:tx>
          <c:spPr>
            <a:ln w="28575" cap="rnd">
              <a:solidFill>
                <a:schemeClr val="accent6"/>
              </a:solidFill>
              <a:round/>
            </a:ln>
            <a:effectLst/>
          </c:spPr>
          <c:marker>
            <c:symbol val="none"/>
          </c:marker>
          <c:cat>
            <c:numRef>
              <c:f>'4.3.2 Data_Tidsseriefigurer'!$M$141:$CS$141</c:f>
              <c:numCache>
                <c:formatCode>General</c:formatCode>
                <c:ptCount val="85"/>
                <c:pt idx="0">
                  <c:v>-10</c:v>
                </c:pt>
                <c:pt idx="1">
                  <c:v>-9</c:v>
                </c:pt>
                <c:pt idx="2">
                  <c:v>-8</c:v>
                </c:pt>
                <c:pt idx="3">
                  <c:v>-7</c:v>
                </c:pt>
                <c:pt idx="4">
                  <c:v>-6</c:v>
                </c:pt>
                <c:pt idx="5">
                  <c:v>-5</c:v>
                </c:pt>
                <c:pt idx="6">
                  <c:v>-4</c:v>
                </c:pt>
                <c:pt idx="7">
                  <c:v>-3</c:v>
                </c:pt>
                <c:pt idx="8">
                  <c:v>-2</c:v>
                </c:pt>
                <c:pt idx="9">
                  <c:v>-1</c:v>
                </c:pt>
                <c:pt idx="10">
                  <c:v>0</c:v>
                </c:pt>
                <c:pt idx="11">
                  <c:v>1</c:v>
                </c:pt>
                <c:pt idx="12">
                  <c:v>2</c:v>
                </c:pt>
                <c:pt idx="13">
                  <c:v>3</c:v>
                </c:pt>
                <c:pt idx="14">
                  <c:v>4</c:v>
                </c:pt>
                <c:pt idx="15">
                  <c:v>5</c:v>
                </c:pt>
                <c:pt idx="16">
                  <c:v>6</c:v>
                </c:pt>
                <c:pt idx="17">
                  <c:v>7</c:v>
                </c:pt>
                <c:pt idx="18">
                  <c:v>8</c:v>
                </c:pt>
                <c:pt idx="19">
                  <c:v>9</c:v>
                </c:pt>
                <c:pt idx="20">
                  <c:v>10</c:v>
                </c:pt>
                <c:pt idx="21">
                  <c:v>11</c:v>
                </c:pt>
                <c:pt idx="22">
                  <c:v>12</c:v>
                </c:pt>
                <c:pt idx="23">
                  <c:v>13</c:v>
                </c:pt>
                <c:pt idx="24">
                  <c:v>14</c:v>
                </c:pt>
                <c:pt idx="25">
                  <c:v>15</c:v>
                </c:pt>
                <c:pt idx="26">
                  <c:v>16</c:v>
                </c:pt>
                <c:pt idx="27">
                  <c:v>17</c:v>
                </c:pt>
                <c:pt idx="28">
                  <c:v>18</c:v>
                </c:pt>
                <c:pt idx="29">
                  <c:v>19</c:v>
                </c:pt>
                <c:pt idx="30">
                  <c:v>20</c:v>
                </c:pt>
                <c:pt idx="31">
                  <c:v>21</c:v>
                </c:pt>
                <c:pt idx="32">
                  <c:v>22</c:v>
                </c:pt>
                <c:pt idx="33">
                  <c:v>23</c:v>
                </c:pt>
                <c:pt idx="34">
                  <c:v>24</c:v>
                </c:pt>
                <c:pt idx="35">
                  <c:v>25</c:v>
                </c:pt>
                <c:pt idx="36">
                  <c:v>26</c:v>
                </c:pt>
                <c:pt idx="37">
                  <c:v>27</c:v>
                </c:pt>
                <c:pt idx="38">
                  <c:v>28</c:v>
                </c:pt>
                <c:pt idx="39">
                  <c:v>29</c:v>
                </c:pt>
                <c:pt idx="40">
                  <c:v>30</c:v>
                </c:pt>
                <c:pt idx="41">
                  <c:v>31</c:v>
                </c:pt>
                <c:pt idx="42">
                  <c:v>32</c:v>
                </c:pt>
                <c:pt idx="43">
                  <c:v>33</c:v>
                </c:pt>
                <c:pt idx="44">
                  <c:v>34</c:v>
                </c:pt>
                <c:pt idx="45">
                  <c:v>35</c:v>
                </c:pt>
                <c:pt idx="46">
                  <c:v>36</c:v>
                </c:pt>
                <c:pt idx="47">
                  <c:v>37</c:v>
                </c:pt>
                <c:pt idx="48">
                  <c:v>38</c:v>
                </c:pt>
                <c:pt idx="49">
                  <c:v>39</c:v>
                </c:pt>
                <c:pt idx="50">
                  <c:v>40</c:v>
                </c:pt>
                <c:pt idx="51">
                  <c:v>41</c:v>
                </c:pt>
                <c:pt idx="52">
                  <c:v>42</c:v>
                </c:pt>
                <c:pt idx="53">
                  <c:v>43</c:v>
                </c:pt>
                <c:pt idx="54">
                  <c:v>44</c:v>
                </c:pt>
                <c:pt idx="55">
                  <c:v>45</c:v>
                </c:pt>
                <c:pt idx="56">
                  <c:v>46</c:v>
                </c:pt>
                <c:pt idx="57">
                  <c:v>47</c:v>
                </c:pt>
                <c:pt idx="58">
                  <c:v>48</c:v>
                </c:pt>
                <c:pt idx="59">
                  <c:v>49</c:v>
                </c:pt>
                <c:pt idx="60">
                  <c:v>50</c:v>
                </c:pt>
                <c:pt idx="61">
                  <c:v>51</c:v>
                </c:pt>
                <c:pt idx="62">
                  <c:v>52</c:v>
                </c:pt>
                <c:pt idx="63">
                  <c:v>53</c:v>
                </c:pt>
                <c:pt idx="64">
                  <c:v>54</c:v>
                </c:pt>
                <c:pt idx="65">
                  <c:v>55</c:v>
                </c:pt>
                <c:pt idx="66">
                  <c:v>56</c:v>
                </c:pt>
                <c:pt idx="67">
                  <c:v>57</c:v>
                </c:pt>
                <c:pt idx="68">
                  <c:v>58</c:v>
                </c:pt>
                <c:pt idx="69">
                  <c:v>59</c:v>
                </c:pt>
                <c:pt idx="70">
                  <c:v>60</c:v>
                </c:pt>
                <c:pt idx="71">
                  <c:v>61</c:v>
                </c:pt>
                <c:pt idx="72">
                  <c:v>62</c:v>
                </c:pt>
                <c:pt idx="73">
                  <c:v>63</c:v>
                </c:pt>
                <c:pt idx="74">
                  <c:v>64</c:v>
                </c:pt>
                <c:pt idx="75">
                  <c:v>65</c:v>
                </c:pt>
                <c:pt idx="76">
                  <c:v>66</c:v>
                </c:pt>
                <c:pt idx="77">
                  <c:v>67</c:v>
                </c:pt>
                <c:pt idx="78">
                  <c:v>68</c:v>
                </c:pt>
                <c:pt idx="79">
                  <c:v>69</c:v>
                </c:pt>
                <c:pt idx="80">
                  <c:v>70</c:v>
                </c:pt>
                <c:pt idx="81">
                  <c:v>71</c:v>
                </c:pt>
                <c:pt idx="82">
                  <c:v>72</c:v>
                </c:pt>
                <c:pt idx="83">
                  <c:v>73</c:v>
                </c:pt>
                <c:pt idx="84">
                  <c:v>74</c:v>
                </c:pt>
              </c:numCache>
            </c:numRef>
          </c:cat>
          <c:val>
            <c:numRef>
              <c:f>'4.3.2 Data_Tidsseriefigurer'!$M$146:$CS$146</c:f>
              <c:numCache>
                <c:formatCode>General</c:formatCode>
                <c:ptCount val="85"/>
                <c:pt idx="9">
                  <c:v>0</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pt idx="43">
                  <c:v>#N/A</c:v>
                </c:pt>
                <c:pt idx="44">
                  <c:v>#N/A</c:v>
                </c:pt>
                <c:pt idx="45">
                  <c:v>#N/A</c:v>
                </c:pt>
                <c:pt idx="46">
                  <c:v>#N/A</c:v>
                </c:pt>
                <c:pt idx="47">
                  <c:v>#N/A</c:v>
                </c:pt>
                <c:pt idx="48">
                  <c:v>#N/A</c:v>
                </c:pt>
                <c:pt idx="49">
                  <c:v>#N/A</c:v>
                </c:pt>
                <c:pt idx="50">
                  <c:v>#N/A</c:v>
                </c:pt>
                <c:pt idx="51">
                  <c:v>#N/A</c:v>
                </c:pt>
                <c:pt idx="52">
                  <c:v>#N/A</c:v>
                </c:pt>
                <c:pt idx="53">
                  <c:v>#N/A</c:v>
                </c:pt>
                <c:pt idx="54">
                  <c:v>#N/A</c:v>
                </c:pt>
                <c:pt idx="55">
                  <c:v>#N/A</c:v>
                </c:pt>
                <c:pt idx="56">
                  <c:v>#N/A</c:v>
                </c:pt>
                <c:pt idx="57">
                  <c:v>#N/A</c:v>
                </c:pt>
                <c:pt idx="58">
                  <c:v>#N/A</c:v>
                </c:pt>
                <c:pt idx="59">
                  <c:v>#N/A</c:v>
                </c:pt>
                <c:pt idx="60">
                  <c:v>#N/A</c:v>
                </c:pt>
                <c:pt idx="61">
                  <c:v>#N/A</c:v>
                </c:pt>
                <c:pt idx="62">
                  <c:v>#N/A</c:v>
                </c:pt>
                <c:pt idx="63">
                  <c:v>#N/A</c:v>
                </c:pt>
                <c:pt idx="64">
                  <c:v>#N/A</c:v>
                </c:pt>
                <c:pt idx="65">
                  <c:v>#N/A</c:v>
                </c:pt>
                <c:pt idx="66">
                  <c:v>#N/A</c:v>
                </c:pt>
                <c:pt idx="67">
                  <c:v>#N/A</c:v>
                </c:pt>
                <c:pt idx="68">
                  <c:v>#N/A</c:v>
                </c:pt>
                <c:pt idx="69">
                  <c:v>#N/A</c:v>
                </c:pt>
                <c:pt idx="70">
                  <c:v>#N/A</c:v>
                </c:pt>
                <c:pt idx="71">
                  <c:v>#N/A</c:v>
                </c:pt>
                <c:pt idx="72">
                  <c:v>#N/A</c:v>
                </c:pt>
                <c:pt idx="73">
                  <c:v>#N/A</c:v>
                </c:pt>
                <c:pt idx="74">
                  <c:v>#N/A</c:v>
                </c:pt>
                <c:pt idx="75">
                  <c:v>#N/A</c:v>
                </c:pt>
                <c:pt idx="76">
                  <c:v>#N/A</c:v>
                </c:pt>
                <c:pt idx="77">
                  <c:v>#N/A</c:v>
                </c:pt>
                <c:pt idx="78">
                  <c:v>#N/A</c:v>
                </c:pt>
                <c:pt idx="79">
                  <c:v>#N/A</c:v>
                </c:pt>
                <c:pt idx="80">
                  <c:v>#N/A</c:v>
                </c:pt>
                <c:pt idx="81">
                  <c:v>#N/A</c:v>
                </c:pt>
                <c:pt idx="82">
                  <c:v>#N/A</c:v>
                </c:pt>
                <c:pt idx="83">
                  <c:v>#N/A</c:v>
                </c:pt>
                <c:pt idx="84">
                  <c:v>#N/A</c:v>
                </c:pt>
              </c:numCache>
            </c:numRef>
          </c:val>
          <c:smooth val="0"/>
          <c:extLst>
            <c:ext xmlns:c16="http://schemas.microsoft.com/office/drawing/2014/chart" uri="{C3380CC4-5D6E-409C-BE32-E72D297353CC}">
              <c16:uniqueId val="{00000005-FCE1-4EB5-97D1-FF348DE5AF7E}"/>
            </c:ext>
          </c:extLst>
        </c:ser>
        <c:ser>
          <c:idx val="6"/>
          <c:order val="5"/>
          <c:tx>
            <c:strRef>
              <c:f>'4.3.2 Data_Tidsseriefigurer'!$B$147</c:f>
              <c:strCache>
                <c:ptCount val="1"/>
                <c:pt idx="0">
                  <c:v>Lastebil</c:v>
                </c:pt>
              </c:strCache>
            </c:strRef>
          </c:tx>
          <c:spPr>
            <a:ln w="28575" cap="rnd">
              <a:solidFill>
                <a:schemeClr val="accent1">
                  <a:lumMod val="60000"/>
                </a:schemeClr>
              </a:solidFill>
              <a:round/>
            </a:ln>
            <a:effectLst/>
          </c:spPr>
          <c:marker>
            <c:symbol val="none"/>
          </c:marker>
          <c:cat>
            <c:numRef>
              <c:f>'4.3.2 Data_Tidsseriefigurer'!$M$141:$CS$141</c:f>
              <c:numCache>
                <c:formatCode>General</c:formatCode>
                <c:ptCount val="85"/>
                <c:pt idx="0">
                  <c:v>-10</c:v>
                </c:pt>
                <c:pt idx="1">
                  <c:v>-9</c:v>
                </c:pt>
                <c:pt idx="2">
                  <c:v>-8</c:v>
                </c:pt>
                <c:pt idx="3">
                  <c:v>-7</c:v>
                </c:pt>
                <c:pt idx="4">
                  <c:v>-6</c:v>
                </c:pt>
                <c:pt idx="5">
                  <c:v>-5</c:v>
                </c:pt>
                <c:pt idx="6">
                  <c:v>-4</c:v>
                </c:pt>
                <c:pt idx="7">
                  <c:v>-3</c:v>
                </c:pt>
                <c:pt idx="8">
                  <c:v>-2</c:v>
                </c:pt>
                <c:pt idx="9">
                  <c:v>-1</c:v>
                </c:pt>
                <c:pt idx="10">
                  <c:v>0</c:v>
                </c:pt>
                <c:pt idx="11">
                  <c:v>1</c:v>
                </c:pt>
                <c:pt idx="12">
                  <c:v>2</c:v>
                </c:pt>
                <c:pt idx="13">
                  <c:v>3</c:v>
                </c:pt>
                <c:pt idx="14">
                  <c:v>4</c:v>
                </c:pt>
                <c:pt idx="15">
                  <c:v>5</c:v>
                </c:pt>
                <c:pt idx="16">
                  <c:v>6</c:v>
                </c:pt>
                <c:pt idx="17">
                  <c:v>7</c:v>
                </c:pt>
                <c:pt idx="18">
                  <c:v>8</c:v>
                </c:pt>
                <c:pt idx="19">
                  <c:v>9</c:v>
                </c:pt>
                <c:pt idx="20">
                  <c:v>10</c:v>
                </c:pt>
                <c:pt idx="21">
                  <c:v>11</c:v>
                </c:pt>
                <c:pt idx="22">
                  <c:v>12</c:v>
                </c:pt>
                <c:pt idx="23">
                  <c:v>13</c:v>
                </c:pt>
                <c:pt idx="24">
                  <c:v>14</c:v>
                </c:pt>
                <c:pt idx="25">
                  <c:v>15</c:v>
                </c:pt>
                <c:pt idx="26">
                  <c:v>16</c:v>
                </c:pt>
                <c:pt idx="27">
                  <c:v>17</c:v>
                </c:pt>
                <c:pt idx="28">
                  <c:v>18</c:v>
                </c:pt>
                <c:pt idx="29">
                  <c:v>19</c:v>
                </c:pt>
                <c:pt idx="30">
                  <c:v>20</c:v>
                </c:pt>
                <c:pt idx="31">
                  <c:v>21</c:v>
                </c:pt>
                <c:pt idx="32">
                  <c:v>22</c:v>
                </c:pt>
                <c:pt idx="33">
                  <c:v>23</c:v>
                </c:pt>
                <c:pt idx="34">
                  <c:v>24</c:v>
                </c:pt>
                <c:pt idx="35">
                  <c:v>25</c:v>
                </c:pt>
                <c:pt idx="36">
                  <c:v>26</c:v>
                </c:pt>
                <c:pt idx="37">
                  <c:v>27</c:v>
                </c:pt>
                <c:pt idx="38">
                  <c:v>28</c:v>
                </c:pt>
                <c:pt idx="39">
                  <c:v>29</c:v>
                </c:pt>
                <c:pt idx="40">
                  <c:v>30</c:v>
                </c:pt>
                <c:pt idx="41">
                  <c:v>31</c:v>
                </c:pt>
                <c:pt idx="42">
                  <c:v>32</c:v>
                </c:pt>
                <c:pt idx="43">
                  <c:v>33</c:v>
                </c:pt>
                <c:pt idx="44">
                  <c:v>34</c:v>
                </c:pt>
                <c:pt idx="45">
                  <c:v>35</c:v>
                </c:pt>
                <c:pt idx="46">
                  <c:v>36</c:v>
                </c:pt>
                <c:pt idx="47">
                  <c:v>37</c:v>
                </c:pt>
                <c:pt idx="48">
                  <c:v>38</c:v>
                </c:pt>
                <c:pt idx="49">
                  <c:v>39</c:v>
                </c:pt>
                <c:pt idx="50">
                  <c:v>40</c:v>
                </c:pt>
                <c:pt idx="51">
                  <c:v>41</c:v>
                </c:pt>
                <c:pt idx="52">
                  <c:v>42</c:v>
                </c:pt>
                <c:pt idx="53">
                  <c:v>43</c:v>
                </c:pt>
                <c:pt idx="54">
                  <c:v>44</c:v>
                </c:pt>
                <c:pt idx="55">
                  <c:v>45</c:v>
                </c:pt>
                <c:pt idx="56">
                  <c:v>46</c:v>
                </c:pt>
                <c:pt idx="57">
                  <c:v>47</c:v>
                </c:pt>
                <c:pt idx="58">
                  <c:v>48</c:v>
                </c:pt>
                <c:pt idx="59">
                  <c:v>49</c:v>
                </c:pt>
                <c:pt idx="60">
                  <c:v>50</c:v>
                </c:pt>
                <c:pt idx="61">
                  <c:v>51</c:v>
                </c:pt>
                <c:pt idx="62">
                  <c:v>52</c:v>
                </c:pt>
                <c:pt idx="63">
                  <c:v>53</c:v>
                </c:pt>
                <c:pt idx="64">
                  <c:v>54</c:v>
                </c:pt>
                <c:pt idx="65">
                  <c:v>55</c:v>
                </c:pt>
                <c:pt idx="66">
                  <c:v>56</c:v>
                </c:pt>
                <c:pt idx="67">
                  <c:v>57</c:v>
                </c:pt>
                <c:pt idx="68">
                  <c:v>58</c:v>
                </c:pt>
                <c:pt idx="69">
                  <c:v>59</c:v>
                </c:pt>
                <c:pt idx="70">
                  <c:v>60</c:v>
                </c:pt>
                <c:pt idx="71">
                  <c:v>61</c:v>
                </c:pt>
                <c:pt idx="72">
                  <c:v>62</c:v>
                </c:pt>
                <c:pt idx="73">
                  <c:v>63</c:v>
                </c:pt>
                <c:pt idx="74">
                  <c:v>64</c:v>
                </c:pt>
                <c:pt idx="75">
                  <c:v>65</c:v>
                </c:pt>
                <c:pt idx="76">
                  <c:v>66</c:v>
                </c:pt>
                <c:pt idx="77">
                  <c:v>67</c:v>
                </c:pt>
                <c:pt idx="78">
                  <c:v>68</c:v>
                </c:pt>
                <c:pt idx="79">
                  <c:v>69</c:v>
                </c:pt>
                <c:pt idx="80">
                  <c:v>70</c:v>
                </c:pt>
                <c:pt idx="81">
                  <c:v>71</c:v>
                </c:pt>
                <c:pt idx="82">
                  <c:v>72</c:v>
                </c:pt>
                <c:pt idx="83">
                  <c:v>73</c:v>
                </c:pt>
                <c:pt idx="84">
                  <c:v>74</c:v>
                </c:pt>
              </c:numCache>
            </c:numRef>
          </c:cat>
          <c:val>
            <c:numRef>
              <c:f>'4.3.2 Data_Tidsseriefigurer'!$M$147:$CS$147</c:f>
              <c:numCache>
                <c:formatCode>General</c:formatCode>
                <c:ptCount val="85"/>
                <c:pt idx="9">
                  <c:v>0</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pt idx="43">
                  <c:v>#N/A</c:v>
                </c:pt>
                <c:pt idx="44">
                  <c:v>#N/A</c:v>
                </c:pt>
                <c:pt idx="45">
                  <c:v>#N/A</c:v>
                </c:pt>
                <c:pt idx="46">
                  <c:v>#N/A</c:v>
                </c:pt>
                <c:pt idx="47">
                  <c:v>#N/A</c:v>
                </c:pt>
                <c:pt idx="48">
                  <c:v>#N/A</c:v>
                </c:pt>
                <c:pt idx="49">
                  <c:v>#N/A</c:v>
                </c:pt>
                <c:pt idx="50">
                  <c:v>#N/A</c:v>
                </c:pt>
                <c:pt idx="51">
                  <c:v>#N/A</c:v>
                </c:pt>
                <c:pt idx="52">
                  <c:v>#N/A</c:v>
                </c:pt>
                <c:pt idx="53">
                  <c:v>#N/A</c:v>
                </c:pt>
                <c:pt idx="54">
                  <c:v>#N/A</c:v>
                </c:pt>
                <c:pt idx="55">
                  <c:v>#N/A</c:v>
                </c:pt>
                <c:pt idx="56">
                  <c:v>#N/A</c:v>
                </c:pt>
                <c:pt idx="57">
                  <c:v>#N/A</c:v>
                </c:pt>
                <c:pt idx="58">
                  <c:v>#N/A</c:v>
                </c:pt>
                <c:pt idx="59">
                  <c:v>#N/A</c:v>
                </c:pt>
                <c:pt idx="60">
                  <c:v>#N/A</c:v>
                </c:pt>
                <c:pt idx="61">
                  <c:v>#N/A</c:v>
                </c:pt>
                <c:pt idx="62">
                  <c:v>#N/A</c:v>
                </c:pt>
                <c:pt idx="63">
                  <c:v>#N/A</c:v>
                </c:pt>
                <c:pt idx="64">
                  <c:v>#N/A</c:v>
                </c:pt>
                <c:pt idx="65">
                  <c:v>#N/A</c:v>
                </c:pt>
                <c:pt idx="66">
                  <c:v>#N/A</c:v>
                </c:pt>
                <c:pt idx="67">
                  <c:v>#N/A</c:v>
                </c:pt>
                <c:pt idx="68">
                  <c:v>#N/A</c:v>
                </c:pt>
                <c:pt idx="69">
                  <c:v>#N/A</c:v>
                </c:pt>
                <c:pt idx="70">
                  <c:v>#N/A</c:v>
                </c:pt>
                <c:pt idx="71">
                  <c:v>#N/A</c:v>
                </c:pt>
                <c:pt idx="72">
                  <c:v>#N/A</c:v>
                </c:pt>
                <c:pt idx="73">
                  <c:v>#N/A</c:v>
                </c:pt>
                <c:pt idx="74">
                  <c:v>#N/A</c:v>
                </c:pt>
                <c:pt idx="75">
                  <c:v>#N/A</c:v>
                </c:pt>
                <c:pt idx="76">
                  <c:v>#N/A</c:v>
                </c:pt>
                <c:pt idx="77">
                  <c:v>#N/A</c:v>
                </c:pt>
                <c:pt idx="78">
                  <c:v>#N/A</c:v>
                </c:pt>
                <c:pt idx="79">
                  <c:v>#N/A</c:v>
                </c:pt>
                <c:pt idx="80">
                  <c:v>#N/A</c:v>
                </c:pt>
                <c:pt idx="81">
                  <c:v>#N/A</c:v>
                </c:pt>
                <c:pt idx="82">
                  <c:v>#N/A</c:v>
                </c:pt>
                <c:pt idx="83">
                  <c:v>#N/A</c:v>
                </c:pt>
                <c:pt idx="84">
                  <c:v>#N/A</c:v>
                </c:pt>
              </c:numCache>
            </c:numRef>
          </c:val>
          <c:smooth val="0"/>
          <c:extLst>
            <c:ext xmlns:c16="http://schemas.microsoft.com/office/drawing/2014/chart" uri="{C3380CC4-5D6E-409C-BE32-E72D297353CC}">
              <c16:uniqueId val="{00000006-FCE1-4EB5-97D1-FF348DE5AF7E}"/>
            </c:ext>
          </c:extLst>
        </c:ser>
        <c:ser>
          <c:idx val="0"/>
          <c:order val="6"/>
          <c:tx>
            <c:strRef>
              <c:f>'4.3.2 Data_Tidsseriefigurer'!$B$148</c:f>
              <c:strCache>
                <c:ptCount val="1"/>
                <c:pt idx="0">
                  <c:v>Lett Lastebil</c:v>
                </c:pt>
              </c:strCache>
            </c:strRef>
          </c:tx>
          <c:spPr>
            <a:ln w="28575" cap="rnd">
              <a:solidFill>
                <a:schemeClr val="accent1"/>
              </a:solidFill>
              <a:round/>
            </a:ln>
            <a:effectLst/>
          </c:spPr>
          <c:marker>
            <c:symbol val="none"/>
          </c:marker>
          <c:cat>
            <c:numRef>
              <c:f>'4.3.2 Data_Tidsseriefigurer'!$M$141:$CS$141</c:f>
              <c:numCache>
                <c:formatCode>General</c:formatCode>
                <c:ptCount val="85"/>
                <c:pt idx="0">
                  <c:v>-10</c:v>
                </c:pt>
                <c:pt idx="1">
                  <c:v>-9</c:v>
                </c:pt>
                <c:pt idx="2">
                  <c:v>-8</c:v>
                </c:pt>
                <c:pt idx="3">
                  <c:v>-7</c:v>
                </c:pt>
                <c:pt idx="4">
                  <c:v>-6</c:v>
                </c:pt>
                <c:pt idx="5">
                  <c:v>-5</c:v>
                </c:pt>
                <c:pt idx="6">
                  <c:v>-4</c:v>
                </c:pt>
                <c:pt idx="7">
                  <c:v>-3</c:v>
                </c:pt>
                <c:pt idx="8">
                  <c:v>-2</c:v>
                </c:pt>
                <c:pt idx="9">
                  <c:v>-1</c:v>
                </c:pt>
                <c:pt idx="10">
                  <c:v>0</c:v>
                </c:pt>
                <c:pt idx="11">
                  <c:v>1</c:v>
                </c:pt>
                <c:pt idx="12">
                  <c:v>2</c:v>
                </c:pt>
                <c:pt idx="13">
                  <c:v>3</c:v>
                </c:pt>
                <c:pt idx="14">
                  <c:v>4</c:v>
                </c:pt>
                <c:pt idx="15">
                  <c:v>5</c:v>
                </c:pt>
                <c:pt idx="16">
                  <c:v>6</c:v>
                </c:pt>
                <c:pt idx="17">
                  <c:v>7</c:v>
                </c:pt>
                <c:pt idx="18">
                  <c:v>8</c:v>
                </c:pt>
                <c:pt idx="19">
                  <c:v>9</c:v>
                </c:pt>
                <c:pt idx="20">
                  <c:v>10</c:v>
                </c:pt>
                <c:pt idx="21">
                  <c:v>11</c:v>
                </c:pt>
                <c:pt idx="22">
                  <c:v>12</c:v>
                </c:pt>
                <c:pt idx="23">
                  <c:v>13</c:v>
                </c:pt>
                <c:pt idx="24">
                  <c:v>14</c:v>
                </c:pt>
                <c:pt idx="25">
                  <c:v>15</c:v>
                </c:pt>
                <c:pt idx="26">
                  <c:v>16</c:v>
                </c:pt>
                <c:pt idx="27">
                  <c:v>17</c:v>
                </c:pt>
                <c:pt idx="28">
                  <c:v>18</c:v>
                </c:pt>
                <c:pt idx="29">
                  <c:v>19</c:v>
                </c:pt>
                <c:pt idx="30">
                  <c:v>20</c:v>
                </c:pt>
                <c:pt idx="31">
                  <c:v>21</c:v>
                </c:pt>
                <c:pt idx="32">
                  <c:v>22</c:v>
                </c:pt>
                <c:pt idx="33">
                  <c:v>23</c:v>
                </c:pt>
                <c:pt idx="34">
                  <c:v>24</c:v>
                </c:pt>
                <c:pt idx="35">
                  <c:v>25</c:v>
                </c:pt>
                <c:pt idx="36">
                  <c:v>26</c:v>
                </c:pt>
                <c:pt idx="37">
                  <c:v>27</c:v>
                </c:pt>
                <c:pt idx="38">
                  <c:v>28</c:v>
                </c:pt>
                <c:pt idx="39">
                  <c:v>29</c:v>
                </c:pt>
                <c:pt idx="40">
                  <c:v>30</c:v>
                </c:pt>
                <c:pt idx="41">
                  <c:v>31</c:v>
                </c:pt>
                <c:pt idx="42">
                  <c:v>32</c:v>
                </c:pt>
                <c:pt idx="43">
                  <c:v>33</c:v>
                </c:pt>
                <c:pt idx="44">
                  <c:v>34</c:v>
                </c:pt>
                <c:pt idx="45">
                  <c:v>35</c:v>
                </c:pt>
                <c:pt idx="46">
                  <c:v>36</c:v>
                </c:pt>
                <c:pt idx="47">
                  <c:v>37</c:v>
                </c:pt>
                <c:pt idx="48">
                  <c:v>38</c:v>
                </c:pt>
                <c:pt idx="49">
                  <c:v>39</c:v>
                </c:pt>
                <c:pt idx="50">
                  <c:v>40</c:v>
                </c:pt>
                <c:pt idx="51">
                  <c:v>41</c:v>
                </c:pt>
                <c:pt idx="52">
                  <c:v>42</c:v>
                </c:pt>
                <c:pt idx="53">
                  <c:v>43</c:v>
                </c:pt>
                <c:pt idx="54">
                  <c:v>44</c:v>
                </c:pt>
                <c:pt idx="55">
                  <c:v>45</c:v>
                </c:pt>
                <c:pt idx="56">
                  <c:v>46</c:v>
                </c:pt>
                <c:pt idx="57">
                  <c:v>47</c:v>
                </c:pt>
                <c:pt idx="58">
                  <c:v>48</c:v>
                </c:pt>
                <c:pt idx="59">
                  <c:v>49</c:v>
                </c:pt>
                <c:pt idx="60">
                  <c:v>50</c:v>
                </c:pt>
                <c:pt idx="61">
                  <c:v>51</c:v>
                </c:pt>
                <c:pt idx="62">
                  <c:v>52</c:v>
                </c:pt>
                <c:pt idx="63">
                  <c:v>53</c:v>
                </c:pt>
                <c:pt idx="64">
                  <c:v>54</c:v>
                </c:pt>
                <c:pt idx="65">
                  <c:v>55</c:v>
                </c:pt>
                <c:pt idx="66">
                  <c:v>56</c:v>
                </c:pt>
                <c:pt idx="67">
                  <c:v>57</c:v>
                </c:pt>
                <c:pt idx="68">
                  <c:v>58</c:v>
                </c:pt>
                <c:pt idx="69">
                  <c:v>59</c:v>
                </c:pt>
                <c:pt idx="70">
                  <c:v>60</c:v>
                </c:pt>
                <c:pt idx="71">
                  <c:v>61</c:v>
                </c:pt>
                <c:pt idx="72">
                  <c:v>62</c:v>
                </c:pt>
                <c:pt idx="73">
                  <c:v>63</c:v>
                </c:pt>
                <c:pt idx="74">
                  <c:v>64</c:v>
                </c:pt>
                <c:pt idx="75">
                  <c:v>65</c:v>
                </c:pt>
                <c:pt idx="76">
                  <c:v>66</c:v>
                </c:pt>
                <c:pt idx="77">
                  <c:v>67</c:v>
                </c:pt>
                <c:pt idx="78">
                  <c:v>68</c:v>
                </c:pt>
                <c:pt idx="79">
                  <c:v>69</c:v>
                </c:pt>
                <c:pt idx="80">
                  <c:v>70</c:v>
                </c:pt>
                <c:pt idx="81">
                  <c:v>71</c:v>
                </c:pt>
                <c:pt idx="82">
                  <c:v>72</c:v>
                </c:pt>
                <c:pt idx="83">
                  <c:v>73</c:v>
                </c:pt>
                <c:pt idx="84">
                  <c:v>74</c:v>
                </c:pt>
              </c:numCache>
            </c:numRef>
          </c:cat>
          <c:val>
            <c:numRef>
              <c:f>'4.3.2 Data_Tidsseriefigurer'!$M$148:$CS$148</c:f>
              <c:numCache>
                <c:formatCode>General</c:formatCode>
                <c:ptCount val="85"/>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pt idx="43">
                  <c:v>#N/A</c:v>
                </c:pt>
                <c:pt idx="44">
                  <c:v>#N/A</c:v>
                </c:pt>
                <c:pt idx="45">
                  <c:v>#N/A</c:v>
                </c:pt>
                <c:pt idx="46">
                  <c:v>#N/A</c:v>
                </c:pt>
                <c:pt idx="47">
                  <c:v>#N/A</c:v>
                </c:pt>
                <c:pt idx="48">
                  <c:v>#N/A</c:v>
                </c:pt>
                <c:pt idx="49">
                  <c:v>#N/A</c:v>
                </c:pt>
                <c:pt idx="50">
                  <c:v>#N/A</c:v>
                </c:pt>
                <c:pt idx="51">
                  <c:v>#N/A</c:v>
                </c:pt>
                <c:pt idx="52">
                  <c:v>#N/A</c:v>
                </c:pt>
                <c:pt idx="53">
                  <c:v>#N/A</c:v>
                </c:pt>
                <c:pt idx="54">
                  <c:v>#N/A</c:v>
                </c:pt>
                <c:pt idx="55">
                  <c:v>#N/A</c:v>
                </c:pt>
                <c:pt idx="56">
                  <c:v>#N/A</c:v>
                </c:pt>
                <c:pt idx="57">
                  <c:v>#N/A</c:v>
                </c:pt>
                <c:pt idx="58">
                  <c:v>#N/A</c:v>
                </c:pt>
                <c:pt idx="59">
                  <c:v>#N/A</c:v>
                </c:pt>
                <c:pt idx="60">
                  <c:v>#N/A</c:v>
                </c:pt>
                <c:pt idx="61">
                  <c:v>#N/A</c:v>
                </c:pt>
                <c:pt idx="62">
                  <c:v>#N/A</c:v>
                </c:pt>
                <c:pt idx="63">
                  <c:v>#N/A</c:v>
                </c:pt>
                <c:pt idx="64">
                  <c:v>#N/A</c:v>
                </c:pt>
                <c:pt idx="65">
                  <c:v>#N/A</c:v>
                </c:pt>
                <c:pt idx="66">
                  <c:v>#N/A</c:v>
                </c:pt>
                <c:pt idx="67">
                  <c:v>#N/A</c:v>
                </c:pt>
                <c:pt idx="68">
                  <c:v>#N/A</c:v>
                </c:pt>
                <c:pt idx="69">
                  <c:v>#N/A</c:v>
                </c:pt>
                <c:pt idx="70">
                  <c:v>#N/A</c:v>
                </c:pt>
                <c:pt idx="71">
                  <c:v>#N/A</c:v>
                </c:pt>
                <c:pt idx="72">
                  <c:v>#N/A</c:v>
                </c:pt>
                <c:pt idx="73">
                  <c:v>#N/A</c:v>
                </c:pt>
                <c:pt idx="74">
                  <c:v>#N/A</c:v>
                </c:pt>
                <c:pt idx="75">
                  <c:v>#N/A</c:v>
                </c:pt>
                <c:pt idx="76">
                  <c:v>#N/A</c:v>
                </c:pt>
                <c:pt idx="77">
                  <c:v>#N/A</c:v>
                </c:pt>
                <c:pt idx="78">
                  <c:v>#N/A</c:v>
                </c:pt>
                <c:pt idx="79">
                  <c:v>#N/A</c:v>
                </c:pt>
                <c:pt idx="80">
                  <c:v>#N/A</c:v>
                </c:pt>
                <c:pt idx="81">
                  <c:v>#N/A</c:v>
                </c:pt>
                <c:pt idx="82">
                  <c:v>#N/A</c:v>
                </c:pt>
                <c:pt idx="83">
                  <c:v>#N/A</c:v>
                </c:pt>
                <c:pt idx="84">
                  <c:v>#N/A</c:v>
                </c:pt>
              </c:numCache>
            </c:numRef>
          </c:val>
          <c:smooth val="0"/>
          <c:extLst>
            <c:ext xmlns:c16="http://schemas.microsoft.com/office/drawing/2014/chart" uri="{C3380CC4-5D6E-409C-BE32-E72D297353CC}">
              <c16:uniqueId val="{00000001-72AC-45A2-9640-F00C0EFA2871}"/>
            </c:ext>
          </c:extLst>
        </c:ser>
        <c:ser>
          <c:idx val="7"/>
          <c:order val="7"/>
          <c:tx>
            <c:strRef>
              <c:f>'4.3.2 Data_Tidsseriefigurer'!$B$149</c:f>
              <c:strCache>
                <c:ptCount val="1"/>
                <c:pt idx="0">
                  <c:v>Skip</c:v>
                </c:pt>
              </c:strCache>
            </c:strRef>
          </c:tx>
          <c:spPr>
            <a:ln w="28575" cap="rnd">
              <a:solidFill>
                <a:schemeClr val="accent2">
                  <a:lumMod val="60000"/>
                </a:schemeClr>
              </a:solidFill>
              <a:round/>
            </a:ln>
            <a:effectLst/>
          </c:spPr>
          <c:marker>
            <c:symbol val="none"/>
          </c:marker>
          <c:cat>
            <c:numRef>
              <c:f>'4.3.2 Data_Tidsseriefigurer'!$M$141:$CS$141</c:f>
              <c:numCache>
                <c:formatCode>General</c:formatCode>
                <c:ptCount val="85"/>
                <c:pt idx="0">
                  <c:v>-10</c:v>
                </c:pt>
                <c:pt idx="1">
                  <c:v>-9</c:v>
                </c:pt>
                <c:pt idx="2">
                  <c:v>-8</c:v>
                </c:pt>
                <c:pt idx="3">
                  <c:v>-7</c:v>
                </c:pt>
                <c:pt idx="4">
                  <c:v>-6</c:v>
                </c:pt>
                <c:pt idx="5">
                  <c:v>-5</c:v>
                </c:pt>
                <c:pt idx="6">
                  <c:v>-4</c:v>
                </c:pt>
                <c:pt idx="7">
                  <c:v>-3</c:v>
                </c:pt>
                <c:pt idx="8">
                  <c:v>-2</c:v>
                </c:pt>
                <c:pt idx="9">
                  <c:v>-1</c:v>
                </c:pt>
                <c:pt idx="10">
                  <c:v>0</c:v>
                </c:pt>
                <c:pt idx="11">
                  <c:v>1</c:v>
                </c:pt>
                <c:pt idx="12">
                  <c:v>2</c:v>
                </c:pt>
                <c:pt idx="13">
                  <c:v>3</c:v>
                </c:pt>
                <c:pt idx="14">
                  <c:v>4</c:v>
                </c:pt>
                <c:pt idx="15">
                  <c:v>5</c:v>
                </c:pt>
                <c:pt idx="16">
                  <c:v>6</c:v>
                </c:pt>
                <c:pt idx="17">
                  <c:v>7</c:v>
                </c:pt>
                <c:pt idx="18">
                  <c:v>8</c:v>
                </c:pt>
                <c:pt idx="19">
                  <c:v>9</c:v>
                </c:pt>
                <c:pt idx="20">
                  <c:v>10</c:v>
                </c:pt>
                <c:pt idx="21">
                  <c:v>11</c:v>
                </c:pt>
                <c:pt idx="22">
                  <c:v>12</c:v>
                </c:pt>
                <c:pt idx="23">
                  <c:v>13</c:v>
                </c:pt>
                <c:pt idx="24">
                  <c:v>14</c:v>
                </c:pt>
                <c:pt idx="25">
                  <c:v>15</c:v>
                </c:pt>
                <c:pt idx="26">
                  <c:v>16</c:v>
                </c:pt>
                <c:pt idx="27">
                  <c:v>17</c:v>
                </c:pt>
                <c:pt idx="28">
                  <c:v>18</c:v>
                </c:pt>
                <c:pt idx="29">
                  <c:v>19</c:v>
                </c:pt>
                <c:pt idx="30">
                  <c:v>20</c:v>
                </c:pt>
                <c:pt idx="31">
                  <c:v>21</c:v>
                </c:pt>
                <c:pt idx="32">
                  <c:v>22</c:v>
                </c:pt>
                <c:pt idx="33">
                  <c:v>23</c:v>
                </c:pt>
                <c:pt idx="34">
                  <c:v>24</c:v>
                </c:pt>
                <c:pt idx="35">
                  <c:v>25</c:v>
                </c:pt>
                <c:pt idx="36">
                  <c:v>26</c:v>
                </c:pt>
                <c:pt idx="37">
                  <c:v>27</c:v>
                </c:pt>
                <c:pt idx="38">
                  <c:v>28</c:v>
                </c:pt>
                <c:pt idx="39">
                  <c:v>29</c:v>
                </c:pt>
                <c:pt idx="40">
                  <c:v>30</c:v>
                </c:pt>
                <c:pt idx="41">
                  <c:v>31</c:v>
                </c:pt>
                <c:pt idx="42">
                  <c:v>32</c:v>
                </c:pt>
                <c:pt idx="43">
                  <c:v>33</c:v>
                </c:pt>
                <c:pt idx="44">
                  <c:v>34</c:v>
                </c:pt>
                <c:pt idx="45">
                  <c:v>35</c:v>
                </c:pt>
                <c:pt idx="46">
                  <c:v>36</c:v>
                </c:pt>
                <c:pt idx="47">
                  <c:v>37</c:v>
                </c:pt>
                <c:pt idx="48">
                  <c:v>38</c:v>
                </c:pt>
                <c:pt idx="49">
                  <c:v>39</c:v>
                </c:pt>
                <c:pt idx="50">
                  <c:v>40</c:v>
                </c:pt>
                <c:pt idx="51">
                  <c:v>41</c:v>
                </c:pt>
                <c:pt idx="52">
                  <c:v>42</c:v>
                </c:pt>
                <c:pt idx="53">
                  <c:v>43</c:v>
                </c:pt>
                <c:pt idx="54">
                  <c:v>44</c:v>
                </c:pt>
                <c:pt idx="55">
                  <c:v>45</c:v>
                </c:pt>
                <c:pt idx="56">
                  <c:v>46</c:v>
                </c:pt>
                <c:pt idx="57">
                  <c:v>47</c:v>
                </c:pt>
                <c:pt idx="58">
                  <c:v>48</c:v>
                </c:pt>
                <c:pt idx="59">
                  <c:v>49</c:v>
                </c:pt>
                <c:pt idx="60">
                  <c:v>50</c:v>
                </c:pt>
                <c:pt idx="61">
                  <c:v>51</c:v>
                </c:pt>
                <c:pt idx="62">
                  <c:v>52</c:v>
                </c:pt>
                <c:pt idx="63">
                  <c:v>53</c:v>
                </c:pt>
                <c:pt idx="64">
                  <c:v>54</c:v>
                </c:pt>
                <c:pt idx="65">
                  <c:v>55</c:v>
                </c:pt>
                <c:pt idx="66">
                  <c:v>56</c:v>
                </c:pt>
                <c:pt idx="67">
                  <c:v>57</c:v>
                </c:pt>
                <c:pt idx="68">
                  <c:v>58</c:v>
                </c:pt>
                <c:pt idx="69">
                  <c:v>59</c:v>
                </c:pt>
                <c:pt idx="70">
                  <c:v>60</c:v>
                </c:pt>
                <c:pt idx="71">
                  <c:v>61</c:v>
                </c:pt>
                <c:pt idx="72">
                  <c:v>62</c:v>
                </c:pt>
                <c:pt idx="73">
                  <c:v>63</c:v>
                </c:pt>
                <c:pt idx="74">
                  <c:v>64</c:v>
                </c:pt>
                <c:pt idx="75">
                  <c:v>65</c:v>
                </c:pt>
                <c:pt idx="76">
                  <c:v>66</c:v>
                </c:pt>
                <c:pt idx="77">
                  <c:v>67</c:v>
                </c:pt>
                <c:pt idx="78">
                  <c:v>68</c:v>
                </c:pt>
                <c:pt idx="79">
                  <c:v>69</c:v>
                </c:pt>
                <c:pt idx="80">
                  <c:v>70</c:v>
                </c:pt>
                <c:pt idx="81">
                  <c:v>71</c:v>
                </c:pt>
                <c:pt idx="82">
                  <c:v>72</c:v>
                </c:pt>
                <c:pt idx="83">
                  <c:v>73</c:v>
                </c:pt>
                <c:pt idx="84">
                  <c:v>74</c:v>
                </c:pt>
              </c:numCache>
            </c:numRef>
          </c:cat>
          <c:val>
            <c:numRef>
              <c:f>'4.3.2 Data_Tidsseriefigurer'!$M$149:$CS$149</c:f>
              <c:numCache>
                <c:formatCode>General</c:formatCode>
                <c:ptCount val="85"/>
                <c:pt idx="9">
                  <c:v>0</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pt idx="43">
                  <c:v>#N/A</c:v>
                </c:pt>
                <c:pt idx="44">
                  <c:v>#N/A</c:v>
                </c:pt>
                <c:pt idx="45">
                  <c:v>#N/A</c:v>
                </c:pt>
                <c:pt idx="46">
                  <c:v>#N/A</c:v>
                </c:pt>
                <c:pt idx="47">
                  <c:v>#N/A</c:v>
                </c:pt>
                <c:pt idx="48">
                  <c:v>#N/A</c:v>
                </c:pt>
                <c:pt idx="49">
                  <c:v>#N/A</c:v>
                </c:pt>
                <c:pt idx="50">
                  <c:v>#N/A</c:v>
                </c:pt>
                <c:pt idx="51">
                  <c:v>#N/A</c:v>
                </c:pt>
                <c:pt idx="52">
                  <c:v>#N/A</c:v>
                </c:pt>
                <c:pt idx="53">
                  <c:v>#N/A</c:v>
                </c:pt>
                <c:pt idx="54">
                  <c:v>#N/A</c:v>
                </c:pt>
                <c:pt idx="55">
                  <c:v>#N/A</c:v>
                </c:pt>
                <c:pt idx="56">
                  <c:v>#N/A</c:v>
                </c:pt>
                <c:pt idx="57">
                  <c:v>#N/A</c:v>
                </c:pt>
                <c:pt idx="58">
                  <c:v>#N/A</c:v>
                </c:pt>
                <c:pt idx="59">
                  <c:v>#N/A</c:v>
                </c:pt>
                <c:pt idx="60">
                  <c:v>#N/A</c:v>
                </c:pt>
                <c:pt idx="61">
                  <c:v>#N/A</c:v>
                </c:pt>
                <c:pt idx="62">
                  <c:v>#N/A</c:v>
                </c:pt>
                <c:pt idx="63">
                  <c:v>#N/A</c:v>
                </c:pt>
                <c:pt idx="64">
                  <c:v>#N/A</c:v>
                </c:pt>
                <c:pt idx="65">
                  <c:v>#N/A</c:v>
                </c:pt>
                <c:pt idx="66">
                  <c:v>#N/A</c:v>
                </c:pt>
                <c:pt idx="67">
                  <c:v>#N/A</c:v>
                </c:pt>
                <c:pt idx="68">
                  <c:v>#N/A</c:v>
                </c:pt>
                <c:pt idx="69">
                  <c:v>#N/A</c:v>
                </c:pt>
                <c:pt idx="70">
                  <c:v>#N/A</c:v>
                </c:pt>
                <c:pt idx="71">
                  <c:v>#N/A</c:v>
                </c:pt>
                <c:pt idx="72">
                  <c:v>#N/A</c:v>
                </c:pt>
                <c:pt idx="73">
                  <c:v>#N/A</c:v>
                </c:pt>
                <c:pt idx="74">
                  <c:v>#N/A</c:v>
                </c:pt>
                <c:pt idx="75">
                  <c:v>#N/A</c:v>
                </c:pt>
                <c:pt idx="76">
                  <c:v>#N/A</c:v>
                </c:pt>
                <c:pt idx="77">
                  <c:v>#N/A</c:v>
                </c:pt>
                <c:pt idx="78">
                  <c:v>#N/A</c:v>
                </c:pt>
                <c:pt idx="79">
                  <c:v>#N/A</c:v>
                </c:pt>
                <c:pt idx="80">
                  <c:v>#N/A</c:v>
                </c:pt>
                <c:pt idx="81">
                  <c:v>#N/A</c:v>
                </c:pt>
                <c:pt idx="82">
                  <c:v>#N/A</c:v>
                </c:pt>
                <c:pt idx="83">
                  <c:v>#N/A</c:v>
                </c:pt>
                <c:pt idx="84">
                  <c:v>#N/A</c:v>
                </c:pt>
              </c:numCache>
            </c:numRef>
          </c:val>
          <c:smooth val="0"/>
          <c:extLst>
            <c:ext xmlns:c16="http://schemas.microsoft.com/office/drawing/2014/chart" uri="{C3380CC4-5D6E-409C-BE32-E72D297353CC}">
              <c16:uniqueId val="{00000007-FCE1-4EB5-97D1-FF348DE5AF7E}"/>
            </c:ext>
          </c:extLst>
        </c:ser>
        <c:ser>
          <c:idx val="10"/>
          <c:order val="8"/>
          <c:tx>
            <c:strRef>
              <c:f>'4.3.2 Data_Tidsseriefigurer'!$B$150</c:f>
              <c:strCache>
                <c:ptCount val="1"/>
                <c:pt idx="0">
                  <c:v>Godsfly</c:v>
                </c:pt>
              </c:strCache>
            </c:strRef>
          </c:tx>
          <c:spPr>
            <a:ln w="28575" cap="rnd">
              <a:solidFill>
                <a:schemeClr val="accent5">
                  <a:lumMod val="60000"/>
                </a:schemeClr>
              </a:solidFill>
              <a:round/>
            </a:ln>
            <a:effectLst/>
          </c:spPr>
          <c:marker>
            <c:symbol val="none"/>
          </c:marker>
          <c:cat>
            <c:numRef>
              <c:f>'4.3.2 Data_Tidsseriefigurer'!$M$141:$CS$141</c:f>
              <c:numCache>
                <c:formatCode>General</c:formatCode>
                <c:ptCount val="85"/>
                <c:pt idx="0">
                  <c:v>-10</c:v>
                </c:pt>
                <c:pt idx="1">
                  <c:v>-9</c:v>
                </c:pt>
                <c:pt idx="2">
                  <c:v>-8</c:v>
                </c:pt>
                <c:pt idx="3">
                  <c:v>-7</c:v>
                </c:pt>
                <c:pt idx="4">
                  <c:v>-6</c:v>
                </c:pt>
                <c:pt idx="5">
                  <c:v>-5</c:v>
                </c:pt>
                <c:pt idx="6">
                  <c:v>-4</c:v>
                </c:pt>
                <c:pt idx="7">
                  <c:v>-3</c:v>
                </c:pt>
                <c:pt idx="8">
                  <c:v>-2</c:v>
                </c:pt>
                <c:pt idx="9">
                  <c:v>-1</c:v>
                </c:pt>
                <c:pt idx="10">
                  <c:v>0</c:v>
                </c:pt>
                <c:pt idx="11">
                  <c:v>1</c:v>
                </c:pt>
                <c:pt idx="12">
                  <c:v>2</c:v>
                </c:pt>
                <c:pt idx="13">
                  <c:v>3</c:v>
                </c:pt>
                <c:pt idx="14">
                  <c:v>4</c:v>
                </c:pt>
                <c:pt idx="15">
                  <c:v>5</c:v>
                </c:pt>
                <c:pt idx="16">
                  <c:v>6</c:v>
                </c:pt>
                <c:pt idx="17">
                  <c:v>7</c:v>
                </c:pt>
                <c:pt idx="18">
                  <c:v>8</c:v>
                </c:pt>
                <c:pt idx="19">
                  <c:v>9</c:v>
                </c:pt>
                <c:pt idx="20">
                  <c:v>10</c:v>
                </c:pt>
                <c:pt idx="21">
                  <c:v>11</c:v>
                </c:pt>
                <c:pt idx="22">
                  <c:v>12</c:v>
                </c:pt>
                <c:pt idx="23">
                  <c:v>13</c:v>
                </c:pt>
                <c:pt idx="24">
                  <c:v>14</c:v>
                </c:pt>
                <c:pt idx="25">
                  <c:v>15</c:v>
                </c:pt>
                <c:pt idx="26">
                  <c:v>16</c:v>
                </c:pt>
                <c:pt idx="27">
                  <c:v>17</c:v>
                </c:pt>
                <c:pt idx="28">
                  <c:v>18</c:v>
                </c:pt>
                <c:pt idx="29">
                  <c:v>19</c:v>
                </c:pt>
                <c:pt idx="30">
                  <c:v>20</c:v>
                </c:pt>
                <c:pt idx="31">
                  <c:v>21</c:v>
                </c:pt>
                <c:pt idx="32">
                  <c:v>22</c:v>
                </c:pt>
                <c:pt idx="33">
                  <c:v>23</c:v>
                </c:pt>
                <c:pt idx="34">
                  <c:v>24</c:v>
                </c:pt>
                <c:pt idx="35">
                  <c:v>25</c:v>
                </c:pt>
                <c:pt idx="36">
                  <c:v>26</c:v>
                </c:pt>
                <c:pt idx="37">
                  <c:v>27</c:v>
                </c:pt>
                <c:pt idx="38">
                  <c:v>28</c:v>
                </c:pt>
                <c:pt idx="39">
                  <c:v>29</c:v>
                </c:pt>
                <c:pt idx="40">
                  <c:v>30</c:v>
                </c:pt>
                <c:pt idx="41">
                  <c:v>31</c:v>
                </c:pt>
                <c:pt idx="42">
                  <c:v>32</c:v>
                </c:pt>
                <c:pt idx="43">
                  <c:v>33</c:v>
                </c:pt>
                <c:pt idx="44">
                  <c:v>34</c:v>
                </c:pt>
                <c:pt idx="45">
                  <c:v>35</c:v>
                </c:pt>
                <c:pt idx="46">
                  <c:v>36</c:v>
                </c:pt>
                <c:pt idx="47">
                  <c:v>37</c:v>
                </c:pt>
                <c:pt idx="48">
                  <c:v>38</c:v>
                </c:pt>
                <c:pt idx="49">
                  <c:v>39</c:v>
                </c:pt>
                <c:pt idx="50">
                  <c:v>40</c:v>
                </c:pt>
                <c:pt idx="51">
                  <c:v>41</c:v>
                </c:pt>
                <c:pt idx="52">
                  <c:v>42</c:v>
                </c:pt>
                <c:pt idx="53">
                  <c:v>43</c:v>
                </c:pt>
                <c:pt idx="54">
                  <c:v>44</c:v>
                </c:pt>
                <c:pt idx="55">
                  <c:v>45</c:v>
                </c:pt>
                <c:pt idx="56">
                  <c:v>46</c:v>
                </c:pt>
                <c:pt idx="57">
                  <c:v>47</c:v>
                </c:pt>
                <c:pt idx="58">
                  <c:v>48</c:v>
                </c:pt>
                <c:pt idx="59">
                  <c:v>49</c:v>
                </c:pt>
                <c:pt idx="60">
                  <c:v>50</c:v>
                </c:pt>
                <c:pt idx="61">
                  <c:v>51</c:v>
                </c:pt>
                <c:pt idx="62">
                  <c:v>52</c:v>
                </c:pt>
                <c:pt idx="63">
                  <c:v>53</c:v>
                </c:pt>
                <c:pt idx="64">
                  <c:v>54</c:v>
                </c:pt>
                <c:pt idx="65">
                  <c:v>55</c:v>
                </c:pt>
                <c:pt idx="66">
                  <c:v>56</c:v>
                </c:pt>
                <c:pt idx="67">
                  <c:v>57</c:v>
                </c:pt>
                <c:pt idx="68">
                  <c:v>58</c:v>
                </c:pt>
                <c:pt idx="69">
                  <c:v>59</c:v>
                </c:pt>
                <c:pt idx="70">
                  <c:v>60</c:v>
                </c:pt>
                <c:pt idx="71">
                  <c:v>61</c:v>
                </c:pt>
                <c:pt idx="72">
                  <c:v>62</c:v>
                </c:pt>
                <c:pt idx="73">
                  <c:v>63</c:v>
                </c:pt>
                <c:pt idx="74">
                  <c:v>64</c:v>
                </c:pt>
                <c:pt idx="75">
                  <c:v>65</c:v>
                </c:pt>
                <c:pt idx="76">
                  <c:v>66</c:v>
                </c:pt>
                <c:pt idx="77">
                  <c:v>67</c:v>
                </c:pt>
                <c:pt idx="78">
                  <c:v>68</c:v>
                </c:pt>
                <c:pt idx="79">
                  <c:v>69</c:v>
                </c:pt>
                <c:pt idx="80">
                  <c:v>70</c:v>
                </c:pt>
                <c:pt idx="81">
                  <c:v>71</c:v>
                </c:pt>
                <c:pt idx="82">
                  <c:v>72</c:v>
                </c:pt>
                <c:pt idx="83">
                  <c:v>73</c:v>
                </c:pt>
                <c:pt idx="84">
                  <c:v>74</c:v>
                </c:pt>
              </c:numCache>
            </c:numRef>
          </c:cat>
          <c:val>
            <c:numRef>
              <c:f>'4.3.2 Data_Tidsseriefigurer'!$M$150:$CS$150</c:f>
              <c:numCache>
                <c:formatCode>General</c:formatCode>
                <c:ptCount val="85"/>
                <c:pt idx="9">
                  <c:v>0</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pt idx="43">
                  <c:v>#N/A</c:v>
                </c:pt>
                <c:pt idx="44">
                  <c:v>#N/A</c:v>
                </c:pt>
                <c:pt idx="45">
                  <c:v>#N/A</c:v>
                </c:pt>
                <c:pt idx="46">
                  <c:v>#N/A</c:v>
                </c:pt>
                <c:pt idx="47">
                  <c:v>#N/A</c:v>
                </c:pt>
                <c:pt idx="48">
                  <c:v>#N/A</c:v>
                </c:pt>
                <c:pt idx="49">
                  <c:v>#N/A</c:v>
                </c:pt>
                <c:pt idx="50">
                  <c:v>#N/A</c:v>
                </c:pt>
                <c:pt idx="51">
                  <c:v>#N/A</c:v>
                </c:pt>
                <c:pt idx="52">
                  <c:v>#N/A</c:v>
                </c:pt>
                <c:pt idx="53">
                  <c:v>#N/A</c:v>
                </c:pt>
                <c:pt idx="54">
                  <c:v>#N/A</c:v>
                </c:pt>
                <c:pt idx="55">
                  <c:v>#N/A</c:v>
                </c:pt>
                <c:pt idx="56">
                  <c:v>#N/A</c:v>
                </c:pt>
                <c:pt idx="57">
                  <c:v>#N/A</c:v>
                </c:pt>
                <c:pt idx="58">
                  <c:v>#N/A</c:v>
                </c:pt>
                <c:pt idx="59">
                  <c:v>#N/A</c:v>
                </c:pt>
                <c:pt idx="60">
                  <c:v>#N/A</c:v>
                </c:pt>
                <c:pt idx="61">
                  <c:v>#N/A</c:v>
                </c:pt>
                <c:pt idx="62">
                  <c:v>#N/A</c:v>
                </c:pt>
                <c:pt idx="63">
                  <c:v>#N/A</c:v>
                </c:pt>
                <c:pt idx="64">
                  <c:v>#N/A</c:v>
                </c:pt>
                <c:pt idx="65">
                  <c:v>#N/A</c:v>
                </c:pt>
                <c:pt idx="66">
                  <c:v>#N/A</c:v>
                </c:pt>
                <c:pt idx="67">
                  <c:v>#N/A</c:v>
                </c:pt>
                <c:pt idx="68">
                  <c:v>#N/A</c:v>
                </c:pt>
                <c:pt idx="69">
                  <c:v>#N/A</c:v>
                </c:pt>
                <c:pt idx="70">
                  <c:v>#N/A</c:v>
                </c:pt>
                <c:pt idx="71">
                  <c:v>#N/A</c:v>
                </c:pt>
                <c:pt idx="72">
                  <c:v>#N/A</c:v>
                </c:pt>
                <c:pt idx="73">
                  <c:v>#N/A</c:v>
                </c:pt>
                <c:pt idx="74">
                  <c:v>#N/A</c:v>
                </c:pt>
                <c:pt idx="75">
                  <c:v>#N/A</c:v>
                </c:pt>
                <c:pt idx="76">
                  <c:v>#N/A</c:v>
                </c:pt>
                <c:pt idx="77">
                  <c:v>#N/A</c:v>
                </c:pt>
                <c:pt idx="78">
                  <c:v>#N/A</c:v>
                </c:pt>
                <c:pt idx="79">
                  <c:v>#N/A</c:v>
                </c:pt>
                <c:pt idx="80">
                  <c:v>#N/A</c:v>
                </c:pt>
                <c:pt idx="81">
                  <c:v>#N/A</c:v>
                </c:pt>
                <c:pt idx="82">
                  <c:v>#N/A</c:v>
                </c:pt>
                <c:pt idx="83">
                  <c:v>#N/A</c:v>
                </c:pt>
                <c:pt idx="84">
                  <c:v>#N/A</c:v>
                </c:pt>
              </c:numCache>
            </c:numRef>
          </c:val>
          <c:smooth val="0"/>
          <c:extLst>
            <c:ext xmlns:c16="http://schemas.microsoft.com/office/drawing/2014/chart" uri="{C3380CC4-5D6E-409C-BE32-E72D297353CC}">
              <c16:uniqueId val="{00000002-72AC-45A2-9640-F00C0EFA2871}"/>
            </c:ext>
          </c:extLst>
        </c:ser>
        <c:ser>
          <c:idx val="11"/>
          <c:order val="9"/>
          <c:tx>
            <c:strRef>
              <c:f>'4.3.2 Data_Tidsseriefigurer'!$B$151</c:f>
              <c:strCache>
                <c:ptCount val="1"/>
                <c:pt idx="0">
                  <c:v>Utslipp i byggefasen</c:v>
                </c:pt>
              </c:strCache>
            </c:strRef>
          </c:tx>
          <c:spPr>
            <a:ln w="28575" cap="rnd">
              <a:solidFill>
                <a:schemeClr val="accent6">
                  <a:lumMod val="60000"/>
                </a:schemeClr>
              </a:solidFill>
              <a:round/>
            </a:ln>
            <a:effectLst/>
          </c:spPr>
          <c:marker>
            <c:symbol val="none"/>
          </c:marker>
          <c:cat>
            <c:numRef>
              <c:f>'4.3.2 Data_Tidsseriefigurer'!$M$141:$CS$141</c:f>
              <c:numCache>
                <c:formatCode>General</c:formatCode>
                <c:ptCount val="85"/>
                <c:pt idx="0">
                  <c:v>-10</c:v>
                </c:pt>
                <c:pt idx="1">
                  <c:v>-9</c:v>
                </c:pt>
                <c:pt idx="2">
                  <c:v>-8</c:v>
                </c:pt>
                <c:pt idx="3">
                  <c:v>-7</c:v>
                </c:pt>
                <c:pt idx="4">
                  <c:v>-6</c:v>
                </c:pt>
                <c:pt idx="5">
                  <c:v>-5</c:v>
                </c:pt>
                <c:pt idx="6">
                  <c:v>-4</c:v>
                </c:pt>
                <c:pt idx="7">
                  <c:v>-3</c:v>
                </c:pt>
                <c:pt idx="8">
                  <c:v>-2</c:v>
                </c:pt>
                <c:pt idx="9">
                  <c:v>-1</c:v>
                </c:pt>
                <c:pt idx="10">
                  <c:v>0</c:v>
                </c:pt>
                <c:pt idx="11">
                  <c:v>1</c:v>
                </c:pt>
                <c:pt idx="12">
                  <c:v>2</c:v>
                </c:pt>
                <c:pt idx="13">
                  <c:v>3</c:v>
                </c:pt>
                <c:pt idx="14">
                  <c:v>4</c:v>
                </c:pt>
                <c:pt idx="15">
                  <c:v>5</c:v>
                </c:pt>
                <c:pt idx="16">
                  <c:v>6</c:v>
                </c:pt>
                <c:pt idx="17">
                  <c:v>7</c:v>
                </c:pt>
                <c:pt idx="18">
                  <c:v>8</c:v>
                </c:pt>
                <c:pt idx="19">
                  <c:v>9</c:v>
                </c:pt>
                <c:pt idx="20">
                  <c:v>10</c:v>
                </c:pt>
                <c:pt idx="21">
                  <c:v>11</c:v>
                </c:pt>
                <c:pt idx="22">
                  <c:v>12</c:v>
                </c:pt>
                <c:pt idx="23">
                  <c:v>13</c:v>
                </c:pt>
                <c:pt idx="24">
                  <c:v>14</c:v>
                </c:pt>
                <c:pt idx="25">
                  <c:v>15</c:v>
                </c:pt>
                <c:pt idx="26">
                  <c:v>16</c:v>
                </c:pt>
                <c:pt idx="27">
                  <c:v>17</c:v>
                </c:pt>
                <c:pt idx="28">
                  <c:v>18</c:v>
                </c:pt>
                <c:pt idx="29">
                  <c:v>19</c:v>
                </c:pt>
                <c:pt idx="30">
                  <c:v>20</c:v>
                </c:pt>
                <c:pt idx="31">
                  <c:v>21</c:v>
                </c:pt>
                <c:pt idx="32">
                  <c:v>22</c:v>
                </c:pt>
                <c:pt idx="33">
                  <c:v>23</c:v>
                </c:pt>
                <c:pt idx="34">
                  <c:v>24</c:v>
                </c:pt>
                <c:pt idx="35">
                  <c:v>25</c:v>
                </c:pt>
                <c:pt idx="36">
                  <c:v>26</c:v>
                </c:pt>
                <c:pt idx="37">
                  <c:v>27</c:v>
                </c:pt>
                <c:pt idx="38">
                  <c:v>28</c:v>
                </c:pt>
                <c:pt idx="39">
                  <c:v>29</c:v>
                </c:pt>
                <c:pt idx="40">
                  <c:v>30</c:v>
                </c:pt>
                <c:pt idx="41">
                  <c:v>31</c:v>
                </c:pt>
                <c:pt idx="42">
                  <c:v>32</c:v>
                </c:pt>
                <c:pt idx="43">
                  <c:v>33</c:v>
                </c:pt>
                <c:pt idx="44">
                  <c:v>34</c:v>
                </c:pt>
                <c:pt idx="45">
                  <c:v>35</c:v>
                </c:pt>
                <c:pt idx="46">
                  <c:v>36</c:v>
                </c:pt>
                <c:pt idx="47">
                  <c:v>37</c:v>
                </c:pt>
                <c:pt idx="48">
                  <c:v>38</c:v>
                </c:pt>
                <c:pt idx="49">
                  <c:v>39</c:v>
                </c:pt>
                <c:pt idx="50">
                  <c:v>40</c:v>
                </c:pt>
                <c:pt idx="51">
                  <c:v>41</c:v>
                </c:pt>
                <c:pt idx="52">
                  <c:v>42</c:v>
                </c:pt>
                <c:pt idx="53">
                  <c:v>43</c:v>
                </c:pt>
                <c:pt idx="54">
                  <c:v>44</c:v>
                </c:pt>
                <c:pt idx="55">
                  <c:v>45</c:v>
                </c:pt>
                <c:pt idx="56">
                  <c:v>46</c:v>
                </c:pt>
                <c:pt idx="57">
                  <c:v>47</c:v>
                </c:pt>
                <c:pt idx="58">
                  <c:v>48</c:v>
                </c:pt>
                <c:pt idx="59">
                  <c:v>49</c:v>
                </c:pt>
                <c:pt idx="60">
                  <c:v>50</c:v>
                </c:pt>
                <c:pt idx="61">
                  <c:v>51</c:v>
                </c:pt>
                <c:pt idx="62">
                  <c:v>52</c:v>
                </c:pt>
                <c:pt idx="63">
                  <c:v>53</c:v>
                </c:pt>
                <c:pt idx="64">
                  <c:v>54</c:v>
                </c:pt>
                <c:pt idx="65">
                  <c:v>55</c:v>
                </c:pt>
                <c:pt idx="66">
                  <c:v>56</c:v>
                </c:pt>
                <c:pt idx="67">
                  <c:v>57</c:v>
                </c:pt>
                <c:pt idx="68">
                  <c:v>58</c:v>
                </c:pt>
                <c:pt idx="69">
                  <c:v>59</c:v>
                </c:pt>
                <c:pt idx="70">
                  <c:v>60</c:v>
                </c:pt>
                <c:pt idx="71">
                  <c:v>61</c:v>
                </c:pt>
                <c:pt idx="72">
                  <c:v>62</c:v>
                </c:pt>
                <c:pt idx="73">
                  <c:v>63</c:v>
                </c:pt>
                <c:pt idx="74">
                  <c:v>64</c:v>
                </c:pt>
                <c:pt idx="75">
                  <c:v>65</c:v>
                </c:pt>
                <c:pt idx="76">
                  <c:v>66</c:v>
                </c:pt>
                <c:pt idx="77">
                  <c:v>67</c:v>
                </c:pt>
                <c:pt idx="78">
                  <c:v>68</c:v>
                </c:pt>
                <c:pt idx="79">
                  <c:v>69</c:v>
                </c:pt>
                <c:pt idx="80">
                  <c:v>70</c:v>
                </c:pt>
                <c:pt idx="81">
                  <c:v>71</c:v>
                </c:pt>
                <c:pt idx="82">
                  <c:v>72</c:v>
                </c:pt>
                <c:pt idx="83">
                  <c:v>73</c:v>
                </c:pt>
                <c:pt idx="84">
                  <c:v>74</c:v>
                </c:pt>
              </c:numCache>
            </c:numRef>
          </c:cat>
          <c:val>
            <c:numRef>
              <c:f>'4.3.2 Data_Tidsseriefigurer'!$M$151:$CS$151</c:f>
              <c:numCache>
                <c:formatCode>General</c:formatCode>
                <c:ptCount val="85"/>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pt idx="43">
                  <c:v>#N/A</c:v>
                </c:pt>
                <c:pt idx="44">
                  <c:v>#N/A</c:v>
                </c:pt>
                <c:pt idx="45">
                  <c:v>#N/A</c:v>
                </c:pt>
                <c:pt idx="46">
                  <c:v>#N/A</c:v>
                </c:pt>
                <c:pt idx="47">
                  <c:v>#N/A</c:v>
                </c:pt>
                <c:pt idx="48">
                  <c:v>#N/A</c:v>
                </c:pt>
                <c:pt idx="49">
                  <c:v>#N/A</c:v>
                </c:pt>
                <c:pt idx="50">
                  <c:v>#N/A</c:v>
                </c:pt>
                <c:pt idx="51">
                  <c:v>#N/A</c:v>
                </c:pt>
                <c:pt idx="52">
                  <c:v>#N/A</c:v>
                </c:pt>
                <c:pt idx="53">
                  <c:v>#N/A</c:v>
                </c:pt>
                <c:pt idx="54">
                  <c:v>#N/A</c:v>
                </c:pt>
                <c:pt idx="55">
                  <c:v>#N/A</c:v>
                </c:pt>
                <c:pt idx="56">
                  <c:v>#N/A</c:v>
                </c:pt>
                <c:pt idx="57">
                  <c:v>#N/A</c:v>
                </c:pt>
                <c:pt idx="58">
                  <c:v>#N/A</c:v>
                </c:pt>
                <c:pt idx="59">
                  <c:v>#N/A</c:v>
                </c:pt>
                <c:pt idx="60">
                  <c:v>#N/A</c:v>
                </c:pt>
                <c:pt idx="61">
                  <c:v>#N/A</c:v>
                </c:pt>
                <c:pt idx="62">
                  <c:v>#N/A</c:v>
                </c:pt>
                <c:pt idx="63">
                  <c:v>#N/A</c:v>
                </c:pt>
                <c:pt idx="64">
                  <c:v>#N/A</c:v>
                </c:pt>
                <c:pt idx="65">
                  <c:v>#N/A</c:v>
                </c:pt>
                <c:pt idx="66">
                  <c:v>#N/A</c:v>
                </c:pt>
                <c:pt idx="67">
                  <c:v>#N/A</c:v>
                </c:pt>
                <c:pt idx="68">
                  <c:v>#N/A</c:v>
                </c:pt>
                <c:pt idx="69">
                  <c:v>#N/A</c:v>
                </c:pt>
                <c:pt idx="70">
                  <c:v>#N/A</c:v>
                </c:pt>
                <c:pt idx="71">
                  <c:v>#N/A</c:v>
                </c:pt>
                <c:pt idx="72">
                  <c:v>#N/A</c:v>
                </c:pt>
                <c:pt idx="73">
                  <c:v>#N/A</c:v>
                </c:pt>
                <c:pt idx="74">
                  <c:v>#N/A</c:v>
                </c:pt>
                <c:pt idx="75">
                  <c:v>#N/A</c:v>
                </c:pt>
                <c:pt idx="76">
                  <c:v>#N/A</c:v>
                </c:pt>
                <c:pt idx="77">
                  <c:v>#N/A</c:v>
                </c:pt>
                <c:pt idx="78">
                  <c:v>#N/A</c:v>
                </c:pt>
                <c:pt idx="79">
                  <c:v>#N/A</c:v>
                </c:pt>
                <c:pt idx="80">
                  <c:v>#N/A</c:v>
                </c:pt>
                <c:pt idx="81">
                  <c:v>#N/A</c:v>
                </c:pt>
                <c:pt idx="82">
                  <c:v>#N/A</c:v>
                </c:pt>
                <c:pt idx="83">
                  <c:v>#N/A</c:v>
                </c:pt>
                <c:pt idx="84">
                  <c:v>#N/A</c:v>
                </c:pt>
              </c:numCache>
            </c:numRef>
          </c:val>
          <c:smooth val="0"/>
          <c:extLst>
            <c:ext xmlns:c16="http://schemas.microsoft.com/office/drawing/2014/chart" uri="{C3380CC4-5D6E-409C-BE32-E72D297353CC}">
              <c16:uniqueId val="{00000003-72AC-45A2-9640-F00C0EFA2871}"/>
            </c:ext>
          </c:extLst>
        </c:ser>
        <c:ser>
          <c:idx val="13"/>
          <c:order val="10"/>
          <c:tx>
            <c:strRef>
              <c:f>'4.3.2 Data_Tidsseriefigurer'!$B$152</c:f>
              <c:strCache>
                <c:ptCount val="1"/>
                <c:pt idx="0">
                  <c:v>Utslipp arealbeslag</c:v>
                </c:pt>
              </c:strCache>
            </c:strRef>
          </c:tx>
          <c:spPr>
            <a:ln w="28575" cap="rnd">
              <a:solidFill>
                <a:schemeClr val="accent2">
                  <a:lumMod val="80000"/>
                  <a:lumOff val="20000"/>
                </a:schemeClr>
              </a:solidFill>
              <a:round/>
            </a:ln>
            <a:effectLst/>
          </c:spPr>
          <c:marker>
            <c:symbol val="none"/>
          </c:marker>
          <c:cat>
            <c:numRef>
              <c:f>'4.3.2 Data_Tidsseriefigurer'!$M$141:$CS$141</c:f>
              <c:numCache>
                <c:formatCode>General</c:formatCode>
                <c:ptCount val="85"/>
                <c:pt idx="0">
                  <c:v>-10</c:v>
                </c:pt>
                <c:pt idx="1">
                  <c:v>-9</c:v>
                </c:pt>
                <c:pt idx="2">
                  <c:v>-8</c:v>
                </c:pt>
                <c:pt idx="3">
                  <c:v>-7</c:v>
                </c:pt>
                <c:pt idx="4">
                  <c:v>-6</c:v>
                </c:pt>
                <c:pt idx="5">
                  <c:v>-5</c:v>
                </c:pt>
                <c:pt idx="6">
                  <c:v>-4</c:v>
                </c:pt>
                <c:pt idx="7">
                  <c:v>-3</c:v>
                </c:pt>
                <c:pt idx="8">
                  <c:v>-2</c:v>
                </c:pt>
                <c:pt idx="9">
                  <c:v>-1</c:v>
                </c:pt>
                <c:pt idx="10">
                  <c:v>0</c:v>
                </c:pt>
                <c:pt idx="11">
                  <c:v>1</c:v>
                </c:pt>
                <c:pt idx="12">
                  <c:v>2</c:v>
                </c:pt>
                <c:pt idx="13">
                  <c:v>3</c:v>
                </c:pt>
                <c:pt idx="14">
                  <c:v>4</c:v>
                </c:pt>
                <c:pt idx="15">
                  <c:v>5</c:v>
                </c:pt>
                <c:pt idx="16">
                  <c:v>6</c:v>
                </c:pt>
                <c:pt idx="17">
                  <c:v>7</c:v>
                </c:pt>
                <c:pt idx="18">
                  <c:v>8</c:v>
                </c:pt>
                <c:pt idx="19">
                  <c:v>9</c:v>
                </c:pt>
                <c:pt idx="20">
                  <c:v>10</c:v>
                </c:pt>
                <c:pt idx="21">
                  <c:v>11</c:v>
                </c:pt>
                <c:pt idx="22">
                  <c:v>12</c:v>
                </c:pt>
                <c:pt idx="23">
                  <c:v>13</c:v>
                </c:pt>
                <c:pt idx="24">
                  <c:v>14</c:v>
                </c:pt>
                <c:pt idx="25">
                  <c:v>15</c:v>
                </c:pt>
                <c:pt idx="26">
                  <c:v>16</c:v>
                </c:pt>
                <c:pt idx="27">
                  <c:v>17</c:v>
                </c:pt>
                <c:pt idx="28">
                  <c:v>18</c:v>
                </c:pt>
                <c:pt idx="29">
                  <c:v>19</c:v>
                </c:pt>
                <c:pt idx="30">
                  <c:v>20</c:v>
                </c:pt>
                <c:pt idx="31">
                  <c:v>21</c:v>
                </c:pt>
                <c:pt idx="32">
                  <c:v>22</c:v>
                </c:pt>
                <c:pt idx="33">
                  <c:v>23</c:v>
                </c:pt>
                <c:pt idx="34">
                  <c:v>24</c:v>
                </c:pt>
                <c:pt idx="35">
                  <c:v>25</c:v>
                </c:pt>
                <c:pt idx="36">
                  <c:v>26</c:v>
                </c:pt>
                <c:pt idx="37">
                  <c:v>27</c:v>
                </c:pt>
                <c:pt idx="38">
                  <c:v>28</c:v>
                </c:pt>
                <c:pt idx="39">
                  <c:v>29</c:v>
                </c:pt>
                <c:pt idx="40">
                  <c:v>30</c:v>
                </c:pt>
                <c:pt idx="41">
                  <c:v>31</c:v>
                </c:pt>
                <c:pt idx="42">
                  <c:v>32</c:v>
                </c:pt>
                <c:pt idx="43">
                  <c:v>33</c:v>
                </c:pt>
                <c:pt idx="44">
                  <c:v>34</c:v>
                </c:pt>
                <c:pt idx="45">
                  <c:v>35</c:v>
                </c:pt>
                <c:pt idx="46">
                  <c:v>36</c:v>
                </c:pt>
                <c:pt idx="47">
                  <c:v>37</c:v>
                </c:pt>
                <c:pt idx="48">
                  <c:v>38</c:v>
                </c:pt>
                <c:pt idx="49">
                  <c:v>39</c:v>
                </c:pt>
                <c:pt idx="50">
                  <c:v>40</c:v>
                </c:pt>
                <c:pt idx="51">
                  <c:v>41</c:v>
                </c:pt>
                <c:pt idx="52">
                  <c:v>42</c:v>
                </c:pt>
                <c:pt idx="53">
                  <c:v>43</c:v>
                </c:pt>
                <c:pt idx="54">
                  <c:v>44</c:v>
                </c:pt>
                <c:pt idx="55">
                  <c:v>45</c:v>
                </c:pt>
                <c:pt idx="56">
                  <c:v>46</c:v>
                </c:pt>
                <c:pt idx="57">
                  <c:v>47</c:v>
                </c:pt>
                <c:pt idx="58">
                  <c:v>48</c:v>
                </c:pt>
                <c:pt idx="59">
                  <c:v>49</c:v>
                </c:pt>
                <c:pt idx="60">
                  <c:v>50</c:v>
                </c:pt>
                <c:pt idx="61">
                  <c:v>51</c:v>
                </c:pt>
                <c:pt idx="62">
                  <c:v>52</c:v>
                </c:pt>
                <c:pt idx="63">
                  <c:v>53</c:v>
                </c:pt>
                <c:pt idx="64">
                  <c:v>54</c:v>
                </c:pt>
                <c:pt idx="65">
                  <c:v>55</c:v>
                </c:pt>
                <c:pt idx="66">
                  <c:v>56</c:v>
                </c:pt>
                <c:pt idx="67">
                  <c:v>57</c:v>
                </c:pt>
                <c:pt idx="68">
                  <c:v>58</c:v>
                </c:pt>
                <c:pt idx="69">
                  <c:v>59</c:v>
                </c:pt>
                <c:pt idx="70">
                  <c:v>60</c:v>
                </c:pt>
                <c:pt idx="71">
                  <c:v>61</c:v>
                </c:pt>
                <c:pt idx="72">
                  <c:v>62</c:v>
                </c:pt>
                <c:pt idx="73">
                  <c:v>63</c:v>
                </c:pt>
                <c:pt idx="74">
                  <c:v>64</c:v>
                </c:pt>
                <c:pt idx="75">
                  <c:v>65</c:v>
                </c:pt>
                <c:pt idx="76">
                  <c:v>66</c:v>
                </c:pt>
                <c:pt idx="77">
                  <c:v>67</c:v>
                </c:pt>
                <c:pt idx="78">
                  <c:v>68</c:v>
                </c:pt>
                <c:pt idx="79">
                  <c:v>69</c:v>
                </c:pt>
                <c:pt idx="80">
                  <c:v>70</c:v>
                </c:pt>
                <c:pt idx="81">
                  <c:v>71</c:v>
                </c:pt>
                <c:pt idx="82">
                  <c:v>72</c:v>
                </c:pt>
                <c:pt idx="83">
                  <c:v>73</c:v>
                </c:pt>
                <c:pt idx="84">
                  <c:v>74</c:v>
                </c:pt>
              </c:numCache>
            </c:numRef>
          </c:cat>
          <c:val>
            <c:numRef>
              <c:f>'4.3.2 Data_Tidsseriefigurer'!$M$152:$CS$152</c:f>
              <c:numCache>
                <c:formatCode>General</c:formatCode>
                <c:ptCount val="85"/>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pt idx="43">
                  <c:v>#N/A</c:v>
                </c:pt>
                <c:pt idx="44">
                  <c:v>#N/A</c:v>
                </c:pt>
                <c:pt idx="45">
                  <c:v>#N/A</c:v>
                </c:pt>
                <c:pt idx="46">
                  <c:v>#N/A</c:v>
                </c:pt>
                <c:pt idx="47">
                  <c:v>#N/A</c:v>
                </c:pt>
                <c:pt idx="48">
                  <c:v>#N/A</c:v>
                </c:pt>
                <c:pt idx="49">
                  <c:v>#N/A</c:v>
                </c:pt>
                <c:pt idx="50">
                  <c:v>#N/A</c:v>
                </c:pt>
                <c:pt idx="51">
                  <c:v>#N/A</c:v>
                </c:pt>
                <c:pt idx="52">
                  <c:v>#N/A</c:v>
                </c:pt>
                <c:pt idx="53">
                  <c:v>#N/A</c:v>
                </c:pt>
                <c:pt idx="54">
                  <c:v>#N/A</c:v>
                </c:pt>
                <c:pt idx="55">
                  <c:v>#N/A</c:v>
                </c:pt>
                <c:pt idx="56">
                  <c:v>#N/A</c:v>
                </c:pt>
                <c:pt idx="57">
                  <c:v>#N/A</c:v>
                </c:pt>
                <c:pt idx="58">
                  <c:v>#N/A</c:v>
                </c:pt>
                <c:pt idx="59">
                  <c:v>#N/A</c:v>
                </c:pt>
                <c:pt idx="60">
                  <c:v>#N/A</c:v>
                </c:pt>
                <c:pt idx="61">
                  <c:v>#N/A</c:v>
                </c:pt>
                <c:pt idx="62">
                  <c:v>#N/A</c:v>
                </c:pt>
                <c:pt idx="63">
                  <c:v>#N/A</c:v>
                </c:pt>
                <c:pt idx="64">
                  <c:v>#N/A</c:v>
                </c:pt>
                <c:pt idx="65">
                  <c:v>#N/A</c:v>
                </c:pt>
                <c:pt idx="66">
                  <c:v>#N/A</c:v>
                </c:pt>
                <c:pt idx="67">
                  <c:v>#N/A</c:v>
                </c:pt>
                <c:pt idx="68">
                  <c:v>#N/A</c:v>
                </c:pt>
                <c:pt idx="69">
                  <c:v>#N/A</c:v>
                </c:pt>
                <c:pt idx="70">
                  <c:v>#N/A</c:v>
                </c:pt>
                <c:pt idx="71">
                  <c:v>#N/A</c:v>
                </c:pt>
                <c:pt idx="72">
                  <c:v>#N/A</c:v>
                </c:pt>
                <c:pt idx="73">
                  <c:v>#N/A</c:v>
                </c:pt>
                <c:pt idx="74">
                  <c:v>#N/A</c:v>
                </c:pt>
                <c:pt idx="75">
                  <c:v>#N/A</c:v>
                </c:pt>
                <c:pt idx="76">
                  <c:v>#N/A</c:v>
                </c:pt>
                <c:pt idx="77">
                  <c:v>#N/A</c:v>
                </c:pt>
                <c:pt idx="78">
                  <c:v>#N/A</c:v>
                </c:pt>
                <c:pt idx="79">
                  <c:v>#N/A</c:v>
                </c:pt>
                <c:pt idx="80">
                  <c:v>#N/A</c:v>
                </c:pt>
                <c:pt idx="81">
                  <c:v>#N/A</c:v>
                </c:pt>
                <c:pt idx="82">
                  <c:v>#N/A</c:v>
                </c:pt>
                <c:pt idx="83">
                  <c:v>#N/A</c:v>
                </c:pt>
                <c:pt idx="84">
                  <c:v>#N/A</c:v>
                </c:pt>
              </c:numCache>
            </c:numRef>
          </c:val>
          <c:smooth val="0"/>
          <c:extLst>
            <c:ext xmlns:c16="http://schemas.microsoft.com/office/drawing/2014/chart" uri="{C3380CC4-5D6E-409C-BE32-E72D297353CC}">
              <c16:uniqueId val="{00000001-DB0C-4E9A-AAA2-43B8FF239D8C}"/>
            </c:ext>
          </c:extLst>
        </c:ser>
        <c:ser>
          <c:idx val="12"/>
          <c:order val="11"/>
          <c:tx>
            <c:strRef>
              <c:f>'4.3.2 Data_Tidsseriefigurer'!$B$153</c:f>
              <c:strCache>
                <c:ptCount val="1"/>
                <c:pt idx="0">
                  <c:v>Endring i totale utslipp</c:v>
                </c:pt>
              </c:strCache>
            </c:strRef>
          </c:tx>
          <c:spPr>
            <a:ln w="28575" cap="rnd">
              <a:solidFill>
                <a:schemeClr val="accent1">
                  <a:lumMod val="80000"/>
                  <a:lumOff val="20000"/>
                </a:schemeClr>
              </a:solidFill>
              <a:round/>
            </a:ln>
            <a:effectLst/>
          </c:spPr>
          <c:marker>
            <c:symbol val="none"/>
          </c:marker>
          <c:val>
            <c:numRef>
              <c:f>'4.3.2 Data_Tidsseriefigurer'!$M$153:$CS$153</c:f>
              <c:numCache>
                <c:formatCode>General</c:formatCode>
                <c:ptCount val="85"/>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pt idx="43">
                  <c:v>#N/A</c:v>
                </c:pt>
                <c:pt idx="44">
                  <c:v>#N/A</c:v>
                </c:pt>
                <c:pt idx="45">
                  <c:v>#N/A</c:v>
                </c:pt>
                <c:pt idx="46">
                  <c:v>#N/A</c:v>
                </c:pt>
                <c:pt idx="47">
                  <c:v>#N/A</c:v>
                </c:pt>
                <c:pt idx="48">
                  <c:v>#N/A</c:v>
                </c:pt>
                <c:pt idx="49">
                  <c:v>#N/A</c:v>
                </c:pt>
                <c:pt idx="50">
                  <c:v>#N/A</c:v>
                </c:pt>
                <c:pt idx="51">
                  <c:v>#N/A</c:v>
                </c:pt>
                <c:pt idx="52">
                  <c:v>#N/A</c:v>
                </c:pt>
                <c:pt idx="53">
                  <c:v>#N/A</c:v>
                </c:pt>
                <c:pt idx="54">
                  <c:v>#N/A</c:v>
                </c:pt>
                <c:pt idx="55">
                  <c:v>#N/A</c:v>
                </c:pt>
                <c:pt idx="56">
                  <c:v>#N/A</c:v>
                </c:pt>
                <c:pt idx="57">
                  <c:v>#N/A</c:v>
                </c:pt>
                <c:pt idx="58">
                  <c:v>#N/A</c:v>
                </c:pt>
                <c:pt idx="59">
                  <c:v>#N/A</c:v>
                </c:pt>
                <c:pt idx="60">
                  <c:v>#N/A</c:v>
                </c:pt>
                <c:pt idx="61">
                  <c:v>#N/A</c:v>
                </c:pt>
                <c:pt idx="62">
                  <c:v>#N/A</c:v>
                </c:pt>
                <c:pt idx="63">
                  <c:v>#N/A</c:v>
                </c:pt>
                <c:pt idx="64">
                  <c:v>#N/A</c:v>
                </c:pt>
                <c:pt idx="65">
                  <c:v>#N/A</c:v>
                </c:pt>
                <c:pt idx="66">
                  <c:v>#N/A</c:v>
                </c:pt>
                <c:pt idx="67">
                  <c:v>#N/A</c:v>
                </c:pt>
                <c:pt idx="68">
                  <c:v>#N/A</c:v>
                </c:pt>
                <c:pt idx="69">
                  <c:v>#N/A</c:v>
                </c:pt>
                <c:pt idx="70">
                  <c:v>#N/A</c:v>
                </c:pt>
                <c:pt idx="71">
                  <c:v>#N/A</c:v>
                </c:pt>
                <c:pt idx="72">
                  <c:v>#N/A</c:v>
                </c:pt>
                <c:pt idx="73">
                  <c:v>#N/A</c:v>
                </c:pt>
                <c:pt idx="74">
                  <c:v>#N/A</c:v>
                </c:pt>
                <c:pt idx="75">
                  <c:v>#N/A</c:v>
                </c:pt>
                <c:pt idx="76">
                  <c:v>#N/A</c:v>
                </c:pt>
                <c:pt idx="77">
                  <c:v>#N/A</c:v>
                </c:pt>
                <c:pt idx="78">
                  <c:v>#N/A</c:v>
                </c:pt>
                <c:pt idx="79">
                  <c:v>#N/A</c:v>
                </c:pt>
                <c:pt idx="80">
                  <c:v>#N/A</c:v>
                </c:pt>
                <c:pt idx="81">
                  <c:v>#N/A</c:v>
                </c:pt>
                <c:pt idx="82">
                  <c:v>#N/A</c:v>
                </c:pt>
                <c:pt idx="83">
                  <c:v>#N/A</c:v>
                </c:pt>
                <c:pt idx="84">
                  <c:v>#N/A</c:v>
                </c:pt>
              </c:numCache>
            </c:numRef>
          </c:val>
          <c:smooth val="0"/>
          <c:extLst>
            <c:ext xmlns:c16="http://schemas.microsoft.com/office/drawing/2014/chart" uri="{C3380CC4-5D6E-409C-BE32-E72D297353CC}">
              <c16:uniqueId val="{00000001-3064-4C81-A859-20DB3F9510A6}"/>
            </c:ext>
          </c:extLst>
        </c:ser>
        <c:dLbls>
          <c:showLegendKey val="0"/>
          <c:showVal val="0"/>
          <c:showCatName val="0"/>
          <c:showSerName val="0"/>
          <c:showPercent val="0"/>
          <c:showBubbleSize val="0"/>
        </c:dLbls>
        <c:marker val="1"/>
        <c:smooth val="0"/>
        <c:axId val="1946888016"/>
        <c:axId val="1855491952"/>
      </c:lineChart>
      <c:lineChart>
        <c:grouping val="standard"/>
        <c:varyColors val="0"/>
        <c:ser>
          <c:idx val="8"/>
          <c:order val="12"/>
          <c:tx>
            <c:strRef>
              <c:f>'4.3.2 Data_Tidsseriefigurer'!$B$154</c:f>
              <c:strCache>
                <c:ptCount val="1"/>
                <c:pt idx="0">
                  <c:v>Karbonprisbane, KPI-justert</c:v>
                </c:pt>
              </c:strCache>
            </c:strRef>
          </c:tx>
          <c:spPr>
            <a:ln w="28575" cap="rnd">
              <a:solidFill>
                <a:schemeClr val="accent3">
                  <a:lumMod val="60000"/>
                </a:schemeClr>
              </a:solidFill>
              <a:round/>
            </a:ln>
            <a:effectLst/>
          </c:spPr>
          <c:marker>
            <c:symbol val="none"/>
          </c:marker>
          <c:cat>
            <c:numRef>
              <c:f>'4.3.2 Data_Tidsseriefigurer'!$M$141:$CS$141</c:f>
              <c:numCache>
                <c:formatCode>General</c:formatCode>
                <c:ptCount val="85"/>
                <c:pt idx="0">
                  <c:v>-10</c:v>
                </c:pt>
                <c:pt idx="1">
                  <c:v>-9</c:v>
                </c:pt>
                <c:pt idx="2">
                  <c:v>-8</c:v>
                </c:pt>
                <c:pt idx="3">
                  <c:v>-7</c:v>
                </c:pt>
                <c:pt idx="4">
                  <c:v>-6</c:v>
                </c:pt>
                <c:pt idx="5">
                  <c:v>-5</c:v>
                </c:pt>
                <c:pt idx="6">
                  <c:v>-4</c:v>
                </c:pt>
                <c:pt idx="7">
                  <c:v>-3</c:v>
                </c:pt>
                <c:pt idx="8">
                  <c:v>-2</c:v>
                </c:pt>
                <c:pt idx="9">
                  <c:v>-1</c:v>
                </c:pt>
                <c:pt idx="10">
                  <c:v>0</c:v>
                </c:pt>
                <c:pt idx="11">
                  <c:v>1</c:v>
                </c:pt>
                <c:pt idx="12">
                  <c:v>2</c:v>
                </c:pt>
                <c:pt idx="13">
                  <c:v>3</c:v>
                </c:pt>
                <c:pt idx="14">
                  <c:v>4</c:v>
                </c:pt>
                <c:pt idx="15">
                  <c:v>5</c:v>
                </c:pt>
                <c:pt idx="16">
                  <c:v>6</c:v>
                </c:pt>
                <c:pt idx="17">
                  <c:v>7</c:v>
                </c:pt>
                <c:pt idx="18">
                  <c:v>8</c:v>
                </c:pt>
                <c:pt idx="19">
                  <c:v>9</c:v>
                </c:pt>
                <c:pt idx="20">
                  <c:v>10</c:v>
                </c:pt>
                <c:pt idx="21">
                  <c:v>11</c:v>
                </c:pt>
                <c:pt idx="22">
                  <c:v>12</c:v>
                </c:pt>
                <c:pt idx="23">
                  <c:v>13</c:v>
                </c:pt>
                <c:pt idx="24">
                  <c:v>14</c:v>
                </c:pt>
                <c:pt idx="25">
                  <c:v>15</c:v>
                </c:pt>
                <c:pt idx="26">
                  <c:v>16</c:v>
                </c:pt>
                <c:pt idx="27">
                  <c:v>17</c:v>
                </c:pt>
                <c:pt idx="28">
                  <c:v>18</c:v>
                </c:pt>
                <c:pt idx="29">
                  <c:v>19</c:v>
                </c:pt>
                <c:pt idx="30">
                  <c:v>20</c:v>
                </c:pt>
                <c:pt idx="31">
                  <c:v>21</c:v>
                </c:pt>
                <c:pt idx="32">
                  <c:v>22</c:v>
                </c:pt>
                <c:pt idx="33">
                  <c:v>23</c:v>
                </c:pt>
                <c:pt idx="34">
                  <c:v>24</c:v>
                </c:pt>
                <c:pt idx="35">
                  <c:v>25</c:v>
                </c:pt>
                <c:pt idx="36">
                  <c:v>26</c:v>
                </c:pt>
                <c:pt idx="37">
                  <c:v>27</c:v>
                </c:pt>
                <c:pt idx="38">
                  <c:v>28</c:v>
                </c:pt>
                <c:pt idx="39">
                  <c:v>29</c:v>
                </c:pt>
                <c:pt idx="40">
                  <c:v>30</c:v>
                </c:pt>
                <c:pt idx="41">
                  <c:v>31</c:v>
                </c:pt>
                <c:pt idx="42">
                  <c:v>32</c:v>
                </c:pt>
                <c:pt idx="43">
                  <c:v>33</c:v>
                </c:pt>
                <c:pt idx="44">
                  <c:v>34</c:v>
                </c:pt>
                <c:pt idx="45">
                  <c:v>35</c:v>
                </c:pt>
                <c:pt idx="46">
                  <c:v>36</c:v>
                </c:pt>
                <c:pt idx="47">
                  <c:v>37</c:v>
                </c:pt>
                <c:pt idx="48">
                  <c:v>38</c:v>
                </c:pt>
                <c:pt idx="49">
                  <c:v>39</c:v>
                </c:pt>
                <c:pt idx="50">
                  <c:v>40</c:v>
                </c:pt>
                <c:pt idx="51">
                  <c:v>41</c:v>
                </c:pt>
                <c:pt idx="52">
                  <c:v>42</c:v>
                </c:pt>
                <c:pt idx="53">
                  <c:v>43</c:v>
                </c:pt>
                <c:pt idx="54">
                  <c:v>44</c:v>
                </c:pt>
                <c:pt idx="55">
                  <c:v>45</c:v>
                </c:pt>
                <c:pt idx="56">
                  <c:v>46</c:v>
                </c:pt>
                <c:pt idx="57">
                  <c:v>47</c:v>
                </c:pt>
                <c:pt idx="58">
                  <c:v>48</c:v>
                </c:pt>
                <c:pt idx="59">
                  <c:v>49</c:v>
                </c:pt>
                <c:pt idx="60">
                  <c:v>50</c:v>
                </c:pt>
                <c:pt idx="61">
                  <c:v>51</c:v>
                </c:pt>
                <c:pt idx="62">
                  <c:v>52</c:v>
                </c:pt>
                <c:pt idx="63">
                  <c:v>53</c:v>
                </c:pt>
                <c:pt idx="64">
                  <c:v>54</c:v>
                </c:pt>
                <c:pt idx="65">
                  <c:v>55</c:v>
                </c:pt>
                <c:pt idx="66">
                  <c:v>56</c:v>
                </c:pt>
                <c:pt idx="67">
                  <c:v>57</c:v>
                </c:pt>
                <c:pt idx="68">
                  <c:v>58</c:v>
                </c:pt>
                <c:pt idx="69">
                  <c:v>59</c:v>
                </c:pt>
                <c:pt idx="70">
                  <c:v>60</c:v>
                </c:pt>
                <c:pt idx="71">
                  <c:v>61</c:v>
                </c:pt>
                <c:pt idx="72">
                  <c:v>62</c:v>
                </c:pt>
                <c:pt idx="73">
                  <c:v>63</c:v>
                </c:pt>
                <c:pt idx="74">
                  <c:v>64</c:v>
                </c:pt>
                <c:pt idx="75">
                  <c:v>65</c:v>
                </c:pt>
                <c:pt idx="76">
                  <c:v>66</c:v>
                </c:pt>
                <c:pt idx="77">
                  <c:v>67</c:v>
                </c:pt>
                <c:pt idx="78">
                  <c:v>68</c:v>
                </c:pt>
                <c:pt idx="79">
                  <c:v>69</c:v>
                </c:pt>
                <c:pt idx="80">
                  <c:v>70</c:v>
                </c:pt>
                <c:pt idx="81">
                  <c:v>71</c:v>
                </c:pt>
                <c:pt idx="82">
                  <c:v>72</c:v>
                </c:pt>
                <c:pt idx="83">
                  <c:v>73</c:v>
                </c:pt>
                <c:pt idx="84">
                  <c:v>74</c:v>
                </c:pt>
              </c:numCache>
            </c:numRef>
          </c:cat>
          <c:val>
            <c:numRef>
              <c:f>'4.3.2 Data_Tidsseriefigurer'!$M$154:$CS$154</c:f>
              <c:numCache>
                <c:formatCode>General</c:formatCode>
                <c:ptCount val="85"/>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pt idx="43">
                  <c:v>#N/A</c:v>
                </c:pt>
                <c:pt idx="44">
                  <c:v>#N/A</c:v>
                </c:pt>
                <c:pt idx="45">
                  <c:v>#N/A</c:v>
                </c:pt>
                <c:pt idx="46">
                  <c:v>#N/A</c:v>
                </c:pt>
                <c:pt idx="47">
                  <c:v>#N/A</c:v>
                </c:pt>
                <c:pt idx="48">
                  <c:v>#N/A</c:v>
                </c:pt>
                <c:pt idx="49">
                  <c:v>#N/A</c:v>
                </c:pt>
                <c:pt idx="50">
                  <c:v>#N/A</c:v>
                </c:pt>
                <c:pt idx="51">
                  <c:v>#N/A</c:v>
                </c:pt>
                <c:pt idx="52">
                  <c:v>#N/A</c:v>
                </c:pt>
                <c:pt idx="53">
                  <c:v>#N/A</c:v>
                </c:pt>
                <c:pt idx="54">
                  <c:v>#N/A</c:v>
                </c:pt>
                <c:pt idx="55">
                  <c:v>#N/A</c:v>
                </c:pt>
                <c:pt idx="56">
                  <c:v>#N/A</c:v>
                </c:pt>
                <c:pt idx="57">
                  <c:v>#N/A</c:v>
                </c:pt>
                <c:pt idx="58">
                  <c:v>#N/A</c:v>
                </c:pt>
                <c:pt idx="59">
                  <c:v>#N/A</c:v>
                </c:pt>
                <c:pt idx="60">
                  <c:v>#N/A</c:v>
                </c:pt>
                <c:pt idx="61">
                  <c:v>#N/A</c:v>
                </c:pt>
                <c:pt idx="62">
                  <c:v>#N/A</c:v>
                </c:pt>
                <c:pt idx="63">
                  <c:v>#N/A</c:v>
                </c:pt>
                <c:pt idx="64">
                  <c:v>#N/A</c:v>
                </c:pt>
                <c:pt idx="65">
                  <c:v>#N/A</c:v>
                </c:pt>
                <c:pt idx="66">
                  <c:v>#N/A</c:v>
                </c:pt>
                <c:pt idx="67">
                  <c:v>#N/A</c:v>
                </c:pt>
                <c:pt idx="68">
                  <c:v>#N/A</c:v>
                </c:pt>
                <c:pt idx="69">
                  <c:v>#N/A</c:v>
                </c:pt>
                <c:pt idx="70">
                  <c:v>#N/A</c:v>
                </c:pt>
                <c:pt idx="71">
                  <c:v>#N/A</c:v>
                </c:pt>
                <c:pt idx="72">
                  <c:v>#N/A</c:v>
                </c:pt>
                <c:pt idx="73">
                  <c:v>#N/A</c:v>
                </c:pt>
                <c:pt idx="74">
                  <c:v>#N/A</c:v>
                </c:pt>
                <c:pt idx="75">
                  <c:v>#N/A</c:v>
                </c:pt>
                <c:pt idx="76">
                  <c:v>#N/A</c:v>
                </c:pt>
                <c:pt idx="77">
                  <c:v>#N/A</c:v>
                </c:pt>
                <c:pt idx="78">
                  <c:v>#N/A</c:v>
                </c:pt>
                <c:pt idx="79">
                  <c:v>#N/A</c:v>
                </c:pt>
                <c:pt idx="80">
                  <c:v>#N/A</c:v>
                </c:pt>
                <c:pt idx="81">
                  <c:v>#N/A</c:v>
                </c:pt>
                <c:pt idx="82">
                  <c:v>#N/A</c:v>
                </c:pt>
                <c:pt idx="83">
                  <c:v>#N/A</c:v>
                </c:pt>
                <c:pt idx="84">
                  <c:v>#N/A</c:v>
                </c:pt>
              </c:numCache>
            </c:numRef>
          </c:val>
          <c:smooth val="0"/>
          <c:extLst>
            <c:ext xmlns:c16="http://schemas.microsoft.com/office/drawing/2014/chart" uri="{C3380CC4-5D6E-409C-BE32-E72D297353CC}">
              <c16:uniqueId val="{00000008-FCE1-4EB5-97D1-FF348DE5AF7E}"/>
            </c:ext>
          </c:extLst>
        </c:ser>
        <c:ser>
          <c:idx val="9"/>
          <c:order val="13"/>
          <c:tx>
            <c:strRef>
              <c:f>'4.3.2 Data_Tidsseriefigurer'!$B$155</c:f>
              <c:strCache>
                <c:ptCount val="1"/>
                <c:pt idx="0">
                  <c:v>CO2-avgiftsbane, KPI-justert</c:v>
                </c:pt>
              </c:strCache>
            </c:strRef>
          </c:tx>
          <c:spPr>
            <a:ln w="28575" cap="rnd">
              <a:solidFill>
                <a:schemeClr val="accent4">
                  <a:lumMod val="60000"/>
                </a:schemeClr>
              </a:solidFill>
              <a:round/>
            </a:ln>
            <a:effectLst/>
          </c:spPr>
          <c:marker>
            <c:symbol val="none"/>
          </c:marker>
          <c:cat>
            <c:numRef>
              <c:f>'4.3.2 Data_Tidsseriefigurer'!$M$141:$CS$141</c:f>
              <c:numCache>
                <c:formatCode>General</c:formatCode>
                <c:ptCount val="85"/>
                <c:pt idx="0">
                  <c:v>-10</c:v>
                </c:pt>
                <c:pt idx="1">
                  <c:v>-9</c:v>
                </c:pt>
                <c:pt idx="2">
                  <c:v>-8</c:v>
                </c:pt>
                <c:pt idx="3">
                  <c:v>-7</c:v>
                </c:pt>
                <c:pt idx="4">
                  <c:v>-6</c:v>
                </c:pt>
                <c:pt idx="5">
                  <c:v>-5</c:v>
                </c:pt>
                <c:pt idx="6">
                  <c:v>-4</c:v>
                </c:pt>
                <c:pt idx="7">
                  <c:v>-3</c:v>
                </c:pt>
                <c:pt idx="8">
                  <c:v>-2</c:v>
                </c:pt>
                <c:pt idx="9">
                  <c:v>-1</c:v>
                </c:pt>
                <c:pt idx="10">
                  <c:v>0</c:v>
                </c:pt>
                <c:pt idx="11">
                  <c:v>1</c:v>
                </c:pt>
                <c:pt idx="12">
                  <c:v>2</c:v>
                </c:pt>
                <c:pt idx="13">
                  <c:v>3</c:v>
                </c:pt>
                <c:pt idx="14">
                  <c:v>4</c:v>
                </c:pt>
                <c:pt idx="15">
                  <c:v>5</c:v>
                </c:pt>
                <c:pt idx="16">
                  <c:v>6</c:v>
                </c:pt>
                <c:pt idx="17">
                  <c:v>7</c:v>
                </c:pt>
                <c:pt idx="18">
                  <c:v>8</c:v>
                </c:pt>
                <c:pt idx="19">
                  <c:v>9</c:v>
                </c:pt>
                <c:pt idx="20">
                  <c:v>10</c:v>
                </c:pt>
                <c:pt idx="21">
                  <c:v>11</c:v>
                </c:pt>
                <c:pt idx="22">
                  <c:v>12</c:v>
                </c:pt>
                <c:pt idx="23">
                  <c:v>13</c:v>
                </c:pt>
                <c:pt idx="24">
                  <c:v>14</c:v>
                </c:pt>
                <c:pt idx="25">
                  <c:v>15</c:v>
                </c:pt>
                <c:pt idx="26">
                  <c:v>16</c:v>
                </c:pt>
                <c:pt idx="27">
                  <c:v>17</c:v>
                </c:pt>
                <c:pt idx="28">
                  <c:v>18</c:v>
                </c:pt>
                <c:pt idx="29">
                  <c:v>19</c:v>
                </c:pt>
                <c:pt idx="30">
                  <c:v>20</c:v>
                </c:pt>
                <c:pt idx="31">
                  <c:v>21</c:v>
                </c:pt>
                <c:pt idx="32">
                  <c:v>22</c:v>
                </c:pt>
                <c:pt idx="33">
                  <c:v>23</c:v>
                </c:pt>
                <c:pt idx="34">
                  <c:v>24</c:v>
                </c:pt>
                <c:pt idx="35">
                  <c:v>25</c:v>
                </c:pt>
                <c:pt idx="36">
                  <c:v>26</c:v>
                </c:pt>
                <c:pt idx="37">
                  <c:v>27</c:v>
                </c:pt>
                <c:pt idx="38">
                  <c:v>28</c:v>
                </c:pt>
                <c:pt idx="39">
                  <c:v>29</c:v>
                </c:pt>
                <c:pt idx="40">
                  <c:v>30</c:v>
                </c:pt>
                <c:pt idx="41">
                  <c:v>31</c:v>
                </c:pt>
                <c:pt idx="42">
                  <c:v>32</c:v>
                </c:pt>
                <c:pt idx="43">
                  <c:v>33</c:v>
                </c:pt>
                <c:pt idx="44">
                  <c:v>34</c:v>
                </c:pt>
                <c:pt idx="45">
                  <c:v>35</c:v>
                </c:pt>
                <c:pt idx="46">
                  <c:v>36</c:v>
                </c:pt>
                <c:pt idx="47">
                  <c:v>37</c:v>
                </c:pt>
                <c:pt idx="48">
                  <c:v>38</c:v>
                </c:pt>
                <c:pt idx="49">
                  <c:v>39</c:v>
                </c:pt>
                <c:pt idx="50">
                  <c:v>40</c:v>
                </c:pt>
                <c:pt idx="51">
                  <c:v>41</c:v>
                </c:pt>
                <c:pt idx="52">
                  <c:v>42</c:v>
                </c:pt>
                <c:pt idx="53">
                  <c:v>43</c:v>
                </c:pt>
                <c:pt idx="54">
                  <c:v>44</c:v>
                </c:pt>
                <c:pt idx="55">
                  <c:v>45</c:v>
                </c:pt>
                <c:pt idx="56">
                  <c:v>46</c:v>
                </c:pt>
                <c:pt idx="57">
                  <c:v>47</c:v>
                </c:pt>
                <c:pt idx="58">
                  <c:v>48</c:v>
                </c:pt>
                <c:pt idx="59">
                  <c:v>49</c:v>
                </c:pt>
                <c:pt idx="60">
                  <c:v>50</c:v>
                </c:pt>
                <c:pt idx="61">
                  <c:v>51</c:v>
                </c:pt>
                <c:pt idx="62">
                  <c:v>52</c:v>
                </c:pt>
                <c:pt idx="63">
                  <c:v>53</c:v>
                </c:pt>
                <c:pt idx="64">
                  <c:v>54</c:v>
                </c:pt>
                <c:pt idx="65">
                  <c:v>55</c:v>
                </c:pt>
                <c:pt idx="66">
                  <c:v>56</c:v>
                </c:pt>
                <c:pt idx="67">
                  <c:v>57</c:v>
                </c:pt>
                <c:pt idx="68">
                  <c:v>58</c:v>
                </c:pt>
                <c:pt idx="69">
                  <c:v>59</c:v>
                </c:pt>
                <c:pt idx="70">
                  <c:v>60</c:v>
                </c:pt>
                <c:pt idx="71">
                  <c:v>61</c:v>
                </c:pt>
                <c:pt idx="72">
                  <c:v>62</c:v>
                </c:pt>
                <c:pt idx="73">
                  <c:v>63</c:v>
                </c:pt>
                <c:pt idx="74">
                  <c:v>64</c:v>
                </c:pt>
                <c:pt idx="75">
                  <c:v>65</c:v>
                </c:pt>
                <c:pt idx="76">
                  <c:v>66</c:v>
                </c:pt>
                <c:pt idx="77">
                  <c:v>67</c:v>
                </c:pt>
                <c:pt idx="78">
                  <c:v>68</c:v>
                </c:pt>
                <c:pt idx="79">
                  <c:v>69</c:v>
                </c:pt>
                <c:pt idx="80">
                  <c:v>70</c:v>
                </c:pt>
                <c:pt idx="81">
                  <c:v>71</c:v>
                </c:pt>
                <c:pt idx="82">
                  <c:v>72</c:v>
                </c:pt>
                <c:pt idx="83">
                  <c:v>73</c:v>
                </c:pt>
                <c:pt idx="84">
                  <c:v>74</c:v>
                </c:pt>
              </c:numCache>
            </c:numRef>
          </c:cat>
          <c:val>
            <c:numRef>
              <c:f>'4.3.2 Data_Tidsseriefigurer'!$M$155:$CS$155</c:f>
              <c:numCache>
                <c:formatCode>General</c:formatCode>
                <c:ptCount val="85"/>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pt idx="43">
                  <c:v>#N/A</c:v>
                </c:pt>
                <c:pt idx="44">
                  <c:v>#N/A</c:v>
                </c:pt>
                <c:pt idx="45">
                  <c:v>#N/A</c:v>
                </c:pt>
                <c:pt idx="46">
                  <c:v>#N/A</c:v>
                </c:pt>
                <c:pt idx="47">
                  <c:v>#N/A</c:v>
                </c:pt>
                <c:pt idx="48">
                  <c:v>#N/A</c:v>
                </c:pt>
                <c:pt idx="49">
                  <c:v>#N/A</c:v>
                </c:pt>
                <c:pt idx="50">
                  <c:v>#N/A</c:v>
                </c:pt>
                <c:pt idx="51">
                  <c:v>#N/A</c:v>
                </c:pt>
                <c:pt idx="52">
                  <c:v>#N/A</c:v>
                </c:pt>
                <c:pt idx="53">
                  <c:v>#N/A</c:v>
                </c:pt>
                <c:pt idx="54">
                  <c:v>#N/A</c:v>
                </c:pt>
                <c:pt idx="55">
                  <c:v>#N/A</c:v>
                </c:pt>
                <c:pt idx="56">
                  <c:v>#N/A</c:v>
                </c:pt>
                <c:pt idx="57">
                  <c:v>#N/A</c:v>
                </c:pt>
                <c:pt idx="58">
                  <c:v>#N/A</c:v>
                </c:pt>
                <c:pt idx="59">
                  <c:v>#N/A</c:v>
                </c:pt>
                <c:pt idx="60">
                  <c:v>#N/A</c:v>
                </c:pt>
                <c:pt idx="61">
                  <c:v>#N/A</c:v>
                </c:pt>
                <c:pt idx="62">
                  <c:v>#N/A</c:v>
                </c:pt>
                <c:pt idx="63">
                  <c:v>#N/A</c:v>
                </c:pt>
                <c:pt idx="64">
                  <c:v>#N/A</c:v>
                </c:pt>
                <c:pt idx="65">
                  <c:v>#N/A</c:v>
                </c:pt>
                <c:pt idx="66">
                  <c:v>#N/A</c:v>
                </c:pt>
                <c:pt idx="67">
                  <c:v>#N/A</c:v>
                </c:pt>
                <c:pt idx="68">
                  <c:v>#N/A</c:v>
                </c:pt>
                <c:pt idx="69">
                  <c:v>#N/A</c:v>
                </c:pt>
                <c:pt idx="70">
                  <c:v>#N/A</c:v>
                </c:pt>
                <c:pt idx="71">
                  <c:v>#N/A</c:v>
                </c:pt>
                <c:pt idx="72">
                  <c:v>#N/A</c:v>
                </c:pt>
                <c:pt idx="73">
                  <c:v>#N/A</c:v>
                </c:pt>
                <c:pt idx="74">
                  <c:v>#N/A</c:v>
                </c:pt>
                <c:pt idx="75">
                  <c:v>#N/A</c:v>
                </c:pt>
                <c:pt idx="76">
                  <c:v>#N/A</c:v>
                </c:pt>
                <c:pt idx="77">
                  <c:v>#N/A</c:v>
                </c:pt>
                <c:pt idx="78">
                  <c:v>#N/A</c:v>
                </c:pt>
                <c:pt idx="79">
                  <c:v>#N/A</c:v>
                </c:pt>
                <c:pt idx="80">
                  <c:v>#N/A</c:v>
                </c:pt>
                <c:pt idx="81">
                  <c:v>#N/A</c:v>
                </c:pt>
                <c:pt idx="82">
                  <c:v>#N/A</c:v>
                </c:pt>
                <c:pt idx="83">
                  <c:v>#N/A</c:v>
                </c:pt>
                <c:pt idx="84">
                  <c:v>#N/A</c:v>
                </c:pt>
              </c:numCache>
            </c:numRef>
          </c:val>
          <c:smooth val="0"/>
          <c:extLst>
            <c:ext xmlns:c16="http://schemas.microsoft.com/office/drawing/2014/chart" uri="{C3380CC4-5D6E-409C-BE32-E72D297353CC}">
              <c16:uniqueId val="{0000004C-FCE1-4EB5-97D1-FF348DE5AF7E}"/>
            </c:ext>
          </c:extLst>
        </c:ser>
        <c:dLbls>
          <c:showLegendKey val="0"/>
          <c:showVal val="0"/>
          <c:showCatName val="0"/>
          <c:showSerName val="0"/>
          <c:showPercent val="0"/>
          <c:showBubbleSize val="0"/>
        </c:dLbls>
        <c:marker val="1"/>
        <c:smooth val="0"/>
        <c:axId val="1896714928"/>
        <c:axId val="1855529392"/>
      </c:lineChart>
      <c:dateAx>
        <c:axId val="1946888016"/>
        <c:scaling>
          <c:orientation val="minMax"/>
          <c:max val="2104"/>
          <c:min val="2029"/>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Franklin Gothic Book" panose="020B0503020102020204" pitchFamily="34" charset="0"/>
                <a:ea typeface="+mn-ea"/>
                <a:cs typeface="+mn-cs"/>
              </a:defRPr>
            </a:pPr>
            <a:endParaRPr lang="nb-NO"/>
          </a:p>
        </c:txPr>
        <c:crossAx val="1855491952"/>
        <c:crosses val="autoZero"/>
        <c:auto val="0"/>
        <c:lblOffset val="100"/>
        <c:baseTimeUnit val="days"/>
        <c:majorUnit val="5"/>
      </c:dateAx>
      <c:valAx>
        <c:axId val="185549195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nb-NO"/>
                  <a:t>CO2-utslipp, 1000 tonn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nb-NO"/>
            </a:p>
          </c:txPr>
        </c:title>
        <c:numFmt formatCode="#,##0.0" sourceLinked="0"/>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Franklin Gothic Book" panose="020B0503020102020204" pitchFamily="34" charset="0"/>
                <a:ea typeface="+mn-ea"/>
                <a:cs typeface="+mn-cs"/>
              </a:defRPr>
            </a:pPr>
            <a:endParaRPr lang="nb-NO"/>
          </a:p>
        </c:txPr>
        <c:crossAx val="1946888016"/>
        <c:crosses val="autoZero"/>
        <c:crossBetween val="between"/>
        <c:dispUnits>
          <c:builtInUnit val="millions"/>
        </c:dispUnits>
      </c:valAx>
      <c:valAx>
        <c:axId val="1855529392"/>
        <c:scaling>
          <c:orientation val="minMax"/>
        </c:scaling>
        <c:delete val="0"/>
        <c:axPos val="r"/>
        <c:title>
          <c:tx>
            <c:rich>
              <a:bodyPr rot="5400000" spcFirstLastPara="1" vertOverflow="ellipsis" wrap="square" anchor="ctr" anchorCtr="1"/>
              <a:lstStyle/>
              <a:p>
                <a:pPr>
                  <a:defRPr sz="1000" b="0" i="0" u="none" strike="noStrike" kern="1200" baseline="0">
                    <a:solidFill>
                      <a:schemeClr val="tx1">
                        <a:lumMod val="65000"/>
                        <a:lumOff val="35000"/>
                      </a:schemeClr>
                    </a:solidFill>
                    <a:latin typeface="+mn-lt"/>
                    <a:ea typeface="+mn-ea"/>
                    <a:cs typeface="+mn-cs"/>
                  </a:defRPr>
                </a:pPr>
                <a:r>
                  <a:rPr lang="nb-NO"/>
                  <a:t>CO2-avgift/Karbonprisbane,</a:t>
                </a:r>
                <a:r>
                  <a:rPr lang="nb-NO" baseline="0"/>
                  <a:t> kroner/tonn</a:t>
                </a:r>
                <a:endParaRPr lang="nb-NO"/>
              </a:p>
            </c:rich>
          </c:tx>
          <c:overlay val="0"/>
          <c:spPr>
            <a:noFill/>
            <a:ln>
              <a:noFill/>
            </a:ln>
            <a:effectLst/>
          </c:spPr>
          <c:txPr>
            <a:bodyPr rot="5400000" spcFirstLastPara="1" vertOverflow="ellipsis"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nb-NO"/>
            </a:p>
          </c:txPr>
        </c:title>
        <c:numFmt formatCode="#,##0" sourceLinked="0"/>
        <c:majorTickMark val="out"/>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Franklin Gothic Book" panose="020B0503020102020204" pitchFamily="34" charset="0"/>
                <a:ea typeface="+mn-ea"/>
                <a:cs typeface="+mn-cs"/>
              </a:defRPr>
            </a:pPr>
            <a:endParaRPr lang="nb-NO"/>
          </a:p>
        </c:txPr>
        <c:crossAx val="1896714928"/>
        <c:crosses val="max"/>
        <c:crossBetween val="between"/>
      </c:valAx>
      <c:catAx>
        <c:axId val="1896714928"/>
        <c:scaling>
          <c:orientation val="minMax"/>
        </c:scaling>
        <c:delete val="1"/>
        <c:axPos val="b"/>
        <c:numFmt formatCode="General" sourceLinked="1"/>
        <c:majorTickMark val="out"/>
        <c:minorTickMark val="none"/>
        <c:tickLblPos val="nextTo"/>
        <c:crossAx val="1855529392"/>
        <c:crosses val="autoZero"/>
        <c:auto val="1"/>
        <c:lblAlgn val="ctr"/>
        <c:lblOffset val="100"/>
        <c:noMultiLvlLbl val="0"/>
      </c:catAx>
      <c:spPr>
        <a:noFill/>
        <a:ln>
          <a:noFill/>
        </a:ln>
        <a:effectLst/>
      </c:spPr>
    </c:plotArea>
    <c:legend>
      <c:legendPos val="b"/>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Franklin Gothic Book" panose="020B0503020102020204" pitchFamily="34" charset="0"/>
              <a:ea typeface="+mn-ea"/>
              <a:cs typeface="+mn-cs"/>
            </a:defRPr>
          </a:pPr>
          <a:endParaRPr lang="nb-N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nb-NO"/>
    </a:p>
  </c:txPr>
  <c:printSettings>
    <c:headerFooter/>
    <c:pageMargins b="0.75" l="0.7" r="0.7" t="0.75" header="0.3" footer="0.3"/>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b-NO"/>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'4.3.2 Data_Tidsseriefigurer'!$C$171</c:f>
          <c:strCache>
            <c:ptCount val="1"/>
            <c:pt idx="0">
              <c:v>Ulykker, støy og lokale utslipp, mill. -kr</c:v>
            </c:pt>
          </c:strCache>
        </c:strRef>
      </c:tx>
      <c:overlay val="0"/>
      <c:spPr>
        <a:noFill/>
        <a:ln>
          <a:noFill/>
        </a:ln>
        <a:effectLst/>
      </c:spPr>
      <c:txPr>
        <a:bodyPr rot="0" spcFirstLastPara="1" vertOverflow="ellipsis" vert="horz" wrap="square" anchor="ctr" anchorCtr="1"/>
        <a:lstStyle/>
        <a:p>
          <a:pPr>
            <a:defRPr sz="1600" b="0" i="0" u="none" strike="noStrike" kern="1200" spc="0" baseline="0">
              <a:solidFill>
                <a:schemeClr val="tx1">
                  <a:lumMod val="65000"/>
                  <a:lumOff val="35000"/>
                </a:schemeClr>
              </a:solidFill>
              <a:latin typeface="Franklin Gothic Book" panose="020B0503020102020204" pitchFamily="34" charset="0"/>
              <a:ea typeface="+mn-ea"/>
              <a:cs typeface="+mn-cs"/>
            </a:defRPr>
          </a:pPr>
          <a:endParaRPr lang="nb-NO"/>
        </a:p>
      </c:txPr>
    </c:title>
    <c:autoTitleDeleted val="0"/>
    <c:plotArea>
      <c:layout/>
      <c:lineChart>
        <c:grouping val="standard"/>
        <c:varyColors val="0"/>
        <c:ser>
          <c:idx val="1"/>
          <c:order val="0"/>
          <c:tx>
            <c:strRef>
              <c:f>'4.3.2 Data_Tidsseriefigurer'!$B$174</c:f>
              <c:strCache>
                <c:ptCount val="1"/>
                <c:pt idx="0">
                  <c:v>Ulykker</c:v>
                </c:pt>
              </c:strCache>
            </c:strRef>
          </c:tx>
          <c:spPr>
            <a:ln w="28575" cap="rnd">
              <a:solidFill>
                <a:schemeClr val="accent2"/>
              </a:solidFill>
              <a:round/>
            </a:ln>
            <a:effectLst/>
          </c:spPr>
          <c:marker>
            <c:symbol val="none"/>
          </c:marker>
          <c:cat>
            <c:numRef>
              <c:f>'4.3.2 Data_Tidsseriefigurer'!$C$164:$BY$164</c:f>
              <c:numCache>
                <c:formatCode>0</c:formatCode>
                <c:ptCount val="75"/>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pt idx="69">
                  <c:v>69</c:v>
                </c:pt>
                <c:pt idx="70">
                  <c:v>70</c:v>
                </c:pt>
                <c:pt idx="71">
                  <c:v>71</c:v>
                </c:pt>
                <c:pt idx="72">
                  <c:v>72</c:v>
                </c:pt>
                <c:pt idx="73">
                  <c:v>73</c:v>
                </c:pt>
                <c:pt idx="74">
                  <c:v>74</c:v>
                </c:pt>
              </c:numCache>
            </c:numRef>
          </c:cat>
          <c:val>
            <c:numRef>
              <c:f>'4.3.2 Data_Tidsseriefigurer'!$C$174:$BY$174</c:f>
              <c:numCache>
                <c:formatCode>General</c:formatCode>
                <c:ptCount val="75"/>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pt idx="43">
                  <c:v>#N/A</c:v>
                </c:pt>
                <c:pt idx="44">
                  <c:v>#N/A</c:v>
                </c:pt>
                <c:pt idx="45">
                  <c:v>#N/A</c:v>
                </c:pt>
                <c:pt idx="46">
                  <c:v>#N/A</c:v>
                </c:pt>
                <c:pt idx="47">
                  <c:v>#N/A</c:v>
                </c:pt>
                <c:pt idx="48">
                  <c:v>#N/A</c:v>
                </c:pt>
                <c:pt idx="49">
                  <c:v>#N/A</c:v>
                </c:pt>
                <c:pt idx="50">
                  <c:v>#N/A</c:v>
                </c:pt>
                <c:pt idx="51">
                  <c:v>#N/A</c:v>
                </c:pt>
                <c:pt idx="52">
                  <c:v>#N/A</c:v>
                </c:pt>
                <c:pt idx="53">
                  <c:v>#N/A</c:v>
                </c:pt>
                <c:pt idx="54">
                  <c:v>#N/A</c:v>
                </c:pt>
                <c:pt idx="55">
                  <c:v>#N/A</c:v>
                </c:pt>
                <c:pt idx="56">
                  <c:v>#N/A</c:v>
                </c:pt>
                <c:pt idx="57">
                  <c:v>#N/A</c:v>
                </c:pt>
                <c:pt idx="58">
                  <c:v>#N/A</c:v>
                </c:pt>
                <c:pt idx="59">
                  <c:v>#N/A</c:v>
                </c:pt>
                <c:pt idx="60">
                  <c:v>#N/A</c:v>
                </c:pt>
                <c:pt idx="61">
                  <c:v>#N/A</c:v>
                </c:pt>
                <c:pt idx="62">
                  <c:v>#N/A</c:v>
                </c:pt>
                <c:pt idx="63">
                  <c:v>#N/A</c:v>
                </c:pt>
                <c:pt idx="64">
                  <c:v>#N/A</c:v>
                </c:pt>
                <c:pt idx="65">
                  <c:v>#N/A</c:v>
                </c:pt>
                <c:pt idx="66">
                  <c:v>#N/A</c:v>
                </c:pt>
                <c:pt idx="67">
                  <c:v>#N/A</c:v>
                </c:pt>
                <c:pt idx="68">
                  <c:v>#N/A</c:v>
                </c:pt>
                <c:pt idx="69">
                  <c:v>#N/A</c:v>
                </c:pt>
                <c:pt idx="70">
                  <c:v>#N/A</c:v>
                </c:pt>
                <c:pt idx="71">
                  <c:v>#N/A</c:v>
                </c:pt>
                <c:pt idx="72">
                  <c:v>#N/A</c:v>
                </c:pt>
                <c:pt idx="73">
                  <c:v>#N/A</c:v>
                </c:pt>
                <c:pt idx="74">
                  <c:v>#N/A</c:v>
                </c:pt>
              </c:numCache>
            </c:numRef>
          </c:val>
          <c:smooth val="0"/>
          <c:extLst>
            <c:ext xmlns:c16="http://schemas.microsoft.com/office/drawing/2014/chart" uri="{C3380CC4-5D6E-409C-BE32-E72D297353CC}">
              <c16:uniqueId val="{00000001-CAAD-495E-B292-365910115D0A}"/>
            </c:ext>
          </c:extLst>
        </c:ser>
        <c:ser>
          <c:idx val="2"/>
          <c:order val="1"/>
          <c:tx>
            <c:strRef>
              <c:f>'4.3.2 Data_Tidsseriefigurer'!$B$175</c:f>
              <c:strCache>
                <c:ptCount val="1"/>
                <c:pt idx="0">
                  <c:v>Støy</c:v>
                </c:pt>
              </c:strCache>
            </c:strRef>
          </c:tx>
          <c:spPr>
            <a:ln w="28575" cap="rnd">
              <a:solidFill>
                <a:schemeClr val="accent3"/>
              </a:solidFill>
              <a:round/>
            </a:ln>
            <a:effectLst/>
          </c:spPr>
          <c:marker>
            <c:symbol val="none"/>
          </c:marker>
          <c:cat>
            <c:numRef>
              <c:f>'4.3.2 Data_Tidsseriefigurer'!$C$164:$BY$164</c:f>
              <c:numCache>
                <c:formatCode>0</c:formatCode>
                <c:ptCount val="75"/>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pt idx="69">
                  <c:v>69</c:v>
                </c:pt>
                <c:pt idx="70">
                  <c:v>70</c:v>
                </c:pt>
                <c:pt idx="71">
                  <c:v>71</c:v>
                </c:pt>
                <c:pt idx="72">
                  <c:v>72</c:v>
                </c:pt>
                <c:pt idx="73">
                  <c:v>73</c:v>
                </c:pt>
                <c:pt idx="74">
                  <c:v>74</c:v>
                </c:pt>
              </c:numCache>
            </c:numRef>
          </c:cat>
          <c:val>
            <c:numRef>
              <c:f>'4.3.2 Data_Tidsseriefigurer'!$C$175:$BY$175</c:f>
              <c:numCache>
                <c:formatCode>General</c:formatCode>
                <c:ptCount val="75"/>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pt idx="43">
                  <c:v>#N/A</c:v>
                </c:pt>
                <c:pt idx="44">
                  <c:v>#N/A</c:v>
                </c:pt>
                <c:pt idx="45">
                  <c:v>#N/A</c:v>
                </c:pt>
                <c:pt idx="46">
                  <c:v>#N/A</c:v>
                </c:pt>
                <c:pt idx="47">
                  <c:v>#N/A</c:v>
                </c:pt>
                <c:pt idx="48">
                  <c:v>#N/A</c:v>
                </c:pt>
                <c:pt idx="49">
                  <c:v>#N/A</c:v>
                </c:pt>
                <c:pt idx="50">
                  <c:v>#N/A</c:v>
                </c:pt>
                <c:pt idx="51">
                  <c:v>#N/A</c:v>
                </c:pt>
                <c:pt idx="52">
                  <c:v>#N/A</c:v>
                </c:pt>
                <c:pt idx="53">
                  <c:v>#N/A</c:v>
                </c:pt>
                <c:pt idx="54">
                  <c:v>#N/A</c:v>
                </c:pt>
                <c:pt idx="55">
                  <c:v>#N/A</c:v>
                </c:pt>
                <c:pt idx="56">
                  <c:v>#N/A</c:v>
                </c:pt>
                <c:pt idx="57">
                  <c:v>#N/A</c:v>
                </c:pt>
                <c:pt idx="58">
                  <c:v>#N/A</c:v>
                </c:pt>
                <c:pt idx="59">
                  <c:v>#N/A</c:v>
                </c:pt>
                <c:pt idx="60">
                  <c:v>#N/A</c:v>
                </c:pt>
                <c:pt idx="61">
                  <c:v>#N/A</c:v>
                </c:pt>
                <c:pt idx="62">
                  <c:v>#N/A</c:v>
                </c:pt>
                <c:pt idx="63">
                  <c:v>#N/A</c:v>
                </c:pt>
                <c:pt idx="64">
                  <c:v>#N/A</c:v>
                </c:pt>
                <c:pt idx="65">
                  <c:v>#N/A</c:v>
                </c:pt>
                <c:pt idx="66">
                  <c:v>#N/A</c:v>
                </c:pt>
                <c:pt idx="67">
                  <c:v>#N/A</c:v>
                </c:pt>
                <c:pt idx="68">
                  <c:v>#N/A</c:v>
                </c:pt>
                <c:pt idx="69">
                  <c:v>#N/A</c:v>
                </c:pt>
                <c:pt idx="70">
                  <c:v>#N/A</c:v>
                </c:pt>
                <c:pt idx="71">
                  <c:v>#N/A</c:v>
                </c:pt>
                <c:pt idx="72">
                  <c:v>#N/A</c:v>
                </c:pt>
                <c:pt idx="73">
                  <c:v>#N/A</c:v>
                </c:pt>
                <c:pt idx="74">
                  <c:v>#N/A</c:v>
                </c:pt>
              </c:numCache>
            </c:numRef>
          </c:val>
          <c:smooth val="0"/>
          <c:extLst>
            <c:ext xmlns:c16="http://schemas.microsoft.com/office/drawing/2014/chart" uri="{C3380CC4-5D6E-409C-BE32-E72D297353CC}">
              <c16:uniqueId val="{00000002-CAAD-495E-B292-365910115D0A}"/>
            </c:ext>
          </c:extLst>
        </c:ser>
        <c:ser>
          <c:idx val="3"/>
          <c:order val="2"/>
          <c:tx>
            <c:strRef>
              <c:f>'4.3.2 Data_Tidsseriefigurer'!$B$176</c:f>
              <c:strCache>
                <c:ptCount val="1"/>
                <c:pt idx="0">
                  <c:v>Lokale utslipp</c:v>
                </c:pt>
              </c:strCache>
            </c:strRef>
          </c:tx>
          <c:spPr>
            <a:ln w="28575" cap="rnd">
              <a:solidFill>
                <a:schemeClr val="accent4"/>
              </a:solidFill>
              <a:round/>
            </a:ln>
            <a:effectLst/>
          </c:spPr>
          <c:marker>
            <c:symbol val="none"/>
          </c:marker>
          <c:cat>
            <c:numRef>
              <c:f>'4.3.2 Data_Tidsseriefigurer'!$C$164:$BY$164</c:f>
              <c:numCache>
                <c:formatCode>0</c:formatCode>
                <c:ptCount val="75"/>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pt idx="69">
                  <c:v>69</c:v>
                </c:pt>
                <c:pt idx="70">
                  <c:v>70</c:v>
                </c:pt>
                <c:pt idx="71">
                  <c:v>71</c:v>
                </c:pt>
                <c:pt idx="72">
                  <c:v>72</c:v>
                </c:pt>
                <c:pt idx="73">
                  <c:v>73</c:v>
                </c:pt>
                <c:pt idx="74">
                  <c:v>74</c:v>
                </c:pt>
              </c:numCache>
            </c:numRef>
          </c:cat>
          <c:val>
            <c:numRef>
              <c:f>'4.3.2 Data_Tidsseriefigurer'!$C$176:$BY$176</c:f>
              <c:numCache>
                <c:formatCode>General</c:formatCode>
                <c:ptCount val="75"/>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pt idx="43">
                  <c:v>#N/A</c:v>
                </c:pt>
                <c:pt idx="44">
                  <c:v>#N/A</c:v>
                </c:pt>
                <c:pt idx="45">
                  <c:v>#N/A</c:v>
                </c:pt>
                <c:pt idx="46">
                  <c:v>#N/A</c:v>
                </c:pt>
                <c:pt idx="47">
                  <c:v>#N/A</c:v>
                </c:pt>
                <c:pt idx="48">
                  <c:v>#N/A</c:v>
                </c:pt>
                <c:pt idx="49">
                  <c:v>#N/A</c:v>
                </c:pt>
                <c:pt idx="50">
                  <c:v>#N/A</c:v>
                </c:pt>
                <c:pt idx="51">
                  <c:v>#N/A</c:v>
                </c:pt>
                <c:pt idx="52">
                  <c:v>#N/A</c:v>
                </c:pt>
                <c:pt idx="53">
                  <c:v>#N/A</c:v>
                </c:pt>
                <c:pt idx="54">
                  <c:v>#N/A</c:v>
                </c:pt>
                <c:pt idx="55">
                  <c:v>#N/A</c:v>
                </c:pt>
                <c:pt idx="56">
                  <c:v>#N/A</c:v>
                </c:pt>
                <c:pt idx="57">
                  <c:v>#N/A</c:v>
                </c:pt>
                <c:pt idx="58">
                  <c:v>#N/A</c:v>
                </c:pt>
                <c:pt idx="59">
                  <c:v>#N/A</c:v>
                </c:pt>
                <c:pt idx="60">
                  <c:v>#N/A</c:v>
                </c:pt>
                <c:pt idx="61">
                  <c:v>#N/A</c:v>
                </c:pt>
                <c:pt idx="62">
                  <c:v>#N/A</c:v>
                </c:pt>
                <c:pt idx="63">
                  <c:v>#N/A</c:v>
                </c:pt>
                <c:pt idx="64">
                  <c:v>#N/A</c:v>
                </c:pt>
                <c:pt idx="65">
                  <c:v>#N/A</c:v>
                </c:pt>
                <c:pt idx="66">
                  <c:v>#N/A</c:v>
                </c:pt>
                <c:pt idx="67">
                  <c:v>#N/A</c:v>
                </c:pt>
                <c:pt idx="68">
                  <c:v>#N/A</c:v>
                </c:pt>
                <c:pt idx="69">
                  <c:v>#N/A</c:v>
                </c:pt>
                <c:pt idx="70">
                  <c:v>#N/A</c:v>
                </c:pt>
                <c:pt idx="71">
                  <c:v>#N/A</c:v>
                </c:pt>
                <c:pt idx="72">
                  <c:v>#N/A</c:v>
                </c:pt>
                <c:pt idx="73">
                  <c:v>#N/A</c:v>
                </c:pt>
                <c:pt idx="74">
                  <c:v>#N/A</c:v>
                </c:pt>
              </c:numCache>
            </c:numRef>
          </c:val>
          <c:smooth val="0"/>
          <c:extLst>
            <c:ext xmlns:c16="http://schemas.microsoft.com/office/drawing/2014/chart" uri="{C3380CC4-5D6E-409C-BE32-E72D297353CC}">
              <c16:uniqueId val="{00000003-CAAD-495E-B292-365910115D0A}"/>
            </c:ext>
          </c:extLst>
        </c:ser>
        <c:dLbls>
          <c:showLegendKey val="0"/>
          <c:showVal val="0"/>
          <c:showCatName val="0"/>
          <c:showSerName val="0"/>
          <c:showPercent val="0"/>
          <c:showBubbleSize val="0"/>
        </c:dLbls>
        <c:smooth val="0"/>
        <c:axId val="1896738128"/>
        <c:axId val="1427975728"/>
      </c:lineChart>
      <c:dateAx>
        <c:axId val="1896738128"/>
        <c:scaling>
          <c:orientation val="minMax"/>
          <c:max val="-1"/>
        </c:scaling>
        <c:delete val="0"/>
        <c:axPos val="b"/>
        <c:numFmt formatCode="0"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Franklin Gothic Book" panose="020B0503020102020204" pitchFamily="34" charset="0"/>
                <a:ea typeface="+mn-ea"/>
                <a:cs typeface="+mn-cs"/>
              </a:defRPr>
            </a:pPr>
            <a:endParaRPr lang="nb-NO"/>
          </a:p>
        </c:txPr>
        <c:crossAx val="1427975728"/>
        <c:crosses val="autoZero"/>
        <c:auto val="0"/>
        <c:lblOffset val="100"/>
        <c:baseTimeUnit val="days"/>
      </c:dateAx>
      <c:valAx>
        <c:axId val="142797572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200" b="0" i="0" u="none" strike="noStrike" kern="1200" baseline="0">
                    <a:solidFill>
                      <a:schemeClr val="tx1">
                        <a:lumMod val="65000"/>
                        <a:lumOff val="35000"/>
                      </a:schemeClr>
                    </a:solidFill>
                    <a:latin typeface="Franklin Gothic Book" panose="020B0503020102020204" pitchFamily="34" charset="0"/>
                    <a:ea typeface="+mn-ea"/>
                    <a:cs typeface="+mn-cs"/>
                  </a:defRPr>
                </a:pPr>
                <a:r>
                  <a:rPr lang="nb-NO" sz="1200">
                    <a:latin typeface="Franklin Gothic Book" panose="020B0503020102020204" pitchFamily="34" charset="0"/>
                  </a:rPr>
                  <a:t>Millioner kroner</a:t>
                </a:r>
              </a:p>
            </c:rich>
          </c:tx>
          <c:overlay val="0"/>
          <c:spPr>
            <a:noFill/>
            <a:ln>
              <a:noFill/>
            </a:ln>
            <a:effectLst/>
          </c:spPr>
          <c:txPr>
            <a:bodyPr rot="-5400000" spcFirstLastPara="1" vertOverflow="ellipsis" vert="horz" wrap="square" anchor="ctr" anchorCtr="1"/>
            <a:lstStyle/>
            <a:p>
              <a:pPr>
                <a:defRPr sz="1200" b="0" i="0" u="none" strike="noStrike" kern="1200" baseline="0">
                  <a:solidFill>
                    <a:schemeClr val="tx1">
                      <a:lumMod val="65000"/>
                      <a:lumOff val="35000"/>
                    </a:schemeClr>
                  </a:solidFill>
                  <a:latin typeface="Franklin Gothic Book" panose="020B0503020102020204" pitchFamily="34" charset="0"/>
                  <a:ea typeface="+mn-ea"/>
                  <a:cs typeface="+mn-cs"/>
                </a:defRPr>
              </a:pPr>
              <a:endParaRPr lang="nb-NO"/>
            </a:p>
          </c:txPr>
        </c:title>
        <c:numFmt formatCode="General" sourceLinked="0"/>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Franklin Gothic Book" panose="020B0503020102020204" pitchFamily="34" charset="0"/>
                <a:ea typeface="+mn-ea"/>
                <a:cs typeface="+mn-cs"/>
              </a:defRPr>
            </a:pPr>
            <a:endParaRPr lang="nb-NO"/>
          </a:p>
        </c:txPr>
        <c:crossAx val="189673812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Franklin Gothic Book" panose="020B0503020102020204" pitchFamily="34" charset="0"/>
              <a:ea typeface="+mn-ea"/>
              <a:cs typeface="+mn-cs"/>
            </a:defRPr>
          </a:pPr>
          <a:endParaRPr lang="nb-N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nb-NO"/>
    </a:p>
  </c:txPr>
  <c:printSettings>
    <c:headerFooter/>
    <c:pageMargins b="0.75" l="0.7" r="0.7" t="0.75" header="0.3" footer="0.3"/>
    <c:pageSetup/>
  </c:printSettings>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b-NO"/>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'4.3.2 Data_Tidsseriefigurer'!$C$171</c:f>
          <c:strCache>
            <c:ptCount val="1"/>
            <c:pt idx="0">
              <c:v>Ulykker, støy og lokale utslipp, mill. -kr</c:v>
            </c:pt>
          </c:strCache>
        </c:strRef>
      </c:tx>
      <c:overlay val="0"/>
      <c:spPr>
        <a:noFill/>
        <a:ln>
          <a:noFill/>
        </a:ln>
        <a:effectLst/>
      </c:spPr>
      <c:txPr>
        <a:bodyPr rot="0" spcFirstLastPara="1" vertOverflow="ellipsis" vert="horz" wrap="square" anchor="ctr" anchorCtr="1"/>
        <a:lstStyle/>
        <a:p>
          <a:pPr>
            <a:defRPr sz="1600" b="0" i="0" u="none" strike="noStrike" kern="1200" spc="0" baseline="0">
              <a:solidFill>
                <a:schemeClr val="tx1">
                  <a:lumMod val="65000"/>
                  <a:lumOff val="35000"/>
                </a:schemeClr>
              </a:solidFill>
              <a:latin typeface="Franklin Gothic Book" panose="020B0503020102020204" pitchFamily="34" charset="0"/>
              <a:ea typeface="+mn-ea"/>
              <a:cs typeface="+mn-cs"/>
            </a:defRPr>
          </a:pPr>
          <a:endParaRPr lang="nb-NO"/>
        </a:p>
      </c:txPr>
    </c:title>
    <c:autoTitleDeleted val="0"/>
    <c:plotArea>
      <c:layout/>
      <c:lineChart>
        <c:grouping val="standard"/>
        <c:varyColors val="0"/>
        <c:ser>
          <c:idx val="1"/>
          <c:order val="0"/>
          <c:tx>
            <c:strRef>
              <c:f>'4.3.2 Data_Tidsseriefigurer'!$B$174</c:f>
              <c:strCache>
                <c:ptCount val="1"/>
                <c:pt idx="0">
                  <c:v>Ulykker</c:v>
                </c:pt>
              </c:strCache>
            </c:strRef>
          </c:tx>
          <c:spPr>
            <a:ln w="28575" cap="rnd">
              <a:solidFill>
                <a:schemeClr val="accent2"/>
              </a:solidFill>
              <a:round/>
            </a:ln>
            <a:effectLst/>
          </c:spPr>
          <c:marker>
            <c:symbol val="none"/>
          </c:marker>
          <c:cat>
            <c:numRef>
              <c:f>'4.3.2 Data_Tidsseriefigurer'!$C$164:$BY$164</c:f>
              <c:numCache>
                <c:formatCode>0</c:formatCode>
                <c:ptCount val="75"/>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pt idx="69">
                  <c:v>69</c:v>
                </c:pt>
                <c:pt idx="70">
                  <c:v>70</c:v>
                </c:pt>
                <c:pt idx="71">
                  <c:v>71</c:v>
                </c:pt>
                <c:pt idx="72">
                  <c:v>72</c:v>
                </c:pt>
                <c:pt idx="73">
                  <c:v>73</c:v>
                </c:pt>
                <c:pt idx="74">
                  <c:v>74</c:v>
                </c:pt>
              </c:numCache>
            </c:numRef>
          </c:cat>
          <c:val>
            <c:numRef>
              <c:f>'4.3.2 Data_Tidsseriefigurer'!$C$174:$BY$174</c:f>
              <c:numCache>
                <c:formatCode>General</c:formatCode>
                <c:ptCount val="75"/>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pt idx="43">
                  <c:v>#N/A</c:v>
                </c:pt>
                <c:pt idx="44">
                  <c:v>#N/A</c:v>
                </c:pt>
                <c:pt idx="45">
                  <c:v>#N/A</c:v>
                </c:pt>
                <c:pt idx="46">
                  <c:v>#N/A</c:v>
                </c:pt>
                <c:pt idx="47">
                  <c:v>#N/A</c:v>
                </c:pt>
                <c:pt idx="48">
                  <c:v>#N/A</c:v>
                </c:pt>
                <c:pt idx="49">
                  <c:v>#N/A</c:v>
                </c:pt>
                <c:pt idx="50">
                  <c:v>#N/A</c:v>
                </c:pt>
                <c:pt idx="51">
                  <c:v>#N/A</c:v>
                </c:pt>
                <c:pt idx="52">
                  <c:v>#N/A</c:v>
                </c:pt>
                <c:pt idx="53">
                  <c:v>#N/A</c:v>
                </c:pt>
                <c:pt idx="54">
                  <c:v>#N/A</c:v>
                </c:pt>
                <c:pt idx="55">
                  <c:v>#N/A</c:v>
                </c:pt>
                <c:pt idx="56">
                  <c:v>#N/A</c:v>
                </c:pt>
                <c:pt idx="57">
                  <c:v>#N/A</c:v>
                </c:pt>
                <c:pt idx="58">
                  <c:v>#N/A</c:v>
                </c:pt>
                <c:pt idx="59">
                  <c:v>#N/A</c:v>
                </c:pt>
                <c:pt idx="60">
                  <c:v>#N/A</c:v>
                </c:pt>
                <c:pt idx="61">
                  <c:v>#N/A</c:v>
                </c:pt>
                <c:pt idx="62">
                  <c:v>#N/A</c:v>
                </c:pt>
                <c:pt idx="63">
                  <c:v>#N/A</c:v>
                </c:pt>
                <c:pt idx="64">
                  <c:v>#N/A</c:v>
                </c:pt>
                <c:pt idx="65">
                  <c:v>#N/A</c:v>
                </c:pt>
                <c:pt idx="66">
                  <c:v>#N/A</c:v>
                </c:pt>
                <c:pt idx="67">
                  <c:v>#N/A</c:v>
                </c:pt>
                <c:pt idx="68">
                  <c:v>#N/A</c:v>
                </c:pt>
                <c:pt idx="69">
                  <c:v>#N/A</c:v>
                </c:pt>
                <c:pt idx="70">
                  <c:v>#N/A</c:v>
                </c:pt>
                <c:pt idx="71">
                  <c:v>#N/A</c:v>
                </c:pt>
                <c:pt idx="72">
                  <c:v>#N/A</c:v>
                </c:pt>
                <c:pt idx="73">
                  <c:v>#N/A</c:v>
                </c:pt>
                <c:pt idx="74">
                  <c:v>#N/A</c:v>
                </c:pt>
              </c:numCache>
            </c:numRef>
          </c:val>
          <c:smooth val="0"/>
          <c:extLst>
            <c:ext xmlns:c16="http://schemas.microsoft.com/office/drawing/2014/chart" uri="{C3380CC4-5D6E-409C-BE32-E72D297353CC}">
              <c16:uniqueId val="{00000001-CAAD-495E-B292-365910115D0A}"/>
            </c:ext>
          </c:extLst>
        </c:ser>
        <c:ser>
          <c:idx val="2"/>
          <c:order val="1"/>
          <c:tx>
            <c:strRef>
              <c:f>'4.3.2 Data_Tidsseriefigurer'!$B$175</c:f>
              <c:strCache>
                <c:ptCount val="1"/>
                <c:pt idx="0">
                  <c:v>Støy</c:v>
                </c:pt>
              </c:strCache>
            </c:strRef>
          </c:tx>
          <c:spPr>
            <a:ln w="28575" cap="rnd">
              <a:solidFill>
                <a:schemeClr val="accent3"/>
              </a:solidFill>
              <a:round/>
            </a:ln>
            <a:effectLst/>
          </c:spPr>
          <c:marker>
            <c:symbol val="none"/>
          </c:marker>
          <c:cat>
            <c:numRef>
              <c:f>'4.3.2 Data_Tidsseriefigurer'!$C$164:$BY$164</c:f>
              <c:numCache>
                <c:formatCode>0</c:formatCode>
                <c:ptCount val="75"/>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pt idx="69">
                  <c:v>69</c:v>
                </c:pt>
                <c:pt idx="70">
                  <c:v>70</c:v>
                </c:pt>
                <c:pt idx="71">
                  <c:v>71</c:v>
                </c:pt>
                <c:pt idx="72">
                  <c:v>72</c:v>
                </c:pt>
                <c:pt idx="73">
                  <c:v>73</c:v>
                </c:pt>
                <c:pt idx="74">
                  <c:v>74</c:v>
                </c:pt>
              </c:numCache>
            </c:numRef>
          </c:cat>
          <c:val>
            <c:numRef>
              <c:f>'4.3.2 Data_Tidsseriefigurer'!$C$175:$BY$175</c:f>
              <c:numCache>
                <c:formatCode>General</c:formatCode>
                <c:ptCount val="75"/>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pt idx="43">
                  <c:v>#N/A</c:v>
                </c:pt>
                <c:pt idx="44">
                  <c:v>#N/A</c:v>
                </c:pt>
                <c:pt idx="45">
                  <c:v>#N/A</c:v>
                </c:pt>
                <c:pt idx="46">
                  <c:v>#N/A</c:v>
                </c:pt>
                <c:pt idx="47">
                  <c:v>#N/A</c:v>
                </c:pt>
                <c:pt idx="48">
                  <c:v>#N/A</c:v>
                </c:pt>
                <c:pt idx="49">
                  <c:v>#N/A</c:v>
                </c:pt>
                <c:pt idx="50">
                  <c:v>#N/A</c:v>
                </c:pt>
                <c:pt idx="51">
                  <c:v>#N/A</c:v>
                </c:pt>
                <c:pt idx="52">
                  <c:v>#N/A</c:v>
                </c:pt>
                <c:pt idx="53">
                  <c:v>#N/A</c:v>
                </c:pt>
                <c:pt idx="54">
                  <c:v>#N/A</c:v>
                </c:pt>
                <c:pt idx="55">
                  <c:v>#N/A</c:v>
                </c:pt>
                <c:pt idx="56">
                  <c:v>#N/A</c:v>
                </c:pt>
                <c:pt idx="57">
                  <c:v>#N/A</c:v>
                </c:pt>
                <c:pt idx="58">
                  <c:v>#N/A</c:v>
                </c:pt>
                <c:pt idx="59">
                  <c:v>#N/A</c:v>
                </c:pt>
                <c:pt idx="60">
                  <c:v>#N/A</c:v>
                </c:pt>
                <c:pt idx="61">
                  <c:v>#N/A</c:v>
                </c:pt>
                <c:pt idx="62">
                  <c:v>#N/A</c:v>
                </c:pt>
                <c:pt idx="63">
                  <c:v>#N/A</c:v>
                </c:pt>
                <c:pt idx="64">
                  <c:v>#N/A</c:v>
                </c:pt>
                <c:pt idx="65">
                  <c:v>#N/A</c:v>
                </c:pt>
                <c:pt idx="66">
                  <c:v>#N/A</c:v>
                </c:pt>
                <c:pt idx="67">
                  <c:v>#N/A</c:v>
                </c:pt>
                <c:pt idx="68">
                  <c:v>#N/A</c:v>
                </c:pt>
                <c:pt idx="69">
                  <c:v>#N/A</c:v>
                </c:pt>
                <c:pt idx="70">
                  <c:v>#N/A</c:v>
                </c:pt>
                <c:pt idx="71">
                  <c:v>#N/A</c:v>
                </c:pt>
                <c:pt idx="72">
                  <c:v>#N/A</c:v>
                </c:pt>
                <c:pt idx="73">
                  <c:v>#N/A</c:v>
                </c:pt>
                <c:pt idx="74">
                  <c:v>#N/A</c:v>
                </c:pt>
              </c:numCache>
            </c:numRef>
          </c:val>
          <c:smooth val="0"/>
          <c:extLst>
            <c:ext xmlns:c16="http://schemas.microsoft.com/office/drawing/2014/chart" uri="{C3380CC4-5D6E-409C-BE32-E72D297353CC}">
              <c16:uniqueId val="{00000002-CAAD-495E-B292-365910115D0A}"/>
            </c:ext>
          </c:extLst>
        </c:ser>
        <c:ser>
          <c:idx val="3"/>
          <c:order val="2"/>
          <c:tx>
            <c:strRef>
              <c:f>'4.3.2 Data_Tidsseriefigurer'!$B$176</c:f>
              <c:strCache>
                <c:ptCount val="1"/>
                <c:pt idx="0">
                  <c:v>Lokale utslipp</c:v>
                </c:pt>
              </c:strCache>
            </c:strRef>
          </c:tx>
          <c:spPr>
            <a:ln w="28575" cap="rnd">
              <a:solidFill>
                <a:schemeClr val="accent4"/>
              </a:solidFill>
              <a:round/>
            </a:ln>
            <a:effectLst/>
          </c:spPr>
          <c:marker>
            <c:symbol val="none"/>
          </c:marker>
          <c:cat>
            <c:numRef>
              <c:f>'4.3.2 Data_Tidsseriefigurer'!$C$164:$BY$164</c:f>
              <c:numCache>
                <c:formatCode>0</c:formatCode>
                <c:ptCount val="75"/>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pt idx="69">
                  <c:v>69</c:v>
                </c:pt>
                <c:pt idx="70">
                  <c:v>70</c:v>
                </c:pt>
                <c:pt idx="71">
                  <c:v>71</c:v>
                </c:pt>
                <c:pt idx="72">
                  <c:v>72</c:v>
                </c:pt>
                <c:pt idx="73">
                  <c:v>73</c:v>
                </c:pt>
                <c:pt idx="74">
                  <c:v>74</c:v>
                </c:pt>
              </c:numCache>
            </c:numRef>
          </c:cat>
          <c:val>
            <c:numRef>
              <c:f>'4.3.2 Data_Tidsseriefigurer'!$C$176:$BY$176</c:f>
              <c:numCache>
                <c:formatCode>General</c:formatCode>
                <c:ptCount val="75"/>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pt idx="43">
                  <c:v>#N/A</c:v>
                </c:pt>
                <c:pt idx="44">
                  <c:v>#N/A</c:v>
                </c:pt>
                <c:pt idx="45">
                  <c:v>#N/A</c:v>
                </c:pt>
                <c:pt idx="46">
                  <c:v>#N/A</c:v>
                </c:pt>
                <c:pt idx="47">
                  <c:v>#N/A</c:v>
                </c:pt>
                <c:pt idx="48">
                  <c:v>#N/A</c:v>
                </c:pt>
                <c:pt idx="49">
                  <c:v>#N/A</c:v>
                </c:pt>
                <c:pt idx="50">
                  <c:v>#N/A</c:v>
                </c:pt>
                <c:pt idx="51">
                  <c:v>#N/A</c:v>
                </c:pt>
                <c:pt idx="52">
                  <c:v>#N/A</c:v>
                </c:pt>
                <c:pt idx="53">
                  <c:v>#N/A</c:v>
                </c:pt>
                <c:pt idx="54">
                  <c:v>#N/A</c:v>
                </c:pt>
                <c:pt idx="55">
                  <c:v>#N/A</c:v>
                </c:pt>
                <c:pt idx="56">
                  <c:v>#N/A</c:v>
                </c:pt>
                <c:pt idx="57">
                  <c:v>#N/A</c:v>
                </c:pt>
                <c:pt idx="58">
                  <c:v>#N/A</c:v>
                </c:pt>
                <c:pt idx="59">
                  <c:v>#N/A</c:v>
                </c:pt>
                <c:pt idx="60">
                  <c:v>#N/A</c:v>
                </c:pt>
                <c:pt idx="61">
                  <c:v>#N/A</c:v>
                </c:pt>
                <c:pt idx="62">
                  <c:v>#N/A</c:v>
                </c:pt>
                <c:pt idx="63">
                  <c:v>#N/A</c:v>
                </c:pt>
                <c:pt idx="64">
                  <c:v>#N/A</c:v>
                </c:pt>
                <c:pt idx="65">
                  <c:v>#N/A</c:v>
                </c:pt>
                <c:pt idx="66">
                  <c:v>#N/A</c:v>
                </c:pt>
                <c:pt idx="67">
                  <c:v>#N/A</c:v>
                </c:pt>
                <c:pt idx="68">
                  <c:v>#N/A</c:v>
                </c:pt>
                <c:pt idx="69">
                  <c:v>#N/A</c:v>
                </c:pt>
                <c:pt idx="70">
                  <c:v>#N/A</c:v>
                </c:pt>
                <c:pt idx="71">
                  <c:v>#N/A</c:v>
                </c:pt>
                <c:pt idx="72">
                  <c:v>#N/A</c:v>
                </c:pt>
                <c:pt idx="73">
                  <c:v>#N/A</c:v>
                </c:pt>
                <c:pt idx="74">
                  <c:v>#N/A</c:v>
                </c:pt>
              </c:numCache>
            </c:numRef>
          </c:val>
          <c:smooth val="0"/>
          <c:extLst>
            <c:ext xmlns:c16="http://schemas.microsoft.com/office/drawing/2014/chart" uri="{C3380CC4-5D6E-409C-BE32-E72D297353CC}">
              <c16:uniqueId val="{00000003-CAAD-495E-B292-365910115D0A}"/>
            </c:ext>
          </c:extLst>
        </c:ser>
        <c:dLbls>
          <c:showLegendKey val="0"/>
          <c:showVal val="0"/>
          <c:showCatName val="0"/>
          <c:showSerName val="0"/>
          <c:showPercent val="0"/>
          <c:showBubbleSize val="0"/>
        </c:dLbls>
        <c:smooth val="0"/>
        <c:axId val="1896738128"/>
        <c:axId val="1427975728"/>
      </c:lineChart>
      <c:dateAx>
        <c:axId val="1896738128"/>
        <c:scaling>
          <c:orientation val="minMax"/>
          <c:max val="2104"/>
          <c:min val="2029"/>
        </c:scaling>
        <c:delete val="0"/>
        <c:axPos val="b"/>
        <c:numFmt formatCode="0"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Franklin Gothic Book" panose="020B0503020102020204" pitchFamily="34" charset="0"/>
                <a:ea typeface="+mn-ea"/>
                <a:cs typeface="+mn-cs"/>
              </a:defRPr>
            </a:pPr>
            <a:endParaRPr lang="nb-NO"/>
          </a:p>
        </c:txPr>
        <c:crossAx val="1427975728"/>
        <c:crosses val="autoZero"/>
        <c:auto val="0"/>
        <c:lblOffset val="100"/>
        <c:baseTimeUnit val="days"/>
      </c:dateAx>
      <c:valAx>
        <c:axId val="142797572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200" b="0" i="0" u="none" strike="noStrike" kern="1200" baseline="0">
                    <a:solidFill>
                      <a:schemeClr val="tx1">
                        <a:lumMod val="65000"/>
                        <a:lumOff val="35000"/>
                      </a:schemeClr>
                    </a:solidFill>
                    <a:latin typeface="Franklin Gothic Book" panose="020B0503020102020204" pitchFamily="34" charset="0"/>
                    <a:ea typeface="+mn-ea"/>
                    <a:cs typeface="+mn-cs"/>
                  </a:defRPr>
                </a:pPr>
                <a:r>
                  <a:rPr lang="nb-NO" sz="1200">
                    <a:latin typeface="Franklin Gothic Book" panose="020B0503020102020204" pitchFamily="34" charset="0"/>
                  </a:rPr>
                  <a:t>Millioner kroner</a:t>
                </a:r>
              </a:p>
            </c:rich>
          </c:tx>
          <c:overlay val="0"/>
          <c:spPr>
            <a:noFill/>
            <a:ln>
              <a:noFill/>
            </a:ln>
            <a:effectLst/>
          </c:spPr>
          <c:txPr>
            <a:bodyPr rot="-5400000" spcFirstLastPara="1" vertOverflow="ellipsis" vert="horz" wrap="square" anchor="ctr" anchorCtr="1"/>
            <a:lstStyle/>
            <a:p>
              <a:pPr>
                <a:defRPr sz="1200" b="0" i="0" u="none" strike="noStrike" kern="1200" baseline="0">
                  <a:solidFill>
                    <a:schemeClr val="tx1">
                      <a:lumMod val="65000"/>
                      <a:lumOff val="35000"/>
                    </a:schemeClr>
                  </a:solidFill>
                  <a:latin typeface="Franklin Gothic Book" panose="020B0503020102020204" pitchFamily="34" charset="0"/>
                  <a:ea typeface="+mn-ea"/>
                  <a:cs typeface="+mn-cs"/>
                </a:defRPr>
              </a:pPr>
              <a:endParaRPr lang="nb-NO"/>
            </a:p>
          </c:txPr>
        </c:title>
        <c:numFmt formatCode="General" sourceLinked="0"/>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Franklin Gothic Book" panose="020B0503020102020204" pitchFamily="34" charset="0"/>
                <a:ea typeface="+mn-ea"/>
                <a:cs typeface="+mn-cs"/>
              </a:defRPr>
            </a:pPr>
            <a:endParaRPr lang="nb-NO"/>
          </a:p>
        </c:txPr>
        <c:crossAx val="189673812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Franklin Gothic Book" panose="020B0503020102020204" pitchFamily="34" charset="0"/>
              <a:ea typeface="+mn-ea"/>
              <a:cs typeface="+mn-cs"/>
            </a:defRPr>
          </a:pPr>
          <a:endParaRPr lang="nb-N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nb-N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333">
  <cs:axisTitle>
    <cs:lnRef idx="0"/>
    <cs:fillRef idx="0"/>
    <cs:effectRef idx="0"/>
    <cs:fontRef idx="minor">
      <a:schemeClr val="tx1">
        <a:lumMod val="65000"/>
        <a:lumOff val="35000"/>
      </a:schemeClr>
    </cs:fontRef>
    <cs:defRPr sz="9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65000"/>
        <a:lumOff val="3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50000"/>
            <a:lumOff val="50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tx1"/>
    </cs:fontRef>
    <cs:spPr>
      <a:solidFill>
        <a:schemeClr val="phClr"/>
      </a:solidFill>
      <a:ln w="19050">
        <a:solidFill>
          <a:schemeClr val="lt1"/>
        </a:solidFill>
      </a:ln>
    </cs:spPr>
  </cs:dataPoint>
  <cs:dataPoint3D>
    <cs:lnRef idx="0"/>
    <cs:fillRef idx="0">
      <cs:styleClr val="auto"/>
    </cs:fillRef>
    <cs:effectRef idx="0"/>
    <cs:fontRef idx="minor">
      <a:schemeClr val="tx1"/>
    </cs:fontRef>
    <cs:spPr>
      <a:solidFill>
        <a:schemeClr val="phClr"/>
      </a:solidFill>
      <a:ln w="1905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fillRef idx="0">
      <cs:styleClr val="auto"/>
    </cs:fillRef>
    <cs:effectRef idx="0"/>
    <cs:fontRef idx="minor">
      <a:schemeClr val="tx1"/>
    </cs:fontRef>
    <cs:spPr>
      <a:solidFill>
        <a:schemeClr val="phClr"/>
      </a:solidFill>
      <a:ln w="9525">
        <a:solidFill>
          <a:schemeClr val="lt1"/>
        </a:solidFill>
      </a:ln>
    </cs:spPr>
  </cs:dataPointMarker>
  <cs:dataPointMarkerLayout symbol="circle" size="6"/>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40" b="0" kern="1200" spc="0" baseline="0"/>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333">
  <cs:axisTitle>
    <cs:lnRef idx="0"/>
    <cs:fillRef idx="0"/>
    <cs:effectRef idx="0"/>
    <cs:fontRef idx="minor">
      <a:schemeClr val="tx1">
        <a:lumMod val="65000"/>
        <a:lumOff val="35000"/>
      </a:schemeClr>
    </cs:fontRef>
    <cs:defRPr sz="9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65000"/>
        <a:lumOff val="3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50000"/>
            <a:lumOff val="50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tx1"/>
    </cs:fontRef>
    <cs:spPr>
      <a:solidFill>
        <a:schemeClr val="phClr"/>
      </a:solidFill>
      <a:ln w="19050">
        <a:solidFill>
          <a:schemeClr val="lt1"/>
        </a:solidFill>
      </a:ln>
    </cs:spPr>
  </cs:dataPoint>
  <cs:dataPoint3D>
    <cs:lnRef idx="0"/>
    <cs:fillRef idx="0">
      <cs:styleClr val="auto"/>
    </cs:fillRef>
    <cs:effectRef idx="0"/>
    <cs:fontRef idx="minor">
      <a:schemeClr val="tx1"/>
    </cs:fontRef>
    <cs:spPr>
      <a:solidFill>
        <a:schemeClr val="phClr"/>
      </a:solidFill>
      <a:ln w="1905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fillRef idx="0">
      <cs:styleClr val="auto"/>
    </cs:fillRef>
    <cs:effectRef idx="0"/>
    <cs:fontRef idx="minor">
      <a:schemeClr val="tx1"/>
    </cs:fontRef>
    <cs:spPr>
      <a:solidFill>
        <a:schemeClr val="phClr"/>
      </a:solidFill>
      <a:ln w="9525">
        <a:solidFill>
          <a:schemeClr val="lt1"/>
        </a:solidFill>
      </a:ln>
    </cs:spPr>
  </cs:dataPointMarker>
  <cs:dataPointMarkerLayout symbol="circle" size="6"/>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40" b="0" kern="1200" spc="0" baseline="0"/>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7.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8.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9.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CheckBox" checked="Checked" fmlaLink="'4.3.2 Data_Tidsseriefigurer'!$A$28" lockText="1" noThreeD="1"/>
</file>

<file path=xl/ctrlProps/ctrlProp15.xml><?xml version="1.0" encoding="utf-8"?>
<formControlPr xmlns="http://schemas.microsoft.com/office/spreadsheetml/2009/9/main" objectType="CheckBox" checked="Checked" fmlaLink="'4.3.2 Data_Tidsseriefigurer'!$A$29" lockText="1" noThreeD="1"/>
</file>

<file path=xl/ctrlProps/ctrlProp16.xml><?xml version="1.0" encoding="utf-8"?>
<formControlPr xmlns="http://schemas.microsoft.com/office/spreadsheetml/2009/9/main" objectType="CheckBox" checked="Checked" fmlaLink="'4.3.2 Data_Tidsseriefigurer'!$A$30" lockText="1" noThreeD="1"/>
</file>

<file path=xl/ctrlProps/ctrlProp17.xml><?xml version="1.0" encoding="utf-8"?>
<formControlPr xmlns="http://schemas.microsoft.com/office/spreadsheetml/2009/9/main" objectType="CheckBox" checked="Checked" fmlaLink="'4.3.2 Data_Tidsseriefigurer'!$A$31" lockText="1" noThreeD="1"/>
</file>

<file path=xl/ctrlProps/ctrlProp18.xml><?xml version="1.0" encoding="utf-8"?>
<formControlPr xmlns="http://schemas.microsoft.com/office/spreadsheetml/2009/9/main" objectType="CheckBox" checked="Checked" fmlaLink="'4.3.2 Data_Tidsseriefigurer'!$A$32" lockText="1" noThreeD="1"/>
</file>

<file path=xl/ctrlProps/ctrlProp19.xml><?xml version="1.0" encoding="utf-8"?>
<formControlPr xmlns="http://schemas.microsoft.com/office/spreadsheetml/2009/9/main" objectType="CheckBox" checked="Checked" fmlaLink="'4.3.2 Data_Tidsseriefigurer'!$A$33" lockText="1" noThreeD="1"/>
</file>

<file path=xl/ctrlProps/ctrlProp20.xml><?xml version="1.0" encoding="utf-8"?>
<formControlPr xmlns="http://schemas.microsoft.com/office/spreadsheetml/2009/9/main" objectType="CheckBox" checked="Checked" fmlaLink="'4.3.2 Data_Tidsseriefigurer'!$A$35" lockText="1" noThreeD="1"/>
</file>

<file path=xl/ctrlProps/ctrlProp21.xml><?xml version="1.0" encoding="utf-8"?>
<formControlPr xmlns="http://schemas.microsoft.com/office/spreadsheetml/2009/9/main" objectType="CheckBox" checked="Checked" fmlaLink="'4.3.2 Data_Tidsseriefigurer'!$A$40" lockText="1" noThreeD="1"/>
</file>

<file path=xl/ctrlProps/ctrlProp22.xml><?xml version="1.0" encoding="utf-8"?>
<formControlPr xmlns="http://schemas.microsoft.com/office/spreadsheetml/2009/9/main" objectType="CheckBox" checked="Checked" fmlaLink="'4.3.2 Data_Tidsseriefigurer'!$A$41" lockText="1" noThreeD="1"/>
</file>

<file path=xl/ctrlProps/ctrlProp23.xml><?xml version="1.0" encoding="utf-8"?>
<formControlPr xmlns="http://schemas.microsoft.com/office/spreadsheetml/2009/9/main" objectType="CheckBox" checked="Checked" fmlaLink="'4.3.2 Data_Tidsseriefigurer'!$A$66" lockText="1" noThreeD="1"/>
</file>

<file path=xl/ctrlProps/ctrlProp24.xml><?xml version="1.0" encoding="utf-8"?>
<formControlPr xmlns="http://schemas.microsoft.com/office/spreadsheetml/2009/9/main" objectType="CheckBox" checked="Checked" fmlaLink="'4.3.2 Data_Tidsseriefigurer'!$A$68" lockText="1" noThreeD="1"/>
</file>

<file path=xl/ctrlProps/ctrlProp25.xml><?xml version="1.0" encoding="utf-8"?>
<formControlPr xmlns="http://schemas.microsoft.com/office/spreadsheetml/2009/9/main" objectType="CheckBox" checked="Checked" fmlaLink="'4.3.2 Data_Tidsseriefigurer'!$A$149" lockText="1" noThreeD="1"/>
</file>

<file path=xl/ctrlProps/ctrlProp26.xml><?xml version="1.0" encoding="utf-8"?>
<formControlPr xmlns="http://schemas.microsoft.com/office/spreadsheetml/2009/9/main" objectType="CheckBox" checked="Checked" fmlaLink="'4.3.2 Data_Tidsseriefigurer'!$A$147" lockText="1" noThreeD="1"/>
</file>

<file path=xl/ctrlProps/ctrlProp27.xml><?xml version="1.0" encoding="utf-8"?>
<formControlPr xmlns="http://schemas.microsoft.com/office/spreadsheetml/2009/9/main" objectType="CheckBox" checked="Checked" fmlaLink="'4.3.2 Data_Tidsseriefigurer'!$A$146" lockText="1" noThreeD="1"/>
</file>

<file path=xl/ctrlProps/ctrlProp28.xml><?xml version="1.0" encoding="utf-8"?>
<formControlPr xmlns="http://schemas.microsoft.com/office/spreadsheetml/2009/9/main" objectType="CheckBox" checked="Checked" fmlaLink="'4.3.2 Data_Tidsseriefigurer'!$A$145" lockText="1" noThreeD="1"/>
</file>

<file path=xl/ctrlProps/ctrlProp29.xml><?xml version="1.0" encoding="utf-8"?>
<formControlPr xmlns="http://schemas.microsoft.com/office/spreadsheetml/2009/9/main" objectType="CheckBox" checked="Checked" fmlaLink="'4.3.2 Data_Tidsseriefigurer'!$A$144" lockText="1" noThreeD="1"/>
</file>

<file path=xl/ctrlProps/ctrlProp30.xml><?xml version="1.0" encoding="utf-8"?>
<formControlPr xmlns="http://schemas.microsoft.com/office/spreadsheetml/2009/9/main" objectType="CheckBox" checked="Checked" fmlaLink="'4.3.2 Data_Tidsseriefigurer'!$A$143" lockText="1" noThreeD="1"/>
</file>

<file path=xl/ctrlProps/ctrlProp31.xml><?xml version="1.0" encoding="utf-8"?>
<formControlPr xmlns="http://schemas.microsoft.com/office/spreadsheetml/2009/9/main" objectType="CheckBox" checked="Checked" fmlaLink="'4.3.2 Data_Tidsseriefigurer'!$A$142" lockText="1" noThreeD="1"/>
</file>

<file path=xl/ctrlProps/ctrlProp32.xml><?xml version="1.0" encoding="utf-8"?>
<formControlPr xmlns="http://schemas.microsoft.com/office/spreadsheetml/2009/9/main" objectType="CheckBox" checked="Checked" fmlaLink="'4.3.2 Data_Tidsseriefigurer'!$A$154" lockText="1" noThreeD="1"/>
</file>

<file path=xl/ctrlProps/ctrlProp33.xml><?xml version="1.0" encoding="utf-8"?>
<formControlPr xmlns="http://schemas.microsoft.com/office/spreadsheetml/2009/9/main" objectType="CheckBox" checked="Checked" fmlaLink="'4.3.2 Data_Tidsseriefigurer'!$A$155" lockText="1" noThreeD="1"/>
</file>

<file path=xl/ctrlProps/ctrlProp34.xml><?xml version="1.0" encoding="utf-8"?>
<formControlPr xmlns="http://schemas.microsoft.com/office/spreadsheetml/2009/9/main" objectType="CheckBox" checked="Checked" fmlaLink="'4.3.2 Data_Tidsseriefigurer'!$A$174" lockText="1" noThreeD="1"/>
</file>

<file path=xl/ctrlProps/ctrlProp35.xml><?xml version="1.0" encoding="utf-8"?>
<formControlPr xmlns="http://schemas.microsoft.com/office/spreadsheetml/2009/9/main" objectType="CheckBox" checked="Checked" fmlaLink="'4.3.2 Data_Tidsseriefigurer'!$A$175" lockText="1" noThreeD="1"/>
</file>

<file path=xl/ctrlProps/ctrlProp36.xml><?xml version="1.0" encoding="utf-8"?>
<formControlPr xmlns="http://schemas.microsoft.com/office/spreadsheetml/2009/9/main" objectType="CheckBox" checked="Checked" fmlaLink="'4.3.2 Data_Tidsseriefigurer'!$A$176" lockText="1" noThreeD="1"/>
</file>

<file path=xl/ctrlProps/ctrlProp37.xml><?xml version="1.0" encoding="utf-8"?>
<formControlPr xmlns="http://schemas.microsoft.com/office/spreadsheetml/2009/9/main" objectType="Button" lockText="1"/>
</file>

<file path=xl/ctrlProps/ctrlProp38.xml><?xml version="1.0" encoding="utf-8"?>
<formControlPr xmlns="http://schemas.microsoft.com/office/spreadsheetml/2009/9/main" objectType="Button" lockText="1"/>
</file>

<file path=xl/ctrlProps/ctrlProp39.xml><?xml version="1.0" encoding="utf-8"?>
<formControlPr xmlns="http://schemas.microsoft.com/office/spreadsheetml/2009/9/main" objectType="Button" lockText="1"/>
</file>

<file path=xl/ctrlProps/ctrlProp40.xml><?xml version="1.0" encoding="utf-8"?>
<formControlPr xmlns="http://schemas.microsoft.com/office/spreadsheetml/2009/9/main" objectType="Button" lockText="1"/>
</file>

<file path=xl/ctrlProps/ctrlProp41.xml><?xml version="1.0" encoding="utf-8"?>
<formControlPr xmlns="http://schemas.microsoft.com/office/spreadsheetml/2009/9/main" objectType="Button" lockText="1"/>
</file>

<file path=xl/ctrlProps/ctrlProp42.xml><?xml version="1.0" encoding="utf-8"?>
<formControlPr xmlns="http://schemas.microsoft.com/office/spreadsheetml/2009/9/main" objectType="CheckBox" checked="Checked" fmlaLink="'4.3.2 Data_Tidsseriefigurer'!$A$34" lockText="1" noThreeD="1"/>
</file>

<file path=xl/ctrlProps/ctrlProp43.xml><?xml version="1.0" encoding="utf-8"?>
<formControlPr xmlns="http://schemas.microsoft.com/office/spreadsheetml/2009/9/main" objectType="CheckBox" checked="Checked" fmlaLink="'4.3.2 Data_Tidsseriefigurer'!$A$36" lockText="1" noThreeD="1"/>
</file>

<file path=xl/ctrlProps/ctrlProp44.xml><?xml version="1.0" encoding="utf-8"?>
<formControlPr xmlns="http://schemas.microsoft.com/office/spreadsheetml/2009/9/main" objectType="CheckBox" checked="Checked" fmlaLink="'4.3.2 Data_Tidsseriefigurer'!$A$37" lockText="1" noThreeD="1"/>
</file>

<file path=xl/ctrlProps/ctrlProp45.xml><?xml version="1.0" encoding="utf-8"?>
<formControlPr xmlns="http://schemas.microsoft.com/office/spreadsheetml/2009/9/main" objectType="CheckBox" checked="Checked" fmlaLink="'4.3.2 Data_Tidsseriefigurer'!$A$148" lockText="1" noThreeD="1"/>
</file>

<file path=xl/ctrlProps/ctrlProp46.xml><?xml version="1.0" encoding="utf-8"?>
<formControlPr xmlns="http://schemas.microsoft.com/office/spreadsheetml/2009/9/main" objectType="CheckBox" checked="Checked" fmlaLink="'4.3.2 Data_Tidsseriefigurer'!$A$150" lockText="1" noThreeD="1"/>
</file>

<file path=xl/ctrlProps/ctrlProp47.xml><?xml version="1.0" encoding="utf-8"?>
<formControlPr xmlns="http://schemas.microsoft.com/office/spreadsheetml/2009/9/main" objectType="CheckBox" checked="Checked" fmlaLink="'4.3.2 Data_Tidsseriefigurer'!$A$67" lockText="1" noThreeD="1"/>
</file>

<file path=xl/ctrlProps/ctrlProp48.xml><?xml version="1.0" encoding="utf-8"?>
<formControlPr xmlns="http://schemas.microsoft.com/office/spreadsheetml/2009/9/main" objectType="CheckBox" checked="Checked" fmlaLink="'4.3.2 Data_Tidsseriefigurer'!$A$151" lockText="1" noThreeD="1"/>
</file>

<file path=xl/ctrlProps/ctrlProp49.xml><?xml version="1.0" encoding="utf-8"?>
<formControlPr xmlns="http://schemas.microsoft.com/office/spreadsheetml/2009/9/main" objectType="CheckBox" checked="Checked" fmlaLink="'4.3.2 Data_Tidsseriefigurer'!$A$153" lockText="1" noThreeD="1"/>
</file>

<file path=xl/ctrlProps/ctrlProp50.xml><?xml version="1.0" encoding="utf-8"?>
<formControlPr xmlns="http://schemas.microsoft.com/office/spreadsheetml/2009/9/main" objectType="CheckBox" checked="Checked" fmlaLink="'4.3.2 Data_Tidsseriefigurer'!$A$39" lockText="1" noThreeD="1"/>
</file>

<file path=xl/ctrlProps/ctrlProp51.xml><?xml version="1.0" encoding="utf-8"?>
<formControlPr xmlns="http://schemas.microsoft.com/office/spreadsheetml/2009/9/main" objectType="CheckBox" checked="Checked" fmlaLink="'4.3.2 Data_Tidsseriefigurer'!$A$38" lockText="1" noThreeD="1"/>
</file>

<file path=xl/ctrlProps/ctrlProp52.xml><?xml version="1.0" encoding="utf-8"?>
<formControlPr xmlns="http://schemas.microsoft.com/office/spreadsheetml/2009/9/main" objectType="CheckBox" checked="Checked" fmlaLink="'4.3.2 Data_Tidsseriefigurer'!$A$142" lockText="1" noThreeD="1"/>
</file>

<file path=xl/ctrlProps/ctrlProp53.xml><?xml version="1.0" encoding="utf-8"?>
<formControlPr xmlns="http://schemas.microsoft.com/office/spreadsheetml/2009/9/main" objectType="CheckBox" checked="Checked" fmlaLink="'4.3.2 Data_Tidsseriefigurer'!$A$142" lockText="1" noThreeD="1"/>
</file>

<file path=xl/ctrlProps/ctrlProp54.xml><?xml version="1.0" encoding="utf-8"?>
<formControlPr xmlns="http://schemas.microsoft.com/office/spreadsheetml/2009/9/main" objectType="CheckBox" checked="Checked" fmlaLink="'4.3.2 Data_Tidsseriefigurer'!$A$152"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16.xml.rels><?xml version="1.0" encoding="UTF-8" standalone="yes"?>
<Relationships xmlns="http://schemas.openxmlformats.org/package/2006/relationships"><Relationship Id="rId1" Type="http://schemas.openxmlformats.org/officeDocument/2006/relationships/hyperlink" Target="https://www.jernbanedirektoratet.no/contentassets/521ca03397804ec39a59392b0269215a/hovedrapport-ikke-prissatte-virkninger-i-jernbanesektoren.pdf" TargetMode="External"/></Relationships>
</file>

<file path=xl/drawings/_rels/drawing19.xml.rels><?xml version="1.0" encoding="UTF-8" standalone="yes"?>
<Relationships xmlns="http://schemas.openxmlformats.org/package/2006/relationships"><Relationship Id="rId1" Type="http://schemas.openxmlformats.org/officeDocument/2006/relationships/image" Target="../media/image3.png"/></Relationships>
</file>

<file path=xl/drawings/_rels/drawing2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22.xml.rels><?xml version="1.0" encoding="UTF-8" standalone="yes"?>
<Relationships xmlns="http://schemas.openxmlformats.org/package/2006/relationships"><Relationship Id="rId3" Type="http://schemas.openxmlformats.org/officeDocument/2006/relationships/chart" Target="../charts/chart5.xml"/><Relationship Id="rId2" Type="http://schemas.openxmlformats.org/officeDocument/2006/relationships/chart" Target="../charts/chart4.xml"/><Relationship Id="rId1" Type="http://schemas.openxmlformats.org/officeDocument/2006/relationships/chart" Target="../charts/chart3.xml"/><Relationship Id="rId4" Type="http://schemas.openxmlformats.org/officeDocument/2006/relationships/chart" Target="../charts/chart6.xml"/></Relationships>
</file>

<file path=xl/drawings/_rels/drawing23.xml.rels><?xml version="1.0" encoding="UTF-8" standalone="yes"?>
<Relationships xmlns="http://schemas.openxmlformats.org/package/2006/relationships"><Relationship Id="rId8" Type="http://schemas.openxmlformats.org/officeDocument/2006/relationships/chart" Target="../charts/chart14.xml"/><Relationship Id="rId3" Type="http://schemas.openxmlformats.org/officeDocument/2006/relationships/chart" Target="../charts/chart9.xml"/><Relationship Id="rId7" Type="http://schemas.openxmlformats.org/officeDocument/2006/relationships/chart" Target="../charts/chart13.xml"/><Relationship Id="rId2" Type="http://schemas.openxmlformats.org/officeDocument/2006/relationships/chart" Target="../charts/chart8.xml"/><Relationship Id="rId1" Type="http://schemas.openxmlformats.org/officeDocument/2006/relationships/chart" Target="../charts/chart7.xml"/><Relationship Id="rId6" Type="http://schemas.openxmlformats.org/officeDocument/2006/relationships/chart" Target="../charts/chart12.xml"/><Relationship Id="rId5" Type="http://schemas.openxmlformats.org/officeDocument/2006/relationships/chart" Target="../charts/chart11.xml"/><Relationship Id="rId4" Type="http://schemas.openxmlformats.org/officeDocument/2006/relationships/chart" Target="../charts/chart10.xml"/></Relationships>
</file>

<file path=xl/drawings/_rels/drawing24.xml.rels><?xml version="1.0" encoding="UTF-8" standalone="yes"?>
<Relationships xmlns="http://schemas.openxmlformats.org/package/2006/relationships"><Relationship Id="rId8" Type="http://schemas.openxmlformats.org/officeDocument/2006/relationships/chart" Target="../charts/chart22.xml"/><Relationship Id="rId3" Type="http://schemas.openxmlformats.org/officeDocument/2006/relationships/chart" Target="../charts/chart17.xml"/><Relationship Id="rId7" Type="http://schemas.openxmlformats.org/officeDocument/2006/relationships/chart" Target="../charts/chart21.xml"/><Relationship Id="rId2" Type="http://schemas.openxmlformats.org/officeDocument/2006/relationships/chart" Target="../charts/chart16.xml"/><Relationship Id="rId1" Type="http://schemas.openxmlformats.org/officeDocument/2006/relationships/chart" Target="../charts/chart15.xml"/><Relationship Id="rId6" Type="http://schemas.openxmlformats.org/officeDocument/2006/relationships/chart" Target="../charts/chart20.xml"/><Relationship Id="rId5" Type="http://schemas.openxmlformats.org/officeDocument/2006/relationships/chart" Target="../charts/chart19.xml"/><Relationship Id="rId10" Type="http://schemas.openxmlformats.org/officeDocument/2006/relationships/chart" Target="../charts/chart24.xml"/><Relationship Id="rId4" Type="http://schemas.openxmlformats.org/officeDocument/2006/relationships/chart" Target="../charts/chart18.xml"/><Relationship Id="rId9" Type="http://schemas.openxmlformats.org/officeDocument/2006/relationships/chart" Target="../charts/chart23.xml"/></Relationships>
</file>

<file path=xl/drawings/_rels/vmlDrawing12.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13.vml.rels><?xml version="1.0" encoding="UTF-8" standalone="yes"?>
<Relationships xmlns="http://schemas.openxmlformats.org/package/2006/relationships"><Relationship Id="rId2" Type="http://schemas.openxmlformats.org/officeDocument/2006/relationships/image" Target="../media/image6.emf"/><Relationship Id="rId1" Type="http://schemas.openxmlformats.org/officeDocument/2006/relationships/image" Target="../media/image5.emf"/></Relationships>
</file>

<file path=xl/drawings/_rels/vmlDrawing14.vml.rels><?xml version="1.0" encoding="UTF-8" standalone="yes"?>
<Relationships xmlns="http://schemas.openxmlformats.org/package/2006/relationships"><Relationship Id="rId8" Type="http://schemas.openxmlformats.org/officeDocument/2006/relationships/image" Target="../media/image14.emf"/><Relationship Id="rId3" Type="http://schemas.openxmlformats.org/officeDocument/2006/relationships/image" Target="../media/image9.emf"/><Relationship Id="rId7" Type="http://schemas.openxmlformats.org/officeDocument/2006/relationships/image" Target="../media/image13.emf"/><Relationship Id="rId2" Type="http://schemas.openxmlformats.org/officeDocument/2006/relationships/image" Target="../media/image8.emf"/><Relationship Id="rId1" Type="http://schemas.openxmlformats.org/officeDocument/2006/relationships/image" Target="../media/image7.emf"/><Relationship Id="rId6" Type="http://schemas.openxmlformats.org/officeDocument/2006/relationships/image" Target="../media/image12.emf"/><Relationship Id="rId5" Type="http://schemas.openxmlformats.org/officeDocument/2006/relationships/image" Target="../media/image11.emf"/><Relationship Id="rId4" Type="http://schemas.openxmlformats.org/officeDocument/2006/relationships/image" Target="../media/image10.emf"/></Relationships>
</file>

<file path=xl/drawings/_rels/vmlDrawing15.vml.rels><?xml version="1.0" encoding="UTF-8" standalone="yes"?>
<Relationships xmlns="http://schemas.openxmlformats.org/package/2006/relationships"><Relationship Id="rId3" Type="http://schemas.openxmlformats.org/officeDocument/2006/relationships/image" Target="../media/image17.emf"/><Relationship Id="rId2" Type="http://schemas.openxmlformats.org/officeDocument/2006/relationships/image" Target="../media/image16.emf"/><Relationship Id="rId1" Type="http://schemas.openxmlformats.org/officeDocument/2006/relationships/image" Target="../media/image15.emf"/><Relationship Id="rId5" Type="http://schemas.openxmlformats.org/officeDocument/2006/relationships/image" Target="../media/image19.emf"/><Relationship Id="rId4" Type="http://schemas.openxmlformats.org/officeDocument/2006/relationships/image" Target="../media/image18.emf"/></Relationships>
</file>

<file path=xl/drawings/drawing1.xml><?xml version="1.0" encoding="utf-8"?>
<xdr:wsDr xmlns:xdr="http://schemas.openxmlformats.org/drawingml/2006/spreadsheetDrawing" xmlns:a="http://schemas.openxmlformats.org/drawingml/2006/main">
  <xdr:oneCellAnchor>
    <xdr:from>
      <xdr:col>1</xdr:col>
      <xdr:colOff>7938</xdr:colOff>
      <xdr:row>7</xdr:row>
      <xdr:rowOff>1586</xdr:rowOff>
    </xdr:from>
    <xdr:ext cx="12989722" cy="3250407"/>
    <xdr:sp macro="" textlink="">
      <xdr:nvSpPr>
        <xdr:cNvPr id="2" name="TekstSylinder 1">
          <a:extLst>
            <a:ext uri="{FF2B5EF4-FFF2-40B4-BE49-F238E27FC236}">
              <a16:creationId xmlns:a16="http://schemas.microsoft.com/office/drawing/2014/main" id="{00000000-0008-0000-0000-000002000000}"/>
            </a:ext>
          </a:extLst>
        </xdr:cNvPr>
        <xdr:cNvSpPr txBox="1"/>
      </xdr:nvSpPr>
      <xdr:spPr>
        <a:xfrm>
          <a:off x="809626" y="1724024"/>
          <a:ext cx="12989722" cy="3250407"/>
        </a:xfrm>
        <a:prstGeom prst="rect">
          <a:avLst/>
        </a:prstGeom>
        <a:solidFill>
          <a:schemeClr val="accent1">
            <a:lumMod val="40000"/>
            <a:lumOff val="60000"/>
          </a:schemeClr>
        </a:solidFill>
        <a:ln w="254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nb-NO" sz="1600" b="1" u="sng"/>
            <a:t>INFORMASJON</a:t>
          </a:r>
        </a:p>
        <a:p>
          <a:r>
            <a:rPr lang="nb-NO" sz="1100" b="0" i="1" u="none" strike="noStrike">
              <a:solidFill>
                <a:schemeClr val="tx1"/>
              </a:solidFill>
              <a:effectLst/>
              <a:latin typeface="Calibri" panose="020F0502020204030204" pitchFamily="34" charset="0"/>
              <a:ea typeface="+mn-ea"/>
              <a:cs typeface="Calibri" panose="020F0502020204030204" pitchFamily="34" charset="0"/>
            </a:rPr>
            <a:t>Informasjonen i dette arket forklarer alle arkfanene i verktøyet.</a:t>
          </a:r>
          <a:endParaRPr lang="nb-NO" sz="1100">
            <a:latin typeface="Calibri" panose="020F0502020204030204" pitchFamily="34" charset="0"/>
            <a:cs typeface="Calibri" panose="020F0502020204030204" pitchFamily="34" charset="0"/>
          </a:endParaRPr>
        </a:p>
        <a:p>
          <a:endParaRPr lang="nb-NO" sz="1100">
            <a:latin typeface="Calibri" panose="020F0502020204030204" pitchFamily="34" charset="0"/>
            <a:cs typeface="Calibri" panose="020F0502020204030204" pitchFamily="34" charset="0"/>
          </a:endParaRPr>
        </a:p>
        <a:p>
          <a:r>
            <a:rPr lang="nb-NO" sz="1100">
              <a:latin typeface="Calibri" panose="020F0502020204030204" pitchFamily="34" charset="0"/>
              <a:cs typeface="Calibri" panose="020F0502020204030204" pitchFamily="34" charset="0"/>
            </a:rPr>
            <a:t>SAGA er utformet</a:t>
          </a:r>
          <a:r>
            <a:rPr lang="nb-NO" sz="1100" baseline="0">
              <a:latin typeface="Calibri" panose="020F0502020204030204" pitchFamily="34" charset="0"/>
              <a:cs typeface="Calibri" panose="020F0502020204030204" pitchFamily="34" charset="0"/>
            </a:rPr>
            <a:t> for å tallfeste nytte og kostnader av tiltak på jernbanen. Brukeren legger først inn inndata i angitte arkfaner. Verktøyet behandler så inndataene vha. ulike standardsatser og forutsetninger, for så å beregne nytte- og kostnadsendringer for trafikanter, operatører, det offentlige og samfunnet for øvrig. </a:t>
          </a:r>
        </a:p>
        <a:p>
          <a:endParaRPr lang="nb-NO" sz="1100" baseline="0">
            <a:latin typeface="Calibri" panose="020F0502020204030204" pitchFamily="34" charset="0"/>
            <a:cs typeface="Calibri" panose="020F0502020204030204" pitchFamily="34" charset="0"/>
          </a:endParaRPr>
        </a:p>
        <a:p>
          <a:r>
            <a:rPr lang="nb-NO" sz="1100" baseline="0">
              <a:latin typeface="Calibri" panose="020F0502020204030204" pitchFamily="34" charset="0"/>
              <a:cs typeface="Calibri" panose="020F0502020204030204" pitchFamily="34" charset="0"/>
            </a:rPr>
            <a:t>Målet med SAGA er at alle beregninger skal være enkle å følge, og at dataflyten går én vei. Det innebærer at beregninger i et gitt ark ikke kryssberegnes gjennom flere ledd og ark.</a:t>
          </a:r>
        </a:p>
        <a:p>
          <a:endParaRPr lang="nb-NO" sz="1100" baseline="0">
            <a:latin typeface="Calibri" panose="020F0502020204030204" pitchFamily="34" charset="0"/>
            <a:cs typeface="Calibri" panose="020F0502020204030204" pitchFamily="34" charset="0"/>
          </a:endParaRPr>
        </a:p>
        <a:p>
          <a:r>
            <a:rPr lang="nb-NO" sz="1100" baseline="0">
              <a:latin typeface="Calibri" panose="020F0502020204030204" pitchFamily="34" charset="0"/>
              <a:cs typeface="Calibri" panose="020F0502020204030204" pitchFamily="34" charset="0"/>
            </a:rPr>
            <a:t>I arkfane "0.2 Struktur &amp; brukerveiledning" gis det </a:t>
          </a:r>
          <a:r>
            <a:rPr lang="nb-NO" sz="1100" baseline="0">
              <a:solidFill>
                <a:schemeClr val="tx1"/>
              </a:solidFill>
              <a:effectLst/>
              <a:latin typeface="+mn-lt"/>
              <a:ea typeface="+mn-ea"/>
              <a:cs typeface="+mn-cs"/>
            </a:rPr>
            <a:t>en visuell fremstilling av SAGA, og det er </a:t>
          </a:r>
          <a:r>
            <a:rPr lang="nb-NO" sz="1100" baseline="0">
              <a:latin typeface="Calibri" panose="020F0502020204030204" pitchFamily="34" charset="0"/>
              <a:cs typeface="Calibri" panose="020F0502020204030204" pitchFamily="34" charset="0"/>
            </a:rPr>
            <a:t>forklart hvilke arkfaner brukeren skal fylle ut. Det anbefales at "0.2 Struktur &amp; brukerveiledning" leses før man bruker SAGA første gang.</a:t>
          </a:r>
        </a:p>
        <a:p>
          <a:endParaRPr lang="nb-NO" sz="1100" b="0" i="0" u="none" strike="noStrike">
            <a:solidFill>
              <a:schemeClr val="tx1"/>
            </a:solidFill>
            <a:effectLst/>
            <a:latin typeface="Calibri" panose="020F0502020204030204" pitchFamily="34" charset="0"/>
            <a:ea typeface="+mn-ea"/>
            <a:cs typeface="Calibri" panose="020F0502020204030204" pitchFamily="34" charset="0"/>
          </a:endParaRPr>
        </a:p>
        <a:p>
          <a:r>
            <a:rPr lang="nb-NO" sz="1100" b="0" i="0" u="none" strike="noStrike">
              <a:solidFill>
                <a:schemeClr val="tx1"/>
              </a:solidFill>
              <a:effectLst/>
              <a:latin typeface="Calibri" panose="020F0502020204030204" pitchFamily="34" charset="0"/>
              <a:ea typeface="+mn-ea"/>
              <a:cs typeface="Calibri" panose="020F0502020204030204" pitchFamily="34" charset="0"/>
            </a:rPr>
            <a:t>Det</a:t>
          </a:r>
          <a:r>
            <a:rPr lang="nb-NO" sz="1100" b="0" i="0" u="none" strike="noStrike" baseline="0">
              <a:solidFill>
                <a:schemeClr val="tx1"/>
              </a:solidFill>
              <a:effectLst/>
              <a:latin typeface="Calibri" panose="020F0502020204030204" pitchFamily="34" charset="0"/>
              <a:ea typeface="+mn-ea"/>
              <a:cs typeface="Calibri" panose="020F0502020204030204" pitchFamily="34" charset="0"/>
            </a:rPr>
            <a:t> anbefales å dokumentere eventuelle endringer i bakenforliggende variabler, formler, statistikk mv. i </a:t>
          </a:r>
          <a:r>
            <a:rPr lang="nb-NO" sz="1100" b="0" i="0" u="none" strike="noStrike">
              <a:solidFill>
                <a:schemeClr val="tx1"/>
              </a:solidFill>
              <a:effectLst/>
              <a:latin typeface="Calibri" panose="020F0502020204030204" pitchFamily="34" charset="0"/>
              <a:ea typeface="+mn-ea"/>
              <a:cs typeface="Calibri" panose="020F0502020204030204" pitchFamily="34" charset="0"/>
            </a:rPr>
            <a:t>arkfane "0.3 Endringslogg",</a:t>
          </a:r>
          <a:r>
            <a:rPr lang="nb-NO" sz="1100" b="0" i="0" u="none" strike="noStrike" baseline="0">
              <a:solidFill>
                <a:schemeClr val="tx1"/>
              </a:solidFill>
              <a:effectLst/>
              <a:latin typeface="Calibri" panose="020F0502020204030204" pitchFamily="34" charset="0"/>
              <a:ea typeface="+mn-ea"/>
              <a:cs typeface="Calibri" panose="020F0502020204030204" pitchFamily="34" charset="0"/>
            </a:rPr>
            <a:t> og å lagre dette endrede regnearket som en ny versjon av SAGA. Dette slik at senere brukere lett får oversikt over hvordan den gitte versjonen skiller seg fra den offisielle SAGA-versjonen som er publisert på nett.</a:t>
          </a:r>
          <a:endParaRPr lang="nb-NO" sz="1100" baseline="0">
            <a:latin typeface="Calibri" panose="020F0502020204030204" pitchFamily="34" charset="0"/>
            <a:cs typeface="Calibri" panose="020F0502020204030204" pitchFamily="34" charset="0"/>
          </a:endParaRPr>
        </a:p>
        <a:p>
          <a:endParaRPr lang="nb-NO" sz="1100"/>
        </a:p>
        <a:p>
          <a:r>
            <a:rPr lang="nb-NO" sz="1100"/>
            <a:t>Det</a:t>
          </a:r>
          <a:r>
            <a:rPr lang="nb-NO" sz="1100" baseline="0"/>
            <a:t> er Seksjonen for Tilbudsutvikling i Jernbanedirektoratet som forvalter SAGA. </a:t>
          </a:r>
          <a:r>
            <a:rPr lang="nb-NO" sz="1100"/>
            <a:t>Kontaktperson er</a:t>
          </a:r>
          <a:r>
            <a:rPr lang="nb-NO" sz="1100" baseline="0"/>
            <a:t> Mari Baklund Størseth</a:t>
          </a:r>
          <a:r>
            <a:rPr lang="nb-NO" sz="1100"/>
            <a:t>.</a:t>
          </a:r>
        </a:p>
        <a:p>
          <a:endParaRPr lang="nb-NO" sz="1100"/>
        </a:p>
        <a:p>
          <a:r>
            <a:rPr lang="nb-NO" sz="1100"/>
            <a:t>E-post: mari.b.storseth@jernbanedirektoratet.no</a:t>
          </a:r>
        </a:p>
      </xdr:txBody>
    </xdr:sp>
    <xdr:clientData/>
  </xdr:oneCellAnchor>
  <xdr:twoCellAnchor editAs="oneCell">
    <xdr:from>
      <xdr:col>4</xdr:col>
      <xdr:colOff>369094</xdr:colOff>
      <xdr:row>1</xdr:row>
      <xdr:rowOff>95250</xdr:rowOff>
    </xdr:from>
    <xdr:to>
      <xdr:col>8</xdr:col>
      <xdr:colOff>345281</xdr:colOff>
      <xdr:row>4</xdr:row>
      <xdr:rowOff>95250</xdr:rowOff>
    </xdr:to>
    <xdr:pic>
      <xdr:nvPicPr>
        <xdr:cNvPr id="3" name="Bilde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stretch>
          <a:fillRect/>
        </a:stretch>
      </xdr:blipFill>
      <xdr:spPr>
        <a:xfrm>
          <a:off x="7679532" y="357188"/>
          <a:ext cx="3024187" cy="857250"/>
        </a:xfrm>
        <a:prstGeom prst="rect">
          <a:avLst/>
        </a:prstGeom>
      </xdr:spPr>
    </xdr:pic>
    <xdr:clientData/>
  </xdr:twoCellAnchor>
  <xdr:oneCellAnchor>
    <xdr:from>
      <xdr:col>0</xdr:col>
      <xdr:colOff>738189</xdr:colOff>
      <xdr:row>56</xdr:row>
      <xdr:rowOff>116681</xdr:rowOff>
    </xdr:from>
    <xdr:ext cx="14180342" cy="954882"/>
    <xdr:sp macro="" textlink="">
      <xdr:nvSpPr>
        <xdr:cNvPr id="4" name="TekstSylinder 3">
          <a:extLst>
            <a:ext uri="{FF2B5EF4-FFF2-40B4-BE49-F238E27FC236}">
              <a16:creationId xmlns:a16="http://schemas.microsoft.com/office/drawing/2014/main" id="{00000000-0008-0000-0000-000004000000}"/>
            </a:ext>
          </a:extLst>
        </xdr:cNvPr>
        <xdr:cNvSpPr txBox="1"/>
      </xdr:nvSpPr>
      <xdr:spPr>
        <a:xfrm>
          <a:off x="738189" y="10272712"/>
          <a:ext cx="14180342" cy="954882"/>
        </a:xfrm>
        <a:prstGeom prst="rect">
          <a:avLst/>
        </a:prstGeom>
        <a:solidFill>
          <a:schemeClr val="accent1">
            <a:lumMod val="40000"/>
            <a:lumOff val="60000"/>
          </a:schemeClr>
        </a:solidFill>
        <a:ln w="254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nb-NO" sz="1600" b="1" u="sng"/>
            <a:t>Viktig:</a:t>
          </a:r>
          <a:r>
            <a:rPr lang="nb-NO" sz="1600" b="1" u="sng" baseline="0"/>
            <a:t> </a:t>
          </a:r>
          <a:r>
            <a:rPr lang="nb-NO" sz="1100" b="0" u="none" baseline="0"/>
            <a:t>Hvis framtidige endringer i SAGA fører til endringer i nummerering av arkfaner er det viktig at dette også endres i innholdsfortegnelsen (B28:B52). Figurmodulen og Følsomhetsanalysemodulen bruker makroer som henter referanse til arkfaner fra innholdsfortegnelsen. Arkfanene som brukes av makroene er 1.2 Forutsetninger, 4.1 Resultatark, 4.2 Følsomhetsanalyse, Parametere, 4.3.1 Data_Tverrsnittfigurer, 4.3.2 Tidsseriefigurer, og 4.3.2 Data_Tidsseriefigurer. Om navnene på disse arkfanene endres er det viktig at navnet er identisk i innholdsfortegnelsen. Rekkefølgen kan endres, siden makroene bruker navngitte referanser. Pass imidlertid på at navn på celle stemmer med arkfanen. Cellene er navngitt på formen "Ark_[arknavn]", se Navnebehandling.</a:t>
          </a:r>
          <a:endParaRPr lang="nb-NO" sz="1100"/>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16</xdr:col>
      <xdr:colOff>440531</xdr:colOff>
      <xdr:row>0</xdr:row>
      <xdr:rowOff>183014</xdr:rowOff>
    </xdr:from>
    <xdr:ext cx="9334499" cy="1517082"/>
    <xdr:sp macro="" textlink="">
      <xdr:nvSpPr>
        <xdr:cNvPr id="4" name="TekstSylinder 3">
          <a:extLst>
            <a:ext uri="{FF2B5EF4-FFF2-40B4-BE49-F238E27FC236}">
              <a16:creationId xmlns:a16="http://schemas.microsoft.com/office/drawing/2014/main" id="{00000000-0008-0000-0100-000004000000}"/>
            </a:ext>
          </a:extLst>
        </xdr:cNvPr>
        <xdr:cNvSpPr txBox="1"/>
      </xdr:nvSpPr>
      <xdr:spPr>
        <a:xfrm>
          <a:off x="12823031" y="183014"/>
          <a:ext cx="9334499" cy="1517082"/>
        </a:xfrm>
        <a:prstGeom prst="rect">
          <a:avLst/>
        </a:prstGeom>
        <a:solidFill>
          <a:schemeClr val="accent1">
            <a:lumMod val="40000"/>
            <a:lumOff val="60000"/>
          </a:schemeClr>
        </a:solidFill>
        <a:ln w="25400">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nb-NO" sz="1400" b="1">
              <a:latin typeface="Calibri" panose="020F0502020204030204" pitchFamily="34" charset="0"/>
              <a:cs typeface="Calibri" panose="020F0502020204030204" pitchFamily="34" charset="0"/>
            </a:rPr>
            <a:t>Informasjon</a:t>
          </a:r>
        </a:p>
        <a:p>
          <a:r>
            <a:rPr lang="nb-NO" sz="1100">
              <a:latin typeface="Calibri" panose="020F0502020204030204" pitchFamily="34" charset="0"/>
              <a:cs typeface="Calibri" panose="020F0502020204030204" pitchFamily="34" charset="0"/>
            </a:rPr>
            <a:t>I denne arkfanen vises en visuell</a:t>
          </a:r>
          <a:r>
            <a:rPr lang="nb-NO" sz="1100" baseline="0">
              <a:latin typeface="Calibri" panose="020F0502020204030204" pitchFamily="34" charset="0"/>
              <a:cs typeface="Calibri" panose="020F0502020204030204" pitchFamily="34" charset="0"/>
            </a:rPr>
            <a:t> fremstilling av hvordan </a:t>
          </a:r>
          <a:r>
            <a:rPr lang="nb-NO" sz="1100" baseline="0">
              <a:solidFill>
                <a:schemeClr val="tx1"/>
              </a:solidFill>
              <a:latin typeface="Calibri" panose="020F0502020204030204" pitchFamily="34" charset="0"/>
              <a:cs typeface="Calibri" panose="020F0502020204030204" pitchFamily="34" charset="0"/>
            </a:rPr>
            <a:t>SAGA</a:t>
          </a:r>
          <a:r>
            <a:rPr lang="nb-NO" sz="1100" baseline="0">
              <a:latin typeface="Calibri" panose="020F0502020204030204" pitchFamily="34" charset="0"/>
              <a:cs typeface="Calibri" panose="020F0502020204030204" pitchFamily="34" charset="0"/>
            </a:rPr>
            <a:t> er bygd opp og hvilke moduler som inngår i de forskjellige beregningstrinnene.</a:t>
          </a:r>
        </a:p>
        <a:p>
          <a:r>
            <a:rPr lang="nb-NO" sz="1100" b="1" baseline="0">
              <a:latin typeface="Calibri" panose="020F0502020204030204" pitchFamily="34" charset="0"/>
              <a:cs typeface="Calibri" panose="020F0502020204030204" pitchFamily="34" charset="0"/>
            </a:rPr>
            <a:t>Nivå 0: </a:t>
          </a:r>
          <a:r>
            <a:rPr lang="nb-NO" sz="1100" baseline="0">
              <a:latin typeface="Calibri" panose="020F0502020204030204" pitchFamily="34" charset="0"/>
              <a:cs typeface="Calibri" panose="020F0502020204030204" pitchFamily="34" charset="0"/>
            </a:rPr>
            <a:t>I disse fanene kan du finne informasjon om verktøyet, hvordan verktøyet er bygd opp, kilder og definisjoner. Alle mellomberegninger som må til før nivå 1, blir bearbeidet  i "Standardsatser - Forutsetninger".</a:t>
          </a:r>
        </a:p>
        <a:p>
          <a:r>
            <a:rPr lang="nb-NO" sz="1100" b="1" baseline="0">
              <a:latin typeface="Calibri" panose="020F0502020204030204" pitchFamily="34" charset="0"/>
              <a:cs typeface="Calibri" panose="020F0502020204030204" pitchFamily="34" charset="0"/>
            </a:rPr>
            <a:t>Nivå 1: </a:t>
          </a:r>
          <a:r>
            <a:rPr lang="nb-NO" sz="1100" b="0" i="0" u="none" strike="noStrike">
              <a:solidFill>
                <a:schemeClr val="tx1"/>
              </a:solidFill>
              <a:effectLst/>
              <a:latin typeface="Calibri" panose="020F0502020204030204" pitchFamily="34" charset="0"/>
              <a:ea typeface="+mn-ea"/>
              <a:cs typeface="Calibri" panose="020F0502020204030204" pitchFamily="34" charset="0"/>
            </a:rPr>
            <a:t>All data som er nødvendig for å gjennomføre en nyttekostnadsanalyse fylles inn i nivå 1.</a:t>
          </a:r>
          <a:r>
            <a:rPr lang="nb-NO" sz="1100">
              <a:latin typeface="Calibri" panose="020F0502020204030204" pitchFamily="34" charset="0"/>
              <a:cs typeface="Calibri" panose="020F0502020204030204" pitchFamily="34" charset="0"/>
            </a:rPr>
            <a:t> </a:t>
          </a:r>
          <a:r>
            <a:rPr lang="nb-NO" sz="1100" baseline="0">
              <a:latin typeface="Calibri" panose="020F0502020204030204" pitchFamily="34" charset="0"/>
              <a:cs typeface="Calibri" panose="020F0502020204030204" pitchFamily="34" charset="0"/>
            </a:rPr>
            <a:t> </a:t>
          </a:r>
        </a:p>
        <a:p>
          <a:r>
            <a:rPr lang="nb-NO" sz="1100" b="1">
              <a:latin typeface="Calibri" panose="020F0502020204030204" pitchFamily="34" charset="0"/>
              <a:cs typeface="Calibri" panose="020F0502020204030204" pitchFamily="34" charset="0"/>
            </a:rPr>
            <a:t>Nivå 2:</a:t>
          </a:r>
          <a:r>
            <a:rPr lang="nb-NO" sz="1100" b="1" baseline="0">
              <a:latin typeface="Calibri" panose="020F0502020204030204" pitchFamily="34" charset="0"/>
              <a:cs typeface="Calibri" panose="020F0502020204030204" pitchFamily="34" charset="0"/>
            </a:rPr>
            <a:t> </a:t>
          </a:r>
          <a:r>
            <a:rPr lang="nb-NO" sz="1100" b="0" i="0" u="none" strike="noStrike">
              <a:solidFill>
                <a:schemeClr val="tx1"/>
              </a:solidFill>
              <a:effectLst/>
              <a:latin typeface="Calibri" panose="020F0502020204030204" pitchFamily="34" charset="0"/>
              <a:ea typeface="+mn-ea"/>
              <a:cs typeface="Calibri" panose="020F0502020204030204" pitchFamily="34" charset="0"/>
            </a:rPr>
            <a:t>Alle beregninger for</a:t>
          </a:r>
          <a:r>
            <a:rPr lang="nb-NO" sz="1100" b="0" i="0" u="none" strike="noStrike" baseline="0">
              <a:solidFill>
                <a:schemeClr val="tx1"/>
              </a:solidFill>
              <a:effectLst/>
              <a:latin typeface="Calibri" panose="020F0502020204030204" pitchFamily="34" charset="0"/>
              <a:ea typeface="+mn-ea"/>
              <a:cs typeface="Calibri" panose="020F0502020204030204" pitchFamily="34" charset="0"/>
            </a:rPr>
            <a:t> enkeltaktørene </a:t>
          </a:r>
          <a:r>
            <a:rPr lang="nb-NO" sz="1100" b="0" i="0" u="none" strike="noStrike">
              <a:solidFill>
                <a:schemeClr val="tx1"/>
              </a:solidFill>
              <a:effectLst/>
              <a:latin typeface="Calibri" panose="020F0502020204030204" pitchFamily="34" charset="0"/>
              <a:ea typeface="+mn-ea"/>
              <a:cs typeface="Calibri" panose="020F0502020204030204" pitchFamily="34" charset="0"/>
            </a:rPr>
            <a:t>skjer på nivå 2.</a:t>
          </a:r>
          <a:r>
            <a:rPr lang="nb-NO" sz="1100" b="0" i="0" u="none" strike="noStrike" baseline="0">
              <a:solidFill>
                <a:schemeClr val="tx1"/>
              </a:solidFill>
              <a:effectLst/>
              <a:latin typeface="Calibri" panose="020F0502020204030204" pitchFamily="34" charset="0"/>
              <a:ea typeface="+mn-ea"/>
              <a:cs typeface="Calibri" panose="020F0502020204030204" pitchFamily="34" charset="0"/>
            </a:rPr>
            <a:t> Nivå 2-fanene</a:t>
          </a:r>
          <a:r>
            <a:rPr lang="nb-NO" sz="1100" b="0" i="0" u="none" strike="noStrike">
              <a:solidFill>
                <a:schemeClr val="tx1"/>
              </a:solidFill>
              <a:effectLst/>
              <a:latin typeface="Calibri" panose="020F0502020204030204" pitchFamily="34" charset="0"/>
              <a:ea typeface="+mn-ea"/>
              <a:cs typeface="Calibri" panose="020F0502020204030204" pitchFamily="34" charset="0"/>
            </a:rPr>
            <a:t> henter inputdata fra nivå 1 og unntaksvis fra andre nivå 2-faner.</a:t>
          </a:r>
          <a:r>
            <a:rPr lang="nb-NO" sz="1100">
              <a:latin typeface="Calibri" panose="020F0502020204030204" pitchFamily="34" charset="0"/>
              <a:cs typeface="Calibri" panose="020F0502020204030204" pitchFamily="34" charset="0"/>
            </a:rPr>
            <a:t> </a:t>
          </a:r>
        </a:p>
        <a:p>
          <a:r>
            <a:rPr lang="nb-NO" sz="1100" b="1">
              <a:latin typeface="Calibri" panose="020F0502020204030204" pitchFamily="34" charset="0"/>
              <a:cs typeface="Calibri" panose="020F0502020204030204" pitchFamily="34" charset="0"/>
            </a:rPr>
            <a:t>Nivå 3: </a:t>
          </a:r>
          <a:r>
            <a:rPr lang="nb-NO" sz="1100" b="0" i="0" u="none" strike="noStrike">
              <a:solidFill>
                <a:schemeClr val="tx1"/>
              </a:solidFill>
              <a:effectLst/>
              <a:latin typeface="Calibri" panose="020F0502020204030204" pitchFamily="34" charset="0"/>
              <a:ea typeface="+mn-ea"/>
              <a:cs typeface="Calibri" panose="020F0502020204030204" pitchFamily="34" charset="0"/>
            </a:rPr>
            <a:t>På nivå 3 blir alle nyttestrømmene fra beregningsarkene, investeringer og vedlikeholdskostnader beregnet.</a:t>
          </a:r>
          <a:r>
            <a:rPr lang="nb-NO" sz="1100">
              <a:latin typeface="Calibri" panose="020F0502020204030204" pitchFamily="34" charset="0"/>
              <a:cs typeface="Calibri" panose="020F0502020204030204" pitchFamily="34" charset="0"/>
            </a:rPr>
            <a:t> </a:t>
          </a:r>
        </a:p>
        <a:p>
          <a:r>
            <a:rPr lang="nb-NO" sz="1100" b="1">
              <a:latin typeface="Calibri" panose="020F0502020204030204" pitchFamily="34" charset="0"/>
              <a:cs typeface="Calibri" panose="020F0502020204030204" pitchFamily="34" charset="0"/>
            </a:rPr>
            <a:t>Nivå</a:t>
          </a:r>
          <a:r>
            <a:rPr lang="nb-NO" sz="1100" b="1" baseline="0">
              <a:latin typeface="Calibri" panose="020F0502020204030204" pitchFamily="34" charset="0"/>
              <a:cs typeface="Calibri" panose="020F0502020204030204" pitchFamily="34" charset="0"/>
            </a:rPr>
            <a:t> 4: </a:t>
          </a:r>
          <a:r>
            <a:rPr lang="nb-NO" sz="1100" b="0" i="0" u="none" strike="noStrike">
              <a:solidFill>
                <a:schemeClr val="tx1"/>
              </a:solidFill>
              <a:effectLst/>
              <a:latin typeface="Calibri" panose="020F0502020204030204" pitchFamily="34" charset="0"/>
              <a:ea typeface="+mn-ea"/>
              <a:cs typeface="Calibri" panose="020F0502020204030204" pitchFamily="34" charset="0"/>
            </a:rPr>
            <a:t>På nivå 4 vises alle relevante resultater.</a:t>
          </a:r>
          <a:endParaRPr lang="nb-NO" sz="1100">
            <a:latin typeface="Calibri" panose="020F0502020204030204" pitchFamily="34" charset="0"/>
            <a:cs typeface="Calibri" panose="020F0502020204030204" pitchFamily="34" charset="0"/>
          </a:endParaRPr>
        </a:p>
      </xdr:txBody>
    </xdr:sp>
    <xdr:clientData/>
  </xdr:oneCellAnchor>
  <xdr:oneCellAnchor>
    <xdr:from>
      <xdr:col>16</xdr:col>
      <xdr:colOff>440531</xdr:colOff>
      <xdr:row>9</xdr:row>
      <xdr:rowOff>107158</xdr:rowOff>
    </xdr:from>
    <xdr:ext cx="9370219" cy="8251029"/>
    <xdr:sp macro="" textlink="">
      <xdr:nvSpPr>
        <xdr:cNvPr id="5" name="TekstSylinder 4">
          <a:extLst>
            <a:ext uri="{FF2B5EF4-FFF2-40B4-BE49-F238E27FC236}">
              <a16:creationId xmlns:a16="http://schemas.microsoft.com/office/drawing/2014/main" id="{00000000-0008-0000-0100-000005000000}"/>
            </a:ext>
          </a:extLst>
        </xdr:cNvPr>
        <xdr:cNvSpPr txBox="1"/>
      </xdr:nvSpPr>
      <xdr:spPr>
        <a:xfrm>
          <a:off x="12632531" y="1821658"/>
          <a:ext cx="9370219" cy="8251029"/>
        </a:xfrm>
        <a:prstGeom prst="rect">
          <a:avLst/>
        </a:prstGeom>
        <a:solidFill>
          <a:schemeClr val="accent1">
            <a:lumMod val="40000"/>
            <a:lumOff val="60000"/>
          </a:schemeClr>
        </a:solidFill>
        <a:ln w="254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nb-NO" sz="1400" b="1"/>
            <a:t>Brukerveiledning til SAGA </a:t>
          </a:r>
          <a:endParaRPr lang="nb-NO" sz="1400"/>
        </a:p>
        <a:p>
          <a:r>
            <a:rPr lang="nb-NO" sz="1100"/>
            <a:t>SAGA er Jernbanedirektoratets nyttekostnadsverktøy til bruk i samfunnsøkonomiske analyser. Det er utformet slik at man på en enkel måte skal kunne tallfeste nytte- og kostnadseffekter av tiltak som blir gjennomført på jernbanen. </a:t>
          </a:r>
        </a:p>
        <a:p>
          <a:endParaRPr lang="nb-NO" sz="1100"/>
        </a:p>
        <a:p>
          <a:r>
            <a:rPr lang="nb-NO" sz="1100"/>
            <a:t>Det er mange behov som skal dekkes i et slikt verktøy. SAGA er primært et verktøy for å sammenstille resultater fra en transportmodell, og er designet for å kunne motta resultater fra alle relevante modeller som benyttes til analyse av jernbanetiltak. For tiltak der det skal gjøres "enkle" analyser, uten transportmodeller, kan satser og forutsetninger hentes fra arkfane "1.1 Standardsatser" og "1.2 Forutsetninger" til bruk for å verdsette effekter av tiltaket. Det er mulig å fylle inn tall</a:t>
          </a:r>
          <a:r>
            <a:rPr lang="nb-NO" sz="1100" baseline="0"/>
            <a:t> for  "1.3 Persontransportmodell"/"1.4 Godsmodell" selv om en ikke har kjørt en transportmodell. Brukeren fyller da ut trafikk- og transportarbeid manuelt og henter det ikke fra noen modellresultater, men gjør egne antagelser for det aktuelle tiltaket. </a:t>
          </a:r>
          <a:endParaRPr lang="nb-NO" sz="1100"/>
        </a:p>
        <a:p>
          <a:endParaRPr lang="nb-NO" sz="1100"/>
        </a:p>
        <a:p>
          <a:r>
            <a:rPr lang="nb-NO" sz="1100"/>
            <a:t>SAGA er delt opp i fem nivåer (se bilde til venstre).</a:t>
          </a:r>
        </a:p>
        <a:p>
          <a:endParaRPr lang="nb-NO" sz="1100"/>
        </a:p>
        <a:p>
          <a:r>
            <a:rPr lang="nb-NO" sz="1100"/>
            <a:t>Brukeren av SAGA skal legge inn informasjon om tiltaket på nivå 1. Først vurderes og fylles inn alle de prosjektavhengige forutsetningene i arkfane "1.2 Forutsetninger". Alle cellene som skal fylles inn eller inngår i analysen for tiltaket er markert med en fargekode: </a:t>
          </a:r>
        </a:p>
        <a:p>
          <a:endParaRPr lang="nb-NO" sz="1100"/>
        </a:p>
        <a:p>
          <a:pPr lvl="0"/>
          <a:r>
            <a:rPr lang="nb-NO" sz="1100" b="1"/>
            <a:t>Grønn</a:t>
          </a:r>
          <a:r>
            <a:rPr lang="nb-NO" sz="1100"/>
            <a:t> betyr at cellen skal fylles ut. </a:t>
          </a:r>
        </a:p>
        <a:p>
          <a:pPr lvl="0"/>
          <a:r>
            <a:rPr lang="nb-NO" sz="1100" b="1"/>
            <a:t>Gul</a:t>
          </a:r>
          <a:r>
            <a:rPr lang="nb-NO" sz="1100"/>
            <a:t> betyr at cellen skal vurderes spesifikt opp mot det aktuelle tiltaket og det skal gjøres en vurdering av om standardforutsetningen som ligger i den gule cellen passer til det aktuelle tiltaket. Det er referert til en kilde og begrunnet. </a:t>
          </a:r>
        </a:p>
        <a:p>
          <a:pPr lvl="0"/>
          <a:r>
            <a:rPr lang="nb-NO" sz="1100" b="1"/>
            <a:t>Rød </a:t>
          </a:r>
          <a:r>
            <a:rPr lang="nb-NO" sz="1100"/>
            <a:t>celle inneholder enten en formel, og skal ikke endres, eller er ikke aktuell å fylle ut avhengig av hvilke forutsetninger du starter å sette opp i arkfanen. Et eksempel er hvis du velger RTM/NTM som modell for input i analysen, da vil det eksempelvis ikke være nødvendig å fylle ut forutsetninger som gjelder Trenklin.</a:t>
          </a:r>
        </a:p>
        <a:p>
          <a:endParaRPr lang="nb-NO" sz="1100"/>
        </a:p>
        <a:p>
          <a:r>
            <a:rPr lang="nb-NO" sz="1100"/>
            <a:t>Hvis en forutsetning endres fra det som står oppført som standard skal dette begrunnes i analysen. Brukeren skal være spesielt oppmerksom på forutsetningen om framskrivning etter siste beregningsår. Det ligger standard inne «Vekstprognose» som beregner årlig volumvekst basert på forventet vekst i antall reiser (grunnprognoser) </a:t>
          </a:r>
          <a:r>
            <a:rPr lang="nb-NO" sz="1100">
              <a:solidFill>
                <a:sysClr val="windowText" lastClr="000000"/>
              </a:solidFill>
            </a:rPr>
            <a:t>og befolkningsutvikling </a:t>
          </a:r>
          <a:r>
            <a:rPr lang="nb-NO" sz="1100"/>
            <a:t>etter siste beregningsår. Brukeren kan også velge «Lineær trend» som forutsetter en lineær vekst basert på de to siste beregningsårene. Det er viktig at brukeren har et bevisst forhold til hvilken av metodene som benyttes, og hovedregelen er at "Vekstprognose" benyttes, og endring til "Lineær vekst" skal begrunnes. </a:t>
          </a:r>
        </a:p>
        <a:p>
          <a:endParaRPr lang="nb-NO" sz="1100"/>
        </a:p>
        <a:p>
          <a:r>
            <a:rPr lang="nb-NO" sz="1100"/>
            <a:t>Når alle forutsetninger er fylt inn/endret i arkfane "1.2 Forutsetninger" kan brukeren starte å fylle inn resultater fra transportmodellen. Dette gjøres i arkfane "1.3 Persontransportmodell" eller "1.4 Godsmodell", eller begge deler (det avhenger av hva slags tiltak som skal analyseres). </a:t>
          </a:r>
        </a:p>
        <a:p>
          <a:endParaRPr lang="nb-NO" sz="1100"/>
        </a:p>
        <a:p>
          <a:r>
            <a:rPr lang="nb-NO" sz="1100"/>
            <a:t>Under følger en beskrivelse av hva som kreves i de ulike transportmodellene. </a:t>
          </a:r>
        </a:p>
        <a:p>
          <a:endParaRPr lang="nb-NO" sz="1100"/>
        </a:p>
        <a:p>
          <a:r>
            <a:rPr lang="nb-NO" sz="1100" b="1"/>
            <a:t>Trenklin: </a:t>
          </a:r>
          <a:r>
            <a:rPr lang="nb-NO" sz="1100"/>
            <a:t>Her skal bare første tabellene som inneholder resultater for TOG fylles inn. Tabellene er nesten lik resultatene som hentes fra Trenklin. Effekter som blir beregnet i Trenklin er trafikantnytte, billettinntekter og trengselskostnader. Satser for billettkostnader i arkfane "1.1 Standardsatser" benyttes derfor ikke.</a:t>
          </a:r>
        </a:p>
        <a:p>
          <a:endParaRPr lang="nb-NO" sz="1100" b="1"/>
        </a:p>
        <a:p>
          <a:r>
            <a:rPr lang="nb-NO" sz="1100" b="1"/>
            <a:t>RTM/NTM: </a:t>
          </a:r>
          <a:r>
            <a:rPr lang="nb-NO" sz="1100"/>
            <a:t>Når det benyttes transportmodellkjøring fra RTM/NTM kan man velge en modul i RTM/NTM kalt «Uttak til SAGA» hvis uttaket skal jobbes videre med i SAGA. Dette uttaket lagres på .mdb format og kan ses gjennom med Microsoft Access, eller ved å importeres inn i Excel. I SAGA kan makroen kalt HentData brukes til å lime inn data fra RTM/NTM uttaket inn i riktig celle i SAGA. Makroen forenkler dermed innlesning av uttaksdataene, da alternativet ville vært å manuelt lime inn korrekt verdi inn i hver celle. Se brukerveildening i "Dokumentasjon av SAGA" for en innføring i makroen. </a:t>
          </a:r>
        </a:p>
        <a:p>
          <a:endParaRPr lang="nb-NO" sz="1100"/>
        </a:p>
        <a:p>
          <a:r>
            <a:rPr lang="nb-NO" sz="1100" b="1"/>
            <a:t>RTM23+: </a:t>
          </a:r>
          <a:r>
            <a:rPr lang="nb-NO" sz="1100"/>
            <a:t>I denne modellen blir effekten av redusert kø inkludert som en del av tidsbesparelsen. Derfor er effekten av redusert kø i arkfanen "2.1 Trafikanter" 0</a:t>
          </a:r>
          <a:r>
            <a:rPr lang="nb-NO" sz="1100" baseline="0"/>
            <a:t> når det benyttes resultater fra RTM23+ og RTM/NTM</a:t>
          </a:r>
          <a:r>
            <a:rPr lang="nb-NO" sz="1100"/>
            <a:t>.   </a:t>
          </a:r>
        </a:p>
        <a:p>
          <a:endParaRPr lang="nb-NO" sz="1100"/>
        </a:p>
        <a:p>
          <a:r>
            <a:rPr lang="nb-NO" sz="1100" b="1"/>
            <a:t>NGM: </a:t>
          </a:r>
          <a:r>
            <a:rPr lang="nb-NO" sz="1100"/>
            <a:t>Her hentes resultater fra en tilleggsmodul til NGM som fremstiller resultatene på samme format som tabellene i arkfane "1.4 Godsmodell". Denne modulen "Godsnytte-verktøy" ligger ute på Jernbanedirektoratet</a:t>
          </a:r>
          <a:r>
            <a:rPr lang="nb-NO" sz="1100" baseline="0"/>
            <a:t> sin hjemmeside.</a:t>
          </a:r>
          <a:endParaRPr lang="nb-NO" sz="1100"/>
        </a:p>
        <a:p>
          <a:endParaRPr lang="nb-NO" sz="1100" baseline="0"/>
        </a:p>
      </xdr:txBody>
    </xdr:sp>
    <xdr:clientData/>
  </xdr:oneCellAnchor>
  <xdr:twoCellAnchor editAs="oneCell">
    <xdr:from>
      <xdr:col>0</xdr:col>
      <xdr:colOff>47624</xdr:colOff>
      <xdr:row>1</xdr:row>
      <xdr:rowOff>95249</xdr:rowOff>
    </xdr:from>
    <xdr:to>
      <xdr:col>16</xdr:col>
      <xdr:colOff>392893</xdr:colOff>
      <xdr:row>50</xdr:row>
      <xdr:rowOff>47624</xdr:rowOff>
    </xdr:to>
    <xdr:pic>
      <xdr:nvPicPr>
        <xdr:cNvPr id="3" name="Bilde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stretch>
          <a:fillRect/>
        </a:stretch>
      </xdr:blipFill>
      <xdr:spPr>
        <a:xfrm>
          <a:off x="47624" y="285749"/>
          <a:ext cx="13045269" cy="928687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0</xdr:col>
      <xdr:colOff>761999</xdr:colOff>
      <xdr:row>1</xdr:row>
      <xdr:rowOff>0</xdr:rowOff>
    </xdr:from>
    <xdr:ext cx="13430251" cy="1238250"/>
    <xdr:sp macro="" textlink="">
      <xdr:nvSpPr>
        <xdr:cNvPr id="2" name="TekstSylinder 1">
          <a:extLst>
            <a:ext uri="{FF2B5EF4-FFF2-40B4-BE49-F238E27FC236}">
              <a16:creationId xmlns:a16="http://schemas.microsoft.com/office/drawing/2014/main" id="{00000000-0008-0000-0200-000002000000}"/>
            </a:ext>
          </a:extLst>
        </xdr:cNvPr>
        <xdr:cNvSpPr txBox="1"/>
      </xdr:nvSpPr>
      <xdr:spPr>
        <a:xfrm>
          <a:off x="761999" y="190500"/>
          <a:ext cx="13430251" cy="1238250"/>
        </a:xfrm>
        <a:prstGeom prst="rect">
          <a:avLst/>
        </a:prstGeom>
        <a:solidFill>
          <a:schemeClr val="accent1">
            <a:lumMod val="40000"/>
            <a:lumOff val="60000"/>
          </a:schemeClr>
        </a:solidFill>
        <a:ln w="25400">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nb-NO" sz="1400" b="1" i="0" u="none" strike="noStrike">
              <a:solidFill>
                <a:schemeClr val="tx1"/>
              </a:solidFill>
              <a:effectLst/>
              <a:latin typeface="Calibri" panose="020F0502020204030204" pitchFamily="34" charset="0"/>
              <a:ea typeface="+mn-ea"/>
              <a:cs typeface="Calibri" panose="020F0502020204030204" pitchFamily="34" charset="0"/>
            </a:rPr>
            <a:t>Informasjon</a:t>
          </a:r>
        </a:p>
        <a:p>
          <a:r>
            <a:rPr lang="nb-NO" sz="1100" b="0" i="0" u="none" strike="noStrike">
              <a:solidFill>
                <a:schemeClr val="tx1"/>
              </a:solidFill>
              <a:effectLst/>
              <a:latin typeface="Calibri" panose="020F0502020204030204" pitchFamily="34" charset="0"/>
              <a:ea typeface="+mn-ea"/>
              <a:cs typeface="Calibri" panose="020F0502020204030204" pitchFamily="34" charset="0"/>
            </a:rPr>
            <a:t>Hvis det er endringer i SAGA på grunn av nye kilder,</a:t>
          </a:r>
          <a:r>
            <a:rPr lang="nb-NO" sz="1100" b="0" i="0" u="none" strike="noStrike" baseline="0">
              <a:solidFill>
                <a:schemeClr val="tx1"/>
              </a:solidFill>
              <a:effectLst/>
              <a:latin typeface="Calibri" panose="020F0502020204030204" pitchFamily="34" charset="0"/>
              <a:ea typeface="+mn-ea"/>
              <a:cs typeface="Calibri" panose="020F0502020204030204" pitchFamily="34" charset="0"/>
            </a:rPr>
            <a:t> endrede måter å gjøre beregninger på eller det er funnet feil i SAGA, skal disse endringene føres inn her. Det skal føres navn på person som gjør endring, dato for endring, hvilken versjon, og en kommentar på hva som er endret i SAGA. </a:t>
          </a:r>
        </a:p>
        <a:p>
          <a:endParaRPr lang="nb-NO" sz="1100" b="0" i="0" u="none" strike="noStrike" baseline="0">
            <a:solidFill>
              <a:schemeClr val="tx1"/>
            </a:solidFill>
            <a:effectLst/>
            <a:latin typeface="Calibri" panose="020F0502020204030204" pitchFamily="34" charset="0"/>
            <a:ea typeface="+mn-ea"/>
            <a:cs typeface="Calibri" panose="020F0502020204030204" pitchFamily="34" charset="0"/>
          </a:endParaRPr>
        </a:p>
        <a:p>
          <a:r>
            <a:rPr lang="nb-NO" sz="1100" b="0" i="0" u="none" strike="noStrike" baseline="0">
              <a:solidFill>
                <a:schemeClr val="tx1"/>
              </a:solidFill>
              <a:effectLst/>
              <a:latin typeface="Calibri" panose="020F0502020204030204" pitchFamily="34" charset="0"/>
              <a:ea typeface="+mn-ea"/>
              <a:cs typeface="Calibri" panose="020F0502020204030204" pitchFamily="34" charset="0"/>
            </a:rPr>
            <a:t>Hvis det gjøres endringer i verktøyet som ikke påvirker beregningene (tekst/design osv.) merkes det med versjonsnavn 1.01, 1.02 osv. Hvis det gjøres endringer som påvirker beregningsresultatet endres versjonsnavnet med 1.1, 1.2 osv. Når det gjøres en større endring eller revidering av SAGA skal selve versjonen endres til 2, 3, 4 osv. </a:t>
          </a:r>
          <a:endParaRPr lang="nb-NO" sz="1100" b="0" i="0" u="none" strike="noStrike">
            <a:solidFill>
              <a:schemeClr val="tx1"/>
            </a:solidFill>
            <a:effectLst/>
            <a:latin typeface="Calibri" panose="020F0502020204030204" pitchFamily="34" charset="0"/>
            <a:ea typeface="+mn-ea"/>
            <a:cs typeface="Calibri" panose="020F0502020204030204" pitchFamily="34" charset="0"/>
          </a:endParaRPr>
        </a:p>
      </xdr:txBody>
    </xdr:sp>
    <xdr:clientData/>
  </xdr:oneCellAnchor>
  <xdr:oneCellAnchor>
    <xdr:from>
      <xdr:col>7</xdr:col>
      <xdr:colOff>107155</xdr:colOff>
      <xdr:row>8</xdr:row>
      <xdr:rowOff>71436</xdr:rowOff>
    </xdr:from>
    <xdr:ext cx="4452937" cy="2237279"/>
    <xdr:sp macro="" textlink="">
      <xdr:nvSpPr>
        <xdr:cNvPr id="3" name="TekstSylinder 2">
          <a:extLst>
            <a:ext uri="{FF2B5EF4-FFF2-40B4-BE49-F238E27FC236}">
              <a16:creationId xmlns:a16="http://schemas.microsoft.com/office/drawing/2014/main" id="{00000000-0008-0000-0200-000003000000}"/>
            </a:ext>
          </a:extLst>
        </xdr:cNvPr>
        <xdr:cNvSpPr txBox="1"/>
      </xdr:nvSpPr>
      <xdr:spPr>
        <a:xfrm>
          <a:off x="15382874" y="1607342"/>
          <a:ext cx="4452937" cy="2237279"/>
        </a:xfrm>
        <a:prstGeom prst="rect">
          <a:avLst/>
        </a:prstGeom>
        <a:solidFill>
          <a:schemeClr val="tx2">
            <a:lumMod val="20000"/>
            <a:lumOff val="80000"/>
          </a:schemeClr>
        </a:solidFill>
        <a:ln w="254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nb-NO" sz="1600" b="1"/>
            <a:t>Hvis</a:t>
          </a:r>
          <a:r>
            <a:rPr lang="nb-NO" sz="1600" b="1" baseline="0"/>
            <a:t> det oppdages feil eller mangler i SAGA</a:t>
          </a:r>
        </a:p>
        <a:p>
          <a:r>
            <a:rPr lang="nb-NO" sz="1100" b="0" baseline="0"/>
            <a:t>SAGA vil ha behov for kontinuerlig vedlikehold og oppdatering etter hvert som Jernbanedirektoratet ser behov for det. </a:t>
          </a:r>
        </a:p>
        <a:p>
          <a:endParaRPr lang="nb-NO" sz="1100" b="0" baseline="0"/>
        </a:p>
        <a:p>
          <a:r>
            <a:rPr lang="nb-NO" sz="1100" b="0" baseline="0"/>
            <a:t>Hvis eksterne eller interne som benytter seg av SAGA finner feil, mangler, satser som må oppdateres eller oppdager effekter som må/burde verdsettes, kan dette meldes inn til Jernbanedirektoratet, Seksjon for samfunnsøkonomi og transportanalyse.</a:t>
          </a:r>
        </a:p>
        <a:p>
          <a:endParaRPr lang="nb-NO" sz="1100" b="0" baseline="0"/>
        </a:p>
        <a:p>
          <a:r>
            <a:rPr lang="nb-NO" sz="1100" b="0" baseline="0"/>
            <a:t>Kontaktperson i Jernbanedirektoratet er Haakon Gjersum.</a:t>
          </a:r>
        </a:p>
        <a:p>
          <a:endParaRPr lang="nb-NO" sz="1100" b="0" baseline="0"/>
        </a:p>
        <a:p>
          <a:r>
            <a:rPr lang="nb-NO" sz="1100" b="0" baseline="0"/>
            <a:t>E-post: haakon.gjersum@jernbanedirektoratet.no</a:t>
          </a:r>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1</xdr:col>
      <xdr:colOff>3</xdr:colOff>
      <xdr:row>0</xdr:row>
      <xdr:rowOff>185735</xdr:rowOff>
    </xdr:from>
    <xdr:ext cx="4405311" cy="483722"/>
    <xdr:sp macro="" textlink="">
      <xdr:nvSpPr>
        <xdr:cNvPr id="2" name="TekstSylinder 1">
          <a:extLst>
            <a:ext uri="{FF2B5EF4-FFF2-40B4-BE49-F238E27FC236}">
              <a16:creationId xmlns:a16="http://schemas.microsoft.com/office/drawing/2014/main" id="{00000000-0008-0000-0300-000002000000}"/>
            </a:ext>
          </a:extLst>
        </xdr:cNvPr>
        <xdr:cNvSpPr txBox="1"/>
      </xdr:nvSpPr>
      <xdr:spPr>
        <a:xfrm>
          <a:off x="762003" y="185735"/>
          <a:ext cx="4405311" cy="483722"/>
        </a:xfrm>
        <a:prstGeom prst="rect">
          <a:avLst/>
        </a:prstGeom>
        <a:solidFill>
          <a:schemeClr val="accent1">
            <a:lumMod val="40000"/>
            <a:lumOff val="60000"/>
          </a:schemeClr>
        </a:solidFill>
        <a:ln w="25400">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nb-NO" sz="1400" b="1" i="0" u="none" strike="noStrike">
              <a:solidFill>
                <a:schemeClr val="tx1"/>
              </a:solidFill>
              <a:effectLst/>
              <a:latin typeface="Calibri" panose="020F0502020204030204" pitchFamily="34" charset="0"/>
              <a:ea typeface="+mn-ea"/>
              <a:cs typeface="Calibri" panose="020F0502020204030204" pitchFamily="34" charset="0"/>
            </a:rPr>
            <a:t>Informasjon</a:t>
          </a:r>
        </a:p>
        <a:p>
          <a:r>
            <a:rPr lang="nb-NO" sz="1100" b="0" i="0" u="none" strike="noStrike">
              <a:solidFill>
                <a:schemeClr val="tx1"/>
              </a:solidFill>
              <a:effectLst/>
              <a:latin typeface="Calibri" panose="020F0502020204030204" pitchFamily="34" charset="0"/>
              <a:ea typeface="+mn-ea"/>
              <a:cs typeface="Calibri" panose="020F0502020204030204" pitchFamily="34" charset="0"/>
            </a:rPr>
            <a:t>Alle kilder som benyttes i</a:t>
          </a:r>
          <a:r>
            <a:rPr lang="nb-NO" sz="1100" b="0" i="0" u="none" strike="noStrike" baseline="0">
              <a:solidFill>
                <a:schemeClr val="tx1"/>
              </a:solidFill>
              <a:effectLst/>
              <a:latin typeface="Calibri" panose="020F0502020204030204" pitchFamily="34" charset="0"/>
              <a:ea typeface="+mn-ea"/>
              <a:cs typeface="Calibri" panose="020F0502020204030204" pitchFamily="34" charset="0"/>
            </a:rPr>
            <a:t> SAGA skal ligge inne i "0.5 Kilder".</a:t>
          </a:r>
          <a:endParaRPr lang="nb-NO" sz="1100" b="0" i="0" u="none" strike="noStrike">
            <a:solidFill>
              <a:schemeClr val="tx1"/>
            </a:solidFill>
            <a:effectLst/>
            <a:latin typeface="Calibri" panose="020F0502020204030204" pitchFamily="34" charset="0"/>
            <a:ea typeface="+mn-ea"/>
            <a:cs typeface="Calibri" panose="020F0502020204030204" pitchFamily="34" charset="0"/>
          </a:endParaRPr>
        </a:p>
      </xdr:txBody>
    </xdr:sp>
    <xdr:clientData/>
  </xdr:oneCellAnchor>
</xdr:wsDr>
</file>

<file path=xl/drawings/drawing5.xml><?xml version="1.0" encoding="utf-8"?>
<xdr:wsDr xmlns:xdr="http://schemas.openxmlformats.org/drawingml/2006/spreadsheetDrawing" xmlns:a="http://schemas.openxmlformats.org/drawingml/2006/main">
  <xdr:oneCellAnchor>
    <xdr:from>
      <xdr:col>1</xdr:col>
      <xdr:colOff>0</xdr:colOff>
      <xdr:row>1</xdr:row>
      <xdr:rowOff>0</xdr:rowOff>
    </xdr:from>
    <xdr:ext cx="7486650" cy="655949"/>
    <xdr:sp macro="" textlink="">
      <xdr:nvSpPr>
        <xdr:cNvPr id="2" name="TekstSylinder 1">
          <a:extLst>
            <a:ext uri="{FF2B5EF4-FFF2-40B4-BE49-F238E27FC236}">
              <a16:creationId xmlns:a16="http://schemas.microsoft.com/office/drawing/2014/main" id="{00000000-0008-0000-0400-000002000000}"/>
            </a:ext>
          </a:extLst>
        </xdr:cNvPr>
        <xdr:cNvSpPr txBox="1"/>
      </xdr:nvSpPr>
      <xdr:spPr>
        <a:xfrm>
          <a:off x="1524000" y="190500"/>
          <a:ext cx="7486650" cy="655949"/>
        </a:xfrm>
        <a:prstGeom prst="rect">
          <a:avLst/>
        </a:prstGeom>
        <a:solidFill>
          <a:schemeClr val="accent1">
            <a:lumMod val="40000"/>
            <a:lumOff val="60000"/>
          </a:schemeClr>
        </a:solidFill>
        <a:ln w="25400">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nb-NO" sz="1400" b="1">
              <a:latin typeface="Calibri" panose="020F0502020204030204" pitchFamily="34" charset="0"/>
              <a:cs typeface="Calibri" panose="020F0502020204030204" pitchFamily="34" charset="0"/>
            </a:rPr>
            <a:t>Informasjon</a:t>
          </a:r>
        </a:p>
        <a:p>
          <a:r>
            <a:rPr lang="nb-NO" sz="1100">
              <a:latin typeface="Calibri" panose="020F0502020204030204" pitchFamily="34" charset="0"/>
              <a:cs typeface="Calibri" panose="020F0502020204030204" pitchFamily="34" charset="0"/>
            </a:rPr>
            <a:t>De standardsatsene som blir</a:t>
          </a:r>
          <a:r>
            <a:rPr lang="nb-NO" sz="1100" baseline="0">
              <a:latin typeface="Calibri" panose="020F0502020204030204" pitchFamily="34" charset="0"/>
              <a:cs typeface="Calibri" panose="020F0502020204030204" pitchFamily="34" charset="0"/>
            </a:rPr>
            <a:t> beregnet ved hjelp av flere ulike forutsetninger og mellomregninger blir beregnet i denne arkfanen. Vanligvis er denne fanen skjult. </a:t>
          </a:r>
        </a:p>
      </xdr:txBody>
    </xdr:sp>
    <xdr:clientData/>
  </xdr:oneCellAnchor>
</xdr:wsDr>
</file>

<file path=xl/drawings/drawing6.xml><?xml version="1.0" encoding="utf-8"?>
<xdr:wsDr xmlns:xdr="http://schemas.openxmlformats.org/drawingml/2006/spreadsheetDrawing" xmlns:a="http://schemas.openxmlformats.org/drawingml/2006/main">
  <xdr:oneCellAnchor>
    <xdr:from>
      <xdr:col>2</xdr:col>
      <xdr:colOff>321469</xdr:colOff>
      <xdr:row>1</xdr:row>
      <xdr:rowOff>135731</xdr:rowOff>
    </xdr:from>
    <xdr:ext cx="5798343" cy="1517082"/>
    <xdr:sp macro="" textlink="">
      <xdr:nvSpPr>
        <xdr:cNvPr id="2" name="TekstSylinder 1">
          <a:extLst>
            <a:ext uri="{FF2B5EF4-FFF2-40B4-BE49-F238E27FC236}">
              <a16:creationId xmlns:a16="http://schemas.microsoft.com/office/drawing/2014/main" id="{00000000-0008-0000-0500-000002000000}"/>
            </a:ext>
          </a:extLst>
        </xdr:cNvPr>
        <xdr:cNvSpPr txBox="1"/>
      </xdr:nvSpPr>
      <xdr:spPr>
        <a:xfrm>
          <a:off x="6174052" y="326231"/>
          <a:ext cx="5798343" cy="1517082"/>
        </a:xfrm>
        <a:prstGeom prst="rect">
          <a:avLst/>
        </a:prstGeom>
        <a:solidFill>
          <a:schemeClr val="accent1">
            <a:lumMod val="40000"/>
            <a:lumOff val="60000"/>
          </a:schemeClr>
        </a:solidFill>
        <a:ln w="25400">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nb-NO" sz="1400" b="1" u="none"/>
            <a:t>Informasjon</a:t>
          </a:r>
        </a:p>
        <a:p>
          <a:r>
            <a:rPr lang="nb-NO" sz="1100"/>
            <a:t>Alle standardsatser i SAGA blir listet opp i denne arkfanen. Satsene vises</a:t>
          </a:r>
          <a:r>
            <a:rPr lang="nb-NO" sz="1100" baseline="0"/>
            <a:t> når man klikker på "+"-tegnene i venstre marg.</a:t>
          </a:r>
          <a:r>
            <a:rPr lang="nb-NO" sz="1100"/>
            <a:t> Det er </a:t>
          </a:r>
          <a:r>
            <a:rPr lang="nb-NO" sz="1100" baseline="0"/>
            <a:t>mulig å oppdatere satsene hvis det finnes en kilde for hvorfor disse skal justeres. Det er viktig at det lages en ny versjon av SAGA hvis satser blir oppdatert og med nye kilder. Dette er for å sikre at alle beregninger i samme verktøyversjon er sammenlignbare.</a:t>
          </a:r>
        </a:p>
        <a:p>
          <a:endParaRPr lang="nb-NO" sz="1100" baseline="0"/>
        </a:p>
        <a:p>
          <a:r>
            <a:rPr lang="nb-NO" sz="1100" baseline="0"/>
            <a:t>PS: Link til "Bakgrunn for sats" tilhører "Standardsatser - Forutsetninger". Denne arkfanen kan vises ved å høyreklikke på nederste linje med oversikt over arkfanene og velge "Vis".</a:t>
          </a:r>
        </a:p>
      </xdr:txBody>
    </xdr:sp>
    <xdr:clientData/>
  </xdr:oneCellAnchor>
  <xdr:oneCellAnchor>
    <xdr:from>
      <xdr:col>8</xdr:col>
      <xdr:colOff>11906</xdr:colOff>
      <xdr:row>3</xdr:row>
      <xdr:rowOff>14288</xdr:rowOff>
    </xdr:from>
    <xdr:ext cx="4607719" cy="483722"/>
    <xdr:sp macro="" textlink="">
      <xdr:nvSpPr>
        <xdr:cNvPr id="3" name="TekstSylinder 2">
          <a:extLst>
            <a:ext uri="{FF2B5EF4-FFF2-40B4-BE49-F238E27FC236}">
              <a16:creationId xmlns:a16="http://schemas.microsoft.com/office/drawing/2014/main" id="{00000000-0008-0000-0500-000003000000}"/>
            </a:ext>
          </a:extLst>
        </xdr:cNvPr>
        <xdr:cNvSpPr txBox="1"/>
      </xdr:nvSpPr>
      <xdr:spPr>
        <a:xfrm>
          <a:off x="13215937" y="597694"/>
          <a:ext cx="4607719" cy="483722"/>
        </a:xfrm>
        <a:prstGeom prst="rect">
          <a:avLst/>
        </a:prstGeom>
        <a:solidFill>
          <a:schemeClr val="accent1">
            <a:lumMod val="40000"/>
            <a:lumOff val="60000"/>
          </a:schemeClr>
        </a:solidFill>
        <a:ln w="254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nb-NO" sz="1400" b="1" u="none"/>
            <a:t>VIKTIG</a:t>
          </a:r>
          <a:r>
            <a:rPr lang="nb-NO" sz="1400" b="0"/>
            <a:t>:</a:t>
          </a:r>
          <a:r>
            <a:rPr lang="nb-NO" sz="1400" b="0" baseline="0"/>
            <a:t> </a:t>
          </a:r>
          <a:r>
            <a:rPr lang="nb-NO" sz="1100" b="0" baseline="0"/>
            <a:t>Hvis noen satser endres og skal inngå i ny versjon av SAGA bør dato og navn på hvem som oppdaterte satsen fylles ut.</a:t>
          </a:r>
          <a:endParaRPr lang="nb-NO" sz="1100" b="0"/>
        </a:p>
      </xdr:txBody>
    </xdr:sp>
    <xdr:clientData/>
  </xdr:oneCellAnchor>
  <xdr:oneCellAnchor>
    <xdr:from>
      <xdr:col>0</xdr:col>
      <xdr:colOff>0</xdr:colOff>
      <xdr:row>297</xdr:row>
      <xdr:rowOff>190499</xdr:rowOff>
    </xdr:from>
    <xdr:ext cx="2082688" cy="1114426"/>
    <xdr:sp macro="" textlink="">
      <xdr:nvSpPr>
        <xdr:cNvPr id="258" name="TekstSylinder 3">
          <a:extLst>
            <a:ext uri="{FF2B5EF4-FFF2-40B4-BE49-F238E27FC236}">
              <a16:creationId xmlns:a16="http://schemas.microsoft.com/office/drawing/2014/main" id="{00000000-0008-0000-0500-000002010000}"/>
            </a:ext>
          </a:extLst>
        </xdr:cNvPr>
        <xdr:cNvSpPr txBox="1"/>
      </xdr:nvSpPr>
      <xdr:spPr>
        <a:xfrm>
          <a:off x="0" y="15630524"/>
          <a:ext cx="2082688" cy="1114426"/>
        </a:xfrm>
        <a:prstGeom prst="rect">
          <a:avLst/>
        </a:prstGeom>
        <a:solidFill>
          <a:schemeClr val="accent1">
            <a:lumMod val="40000"/>
            <a:lumOff val="60000"/>
          </a:schemeClr>
        </a:solidFill>
        <a:ln w="25400">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nb-NO" sz="1050" b="1">
              <a:latin typeface="+mn-lt"/>
              <a:cs typeface="Calibri" panose="020F0502020204030204" pitchFamily="34" charset="0"/>
            </a:rPr>
            <a:t>NB!</a:t>
          </a:r>
        </a:p>
        <a:p>
          <a:r>
            <a:rPr lang="nb-NO" sz="900" baseline="0">
              <a:solidFill>
                <a:sysClr val="windowText" lastClr="000000"/>
              </a:solidFill>
              <a:latin typeface="+mn-lt"/>
              <a:cs typeface="Calibri" panose="020F0502020204030204" pitchFamily="34" charset="0"/>
            </a:rPr>
            <a:t>Ulykkeskostnad per passasjerkm bør benyttes dersom man analyserer et tiltak som ikke endrer på antall kjørte togkm/settkm. Et eksempel kan være nytt togmateriell. Dette krever at det gjøres egne sideberegningner. </a:t>
          </a:r>
        </a:p>
      </xdr:txBody>
    </xdr:sp>
    <xdr:clientData/>
  </xdr:oneCellAnchor>
</xdr:wsDr>
</file>

<file path=xl/drawings/drawing7.xml><?xml version="1.0" encoding="utf-8"?>
<xdr:wsDr xmlns:xdr="http://schemas.openxmlformats.org/drawingml/2006/spreadsheetDrawing" xmlns:a="http://schemas.openxmlformats.org/drawingml/2006/main">
  <xdr:oneCellAnchor>
    <xdr:from>
      <xdr:col>2</xdr:col>
      <xdr:colOff>404811</xdr:colOff>
      <xdr:row>1</xdr:row>
      <xdr:rowOff>170972</xdr:rowOff>
    </xdr:from>
    <xdr:ext cx="8167689" cy="1162527"/>
    <xdr:sp macro="" textlink="">
      <xdr:nvSpPr>
        <xdr:cNvPr id="2" name="TekstSylinder 1">
          <a:extLst>
            <a:ext uri="{FF2B5EF4-FFF2-40B4-BE49-F238E27FC236}">
              <a16:creationId xmlns:a16="http://schemas.microsoft.com/office/drawing/2014/main" id="{00000000-0008-0000-0600-000002000000}"/>
            </a:ext>
          </a:extLst>
        </xdr:cNvPr>
        <xdr:cNvSpPr txBox="1"/>
      </xdr:nvSpPr>
      <xdr:spPr>
        <a:xfrm>
          <a:off x="7298530" y="361472"/>
          <a:ext cx="8167689" cy="1162527"/>
        </a:xfrm>
        <a:prstGeom prst="rect">
          <a:avLst/>
        </a:prstGeom>
        <a:solidFill>
          <a:schemeClr val="accent1">
            <a:lumMod val="40000"/>
            <a:lumOff val="60000"/>
          </a:schemeClr>
        </a:solidFill>
        <a:ln w="25400">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nb-NO" sz="1400" b="1" u="none"/>
            <a:t>Informasjon</a:t>
          </a:r>
        </a:p>
        <a:p>
          <a:r>
            <a:rPr lang="nb-NO" sz="1100"/>
            <a:t>Alle forutsetningene for en analyse må defineres i denne arkfanen. Det er inndelt i</a:t>
          </a:r>
          <a:r>
            <a:rPr lang="nb-NO" sz="1100" baseline="0"/>
            <a:t> prosjektuavhengige forutsetninger, </a:t>
          </a:r>
          <a:r>
            <a:rPr lang="nb-NO" sz="1100"/>
            <a:t>prosjektavhengige forutsetninger som må</a:t>
          </a:r>
          <a:r>
            <a:rPr lang="nb-NO" sz="1100" baseline="0"/>
            <a:t> oppdateres for hver enkelt analyse, og standardforutsetninger som må vurderes for hvert tiltak/analyse.</a:t>
          </a:r>
        </a:p>
        <a:p>
          <a:endParaRPr lang="nb-NO" sz="1100" baseline="0"/>
        </a:p>
        <a:p>
          <a:pPr marL="0" marR="0" lvl="0" indent="0" defTabSz="914400" eaLnBrk="1" fontAlgn="auto" latinLnBrk="0" hangingPunct="1">
            <a:lnSpc>
              <a:spcPct val="100000"/>
            </a:lnSpc>
            <a:spcBef>
              <a:spcPts val="0"/>
            </a:spcBef>
            <a:spcAft>
              <a:spcPts val="0"/>
            </a:spcAft>
            <a:buClrTx/>
            <a:buSzTx/>
            <a:buFontTx/>
            <a:buNone/>
            <a:tabLst/>
            <a:defRPr/>
          </a:pPr>
          <a:r>
            <a:rPr lang="nb-NO" sz="1100" baseline="0">
              <a:solidFill>
                <a:schemeClr val="tx1"/>
              </a:solidFill>
              <a:effectLst/>
              <a:latin typeface="+mn-lt"/>
              <a:ea typeface="+mn-ea"/>
              <a:cs typeface="+mn-cs"/>
            </a:rPr>
            <a:t>PS: Link til "Bakgrunn for sats" tilhører "Standardsatser - Forutsetninger", denne arkfanen kan vises ved å høyreklikke på nederse linje med oversikt over arkfanene og velge "Vis".</a:t>
          </a:r>
        </a:p>
      </xdr:txBody>
    </xdr:sp>
    <xdr:clientData/>
  </xdr:oneCellAnchor>
  <xdr:oneCellAnchor>
    <xdr:from>
      <xdr:col>0</xdr:col>
      <xdr:colOff>132292</xdr:colOff>
      <xdr:row>61</xdr:row>
      <xdr:rowOff>158750</xdr:rowOff>
    </xdr:from>
    <xdr:ext cx="2082688" cy="854633"/>
    <xdr:sp macro="" textlink="">
      <xdr:nvSpPr>
        <xdr:cNvPr id="3" name="TekstSylinder 2">
          <a:extLst>
            <a:ext uri="{FF2B5EF4-FFF2-40B4-BE49-F238E27FC236}">
              <a16:creationId xmlns:a16="http://schemas.microsoft.com/office/drawing/2014/main" id="{00000000-0008-0000-0600-000003000000}"/>
            </a:ext>
          </a:extLst>
        </xdr:cNvPr>
        <xdr:cNvSpPr txBox="1"/>
      </xdr:nvSpPr>
      <xdr:spPr>
        <a:xfrm>
          <a:off x="132292" y="11972396"/>
          <a:ext cx="2082688" cy="854633"/>
        </a:xfrm>
        <a:prstGeom prst="rect">
          <a:avLst/>
        </a:prstGeom>
        <a:solidFill>
          <a:schemeClr val="accent1">
            <a:lumMod val="40000"/>
            <a:lumOff val="60000"/>
          </a:schemeClr>
        </a:solidFill>
        <a:ln w="25400">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nb-NO" sz="1100" b="1">
              <a:latin typeface="+mn-lt"/>
              <a:cs typeface="Calibri" panose="020F0502020204030204" pitchFamily="34" charset="0"/>
            </a:rPr>
            <a:t>NB!</a:t>
          </a:r>
        </a:p>
        <a:p>
          <a:r>
            <a:rPr lang="nb-NO" sz="1000" baseline="0">
              <a:solidFill>
                <a:sysClr val="windowText" lastClr="000000"/>
              </a:solidFill>
              <a:latin typeface="+mn-lt"/>
              <a:cs typeface="Calibri" panose="020F0502020204030204" pitchFamily="34" charset="0"/>
            </a:rPr>
            <a:t>Dersom du  bruker kategorien "annen" må du fylle ut levetiden i celle C125, default er 5 år.</a:t>
          </a:r>
        </a:p>
      </xdr:txBody>
    </xdr:sp>
    <xdr:clientData/>
  </xdr:oneCellAnchor>
  <xdr:oneCellAnchor>
    <xdr:from>
      <xdr:col>0</xdr:col>
      <xdr:colOff>123265</xdr:colOff>
      <xdr:row>96</xdr:row>
      <xdr:rowOff>56030</xdr:rowOff>
    </xdr:from>
    <xdr:ext cx="2082688" cy="952500"/>
    <xdr:sp macro="" textlink="">
      <xdr:nvSpPr>
        <xdr:cNvPr id="4" name="TekstSylinder 3">
          <a:extLst>
            <a:ext uri="{FF2B5EF4-FFF2-40B4-BE49-F238E27FC236}">
              <a16:creationId xmlns:a16="http://schemas.microsoft.com/office/drawing/2014/main" id="{00000000-0008-0000-0600-000004000000}"/>
            </a:ext>
          </a:extLst>
        </xdr:cNvPr>
        <xdr:cNvSpPr txBox="1"/>
      </xdr:nvSpPr>
      <xdr:spPr>
        <a:xfrm>
          <a:off x="123265" y="18747442"/>
          <a:ext cx="2082688" cy="952500"/>
        </a:xfrm>
        <a:prstGeom prst="rect">
          <a:avLst/>
        </a:prstGeom>
        <a:solidFill>
          <a:schemeClr val="accent1">
            <a:lumMod val="40000"/>
            <a:lumOff val="60000"/>
          </a:schemeClr>
        </a:solidFill>
        <a:ln w="25400">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nb-NO" sz="1050" b="1">
              <a:latin typeface="+mn-lt"/>
              <a:cs typeface="Calibri" panose="020F0502020204030204" pitchFamily="34" charset="0"/>
            </a:rPr>
            <a:t>NB!</a:t>
          </a:r>
        </a:p>
        <a:p>
          <a:r>
            <a:rPr lang="nb-NO" sz="900" baseline="0">
              <a:solidFill>
                <a:sysClr val="windowText" lastClr="000000"/>
              </a:solidFill>
              <a:latin typeface="+mn-lt"/>
              <a:cs typeface="Calibri" panose="020F0502020204030204" pitchFamily="34" charset="0"/>
            </a:rPr>
            <a:t>Skalering til årlige virkninger - togmateriell fylles ut når input av virkninger per døgn er satt til 1 og dersom det er en endring i togtype og/eller antall togsett.</a:t>
          </a:r>
        </a:p>
      </xdr:txBody>
    </xdr:sp>
    <xdr:clientData/>
  </xdr:oneCellAnchor>
  <xdr:oneCellAnchor>
    <xdr:from>
      <xdr:col>0</xdr:col>
      <xdr:colOff>121417</xdr:colOff>
      <xdr:row>108</xdr:row>
      <xdr:rowOff>131515</xdr:rowOff>
    </xdr:from>
    <xdr:ext cx="2082688" cy="952500"/>
    <xdr:sp macro="" textlink="">
      <xdr:nvSpPr>
        <xdr:cNvPr id="5" name="TekstSylinder 4">
          <a:extLst>
            <a:ext uri="{FF2B5EF4-FFF2-40B4-BE49-F238E27FC236}">
              <a16:creationId xmlns:a16="http://schemas.microsoft.com/office/drawing/2014/main" id="{00000000-0008-0000-0600-000005000000}"/>
            </a:ext>
          </a:extLst>
        </xdr:cNvPr>
        <xdr:cNvSpPr txBox="1"/>
      </xdr:nvSpPr>
      <xdr:spPr>
        <a:xfrm>
          <a:off x="121417" y="21489927"/>
          <a:ext cx="2082688" cy="952500"/>
        </a:xfrm>
        <a:prstGeom prst="rect">
          <a:avLst/>
        </a:prstGeom>
        <a:solidFill>
          <a:schemeClr val="accent1">
            <a:lumMod val="40000"/>
            <a:lumOff val="60000"/>
          </a:schemeClr>
        </a:solidFill>
        <a:ln w="25400">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nb-NO" sz="1050" b="1">
              <a:latin typeface="+mn-lt"/>
              <a:cs typeface="Calibri" panose="020F0502020204030204" pitchFamily="34" charset="0"/>
            </a:rPr>
            <a:t>NB!</a:t>
          </a:r>
        </a:p>
        <a:p>
          <a:r>
            <a:rPr lang="nb-NO" sz="900" baseline="0">
              <a:solidFill>
                <a:sysClr val="windowText" lastClr="000000"/>
              </a:solidFill>
              <a:latin typeface="+mn-lt"/>
              <a:cs typeface="Calibri" panose="020F0502020204030204" pitchFamily="34" charset="0"/>
            </a:rPr>
            <a:t>Denne satsen vil være veldig varierende avhengig av område og tiltak. Disse standardforutsetningene bør derfor - hvis mulig- erstattes av prosjektspesifikke forutsetninger.</a:t>
          </a:r>
        </a:p>
      </xdr:txBody>
    </xdr:sp>
    <xdr:clientData/>
  </xdr:oneCellAnchor>
</xdr:wsDr>
</file>

<file path=xl/drawings/drawing8.xml><?xml version="1.0" encoding="utf-8"?>
<xdr:wsDr xmlns:xdr="http://schemas.openxmlformats.org/drawingml/2006/spreadsheetDrawing" xmlns:a="http://schemas.openxmlformats.org/drawingml/2006/main">
  <xdr:oneCellAnchor>
    <xdr:from>
      <xdr:col>3</xdr:col>
      <xdr:colOff>2383</xdr:colOff>
      <xdr:row>1</xdr:row>
      <xdr:rowOff>74612</xdr:rowOff>
    </xdr:from>
    <xdr:ext cx="10167936" cy="1517082"/>
    <xdr:sp macro="" textlink="">
      <xdr:nvSpPr>
        <xdr:cNvPr id="2" name="TekstSylinder 1">
          <a:extLst>
            <a:ext uri="{FF2B5EF4-FFF2-40B4-BE49-F238E27FC236}">
              <a16:creationId xmlns:a16="http://schemas.microsoft.com/office/drawing/2014/main" id="{00000000-0008-0000-0700-000002000000}"/>
            </a:ext>
          </a:extLst>
        </xdr:cNvPr>
        <xdr:cNvSpPr txBox="1"/>
      </xdr:nvSpPr>
      <xdr:spPr>
        <a:xfrm>
          <a:off x="5000207" y="265112"/>
          <a:ext cx="10167936" cy="1517082"/>
        </a:xfrm>
        <a:prstGeom prst="rect">
          <a:avLst/>
        </a:prstGeom>
        <a:solidFill>
          <a:schemeClr val="accent1">
            <a:lumMod val="40000"/>
            <a:lumOff val="60000"/>
          </a:schemeClr>
        </a:solidFill>
        <a:ln w="25400">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nb-NO" sz="1400" b="1">
              <a:latin typeface="+mn-lt"/>
              <a:cs typeface="Calibri" panose="020F0502020204030204" pitchFamily="34" charset="0"/>
            </a:rPr>
            <a:t>Informasjon</a:t>
          </a:r>
        </a:p>
        <a:p>
          <a:r>
            <a:rPr lang="nb-NO" sz="1100">
              <a:latin typeface="+mn-lt"/>
              <a:cs typeface="Calibri" panose="020F0502020204030204" pitchFamily="34" charset="0"/>
            </a:rPr>
            <a:t>Resulter fra persontransportmodell </a:t>
          </a:r>
          <a:r>
            <a:rPr lang="nb-NO" sz="1100" baseline="0">
              <a:latin typeface="+mn-lt"/>
              <a:cs typeface="Calibri" panose="020F0502020204030204" pitchFamily="34" charset="0"/>
            </a:rPr>
            <a:t>limes inn i de grønne feltene. Det gjøres en mellomregning i denne arkfanen for å gjøre om resultatene fra virkninger per døgn (eks. virkedøgn)/døgntrafikk (ÅDT) til årlige virkninger</a:t>
          </a:r>
          <a:r>
            <a:rPr lang="nb-NO" sz="1100" baseline="0">
              <a:solidFill>
                <a:sysClr val="windowText" lastClr="000000"/>
              </a:solidFill>
              <a:latin typeface="+mn-lt"/>
              <a:cs typeface="Calibri" panose="020F0502020204030204" pitchFamily="34" charset="0"/>
            </a:rPr>
            <a:t>. Det fylles inn i "1.2 forutsetninger" hva slags skalering som må til for å gjøre om fra virkninger per døgn til år. Hvis det gjennomføres flere modellkjøringer for et beregningsår, summeres disse døgnvirkningene før det legges inn i SAGA i de grønne feltene. Det benyttes faktor 1 for å skalere disse resultatene til årlige virkninger.</a:t>
          </a:r>
        </a:p>
        <a:p>
          <a:endParaRPr lang="nb-NO" sz="1100" baseline="0">
            <a:solidFill>
              <a:srgbClr val="FF0000"/>
            </a:solidFill>
            <a:latin typeface="+mn-lt"/>
            <a:cs typeface="Calibri" panose="020F0502020204030204" pitchFamily="34" charset="0"/>
          </a:endParaRPr>
        </a:p>
        <a:p>
          <a:r>
            <a:rPr lang="nb-NO" sz="1100" baseline="0">
              <a:solidFill>
                <a:sysClr val="windowText" lastClr="000000"/>
              </a:solidFill>
              <a:latin typeface="+mn-lt"/>
              <a:cs typeface="Calibri" panose="020F0502020204030204" pitchFamily="34" charset="0"/>
            </a:rPr>
            <a:t>Når resultatene fra modellen skal limes inn i aktuelle celler er det viktig å lime inn verdi (IKKE formel). Det er ikke alltid resultattabellen fra et modelluttak passer perfekt til tabellene satt opp i denne arkfanen, brukeren må derfor selv vurdere hvor tallene skal fylles inn.</a:t>
          </a:r>
        </a:p>
      </xdr:txBody>
    </xdr:sp>
    <xdr:clientData/>
  </xdr:oneCellAnchor>
  <xdr:oneCellAnchor>
    <xdr:from>
      <xdr:col>0</xdr:col>
      <xdr:colOff>428207</xdr:colOff>
      <xdr:row>30</xdr:row>
      <xdr:rowOff>107156</xdr:rowOff>
    </xdr:from>
    <xdr:ext cx="2214980" cy="1000402"/>
    <xdr:sp macro="" textlink="">
      <xdr:nvSpPr>
        <xdr:cNvPr id="3" name="TekstSylinder 2">
          <a:extLst>
            <a:ext uri="{FF2B5EF4-FFF2-40B4-BE49-F238E27FC236}">
              <a16:creationId xmlns:a16="http://schemas.microsoft.com/office/drawing/2014/main" id="{00000000-0008-0000-0700-000003000000}"/>
            </a:ext>
          </a:extLst>
        </xdr:cNvPr>
        <xdr:cNvSpPr txBox="1"/>
      </xdr:nvSpPr>
      <xdr:spPr>
        <a:xfrm>
          <a:off x="428207" y="5988844"/>
          <a:ext cx="2214980" cy="1000402"/>
        </a:xfrm>
        <a:prstGeom prst="rect">
          <a:avLst/>
        </a:prstGeom>
        <a:solidFill>
          <a:schemeClr val="accent1">
            <a:lumMod val="40000"/>
            <a:lumOff val="60000"/>
          </a:schemeClr>
        </a:solidFill>
        <a:ln w="25400">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nb-NO" sz="1400" b="1">
              <a:latin typeface="+mn-lt"/>
              <a:cs typeface="Calibri" panose="020F0502020204030204" pitchFamily="34" charset="0"/>
            </a:rPr>
            <a:t>NB!</a:t>
          </a:r>
        </a:p>
        <a:p>
          <a:r>
            <a:rPr lang="nb-NO" sz="1100" baseline="0">
              <a:solidFill>
                <a:sysClr val="windowText" lastClr="000000"/>
              </a:solidFill>
              <a:latin typeface="+mn-lt"/>
              <a:cs typeface="Calibri" panose="020F0502020204030204" pitchFamily="34" charset="0"/>
            </a:rPr>
            <a:t>Dersom du har valgt Bimodal som energikilde i 1.2 må Rutekm legges inn som diesel for at SAGA skal beregne andelen diesel/elektrisk.</a:t>
          </a:r>
        </a:p>
      </xdr:txBody>
    </xdr:sp>
    <xdr:clientData/>
  </xdr:oneCellAnchor>
</xdr:wsDr>
</file>

<file path=xl/drawings/drawing9.xml><?xml version="1.0" encoding="utf-8"?>
<xdr:wsDr xmlns:xdr="http://schemas.openxmlformats.org/drawingml/2006/spreadsheetDrawing" xmlns:a="http://schemas.openxmlformats.org/drawingml/2006/main">
  <xdr:oneCellAnchor>
    <xdr:from>
      <xdr:col>3</xdr:col>
      <xdr:colOff>261937</xdr:colOff>
      <xdr:row>0</xdr:row>
      <xdr:rowOff>95251</xdr:rowOff>
    </xdr:from>
    <xdr:ext cx="6786563" cy="1583530"/>
    <xdr:sp macro="" textlink="">
      <xdr:nvSpPr>
        <xdr:cNvPr id="2" name="TekstSylinder 1">
          <a:extLst>
            <a:ext uri="{FF2B5EF4-FFF2-40B4-BE49-F238E27FC236}">
              <a16:creationId xmlns:a16="http://schemas.microsoft.com/office/drawing/2014/main" id="{00000000-0008-0000-0800-000002000000}"/>
            </a:ext>
          </a:extLst>
        </xdr:cNvPr>
        <xdr:cNvSpPr txBox="1"/>
      </xdr:nvSpPr>
      <xdr:spPr>
        <a:xfrm>
          <a:off x="5441156" y="95251"/>
          <a:ext cx="6786563" cy="1583530"/>
        </a:xfrm>
        <a:prstGeom prst="rect">
          <a:avLst/>
        </a:prstGeom>
        <a:solidFill>
          <a:schemeClr val="accent1">
            <a:lumMod val="40000"/>
            <a:lumOff val="60000"/>
          </a:schemeClr>
        </a:solidFill>
        <a:ln w="25400">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nb-NO" sz="1400" b="1">
              <a:solidFill>
                <a:schemeClr val="tx1"/>
              </a:solidFill>
              <a:effectLst/>
              <a:latin typeface="+mn-lt"/>
              <a:ea typeface="+mn-ea"/>
              <a:cs typeface="+mn-cs"/>
            </a:rPr>
            <a:t>Informasjon</a:t>
          </a:r>
          <a:endParaRPr lang="nb-NO" sz="1400">
            <a:solidFill>
              <a:sysClr val="windowText" lastClr="000000"/>
            </a:solidFill>
          </a:endParaRPr>
        </a:p>
        <a:p>
          <a:r>
            <a:rPr lang="nb-NO" sz="1100">
              <a:solidFill>
                <a:sysClr val="windowText" lastClr="000000"/>
              </a:solidFill>
            </a:rPr>
            <a:t>I</a:t>
          </a:r>
          <a:r>
            <a:rPr lang="nb-NO" sz="1100" baseline="0">
              <a:solidFill>
                <a:sysClr val="windowText" lastClr="000000"/>
              </a:solidFill>
            </a:rPr>
            <a:t> denne arkfanene vises modellresultatene fra Nasjonalgodsmodell  (NGM) som skal inngå som input fra modellen og inn i  nivå 2 av modellen (beregning).  Resultatene fra GodsNytte limes inn (som verdier) i tabellene nedenfor. Avhengig av hvor mange beregningsår det er limes det inn verdier for 1. beregningsår (og 2. og 3. beregningsår hvis det er gjennomført kjøringer for det).</a:t>
          </a:r>
        </a:p>
        <a:p>
          <a:endParaRPr lang="nb-NO" sz="1100">
            <a:solidFill>
              <a:sysClr val="windowText" lastClr="000000"/>
            </a:solidFill>
          </a:endParaRPr>
        </a:p>
        <a:p>
          <a:r>
            <a:rPr lang="nb-NO" sz="1100">
              <a:solidFill>
                <a:sysClr val="windowText" lastClr="000000"/>
              </a:solidFill>
            </a:rPr>
            <a:t>Kilden til Godsnytte-verktøyet er TØI-rapport</a:t>
          </a:r>
          <a:r>
            <a:rPr lang="nb-NO" sz="1100" baseline="0">
              <a:solidFill>
                <a:sysClr val="windowText" lastClr="000000"/>
              </a:solidFill>
            </a:rPr>
            <a:t> 1446/2015. Resultatuttaket fra NGM til dette arket er utviklet av Jon-Kristian Hovland.</a:t>
          </a:r>
          <a:endParaRPr lang="nb-NO" sz="1100">
            <a:solidFill>
              <a:sysClr val="windowText" lastClr="000000"/>
            </a:solidFill>
          </a:endParaRPr>
        </a:p>
        <a:p>
          <a:endParaRPr lang="nb-NO" sz="1200">
            <a:solidFill>
              <a:sysClr val="windowText" lastClr="000000"/>
            </a:solidFill>
          </a:endParaRPr>
        </a:p>
      </xdr:txBody>
    </xdr:sp>
    <xdr:clientData/>
  </xdr:oneCellAnchor>
</xdr:wsDr>
</file>

<file path=xl/drawings/drawing10.xml><?xml version="1.0" encoding="utf-8"?>
<xdr:wsDr xmlns:xdr="http://schemas.openxmlformats.org/drawingml/2006/spreadsheetDrawing" xmlns:a="http://schemas.openxmlformats.org/drawingml/2006/main">
  <xdr:oneCellAnchor>
    <xdr:from>
      <xdr:col>2</xdr:col>
      <xdr:colOff>442913</xdr:colOff>
      <xdr:row>1</xdr:row>
      <xdr:rowOff>153830</xdr:rowOff>
    </xdr:from>
    <xdr:ext cx="4629149" cy="1000402"/>
    <xdr:sp macro="" textlink="">
      <xdr:nvSpPr>
        <xdr:cNvPr id="2" name="TekstSylinder 1">
          <a:extLst>
            <a:ext uri="{FF2B5EF4-FFF2-40B4-BE49-F238E27FC236}">
              <a16:creationId xmlns:a16="http://schemas.microsoft.com/office/drawing/2014/main" id="{00000000-0008-0000-0A00-000002000000}"/>
            </a:ext>
          </a:extLst>
        </xdr:cNvPr>
        <xdr:cNvSpPr txBox="1"/>
      </xdr:nvSpPr>
      <xdr:spPr>
        <a:xfrm>
          <a:off x="6026944" y="344330"/>
          <a:ext cx="4629149" cy="1000402"/>
        </a:xfrm>
        <a:prstGeom prst="rect">
          <a:avLst/>
        </a:prstGeom>
        <a:solidFill>
          <a:schemeClr val="accent1">
            <a:lumMod val="40000"/>
            <a:lumOff val="60000"/>
          </a:schemeClr>
        </a:solidFill>
        <a:ln w="25400">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nb-NO" sz="1400" b="1">
              <a:solidFill>
                <a:schemeClr val="tx1"/>
              </a:solidFill>
              <a:effectLst/>
              <a:latin typeface="+mn-lt"/>
              <a:ea typeface="+mn-ea"/>
              <a:cs typeface="+mn-cs"/>
            </a:rPr>
            <a:t>Informasjon</a:t>
          </a:r>
          <a:endParaRPr lang="nb-NO" sz="1400"/>
        </a:p>
        <a:p>
          <a:r>
            <a:rPr lang="nb-NO" sz="1100"/>
            <a:t>I</a:t>
          </a:r>
          <a:r>
            <a:rPr lang="nb-NO" sz="1100" baseline="0"/>
            <a:t> denne arkfanen beregnes endringer for trafikanter som blir påvirket av tiltaket. Det er hentet inputdata fra  "1.3 Persontransportmodell" og/eller "1.4 Godstransportmodell". Tabellen viser den årlige endringen for trafikantene for de valgte beregningsårene.</a:t>
          </a:r>
        </a:p>
      </xdr:txBody>
    </xdr:sp>
    <xdr:clientData/>
  </xdr:oneCellAnchor>
</xdr:wsDr>
</file>

<file path=xl/drawings/drawing11.xml><?xml version="1.0" encoding="utf-8"?>
<xdr:wsDr xmlns:xdr="http://schemas.openxmlformats.org/drawingml/2006/spreadsheetDrawing" xmlns:a="http://schemas.openxmlformats.org/drawingml/2006/main">
  <xdr:oneCellAnchor>
    <xdr:from>
      <xdr:col>2</xdr:col>
      <xdr:colOff>538164</xdr:colOff>
      <xdr:row>1</xdr:row>
      <xdr:rowOff>10953</xdr:rowOff>
    </xdr:from>
    <xdr:ext cx="4021931" cy="1172629"/>
    <xdr:sp macro="" textlink="">
      <xdr:nvSpPr>
        <xdr:cNvPr id="2" name="TekstSylinder 1">
          <a:extLst>
            <a:ext uri="{FF2B5EF4-FFF2-40B4-BE49-F238E27FC236}">
              <a16:creationId xmlns:a16="http://schemas.microsoft.com/office/drawing/2014/main" id="{00000000-0008-0000-0B00-000002000000}"/>
            </a:ext>
          </a:extLst>
        </xdr:cNvPr>
        <xdr:cNvSpPr txBox="1"/>
      </xdr:nvSpPr>
      <xdr:spPr>
        <a:xfrm>
          <a:off x="5836445" y="201453"/>
          <a:ext cx="4021931" cy="1172629"/>
        </a:xfrm>
        <a:prstGeom prst="rect">
          <a:avLst/>
        </a:prstGeom>
        <a:solidFill>
          <a:schemeClr val="accent1">
            <a:lumMod val="40000"/>
            <a:lumOff val="60000"/>
          </a:schemeClr>
        </a:solidFill>
        <a:ln w="25400">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nb-NO" sz="1400" b="1">
              <a:solidFill>
                <a:schemeClr val="tx1"/>
              </a:solidFill>
              <a:effectLst/>
              <a:latin typeface="+mn-lt"/>
              <a:ea typeface="+mn-ea"/>
              <a:cs typeface="+mn-cs"/>
            </a:rPr>
            <a:t>Informasjon</a:t>
          </a:r>
          <a:endParaRPr lang="nb-NO" sz="1400">
            <a:effectLst/>
          </a:endParaRPr>
        </a:p>
        <a:p>
          <a:r>
            <a:rPr lang="nb-NO" sz="1100">
              <a:solidFill>
                <a:schemeClr val="tx1"/>
              </a:solidFill>
              <a:effectLst/>
              <a:latin typeface="+mn-lt"/>
              <a:ea typeface="+mn-ea"/>
              <a:cs typeface="+mn-cs"/>
            </a:rPr>
            <a:t>I</a:t>
          </a:r>
          <a:r>
            <a:rPr lang="nb-NO" sz="1100" baseline="0">
              <a:solidFill>
                <a:schemeClr val="tx1"/>
              </a:solidFill>
              <a:effectLst/>
              <a:latin typeface="+mn-lt"/>
              <a:ea typeface="+mn-ea"/>
              <a:cs typeface="+mn-cs"/>
            </a:rPr>
            <a:t> denne arkfanen beregnes endringer for operatører som blir påvirket av tiltaket. Det er hentet inputdata fra en persontransportmodell og/eller godstransportmodell. Tabellen viser den årlige endringen for operatørene for de valgte beregningsårene.</a:t>
          </a:r>
          <a:endParaRPr lang="nb-NO" sz="1100">
            <a:effectLst/>
          </a:endParaRPr>
        </a:p>
      </xdr:txBody>
    </xdr:sp>
    <xdr:clientData/>
  </xdr:oneCellAnchor>
</xdr:wsDr>
</file>

<file path=xl/drawings/drawing12.xml><?xml version="1.0" encoding="utf-8"?>
<xdr:wsDr xmlns:xdr="http://schemas.openxmlformats.org/drawingml/2006/spreadsheetDrawing" xmlns:a="http://schemas.openxmlformats.org/drawingml/2006/main">
  <xdr:oneCellAnchor>
    <xdr:from>
      <xdr:col>2</xdr:col>
      <xdr:colOff>157162</xdr:colOff>
      <xdr:row>0</xdr:row>
      <xdr:rowOff>118110</xdr:rowOff>
    </xdr:from>
    <xdr:ext cx="3033713" cy="1344855"/>
    <xdr:sp macro="" textlink="">
      <xdr:nvSpPr>
        <xdr:cNvPr id="2" name="TekstSylinder 1">
          <a:extLst>
            <a:ext uri="{FF2B5EF4-FFF2-40B4-BE49-F238E27FC236}">
              <a16:creationId xmlns:a16="http://schemas.microsoft.com/office/drawing/2014/main" id="{00000000-0008-0000-0C00-000002000000}"/>
            </a:ext>
          </a:extLst>
        </xdr:cNvPr>
        <xdr:cNvSpPr txBox="1"/>
      </xdr:nvSpPr>
      <xdr:spPr>
        <a:xfrm>
          <a:off x="5431631" y="118110"/>
          <a:ext cx="3033713" cy="1344855"/>
        </a:xfrm>
        <a:prstGeom prst="rect">
          <a:avLst/>
        </a:prstGeom>
        <a:solidFill>
          <a:schemeClr val="accent1">
            <a:lumMod val="40000"/>
            <a:lumOff val="60000"/>
          </a:schemeClr>
        </a:solidFill>
        <a:ln w="25400">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nb-NO" sz="1400" b="1">
              <a:solidFill>
                <a:schemeClr val="tx1"/>
              </a:solidFill>
              <a:effectLst/>
              <a:latin typeface="+mn-lt"/>
              <a:ea typeface="+mn-ea"/>
              <a:cs typeface="+mn-cs"/>
            </a:rPr>
            <a:t>Informasjon</a:t>
          </a:r>
          <a:endParaRPr lang="nb-NO" sz="1400">
            <a:effectLst/>
          </a:endParaRPr>
        </a:p>
        <a:p>
          <a:r>
            <a:rPr lang="nb-NO" sz="1100">
              <a:solidFill>
                <a:schemeClr val="tx1"/>
              </a:solidFill>
              <a:effectLst/>
              <a:latin typeface="+mn-lt"/>
              <a:ea typeface="+mn-ea"/>
              <a:cs typeface="+mn-cs"/>
            </a:rPr>
            <a:t>I</a:t>
          </a:r>
          <a:r>
            <a:rPr lang="nb-NO" sz="1100" baseline="0">
              <a:solidFill>
                <a:schemeClr val="tx1"/>
              </a:solidFill>
              <a:effectLst/>
              <a:latin typeface="+mn-lt"/>
              <a:ea typeface="+mn-ea"/>
              <a:cs typeface="+mn-cs"/>
            </a:rPr>
            <a:t> denne arkfanen beregnes endringer for det offentlig som blir påvirket av tiltaket. Det er hentet inputdata fra en persontransportmodell og/eller godstransportmodell. Tabellen viser den årlige endringen for det offentlige for de valgte beregningsårene.</a:t>
          </a:r>
        </a:p>
      </xdr:txBody>
    </xdr:sp>
    <xdr:clientData/>
  </xdr:oneCellAnchor>
</xdr:wsDr>
</file>

<file path=xl/drawings/drawing13.xml><?xml version="1.0" encoding="utf-8"?>
<xdr:wsDr xmlns:xdr="http://schemas.openxmlformats.org/drawingml/2006/spreadsheetDrawing" xmlns:a="http://schemas.openxmlformats.org/drawingml/2006/main">
  <xdr:oneCellAnchor>
    <xdr:from>
      <xdr:col>2</xdr:col>
      <xdr:colOff>216694</xdr:colOff>
      <xdr:row>1</xdr:row>
      <xdr:rowOff>46673</xdr:rowOff>
    </xdr:from>
    <xdr:ext cx="4176712" cy="1172629"/>
    <xdr:sp macro="" textlink="">
      <xdr:nvSpPr>
        <xdr:cNvPr id="2" name="TekstSylinder 1">
          <a:extLst>
            <a:ext uri="{FF2B5EF4-FFF2-40B4-BE49-F238E27FC236}">
              <a16:creationId xmlns:a16="http://schemas.microsoft.com/office/drawing/2014/main" id="{00000000-0008-0000-0D00-000002000000}"/>
            </a:ext>
          </a:extLst>
        </xdr:cNvPr>
        <xdr:cNvSpPr txBox="1"/>
      </xdr:nvSpPr>
      <xdr:spPr>
        <a:xfrm>
          <a:off x="6491288" y="237173"/>
          <a:ext cx="4176712" cy="1172629"/>
        </a:xfrm>
        <a:prstGeom prst="rect">
          <a:avLst/>
        </a:prstGeom>
        <a:solidFill>
          <a:schemeClr val="accent1">
            <a:lumMod val="40000"/>
            <a:lumOff val="60000"/>
          </a:schemeClr>
        </a:solidFill>
        <a:ln w="25400">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nb-NO" sz="1400" b="1">
              <a:solidFill>
                <a:schemeClr val="tx1"/>
              </a:solidFill>
              <a:effectLst/>
              <a:latin typeface="+mn-lt"/>
              <a:ea typeface="+mn-ea"/>
              <a:cs typeface="+mn-cs"/>
            </a:rPr>
            <a:t>Informasjon</a:t>
          </a:r>
          <a:endParaRPr lang="nb-NO" sz="1400">
            <a:effectLst/>
          </a:endParaRPr>
        </a:p>
        <a:p>
          <a:r>
            <a:rPr lang="nb-NO" sz="1100">
              <a:solidFill>
                <a:schemeClr val="tx1"/>
              </a:solidFill>
              <a:effectLst/>
              <a:latin typeface="+mn-lt"/>
              <a:ea typeface="+mn-ea"/>
              <a:cs typeface="+mn-cs"/>
            </a:rPr>
            <a:t>I</a:t>
          </a:r>
          <a:r>
            <a:rPr lang="nb-NO" sz="1100" baseline="0">
              <a:solidFill>
                <a:schemeClr val="tx1"/>
              </a:solidFill>
              <a:effectLst/>
              <a:latin typeface="+mn-lt"/>
              <a:ea typeface="+mn-ea"/>
              <a:cs typeface="+mn-cs"/>
            </a:rPr>
            <a:t> denne arkfanen beregnes endringer for samfunnet for øvrig som blir påvirket av tiltaket. Det er hentet inputdata fra en persontransportmodell og/eller godstransportmodell. Tabellen viser den årlige endringen for samfunnet for øvrig for de valgte beregningsårene.</a:t>
          </a:r>
          <a:endParaRPr lang="nb-NO">
            <a:effectLst/>
          </a:endParaRPr>
        </a:p>
      </xdr:txBody>
    </xdr:sp>
    <xdr:clientData/>
  </xdr:oneCellAnchor>
</xdr:wsDr>
</file>

<file path=xl/drawings/drawing14.xml><?xml version="1.0" encoding="utf-8"?>
<xdr:wsDr xmlns:xdr="http://schemas.openxmlformats.org/drawingml/2006/spreadsheetDrawing" xmlns:a="http://schemas.openxmlformats.org/drawingml/2006/main">
  <xdr:oneCellAnchor>
    <xdr:from>
      <xdr:col>2</xdr:col>
      <xdr:colOff>404812</xdr:colOff>
      <xdr:row>1</xdr:row>
      <xdr:rowOff>95251</xdr:rowOff>
    </xdr:from>
    <xdr:ext cx="5512594" cy="828175"/>
    <xdr:sp macro="" textlink="">
      <xdr:nvSpPr>
        <xdr:cNvPr id="2" name="TekstSylinder 1">
          <a:extLst>
            <a:ext uri="{FF2B5EF4-FFF2-40B4-BE49-F238E27FC236}">
              <a16:creationId xmlns:a16="http://schemas.microsoft.com/office/drawing/2014/main" id="{00000000-0008-0000-0E00-000002000000}"/>
            </a:ext>
          </a:extLst>
        </xdr:cNvPr>
        <xdr:cNvSpPr txBox="1"/>
      </xdr:nvSpPr>
      <xdr:spPr>
        <a:xfrm>
          <a:off x="4917281" y="285751"/>
          <a:ext cx="5512594" cy="828175"/>
        </a:xfrm>
        <a:prstGeom prst="rect">
          <a:avLst/>
        </a:prstGeom>
        <a:solidFill>
          <a:schemeClr val="accent1">
            <a:lumMod val="40000"/>
            <a:lumOff val="60000"/>
          </a:schemeClr>
        </a:solidFill>
        <a:ln w="25400">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nb-NO" sz="1400" b="1">
              <a:latin typeface="Calibri" panose="020F0502020204030204" pitchFamily="34" charset="0"/>
              <a:cs typeface="Calibri" panose="020F0502020204030204" pitchFamily="34" charset="0"/>
            </a:rPr>
            <a:t>Informasjon</a:t>
          </a:r>
        </a:p>
        <a:p>
          <a:r>
            <a:rPr lang="nb-NO" sz="1100">
              <a:latin typeface="Calibri" panose="020F0502020204030204" pitchFamily="34" charset="0"/>
              <a:cs typeface="Calibri" panose="020F0502020204030204" pitchFamily="34" charset="0"/>
            </a:rPr>
            <a:t>Investeringskostnaden blir jevnt fordelt i byggeperioden,</a:t>
          </a:r>
          <a:r>
            <a:rPr lang="nb-NO" sz="1100" baseline="0">
              <a:latin typeface="Calibri" panose="020F0502020204030204" pitchFamily="34" charset="0"/>
              <a:cs typeface="Calibri" panose="020F0502020204030204" pitchFamily="34" charset="0"/>
            </a:rPr>
            <a:t> </a:t>
          </a:r>
          <a:r>
            <a:rPr lang="nb-NO" sz="1100">
              <a:latin typeface="Calibri" panose="020F0502020204030204" pitchFamily="34" charset="0"/>
              <a:cs typeface="Calibri" panose="020F0502020204030204" pitchFamily="34" charset="0"/>
            </a:rPr>
            <a:t>antall år fra første</a:t>
          </a:r>
          <a:r>
            <a:rPr lang="nb-NO" sz="1100" baseline="0">
              <a:latin typeface="Calibri" panose="020F0502020204030204" pitchFamily="34" charset="0"/>
              <a:cs typeface="Calibri" panose="020F0502020204030204" pitchFamily="34" charset="0"/>
            </a:rPr>
            <a:t> år med investering til åpningsåret. </a:t>
          </a:r>
          <a:r>
            <a:rPr lang="nb-NO" sz="1100" baseline="0">
              <a:solidFill>
                <a:schemeClr val="tx1"/>
              </a:solidFill>
              <a:effectLst/>
              <a:latin typeface="+mn-lt"/>
              <a:ea typeface="+mn-ea"/>
              <a:cs typeface="+mn-cs"/>
            </a:rPr>
            <a:t>Dersom investeringer inngår i referansealternativet, er det antatt at disse kostnadene fordeles jevnt per år i byggeperioden.</a:t>
          </a:r>
        </a:p>
      </xdr:txBody>
    </xdr:sp>
    <xdr:clientData/>
  </xdr:oneCellAnchor>
</xdr:wsDr>
</file>

<file path=xl/drawings/drawing15.xml><?xml version="1.0" encoding="utf-8"?>
<xdr:wsDr xmlns:xdr="http://schemas.openxmlformats.org/drawingml/2006/spreadsheetDrawing" xmlns:a="http://schemas.openxmlformats.org/drawingml/2006/main">
  <xdr:oneCellAnchor>
    <xdr:from>
      <xdr:col>3</xdr:col>
      <xdr:colOff>490536</xdr:colOff>
      <xdr:row>2</xdr:row>
      <xdr:rowOff>189547</xdr:rowOff>
    </xdr:from>
    <xdr:ext cx="10112829" cy="655949"/>
    <xdr:sp macro="" textlink="">
      <xdr:nvSpPr>
        <xdr:cNvPr id="2" name="TekstSylinder 1">
          <a:extLst>
            <a:ext uri="{FF2B5EF4-FFF2-40B4-BE49-F238E27FC236}">
              <a16:creationId xmlns:a16="http://schemas.microsoft.com/office/drawing/2014/main" id="{00000000-0008-0000-0F00-000002000000}"/>
            </a:ext>
          </a:extLst>
        </xdr:cNvPr>
        <xdr:cNvSpPr txBox="1"/>
      </xdr:nvSpPr>
      <xdr:spPr>
        <a:xfrm>
          <a:off x="7586661" y="570547"/>
          <a:ext cx="10112829" cy="655949"/>
        </a:xfrm>
        <a:prstGeom prst="rect">
          <a:avLst/>
        </a:prstGeom>
        <a:solidFill>
          <a:schemeClr val="accent1">
            <a:lumMod val="40000"/>
            <a:lumOff val="60000"/>
          </a:schemeClr>
        </a:solidFill>
        <a:ln w="25400">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nb-NO" sz="1400" b="1">
              <a:solidFill>
                <a:schemeClr val="tx1"/>
              </a:solidFill>
              <a:effectLst/>
              <a:latin typeface="+mn-lt"/>
              <a:ea typeface="+mn-ea"/>
              <a:cs typeface="+mn-cs"/>
            </a:rPr>
            <a:t>Informasjon</a:t>
          </a:r>
          <a:endParaRPr lang="nb-NO" sz="1400">
            <a:effectLst/>
          </a:endParaRPr>
        </a:p>
        <a:p>
          <a:r>
            <a:rPr lang="nb-NO" sz="1100"/>
            <a:t>I</a:t>
          </a:r>
          <a:r>
            <a:rPr lang="nb-NO" sz="1100" baseline="0"/>
            <a:t> denne arkfanen beregnes den årlige nyttestrømmen for trafikanter, operatører, det offentlige og tredjepart. Fra nivå 2 hentes den årlige nytten og så beregnes det en nyttestrøm for alle år (justert for KPI og realpris) som summerer seg til nåverdi og restverdi. </a:t>
          </a:r>
          <a:endParaRPr lang="nb-NO" sz="1100"/>
        </a:p>
      </xdr:txBody>
    </xdr:sp>
    <xdr:clientData/>
  </xdr:oneCellAnchor>
  <xdr:twoCellAnchor>
    <xdr:from>
      <xdr:col>12</xdr:col>
      <xdr:colOff>142874</xdr:colOff>
      <xdr:row>2</xdr:row>
      <xdr:rowOff>198664</xdr:rowOff>
    </xdr:from>
    <xdr:to>
      <xdr:col>18</xdr:col>
      <xdr:colOff>609600</xdr:colOff>
      <xdr:row>6</xdr:row>
      <xdr:rowOff>9525</xdr:rowOff>
    </xdr:to>
    <xdr:sp macro="" textlink="">
      <xdr:nvSpPr>
        <xdr:cNvPr id="3" name="TekstSylinder 2">
          <a:extLst>
            <a:ext uri="{FF2B5EF4-FFF2-40B4-BE49-F238E27FC236}">
              <a16:creationId xmlns:a16="http://schemas.microsoft.com/office/drawing/2014/main" id="{00000000-0008-0000-0F00-000003000000}"/>
            </a:ext>
          </a:extLst>
        </xdr:cNvPr>
        <xdr:cNvSpPr txBox="1"/>
      </xdr:nvSpPr>
      <xdr:spPr>
        <a:xfrm>
          <a:off x="16773524" y="579664"/>
          <a:ext cx="6448426" cy="639536"/>
        </a:xfrm>
        <a:prstGeom prst="rect">
          <a:avLst/>
        </a:prstGeom>
        <a:solidFill>
          <a:schemeClr val="accent1">
            <a:lumMod val="40000"/>
            <a:lumOff val="60000"/>
          </a:schemeClr>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nb-NO" sz="1400" b="1"/>
            <a:t>VIKTIG:</a:t>
          </a:r>
          <a:r>
            <a:rPr lang="nb-NO" sz="1100" baseline="0"/>
            <a:t> Hvis det gjøres endringer i ark 3.1 Nyttestrøm må det gjøres tilsvarende endringer i  ark 4.5.1 Data_Tidsseriefigurer (skjult), samt i figurene i ark 4.5 Tidsseriefigurer for at tidsseriefigurene skal fungere.</a:t>
          </a:r>
          <a:endParaRPr lang="nb-NO" sz="1100"/>
        </a:p>
      </xdr:txBody>
    </xdr:sp>
    <xdr:clientData/>
  </xdr:twoCellAnchor>
</xdr:wsDr>
</file>

<file path=xl/drawings/drawing16.xml><?xml version="1.0" encoding="utf-8"?>
<xdr:wsDr xmlns:xdr="http://schemas.openxmlformats.org/drawingml/2006/spreadsheetDrawing" xmlns:a="http://schemas.openxmlformats.org/drawingml/2006/main">
  <xdr:oneCellAnchor>
    <xdr:from>
      <xdr:col>5</xdr:col>
      <xdr:colOff>35718</xdr:colOff>
      <xdr:row>1</xdr:row>
      <xdr:rowOff>178594</xdr:rowOff>
    </xdr:from>
    <xdr:ext cx="9013031" cy="1333500"/>
    <xdr:sp macro="" textlink="">
      <xdr:nvSpPr>
        <xdr:cNvPr id="3" name="TekstSylinder 1">
          <a:hlinkClick xmlns:r="http://schemas.openxmlformats.org/officeDocument/2006/relationships" r:id="rId1"/>
          <a:extLst>
            <a:ext uri="{FF2B5EF4-FFF2-40B4-BE49-F238E27FC236}">
              <a16:creationId xmlns:a16="http://schemas.microsoft.com/office/drawing/2014/main" id="{00000000-0008-0000-1000-000003000000}"/>
            </a:ext>
          </a:extLst>
        </xdr:cNvPr>
        <xdr:cNvSpPr txBox="1"/>
      </xdr:nvSpPr>
      <xdr:spPr>
        <a:xfrm>
          <a:off x="9955325" y="369094"/>
          <a:ext cx="9013031" cy="1333500"/>
        </a:xfrm>
        <a:prstGeom prst="rect">
          <a:avLst/>
        </a:prstGeom>
        <a:solidFill>
          <a:schemeClr val="accent1">
            <a:lumMod val="40000"/>
            <a:lumOff val="60000"/>
          </a:schemeClr>
        </a:solidFill>
        <a:ln w="25400">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nb-NO" sz="1400" b="1"/>
            <a:t>Informasjon </a:t>
          </a:r>
        </a:p>
        <a:p>
          <a:r>
            <a:rPr lang="nb-NO" sz="1100" b="0"/>
            <a:t>I</a:t>
          </a:r>
          <a:r>
            <a:rPr lang="nb-NO" sz="1100" b="0" baseline="0"/>
            <a:t> denne arkfanen beregnes ikke-prissatte virkninger av tiltaket. Forklaring på variablene som skal fylles ut finnes i notatet til hver celle. Det må vurderes i hver enkelt analyse hvilke ikke-prissatte virkninger som er relevant for tiltaket. I noen tilfeller er det hensiktsmessig å anslå et intervall, da fylles de gule cellene ut som høyeste verdi. Det kan velges mellom høy, moderat eller lav usikkerhet for estimatet og om usikkerheten er symmetrisk, venstreskjev eller høyreskjev. Hvis estimatet for eksempel har høy usikkerhet og er symmetrisk er det stor usikkerhet i estimatet og det er like stor sannsynlighet for at det er overestimert som underestimert. For ytterligere beskrivelse av metoden: </a:t>
          </a:r>
          <a:r>
            <a:rPr lang="nb-NO">
              <a:hlinkClick xmlns:r="http://schemas.openxmlformats.org/officeDocument/2006/relationships" r:id=""/>
            </a:rPr>
            <a:t>Hovedrapport (jernbanedirektoratet.no)</a:t>
          </a:r>
          <a:r>
            <a:rPr lang="nb-NO"/>
            <a:t>.</a:t>
          </a:r>
          <a:endParaRPr lang="nb-NO" sz="1100" b="0"/>
        </a:p>
        <a:p>
          <a:endParaRPr lang="nb-NO" sz="1400" b="1"/>
        </a:p>
        <a:p>
          <a:endParaRPr lang="nb-NO" sz="1400" b="1"/>
        </a:p>
      </xdr:txBody>
    </xdr:sp>
    <xdr:clientData/>
  </xdr:oneCellAnchor>
</xdr:wsDr>
</file>

<file path=xl/drawings/drawing17.xml><?xml version="1.0" encoding="utf-8"?>
<xdr:wsDr xmlns:xdr="http://schemas.openxmlformats.org/drawingml/2006/spreadsheetDrawing" xmlns:a="http://schemas.openxmlformats.org/drawingml/2006/main">
  <xdr:oneCellAnchor>
    <xdr:from>
      <xdr:col>1</xdr:col>
      <xdr:colOff>2702718</xdr:colOff>
      <xdr:row>0</xdr:row>
      <xdr:rowOff>167321</xdr:rowOff>
    </xdr:from>
    <xdr:ext cx="8667750" cy="828175"/>
    <xdr:sp macro="" textlink="">
      <xdr:nvSpPr>
        <xdr:cNvPr id="3" name="TekstSylinder 2">
          <a:extLst>
            <a:ext uri="{FF2B5EF4-FFF2-40B4-BE49-F238E27FC236}">
              <a16:creationId xmlns:a16="http://schemas.microsoft.com/office/drawing/2014/main" id="{00000000-0008-0000-1100-000003000000}"/>
            </a:ext>
          </a:extLst>
        </xdr:cNvPr>
        <xdr:cNvSpPr txBox="1"/>
      </xdr:nvSpPr>
      <xdr:spPr>
        <a:xfrm>
          <a:off x="3464718" y="167321"/>
          <a:ext cx="8667750" cy="828175"/>
        </a:xfrm>
        <a:prstGeom prst="rect">
          <a:avLst/>
        </a:prstGeom>
        <a:solidFill>
          <a:schemeClr val="accent1">
            <a:lumMod val="40000"/>
            <a:lumOff val="60000"/>
          </a:schemeClr>
        </a:solidFill>
        <a:ln w="25400">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nb-NO" sz="1400" b="1"/>
            <a:t>Informasjon </a:t>
          </a:r>
        </a:p>
        <a:p>
          <a:r>
            <a:rPr lang="nb-NO" sz="1100"/>
            <a:t>Tallene i hovedtabellen med positiv verdi indikerer en nytte for den aktuelle aktøren. Negative tall indikerer kostnader.</a:t>
          </a:r>
          <a:r>
            <a:rPr lang="nb-NO" sz="1100" baseline="0"/>
            <a:t> Forklaring av fortegn for transportarbeid, sikkerhetseffekter og klima og miljø finnes i egne notater (som fremvises ved å bevege musepekeren over den røde trekanten øverst i høyre cellehjørne).</a:t>
          </a:r>
          <a:endParaRPr lang="nb-NO" sz="1100"/>
        </a:p>
      </xdr:txBody>
    </xdr:sp>
    <xdr:clientData/>
  </xdr:oneCellAnchor>
  <xdr:twoCellAnchor>
    <xdr:from>
      <xdr:col>5</xdr:col>
      <xdr:colOff>3908962</xdr:colOff>
      <xdr:row>0</xdr:row>
      <xdr:rowOff>173181</xdr:rowOff>
    </xdr:from>
    <xdr:to>
      <xdr:col>8</xdr:col>
      <xdr:colOff>2535878</xdr:colOff>
      <xdr:row>4</xdr:row>
      <xdr:rowOff>98961</xdr:rowOff>
    </xdr:to>
    <xdr:sp macro="" textlink="">
      <xdr:nvSpPr>
        <xdr:cNvPr id="4" name="TekstSylinder 3">
          <a:extLst>
            <a:ext uri="{FF2B5EF4-FFF2-40B4-BE49-F238E27FC236}">
              <a16:creationId xmlns:a16="http://schemas.microsoft.com/office/drawing/2014/main" id="{00000000-0008-0000-1100-000004000000}"/>
            </a:ext>
          </a:extLst>
        </xdr:cNvPr>
        <xdr:cNvSpPr txBox="1"/>
      </xdr:nvSpPr>
      <xdr:spPr>
        <a:xfrm>
          <a:off x="12221689" y="173181"/>
          <a:ext cx="5789221" cy="816429"/>
        </a:xfrm>
        <a:prstGeom prst="rect">
          <a:avLst/>
        </a:prstGeom>
        <a:solidFill>
          <a:schemeClr val="accent1">
            <a:lumMod val="40000"/>
            <a:lumOff val="60000"/>
          </a:schemeClr>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nb-NO" sz="1400" b="1"/>
            <a:t>VIKTIG:</a:t>
          </a:r>
          <a:r>
            <a:rPr lang="nb-NO" sz="1100" baseline="0"/>
            <a:t> Hvis det gjøres endringer i Hovedtabellen i ark 4.1 Resultatark må det gjøres tilsvarende endringer i datatabellene i ark 4.4.1 Data_Tverrsnittfigurer, samt i figurene i ark 4.4 Tverrsnittfigurer, for at tverrsnittfigurene skal fungere.</a:t>
          </a:r>
          <a:endParaRPr lang="nb-NO" sz="1100"/>
        </a:p>
      </xdr:txBody>
    </xdr:sp>
    <xdr:clientData/>
  </xdr:twoCellAnchor>
</xdr:wsDr>
</file>

<file path=xl/drawings/drawing18.xml><?xml version="1.0" encoding="utf-8"?>
<xdr:wsDr xmlns:xdr="http://schemas.openxmlformats.org/drawingml/2006/spreadsheetDrawing" xmlns:a="http://schemas.openxmlformats.org/drawingml/2006/main">
  <xdr:oneCellAnchor>
    <xdr:from>
      <xdr:col>13</xdr:col>
      <xdr:colOff>425450</xdr:colOff>
      <xdr:row>3</xdr:row>
      <xdr:rowOff>26988</xdr:rowOff>
    </xdr:from>
    <xdr:ext cx="8667750" cy="1000402"/>
    <xdr:sp macro="" textlink="">
      <xdr:nvSpPr>
        <xdr:cNvPr id="545" name="TekstSylinder 1">
          <a:extLst>
            <a:ext uri="{FF2B5EF4-FFF2-40B4-BE49-F238E27FC236}">
              <a16:creationId xmlns:a16="http://schemas.microsoft.com/office/drawing/2014/main" id="{00000000-0008-0000-1200-000021020000}"/>
            </a:ext>
          </a:extLst>
        </xdr:cNvPr>
        <xdr:cNvSpPr txBox="1"/>
      </xdr:nvSpPr>
      <xdr:spPr>
        <a:xfrm>
          <a:off x="9093200" y="608013"/>
          <a:ext cx="8667750" cy="1000402"/>
        </a:xfrm>
        <a:prstGeom prst="rect">
          <a:avLst/>
        </a:prstGeom>
        <a:solidFill>
          <a:schemeClr val="accent1">
            <a:lumMod val="40000"/>
            <a:lumOff val="60000"/>
          </a:schemeClr>
        </a:solidFill>
        <a:ln w="25400">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nb-NO" sz="1400" b="1"/>
            <a:t>Informasjon </a:t>
          </a:r>
        </a:p>
        <a:p>
          <a:r>
            <a:rPr lang="nb-NO" sz="1100" b="0"/>
            <a:t>Denne supersiden er utviklet</a:t>
          </a:r>
          <a:r>
            <a:rPr lang="nb-NO" sz="1100" b="0" baseline="0"/>
            <a:t> i forbindelse med NTP 2025-2036 og skal være en kompakt presentasjon av de mest sentrale opplysningene til beslutningstakere. Noen av verdiene i supersiden blir fylt ut automatisk, men en del må legges inn av bruker. Dette er ikke den endelige versjonen. For mer informasjon om utfylling se vedlegg 9 her: </a:t>
          </a:r>
          <a:r>
            <a:rPr lang="nb-NO">
              <a:hlinkClick xmlns:r="http://schemas.openxmlformats.org/officeDocument/2006/relationships" r:id=""/>
            </a:rPr>
            <a:t>NTP 2025–2036: Utredningsoppdrag - svar fra transportvirksomhetene til leveranse med frist 1. oktober 2022 - regjeringen.no</a:t>
          </a:r>
          <a:r>
            <a:rPr lang="nb-NO" sz="1100" b="0" baseline="0"/>
            <a:t>.</a:t>
          </a:r>
          <a:endParaRPr lang="nb-NO" sz="1100" b="0"/>
        </a:p>
      </xdr:txBody>
    </xdr:sp>
    <xdr:clientData/>
  </xdr:oneCellAnchor>
</xdr:wsDr>
</file>

<file path=xl/drawings/drawing19.xml><?xml version="1.0" encoding="utf-8"?>
<xdr:wsDr xmlns:xdr="http://schemas.openxmlformats.org/drawingml/2006/spreadsheetDrawing" xmlns:a="http://schemas.openxmlformats.org/drawingml/2006/main">
  <xdr:oneCellAnchor>
    <xdr:from>
      <xdr:col>12</xdr:col>
      <xdr:colOff>0</xdr:colOff>
      <xdr:row>3</xdr:row>
      <xdr:rowOff>0</xdr:rowOff>
    </xdr:from>
    <xdr:ext cx="8667750" cy="655949"/>
    <xdr:sp macro="" textlink="">
      <xdr:nvSpPr>
        <xdr:cNvPr id="2" name="TekstSylinder 1">
          <a:extLst>
            <a:ext uri="{FF2B5EF4-FFF2-40B4-BE49-F238E27FC236}">
              <a16:creationId xmlns:a16="http://schemas.microsoft.com/office/drawing/2014/main" id="{00000000-0008-0000-1300-000002000000}"/>
            </a:ext>
          </a:extLst>
        </xdr:cNvPr>
        <xdr:cNvSpPr txBox="1"/>
      </xdr:nvSpPr>
      <xdr:spPr>
        <a:xfrm>
          <a:off x="9144000" y="542925"/>
          <a:ext cx="8667750" cy="655949"/>
        </a:xfrm>
        <a:prstGeom prst="rect">
          <a:avLst/>
        </a:prstGeom>
        <a:solidFill>
          <a:schemeClr val="accent1">
            <a:lumMod val="40000"/>
            <a:lumOff val="60000"/>
          </a:schemeClr>
        </a:solidFill>
        <a:ln w="25400">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nb-NO" sz="1400" b="1"/>
            <a:t>Informasjon </a:t>
          </a:r>
        </a:p>
        <a:p>
          <a:r>
            <a:rPr lang="nb-NO" sz="1100" b="0"/>
            <a:t>Denne supersiden er utviklet</a:t>
          </a:r>
          <a:r>
            <a:rPr lang="nb-NO" sz="1100" b="0" baseline="0"/>
            <a:t> i forbindelse med NTP 2029-2040 og skal være en kompakt presentasjon av de mest sentrale opplysningene til beslutningstakere. Noen av verdiene i supersiden blir fylt ut automatisk, men en del må legges inn av bruker. Dette er ikke den endelige versjonen. </a:t>
          </a:r>
          <a:endParaRPr lang="nb-NO" sz="1100" b="0"/>
        </a:p>
      </xdr:txBody>
    </xdr:sp>
    <xdr:clientData/>
  </xdr:oneCellAnchor>
  <xdr:twoCellAnchor editAs="oneCell">
    <xdr:from>
      <xdr:col>9</xdr:col>
      <xdr:colOff>742579</xdr:colOff>
      <xdr:row>3</xdr:row>
      <xdr:rowOff>44450</xdr:rowOff>
    </xdr:from>
    <xdr:to>
      <xdr:col>10</xdr:col>
      <xdr:colOff>561441</xdr:colOff>
      <xdr:row>4</xdr:row>
      <xdr:rowOff>203199</xdr:rowOff>
    </xdr:to>
    <xdr:pic>
      <xdr:nvPicPr>
        <xdr:cNvPr id="4" name="Bilde 3">
          <a:extLst>
            <a:ext uri="{FF2B5EF4-FFF2-40B4-BE49-F238E27FC236}">
              <a16:creationId xmlns:a16="http://schemas.microsoft.com/office/drawing/2014/main" id="{ACB48EE5-D84E-D6FC-B264-E137B69CEC75}"/>
            </a:ext>
          </a:extLst>
        </xdr:cNvPr>
        <xdr:cNvPicPr>
          <a:picLocks noChangeAspect="1"/>
        </xdr:cNvPicPr>
      </xdr:nvPicPr>
      <xdr:blipFill>
        <a:blip xmlns:r="http://schemas.openxmlformats.org/officeDocument/2006/relationships" r:embed="rId1"/>
        <a:stretch>
          <a:fillRect/>
        </a:stretch>
      </xdr:blipFill>
      <xdr:spPr>
        <a:xfrm>
          <a:off x="7600579" y="587375"/>
          <a:ext cx="580862" cy="415924"/>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oneCellAnchor>
    <xdr:from>
      <xdr:col>10</xdr:col>
      <xdr:colOff>676275</xdr:colOff>
      <xdr:row>0</xdr:row>
      <xdr:rowOff>85725</xdr:rowOff>
    </xdr:from>
    <xdr:ext cx="8667750" cy="1600200"/>
    <xdr:sp macro="" textlink="">
      <xdr:nvSpPr>
        <xdr:cNvPr id="2" name="TekstSylinder 1">
          <a:extLst>
            <a:ext uri="{FF2B5EF4-FFF2-40B4-BE49-F238E27FC236}">
              <a16:creationId xmlns:a16="http://schemas.microsoft.com/office/drawing/2014/main" id="{00000000-0008-0000-1400-000002000000}"/>
            </a:ext>
          </a:extLst>
        </xdr:cNvPr>
        <xdr:cNvSpPr txBox="1"/>
      </xdr:nvSpPr>
      <xdr:spPr>
        <a:xfrm>
          <a:off x="8705850" y="85725"/>
          <a:ext cx="8667750" cy="1600200"/>
        </a:xfrm>
        <a:prstGeom prst="rect">
          <a:avLst/>
        </a:prstGeom>
        <a:solidFill>
          <a:schemeClr val="accent1">
            <a:lumMod val="40000"/>
            <a:lumOff val="60000"/>
          </a:schemeClr>
        </a:solidFill>
        <a:ln w="25400">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nb-NO" sz="1400" b="1"/>
            <a:t>Informasjon</a:t>
          </a:r>
          <a:br>
            <a:rPr lang="nb-NO" sz="1400" b="1"/>
          </a:br>
          <a:r>
            <a:rPr lang="nb-NO" sz="1100" b="0"/>
            <a:t>Denne</a:t>
          </a:r>
          <a:r>
            <a:rPr lang="nb-NO" sz="1100" b="0" baseline="0"/>
            <a:t> siden er utviklet for bruk i Geofordelingsmodellen. Brukeren må velge mellom en diskontert analyse eller en analyse av ett valgt beregningsår (Snapshot). Dersom brukeren velger Snapshot, bruker SAGA resultater for det første beregningsåret (før prisjustering). Etter analysemetode er valgt, skal det i utgangspunktet være mulig å bare kopiere resultatene inn i et nytt excel-ark, som videre brukes som inndata i Geofordelingsmodellen. Fordelingen som ligger inne i kolonne E er en slags standard, og kan i de fleste tilfeller brukes slik som den ligger inne nå. I noen tilfeller vil det imidlertid være nødvendig å gjøre noen tilpassninger. Det gjelder spesielt endring i lokale utslipp og støy, hvor det kan argumenteres for å fordele disse nytte/kostnadsvirkningene på tiltakskommune, men dette må vurderes i hvert enkelt tilfelle. For mer informasjon, se: </a:t>
          </a:r>
          <a:r>
            <a:rPr lang="nb-NO">
              <a:hlinkClick xmlns:r="http://schemas.openxmlformats.org/officeDocument/2006/relationships" r:id=""/>
            </a:rPr>
            <a:t>Geografiske fordelingsvirkninger av transportinvesteringer (vista-analyse.no)</a:t>
          </a:r>
          <a:endParaRPr lang="nb-NO" sz="1100" b="1"/>
        </a:p>
      </xdr:txBody>
    </xdr:sp>
    <xdr:clientData/>
  </xdr:oneCellAnchor>
</xdr:wsDr>
</file>

<file path=xl/drawings/drawing21.xml><?xml version="1.0" encoding="utf-8"?>
<xdr:wsDr xmlns:xdr="http://schemas.openxmlformats.org/drawingml/2006/spreadsheetDrawing" xmlns:a="http://schemas.openxmlformats.org/drawingml/2006/main">
  <xdr:twoCellAnchor>
    <xdr:from>
      <xdr:col>3</xdr:col>
      <xdr:colOff>12700</xdr:colOff>
      <xdr:row>36</xdr:row>
      <xdr:rowOff>50800</xdr:rowOff>
    </xdr:from>
    <xdr:to>
      <xdr:col>5</xdr:col>
      <xdr:colOff>88900</xdr:colOff>
      <xdr:row>38</xdr:row>
      <xdr:rowOff>50800</xdr:rowOff>
    </xdr:to>
    <xdr:sp macro="" textlink="">
      <xdr:nvSpPr>
        <xdr:cNvPr id="30721" name="Button 1" hidden="1">
          <a:extLst>
            <a:ext uri="{63B3BB69-23CF-44E3-9099-C40C66FF867C}">
              <a14:compatExt xmlns:a14="http://schemas.microsoft.com/office/drawing/2010/main" spid="_x0000_s30721"/>
            </a:ext>
            <a:ext uri="{FF2B5EF4-FFF2-40B4-BE49-F238E27FC236}">
              <a16:creationId xmlns:a16="http://schemas.microsoft.com/office/drawing/2014/main" id="{00000000-0008-0000-1500-00000178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nb-NO" sz="1400" b="0" i="0" u="none" strike="noStrike" baseline="0">
              <a:solidFill>
                <a:srgbClr val="000000"/>
              </a:solidFill>
              <a:latin typeface="Calibri"/>
              <a:cs typeface="Calibri"/>
            </a:rPr>
            <a:t>Utfør følsomhetsanalyse</a:t>
          </a:r>
        </a:p>
      </xdr:txBody>
    </xdr:sp>
    <xdr:clientData fPrintsWithSheet="0"/>
  </xdr:twoCellAnchor>
  <xdr:twoCellAnchor>
    <xdr:from>
      <xdr:col>12</xdr:col>
      <xdr:colOff>67235</xdr:colOff>
      <xdr:row>47</xdr:row>
      <xdr:rowOff>49305</xdr:rowOff>
    </xdr:from>
    <xdr:to>
      <xdr:col>16</xdr:col>
      <xdr:colOff>904875</xdr:colOff>
      <xdr:row>63</xdr:row>
      <xdr:rowOff>112058</xdr:rowOff>
    </xdr:to>
    <xdr:graphicFrame macro="">
      <xdr:nvGraphicFramePr>
        <xdr:cNvPr id="11" name="NNV_plot_parameter1" hidden="1">
          <a:extLst>
            <a:ext uri="{FF2B5EF4-FFF2-40B4-BE49-F238E27FC236}">
              <a16:creationId xmlns:a16="http://schemas.microsoft.com/office/drawing/2014/main" id="{00000000-0008-0000-1500-00000B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4</xdr:col>
      <xdr:colOff>308427</xdr:colOff>
      <xdr:row>0</xdr:row>
      <xdr:rowOff>71436</xdr:rowOff>
    </xdr:from>
    <xdr:ext cx="7092498" cy="1297919"/>
    <xdr:sp macro="" textlink="">
      <xdr:nvSpPr>
        <xdr:cNvPr id="7" name="TekstSylinder 6">
          <a:extLst>
            <a:ext uri="{FF2B5EF4-FFF2-40B4-BE49-F238E27FC236}">
              <a16:creationId xmlns:a16="http://schemas.microsoft.com/office/drawing/2014/main" id="{00000000-0008-0000-1500-000007000000}"/>
            </a:ext>
          </a:extLst>
        </xdr:cNvPr>
        <xdr:cNvSpPr txBox="1"/>
      </xdr:nvSpPr>
      <xdr:spPr>
        <a:xfrm>
          <a:off x="4004127" y="71436"/>
          <a:ext cx="7092498" cy="1297919"/>
        </a:xfrm>
        <a:prstGeom prst="rect">
          <a:avLst/>
        </a:prstGeom>
        <a:solidFill>
          <a:schemeClr val="accent1">
            <a:lumMod val="40000"/>
            <a:lumOff val="60000"/>
          </a:schemeClr>
        </a:solidFill>
        <a:ln w="25400">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nb-NO" sz="1100" b="1">
              <a:solidFill>
                <a:schemeClr val="tx1"/>
              </a:solidFill>
              <a:effectLst/>
              <a:latin typeface="+mn-lt"/>
              <a:ea typeface="+mn-ea"/>
              <a:cs typeface="+mn-cs"/>
            </a:rPr>
            <a:t>Informasjon </a:t>
          </a:r>
          <a:endParaRPr lang="nb-NO" sz="1400">
            <a:effectLst/>
          </a:endParaRPr>
        </a:p>
        <a:p>
          <a:r>
            <a:rPr lang="nb-NO" sz="1100">
              <a:solidFill>
                <a:schemeClr val="tx1"/>
              </a:solidFill>
              <a:effectLst/>
              <a:latin typeface="+mn-lt"/>
              <a:ea typeface="+mn-ea"/>
              <a:cs typeface="+mn-cs"/>
            </a:rPr>
            <a:t>I denne arkfanen</a:t>
          </a:r>
          <a:r>
            <a:rPr lang="nb-NO" sz="1100" baseline="0">
              <a:solidFill>
                <a:schemeClr val="tx1"/>
              </a:solidFill>
              <a:effectLst/>
              <a:latin typeface="+mn-lt"/>
              <a:ea typeface="+mn-ea"/>
              <a:cs typeface="+mn-cs"/>
            </a:rPr>
            <a:t> gjennomføres følsomhetsanalyser. Det kan kjøres følsomhetsanalyse på to parametere samtidig. Hver parameter kan ta opptil 7 verdier, og settes som prosentvis endring fra opprinnelig verdi eller som en tallverdi. Makroer må være aktivert for at følsomhetsanalysen skal fungere.</a:t>
          </a:r>
        </a:p>
        <a:p>
          <a:endParaRPr lang="nb-NO" sz="1100" baseline="0">
            <a:solidFill>
              <a:schemeClr val="tx1"/>
            </a:solidFill>
            <a:effectLst/>
            <a:latin typeface="+mn-lt"/>
            <a:ea typeface="+mn-ea"/>
            <a:cs typeface="+mn-cs"/>
          </a:endParaRPr>
        </a:p>
        <a:p>
          <a:r>
            <a:rPr lang="nb-NO" sz="1100" baseline="0">
              <a:solidFill>
                <a:sysClr val="windowText" lastClr="000000"/>
              </a:solidFill>
              <a:effectLst/>
              <a:latin typeface="+mn-lt"/>
              <a:ea typeface="+mn-ea"/>
              <a:cs typeface="+mn-cs"/>
            </a:rPr>
            <a:t>NB1: Du må trykke på "Utfør følsomhetsanalyse" dersom endringer i input skal vises i resultatene.</a:t>
          </a:r>
        </a:p>
        <a:p>
          <a:r>
            <a:rPr lang="nb-NO" sz="1100" baseline="0">
              <a:solidFill>
                <a:sysClr val="windowText" lastClr="000000"/>
              </a:solidFill>
              <a:effectLst/>
              <a:latin typeface="+mn-lt"/>
              <a:ea typeface="+mn-ea"/>
              <a:cs typeface="+mn-cs"/>
            </a:rPr>
            <a:t>NB2: Ikke slett "hvite felter nedover i regnearket. Disse benyttes til enkelte beregninger"</a:t>
          </a:r>
          <a:endParaRPr lang="nb-NO" sz="1400">
            <a:solidFill>
              <a:sysClr val="windowText" lastClr="000000"/>
            </a:solidFill>
            <a:effectLst/>
          </a:endParaRPr>
        </a:p>
      </xdr:txBody>
    </xdr:sp>
    <xdr:clientData/>
  </xdr:oneCellAnchor>
  <xdr:twoCellAnchor>
    <xdr:from>
      <xdr:col>12</xdr:col>
      <xdr:colOff>65554</xdr:colOff>
      <xdr:row>71</xdr:row>
      <xdr:rowOff>64620</xdr:rowOff>
    </xdr:from>
    <xdr:to>
      <xdr:col>16</xdr:col>
      <xdr:colOff>903194</xdr:colOff>
      <xdr:row>87</xdr:row>
      <xdr:rowOff>119528</xdr:rowOff>
    </xdr:to>
    <xdr:graphicFrame macro="">
      <xdr:nvGraphicFramePr>
        <xdr:cNvPr id="12" name="NNV_plot_parameter2" hidden="1">
          <a:extLst>
            <a:ext uri="{FF2B5EF4-FFF2-40B4-BE49-F238E27FC236}">
              <a16:creationId xmlns:a16="http://schemas.microsoft.com/office/drawing/2014/main" id="{00000000-0008-0000-15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5</xdr:col>
      <xdr:colOff>184150</xdr:colOff>
      <xdr:row>36</xdr:row>
      <xdr:rowOff>38100</xdr:rowOff>
    </xdr:from>
    <xdr:to>
      <xdr:col>10</xdr:col>
      <xdr:colOff>606425</xdr:colOff>
      <xdr:row>39</xdr:row>
      <xdr:rowOff>57150</xdr:rowOff>
    </xdr:to>
    <xdr:sp macro="" textlink="">
      <xdr:nvSpPr>
        <xdr:cNvPr id="30732" name="break_even_check" hidden="1">
          <a:extLst>
            <a:ext uri="{63B3BB69-23CF-44E3-9099-C40C66FF867C}">
              <a14:compatExt xmlns:a14="http://schemas.microsoft.com/office/drawing/2010/main" spid="_x0000_s30732"/>
            </a:ext>
            <a:ext uri="{FF2B5EF4-FFF2-40B4-BE49-F238E27FC236}">
              <a16:creationId xmlns:a16="http://schemas.microsoft.com/office/drawing/2014/main" id="{00000000-0008-0000-1500-00000C78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xdr:from>
      <xdr:col>9</xdr:col>
      <xdr:colOff>31750</xdr:colOff>
      <xdr:row>36</xdr:row>
      <xdr:rowOff>50800</xdr:rowOff>
    </xdr:from>
    <xdr:to>
      <xdr:col>12</xdr:col>
      <xdr:colOff>31750</xdr:colOff>
      <xdr:row>38</xdr:row>
      <xdr:rowOff>50800</xdr:rowOff>
    </xdr:to>
    <xdr:sp macro="" textlink="">
      <xdr:nvSpPr>
        <xdr:cNvPr id="30735" name="nullstill_input" hidden="1">
          <a:extLst>
            <a:ext uri="{63B3BB69-23CF-44E3-9099-C40C66FF867C}">
              <a14:compatExt xmlns:a14="http://schemas.microsoft.com/office/drawing/2010/main" spid="_x0000_s30735"/>
            </a:ext>
            <a:ext uri="{FF2B5EF4-FFF2-40B4-BE49-F238E27FC236}">
              <a16:creationId xmlns:a16="http://schemas.microsoft.com/office/drawing/2014/main" id="{00000000-0008-0000-1500-00000F78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nb-NO" sz="1400" b="0" i="0" u="none" strike="noStrike" baseline="0">
              <a:solidFill>
                <a:srgbClr val="000000"/>
              </a:solidFill>
              <a:latin typeface="Calibri"/>
              <a:cs typeface="Calibri"/>
            </a:rPr>
            <a:t>Nullstill input</a:t>
          </a:r>
        </a:p>
      </xdr:txBody>
    </xdr:sp>
    <xdr:clientData fPrintsWithSheet="0"/>
  </xdr:twoCellAnchor>
  <xdr:twoCellAnchor>
    <xdr:from>
      <xdr:col>12</xdr:col>
      <xdr:colOff>190500</xdr:colOff>
      <xdr:row>36</xdr:row>
      <xdr:rowOff>50800</xdr:rowOff>
    </xdr:from>
    <xdr:to>
      <xdr:col>14</xdr:col>
      <xdr:colOff>438150</xdr:colOff>
      <xdr:row>38</xdr:row>
      <xdr:rowOff>50800</xdr:rowOff>
    </xdr:to>
    <xdr:sp macro="" textlink="">
      <xdr:nvSpPr>
        <xdr:cNvPr id="30739" name="nullstill_output" hidden="1">
          <a:extLst>
            <a:ext uri="{63B3BB69-23CF-44E3-9099-C40C66FF867C}">
              <a14:compatExt xmlns:a14="http://schemas.microsoft.com/office/drawing/2010/main" spid="_x0000_s30739"/>
            </a:ext>
            <a:ext uri="{FF2B5EF4-FFF2-40B4-BE49-F238E27FC236}">
              <a16:creationId xmlns:a16="http://schemas.microsoft.com/office/drawing/2014/main" id="{00000000-0008-0000-1500-00001378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nb-NO" sz="1400" b="0" i="0" u="none" strike="noStrike" baseline="0">
              <a:solidFill>
                <a:srgbClr val="000000"/>
              </a:solidFill>
              <a:latin typeface="Calibri"/>
              <a:cs typeface="Calibri"/>
            </a:rPr>
            <a:t>Nullstill output</a:t>
          </a:r>
        </a:p>
      </xdr:txBody>
    </xdr:sp>
    <xdr:clientData fPrintsWithSheet="0"/>
  </xdr:twoCellAnchor>
  <mc:AlternateContent xmlns:mc="http://schemas.openxmlformats.org/markup-compatibility/2006">
    <mc:Choice xmlns:a14="http://schemas.microsoft.com/office/drawing/2010/main" Requires="a14">
      <xdr:twoCellAnchor>
        <xdr:from>
          <xdr:col>3</xdr:col>
          <xdr:colOff>12700</xdr:colOff>
          <xdr:row>36</xdr:row>
          <xdr:rowOff>50800</xdr:rowOff>
        </xdr:from>
        <xdr:to>
          <xdr:col>5</xdr:col>
          <xdr:colOff>88900</xdr:colOff>
          <xdr:row>38</xdr:row>
          <xdr:rowOff>50800</xdr:rowOff>
        </xdr:to>
        <xdr:sp macro="" textlink="">
          <xdr:nvSpPr>
            <xdr:cNvPr id="3" name="Button 1" hidden="1">
              <a:extLst>
                <a:ext uri="{63B3BB69-23CF-44E3-9099-C40C66FF867C}">
                  <a14:compatExt spid="_x0000_s30721"/>
                </a:ext>
                <a:ext uri="{FF2B5EF4-FFF2-40B4-BE49-F238E27FC236}">
                  <a16:creationId xmlns:a16="http://schemas.microsoft.com/office/drawing/2014/main" id="{00000000-0008-0000-1500-00000300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nb-NO" sz="1400" b="0" i="0" u="none" strike="noStrike" baseline="0">
                  <a:solidFill>
                    <a:srgbClr val="000000"/>
                  </a:solidFill>
                  <a:latin typeface="Calibri"/>
                  <a:ea typeface="Calibri"/>
                  <a:cs typeface="Calibri"/>
                </a:rPr>
                <a:t>Utfør følsomhetsanalyse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184150</xdr:colOff>
          <xdr:row>36</xdr:row>
          <xdr:rowOff>38100</xdr:rowOff>
        </xdr:from>
        <xdr:to>
          <xdr:col>8</xdr:col>
          <xdr:colOff>622300</xdr:colOff>
          <xdr:row>38</xdr:row>
          <xdr:rowOff>44450</xdr:rowOff>
        </xdr:to>
        <xdr:sp macro="" textlink="">
          <xdr:nvSpPr>
            <xdr:cNvPr id="2" name="break_even_check" hidden="1">
              <a:extLst>
                <a:ext uri="{63B3BB69-23CF-44E3-9099-C40C66FF867C}">
                  <a14:compatExt spid="_x0000_s30732"/>
                </a:ext>
                <a:ext uri="{FF2B5EF4-FFF2-40B4-BE49-F238E27FC236}">
                  <a16:creationId xmlns:a16="http://schemas.microsoft.com/office/drawing/2014/main" id="{00000000-0008-0000-1500-0000020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31750</xdr:colOff>
          <xdr:row>36</xdr:row>
          <xdr:rowOff>50800</xdr:rowOff>
        </xdr:from>
        <xdr:to>
          <xdr:col>12</xdr:col>
          <xdr:colOff>31750</xdr:colOff>
          <xdr:row>38</xdr:row>
          <xdr:rowOff>50800</xdr:rowOff>
        </xdr:to>
        <xdr:sp macro="" textlink="">
          <xdr:nvSpPr>
            <xdr:cNvPr id="4" name="nullstill_input" hidden="1">
              <a:extLst>
                <a:ext uri="{63B3BB69-23CF-44E3-9099-C40C66FF867C}">
                  <a14:compatExt spid="_x0000_s30735"/>
                </a:ext>
                <a:ext uri="{FF2B5EF4-FFF2-40B4-BE49-F238E27FC236}">
                  <a16:creationId xmlns:a16="http://schemas.microsoft.com/office/drawing/2014/main" id="{00000000-0008-0000-1500-00000400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nb-NO" sz="1400" b="0" i="0" u="none" strike="noStrike" baseline="0">
                  <a:solidFill>
                    <a:srgbClr val="000000"/>
                  </a:solidFill>
                  <a:latin typeface="Calibri"/>
                  <a:ea typeface="Calibri"/>
                  <a:cs typeface="Calibri"/>
                </a:rPr>
                <a:t>Nullstill input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190500</xdr:colOff>
          <xdr:row>36</xdr:row>
          <xdr:rowOff>50800</xdr:rowOff>
        </xdr:from>
        <xdr:to>
          <xdr:col>14</xdr:col>
          <xdr:colOff>438150</xdr:colOff>
          <xdr:row>38</xdr:row>
          <xdr:rowOff>50800</xdr:rowOff>
        </xdr:to>
        <xdr:sp macro="" textlink="">
          <xdr:nvSpPr>
            <xdr:cNvPr id="5" name="nullstill_output" hidden="1">
              <a:extLst>
                <a:ext uri="{63B3BB69-23CF-44E3-9099-C40C66FF867C}">
                  <a14:compatExt spid="_x0000_s30739"/>
                </a:ext>
                <a:ext uri="{FF2B5EF4-FFF2-40B4-BE49-F238E27FC236}">
                  <a16:creationId xmlns:a16="http://schemas.microsoft.com/office/drawing/2014/main" id="{00000000-0008-0000-1500-00000500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nb-NO" sz="1400" b="0" i="0" u="none" strike="noStrike" baseline="0">
                  <a:solidFill>
                    <a:srgbClr val="000000"/>
                  </a:solidFill>
                  <a:latin typeface="Calibri"/>
                  <a:ea typeface="Calibri"/>
                  <a:cs typeface="Calibri"/>
                </a:rPr>
                <a:t>Nullstill output</a:t>
              </a:r>
            </a:p>
          </xdr:txBody>
        </xdr:sp>
        <xdr:clientData fPrintsWithSheet="0"/>
      </xdr:twoCellAnchor>
    </mc:Choice>
    <mc:Fallback/>
  </mc:AlternateContent>
</xdr:wsDr>
</file>

<file path=xl/drawings/drawing22.xml><?xml version="1.0" encoding="utf-8"?>
<xdr:wsDr xmlns:xdr="http://schemas.openxmlformats.org/drawingml/2006/spreadsheetDrawing" xmlns:a="http://schemas.openxmlformats.org/drawingml/2006/main">
  <xdr:oneCellAnchor>
    <xdr:from>
      <xdr:col>4</xdr:col>
      <xdr:colOff>308426</xdr:colOff>
      <xdr:row>0</xdr:row>
      <xdr:rowOff>38099</xdr:rowOff>
    </xdr:from>
    <xdr:ext cx="9251852" cy="1514123"/>
    <xdr:sp macro="" textlink="">
      <xdr:nvSpPr>
        <xdr:cNvPr id="2" name="TekstSylinder 1">
          <a:extLst>
            <a:ext uri="{FF2B5EF4-FFF2-40B4-BE49-F238E27FC236}">
              <a16:creationId xmlns:a16="http://schemas.microsoft.com/office/drawing/2014/main" id="{00000000-0008-0000-1600-000002000000}"/>
            </a:ext>
          </a:extLst>
        </xdr:cNvPr>
        <xdr:cNvSpPr txBox="1"/>
      </xdr:nvSpPr>
      <xdr:spPr>
        <a:xfrm>
          <a:off x="6545537" y="38099"/>
          <a:ext cx="9251852" cy="1514123"/>
        </a:xfrm>
        <a:prstGeom prst="rect">
          <a:avLst/>
        </a:prstGeom>
        <a:solidFill>
          <a:schemeClr val="accent1">
            <a:lumMod val="40000"/>
            <a:lumOff val="60000"/>
          </a:schemeClr>
        </a:solidFill>
        <a:ln w="25400">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nb-NO" sz="1100" b="1">
              <a:solidFill>
                <a:schemeClr val="tx1"/>
              </a:solidFill>
              <a:effectLst/>
              <a:latin typeface="+mn-lt"/>
              <a:ea typeface="+mn-ea"/>
              <a:cs typeface="+mn-cs"/>
            </a:rPr>
            <a:t>Informasjon </a:t>
          </a:r>
          <a:endParaRPr lang="nb-NO" sz="1400">
            <a:effectLst/>
          </a:endParaRPr>
        </a:p>
        <a:p>
          <a:r>
            <a:rPr lang="nb-NO" sz="1100">
              <a:solidFill>
                <a:schemeClr val="tx1"/>
              </a:solidFill>
              <a:effectLst/>
              <a:latin typeface="+mn-lt"/>
              <a:ea typeface="+mn-ea"/>
              <a:cs typeface="+mn-cs"/>
            </a:rPr>
            <a:t>I denne arkfanen</a:t>
          </a:r>
          <a:r>
            <a:rPr lang="nb-NO" sz="1100" baseline="0">
              <a:solidFill>
                <a:schemeClr val="tx1"/>
              </a:solidFill>
              <a:effectLst/>
              <a:latin typeface="+mn-lt"/>
              <a:ea typeface="+mn-ea"/>
              <a:cs typeface="+mn-cs"/>
            </a:rPr>
            <a:t> gjennomføres Monte Carlo - simuleringer. Alle parametere fra følsomhetsanalysen kan inkluderes som stokastiske eksogene variabler i simuleringene. For hver valgte stokastiske eksogene variabel må format spesifiseres, dvs. om simuleringene skal baseres på prosent endring fra opprinnelig verdi eller på tallverdier. Ønsket sannsynlighetsfordeling og tilknyttede sprednings- og sentralitetsmål må også oppgis. </a:t>
          </a:r>
        </a:p>
        <a:p>
          <a:r>
            <a:rPr lang="nb-NO" sz="1100" baseline="0">
              <a:solidFill>
                <a:schemeClr val="tx1"/>
              </a:solidFill>
              <a:effectLst/>
              <a:latin typeface="+mn-lt"/>
              <a:ea typeface="+mn-ea"/>
              <a:cs typeface="+mn-cs"/>
            </a:rPr>
            <a:t>Til høyre i arket finnes illustrasjon av modellert usikkerhet i stokastiske eksogene variabler, område for valg av stokastiske endogene variabler og tabell og figurer med resultater for stokastiske endogene variabler fra siste simulering. Ytterligere forklaringer ligger som kommentarer i flere av overskriftene. </a:t>
          </a:r>
        </a:p>
        <a:p>
          <a:endParaRPr lang="nb-NO" sz="1100" baseline="0">
            <a:solidFill>
              <a:schemeClr val="tx1"/>
            </a:solidFill>
            <a:effectLst/>
            <a:latin typeface="+mn-lt"/>
            <a:ea typeface="+mn-ea"/>
            <a:cs typeface="+mn-cs"/>
          </a:endParaRPr>
        </a:p>
        <a:p>
          <a:r>
            <a:rPr lang="nb-NO" sz="1100" baseline="0">
              <a:solidFill>
                <a:schemeClr val="tx1"/>
              </a:solidFill>
              <a:effectLst/>
              <a:latin typeface="+mn-lt"/>
              <a:ea typeface="+mn-ea"/>
              <a:cs typeface="+mn-cs"/>
            </a:rPr>
            <a:t>For å sette i gang Monte Carlo-simulering trykker man på knappen, "Simulering". Makroer må være aktivert for at simuleringen skal fungere.</a:t>
          </a:r>
        </a:p>
        <a:p>
          <a:endParaRPr lang="nb-NO" sz="1100" baseline="0">
            <a:solidFill>
              <a:schemeClr val="tx1"/>
            </a:solidFill>
            <a:effectLst/>
            <a:latin typeface="+mn-lt"/>
            <a:ea typeface="+mn-ea"/>
            <a:cs typeface="+mn-cs"/>
          </a:endParaRPr>
        </a:p>
      </xdr:txBody>
    </xdr:sp>
    <xdr:clientData/>
  </xdr:oneCellAnchor>
  <xdr:twoCellAnchor editAs="oneCell">
    <xdr:from>
      <xdr:col>3</xdr:col>
      <xdr:colOff>50800</xdr:colOff>
      <xdr:row>15</xdr:row>
      <xdr:rowOff>0</xdr:rowOff>
    </xdr:from>
    <xdr:to>
      <xdr:col>3</xdr:col>
      <xdr:colOff>533400</xdr:colOff>
      <xdr:row>16</xdr:row>
      <xdr:rowOff>0</xdr:rowOff>
    </xdr:to>
    <xdr:sp macro="" textlink="">
      <xdr:nvSpPr>
        <xdr:cNvPr id="38934" name="SpinButton1" hidden="1">
          <a:extLst>
            <a:ext uri="{63B3BB69-23CF-44E3-9099-C40C66FF867C}">
              <a14:compatExt xmlns:a14="http://schemas.microsoft.com/office/drawing/2010/main" spid="_x0000_s38934"/>
            </a:ext>
            <a:ext uri="{FF2B5EF4-FFF2-40B4-BE49-F238E27FC236}">
              <a16:creationId xmlns:a16="http://schemas.microsoft.com/office/drawing/2014/main" id="{00000000-0008-0000-1600-00001698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24</xdr:col>
      <xdr:colOff>31750</xdr:colOff>
      <xdr:row>15</xdr:row>
      <xdr:rowOff>0</xdr:rowOff>
    </xdr:from>
    <xdr:to>
      <xdr:col>24</xdr:col>
      <xdr:colOff>568325</xdr:colOff>
      <xdr:row>16</xdr:row>
      <xdr:rowOff>0</xdr:rowOff>
    </xdr:to>
    <xdr:sp macro="" textlink="">
      <xdr:nvSpPr>
        <xdr:cNvPr id="38963" name="SpinButton2" hidden="1">
          <a:extLst>
            <a:ext uri="{63B3BB69-23CF-44E3-9099-C40C66FF867C}">
              <a14:compatExt xmlns:a14="http://schemas.microsoft.com/office/drawing/2010/main" spid="_x0000_s38963"/>
            </a:ext>
            <a:ext uri="{FF2B5EF4-FFF2-40B4-BE49-F238E27FC236}">
              <a16:creationId xmlns:a16="http://schemas.microsoft.com/office/drawing/2014/main" id="{00000000-0008-0000-1600-00003398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xdr:from>
      <xdr:col>29</xdr:col>
      <xdr:colOff>14113</xdr:colOff>
      <xdr:row>17</xdr:row>
      <xdr:rowOff>28223</xdr:rowOff>
    </xdr:from>
    <xdr:to>
      <xdr:col>32</xdr:col>
      <xdr:colOff>747890</xdr:colOff>
      <xdr:row>36</xdr:row>
      <xdr:rowOff>162278</xdr:rowOff>
    </xdr:to>
    <xdr:graphicFrame macro="">
      <xdr:nvGraphicFramePr>
        <xdr:cNvPr id="9" name="MonteCarlo_Figur_KumFordeling">
          <a:extLst>
            <a:ext uri="{FF2B5EF4-FFF2-40B4-BE49-F238E27FC236}">
              <a16:creationId xmlns:a16="http://schemas.microsoft.com/office/drawing/2014/main" id="{00000000-0008-0000-16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34</xdr:col>
      <xdr:colOff>14111</xdr:colOff>
      <xdr:row>17</xdr:row>
      <xdr:rowOff>14111</xdr:rowOff>
    </xdr:from>
    <xdr:to>
      <xdr:col>38</xdr:col>
      <xdr:colOff>754944</xdr:colOff>
      <xdr:row>36</xdr:row>
      <xdr:rowOff>183444</xdr:rowOff>
    </xdr:to>
    <xdr:graphicFrame macro="">
      <xdr:nvGraphicFramePr>
        <xdr:cNvPr id="10" name="MonteCarlo_Figur_Histogram">
          <a:extLst>
            <a:ext uri="{FF2B5EF4-FFF2-40B4-BE49-F238E27FC236}">
              <a16:creationId xmlns:a16="http://schemas.microsoft.com/office/drawing/2014/main" id="{00000000-0008-0000-16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40</xdr:col>
      <xdr:colOff>35277</xdr:colOff>
      <xdr:row>17</xdr:row>
      <xdr:rowOff>21167</xdr:rowOff>
    </xdr:from>
    <xdr:to>
      <xdr:col>43</xdr:col>
      <xdr:colOff>762000</xdr:colOff>
      <xdr:row>36</xdr:row>
      <xdr:rowOff>162278</xdr:rowOff>
    </xdr:to>
    <xdr:graphicFrame macro="">
      <xdr:nvGraphicFramePr>
        <xdr:cNvPr id="3" name="MonteCarlo_Figur_Snitt">
          <a:extLst>
            <a:ext uri="{FF2B5EF4-FFF2-40B4-BE49-F238E27FC236}">
              <a16:creationId xmlns:a16="http://schemas.microsoft.com/office/drawing/2014/main" id="{00000000-0008-0000-16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23</xdr:col>
      <xdr:colOff>12700</xdr:colOff>
      <xdr:row>13</xdr:row>
      <xdr:rowOff>19050</xdr:rowOff>
    </xdr:from>
    <xdr:to>
      <xdr:col>24</xdr:col>
      <xdr:colOff>1193800</xdr:colOff>
      <xdr:row>14</xdr:row>
      <xdr:rowOff>152400</xdr:rowOff>
    </xdr:to>
    <xdr:sp macro="" textlink="">
      <xdr:nvSpPr>
        <xdr:cNvPr id="39004" name="Button 92" hidden="1">
          <a:extLst>
            <a:ext uri="{63B3BB69-23CF-44E3-9099-C40C66FF867C}">
              <a14:compatExt xmlns:a14="http://schemas.microsoft.com/office/drawing/2010/main" spid="_x0000_s39004"/>
            </a:ext>
            <a:ext uri="{FF2B5EF4-FFF2-40B4-BE49-F238E27FC236}">
              <a16:creationId xmlns:a16="http://schemas.microsoft.com/office/drawing/2014/main" id="{00000000-0008-0000-1600-00005C9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nb-NO" sz="1100" b="0" i="0" u="none" strike="noStrike" baseline="0">
              <a:solidFill>
                <a:srgbClr val="000000"/>
              </a:solidFill>
              <a:latin typeface="Calibri"/>
              <a:cs typeface="Calibri"/>
            </a:rPr>
            <a:t>Lagre alle mulige hovedresultater</a:t>
          </a:r>
        </a:p>
      </xdr:txBody>
    </xdr:sp>
    <xdr:clientData fPrintsWithSheet="0"/>
  </xdr:twoCellAnchor>
  <xdr:twoCellAnchor>
    <xdr:from>
      <xdr:col>16</xdr:col>
      <xdr:colOff>69850</xdr:colOff>
      <xdr:row>17</xdr:row>
      <xdr:rowOff>44450</xdr:rowOff>
    </xdr:from>
    <xdr:to>
      <xdr:col>20</xdr:col>
      <xdr:colOff>679450</xdr:colOff>
      <xdr:row>36</xdr:row>
      <xdr:rowOff>158750</xdr:rowOff>
    </xdr:to>
    <xdr:graphicFrame macro="">
      <xdr:nvGraphicFramePr>
        <xdr:cNvPr id="19" name="Figur_EksogenVariabel">
          <a:extLst>
            <a:ext uri="{FF2B5EF4-FFF2-40B4-BE49-F238E27FC236}">
              <a16:creationId xmlns:a16="http://schemas.microsoft.com/office/drawing/2014/main" id="{00000000-0008-0000-1600-00001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23</xdr:col>
      <xdr:colOff>0</xdr:colOff>
      <xdr:row>8</xdr:row>
      <xdr:rowOff>38100</xdr:rowOff>
    </xdr:from>
    <xdr:to>
      <xdr:col>25</xdr:col>
      <xdr:colOff>0</xdr:colOff>
      <xdr:row>10</xdr:row>
      <xdr:rowOff>0</xdr:rowOff>
    </xdr:to>
    <xdr:sp macro="" textlink="">
      <xdr:nvSpPr>
        <xdr:cNvPr id="39058" name="Knapp_Simuler" hidden="1">
          <a:extLst>
            <a:ext uri="{63B3BB69-23CF-44E3-9099-C40C66FF867C}">
              <a14:compatExt xmlns:a14="http://schemas.microsoft.com/office/drawing/2010/main" spid="_x0000_s39058"/>
            </a:ext>
            <a:ext uri="{FF2B5EF4-FFF2-40B4-BE49-F238E27FC236}">
              <a16:creationId xmlns:a16="http://schemas.microsoft.com/office/drawing/2014/main" id="{00000000-0008-0000-1600-0000929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nb-NO" sz="1100" b="0" i="0" u="none" strike="noStrike" baseline="0">
              <a:solidFill>
                <a:srgbClr val="000000"/>
              </a:solidFill>
              <a:latin typeface="Calibri"/>
              <a:cs typeface="Calibri"/>
            </a:rPr>
            <a:t>Simuler</a:t>
          </a:r>
        </a:p>
      </xdr:txBody>
    </xdr:sp>
    <xdr:clientData fPrintsWithSheet="0"/>
  </xdr:twoCellAnchor>
  <mc:AlternateContent xmlns:mc="http://schemas.openxmlformats.org/markup-compatibility/2006">
    <mc:Choice xmlns:a14="http://schemas.microsoft.com/office/drawing/2010/main" Requires="a14">
      <xdr:twoCellAnchor editAs="oneCell">
        <xdr:from>
          <xdr:col>3</xdr:col>
          <xdr:colOff>50800</xdr:colOff>
          <xdr:row>15</xdr:row>
          <xdr:rowOff>0</xdr:rowOff>
        </xdr:from>
        <xdr:to>
          <xdr:col>3</xdr:col>
          <xdr:colOff>533400</xdr:colOff>
          <xdr:row>16</xdr:row>
          <xdr:rowOff>0</xdr:rowOff>
        </xdr:to>
        <xdr:sp macro="" textlink="">
          <xdr:nvSpPr>
            <xdr:cNvPr id="4" name="SpinButton1" hidden="1">
              <a:extLst>
                <a:ext uri="{63B3BB69-23CF-44E3-9099-C40C66FF867C}">
                  <a14:compatExt spid="_x0000_s38934"/>
                </a:ext>
                <a:ext uri="{FF2B5EF4-FFF2-40B4-BE49-F238E27FC236}">
                  <a16:creationId xmlns:a16="http://schemas.microsoft.com/office/drawing/2014/main" id="{00000000-0008-0000-1600-0000040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31750</xdr:colOff>
          <xdr:row>15</xdr:row>
          <xdr:rowOff>0</xdr:rowOff>
        </xdr:from>
        <xdr:to>
          <xdr:col>24</xdr:col>
          <xdr:colOff>565150</xdr:colOff>
          <xdr:row>16</xdr:row>
          <xdr:rowOff>0</xdr:rowOff>
        </xdr:to>
        <xdr:sp macro="" textlink="">
          <xdr:nvSpPr>
            <xdr:cNvPr id="5" name="SpinButton2" hidden="1">
              <a:extLst>
                <a:ext uri="{63B3BB69-23CF-44E3-9099-C40C66FF867C}">
                  <a14:compatExt spid="_x0000_s38963"/>
                </a:ext>
                <a:ext uri="{FF2B5EF4-FFF2-40B4-BE49-F238E27FC236}">
                  <a16:creationId xmlns:a16="http://schemas.microsoft.com/office/drawing/2014/main" id="{00000000-0008-0000-1600-0000050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23</xdr:col>
          <xdr:colOff>12700</xdr:colOff>
          <xdr:row>13</xdr:row>
          <xdr:rowOff>19050</xdr:rowOff>
        </xdr:from>
        <xdr:to>
          <xdr:col>24</xdr:col>
          <xdr:colOff>1193800</xdr:colOff>
          <xdr:row>14</xdr:row>
          <xdr:rowOff>152400</xdr:rowOff>
        </xdr:to>
        <xdr:sp macro="" textlink="">
          <xdr:nvSpPr>
            <xdr:cNvPr id="6" name="Button 92" hidden="1">
              <a:extLst>
                <a:ext uri="{63B3BB69-23CF-44E3-9099-C40C66FF867C}">
                  <a14:compatExt spid="_x0000_s39004"/>
                </a:ext>
                <a:ext uri="{FF2B5EF4-FFF2-40B4-BE49-F238E27FC236}">
                  <a16:creationId xmlns:a16="http://schemas.microsoft.com/office/drawing/2014/main" id="{00000000-0008-0000-1600-0000060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nb-NO" sz="1100" b="0" i="0" u="none" strike="noStrike" baseline="0">
                  <a:solidFill>
                    <a:srgbClr val="000000"/>
                  </a:solidFill>
                  <a:latin typeface="Calibri"/>
                  <a:ea typeface="Calibri"/>
                  <a:cs typeface="Calibri"/>
                </a:rPr>
                <a:t>Lagre alle mulige hovedresultater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0</xdr:colOff>
          <xdr:row>8</xdr:row>
          <xdr:rowOff>38100</xdr:rowOff>
        </xdr:from>
        <xdr:to>
          <xdr:col>25</xdr:col>
          <xdr:colOff>0</xdr:colOff>
          <xdr:row>10</xdr:row>
          <xdr:rowOff>0</xdr:rowOff>
        </xdr:to>
        <xdr:sp macro="" textlink="">
          <xdr:nvSpPr>
            <xdr:cNvPr id="7" name="Knapp_Simuler" hidden="1">
              <a:extLst>
                <a:ext uri="{63B3BB69-23CF-44E3-9099-C40C66FF867C}">
                  <a14:compatExt spid="_x0000_s39058"/>
                </a:ext>
                <a:ext uri="{FF2B5EF4-FFF2-40B4-BE49-F238E27FC236}">
                  <a16:creationId xmlns:a16="http://schemas.microsoft.com/office/drawing/2014/main" id="{00000000-0008-0000-1600-0000070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nb-NO" sz="1100" b="0" i="0" u="none" strike="noStrike" baseline="0">
                  <a:solidFill>
                    <a:srgbClr val="000000"/>
                  </a:solidFill>
                  <a:latin typeface="Calibri"/>
                  <a:ea typeface="Calibri"/>
                  <a:cs typeface="Calibri"/>
                </a:rPr>
                <a:t>Simuler</a:t>
              </a:r>
            </a:p>
          </xdr:txBody>
        </xdr:sp>
        <xdr:clientData fPrintsWithSheet="0"/>
      </xdr:twoCellAnchor>
    </mc:Choice>
    <mc:Fallback/>
  </mc:AlternateContent>
</xdr:wsDr>
</file>

<file path=xl/drawings/drawing23.xml><?xml version="1.0" encoding="utf-8"?>
<xdr:wsDr xmlns:xdr="http://schemas.openxmlformats.org/drawingml/2006/spreadsheetDrawing" xmlns:a="http://schemas.openxmlformats.org/drawingml/2006/main">
  <xdr:twoCellAnchor>
    <xdr:from>
      <xdr:col>5</xdr:col>
      <xdr:colOff>113270</xdr:colOff>
      <xdr:row>39</xdr:row>
      <xdr:rowOff>140110</xdr:rowOff>
    </xdr:from>
    <xdr:to>
      <xdr:col>19</xdr:col>
      <xdr:colOff>245270</xdr:colOff>
      <xdr:row>67</xdr:row>
      <xdr:rowOff>26110</xdr:rowOff>
    </xdr:to>
    <xdr:graphicFrame macro="">
      <xdr:nvGraphicFramePr>
        <xdr:cNvPr id="8" name="Chart 2">
          <a:extLst>
            <a:ext uri="{FF2B5EF4-FFF2-40B4-BE49-F238E27FC236}">
              <a16:creationId xmlns:a16="http://schemas.microsoft.com/office/drawing/2014/main" id="{00000000-0008-0000-1800-000008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25</xdr:col>
      <xdr:colOff>113270</xdr:colOff>
      <xdr:row>3</xdr:row>
      <xdr:rowOff>111535</xdr:rowOff>
    </xdr:from>
    <xdr:to>
      <xdr:col>39</xdr:col>
      <xdr:colOff>245270</xdr:colOff>
      <xdr:row>30</xdr:row>
      <xdr:rowOff>181685</xdr:rowOff>
    </xdr:to>
    <xdr:graphicFrame macro="">
      <xdr:nvGraphicFramePr>
        <xdr:cNvPr id="6" name="Chart 2">
          <a:extLst>
            <a:ext uri="{FF2B5EF4-FFF2-40B4-BE49-F238E27FC236}">
              <a16:creationId xmlns:a16="http://schemas.microsoft.com/office/drawing/2014/main" id="{00000000-0008-0000-1800-000006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25</xdr:col>
      <xdr:colOff>227965</xdr:colOff>
      <xdr:row>39</xdr:row>
      <xdr:rowOff>149635</xdr:rowOff>
    </xdr:from>
    <xdr:to>
      <xdr:col>39</xdr:col>
      <xdr:colOff>359965</xdr:colOff>
      <xdr:row>67</xdr:row>
      <xdr:rowOff>35635</xdr:rowOff>
    </xdr:to>
    <xdr:graphicFrame macro="">
      <xdr:nvGraphicFramePr>
        <xdr:cNvPr id="4" name="Chart 2">
          <a:extLst>
            <a:ext uri="{FF2B5EF4-FFF2-40B4-BE49-F238E27FC236}">
              <a16:creationId xmlns:a16="http://schemas.microsoft.com/office/drawing/2014/main" id="{00000000-0008-0000-18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45</xdr:col>
      <xdr:colOff>238125</xdr:colOff>
      <xdr:row>39</xdr:row>
      <xdr:rowOff>143285</xdr:rowOff>
    </xdr:from>
    <xdr:to>
      <xdr:col>59</xdr:col>
      <xdr:colOff>370125</xdr:colOff>
      <xdr:row>67</xdr:row>
      <xdr:rowOff>29285</xdr:rowOff>
    </xdr:to>
    <xdr:graphicFrame macro="">
      <xdr:nvGraphicFramePr>
        <xdr:cNvPr id="19" name="Chart 2">
          <a:extLst>
            <a:ext uri="{FF2B5EF4-FFF2-40B4-BE49-F238E27FC236}">
              <a16:creationId xmlns:a16="http://schemas.microsoft.com/office/drawing/2014/main" id="{00000000-0008-0000-1800-00001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45</xdr:col>
      <xdr:colOff>113270</xdr:colOff>
      <xdr:row>3</xdr:row>
      <xdr:rowOff>173513</xdr:rowOff>
    </xdr:from>
    <xdr:to>
      <xdr:col>59</xdr:col>
      <xdr:colOff>245270</xdr:colOff>
      <xdr:row>31</xdr:row>
      <xdr:rowOff>59513</xdr:rowOff>
    </xdr:to>
    <xdr:graphicFrame macro="">
      <xdr:nvGraphicFramePr>
        <xdr:cNvPr id="7" name="Chart 2">
          <a:extLst>
            <a:ext uri="{FF2B5EF4-FFF2-40B4-BE49-F238E27FC236}">
              <a16:creationId xmlns:a16="http://schemas.microsoft.com/office/drawing/2014/main" id="{00000000-0008-0000-1800-000007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25</xdr:col>
      <xdr:colOff>256145</xdr:colOff>
      <xdr:row>75</xdr:row>
      <xdr:rowOff>32160</xdr:rowOff>
    </xdr:from>
    <xdr:to>
      <xdr:col>39</xdr:col>
      <xdr:colOff>388145</xdr:colOff>
      <xdr:row>102</xdr:row>
      <xdr:rowOff>108660</xdr:rowOff>
    </xdr:to>
    <xdr:graphicFrame macro="">
      <xdr:nvGraphicFramePr>
        <xdr:cNvPr id="15" name="Diagram 14">
          <a:extLst>
            <a:ext uri="{FF2B5EF4-FFF2-40B4-BE49-F238E27FC236}">
              <a16:creationId xmlns:a16="http://schemas.microsoft.com/office/drawing/2014/main" id="{00000000-0008-0000-1800-00000F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5</xdr:col>
      <xdr:colOff>176770</xdr:colOff>
      <xdr:row>74</xdr:row>
      <xdr:rowOff>23812</xdr:rowOff>
    </xdr:from>
    <xdr:to>
      <xdr:col>19</xdr:col>
      <xdr:colOff>308770</xdr:colOff>
      <xdr:row>104</xdr:row>
      <xdr:rowOff>71437</xdr:rowOff>
    </xdr:to>
    <xdr:graphicFrame macro="">
      <xdr:nvGraphicFramePr>
        <xdr:cNvPr id="20" name="Diagram 19">
          <a:extLst>
            <a:ext uri="{FF2B5EF4-FFF2-40B4-BE49-F238E27FC236}">
              <a16:creationId xmlns:a16="http://schemas.microsoft.com/office/drawing/2014/main" id="{00000000-0008-0000-1800-00001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oneCellAnchor>
    <xdr:from>
      <xdr:col>1</xdr:col>
      <xdr:colOff>23812</xdr:colOff>
      <xdr:row>1</xdr:row>
      <xdr:rowOff>107155</xdr:rowOff>
    </xdr:from>
    <xdr:ext cx="5476875" cy="6179345"/>
    <xdr:sp macro="" textlink="">
      <xdr:nvSpPr>
        <xdr:cNvPr id="31" name="TekstSylinder 30">
          <a:extLst>
            <a:ext uri="{FF2B5EF4-FFF2-40B4-BE49-F238E27FC236}">
              <a16:creationId xmlns:a16="http://schemas.microsoft.com/office/drawing/2014/main" id="{00000000-0008-0000-1800-00001F000000}"/>
            </a:ext>
          </a:extLst>
        </xdr:cNvPr>
        <xdr:cNvSpPr txBox="1"/>
      </xdr:nvSpPr>
      <xdr:spPr>
        <a:xfrm>
          <a:off x="785812" y="297655"/>
          <a:ext cx="5476875" cy="6179345"/>
        </a:xfrm>
        <a:prstGeom prst="rect">
          <a:avLst/>
        </a:prstGeom>
        <a:solidFill>
          <a:srgbClr val="95B3D7"/>
        </a:solidFill>
        <a:ln w="25400">
          <a:solidFill>
            <a:sysClr val="windowText" lastClr="000000"/>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tx1"/>
        </a:fontRef>
      </xdr:style>
      <xdr:txBody>
        <a:bodyPr vertOverflow="clip" horzOverflow="clip" wrap="square" lIns="108000" tIns="0" bIns="0" rtlCol="0" anchor="t">
          <a:noAutofit/>
        </a:bodyPr>
        <a:lstStyle/>
        <a:p>
          <a:r>
            <a:rPr lang="nb-NO" sz="3600" b="1">
              <a:solidFill>
                <a:schemeClr val="tx1"/>
              </a:solidFill>
              <a:effectLst/>
              <a:latin typeface="+mn-lt"/>
              <a:ea typeface="+mn-ea"/>
              <a:cs typeface="+mn-cs"/>
            </a:rPr>
            <a:t>Informasjon </a:t>
          </a:r>
          <a:endParaRPr lang="nb-NO" sz="4400">
            <a:effectLst/>
          </a:endParaRPr>
        </a:p>
        <a:p>
          <a:r>
            <a:rPr lang="nb-NO" sz="3600" i="1">
              <a:solidFill>
                <a:schemeClr val="tx1"/>
              </a:solidFill>
              <a:effectLst/>
              <a:latin typeface="+mn-lt"/>
              <a:ea typeface="+mn-ea"/>
              <a:cs typeface="+mn-cs"/>
            </a:rPr>
            <a:t>Her vises en</a:t>
          </a:r>
          <a:r>
            <a:rPr lang="nb-NO" sz="3600" i="1" baseline="0">
              <a:solidFill>
                <a:schemeClr val="tx1"/>
              </a:solidFill>
              <a:effectLst/>
              <a:latin typeface="+mn-lt"/>
              <a:ea typeface="+mn-ea"/>
              <a:cs typeface="+mn-cs"/>
            </a:rPr>
            <a:t> oversikt over figurer basert på tverrsnittdata. Figurene henter data fra ark 4.1 Resultatark. </a:t>
          </a:r>
          <a:r>
            <a:rPr lang="nb-NO" sz="3600" i="1">
              <a:solidFill>
                <a:schemeClr val="tx1"/>
              </a:solidFill>
              <a:effectLst/>
              <a:latin typeface="+mn-lt"/>
              <a:ea typeface="+mn-ea"/>
              <a:cs typeface="+mn-cs"/>
            </a:rPr>
            <a:t> </a:t>
          </a:r>
        </a:p>
        <a:p>
          <a:r>
            <a:rPr lang="nb-NO" sz="3600" i="1">
              <a:solidFill>
                <a:schemeClr val="tx1"/>
              </a:solidFill>
              <a:effectLst/>
              <a:latin typeface="+mn-lt"/>
              <a:ea typeface="+mn-ea"/>
              <a:cs typeface="+mn-cs"/>
            </a:rPr>
            <a:t>Zoom</a:t>
          </a:r>
          <a:r>
            <a:rPr lang="nb-NO" sz="3600" i="1" baseline="0">
              <a:solidFill>
                <a:schemeClr val="tx1"/>
              </a:solidFill>
              <a:effectLst/>
              <a:latin typeface="+mn-lt"/>
              <a:ea typeface="+mn-ea"/>
              <a:cs typeface="+mn-cs"/>
            </a:rPr>
            <a:t> inn på figurene med menyen til høyre.</a:t>
          </a:r>
        </a:p>
        <a:p>
          <a:r>
            <a:rPr lang="nb-NO" sz="3600" i="1" baseline="0">
              <a:solidFill>
                <a:schemeClr val="tx1"/>
              </a:solidFill>
              <a:effectLst/>
              <a:latin typeface="+mn-lt"/>
              <a:ea typeface="+mn-ea"/>
              <a:cs typeface="+mn-cs"/>
            </a:rPr>
            <a:t>Kronebeløp er neddiskontert til diskonteringsåret, og prisnivået er for kroneåret.</a:t>
          </a:r>
        </a:p>
      </xdr:txBody>
    </xdr:sp>
    <xdr:clientData/>
  </xdr:oneCellAnchor>
  <xdr:twoCellAnchor>
    <xdr:from>
      <xdr:col>8</xdr:col>
      <xdr:colOff>309562</xdr:colOff>
      <xdr:row>1</xdr:row>
      <xdr:rowOff>107474</xdr:rowOff>
    </xdr:from>
    <xdr:to>
      <xdr:col>20</xdr:col>
      <xdr:colOff>30079</xdr:colOff>
      <xdr:row>34</xdr:row>
      <xdr:rowOff>-1</xdr:rowOff>
    </xdr:to>
    <xdr:sp macro="" textlink="">
      <xdr:nvSpPr>
        <xdr:cNvPr id="32" name="Rektangel 31">
          <a:extLst>
            <a:ext uri="{FF2B5EF4-FFF2-40B4-BE49-F238E27FC236}">
              <a16:creationId xmlns:a16="http://schemas.microsoft.com/office/drawing/2014/main" id="{00000000-0008-0000-1800-000020000000}"/>
            </a:ext>
          </a:extLst>
        </xdr:cNvPr>
        <xdr:cNvSpPr/>
      </xdr:nvSpPr>
      <xdr:spPr>
        <a:xfrm>
          <a:off x="6405562" y="297974"/>
          <a:ext cx="8864517" cy="6179025"/>
        </a:xfrm>
        <a:prstGeom prst="rect">
          <a:avLst/>
        </a:prstGeom>
        <a:solidFill>
          <a:srgbClr val="95B3D7"/>
        </a:solidFill>
        <a:ln w="25400">
          <a:solidFill>
            <a:schemeClr val="tx1"/>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b-NO" sz="1100"/>
        </a:p>
      </xdr:txBody>
    </xdr:sp>
    <xdr:clientData/>
  </xdr:twoCellAnchor>
  <xdr:twoCellAnchor>
    <xdr:from>
      <xdr:col>1</xdr:col>
      <xdr:colOff>127000</xdr:colOff>
      <xdr:row>37</xdr:row>
      <xdr:rowOff>142875</xdr:rowOff>
    </xdr:from>
    <xdr:to>
      <xdr:col>4</xdr:col>
      <xdr:colOff>541000</xdr:colOff>
      <xdr:row>69</xdr:row>
      <xdr:rowOff>23345</xdr:rowOff>
    </xdr:to>
    <xdr:sp macro="" textlink="">
      <xdr:nvSpPr>
        <xdr:cNvPr id="40" name="Rektangel 39">
          <a:extLst>
            <a:ext uri="{FF2B5EF4-FFF2-40B4-BE49-F238E27FC236}">
              <a16:creationId xmlns:a16="http://schemas.microsoft.com/office/drawing/2014/main" id="{00000000-0008-0000-1800-000028000000}"/>
            </a:ext>
          </a:extLst>
        </xdr:cNvPr>
        <xdr:cNvSpPr/>
      </xdr:nvSpPr>
      <xdr:spPr>
        <a:xfrm>
          <a:off x="889000" y="6429375"/>
          <a:ext cx="2700000" cy="5976470"/>
        </a:xfrm>
        <a:prstGeom prst="rect">
          <a:avLst/>
        </a:prstGeom>
        <a:solidFill>
          <a:srgbClr val="B9CDE5"/>
        </a:solidFill>
        <a:ln>
          <a:solidFill>
            <a:schemeClr val="accent1">
              <a:shade val="50000"/>
            </a:schemeClr>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b-NO" sz="1100"/>
        </a:p>
        <a:p>
          <a:pPr algn="l"/>
          <a:endParaRPr lang="nb-NO" sz="1100"/>
        </a:p>
        <a:p>
          <a:pPr algn="l"/>
          <a:endParaRPr lang="nb-NO" sz="1100"/>
        </a:p>
        <a:p>
          <a:pPr algn="l"/>
          <a:endParaRPr lang="nb-NO" sz="1100"/>
        </a:p>
        <a:p>
          <a:pPr algn="l"/>
          <a:endParaRPr lang="nb-NO" sz="1100"/>
        </a:p>
        <a:p>
          <a:pPr algn="l"/>
          <a:endParaRPr lang="nb-NO" sz="1100"/>
        </a:p>
        <a:p>
          <a:pPr algn="l"/>
          <a:r>
            <a:rPr lang="nb-NO" sz="1100">
              <a:solidFill>
                <a:sysClr val="windowText" lastClr="000000"/>
              </a:solidFill>
            </a:rPr>
            <a:t>Figuren viser om nåverdien til ulike hovedstørrelser</a:t>
          </a:r>
          <a:r>
            <a:rPr lang="nb-NO" sz="1100" baseline="0">
              <a:solidFill>
                <a:sysClr val="windowText" lastClr="000000"/>
              </a:solidFill>
            </a:rPr>
            <a:t> </a:t>
          </a:r>
          <a:r>
            <a:rPr lang="nb-NO" sz="1100">
              <a:solidFill>
                <a:sysClr val="windowText" lastClr="000000"/>
              </a:solidFill>
            </a:rPr>
            <a:t>bidrar positivt eller negativt til den samlede netto nåverdien, samt størrelsen på bidraget. </a:t>
          </a:r>
          <a:r>
            <a:rPr lang="nb-NO" sz="1100" baseline="0">
              <a:solidFill>
                <a:sysClr val="windowText" lastClr="000000"/>
              </a:solidFill>
            </a:rPr>
            <a:t>Det liggende fossefallsdiagrammet leses best fra topp til bunn. </a:t>
          </a:r>
        </a:p>
        <a:p>
          <a:pPr algn="l"/>
          <a:r>
            <a:rPr lang="nb-NO" sz="1100" baseline="0">
              <a:solidFill>
                <a:sysClr val="windowText" lastClr="000000"/>
              </a:solidFill>
            </a:rPr>
            <a:t>Diagrametikettene viser de respektive hovedstørrelsenes nåverdi i mill. kroner. </a:t>
          </a:r>
        </a:p>
        <a:p>
          <a:pPr algn="l"/>
          <a:r>
            <a:rPr lang="nb-NO" sz="1100" baseline="0">
              <a:solidFill>
                <a:sysClr val="windowText" lastClr="000000"/>
              </a:solidFill>
            </a:rPr>
            <a:t>X-aksen viser mill. kroner. </a:t>
          </a:r>
        </a:p>
      </xdr:txBody>
    </xdr:sp>
    <xdr:clientData/>
  </xdr:twoCellAnchor>
  <xdr:twoCellAnchor>
    <xdr:from>
      <xdr:col>1</xdr:col>
      <xdr:colOff>127000</xdr:colOff>
      <xdr:row>73</xdr:row>
      <xdr:rowOff>142875</xdr:rowOff>
    </xdr:from>
    <xdr:to>
      <xdr:col>4</xdr:col>
      <xdr:colOff>541000</xdr:colOff>
      <xdr:row>105</xdr:row>
      <xdr:rowOff>23345</xdr:rowOff>
    </xdr:to>
    <xdr:sp macro="" textlink="">
      <xdr:nvSpPr>
        <xdr:cNvPr id="41" name="Rektangel 40">
          <a:extLst>
            <a:ext uri="{FF2B5EF4-FFF2-40B4-BE49-F238E27FC236}">
              <a16:creationId xmlns:a16="http://schemas.microsoft.com/office/drawing/2014/main" id="{00000000-0008-0000-1800-000029000000}"/>
            </a:ext>
          </a:extLst>
        </xdr:cNvPr>
        <xdr:cNvSpPr/>
      </xdr:nvSpPr>
      <xdr:spPr>
        <a:xfrm>
          <a:off x="889000" y="26431875"/>
          <a:ext cx="2700000" cy="5976470"/>
        </a:xfrm>
        <a:prstGeom prst="rect">
          <a:avLst/>
        </a:prstGeom>
        <a:solidFill>
          <a:srgbClr val="B9CDE5"/>
        </a:solidFill>
        <a:ln>
          <a:solidFill>
            <a:schemeClr val="accent1">
              <a:shade val="50000"/>
            </a:schemeClr>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b-NO" sz="1100"/>
        </a:p>
        <a:p>
          <a:pPr algn="l"/>
          <a:endParaRPr lang="nb-NO" sz="1100"/>
        </a:p>
        <a:p>
          <a:pPr algn="l"/>
          <a:endParaRPr lang="nb-NO" sz="1100"/>
        </a:p>
        <a:p>
          <a:pPr algn="l"/>
          <a:endParaRPr lang="nb-NO" sz="1100"/>
        </a:p>
        <a:p>
          <a:pPr algn="l"/>
          <a:endParaRPr lang="nb-NO" sz="1100"/>
        </a:p>
        <a:p>
          <a:pPr algn="l"/>
          <a:endParaRPr lang="nb-NO" sz="1100"/>
        </a:p>
        <a:p>
          <a:endParaRPr lang="nb-NO">
            <a:effectLst/>
          </a:endParaRPr>
        </a:p>
        <a:p>
          <a:pPr algn="l"/>
          <a:r>
            <a:rPr lang="nb-NO" sz="1100">
              <a:solidFill>
                <a:sysClr val="windowText" lastClr="000000"/>
              </a:solidFill>
              <a:effectLst/>
              <a:latin typeface="+mn-lt"/>
              <a:ea typeface="+mn-ea"/>
              <a:cs typeface="+mn-cs"/>
            </a:rPr>
            <a:t>I dette og de to høyreliggende kakediagrammene blir de</a:t>
          </a:r>
          <a:r>
            <a:rPr lang="nb-NO" sz="1100" baseline="0">
              <a:solidFill>
                <a:sysClr val="windowText" lastClr="000000"/>
              </a:solidFill>
              <a:effectLst/>
              <a:latin typeface="+mn-lt"/>
              <a:ea typeface="+mn-ea"/>
              <a:cs typeface="+mn-cs"/>
            </a:rPr>
            <a:t> ulike hovedstørrelsenes bidrag til samlet netto nåverdi for prosjektet illustrert.</a:t>
          </a:r>
        </a:p>
        <a:p>
          <a:pPr algn="l"/>
          <a:r>
            <a:rPr lang="nb-NO" sz="1100" baseline="0">
              <a:solidFill>
                <a:sysClr val="windowText" lastClr="000000"/>
              </a:solidFill>
              <a:effectLst/>
              <a:latin typeface="+mn-lt"/>
              <a:ea typeface="+mn-ea"/>
              <a:cs typeface="+mn-cs"/>
            </a:rPr>
            <a:t>I dette kakediagrammet (1/3) er de positive og negative hovedstørrelsene gruppert, for å illustrere hvilken av de to som er dominerende. Etikettene viser den absolutte størrelsen til de positive og negative virkningene i nåverdi, i mill. kroner.</a:t>
          </a:r>
          <a:endParaRPr lang="nb-NO">
            <a:solidFill>
              <a:sysClr val="windowText" lastClr="000000"/>
            </a:solidFill>
            <a:effectLst/>
          </a:endParaRPr>
        </a:p>
      </xdr:txBody>
    </xdr:sp>
    <xdr:clientData/>
  </xdr:twoCellAnchor>
  <xdr:twoCellAnchor>
    <xdr:from>
      <xdr:col>41</xdr:col>
      <xdr:colOff>130175</xdr:colOff>
      <xdr:row>37</xdr:row>
      <xdr:rowOff>146050</xdr:rowOff>
    </xdr:from>
    <xdr:to>
      <xdr:col>44</xdr:col>
      <xdr:colOff>544175</xdr:colOff>
      <xdr:row>69</xdr:row>
      <xdr:rowOff>26520</xdr:rowOff>
    </xdr:to>
    <xdr:sp macro="" textlink="">
      <xdr:nvSpPr>
        <xdr:cNvPr id="43" name="Rektangel 42">
          <a:extLst>
            <a:ext uri="{FF2B5EF4-FFF2-40B4-BE49-F238E27FC236}">
              <a16:creationId xmlns:a16="http://schemas.microsoft.com/office/drawing/2014/main" id="{00000000-0008-0000-1800-00002B000000}"/>
            </a:ext>
          </a:extLst>
        </xdr:cNvPr>
        <xdr:cNvSpPr/>
      </xdr:nvSpPr>
      <xdr:spPr>
        <a:xfrm>
          <a:off x="31372175" y="7194550"/>
          <a:ext cx="2700000" cy="5976470"/>
        </a:xfrm>
        <a:prstGeom prst="rect">
          <a:avLst/>
        </a:prstGeom>
        <a:solidFill>
          <a:srgbClr val="B9CDE5"/>
        </a:solidFill>
        <a:ln>
          <a:solidFill>
            <a:schemeClr val="accent1">
              <a:shade val="50000"/>
            </a:schemeClr>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b-NO" sz="1100"/>
        </a:p>
        <a:p>
          <a:pPr algn="l"/>
          <a:endParaRPr lang="nb-NO" sz="1100"/>
        </a:p>
        <a:p>
          <a:pPr algn="l"/>
          <a:endParaRPr lang="nb-NO" sz="1100"/>
        </a:p>
        <a:p>
          <a:pPr algn="l"/>
          <a:endParaRPr lang="nb-NO" sz="1100"/>
        </a:p>
        <a:p>
          <a:pPr algn="l"/>
          <a:endParaRPr lang="nb-NO" sz="1100"/>
        </a:p>
        <a:p>
          <a:pPr algn="l"/>
          <a:endParaRPr lang="nb-NO" sz="1100"/>
        </a:p>
        <a:p>
          <a:pPr algn="l"/>
          <a:endParaRPr lang="nb-NO" sz="1100"/>
        </a:p>
        <a:p>
          <a:endParaRPr lang="nb-NO">
            <a:effectLst/>
          </a:endParaRPr>
        </a:p>
        <a:p>
          <a:pPr algn="l"/>
          <a:r>
            <a:rPr lang="nb-NO" sz="1100">
              <a:solidFill>
                <a:sysClr val="windowText" lastClr="000000"/>
              </a:solidFill>
              <a:effectLst/>
              <a:latin typeface="+mn-lt"/>
              <a:ea typeface="+mn-ea"/>
              <a:cs typeface="+mn-cs"/>
            </a:rPr>
            <a:t>Figuren viser hvordan ulike elementer bidrar til samlet nytte</a:t>
          </a:r>
          <a:r>
            <a:rPr lang="nb-NO" sz="1100" baseline="0">
              <a:solidFill>
                <a:sysClr val="windowText" lastClr="000000"/>
              </a:solidFill>
              <a:effectLst/>
              <a:latin typeface="+mn-lt"/>
              <a:ea typeface="+mn-ea"/>
              <a:cs typeface="+mn-cs"/>
            </a:rPr>
            <a:t> for samfunnet for øvrig</a:t>
          </a:r>
          <a:r>
            <a:rPr lang="nb-NO" sz="1100">
              <a:solidFill>
                <a:sysClr val="windowText" lastClr="000000"/>
              </a:solidFill>
              <a:effectLst/>
              <a:latin typeface="+mn-lt"/>
              <a:ea typeface="+mn-ea"/>
              <a:cs typeface="+mn-cs"/>
            </a:rPr>
            <a:t>, i nåverdi. Det liggende fossefallsdiagrammet leses best fra topp til bunn. </a:t>
          </a:r>
        </a:p>
        <a:p>
          <a:pPr algn="l"/>
          <a:r>
            <a:rPr lang="nb-NO" sz="1100">
              <a:solidFill>
                <a:sysClr val="windowText" lastClr="000000"/>
              </a:solidFill>
              <a:effectLst/>
              <a:latin typeface="+mn-lt"/>
              <a:ea typeface="+mn-ea"/>
              <a:cs typeface="+mn-cs"/>
            </a:rPr>
            <a:t>Diagrametikettene viser de respektive faktorenes nåverdi i mill. kroner. </a:t>
          </a:r>
        </a:p>
        <a:p>
          <a:pPr algn="l"/>
          <a:r>
            <a:rPr lang="nb-NO" sz="1100">
              <a:solidFill>
                <a:sysClr val="windowText" lastClr="000000"/>
              </a:solidFill>
              <a:effectLst/>
              <a:latin typeface="+mn-lt"/>
              <a:ea typeface="+mn-ea"/>
              <a:cs typeface="+mn-cs"/>
            </a:rPr>
            <a:t>X-aksen viser mill. kroner.</a:t>
          </a:r>
          <a:endParaRPr lang="nb-NO">
            <a:solidFill>
              <a:sysClr val="windowText" lastClr="000000"/>
            </a:solidFill>
            <a:effectLst/>
          </a:endParaRPr>
        </a:p>
        <a:p>
          <a:pPr algn="l"/>
          <a:endParaRPr lang="nb-NO" sz="1100"/>
        </a:p>
      </xdr:txBody>
    </xdr:sp>
    <xdr:clientData/>
  </xdr:twoCellAnchor>
  <xdr:twoCellAnchor>
    <xdr:from>
      <xdr:col>21</xdr:col>
      <xdr:colOff>174625</xdr:colOff>
      <xdr:row>73</xdr:row>
      <xdr:rowOff>157163</xdr:rowOff>
    </xdr:from>
    <xdr:to>
      <xdr:col>24</xdr:col>
      <xdr:colOff>588625</xdr:colOff>
      <xdr:row>105</xdr:row>
      <xdr:rowOff>31283</xdr:rowOff>
    </xdr:to>
    <xdr:sp macro="" textlink="">
      <xdr:nvSpPr>
        <xdr:cNvPr id="45" name="Rektangel 44">
          <a:extLst>
            <a:ext uri="{FF2B5EF4-FFF2-40B4-BE49-F238E27FC236}">
              <a16:creationId xmlns:a16="http://schemas.microsoft.com/office/drawing/2014/main" id="{00000000-0008-0000-1800-00002D000000}"/>
            </a:ext>
          </a:extLst>
        </xdr:cNvPr>
        <xdr:cNvSpPr/>
      </xdr:nvSpPr>
      <xdr:spPr>
        <a:xfrm>
          <a:off x="16176625" y="14063663"/>
          <a:ext cx="2700000" cy="5970120"/>
        </a:xfrm>
        <a:prstGeom prst="rect">
          <a:avLst/>
        </a:prstGeom>
        <a:solidFill>
          <a:srgbClr val="B9CDE5"/>
        </a:solidFill>
        <a:ln>
          <a:solidFill>
            <a:schemeClr val="accent1">
              <a:shade val="50000"/>
            </a:schemeClr>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b-NO" sz="1100"/>
        </a:p>
        <a:p>
          <a:pPr algn="l"/>
          <a:endParaRPr lang="nb-NO" sz="1100"/>
        </a:p>
        <a:p>
          <a:pPr algn="l"/>
          <a:endParaRPr lang="nb-NO" sz="1100"/>
        </a:p>
        <a:p>
          <a:pPr algn="l"/>
          <a:endParaRPr lang="nb-NO" sz="1100"/>
        </a:p>
        <a:p>
          <a:pPr algn="l"/>
          <a:endParaRPr lang="nb-NO" sz="1100"/>
        </a:p>
        <a:p>
          <a:pPr algn="l"/>
          <a:endParaRPr lang="nb-NO" sz="1100"/>
        </a:p>
        <a:p>
          <a:pPr algn="l"/>
          <a:endParaRPr lang="nb-NO" sz="1100"/>
        </a:p>
        <a:p>
          <a:pPr algn="l"/>
          <a:endParaRPr lang="nb-NO" sz="1100"/>
        </a:p>
        <a:p>
          <a:endParaRPr lang="nb-NO">
            <a:effectLst/>
          </a:endParaRPr>
        </a:p>
        <a:p>
          <a:pPr algn="l"/>
          <a:r>
            <a:rPr lang="nb-NO" sz="1100" baseline="0">
              <a:solidFill>
                <a:sysClr val="windowText" lastClr="000000"/>
              </a:solidFill>
              <a:effectLst/>
              <a:latin typeface="+mn-lt"/>
              <a:ea typeface="+mn-ea"/>
              <a:cs typeface="+mn-cs"/>
            </a:rPr>
            <a:t>Denne figuren viser hvordan ulike trafikantnytteelementer bidrar til samlet trafikantnytte, nåverdi i mill. kroner. I det overførte diagrammet "Overført fra andre transportmidler til tog" vises en dekomponering av økt nytte for reisende som skifter transportmiddel til tog, etter hvilket transportmiddel de byttet fra.</a:t>
          </a:r>
        </a:p>
        <a:p>
          <a:pPr algn="l"/>
          <a:endParaRPr lang="nb-NO" sz="1100" baseline="0">
            <a:solidFill>
              <a:sysClr val="windowText" lastClr="000000"/>
            </a:solidFill>
            <a:effectLst/>
            <a:latin typeface="+mn-lt"/>
            <a:ea typeface="+mn-ea"/>
            <a:cs typeface="+mn-cs"/>
          </a:endParaRPr>
        </a:p>
        <a:p>
          <a:pPr algn="l"/>
          <a:r>
            <a:rPr lang="nb-NO" sz="1100" baseline="0">
              <a:solidFill>
                <a:sysClr val="windowText" lastClr="000000"/>
              </a:solidFill>
              <a:effectLst/>
              <a:latin typeface="+mn-lt"/>
              <a:ea typeface="+mn-ea"/>
              <a:cs typeface="+mn-cs"/>
            </a:rPr>
            <a:t>Merk: kakediagram kan ikke vise negative verdier. Denne figuren vil derfor bare vises dersom samtlige verdier er større eller lik null.  </a:t>
          </a:r>
          <a:endParaRPr lang="nb-NO">
            <a:solidFill>
              <a:sysClr val="windowText" lastClr="000000"/>
            </a:solidFill>
            <a:effectLst/>
          </a:endParaRPr>
        </a:p>
        <a:p>
          <a:pPr algn="ctr"/>
          <a:endParaRPr lang="nb-NO" sz="1100"/>
        </a:p>
      </xdr:txBody>
    </xdr:sp>
    <xdr:clientData/>
  </xdr:twoCellAnchor>
  <xdr:twoCellAnchor>
    <xdr:from>
      <xdr:col>21</xdr:col>
      <xdr:colOff>127000</xdr:colOff>
      <xdr:row>1</xdr:row>
      <xdr:rowOff>146050</xdr:rowOff>
    </xdr:from>
    <xdr:to>
      <xdr:col>24</xdr:col>
      <xdr:colOff>541000</xdr:colOff>
      <xdr:row>33</xdr:row>
      <xdr:rowOff>26520</xdr:rowOff>
    </xdr:to>
    <xdr:sp macro="" textlink="">
      <xdr:nvSpPr>
        <xdr:cNvPr id="48" name="Rektangel 47">
          <a:extLst>
            <a:ext uri="{FF2B5EF4-FFF2-40B4-BE49-F238E27FC236}">
              <a16:creationId xmlns:a16="http://schemas.microsoft.com/office/drawing/2014/main" id="{00000000-0008-0000-1800-000030000000}"/>
            </a:ext>
          </a:extLst>
        </xdr:cNvPr>
        <xdr:cNvSpPr/>
      </xdr:nvSpPr>
      <xdr:spPr>
        <a:xfrm>
          <a:off x="889000" y="13100050"/>
          <a:ext cx="2700000" cy="5976470"/>
        </a:xfrm>
        <a:prstGeom prst="rect">
          <a:avLst/>
        </a:prstGeom>
        <a:solidFill>
          <a:srgbClr val="B9CDE5"/>
        </a:solidFill>
        <a:ln>
          <a:solidFill>
            <a:schemeClr val="accent1">
              <a:shade val="50000"/>
            </a:schemeClr>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nb-NO">
            <a:effectLst/>
          </a:endParaRPr>
        </a:p>
        <a:p>
          <a:endParaRPr lang="nb-NO">
            <a:effectLst/>
          </a:endParaRPr>
        </a:p>
        <a:p>
          <a:endParaRPr lang="nb-NO">
            <a:effectLst/>
          </a:endParaRPr>
        </a:p>
        <a:p>
          <a:endParaRPr lang="nb-NO">
            <a:effectLst/>
          </a:endParaRPr>
        </a:p>
        <a:p>
          <a:endParaRPr lang="nb-NO">
            <a:effectLst/>
          </a:endParaRPr>
        </a:p>
        <a:p>
          <a:endParaRPr lang="nb-NO">
            <a:effectLst/>
          </a:endParaRPr>
        </a:p>
        <a:p>
          <a:endParaRPr lang="nb-NO">
            <a:effectLst/>
          </a:endParaRPr>
        </a:p>
        <a:p>
          <a:pPr algn="l"/>
          <a:r>
            <a:rPr lang="nb-NO">
              <a:solidFill>
                <a:sysClr val="windowText" lastClr="000000"/>
              </a:solidFill>
              <a:effectLst/>
            </a:rPr>
            <a:t>Figuren viser hvordan ulike trafikantnytteelementer</a:t>
          </a:r>
          <a:r>
            <a:rPr lang="nb-NO" baseline="0">
              <a:solidFill>
                <a:sysClr val="windowText" lastClr="000000"/>
              </a:solidFill>
              <a:effectLst/>
            </a:rPr>
            <a:t> bidrar til samlet trafikantnytte, i nåverdi. Det liggende fossefallsdiagrammet leses best fra topp til bunn. </a:t>
          </a:r>
        </a:p>
        <a:p>
          <a:pPr algn="l"/>
          <a:r>
            <a:rPr lang="nb-NO" baseline="0">
              <a:solidFill>
                <a:sysClr val="windowText" lastClr="000000"/>
              </a:solidFill>
              <a:effectLst/>
            </a:rPr>
            <a:t>Diagrametikettene viser de respektive faktorenes nåverdi i mill. kroner. </a:t>
          </a:r>
        </a:p>
        <a:p>
          <a:pPr algn="l"/>
          <a:r>
            <a:rPr lang="nb-NO" baseline="0">
              <a:solidFill>
                <a:sysClr val="windowText" lastClr="000000"/>
              </a:solidFill>
              <a:effectLst/>
            </a:rPr>
            <a:t>X-aksen viser mill. kroner. </a:t>
          </a:r>
        </a:p>
        <a:p>
          <a:pPr algn="l"/>
          <a:r>
            <a:rPr lang="nb-NO" baseline="0">
              <a:solidFill>
                <a:sysClr val="windowText" lastClr="000000"/>
              </a:solidFill>
              <a:effectLst/>
            </a:rPr>
            <a:t> </a:t>
          </a:r>
          <a:endParaRPr lang="nb-NO">
            <a:solidFill>
              <a:sysClr val="windowText" lastClr="000000"/>
            </a:solidFill>
            <a:effectLst/>
          </a:endParaRPr>
        </a:p>
        <a:p>
          <a:pPr algn="l"/>
          <a:endParaRPr lang="nb-NO" sz="1100"/>
        </a:p>
      </xdr:txBody>
    </xdr:sp>
    <xdr:clientData/>
  </xdr:twoCellAnchor>
  <xdr:twoCellAnchor>
    <xdr:from>
      <xdr:col>41</xdr:col>
      <xdr:colOff>127000</xdr:colOff>
      <xdr:row>1</xdr:row>
      <xdr:rowOff>179453</xdr:rowOff>
    </xdr:from>
    <xdr:to>
      <xdr:col>44</xdr:col>
      <xdr:colOff>541000</xdr:colOff>
      <xdr:row>33</xdr:row>
      <xdr:rowOff>53573</xdr:rowOff>
    </xdr:to>
    <xdr:sp macro="" textlink="">
      <xdr:nvSpPr>
        <xdr:cNvPr id="54" name="Rektangel 53">
          <a:extLst>
            <a:ext uri="{FF2B5EF4-FFF2-40B4-BE49-F238E27FC236}">
              <a16:creationId xmlns:a16="http://schemas.microsoft.com/office/drawing/2014/main" id="{00000000-0008-0000-1800-000036000000}"/>
            </a:ext>
          </a:extLst>
        </xdr:cNvPr>
        <xdr:cNvSpPr/>
      </xdr:nvSpPr>
      <xdr:spPr>
        <a:xfrm>
          <a:off x="889000" y="19800953"/>
          <a:ext cx="2700000" cy="5970120"/>
        </a:xfrm>
        <a:prstGeom prst="rect">
          <a:avLst/>
        </a:prstGeom>
        <a:solidFill>
          <a:srgbClr val="B9CDE5"/>
        </a:solidFill>
        <a:ln>
          <a:solidFill>
            <a:schemeClr val="accent1">
              <a:shade val="50000"/>
            </a:schemeClr>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b-NO" sz="1100"/>
        </a:p>
        <a:p>
          <a:pPr algn="l"/>
          <a:endParaRPr lang="nb-NO" sz="1100"/>
        </a:p>
        <a:p>
          <a:pPr algn="l"/>
          <a:endParaRPr lang="nb-NO" sz="1100"/>
        </a:p>
        <a:p>
          <a:pPr algn="l"/>
          <a:endParaRPr lang="nb-NO" sz="1100"/>
        </a:p>
        <a:p>
          <a:pPr algn="l"/>
          <a:endParaRPr lang="nb-NO" sz="1100"/>
        </a:p>
        <a:p>
          <a:pPr algn="l"/>
          <a:endParaRPr lang="nb-NO" sz="1100"/>
        </a:p>
        <a:p>
          <a:endParaRPr lang="nb-NO">
            <a:effectLst/>
          </a:endParaRPr>
        </a:p>
        <a:p>
          <a:pPr algn="l"/>
          <a:r>
            <a:rPr lang="nb-NO" sz="1100">
              <a:solidFill>
                <a:sysClr val="windowText" lastClr="000000"/>
              </a:solidFill>
              <a:effectLst/>
              <a:latin typeface="+mn-lt"/>
              <a:ea typeface="+mn-ea"/>
              <a:cs typeface="+mn-cs"/>
            </a:rPr>
            <a:t>Figuren viser hvordan ulike elementer bidrar til samlet nytte for det offentlige, i nåverdi. Det liggende fossefallsdiagrammet leses best fra topp til bunn. </a:t>
          </a:r>
        </a:p>
        <a:p>
          <a:pPr algn="l"/>
          <a:r>
            <a:rPr lang="nb-NO" sz="1100">
              <a:solidFill>
                <a:sysClr val="windowText" lastClr="000000"/>
              </a:solidFill>
              <a:effectLst/>
              <a:latin typeface="+mn-lt"/>
              <a:ea typeface="+mn-ea"/>
              <a:cs typeface="+mn-cs"/>
            </a:rPr>
            <a:t>Diagrametikettene viser de respektive elementenes nåverdi i mill. kroner. </a:t>
          </a:r>
        </a:p>
        <a:p>
          <a:pPr algn="l"/>
          <a:r>
            <a:rPr lang="nb-NO" sz="1100">
              <a:solidFill>
                <a:sysClr val="windowText" lastClr="000000"/>
              </a:solidFill>
              <a:effectLst/>
              <a:latin typeface="+mn-lt"/>
              <a:ea typeface="+mn-ea"/>
              <a:cs typeface="+mn-cs"/>
            </a:rPr>
            <a:t>X-aksen viser mill. kroner. </a:t>
          </a:r>
        </a:p>
      </xdr:txBody>
    </xdr:sp>
    <xdr:clientData/>
  </xdr:twoCellAnchor>
  <xdr:twoCellAnchor>
    <xdr:from>
      <xdr:col>21</xdr:col>
      <xdr:colOff>130175</xdr:colOff>
      <xdr:row>37</xdr:row>
      <xdr:rowOff>152400</xdr:rowOff>
    </xdr:from>
    <xdr:to>
      <xdr:col>24</xdr:col>
      <xdr:colOff>544175</xdr:colOff>
      <xdr:row>69</xdr:row>
      <xdr:rowOff>32870</xdr:rowOff>
    </xdr:to>
    <xdr:sp macro="" textlink="">
      <xdr:nvSpPr>
        <xdr:cNvPr id="55" name="Rektangel 54">
          <a:extLst>
            <a:ext uri="{FF2B5EF4-FFF2-40B4-BE49-F238E27FC236}">
              <a16:creationId xmlns:a16="http://schemas.microsoft.com/office/drawing/2014/main" id="{00000000-0008-0000-1800-000037000000}"/>
            </a:ext>
          </a:extLst>
        </xdr:cNvPr>
        <xdr:cNvSpPr/>
      </xdr:nvSpPr>
      <xdr:spPr>
        <a:xfrm>
          <a:off x="16132175" y="7021945"/>
          <a:ext cx="2700000" cy="5791743"/>
        </a:xfrm>
        <a:prstGeom prst="rect">
          <a:avLst/>
        </a:prstGeom>
        <a:solidFill>
          <a:srgbClr val="B9CDE5"/>
        </a:solidFill>
        <a:ln>
          <a:solidFill>
            <a:schemeClr val="accent1">
              <a:shade val="50000"/>
            </a:schemeClr>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b-NO" sz="1100"/>
        </a:p>
        <a:p>
          <a:pPr algn="l"/>
          <a:endParaRPr lang="nb-NO" sz="1100"/>
        </a:p>
        <a:p>
          <a:pPr algn="l"/>
          <a:endParaRPr lang="nb-NO" sz="1100"/>
        </a:p>
        <a:p>
          <a:pPr algn="l"/>
          <a:endParaRPr lang="nb-NO" sz="1100"/>
        </a:p>
        <a:p>
          <a:pPr algn="l"/>
          <a:endParaRPr lang="nb-NO" sz="1100"/>
        </a:p>
        <a:p>
          <a:pPr algn="l"/>
          <a:endParaRPr lang="nb-NO" sz="1100"/>
        </a:p>
        <a:p>
          <a:endParaRPr lang="nb-NO">
            <a:effectLst/>
          </a:endParaRPr>
        </a:p>
        <a:p>
          <a:pPr algn="l"/>
          <a:r>
            <a:rPr lang="nb-NO" sz="1100">
              <a:solidFill>
                <a:sysClr val="windowText" lastClr="000000"/>
              </a:solidFill>
              <a:effectLst/>
              <a:latin typeface="+mn-lt"/>
              <a:ea typeface="+mn-ea"/>
              <a:cs typeface="+mn-cs"/>
            </a:rPr>
            <a:t>Figuren viser hvordan ulike operatørnytteelementer bidrar til samlet operatørnytte, i nåverdi. Det liggende fossefallsdiagrammet leses best fra topp til bunn. </a:t>
          </a:r>
        </a:p>
        <a:p>
          <a:pPr algn="l"/>
          <a:r>
            <a:rPr lang="nb-NO" sz="1100">
              <a:solidFill>
                <a:sysClr val="windowText" lastClr="000000"/>
              </a:solidFill>
              <a:effectLst/>
              <a:latin typeface="+mn-lt"/>
              <a:ea typeface="+mn-ea"/>
              <a:cs typeface="+mn-cs"/>
            </a:rPr>
            <a:t>Diagrametikettene viser de respektive elementenes nåverdi i mill. kroner. </a:t>
          </a:r>
        </a:p>
        <a:p>
          <a:pPr algn="l"/>
          <a:r>
            <a:rPr lang="nb-NO" sz="1100">
              <a:solidFill>
                <a:sysClr val="windowText" lastClr="000000"/>
              </a:solidFill>
              <a:effectLst/>
              <a:latin typeface="+mn-lt"/>
              <a:ea typeface="+mn-ea"/>
              <a:cs typeface="+mn-cs"/>
            </a:rPr>
            <a:t>X-aksen viser mill. kroner. </a:t>
          </a:r>
        </a:p>
        <a:p>
          <a:pPr algn="l"/>
          <a:endParaRPr lang="nb-NO" sz="1100"/>
        </a:p>
      </xdr:txBody>
    </xdr:sp>
    <xdr:clientData/>
  </xdr:twoCellAnchor>
  <xdr:twoCellAnchor>
    <xdr:from>
      <xdr:col>22</xdr:col>
      <xdr:colOff>127000</xdr:colOff>
      <xdr:row>4</xdr:row>
      <xdr:rowOff>38100</xdr:rowOff>
    </xdr:from>
    <xdr:to>
      <xdr:col>23</xdr:col>
      <xdr:colOff>457200</xdr:colOff>
      <xdr:row>6</xdr:row>
      <xdr:rowOff>165100</xdr:rowOff>
    </xdr:to>
    <xdr:sp macro="" textlink="">
      <xdr:nvSpPr>
        <xdr:cNvPr id="31788" name="Button 44" hidden="1">
          <a:extLst>
            <a:ext uri="{63B3BB69-23CF-44E3-9099-C40C66FF867C}">
              <a14:compatExt xmlns:a14="http://schemas.microsoft.com/office/drawing/2010/main" spid="_x0000_s31788"/>
            </a:ext>
            <a:ext uri="{FF2B5EF4-FFF2-40B4-BE49-F238E27FC236}">
              <a16:creationId xmlns:a16="http://schemas.microsoft.com/office/drawing/2014/main" id="{00000000-0008-0000-1800-00002C7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nb-NO" sz="1100" b="0" i="0" u="none" strike="noStrike" baseline="0">
              <a:solidFill>
                <a:srgbClr val="000000"/>
              </a:solidFill>
              <a:latin typeface="Calibri"/>
              <a:cs typeface="Calibri"/>
            </a:rPr>
            <a:t>Gå til oversikt</a:t>
          </a:r>
        </a:p>
      </xdr:txBody>
    </xdr:sp>
    <xdr:clientData fPrintsWithSheet="0"/>
  </xdr:twoCellAnchor>
  <xdr:twoCellAnchor>
    <xdr:from>
      <xdr:col>41</xdr:col>
      <xdr:colOff>736600</xdr:colOff>
      <xdr:row>4</xdr:row>
      <xdr:rowOff>171450</xdr:rowOff>
    </xdr:from>
    <xdr:to>
      <xdr:col>43</xdr:col>
      <xdr:colOff>508000</xdr:colOff>
      <xdr:row>7</xdr:row>
      <xdr:rowOff>88900</xdr:rowOff>
    </xdr:to>
    <xdr:sp macro="" textlink="">
      <xdr:nvSpPr>
        <xdr:cNvPr id="31791" name="Button 47" hidden="1">
          <a:extLst>
            <a:ext uri="{63B3BB69-23CF-44E3-9099-C40C66FF867C}">
              <a14:compatExt xmlns:a14="http://schemas.microsoft.com/office/drawing/2010/main" spid="_x0000_s31791"/>
            </a:ext>
            <a:ext uri="{FF2B5EF4-FFF2-40B4-BE49-F238E27FC236}">
              <a16:creationId xmlns:a16="http://schemas.microsoft.com/office/drawing/2014/main" id="{00000000-0008-0000-1800-00002F7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nb-NO" sz="1100" b="0" i="0" u="none" strike="noStrike" baseline="0">
              <a:solidFill>
                <a:srgbClr val="000000"/>
              </a:solidFill>
              <a:latin typeface="Calibri"/>
              <a:cs typeface="Calibri"/>
            </a:rPr>
            <a:t>Gå til oversikt</a:t>
          </a:r>
        </a:p>
      </xdr:txBody>
    </xdr:sp>
    <xdr:clientData fPrintsWithSheet="0"/>
  </xdr:twoCellAnchor>
  <xdr:twoCellAnchor>
    <xdr:from>
      <xdr:col>42</xdr:col>
      <xdr:colOff>38100</xdr:colOff>
      <xdr:row>40</xdr:row>
      <xdr:rowOff>127000</xdr:rowOff>
    </xdr:from>
    <xdr:to>
      <xdr:col>43</xdr:col>
      <xdr:colOff>571500</xdr:colOff>
      <xdr:row>43</xdr:row>
      <xdr:rowOff>38100</xdr:rowOff>
    </xdr:to>
    <xdr:sp macro="" textlink="">
      <xdr:nvSpPr>
        <xdr:cNvPr id="31795" name="Button 51" hidden="1">
          <a:extLst>
            <a:ext uri="{63B3BB69-23CF-44E3-9099-C40C66FF867C}">
              <a14:compatExt xmlns:a14="http://schemas.microsoft.com/office/drawing/2010/main" spid="_x0000_s31795"/>
            </a:ext>
            <a:ext uri="{FF2B5EF4-FFF2-40B4-BE49-F238E27FC236}">
              <a16:creationId xmlns:a16="http://schemas.microsoft.com/office/drawing/2014/main" id="{00000000-0008-0000-1800-0000337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nb-NO" sz="1100" b="0" i="0" u="none" strike="noStrike" baseline="0">
              <a:solidFill>
                <a:srgbClr val="000000"/>
              </a:solidFill>
              <a:latin typeface="Calibri"/>
              <a:cs typeface="Calibri"/>
            </a:rPr>
            <a:t>Gå til oversikt</a:t>
          </a:r>
        </a:p>
      </xdr:txBody>
    </xdr:sp>
    <xdr:clientData fPrintsWithSheet="0"/>
  </xdr:twoCellAnchor>
  <xdr:twoCellAnchor>
    <xdr:from>
      <xdr:col>22</xdr:col>
      <xdr:colOff>12700</xdr:colOff>
      <xdr:row>40</xdr:row>
      <xdr:rowOff>38100</xdr:rowOff>
    </xdr:from>
    <xdr:to>
      <xdr:col>23</xdr:col>
      <xdr:colOff>546100</xdr:colOff>
      <xdr:row>42</xdr:row>
      <xdr:rowOff>146050</xdr:rowOff>
    </xdr:to>
    <xdr:sp macro="" textlink="">
      <xdr:nvSpPr>
        <xdr:cNvPr id="31798" name="Button 54" hidden="1">
          <a:extLst>
            <a:ext uri="{63B3BB69-23CF-44E3-9099-C40C66FF867C}">
              <a14:compatExt xmlns:a14="http://schemas.microsoft.com/office/drawing/2010/main" spid="_x0000_s31798"/>
            </a:ext>
            <a:ext uri="{FF2B5EF4-FFF2-40B4-BE49-F238E27FC236}">
              <a16:creationId xmlns:a16="http://schemas.microsoft.com/office/drawing/2014/main" id="{00000000-0008-0000-1800-0000367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nb-NO" sz="1100" b="0" i="0" u="none" strike="noStrike" baseline="0">
              <a:solidFill>
                <a:srgbClr val="000000"/>
              </a:solidFill>
              <a:latin typeface="Calibri"/>
              <a:cs typeface="Calibri"/>
            </a:rPr>
            <a:t>Gå til oversikt</a:t>
          </a:r>
        </a:p>
      </xdr:txBody>
    </xdr:sp>
    <xdr:clientData fPrintsWithSheet="0"/>
  </xdr:twoCellAnchor>
  <xdr:twoCellAnchor>
    <xdr:from>
      <xdr:col>1</xdr:col>
      <xdr:colOff>736600</xdr:colOff>
      <xdr:row>76</xdr:row>
      <xdr:rowOff>31750</xdr:rowOff>
    </xdr:from>
    <xdr:to>
      <xdr:col>3</xdr:col>
      <xdr:colOff>508000</xdr:colOff>
      <xdr:row>78</xdr:row>
      <xdr:rowOff>133350</xdr:rowOff>
    </xdr:to>
    <xdr:sp macro="" textlink="">
      <xdr:nvSpPr>
        <xdr:cNvPr id="31799" name="Button 55" hidden="1">
          <a:extLst>
            <a:ext uri="{63B3BB69-23CF-44E3-9099-C40C66FF867C}">
              <a14:compatExt xmlns:a14="http://schemas.microsoft.com/office/drawing/2010/main" spid="_x0000_s31799"/>
            </a:ext>
            <a:ext uri="{FF2B5EF4-FFF2-40B4-BE49-F238E27FC236}">
              <a16:creationId xmlns:a16="http://schemas.microsoft.com/office/drawing/2014/main" id="{00000000-0008-0000-1800-0000377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nb-NO" sz="1100" b="0" i="0" u="none" strike="noStrike" baseline="0">
              <a:solidFill>
                <a:srgbClr val="000000"/>
              </a:solidFill>
              <a:latin typeface="Calibri"/>
              <a:cs typeface="Calibri"/>
            </a:rPr>
            <a:t>Gå til oversikt</a:t>
          </a:r>
        </a:p>
      </xdr:txBody>
    </xdr:sp>
    <xdr:clientData fPrintsWithSheet="0"/>
  </xdr:twoCellAnchor>
  <xdr:twoCellAnchor>
    <xdr:from>
      <xdr:col>1</xdr:col>
      <xdr:colOff>666750</xdr:colOff>
      <xdr:row>39</xdr:row>
      <xdr:rowOff>50800</xdr:rowOff>
    </xdr:from>
    <xdr:to>
      <xdr:col>3</xdr:col>
      <xdr:colOff>438150</xdr:colOff>
      <xdr:row>41</xdr:row>
      <xdr:rowOff>152400</xdr:rowOff>
    </xdr:to>
    <xdr:sp macro="" textlink="">
      <xdr:nvSpPr>
        <xdr:cNvPr id="31800" name="Button 56" hidden="1">
          <a:extLst>
            <a:ext uri="{63B3BB69-23CF-44E3-9099-C40C66FF867C}">
              <a14:compatExt xmlns:a14="http://schemas.microsoft.com/office/drawing/2010/main" spid="_x0000_s31800"/>
            </a:ext>
            <a:ext uri="{FF2B5EF4-FFF2-40B4-BE49-F238E27FC236}">
              <a16:creationId xmlns:a16="http://schemas.microsoft.com/office/drawing/2014/main" id="{00000000-0008-0000-1800-0000387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nb-NO" sz="1100" b="0" i="0" u="none" strike="noStrike" baseline="0">
              <a:solidFill>
                <a:srgbClr val="000000"/>
              </a:solidFill>
              <a:latin typeface="Calibri"/>
              <a:cs typeface="Calibri"/>
            </a:rPr>
            <a:t>Gå til oversikt</a:t>
          </a:r>
        </a:p>
      </xdr:txBody>
    </xdr:sp>
    <xdr:clientData fPrintsWithSheet="0"/>
  </xdr:twoCellAnchor>
  <xdr:twoCellAnchor>
    <xdr:from>
      <xdr:col>22</xdr:col>
      <xdr:colOff>31750</xdr:colOff>
      <xdr:row>75</xdr:row>
      <xdr:rowOff>19050</xdr:rowOff>
    </xdr:from>
    <xdr:to>
      <xdr:col>23</xdr:col>
      <xdr:colOff>565150</xdr:colOff>
      <xdr:row>77</xdr:row>
      <xdr:rowOff>127000</xdr:rowOff>
    </xdr:to>
    <xdr:sp macro="" textlink="">
      <xdr:nvSpPr>
        <xdr:cNvPr id="31801" name="Button 57" hidden="1">
          <a:extLst>
            <a:ext uri="{63B3BB69-23CF-44E3-9099-C40C66FF867C}">
              <a14:compatExt xmlns:a14="http://schemas.microsoft.com/office/drawing/2010/main" spid="_x0000_s31801"/>
            </a:ext>
            <a:ext uri="{FF2B5EF4-FFF2-40B4-BE49-F238E27FC236}">
              <a16:creationId xmlns:a16="http://schemas.microsoft.com/office/drawing/2014/main" id="{00000000-0008-0000-1800-0000397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nb-NO" sz="1100" b="0" i="0" u="none" strike="noStrike" baseline="0">
              <a:solidFill>
                <a:srgbClr val="000000"/>
              </a:solidFill>
              <a:latin typeface="Calibri"/>
              <a:cs typeface="Calibri"/>
            </a:rPr>
            <a:t>Gå til oversikt</a:t>
          </a:r>
        </a:p>
      </xdr:txBody>
    </xdr:sp>
    <xdr:clientData fPrintsWithSheet="0"/>
  </xdr:twoCellAnchor>
  <xdr:twoCellAnchor>
    <xdr:from>
      <xdr:col>41</xdr:col>
      <xdr:colOff>130175</xdr:colOff>
      <xdr:row>73</xdr:row>
      <xdr:rowOff>157163</xdr:rowOff>
    </xdr:from>
    <xdr:to>
      <xdr:col>44</xdr:col>
      <xdr:colOff>544175</xdr:colOff>
      <xdr:row>105</xdr:row>
      <xdr:rowOff>31283</xdr:rowOff>
    </xdr:to>
    <xdr:sp macro="" textlink="">
      <xdr:nvSpPr>
        <xdr:cNvPr id="33" name="Rektangel 32">
          <a:extLst>
            <a:ext uri="{FF2B5EF4-FFF2-40B4-BE49-F238E27FC236}">
              <a16:creationId xmlns:a16="http://schemas.microsoft.com/office/drawing/2014/main" id="{00000000-0008-0000-1800-000021000000}"/>
            </a:ext>
          </a:extLst>
        </xdr:cNvPr>
        <xdr:cNvSpPr/>
      </xdr:nvSpPr>
      <xdr:spPr>
        <a:xfrm>
          <a:off x="31372175" y="14063663"/>
          <a:ext cx="2700000" cy="5970120"/>
        </a:xfrm>
        <a:prstGeom prst="rect">
          <a:avLst/>
        </a:prstGeom>
        <a:solidFill>
          <a:srgbClr val="B9CDE5"/>
        </a:solidFill>
        <a:ln>
          <a:solidFill>
            <a:schemeClr val="accent1">
              <a:shade val="50000"/>
            </a:schemeClr>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b-NO" sz="1100"/>
        </a:p>
        <a:p>
          <a:pPr algn="l"/>
          <a:endParaRPr lang="nb-NO" sz="1100"/>
        </a:p>
        <a:p>
          <a:pPr algn="l"/>
          <a:endParaRPr lang="nb-NO" sz="1100"/>
        </a:p>
        <a:p>
          <a:pPr algn="l"/>
          <a:endParaRPr lang="nb-NO" sz="1100"/>
        </a:p>
        <a:p>
          <a:pPr algn="l"/>
          <a:endParaRPr lang="nb-NO" sz="1100"/>
        </a:p>
        <a:p>
          <a:pPr algn="l"/>
          <a:endParaRPr lang="nb-NO" sz="1100"/>
        </a:p>
        <a:p>
          <a:pPr algn="l"/>
          <a:endParaRPr lang="nb-NO" sz="1100"/>
        </a:p>
        <a:p>
          <a:pPr algn="l"/>
          <a:endParaRPr lang="nb-NO" sz="1100"/>
        </a:p>
        <a:p>
          <a:endParaRPr lang="nb-NO">
            <a:effectLst/>
          </a:endParaRPr>
        </a:p>
        <a:p>
          <a:pPr algn="l"/>
          <a:r>
            <a:rPr lang="nb-NO" sz="1100" baseline="0">
              <a:solidFill>
                <a:sysClr val="windowText" lastClr="000000"/>
              </a:solidFill>
              <a:effectLst/>
              <a:latin typeface="+mn-lt"/>
              <a:ea typeface="+mn-ea"/>
              <a:cs typeface="+mn-cs"/>
            </a:rPr>
            <a:t>Denne figuren viser hvordan ulike trafikantnytteelementer bidrar til samlet trafikantnytte, i prosent. I det overførte diagrammet "Overført fra andre transportmidler til tog" vises en dekomponering av økt nytte for reisende som skifter transportmiddel til tog, etter hvilket transportmiddel de byttet fra.</a:t>
          </a:r>
        </a:p>
        <a:p>
          <a:pPr algn="l"/>
          <a:endParaRPr lang="nb-NO" sz="1100" baseline="0">
            <a:solidFill>
              <a:sysClr val="windowText" lastClr="000000"/>
            </a:solidFill>
            <a:effectLst/>
            <a:latin typeface="+mn-lt"/>
            <a:ea typeface="+mn-ea"/>
            <a:cs typeface="+mn-cs"/>
          </a:endParaRPr>
        </a:p>
        <a:p>
          <a:pPr algn="l"/>
          <a:r>
            <a:rPr lang="nb-NO" sz="1100" baseline="0">
              <a:solidFill>
                <a:sysClr val="windowText" lastClr="000000"/>
              </a:solidFill>
              <a:effectLst/>
              <a:latin typeface="+mn-lt"/>
              <a:ea typeface="+mn-ea"/>
              <a:cs typeface="+mn-cs"/>
            </a:rPr>
            <a:t>Merk: kakediagram kan ikke vise negative verdier. Denne figuren vil derfor bare vises dersom samtlige verdier er større eller lik null.  </a:t>
          </a:r>
          <a:endParaRPr lang="nb-NO">
            <a:solidFill>
              <a:sysClr val="windowText" lastClr="000000"/>
            </a:solidFill>
            <a:effectLst/>
          </a:endParaRPr>
        </a:p>
        <a:p>
          <a:pPr algn="ctr"/>
          <a:endParaRPr lang="nb-NO" sz="1100"/>
        </a:p>
      </xdr:txBody>
    </xdr:sp>
    <xdr:clientData/>
  </xdr:twoCellAnchor>
  <xdr:twoCellAnchor>
    <xdr:from>
      <xdr:col>42</xdr:col>
      <xdr:colOff>38100</xdr:colOff>
      <xdr:row>75</xdr:row>
      <xdr:rowOff>19050</xdr:rowOff>
    </xdr:from>
    <xdr:to>
      <xdr:col>43</xdr:col>
      <xdr:colOff>571500</xdr:colOff>
      <xdr:row>77</xdr:row>
      <xdr:rowOff>133350</xdr:rowOff>
    </xdr:to>
    <xdr:sp macro="" textlink="">
      <xdr:nvSpPr>
        <xdr:cNvPr id="31802" name="Button 58" hidden="1">
          <a:extLst>
            <a:ext uri="{63B3BB69-23CF-44E3-9099-C40C66FF867C}">
              <a14:compatExt xmlns:a14="http://schemas.microsoft.com/office/drawing/2010/main" spid="_x0000_s31802"/>
            </a:ext>
            <a:ext uri="{FF2B5EF4-FFF2-40B4-BE49-F238E27FC236}">
              <a16:creationId xmlns:a16="http://schemas.microsoft.com/office/drawing/2014/main" id="{00000000-0008-0000-1800-00003A7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nb-NO" sz="1100" b="0" i="0" u="none" strike="noStrike" baseline="0">
              <a:solidFill>
                <a:srgbClr val="000000"/>
              </a:solidFill>
              <a:latin typeface="Calibri"/>
              <a:cs typeface="Calibri"/>
            </a:rPr>
            <a:t>Gå til oversikt</a:t>
          </a:r>
        </a:p>
      </xdr:txBody>
    </xdr:sp>
    <xdr:clientData fPrintsWithSheet="0"/>
  </xdr:twoCellAnchor>
  <xdr:twoCellAnchor>
    <xdr:from>
      <xdr:col>45</xdr:col>
      <xdr:colOff>238125</xdr:colOff>
      <xdr:row>75</xdr:row>
      <xdr:rowOff>32160</xdr:rowOff>
    </xdr:from>
    <xdr:to>
      <xdr:col>59</xdr:col>
      <xdr:colOff>370125</xdr:colOff>
      <xdr:row>102</xdr:row>
      <xdr:rowOff>102310</xdr:rowOff>
    </xdr:to>
    <xdr:graphicFrame macro="">
      <xdr:nvGraphicFramePr>
        <xdr:cNvPr id="35" name="Diagram 34">
          <a:extLst>
            <a:ext uri="{FF2B5EF4-FFF2-40B4-BE49-F238E27FC236}">
              <a16:creationId xmlns:a16="http://schemas.microsoft.com/office/drawing/2014/main" id="{00000000-0008-0000-1800-00002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8</xdr:col>
      <xdr:colOff>642937</xdr:colOff>
      <xdr:row>3</xdr:row>
      <xdr:rowOff>42037</xdr:rowOff>
    </xdr:from>
    <xdr:to>
      <xdr:col>19</xdr:col>
      <xdr:colOff>404810</xdr:colOff>
      <xdr:row>31</xdr:row>
      <xdr:rowOff>158750</xdr:rowOff>
    </xdr:to>
    <xdr:grpSp>
      <xdr:nvGrpSpPr>
        <xdr:cNvPr id="2" name="Gruppe 1">
          <a:extLst>
            <a:ext uri="{FF2B5EF4-FFF2-40B4-BE49-F238E27FC236}">
              <a16:creationId xmlns:a16="http://schemas.microsoft.com/office/drawing/2014/main" id="{00000000-0008-0000-1800-000002000000}"/>
            </a:ext>
          </a:extLst>
        </xdr:cNvPr>
        <xdr:cNvGrpSpPr/>
      </xdr:nvGrpSpPr>
      <xdr:grpSpPr>
        <a:xfrm>
          <a:off x="7116762" y="616712"/>
          <a:ext cx="8674098" cy="5450713"/>
          <a:chOff x="6405562" y="1121537"/>
          <a:chExt cx="8143873" cy="5450714"/>
        </a:xfrm>
      </xdr:grpSpPr>
      <xdr:sp macro="" textlink="">
        <xdr:nvSpPr>
          <xdr:cNvPr id="31746" name="Hovedfigur_knapp" hidden="1">
            <a:extLst>
              <a:ext uri="{63B3BB69-23CF-44E3-9099-C40C66FF867C}">
                <a14:compatExt xmlns:a14="http://schemas.microsoft.com/office/drawing/2010/main" spid="_x0000_s31746"/>
              </a:ext>
              <a:ext uri="{FF2B5EF4-FFF2-40B4-BE49-F238E27FC236}">
                <a16:creationId xmlns:a16="http://schemas.microsoft.com/office/drawing/2014/main" id="{00000000-0008-0000-1800-0000027C0000}"/>
              </a:ext>
            </a:extLst>
          </xdr:cNvPr>
          <xdr:cNvSpPr/>
        </xdr:nvSpPr>
        <xdr:spPr bwMode="auto">
          <a:xfrm>
            <a:off x="6405562" y="1121537"/>
            <a:ext cx="3228351" cy="714594"/>
          </a:xfrm>
          <a:prstGeom prst="rect">
            <a:avLst/>
          </a:prstGeom>
          <a:noFill/>
          <a:ln>
            <a:noFill/>
          </a:ln>
          <a:extLst>
            <a:ext uri="{91240B29-F687-4F45-9708-019B960494DF}">
              <a14:hiddenLine xmlns:a14="http://schemas.microsoft.com/office/drawing/2010/main" w="9525">
                <a:noFill/>
                <a:miter lim="800000"/>
                <a:headEnd/>
                <a:tailEnd/>
              </a14:hiddenLine>
            </a:ext>
          </a:extLst>
        </xdr:spPr>
      </xdr:sp>
      <xdr:sp macro="" textlink="">
        <xdr:nvSpPr>
          <xdr:cNvPr id="31747" name="Trafikantnytte_knapp" hidden="1">
            <a:extLst>
              <a:ext uri="{63B3BB69-23CF-44E3-9099-C40C66FF867C}">
                <a14:compatExt xmlns:a14="http://schemas.microsoft.com/office/drawing/2010/main" spid="_x0000_s31747"/>
              </a:ext>
              <a:ext uri="{FF2B5EF4-FFF2-40B4-BE49-F238E27FC236}">
                <a16:creationId xmlns:a16="http://schemas.microsoft.com/office/drawing/2014/main" id="{00000000-0008-0000-1800-0000037C0000}"/>
              </a:ext>
            </a:extLst>
          </xdr:cNvPr>
          <xdr:cNvSpPr/>
        </xdr:nvSpPr>
        <xdr:spPr bwMode="auto">
          <a:xfrm>
            <a:off x="6405562" y="2062428"/>
            <a:ext cx="3182124" cy="699712"/>
          </a:xfrm>
          <a:prstGeom prst="rect">
            <a:avLst/>
          </a:prstGeom>
          <a:noFill/>
          <a:ln>
            <a:noFill/>
          </a:ln>
          <a:extLst>
            <a:ext uri="{91240B29-F687-4F45-9708-019B960494DF}">
              <a14:hiddenLine xmlns:a14="http://schemas.microsoft.com/office/drawing/2010/main" w="9525">
                <a:noFill/>
                <a:miter lim="800000"/>
                <a:headEnd/>
                <a:tailEnd/>
              </a14:hiddenLine>
            </a:ext>
          </a:extLst>
        </xdr:spPr>
      </xdr:sp>
      <xdr:sp macro="" textlink="">
        <xdr:nvSpPr>
          <xdr:cNvPr id="31748" name="Operatornytte_knapp" hidden="1">
            <a:extLst>
              <a:ext uri="{63B3BB69-23CF-44E3-9099-C40C66FF867C}">
                <a14:compatExt xmlns:a14="http://schemas.microsoft.com/office/drawing/2010/main" spid="_x0000_s31748"/>
              </a:ext>
              <a:ext uri="{FF2B5EF4-FFF2-40B4-BE49-F238E27FC236}">
                <a16:creationId xmlns:a16="http://schemas.microsoft.com/office/drawing/2014/main" id="{00000000-0008-0000-1800-0000047C0000}"/>
              </a:ext>
            </a:extLst>
          </xdr:cNvPr>
          <xdr:cNvSpPr/>
        </xdr:nvSpPr>
        <xdr:spPr bwMode="auto">
          <a:xfrm>
            <a:off x="9953004" y="1121537"/>
            <a:ext cx="4566407" cy="715355"/>
          </a:xfrm>
          <a:prstGeom prst="rect">
            <a:avLst/>
          </a:prstGeom>
          <a:noFill/>
          <a:ln>
            <a:noFill/>
          </a:ln>
          <a:extLst>
            <a:ext uri="{91240B29-F687-4F45-9708-019B960494DF}">
              <a14:hiddenLine xmlns:a14="http://schemas.microsoft.com/office/drawing/2010/main" w="9525">
                <a:noFill/>
                <a:miter lim="800000"/>
                <a:headEnd/>
                <a:tailEnd/>
              </a14:hiddenLine>
            </a:ext>
          </a:extLst>
        </xdr:spPr>
      </xdr:sp>
      <xdr:sp macro="" textlink="">
        <xdr:nvSpPr>
          <xdr:cNvPr id="31749" name="Offentlige_knapp" hidden="1">
            <a:extLst>
              <a:ext uri="{63B3BB69-23CF-44E3-9099-C40C66FF867C}">
                <a14:compatExt xmlns:a14="http://schemas.microsoft.com/office/drawing/2010/main" spid="_x0000_s31749"/>
              </a:ext>
              <a:ext uri="{FF2B5EF4-FFF2-40B4-BE49-F238E27FC236}">
                <a16:creationId xmlns:a16="http://schemas.microsoft.com/office/drawing/2014/main" id="{00000000-0008-0000-1800-0000057C0000}"/>
              </a:ext>
            </a:extLst>
          </xdr:cNvPr>
          <xdr:cNvSpPr/>
        </xdr:nvSpPr>
        <xdr:spPr bwMode="auto">
          <a:xfrm>
            <a:off x="9933750" y="2059633"/>
            <a:ext cx="4585661" cy="716729"/>
          </a:xfrm>
          <a:prstGeom prst="rect">
            <a:avLst/>
          </a:prstGeom>
          <a:noFill/>
          <a:ln>
            <a:noFill/>
          </a:ln>
          <a:extLst>
            <a:ext uri="{91240B29-F687-4F45-9708-019B960494DF}">
              <a14:hiddenLine xmlns:a14="http://schemas.microsoft.com/office/drawing/2010/main" w="9525">
                <a:noFill/>
                <a:miter lim="800000"/>
                <a:headEnd/>
                <a:tailEnd/>
              </a14:hiddenLine>
            </a:ext>
          </a:extLst>
        </xdr:spPr>
      </xdr:sp>
      <xdr:sp macro="" textlink="">
        <xdr:nvSpPr>
          <xdr:cNvPr id="31750" name="Samfunnet_knapp" hidden="1">
            <a:extLst>
              <a:ext uri="{63B3BB69-23CF-44E3-9099-C40C66FF867C}">
                <a14:compatExt xmlns:a14="http://schemas.microsoft.com/office/drawing/2010/main" spid="_x0000_s31750"/>
              </a:ext>
              <a:ext uri="{FF2B5EF4-FFF2-40B4-BE49-F238E27FC236}">
                <a16:creationId xmlns:a16="http://schemas.microsoft.com/office/drawing/2014/main" id="{00000000-0008-0000-1800-0000067C0000}"/>
              </a:ext>
            </a:extLst>
          </xdr:cNvPr>
          <xdr:cNvSpPr/>
        </xdr:nvSpPr>
        <xdr:spPr bwMode="auto">
          <a:xfrm>
            <a:off x="6405562" y="2999102"/>
            <a:ext cx="8113849" cy="729673"/>
          </a:xfrm>
          <a:prstGeom prst="rect">
            <a:avLst/>
          </a:prstGeom>
          <a:noFill/>
          <a:ln>
            <a:noFill/>
          </a:ln>
          <a:extLst>
            <a:ext uri="{91240B29-F687-4F45-9708-019B960494DF}">
              <a14:hiddenLine xmlns:a14="http://schemas.microsoft.com/office/drawing/2010/main" w="9525">
                <a:noFill/>
                <a:miter lim="800000"/>
                <a:headEnd/>
                <a:tailEnd/>
              </a14:hiddenLine>
            </a:ext>
          </a:extLst>
        </xdr:spPr>
      </xdr:sp>
      <xdr:sp macro="" textlink="">
        <xdr:nvSpPr>
          <xdr:cNvPr id="31754" name="Stolpediagram_knapp" hidden="1">
            <a:extLst>
              <a:ext uri="{63B3BB69-23CF-44E3-9099-C40C66FF867C}">
                <a14:compatExt xmlns:a14="http://schemas.microsoft.com/office/drawing/2010/main" spid="_x0000_s31754"/>
              </a:ext>
              <a:ext uri="{FF2B5EF4-FFF2-40B4-BE49-F238E27FC236}">
                <a16:creationId xmlns:a16="http://schemas.microsoft.com/office/drawing/2014/main" id="{00000000-0008-0000-1800-00000A7C0000}"/>
              </a:ext>
            </a:extLst>
          </xdr:cNvPr>
          <xdr:cNvSpPr/>
        </xdr:nvSpPr>
        <xdr:spPr bwMode="auto">
          <a:xfrm>
            <a:off x="6405562" y="3951516"/>
            <a:ext cx="8114398" cy="706484"/>
          </a:xfrm>
          <a:prstGeom prst="rect">
            <a:avLst/>
          </a:prstGeom>
          <a:noFill/>
          <a:ln>
            <a:noFill/>
          </a:ln>
          <a:extLst>
            <a:ext uri="{91240B29-F687-4F45-9708-019B960494DF}">
              <a14:hiddenLine xmlns:a14="http://schemas.microsoft.com/office/drawing/2010/main" w="9525">
                <a:noFill/>
                <a:miter lim="800000"/>
                <a:headEnd/>
                <a:tailEnd/>
              </a14:hiddenLine>
            </a:ext>
          </a:extLst>
        </xdr:spPr>
      </xdr:sp>
      <xdr:sp macro="" textlink="">
        <xdr:nvSpPr>
          <xdr:cNvPr id="31757" name="TrafikantKake_knapp" hidden="1">
            <a:extLst>
              <a:ext uri="{63B3BB69-23CF-44E3-9099-C40C66FF867C}">
                <a14:compatExt xmlns:a14="http://schemas.microsoft.com/office/drawing/2010/main" spid="_x0000_s31757"/>
              </a:ext>
              <a:ext uri="{FF2B5EF4-FFF2-40B4-BE49-F238E27FC236}">
                <a16:creationId xmlns:a16="http://schemas.microsoft.com/office/drawing/2014/main" id="{00000000-0008-0000-1800-00000D7C0000}"/>
              </a:ext>
            </a:extLst>
          </xdr:cNvPr>
          <xdr:cNvSpPr/>
        </xdr:nvSpPr>
        <xdr:spPr bwMode="auto">
          <a:xfrm>
            <a:off x="6405562" y="4880741"/>
            <a:ext cx="8143873" cy="732169"/>
          </a:xfrm>
          <a:prstGeom prst="rect">
            <a:avLst/>
          </a:prstGeom>
          <a:noFill/>
          <a:ln>
            <a:noFill/>
          </a:ln>
          <a:extLst>
            <a:ext uri="{91240B29-F687-4F45-9708-019B960494DF}">
              <a14:hiddenLine xmlns:a14="http://schemas.microsoft.com/office/drawing/2010/main" w="9525">
                <a:noFill/>
                <a:miter lim="800000"/>
                <a:headEnd/>
                <a:tailEnd/>
              </a14:hiddenLine>
            </a:ext>
          </a:extLst>
        </xdr:spPr>
      </xdr:sp>
      <xdr:sp macro="" textlink="">
        <xdr:nvSpPr>
          <xdr:cNvPr id="31803" name="TrafikantKakeProsent_knapp" hidden="1">
            <a:extLst>
              <a:ext uri="{63B3BB69-23CF-44E3-9099-C40C66FF867C}">
                <a14:compatExt xmlns:a14="http://schemas.microsoft.com/office/drawing/2010/main" spid="_x0000_s31803"/>
              </a:ext>
              <a:ext uri="{FF2B5EF4-FFF2-40B4-BE49-F238E27FC236}">
                <a16:creationId xmlns:a16="http://schemas.microsoft.com/office/drawing/2014/main" id="{00000000-0008-0000-1800-00003B7C0000}"/>
              </a:ext>
            </a:extLst>
          </xdr:cNvPr>
          <xdr:cNvSpPr/>
        </xdr:nvSpPr>
        <xdr:spPr bwMode="auto">
          <a:xfrm>
            <a:off x="6405562" y="5835651"/>
            <a:ext cx="8140700" cy="736600"/>
          </a:xfrm>
          <a:prstGeom prst="rect">
            <a:avLst/>
          </a:prstGeom>
          <a:noFill/>
          <a:ln>
            <a:noFill/>
          </a:ln>
          <a:extLst>
            <a:ext uri="{91240B29-F687-4F45-9708-019B960494DF}">
              <a14:hiddenLine xmlns:a14="http://schemas.microsoft.com/office/drawing/2010/main" w="9525">
                <a:no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editAs="oneCell">
        <xdr:from>
          <xdr:col>8</xdr:col>
          <xdr:colOff>641350</xdr:colOff>
          <xdr:row>3</xdr:row>
          <xdr:rowOff>50800</xdr:rowOff>
        </xdr:from>
        <xdr:to>
          <xdr:col>13</xdr:col>
          <xdr:colOff>69850</xdr:colOff>
          <xdr:row>7</xdr:row>
          <xdr:rowOff>0</xdr:rowOff>
        </xdr:to>
        <xdr:sp macro="" textlink="">
          <xdr:nvSpPr>
            <xdr:cNvPr id="3" name="Hovedfigur_knapp" hidden="1">
              <a:extLst>
                <a:ext uri="{63B3BB69-23CF-44E3-9099-C40C66FF867C}">
                  <a14:compatExt spid="_x0000_s31746"/>
                </a:ext>
                <a:ext uri="{FF2B5EF4-FFF2-40B4-BE49-F238E27FC236}">
                  <a16:creationId xmlns:a16="http://schemas.microsoft.com/office/drawing/2014/main" id="{00000000-0008-0000-1800-0000030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641350</xdr:colOff>
          <xdr:row>8</xdr:row>
          <xdr:rowOff>31750</xdr:rowOff>
        </xdr:from>
        <xdr:to>
          <xdr:col>13</xdr:col>
          <xdr:colOff>12700</xdr:colOff>
          <xdr:row>11</xdr:row>
          <xdr:rowOff>165100</xdr:rowOff>
        </xdr:to>
        <xdr:sp macro="" textlink="">
          <xdr:nvSpPr>
            <xdr:cNvPr id="5" name="Trafikantnytte_knapp" hidden="1">
              <a:extLst>
                <a:ext uri="{63B3BB69-23CF-44E3-9099-C40C66FF867C}">
                  <a14:compatExt spid="_x0000_s31747"/>
                </a:ext>
                <a:ext uri="{FF2B5EF4-FFF2-40B4-BE49-F238E27FC236}">
                  <a16:creationId xmlns:a16="http://schemas.microsoft.com/office/drawing/2014/main" id="{00000000-0008-0000-1800-0000050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381000</xdr:colOff>
          <xdr:row>3</xdr:row>
          <xdr:rowOff>50800</xdr:rowOff>
        </xdr:from>
        <xdr:to>
          <xdr:col>19</xdr:col>
          <xdr:colOff>381000</xdr:colOff>
          <xdr:row>7</xdr:row>
          <xdr:rowOff>0</xdr:rowOff>
        </xdr:to>
        <xdr:sp macro="" textlink="">
          <xdr:nvSpPr>
            <xdr:cNvPr id="9" name="Operatornytte_knapp" hidden="1">
              <a:extLst>
                <a:ext uri="{63B3BB69-23CF-44E3-9099-C40C66FF867C}">
                  <a14:compatExt spid="_x0000_s31748"/>
                </a:ext>
                <a:ext uri="{FF2B5EF4-FFF2-40B4-BE49-F238E27FC236}">
                  <a16:creationId xmlns:a16="http://schemas.microsoft.com/office/drawing/2014/main" id="{00000000-0008-0000-1800-0000090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361950</xdr:colOff>
          <xdr:row>8</xdr:row>
          <xdr:rowOff>31750</xdr:rowOff>
        </xdr:from>
        <xdr:to>
          <xdr:col>19</xdr:col>
          <xdr:colOff>381000</xdr:colOff>
          <xdr:row>11</xdr:row>
          <xdr:rowOff>184150</xdr:rowOff>
        </xdr:to>
        <xdr:sp macro="" textlink="">
          <xdr:nvSpPr>
            <xdr:cNvPr id="10" name="Offentlige_knapp" hidden="1">
              <a:extLst>
                <a:ext uri="{63B3BB69-23CF-44E3-9099-C40C66FF867C}">
                  <a14:compatExt spid="_x0000_s31749"/>
                </a:ext>
                <a:ext uri="{FF2B5EF4-FFF2-40B4-BE49-F238E27FC236}">
                  <a16:creationId xmlns:a16="http://schemas.microsoft.com/office/drawing/2014/main" id="{00000000-0008-0000-1800-00000A0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641350</xdr:colOff>
          <xdr:row>13</xdr:row>
          <xdr:rowOff>19050</xdr:rowOff>
        </xdr:from>
        <xdr:to>
          <xdr:col>19</xdr:col>
          <xdr:colOff>381000</xdr:colOff>
          <xdr:row>16</xdr:row>
          <xdr:rowOff>184150</xdr:rowOff>
        </xdr:to>
        <xdr:sp macro="" textlink="">
          <xdr:nvSpPr>
            <xdr:cNvPr id="11" name="Samfunnet_knapp" hidden="1">
              <a:extLst>
                <a:ext uri="{63B3BB69-23CF-44E3-9099-C40C66FF867C}">
                  <a14:compatExt spid="_x0000_s31750"/>
                </a:ext>
                <a:ext uri="{FF2B5EF4-FFF2-40B4-BE49-F238E27FC236}">
                  <a16:creationId xmlns:a16="http://schemas.microsoft.com/office/drawing/2014/main" id="{00000000-0008-0000-1800-00000B0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641350</xdr:colOff>
          <xdr:row>18</xdr:row>
          <xdr:rowOff>19050</xdr:rowOff>
        </xdr:from>
        <xdr:to>
          <xdr:col>19</xdr:col>
          <xdr:colOff>381000</xdr:colOff>
          <xdr:row>21</xdr:row>
          <xdr:rowOff>152400</xdr:rowOff>
        </xdr:to>
        <xdr:sp macro="" textlink="">
          <xdr:nvSpPr>
            <xdr:cNvPr id="12" name="Stolpediagram_knapp" hidden="1">
              <a:extLst>
                <a:ext uri="{63B3BB69-23CF-44E3-9099-C40C66FF867C}">
                  <a14:compatExt spid="_x0000_s31754"/>
                </a:ext>
                <a:ext uri="{FF2B5EF4-FFF2-40B4-BE49-F238E27FC236}">
                  <a16:creationId xmlns:a16="http://schemas.microsoft.com/office/drawing/2014/main" id="{00000000-0008-0000-1800-00000C0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647700</xdr:colOff>
          <xdr:row>23</xdr:row>
          <xdr:rowOff>0</xdr:rowOff>
        </xdr:from>
        <xdr:to>
          <xdr:col>19</xdr:col>
          <xdr:colOff>336550</xdr:colOff>
          <xdr:row>26</xdr:row>
          <xdr:rowOff>171450</xdr:rowOff>
        </xdr:to>
        <xdr:sp macro="" textlink="">
          <xdr:nvSpPr>
            <xdr:cNvPr id="13" name="TrafikantKake_knapp" hidden="1">
              <a:extLst>
                <a:ext uri="{63B3BB69-23CF-44E3-9099-C40C66FF867C}">
                  <a14:compatExt spid="_x0000_s31757"/>
                </a:ext>
                <a:ext uri="{FF2B5EF4-FFF2-40B4-BE49-F238E27FC236}">
                  <a16:creationId xmlns:a16="http://schemas.microsoft.com/office/drawing/2014/main" id="{00000000-0008-0000-1800-00000D0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22</xdr:col>
          <xdr:colOff>127000</xdr:colOff>
          <xdr:row>4</xdr:row>
          <xdr:rowOff>38100</xdr:rowOff>
        </xdr:from>
        <xdr:to>
          <xdr:col>23</xdr:col>
          <xdr:colOff>457200</xdr:colOff>
          <xdr:row>6</xdr:row>
          <xdr:rowOff>165100</xdr:rowOff>
        </xdr:to>
        <xdr:sp macro="" textlink="">
          <xdr:nvSpPr>
            <xdr:cNvPr id="14" name="Button 44" hidden="1">
              <a:extLst>
                <a:ext uri="{63B3BB69-23CF-44E3-9099-C40C66FF867C}">
                  <a14:compatExt spid="_x0000_s31788"/>
                </a:ext>
                <a:ext uri="{FF2B5EF4-FFF2-40B4-BE49-F238E27FC236}">
                  <a16:creationId xmlns:a16="http://schemas.microsoft.com/office/drawing/2014/main" id="{00000000-0008-0000-1800-00000E0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nb-NO" sz="1100" b="0" i="0" u="none" strike="noStrike" baseline="0">
                  <a:solidFill>
                    <a:srgbClr val="000000"/>
                  </a:solidFill>
                  <a:latin typeface="Calibri"/>
                  <a:ea typeface="Calibri"/>
                  <a:cs typeface="Calibri"/>
                </a:rPr>
                <a:t>Gå til oversikt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41</xdr:col>
          <xdr:colOff>736600</xdr:colOff>
          <xdr:row>4</xdr:row>
          <xdr:rowOff>171450</xdr:rowOff>
        </xdr:from>
        <xdr:to>
          <xdr:col>43</xdr:col>
          <xdr:colOff>508000</xdr:colOff>
          <xdr:row>7</xdr:row>
          <xdr:rowOff>88900</xdr:rowOff>
        </xdr:to>
        <xdr:sp macro="" textlink="">
          <xdr:nvSpPr>
            <xdr:cNvPr id="16" name="Button 47" hidden="1">
              <a:extLst>
                <a:ext uri="{63B3BB69-23CF-44E3-9099-C40C66FF867C}">
                  <a14:compatExt spid="_x0000_s31791"/>
                </a:ext>
                <a:ext uri="{FF2B5EF4-FFF2-40B4-BE49-F238E27FC236}">
                  <a16:creationId xmlns:a16="http://schemas.microsoft.com/office/drawing/2014/main" id="{00000000-0008-0000-1800-0000100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nb-NO" sz="1100" b="0" i="0" u="none" strike="noStrike" baseline="0">
                  <a:solidFill>
                    <a:srgbClr val="000000"/>
                  </a:solidFill>
                  <a:latin typeface="Calibri"/>
                  <a:ea typeface="Calibri"/>
                  <a:cs typeface="Calibri"/>
                </a:rPr>
                <a:t>Gå til oversikt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42</xdr:col>
          <xdr:colOff>38100</xdr:colOff>
          <xdr:row>40</xdr:row>
          <xdr:rowOff>127000</xdr:rowOff>
        </xdr:from>
        <xdr:to>
          <xdr:col>43</xdr:col>
          <xdr:colOff>571500</xdr:colOff>
          <xdr:row>43</xdr:row>
          <xdr:rowOff>38100</xdr:rowOff>
        </xdr:to>
        <xdr:sp macro="" textlink="">
          <xdr:nvSpPr>
            <xdr:cNvPr id="17" name="Button 51" hidden="1">
              <a:extLst>
                <a:ext uri="{63B3BB69-23CF-44E3-9099-C40C66FF867C}">
                  <a14:compatExt spid="_x0000_s31795"/>
                </a:ext>
                <a:ext uri="{FF2B5EF4-FFF2-40B4-BE49-F238E27FC236}">
                  <a16:creationId xmlns:a16="http://schemas.microsoft.com/office/drawing/2014/main" id="{00000000-0008-0000-1800-0000110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nb-NO" sz="1100" b="0" i="0" u="none" strike="noStrike" baseline="0">
                  <a:solidFill>
                    <a:srgbClr val="000000"/>
                  </a:solidFill>
                  <a:latin typeface="Calibri"/>
                  <a:ea typeface="Calibri"/>
                  <a:cs typeface="Calibri"/>
                </a:rPr>
                <a:t>Gå til oversikt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22</xdr:col>
          <xdr:colOff>12700</xdr:colOff>
          <xdr:row>40</xdr:row>
          <xdr:rowOff>38100</xdr:rowOff>
        </xdr:from>
        <xdr:to>
          <xdr:col>23</xdr:col>
          <xdr:colOff>546100</xdr:colOff>
          <xdr:row>42</xdr:row>
          <xdr:rowOff>146050</xdr:rowOff>
        </xdr:to>
        <xdr:sp macro="" textlink="">
          <xdr:nvSpPr>
            <xdr:cNvPr id="18" name="Button 54" hidden="1">
              <a:extLst>
                <a:ext uri="{63B3BB69-23CF-44E3-9099-C40C66FF867C}">
                  <a14:compatExt spid="_x0000_s31798"/>
                </a:ext>
                <a:ext uri="{FF2B5EF4-FFF2-40B4-BE49-F238E27FC236}">
                  <a16:creationId xmlns:a16="http://schemas.microsoft.com/office/drawing/2014/main" id="{00000000-0008-0000-1800-0000120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nb-NO" sz="1100" b="0" i="0" u="none" strike="noStrike" baseline="0">
                  <a:solidFill>
                    <a:srgbClr val="000000"/>
                  </a:solidFill>
                  <a:latin typeface="Calibri"/>
                  <a:ea typeface="Calibri"/>
                  <a:cs typeface="Calibri"/>
                </a:rPr>
                <a:t>Gå til oversikt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736600</xdr:colOff>
          <xdr:row>76</xdr:row>
          <xdr:rowOff>31750</xdr:rowOff>
        </xdr:from>
        <xdr:to>
          <xdr:col>3</xdr:col>
          <xdr:colOff>508000</xdr:colOff>
          <xdr:row>78</xdr:row>
          <xdr:rowOff>133350</xdr:rowOff>
        </xdr:to>
        <xdr:sp macro="" textlink="">
          <xdr:nvSpPr>
            <xdr:cNvPr id="21" name="Button 55" hidden="1">
              <a:extLst>
                <a:ext uri="{63B3BB69-23CF-44E3-9099-C40C66FF867C}">
                  <a14:compatExt spid="_x0000_s31799"/>
                </a:ext>
                <a:ext uri="{FF2B5EF4-FFF2-40B4-BE49-F238E27FC236}">
                  <a16:creationId xmlns:a16="http://schemas.microsoft.com/office/drawing/2014/main" id="{00000000-0008-0000-1800-0000150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nb-NO" sz="1100" b="0" i="0" u="none" strike="noStrike" baseline="0">
                  <a:solidFill>
                    <a:srgbClr val="000000"/>
                  </a:solidFill>
                  <a:latin typeface="Calibri"/>
                  <a:ea typeface="Calibri"/>
                  <a:cs typeface="Calibri"/>
                </a:rPr>
                <a:t>Gå til oversikt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666750</xdr:colOff>
          <xdr:row>39</xdr:row>
          <xdr:rowOff>50800</xdr:rowOff>
        </xdr:from>
        <xdr:to>
          <xdr:col>3</xdr:col>
          <xdr:colOff>438150</xdr:colOff>
          <xdr:row>41</xdr:row>
          <xdr:rowOff>152400</xdr:rowOff>
        </xdr:to>
        <xdr:sp macro="" textlink="">
          <xdr:nvSpPr>
            <xdr:cNvPr id="22" name="Button 56" hidden="1">
              <a:extLst>
                <a:ext uri="{63B3BB69-23CF-44E3-9099-C40C66FF867C}">
                  <a14:compatExt spid="_x0000_s31800"/>
                </a:ext>
                <a:ext uri="{FF2B5EF4-FFF2-40B4-BE49-F238E27FC236}">
                  <a16:creationId xmlns:a16="http://schemas.microsoft.com/office/drawing/2014/main" id="{00000000-0008-0000-1800-0000160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nb-NO" sz="1100" b="0" i="0" u="none" strike="noStrike" baseline="0">
                  <a:solidFill>
                    <a:srgbClr val="000000"/>
                  </a:solidFill>
                  <a:latin typeface="Calibri"/>
                  <a:ea typeface="Calibri"/>
                  <a:cs typeface="Calibri"/>
                </a:rPr>
                <a:t>Gå til oversikt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22</xdr:col>
          <xdr:colOff>31750</xdr:colOff>
          <xdr:row>75</xdr:row>
          <xdr:rowOff>19050</xdr:rowOff>
        </xdr:from>
        <xdr:to>
          <xdr:col>23</xdr:col>
          <xdr:colOff>565150</xdr:colOff>
          <xdr:row>77</xdr:row>
          <xdr:rowOff>127000</xdr:rowOff>
        </xdr:to>
        <xdr:sp macro="" textlink="">
          <xdr:nvSpPr>
            <xdr:cNvPr id="23" name="Button 57" hidden="1">
              <a:extLst>
                <a:ext uri="{63B3BB69-23CF-44E3-9099-C40C66FF867C}">
                  <a14:compatExt spid="_x0000_s31801"/>
                </a:ext>
                <a:ext uri="{FF2B5EF4-FFF2-40B4-BE49-F238E27FC236}">
                  <a16:creationId xmlns:a16="http://schemas.microsoft.com/office/drawing/2014/main" id="{00000000-0008-0000-1800-0000170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nb-NO" sz="1100" b="0" i="0" u="none" strike="noStrike" baseline="0">
                  <a:solidFill>
                    <a:srgbClr val="000000"/>
                  </a:solidFill>
                  <a:latin typeface="Calibri"/>
                  <a:ea typeface="Calibri"/>
                  <a:cs typeface="Calibri"/>
                </a:rPr>
                <a:t>Gå til oversikt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42</xdr:col>
          <xdr:colOff>38100</xdr:colOff>
          <xdr:row>75</xdr:row>
          <xdr:rowOff>19050</xdr:rowOff>
        </xdr:from>
        <xdr:to>
          <xdr:col>43</xdr:col>
          <xdr:colOff>571500</xdr:colOff>
          <xdr:row>77</xdr:row>
          <xdr:rowOff>133350</xdr:rowOff>
        </xdr:to>
        <xdr:sp macro="" textlink="">
          <xdr:nvSpPr>
            <xdr:cNvPr id="24" name="Button 58" hidden="1">
              <a:extLst>
                <a:ext uri="{63B3BB69-23CF-44E3-9099-C40C66FF867C}">
                  <a14:compatExt spid="_x0000_s31802"/>
                </a:ext>
                <a:ext uri="{FF2B5EF4-FFF2-40B4-BE49-F238E27FC236}">
                  <a16:creationId xmlns:a16="http://schemas.microsoft.com/office/drawing/2014/main" id="{00000000-0008-0000-1800-0000180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nb-NO" sz="1100" b="0" i="0" u="none" strike="noStrike" baseline="0">
                  <a:solidFill>
                    <a:srgbClr val="000000"/>
                  </a:solidFill>
                  <a:latin typeface="Calibri"/>
                  <a:ea typeface="Calibri"/>
                  <a:cs typeface="Calibri"/>
                </a:rPr>
                <a:t>Gå til oversikt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641350</xdr:colOff>
          <xdr:row>27</xdr:row>
          <xdr:rowOff>190500</xdr:rowOff>
        </xdr:from>
        <xdr:to>
          <xdr:col>19</xdr:col>
          <xdr:colOff>412750</xdr:colOff>
          <xdr:row>31</xdr:row>
          <xdr:rowOff>165100</xdr:rowOff>
        </xdr:to>
        <xdr:sp macro="" textlink="">
          <xdr:nvSpPr>
            <xdr:cNvPr id="25" name="TrafikantKakeProsent_knapp" hidden="1">
              <a:extLst>
                <a:ext uri="{63B3BB69-23CF-44E3-9099-C40C66FF867C}">
                  <a14:compatExt spid="_x0000_s31803"/>
                </a:ext>
                <a:ext uri="{FF2B5EF4-FFF2-40B4-BE49-F238E27FC236}">
                  <a16:creationId xmlns:a16="http://schemas.microsoft.com/office/drawing/2014/main" id="{00000000-0008-0000-1800-0000190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4.xml><?xml version="1.0" encoding="utf-8"?>
<xdr:wsDr xmlns:xdr="http://schemas.openxmlformats.org/drawingml/2006/spreadsheetDrawing" xmlns:a="http://schemas.openxmlformats.org/drawingml/2006/main">
  <xdr:twoCellAnchor>
    <xdr:from>
      <xdr:col>21</xdr:col>
      <xdr:colOff>85726</xdr:colOff>
      <xdr:row>1</xdr:row>
      <xdr:rowOff>53982</xdr:rowOff>
    </xdr:from>
    <xdr:to>
      <xdr:col>24</xdr:col>
      <xdr:colOff>506076</xdr:colOff>
      <xdr:row>37</xdr:row>
      <xdr:rowOff>53982</xdr:rowOff>
    </xdr:to>
    <xdr:sp macro="" textlink="">
      <xdr:nvSpPr>
        <xdr:cNvPr id="32" name="Rektangel 31">
          <a:extLst>
            <a:ext uri="{FF2B5EF4-FFF2-40B4-BE49-F238E27FC236}">
              <a16:creationId xmlns:a16="http://schemas.microsoft.com/office/drawing/2014/main" id="{00000000-0008-0000-1900-000020000000}"/>
            </a:ext>
          </a:extLst>
        </xdr:cNvPr>
        <xdr:cNvSpPr/>
      </xdr:nvSpPr>
      <xdr:spPr>
        <a:xfrm>
          <a:off x="16087726" y="255065"/>
          <a:ext cx="2706350" cy="6858000"/>
        </a:xfrm>
        <a:prstGeom prst="rect">
          <a:avLst/>
        </a:prstGeom>
        <a:solidFill>
          <a:srgbClr val="B9CDE5"/>
        </a:solidFill>
        <a:ln>
          <a:solidFill>
            <a:schemeClr val="accent1">
              <a:shade val="50000"/>
            </a:schemeClr>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b-NO" sz="1100"/>
        </a:p>
        <a:p>
          <a:pPr algn="l"/>
          <a:endParaRPr lang="nb-NO" sz="1100"/>
        </a:p>
        <a:p>
          <a:pPr algn="l"/>
          <a:endParaRPr lang="nb-NO" sz="1100">
            <a:solidFill>
              <a:sysClr val="windowText" lastClr="000000"/>
            </a:solidFill>
          </a:endParaRPr>
        </a:p>
        <a:p>
          <a:pPr algn="l"/>
          <a:r>
            <a:rPr lang="nb-NO" sz="1100">
              <a:solidFill>
                <a:sysClr val="windowText" lastClr="000000"/>
              </a:solidFill>
            </a:rPr>
            <a:t>Nyttebidraget</a:t>
          </a:r>
          <a:r>
            <a:rPr lang="nb-NO" sz="1100" baseline="0">
              <a:solidFill>
                <a:sysClr val="windowText" lastClr="000000"/>
              </a:solidFill>
            </a:rPr>
            <a:t> fra endret CO2-utslipp er en funksjon av transportarbeidet, CO2-prisbanen og utslippsbanen fra de ulike transportmidlene. Venstre akse uttrykker dette målet i millioner kroner per år.</a:t>
          </a:r>
        </a:p>
        <a:p>
          <a:pPr algn="l"/>
          <a:r>
            <a:rPr lang="nb-NO" sz="1100" baseline="0">
              <a:solidFill>
                <a:sysClr val="windowText" lastClr="000000"/>
              </a:solidFill>
            </a:rPr>
            <a:t>Høyre akse angir CO2-prisbanen og CO2-avgiftsbanen i kr/tonn. </a:t>
          </a:r>
        </a:p>
        <a:p>
          <a:pPr algn="ctr"/>
          <a:endParaRPr lang="nb-NO" sz="1100">
            <a:solidFill>
              <a:sysClr val="windowText" lastClr="000000"/>
            </a:solidFill>
          </a:endParaRPr>
        </a:p>
      </xdr:txBody>
    </xdr:sp>
    <xdr:clientData/>
  </xdr:twoCellAnchor>
  <xdr:oneCellAnchor>
    <xdr:from>
      <xdr:col>1</xdr:col>
      <xdr:colOff>23812</xdr:colOff>
      <xdr:row>1</xdr:row>
      <xdr:rowOff>16932</xdr:rowOff>
    </xdr:from>
    <xdr:ext cx="6215063" cy="7007755"/>
    <xdr:sp macro="" textlink="">
      <xdr:nvSpPr>
        <xdr:cNvPr id="2" name="TekstSylinder 1">
          <a:extLst>
            <a:ext uri="{FF2B5EF4-FFF2-40B4-BE49-F238E27FC236}">
              <a16:creationId xmlns:a16="http://schemas.microsoft.com/office/drawing/2014/main" id="{00000000-0008-0000-1900-000002000000}"/>
            </a:ext>
          </a:extLst>
        </xdr:cNvPr>
        <xdr:cNvSpPr txBox="1"/>
      </xdr:nvSpPr>
      <xdr:spPr>
        <a:xfrm>
          <a:off x="785812" y="218015"/>
          <a:ext cx="6215063" cy="7007755"/>
        </a:xfrm>
        <a:prstGeom prst="rect">
          <a:avLst/>
        </a:prstGeom>
        <a:solidFill>
          <a:srgbClr val="95B3D7"/>
        </a:solidFill>
        <a:ln w="25400">
          <a:solidFill>
            <a:sysClr val="windowText" lastClr="000000"/>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nb-NO" sz="3600" b="1">
              <a:solidFill>
                <a:schemeClr val="tx1"/>
              </a:solidFill>
              <a:effectLst/>
              <a:latin typeface="+mn-lt"/>
              <a:ea typeface="+mn-ea"/>
              <a:cs typeface="+mn-cs"/>
            </a:rPr>
            <a:t>Informasjon </a:t>
          </a:r>
          <a:endParaRPr lang="nb-NO" sz="3600">
            <a:effectLst/>
          </a:endParaRPr>
        </a:p>
        <a:p>
          <a:r>
            <a:rPr lang="nb-NO" sz="3600" i="1">
              <a:solidFill>
                <a:schemeClr val="tx1"/>
              </a:solidFill>
              <a:effectLst/>
              <a:latin typeface="+mn-lt"/>
              <a:ea typeface="+mn-ea"/>
              <a:cs typeface="+mn-cs"/>
            </a:rPr>
            <a:t>Her vises en</a:t>
          </a:r>
          <a:r>
            <a:rPr lang="nb-NO" sz="3600" i="1" baseline="0">
              <a:solidFill>
                <a:schemeClr val="tx1"/>
              </a:solidFill>
              <a:effectLst/>
              <a:latin typeface="+mn-lt"/>
              <a:ea typeface="+mn-ea"/>
              <a:cs typeface="+mn-cs"/>
            </a:rPr>
            <a:t> oversikt over figurer basert på tidsseriedata. Figurene henter data fra ark 3.1 Nyttestrøm.  </a:t>
          </a:r>
          <a:r>
            <a:rPr lang="nb-NO" sz="3600" i="1">
              <a:solidFill>
                <a:schemeClr val="tx1"/>
              </a:solidFill>
              <a:effectLst/>
              <a:latin typeface="+mn-lt"/>
              <a:ea typeface="+mn-ea"/>
              <a:cs typeface="+mn-cs"/>
            </a:rPr>
            <a:t> </a:t>
          </a:r>
        </a:p>
        <a:p>
          <a:r>
            <a:rPr lang="nb-NO" sz="3600" i="1" baseline="0">
              <a:solidFill>
                <a:schemeClr val="tx1"/>
              </a:solidFill>
              <a:effectLst/>
              <a:latin typeface="+mn-lt"/>
              <a:ea typeface="+mn-ea"/>
              <a:cs typeface="+mn-cs"/>
            </a:rPr>
            <a:t>Kronebeløp er gitt for med prisnivået i kroneåret For nytte/kostnadsvirkninger. For Karbonprisbane og CO2-avgift er prisnivået satt til siste statistikkår.</a:t>
          </a:r>
        </a:p>
      </xdr:txBody>
    </xdr:sp>
    <xdr:clientData/>
  </xdr:oneCellAnchor>
  <xdr:twoCellAnchor>
    <xdr:from>
      <xdr:col>41</xdr:col>
      <xdr:colOff>88901</xdr:colOff>
      <xdr:row>1</xdr:row>
      <xdr:rowOff>140861</xdr:rowOff>
    </xdr:from>
    <xdr:to>
      <xdr:col>44</xdr:col>
      <xdr:colOff>502901</xdr:colOff>
      <xdr:row>37</xdr:row>
      <xdr:rowOff>140860</xdr:rowOff>
    </xdr:to>
    <xdr:sp macro="" textlink="">
      <xdr:nvSpPr>
        <xdr:cNvPr id="34" name="Rektangel 33">
          <a:extLst>
            <a:ext uri="{FF2B5EF4-FFF2-40B4-BE49-F238E27FC236}">
              <a16:creationId xmlns:a16="http://schemas.microsoft.com/office/drawing/2014/main" id="{00000000-0008-0000-1900-000022000000}"/>
            </a:ext>
          </a:extLst>
        </xdr:cNvPr>
        <xdr:cNvSpPr/>
      </xdr:nvSpPr>
      <xdr:spPr>
        <a:xfrm>
          <a:off x="31330901" y="341944"/>
          <a:ext cx="2700000" cy="6857999"/>
        </a:xfrm>
        <a:prstGeom prst="rect">
          <a:avLst/>
        </a:prstGeom>
        <a:solidFill>
          <a:srgbClr val="B9CDE5"/>
        </a:solidFill>
        <a:ln>
          <a:solidFill>
            <a:schemeClr val="accent1">
              <a:shade val="50000"/>
            </a:schemeClr>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b-NO" sz="1100"/>
        </a:p>
        <a:p>
          <a:pPr algn="l"/>
          <a:endParaRPr lang="nb-NO" sz="1100"/>
        </a:p>
        <a:p>
          <a:pPr algn="l"/>
          <a:endParaRPr lang="nb-NO" sz="1100"/>
        </a:p>
        <a:p>
          <a:pPr algn="l"/>
          <a:endParaRPr lang="nb-NO" sz="1100"/>
        </a:p>
        <a:p>
          <a:pPr algn="l"/>
          <a:endParaRPr lang="nb-NO" sz="1100"/>
        </a:p>
        <a:p>
          <a:pPr algn="l"/>
          <a:endParaRPr lang="nb-NO" sz="1100"/>
        </a:p>
        <a:p>
          <a:pPr algn="l"/>
          <a:endParaRPr lang="nb-NO" sz="1100"/>
        </a:p>
        <a:p>
          <a:pPr algn="l"/>
          <a:endParaRPr lang="nb-NO" sz="1100"/>
        </a:p>
        <a:p>
          <a:pPr algn="l"/>
          <a:r>
            <a:rPr lang="nb-NO" sz="1100">
              <a:solidFill>
                <a:sysClr val="windowText" lastClr="000000"/>
              </a:solidFill>
            </a:rPr>
            <a:t>Figuren viser</a:t>
          </a:r>
          <a:r>
            <a:rPr lang="nb-NO" sz="1100" baseline="0">
              <a:solidFill>
                <a:sysClr val="windowText" lastClr="000000"/>
              </a:solidFill>
            </a:rPr>
            <a:t> offentlige investeringer og øvrige budsjettvirkninger knyttet til prosjektet som analyseres. De øvrige budsjettvirkningene er lik summen av endringer i avgifter, vedlikeholdskostnader knyttet til infrastruktur og offentlige kjøp. Venstre akse angir størrelsen i mill. kroner.  </a:t>
          </a:r>
          <a:endParaRPr lang="nb-NO" sz="1100">
            <a:solidFill>
              <a:sysClr val="windowText" lastClr="000000"/>
            </a:solidFill>
          </a:endParaRPr>
        </a:p>
      </xdr:txBody>
    </xdr:sp>
    <xdr:clientData/>
  </xdr:twoCellAnchor>
  <xdr:twoCellAnchor>
    <xdr:from>
      <xdr:col>24</xdr:col>
      <xdr:colOff>667192</xdr:colOff>
      <xdr:row>4</xdr:row>
      <xdr:rowOff>956</xdr:rowOff>
    </xdr:from>
    <xdr:to>
      <xdr:col>39</xdr:col>
      <xdr:colOff>514349</xdr:colOff>
      <xdr:row>37</xdr:row>
      <xdr:rowOff>104775</xdr:rowOff>
    </xdr:to>
    <xdr:graphicFrame macro="">
      <xdr:nvGraphicFramePr>
        <xdr:cNvPr id="32769" name="Nytte_CO2">
          <a:extLst>
            <a:ext uri="{FF2B5EF4-FFF2-40B4-BE49-F238E27FC236}">
              <a16:creationId xmlns:a16="http://schemas.microsoft.com/office/drawing/2014/main" id="{00000000-0008-0000-1900-0000018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24</xdr:col>
      <xdr:colOff>667192</xdr:colOff>
      <xdr:row>4</xdr:row>
      <xdr:rowOff>956</xdr:rowOff>
    </xdr:from>
    <xdr:to>
      <xdr:col>39</xdr:col>
      <xdr:colOff>514349</xdr:colOff>
      <xdr:row>37</xdr:row>
      <xdr:rowOff>104775</xdr:rowOff>
    </xdr:to>
    <xdr:graphicFrame macro="">
      <xdr:nvGraphicFramePr>
        <xdr:cNvPr id="32793" name="Nytte_CO2">
          <a:extLst>
            <a:ext uri="{FF2B5EF4-FFF2-40B4-BE49-F238E27FC236}">
              <a16:creationId xmlns:a16="http://schemas.microsoft.com/office/drawing/2014/main" id="{00000000-0008-0000-1900-0000198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41</xdr:col>
      <xdr:colOff>374650</xdr:colOff>
      <xdr:row>25</xdr:row>
      <xdr:rowOff>107950</xdr:rowOff>
    </xdr:from>
    <xdr:to>
      <xdr:col>44</xdr:col>
      <xdr:colOff>241300</xdr:colOff>
      <xdr:row>26</xdr:row>
      <xdr:rowOff>171450</xdr:rowOff>
    </xdr:to>
    <xdr:sp macro="" textlink="">
      <xdr:nvSpPr>
        <xdr:cNvPr id="32794" name="Check Box 26" hidden="1">
          <a:extLst>
            <a:ext uri="{63B3BB69-23CF-44E3-9099-C40C66FF867C}">
              <a14:compatExt xmlns:a14="http://schemas.microsoft.com/office/drawing/2010/main" spid="_x0000_s32794"/>
            </a:ext>
            <a:ext uri="{FF2B5EF4-FFF2-40B4-BE49-F238E27FC236}">
              <a16:creationId xmlns:a16="http://schemas.microsoft.com/office/drawing/2014/main" id="{00000000-0008-0000-1900-00001A800000}"/>
            </a:ext>
          </a:extLst>
        </xdr:cNvPr>
        <xdr:cNvSpPr/>
      </xdr:nvSpPr>
      <xdr:spPr bwMode="auto">
        <a:xfrm>
          <a:off x="0" y="0"/>
          <a:ext cx="0" cy="0"/>
        </a:xfrm>
        <a:prstGeom prst="rect">
          <a:avLst/>
        </a:prstGeom>
        <a:solidFill>
          <a:srgbClr val="D8E4BC"/>
        </a:solidFill>
        <a:ln w="9525">
          <a:solidFill>
            <a:srgbClr val="9DBB61"/>
          </a:solidFill>
          <a:miter lim="800000"/>
          <a:headEnd/>
          <a:tailEnd/>
        </a:ln>
      </xdr:spPr>
      <xdr:txBody>
        <a:bodyPr vertOverflow="clip" wrap="square" lIns="36576" tIns="32004" rIns="0" bIns="32004" anchor="ctr" upright="1"/>
        <a:lstStyle/>
        <a:p>
          <a:pPr algn="l" rtl="0">
            <a:defRPr sz="1000"/>
          </a:pPr>
          <a:r>
            <a:rPr lang="nb-NO" sz="800" b="0" i="0" u="none" strike="noStrike" baseline="0">
              <a:solidFill>
                <a:srgbClr val="000000"/>
              </a:solidFill>
              <a:latin typeface="Segoe UI"/>
              <a:cs typeface="Segoe UI"/>
            </a:rPr>
            <a:t>Investeringer</a:t>
          </a:r>
        </a:p>
      </xdr:txBody>
    </xdr:sp>
    <xdr:clientData/>
  </xdr:twoCellAnchor>
  <xdr:twoCellAnchor editAs="oneCell">
    <xdr:from>
      <xdr:col>41</xdr:col>
      <xdr:colOff>361950</xdr:colOff>
      <xdr:row>30</xdr:row>
      <xdr:rowOff>12700</xdr:rowOff>
    </xdr:from>
    <xdr:to>
      <xdr:col>44</xdr:col>
      <xdr:colOff>228600</xdr:colOff>
      <xdr:row>31</xdr:row>
      <xdr:rowOff>88900</xdr:rowOff>
    </xdr:to>
    <xdr:sp macro="" textlink="">
      <xdr:nvSpPr>
        <xdr:cNvPr id="32795" name="Check Box 27" hidden="1">
          <a:extLst>
            <a:ext uri="{63B3BB69-23CF-44E3-9099-C40C66FF867C}">
              <a14:compatExt xmlns:a14="http://schemas.microsoft.com/office/drawing/2010/main" spid="_x0000_s32795"/>
            </a:ext>
            <a:ext uri="{FF2B5EF4-FFF2-40B4-BE49-F238E27FC236}">
              <a16:creationId xmlns:a16="http://schemas.microsoft.com/office/drawing/2014/main" id="{00000000-0008-0000-1900-00001B800000}"/>
            </a:ext>
          </a:extLst>
        </xdr:cNvPr>
        <xdr:cNvSpPr/>
      </xdr:nvSpPr>
      <xdr:spPr bwMode="auto">
        <a:xfrm>
          <a:off x="0" y="0"/>
          <a:ext cx="0" cy="0"/>
        </a:xfrm>
        <a:prstGeom prst="rect">
          <a:avLst/>
        </a:prstGeom>
        <a:solidFill>
          <a:srgbClr val="D8E4BC"/>
        </a:solidFill>
        <a:ln w="9525">
          <a:solidFill>
            <a:srgbClr val="9DBB61"/>
          </a:solidFill>
          <a:miter lim="800000"/>
          <a:headEnd/>
          <a:tailEnd/>
        </a:ln>
      </xdr:spPr>
      <xdr:txBody>
        <a:bodyPr vertOverflow="clip" wrap="square" lIns="36576" tIns="32004" rIns="0" bIns="32004" anchor="ctr" upright="1"/>
        <a:lstStyle/>
        <a:p>
          <a:pPr algn="l" rtl="0">
            <a:defRPr sz="1000"/>
          </a:pPr>
          <a:r>
            <a:rPr lang="nb-NO" sz="800" b="0" i="0" u="none" strike="noStrike" baseline="0">
              <a:solidFill>
                <a:srgbClr val="000000"/>
              </a:solidFill>
              <a:latin typeface="Segoe UI"/>
              <a:cs typeface="Segoe UI"/>
            </a:rPr>
            <a:t>Budsjettvirkninger ekskl. investeringer</a:t>
          </a:r>
        </a:p>
      </xdr:txBody>
    </xdr:sp>
    <xdr:clientData/>
  </xdr:twoCellAnchor>
  <xdr:twoCellAnchor>
    <xdr:from>
      <xdr:col>44</xdr:col>
      <xdr:colOff>667192</xdr:colOff>
      <xdr:row>4</xdr:row>
      <xdr:rowOff>14233</xdr:rowOff>
    </xdr:from>
    <xdr:to>
      <xdr:col>59</xdr:col>
      <xdr:colOff>476249</xdr:colOff>
      <xdr:row>37</xdr:row>
      <xdr:rowOff>47625</xdr:rowOff>
    </xdr:to>
    <xdr:graphicFrame macro="">
      <xdr:nvGraphicFramePr>
        <xdr:cNvPr id="63" name="Budsjettkostnader">
          <a:extLst>
            <a:ext uri="{FF2B5EF4-FFF2-40B4-BE49-F238E27FC236}">
              <a16:creationId xmlns:a16="http://schemas.microsoft.com/office/drawing/2014/main" id="{00000000-0008-0000-1900-00003F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4</xdr:col>
      <xdr:colOff>667193</xdr:colOff>
      <xdr:row>43</xdr:row>
      <xdr:rowOff>166633</xdr:rowOff>
    </xdr:from>
    <xdr:to>
      <xdr:col>19</xdr:col>
      <xdr:colOff>333375</xdr:colOff>
      <xdr:row>75</xdr:row>
      <xdr:rowOff>119062</xdr:rowOff>
    </xdr:to>
    <xdr:graphicFrame macro="">
      <xdr:nvGraphicFramePr>
        <xdr:cNvPr id="58" name="Break_even">
          <a:extLst>
            <a:ext uri="{FF2B5EF4-FFF2-40B4-BE49-F238E27FC236}">
              <a16:creationId xmlns:a16="http://schemas.microsoft.com/office/drawing/2014/main" id="{00000000-0008-0000-1900-00003A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44</xdr:col>
      <xdr:colOff>667192</xdr:colOff>
      <xdr:row>4</xdr:row>
      <xdr:rowOff>14233</xdr:rowOff>
    </xdr:from>
    <xdr:to>
      <xdr:col>59</xdr:col>
      <xdr:colOff>476249</xdr:colOff>
      <xdr:row>37</xdr:row>
      <xdr:rowOff>47625</xdr:rowOff>
    </xdr:to>
    <xdr:graphicFrame macro="">
      <xdr:nvGraphicFramePr>
        <xdr:cNvPr id="61" name="Budsjettkostnader">
          <a:extLst>
            <a:ext uri="{FF2B5EF4-FFF2-40B4-BE49-F238E27FC236}">
              <a16:creationId xmlns:a16="http://schemas.microsoft.com/office/drawing/2014/main" id="{00000000-0008-0000-1900-00003D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4</xdr:col>
      <xdr:colOff>667193</xdr:colOff>
      <xdr:row>43</xdr:row>
      <xdr:rowOff>166633</xdr:rowOff>
    </xdr:from>
    <xdr:to>
      <xdr:col>19</xdr:col>
      <xdr:colOff>333375</xdr:colOff>
      <xdr:row>75</xdr:row>
      <xdr:rowOff>119062</xdr:rowOff>
    </xdr:to>
    <xdr:graphicFrame macro="">
      <xdr:nvGraphicFramePr>
        <xdr:cNvPr id="59" name="Break_even">
          <a:extLst>
            <a:ext uri="{FF2B5EF4-FFF2-40B4-BE49-F238E27FC236}">
              <a16:creationId xmlns:a16="http://schemas.microsoft.com/office/drawing/2014/main" id="{00000000-0008-0000-1900-00003B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21</xdr:col>
      <xdr:colOff>117929</xdr:colOff>
      <xdr:row>41</xdr:row>
      <xdr:rowOff>88907</xdr:rowOff>
    </xdr:from>
    <xdr:to>
      <xdr:col>24</xdr:col>
      <xdr:colOff>531929</xdr:colOff>
      <xdr:row>77</xdr:row>
      <xdr:rowOff>88907</xdr:rowOff>
    </xdr:to>
    <xdr:sp macro="" textlink="">
      <xdr:nvSpPr>
        <xdr:cNvPr id="8" name="Rektangel 7">
          <a:extLst>
            <a:ext uri="{FF2B5EF4-FFF2-40B4-BE49-F238E27FC236}">
              <a16:creationId xmlns:a16="http://schemas.microsoft.com/office/drawing/2014/main" id="{00000000-0008-0000-1900-000008000000}"/>
            </a:ext>
          </a:extLst>
        </xdr:cNvPr>
        <xdr:cNvSpPr/>
      </xdr:nvSpPr>
      <xdr:spPr>
        <a:xfrm>
          <a:off x="16119929" y="7931157"/>
          <a:ext cx="2700000" cy="6858000"/>
        </a:xfrm>
        <a:prstGeom prst="rect">
          <a:avLst/>
        </a:prstGeom>
        <a:solidFill>
          <a:srgbClr val="B9CDE5"/>
        </a:solidFill>
        <a:ln>
          <a:solidFill>
            <a:schemeClr val="accent1">
              <a:shade val="50000"/>
            </a:schemeClr>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b-NO" sz="1100"/>
        </a:p>
        <a:p>
          <a:pPr algn="l"/>
          <a:endParaRPr lang="nb-NO" sz="1100"/>
        </a:p>
        <a:p>
          <a:pPr algn="ctr"/>
          <a:endParaRPr lang="nb-NO" sz="1100">
            <a:solidFill>
              <a:sysClr val="windowText" lastClr="000000"/>
            </a:solidFill>
          </a:endParaRPr>
        </a:p>
        <a:p>
          <a:pPr algn="l"/>
          <a:r>
            <a:rPr lang="nb-NO" sz="1100">
              <a:solidFill>
                <a:sysClr val="windowText" lastClr="000000"/>
              </a:solidFill>
            </a:rPr>
            <a:t>Venstre</a:t>
          </a:r>
          <a:r>
            <a:rPr lang="nb-NO" sz="1100" baseline="0">
              <a:solidFill>
                <a:sysClr val="windowText" lastClr="000000"/>
              </a:solidFill>
            </a:rPr>
            <a:t> akse angir utviklingen i CO2-utslipp i 1000 tonn fra de ulike transportmidlene. Målet er en funksjon av  CO2-utslipp og kjøretøykm til de respektive transport-midlene. Høyre akse angir CO2-prisbanen og CO2-avgiftsbanen i kr/tonn. </a:t>
          </a:r>
        </a:p>
      </xdr:txBody>
    </xdr:sp>
    <xdr:clientData/>
  </xdr:twoCellAnchor>
  <xdr:twoCellAnchor>
    <xdr:from>
      <xdr:col>24</xdr:col>
      <xdr:colOff>666749</xdr:colOff>
      <xdr:row>43</xdr:row>
      <xdr:rowOff>101599</xdr:rowOff>
    </xdr:from>
    <xdr:to>
      <xdr:col>39</xdr:col>
      <xdr:colOff>180974</xdr:colOff>
      <xdr:row>75</xdr:row>
      <xdr:rowOff>123824</xdr:rowOff>
    </xdr:to>
    <xdr:graphicFrame macro="">
      <xdr:nvGraphicFramePr>
        <xdr:cNvPr id="32780" name="CO2_utslipp">
          <a:extLst>
            <a:ext uri="{FF2B5EF4-FFF2-40B4-BE49-F238E27FC236}">
              <a16:creationId xmlns:a16="http://schemas.microsoft.com/office/drawing/2014/main" id="{00000000-0008-0000-1900-00000C8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24</xdr:col>
      <xdr:colOff>666749</xdr:colOff>
      <xdr:row>43</xdr:row>
      <xdr:rowOff>101599</xdr:rowOff>
    </xdr:from>
    <xdr:to>
      <xdr:col>39</xdr:col>
      <xdr:colOff>180974</xdr:colOff>
      <xdr:row>75</xdr:row>
      <xdr:rowOff>123824</xdr:rowOff>
    </xdr:to>
    <xdr:graphicFrame macro="">
      <xdr:nvGraphicFramePr>
        <xdr:cNvPr id="32797" name="CO2_utslipp">
          <a:extLst>
            <a:ext uri="{FF2B5EF4-FFF2-40B4-BE49-F238E27FC236}">
              <a16:creationId xmlns:a16="http://schemas.microsoft.com/office/drawing/2014/main" id="{00000000-0008-0000-1900-00001D8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xdr:col>
      <xdr:colOff>88901</xdr:colOff>
      <xdr:row>41</xdr:row>
      <xdr:rowOff>108532</xdr:rowOff>
    </xdr:from>
    <xdr:to>
      <xdr:col>4</xdr:col>
      <xdr:colOff>502901</xdr:colOff>
      <xdr:row>77</xdr:row>
      <xdr:rowOff>108532</xdr:rowOff>
    </xdr:to>
    <xdr:sp macro="" textlink="">
      <xdr:nvSpPr>
        <xdr:cNvPr id="35" name="Rektangel 34">
          <a:extLst>
            <a:ext uri="{FF2B5EF4-FFF2-40B4-BE49-F238E27FC236}">
              <a16:creationId xmlns:a16="http://schemas.microsoft.com/office/drawing/2014/main" id="{00000000-0008-0000-1900-000023000000}"/>
            </a:ext>
          </a:extLst>
        </xdr:cNvPr>
        <xdr:cNvSpPr/>
      </xdr:nvSpPr>
      <xdr:spPr>
        <a:xfrm>
          <a:off x="850901" y="7950782"/>
          <a:ext cx="2700000" cy="6858000"/>
        </a:xfrm>
        <a:prstGeom prst="rect">
          <a:avLst/>
        </a:prstGeom>
        <a:solidFill>
          <a:srgbClr val="B9CDE5"/>
        </a:solidFill>
        <a:ln>
          <a:solidFill>
            <a:schemeClr val="accent1">
              <a:shade val="50000"/>
            </a:schemeClr>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b-NO" sz="1100"/>
        </a:p>
        <a:p>
          <a:pPr algn="l"/>
          <a:endParaRPr lang="nb-NO" sz="1100"/>
        </a:p>
        <a:p>
          <a:pPr algn="l"/>
          <a:endParaRPr lang="nb-NO" sz="1100"/>
        </a:p>
        <a:p>
          <a:pPr algn="l"/>
          <a:endParaRPr lang="nb-NO" sz="1100"/>
        </a:p>
        <a:p>
          <a:pPr algn="l"/>
          <a:endParaRPr lang="nb-NO" sz="1100"/>
        </a:p>
        <a:p>
          <a:pPr algn="l"/>
          <a:endParaRPr lang="nb-NO" sz="1100"/>
        </a:p>
        <a:p>
          <a:pPr algn="l"/>
          <a:endParaRPr lang="nb-NO" sz="1100"/>
        </a:p>
        <a:p>
          <a:pPr algn="l"/>
          <a:r>
            <a:rPr lang="nb-NO" sz="1100">
              <a:solidFill>
                <a:sysClr val="windowText" lastClr="000000"/>
              </a:solidFill>
            </a:rPr>
            <a:t>Figuren viser</a:t>
          </a:r>
          <a:r>
            <a:rPr lang="nb-NO" sz="1100" baseline="0">
              <a:solidFill>
                <a:sysClr val="windowText" lastClr="000000"/>
              </a:solidFill>
            </a:rPr>
            <a:t> utviklingen i prosjektets netto nytte, akkumulert</a:t>
          </a:r>
          <a:r>
            <a:rPr lang="nb-NO" sz="1100">
              <a:solidFill>
                <a:sysClr val="windowText" lastClr="000000"/>
              </a:solidFill>
            </a:rPr>
            <a:t> etter</a:t>
          </a:r>
          <a:r>
            <a:rPr lang="nb-NO" sz="1100" baseline="0">
              <a:solidFill>
                <a:sysClr val="windowText" lastClr="000000"/>
              </a:solidFill>
            </a:rPr>
            <a:t> et gitt år etter åpning. Figuren illustrerer året hvor netto nåverdi er lik null; break even punktet.</a:t>
          </a:r>
        </a:p>
        <a:p>
          <a:pPr algn="l"/>
          <a:r>
            <a:rPr lang="nb-NO" sz="1100" baseline="0">
              <a:solidFill>
                <a:sysClr val="windowText" lastClr="000000"/>
              </a:solidFill>
            </a:rPr>
            <a:t>X-aksen viser årstallene i prosjektets levetid. </a:t>
          </a:r>
        </a:p>
        <a:p>
          <a:pPr algn="l"/>
          <a:r>
            <a:rPr lang="nb-NO" sz="1100" baseline="0">
              <a:solidFill>
                <a:sysClr val="windowText" lastClr="000000"/>
              </a:solidFill>
            </a:rPr>
            <a:t>Y-aksen angir størrelsen på den akkumulerte nyttestrømmen i mill. kroner.</a:t>
          </a:r>
        </a:p>
      </xdr:txBody>
    </xdr:sp>
    <xdr:clientData/>
  </xdr:twoCellAnchor>
  <xdr:twoCellAnchor>
    <xdr:from>
      <xdr:col>41</xdr:col>
      <xdr:colOff>88901</xdr:colOff>
      <xdr:row>41</xdr:row>
      <xdr:rowOff>64681</xdr:rowOff>
    </xdr:from>
    <xdr:to>
      <xdr:col>44</xdr:col>
      <xdr:colOff>502901</xdr:colOff>
      <xdr:row>77</xdr:row>
      <xdr:rowOff>64680</xdr:rowOff>
    </xdr:to>
    <xdr:sp macro="" textlink="">
      <xdr:nvSpPr>
        <xdr:cNvPr id="36" name="Rektangel 35">
          <a:extLst>
            <a:ext uri="{FF2B5EF4-FFF2-40B4-BE49-F238E27FC236}">
              <a16:creationId xmlns:a16="http://schemas.microsoft.com/office/drawing/2014/main" id="{00000000-0008-0000-1900-000024000000}"/>
            </a:ext>
          </a:extLst>
        </xdr:cNvPr>
        <xdr:cNvSpPr/>
      </xdr:nvSpPr>
      <xdr:spPr>
        <a:xfrm>
          <a:off x="31330901" y="7906931"/>
          <a:ext cx="2700000" cy="6857999"/>
        </a:xfrm>
        <a:prstGeom prst="rect">
          <a:avLst/>
        </a:prstGeom>
        <a:solidFill>
          <a:srgbClr val="B9CDE5"/>
        </a:solidFill>
        <a:ln>
          <a:solidFill>
            <a:schemeClr val="accent1">
              <a:shade val="50000"/>
            </a:schemeClr>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b-NO" sz="1100"/>
        </a:p>
        <a:p>
          <a:pPr algn="l"/>
          <a:endParaRPr lang="nb-NO" sz="1100"/>
        </a:p>
        <a:p>
          <a:pPr algn="l"/>
          <a:endParaRPr lang="nb-NO" sz="1100"/>
        </a:p>
        <a:p>
          <a:pPr algn="l"/>
          <a:endParaRPr lang="nb-NO" sz="1100"/>
        </a:p>
        <a:p>
          <a:pPr algn="l"/>
          <a:endParaRPr lang="nb-NO" sz="1100"/>
        </a:p>
        <a:p>
          <a:pPr algn="l"/>
          <a:endParaRPr lang="nb-NO" sz="1100"/>
        </a:p>
        <a:p>
          <a:pPr algn="l"/>
          <a:endParaRPr lang="nb-NO" sz="1100"/>
        </a:p>
        <a:p>
          <a:pPr algn="l"/>
          <a:r>
            <a:rPr lang="nb-NO" sz="1100">
              <a:solidFill>
                <a:sysClr val="windowText" lastClr="000000"/>
              </a:solidFill>
            </a:rPr>
            <a:t>Dette</a:t>
          </a:r>
          <a:r>
            <a:rPr lang="nb-NO" sz="1100" baseline="0">
              <a:solidFill>
                <a:sysClr val="windowText" lastClr="000000"/>
              </a:solidFill>
            </a:rPr>
            <a:t> er en samlefigur som viser andre relevante faktorer som kan være av interesse i vurderingen av et nytt prosjekt. Figuren kan vise kostnader forbundet med ulykker, støy og lokale utslipp over prosjektets levetid. </a:t>
          </a:r>
        </a:p>
        <a:p>
          <a:pPr algn="l"/>
          <a:r>
            <a:rPr lang="nb-NO" sz="1100" baseline="0">
              <a:solidFill>
                <a:sysClr val="windowText" lastClr="000000"/>
              </a:solidFill>
            </a:rPr>
            <a:t>Venstre akse angir størrelsen på kostnadene i mill. kroner. </a:t>
          </a:r>
          <a:endParaRPr lang="nb-NO" sz="1100">
            <a:solidFill>
              <a:sysClr val="windowText" lastClr="000000"/>
            </a:solidFill>
          </a:endParaRPr>
        </a:p>
      </xdr:txBody>
    </xdr:sp>
    <xdr:clientData/>
  </xdr:twoCellAnchor>
  <xdr:twoCellAnchor editAs="oneCell">
    <xdr:from>
      <xdr:col>41</xdr:col>
      <xdr:colOff>361950</xdr:colOff>
      <xdr:row>64</xdr:row>
      <xdr:rowOff>69850</xdr:rowOff>
    </xdr:from>
    <xdr:to>
      <xdr:col>44</xdr:col>
      <xdr:colOff>228600</xdr:colOff>
      <xdr:row>65</xdr:row>
      <xdr:rowOff>146050</xdr:rowOff>
    </xdr:to>
    <xdr:sp macro="" textlink="">
      <xdr:nvSpPr>
        <xdr:cNvPr id="32814" name="Check Box 46" hidden="1">
          <a:extLst>
            <a:ext uri="{63B3BB69-23CF-44E3-9099-C40C66FF867C}">
              <a14:compatExt xmlns:a14="http://schemas.microsoft.com/office/drawing/2010/main" spid="_x0000_s32814"/>
            </a:ext>
            <a:ext uri="{FF2B5EF4-FFF2-40B4-BE49-F238E27FC236}">
              <a16:creationId xmlns:a16="http://schemas.microsoft.com/office/drawing/2014/main" id="{00000000-0008-0000-1900-00002E800000}"/>
            </a:ext>
          </a:extLst>
        </xdr:cNvPr>
        <xdr:cNvSpPr/>
      </xdr:nvSpPr>
      <xdr:spPr bwMode="auto">
        <a:xfrm>
          <a:off x="0" y="0"/>
          <a:ext cx="0" cy="0"/>
        </a:xfrm>
        <a:prstGeom prst="rect">
          <a:avLst/>
        </a:prstGeom>
        <a:solidFill>
          <a:srgbClr val="D8E4BC"/>
        </a:solidFill>
        <a:ln w="9525">
          <a:solidFill>
            <a:srgbClr val="9DBB61"/>
          </a:solidFill>
          <a:miter lim="800000"/>
          <a:headEnd/>
          <a:tailEnd/>
        </a:ln>
      </xdr:spPr>
      <xdr:txBody>
        <a:bodyPr vertOverflow="clip" wrap="square" lIns="36576" tIns="32004" rIns="0" bIns="32004" anchor="ctr" upright="1"/>
        <a:lstStyle/>
        <a:p>
          <a:pPr algn="l" rtl="0">
            <a:defRPr sz="1000"/>
          </a:pPr>
          <a:r>
            <a:rPr lang="nb-NO" sz="800" b="0" i="0" u="none" strike="noStrike" baseline="0">
              <a:solidFill>
                <a:srgbClr val="000000"/>
              </a:solidFill>
              <a:latin typeface="Segoe UI"/>
              <a:cs typeface="Segoe UI"/>
            </a:rPr>
            <a:t>Ulykker</a:t>
          </a:r>
        </a:p>
      </xdr:txBody>
    </xdr:sp>
    <xdr:clientData/>
  </xdr:twoCellAnchor>
  <xdr:twoCellAnchor editAs="oneCell">
    <xdr:from>
      <xdr:col>41</xdr:col>
      <xdr:colOff>361950</xdr:colOff>
      <xdr:row>66</xdr:row>
      <xdr:rowOff>114300</xdr:rowOff>
    </xdr:from>
    <xdr:to>
      <xdr:col>44</xdr:col>
      <xdr:colOff>228600</xdr:colOff>
      <xdr:row>67</xdr:row>
      <xdr:rowOff>184150</xdr:rowOff>
    </xdr:to>
    <xdr:sp macro="" textlink="">
      <xdr:nvSpPr>
        <xdr:cNvPr id="32815" name="Check Box 47" hidden="1">
          <a:extLst>
            <a:ext uri="{63B3BB69-23CF-44E3-9099-C40C66FF867C}">
              <a14:compatExt xmlns:a14="http://schemas.microsoft.com/office/drawing/2010/main" spid="_x0000_s32815"/>
            </a:ext>
            <a:ext uri="{FF2B5EF4-FFF2-40B4-BE49-F238E27FC236}">
              <a16:creationId xmlns:a16="http://schemas.microsoft.com/office/drawing/2014/main" id="{00000000-0008-0000-1900-00002F800000}"/>
            </a:ext>
          </a:extLst>
        </xdr:cNvPr>
        <xdr:cNvSpPr/>
      </xdr:nvSpPr>
      <xdr:spPr bwMode="auto">
        <a:xfrm>
          <a:off x="0" y="0"/>
          <a:ext cx="0" cy="0"/>
        </a:xfrm>
        <a:prstGeom prst="rect">
          <a:avLst/>
        </a:prstGeom>
        <a:solidFill>
          <a:srgbClr val="D8E4BC"/>
        </a:solidFill>
        <a:ln w="9525">
          <a:solidFill>
            <a:srgbClr val="9DBB61"/>
          </a:solidFill>
          <a:miter lim="800000"/>
          <a:headEnd/>
          <a:tailEnd/>
        </a:ln>
      </xdr:spPr>
      <xdr:txBody>
        <a:bodyPr vertOverflow="clip" wrap="square" lIns="36576" tIns="32004" rIns="0" bIns="32004" anchor="ctr" upright="1"/>
        <a:lstStyle/>
        <a:p>
          <a:pPr algn="l" rtl="0">
            <a:defRPr sz="1000"/>
          </a:pPr>
          <a:r>
            <a:rPr lang="nb-NO" sz="800" b="0" i="0" u="none" strike="noStrike" baseline="0">
              <a:solidFill>
                <a:srgbClr val="000000"/>
              </a:solidFill>
              <a:latin typeface="Segoe UI"/>
              <a:cs typeface="Segoe UI"/>
            </a:rPr>
            <a:t>Støy</a:t>
          </a:r>
        </a:p>
      </xdr:txBody>
    </xdr:sp>
    <xdr:clientData/>
  </xdr:twoCellAnchor>
  <xdr:twoCellAnchor editAs="oneCell">
    <xdr:from>
      <xdr:col>41</xdr:col>
      <xdr:colOff>361950</xdr:colOff>
      <xdr:row>68</xdr:row>
      <xdr:rowOff>152400</xdr:rowOff>
    </xdr:from>
    <xdr:to>
      <xdr:col>44</xdr:col>
      <xdr:colOff>228600</xdr:colOff>
      <xdr:row>70</xdr:row>
      <xdr:rowOff>38100</xdr:rowOff>
    </xdr:to>
    <xdr:sp macro="" textlink="">
      <xdr:nvSpPr>
        <xdr:cNvPr id="32816" name="Check Box 48" hidden="1">
          <a:extLst>
            <a:ext uri="{63B3BB69-23CF-44E3-9099-C40C66FF867C}">
              <a14:compatExt xmlns:a14="http://schemas.microsoft.com/office/drawing/2010/main" spid="_x0000_s32816"/>
            </a:ext>
            <a:ext uri="{FF2B5EF4-FFF2-40B4-BE49-F238E27FC236}">
              <a16:creationId xmlns:a16="http://schemas.microsoft.com/office/drawing/2014/main" id="{00000000-0008-0000-1900-000030800000}"/>
            </a:ext>
          </a:extLst>
        </xdr:cNvPr>
        <xdr:cNvSpPr/>
      </xdr:nvSpPr>
      <xdr:spPr bwMode="auto">
        <a:xfrm>
          <a:off x="0" y="0"/>
          <a:ext cx="0" cy="0"/>
        </a:xfrm>
        <a:prstGeom prst="rect">
          <a:avLst/>
        </a:prstGeom>
        <a:solidFill>
          <a:srgbClr val="D8E4BC"/>
        </a:solidFill>
        <a:ln w="9525">
          <a:solidFill>
            <a:srgbClr val="9DBB61"/>
          </a:solidFill>
          <a:miter lim="800000"/>
          <a:headEnd/>
          <a:tailEnd/>
        </a:ln>
      </xdr:spPr>
      <xdr:txBody>
        <a:bodyPr vertOverflow="clip" wrap="square" lIns="36576" tIns="32004" rIns="0" bIns="32004" anchor="ctr" upright="1"/>
        <a:lstStyle/>
        <a:p>
          <a:pPr algn="l" rtl="0">
            <a:defRPr sz="1000"/>
          </a:pPr>
          <a:r>
            <a:rPr lang="nb-NO" sz="800" b="0" i="0" u="none" strike="noStrike" baseline="0">
              <a:solidFill>
                <a:srgbClr val="000000"/>
              </a:solidFill>
              <a:latin typeface="Segoe UI"/>
              <a:cs typeface="Segoe UI"/>
            </a:rPr>
            <a:t>Lokale utslipp</a:t>
          </a:r>
        </a:p>
      </xdr:txBody>
    </xdr:sp>
    <xdr:clientData/>
  </xdr:twoCellAnchor>
  <xdr:twoCellAnchor>
    <xdr:from>
      <xdr:col>44</xdr:col>
      <xdr:colOff>667193</xdr:colOff>
      <xdr:row>42</xdr:row>
      <xdr:rowOff>169718</xdr:rowOff>
    </xdr:from>
    <xdr:to>
      <xdr:col>59</xdr:col>
      <xdr:colOff>452437</xdr:colOff>
      <xdr:row>76</xdr:row>
      <xdr:rowOff>23812</xdr:rowOff>
    </xdr:to>
    <xdr:graphicFrame macro="">
      <xdr:nvGraphicFramePr>
        <xdr:cNvPr id="32786" name="Eksterne_virkninger">
          <a:extLst>
            <a:ext uri="{FF2B5EF4-FFF2-40B4-BE49-F238E27FC236}">
              <a16:creationId xmlns:a16="http://schemas.microsoft.com/office/drawing/2014/main" id="{00000000-0008-0000-1900-0000128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44</xdr:col>
      <xdr:colOff>667193</xdr:colOff>
      <xdr:row>42</xdr:row>
      <xdr:rowOff>169718</xdr:rowOff>
    </xdr:from>
    <xdr:to>
      <xdr:col>59</xdr:col>
      <xdr:colOff>452437</xdr:colOff>
      <xdr:row>76</xdr:row>
      <xdr:rowOff>23812</xdr:rowOff>
    </xdr:to>
    <xdr:graphicFrame macro="">
      <xdr:nvGraphicFramePr>
        <xdr:cNvPr id="32778" name="Eksterne_virkninger">
          <a:extLst>
            <a:ext uri="{FF2B5EF4-FFF2-40B4-BE49-F238E27FC236}">
              <a16:creationId xmlns:a16="http://schemas.microsoft.com/office/drawing/2014/main" id="{00000000-0008-0000-1900-00000A8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9</xdr:col>
      <xdr:colOff>44450</xdr:colOff>
      <xdr:row>1</xdr:row>
      <xdr:rowOff>35983</xdr:rowOff>
    </xdr:from>
    <xdr:to>
      <xdr:col>19</xdr:col>
      <xdr:colOff>312737</xdr:colOff>
      <xdr:row>38</xdr:row>
      <xdr:rowOff>19050</xdr:rowOff>
    </xdr:to>
    <xdr:sp macro="" textlink="">
      <xdr:nvSpPr>
        <xdr:cNvPr id="46" name="Rektangel 45">
          <a:extLst>
            <a:ext uri="{FF2B5EF4-FFF2-40B4-BE49-F238E27FC236}">
              <a16:creationId xmlns:a16="http://schemas.microsoft.com/office/drawing/2014/main" id="{00000000-0008-0000-1900-00002E000000}"/>
            </a:ext>
          </a:extLst>
        </xdr:cNvPr>
        <xdr:cNvSpPr/>
      </xdr:nvSpPr>
      <xdr:spPr>
        <a:xfrm>
          <a:off x="7245350" y="226483"/>
          <a:ext cx="8269287" cy="7031567"/>
        </a:xfrm>
        <a:prstGeom prst="rect">
          <a:avLst/>
        </a:prstGeom>
        <a:solidFill>
          <a:srgbClr val="95B3D7"/>
        </a:solidFill>
        <a:ln w="25400">
          <a:solidFill>
            <a:schemeClr val="tx1"/>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b-NO" sz="1100"/>
        </a:p>
      </xdr:txBody>
    </xdr:sp>
    <xdr:clientData/>
  </xdr:twoCellAnchor>
  <xdr:twoCellAnchor>
    <xdr:from>
      <xdr:col>9</xdr:col>
      <xdr:colOff>641632</xdr:colOff>
      <xdr:row>2</xdr:row>
      <xdr:rowOff>121178</xdr:rowOff>
    </xdr:from>
    <xdr:to>
      <xdr:col>19</xdr:col>
      <xdr:colOff>238124</xdr:colOff>
      <xdr:row>31</xdr:row>
      <xdr:rowOff>119062</xdr:rowOff>
    </xdr:to>
    <xdr:grpSp>
      <xdr:nvGrpSpPr>
        <xdr:cNvPr id="10" name="Gruppe 9">
          <a:extLst>
            <a:ext uri="{FF2B5EF4-FFF2-40B4-BE49-F238E27FC236}">
              <a16:creationId xmlns:a16="http://schemas.microsoft.com/office/drawing/2014/main" id="{00000000-0008-0000-1900-00000A000000}"/>
            </a:ext>
          </a:extLst>
        </xdr:cNvPr>
        <xdr:cNvGrpSpPr/>
      </xdr:nvGrpSpPr>
      <xdr:grpSpPr>
        <a:xfrm>
          <a:off x="7925082" y="505353"/>
          <a:ext cx="7699092" cy="5522384"/>
          <a:chOff x="1485900" y="910360"/>
          <a:chExt cx="2520000" cy="2386804"/>
        </a:xfrm>
      </xdr:grpSpPr>
      <xdr:sp macro="" textlink="">
        <xdr:nvSpPr>
          <xdr:cNvPr id="32817" name="CO2Nytte_knapp" hidden="1">
            <a:extLst>
              <a:ext uri="{63B3BB69-23CF-44E3-9099-C40C66FF867C}">
                <a14:compatExt xmlns:a14="http://schemas.microsoft.com/office/drawing/2010/main" spid="_x0000_s32817"/>
              </a:ext>
              <a:ext uri="{FF2B5EF4-FFF2-40B4-BE49-F238E27FC236}">
                <a16:creationId xmlns:a16="http://schemas.microsoft.com/office/drawing/2014/main" id="{00000000-0008-0000-1900-000031800000}"/>
              </a:ext>
            </a:extLst>
          </xdr:cNvPr>
          <xdr:cNvSpPr/>
        </xdr:nvSpPr>
        <xdr:spPr bwMode="auto">
          <a:xfrm>
            <a:off x="1485900" y="910360"/>
            <a:ext cx="2520000" cy="360000"/>
          </a:xfrm>
          <a:prstGeom prst="rect">
            <a:avLst/>
          </a:prstGeom>
          <a:noFill/>
          <a:ln>
            <a:noFill/>
          </a:ln>
          <a:extLst>
            <a:ext uri="{91240B29-F687-4F45-9708-019B960494DF}">
              <a14:hiddenLine xmlns:a14="http://schemas.microsoft.com/office/drawing/2010/main" w="9525">
                <a:noFill/>
                <a:miter lim="800000"/>
                <a:headEnd/>
                <a:tailEnd/>
              </a14:hiddenLine>
            </a:ext>
          </a:extLst>
        </xdr:spPr>
      </xdr:sp>
      <xdr:sp macro="" textlink="">
        <xdr:nvSpPr>
          <xdr:cNvPr id="32818" name="CO2Utslipp_knapp" hidden="1">
            <a:extLst>
              <a:ext uri="{63B3BB69-23CF-44E3-9099-C40C66FF867C}">
                <a14:compatExt xmlns:a14="http://schemas.microsoft.com/office/drawing/2010/main" spid="_x0000_s32818"/>
              </a:ext>
              <a:ext uri="{FF2B5EF4-FFF2-40B4-BE49-F238E27FC236}">
                <a16:creationId xmlns:a16="http://schemas.microsoft.com/office/drawing/2014/main" id="{00000000-0008-0000-1900-000032800000}"/>
              </a:ext>
            </a:extLst>
          </xdr:cNvPr>
          <xdr:cNvSpPr/>
        </xdr:nvSpPr>
        <xdr:spPr bwMode="auto">
          <a:xfrm>
            <a:off x="1485900" y="1417060"/>
            <a:ext cx="2520000" cy="360000"/>
          </a:xfrm>
          <a:prstGeom prst="rect">
            <a:avLst/>
          </a:prstGeom>
          <a:noFill/>
          <a:ln>
            <a:noFill/>
          </a:ln>
          <a:extLst>
            <a:ext uri="{91240B29-F687-4F45-9708-019B960494DF}">
              <a14:hiddenLine xmlns:a14="http://schemas.microsoft.com/office/drawing/2010/main" w="9525">
                <a:noFill/>
                <a:miter lim="800000"/>
                <a:headEnd/>
                <a:tailEnd/>
              </a14:hiddenLine>
            </a:ext>
          </a:extLst>
        </xdr:spPr>
      </xdr:sp>
      <xdr:sp macro="" textlink="">
        <xdr:nvSpPr>
          <xdr:cNvPr id="32819" name="Budsjettkostnader_knapp" hidden="1">
            <a:extLst>
              <a:ext uri="{63B3BB69-23CF-44E3-9099-C40C66FF867C}">
                <a14:compatExt xmlns:a14="http://schemas.microsoft.com/office/drawing/2010/main" spid="_x0000_s32819"/>
              </a:ext>
              <a:ext uri="{FF2B5EF4-FFF2-40B4-BE49-F238E27FC236}">
                <a16:creationId xmlns:a16="http://schemas.microsoft.com/office/drawing/2014/main" id="{00000000-0008-0000-1900-000033800000}"/>
              </a:ext>
            </a:extLst>
          </xdr:cNvPr>
          <xdr:cNvSpPr/>
        </xdr:nvSpPr>
        <xdr:spPr bwMode="auto">
          <a:xfrm>
            <a:off x="1485900" y="1923761"/>
            <a:ext cx="2520000" cy="360000"/>
          </a:xfrm>
          <a:prstGeom prst="rect">
            <a:avLst/>
          </a:prstGeom>
          <a:noFill/>
          <a:ln>
            <a:noFill/>
          </a:ln>
          <a:extLst>
            <a:ext uri="{91240B29-F687-4F45-9708-019B960494DF}">
              <a14:hiddenLine xmlns:a14="http://schemas.microsoft.com/office/drawing/2010/main" w="9525">
                <a:noFill/>
                <a:miter lim="800000"/>
                <a:headEnd/>
                <a:tailEnd/>
              </a14:hiddenLine>
            </a:ext>
          </a:extLst>
        </xdr:spPr>
      </xdr:sp>
      <xdr:sp macro="" textlink="">
        <xdr:nvSpPr>
          <xdr:cNvPr id="32820" name="Breakeven_knapp" hidden="1">
            <a:extLst>
              <a:ext uri="{63B3BB69-23CF-44E3-9099-C40C66FF867C}">
                <a14:compatExt xmlns:a14="http://schemas.microsoft.com/office/drawing/2010/main" spid="_x0000_s32820"/>
              </a:ext>
              <a:ext uri="{FF2B5EF4-FFF2-40B4-BE49-F238E27FC236}">
                <a16:creationId xmlns:a16="http://schemas.microsoft.com/office/drawing/2014/main" id="{00000000-0008-0000-1900-000034800000}"/>
              </a:ext>
            </a:extLst>
          </xdr:cNvPr>
          <xdr:cNvSpPr/>
        </xdr:nvSpPr>
        <xdr:spPr bwMode="auto">
          <a:xfrm>
            <a:off x="1485900" y="2430462"/>
            <a:ext cx="2520000" cy="360000"/>
          </a:xfrm>
          <a:prstGeom prst="rect">
            <a:avLst/>
          </a:prstGeom>
          <a:noFill/>
          <a:ln>
            <a:noFill/>
          </a:ln>
          <a:extLst>
            <a:ext uri="{91240B29-F687-4F45-9708-019B960494DF}">
              <a14:hiddenLine xmlns:a14="http://schemas.microsoft.com/office/drawing/2010/main" w="9525">
                <a:noFill/>
                <a:miter lim="800000"/>
                <a:headEnd/>
                <a:tailEnd/>
              </a14:hiddenLine>
            </a:ext>
          </a:extLst>
        </xdr:spPr>
      </xdr:sp>
      <xdr:sp macro="" textlink="">
        <xdr:nvSpPr>
          <xdr:cNvPr id="32821" name="Eksterne_knapp" hidden="1">
            <a:extLst>
              <a:ext uri="{63B3BB69-23CF-44E3-9099-C40C66FF867C}">
                <a14:compatExt xmlns:a14="http://schemas.microsoft.com/office/drawing/2010/main" spid="_x0000_s32821"/>
              </a:ext>
              <a:ext uri="{FF2B5EF4-FFF2-40B4-BE49-F238E27FC236}">
                <a16:creationId xmlns:a16="http://schemas.microsoft.com/office/drawing/2014/main" id="{00000000-0008-0000-1900-000035800000}"/>
              </a:ext>
            </a:extLst>
          </xdr:cNvPr>
          <xdr:cNvSpPr/>
        </xdr:nvSpPr>
        <xdr:spPr bwMode="auto">
          <a:xfrm>
            <a:off x="1485900" y="2937164"/>
            <a:ext cx="2520000" cy="360000"/>
          </a:xfrm>
          <a:prstGeom prst="rect">
            <a:avLst/>
          </a:prstGeom>
          <a:noFill/>
          <a:ln>
            <a:noFill/>
          </a:ln>
          <a:extLst>
            <a:ext uri="{91240B29-F687-4F45-9708-019B960494DF}">
              <a14:hiddenLine xmlns:a14="http://schemas.microsoft.com/office/drawing/2010/main" w="9525">
                <a:noFill/>
                <a:miter lim="800000"/>
                <a:headEnd/>
                <a:tailEnd/>
              </a14:hiddenLine>
            </a:ext>
          </a:extLst>
        </xdr:spPr>
      </xdr:sp>
    </xdr:grpSp>
    <xdr:clientData/>
  </xdr:twoCellAnchor>
  <xdr:twoCellAnchor>
    <xdr:from>
      <xdr:col>2</xdr:col>
      <xdr:colOff>12700</xdr:colOff>
      <xdr:row>44</xdr:row>
      <xdr:rowOff>12700</xdr:rowOff>
    </xdr:from>
    <xdr:to>
      <xdr:col>3</xdr:col>
      <xdr:colOff>546100</xdr:colOff>
      <xdr:row>46</xdr:row>
      <xdr:rowOff>114300</xdr:rowOff>
    </xdr:to>
    <xdr:sp macro="" textlink="">
      <xdr:nvSpPr>
        <xdr:cNvPr id="32827" name="Button 59" hidden="1">
          <a:extLst>
            <a:ext uri="{63B3BB69-23CF-44E3-9099-C40C66FF867C}">
              <a14:compatExt xmlns:a14="http://schemas.microsoft.com/office/drawing/2010/main" spid="_x0000_s32827"/>
            </a:ext>
            <a:ext uri="{FF2B5EF4-FFF2-40B4-BE49-F238E27FC236}">
              <a16:creationId xmlns:a16="http://schemas.microsoft.com/office/drawing/2014/main" id="{00000000-0008-0000-1900-00003B8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nb-NO" sz="1100" b="0" i="0" u="none" strike="noStrike" baseline="0">
              <a:solidFill>
                <a:srgbClr val="000000"/>
              </a:solidFill>
              <a:latin typeface="Calibri"/>
              <a:cs typeface="Calibri"/>
            </a:rPr>
            <a:t>Gå til oversikt</a:t>
          </a:r>
        </a:p>
      </xdr:txBody>
    </xdr:sp>
    <xdr:clientData fPrintsWithSheet="0"/>
  </xdr:twoCellAnchor>
  <xdr:twoCellAnchor>
    <xdr:from>
      <xdr:col>21</xdr:col>
      <xdr:colOff>704850</xdr:colOff>
      <xdr:row>1</xdr:row>
      <xdr:rowOff>146050</xdr:rowOff>
    </xdr:from>
    <xdr:to>
      <xdr:col>23</xdr:col>
      <xdr:colOff>476250</xdr:colOff>
      <xdr:row>4</xdr:row>
      <xdr:rowOff>50800</xdr:rowOff>
    </xdr:to>
    <xdr:sp macro="" textlink="">
      <xdr:nvSpPr>
        <xdr:cNvPr id="32828" name="Button 60" hidden="1">
          <a:extLst>
            <a:ext uri="{63B3BB69-23CF-44E3-9099-C40C66FF867C}">
              <a14:compatExt xmlns:a14="http://schemas.microsoft.com/office/drawing/2010/main" spid="_x0000_s32828"/>
            </a:ext>
            <a:ext uri="{FF2B5EF4-FFF2-40B4-BE49-F238E27FC236}">
              <a16:creationId xmlns:a16="http://schemas.microsoft.com/office/drawing/2014/main" id="{00000000-0008-0000-1900-00003C8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nb-NO" sz="1100" b="0" i="0" u="none" strike="noStrike" baseline="0">
              <a:solidFill>
                <a:srgbClr val="000000"/>
              </a:solidFill>
              <a:latin typeface="Calibri"/>
              <a:cs typeface="Calibri"/>
            </a:rPr>
            <a:t>Gå til oversikt</a:t>
          </a:r>
        </a:p>
      </xdr:txBody>
    </xdr:sp>
    <xdr:clientData fPrintsWithSheet="0"/>
  </xdr:twoCellAnchor>
  <xdr:twoCellAnchor>
    <xdr:from>
      <xdr:col>22</xdr:col>
      <xdr:colOff>50800</xdr:colOff>
      <xdr:row>41</xdr:row>
      <xdr:rowOff>165100</xdr:rowOff>
    </xdr:from>
    <xdr:to>
      <xdr:col>23</xdr:col>
      <xdr:colOff>584200</xdr:colOff>
      <xdr:row>44</xdr:row>
      <xdr:rowOff>69850</xdr:rowOff>
    </xdr:to>
    <xdr:sp macro="" textlink="">
      <xdr:nvSpPr>
        <xdr:cNvPr id="32829" name="CO2Utslipp" hidden="1">
          <a:extLst>
            <a:ext uri="{63B3BB69-23CF-44E3-9099-C40C66FF867C}">
              <a14:compatExt xmlns:a14="http://schemas.microsoft.com/office/drawing/2010/main" spid="_x0000_s32829"/>
            </a:ext>
            <a:ext uri="{FF2B5EF4-FFF2-40B4-BE49-F238E27FC236}">
              <a16:creationId xmlns:a16="http://schemas.microsoft.com/office/drawing/2014/main" id="{00000000-0008-0000-1900-00003D8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nb-NO" sz="1100" b="0" i="0" u="none" strike="noStrike" baseline="0">
              <a:solidFill>
                <a:srgbClr val="000000"/>
              </a:solidFill>
              <a:latin typeface="Calibri"/>
              <a:cs typeface="Calibri"/>
            </a:rPr>
            <a:t>Gå til oversikt</a:t>
          </a:r>
        </a:p>
      </xdr:txBody>
    </xdr:sp>
    <xdr:clientData fPrintsWithSheet="0"/>
  </xdr:twoCellAnchor>
  <xdr:twoCellAnchor>
    <xdr:from>
      <xdr:col>42</xdr:col>
      <xdr:colOff>19050</xdr:colOff>
      <xdr:row>3</xdr:row>
      <xdr:rowOff>165100</xdr:rowOff>
    </xdr:from>
    <xdr:to>
      <xdr:col>43</xdr:col>
      <xdr:colOff>552450</xdr:colOff>
      <xdr:row>6</xdr:row>
      <xdr:rowOff>76200</xdr:rowOff>
    </xdr:to>
    <xdr:sp macro="" textlink="">
      <xdr:nvSpPr>
        <xdr:cNvPr id="32830" name="Button 62" hidden="1">
          <a:extLst>
            <a:ext uri="{63B3BB69-23CF-44E3-9099-C40C66FF867C}">
              <a14:compatExt xmlns:a14="http://schemas.microsoft.com/office/drawing/2010/main" spid="_x0000_s32830"/>
            </a:ext>
            <a:ext uri="{FF2B5EF4-FFF2-40B4-BE49-F238E27FC236}">
              <a16:creationId xmlns:a16="http://schemas.microsoft.com/office/drawing/2014/main" id="{00000000-0008-0000-1900-00003E8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nb-NO" sz="1100" b="0" i="0" u="none" strike="noStrike" baseline="0">
              <a:solidFill>
                <a:srgbClr val="000000"/>
              </a:solidFill>
              <a:latin typeface="Calibri"/>
              <a:cs typeface="Calibri"/>
            </a:rPr>
            <a:t>Gå til oversikt</a:t>
          </a:r>
        </a:p>
      </xdr:txBody>
    </xdr:sp>
    <xdr:clientData fPrintsWithSheet="0"/>
  </xdr:twoCellAnchor>
  <xdr:twoCellAnchor>
    <xdr:from>
      <xdr:col>42</xdr:col>
      <xdr:colOff>0</xdr:colOff>
      <xdr:row>43</xdr:row>
      <xdr:rowOff>19050</xdr:rowOff>
    </xdr:from>
    <xdr:to>
      <xdr:col>43</xdr:col>
      <xdr:colOff>533400</xdr:colOff>
      <xdr:row>45</xdr:row>
      <xdr:rowOff>127000</xdr:rowOff>
    </xdr:to>
    <xdr:sp macro="" textlink="">
      <xdr:nvSpPr>
        <xdr:cNvPr id="32831" name="Button 63" hidden="1">
          <a:extLst>
            <a:ext uri="{63B3BB69-23CF-44E3-9099-C40C66FF867C}">
              <a14:compatExt xmlns:a14="http://schemas.microsoft.com/office/drawing/2010/main" spid="_x0000_s32831"/>
            </a:ext>
            <a:ext uri="{FF2B5EF4-FFF2-40B4-BE49-F238E27FC236}">
              <a16:creationId xmlns:a16="http://schemas.microsoft.com/office/drawing/2014/main" id="{00000000-0008-0000-1900-00003F8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nb-NO" sz="1100" b="0" i="0" u="none" strike="noStrike" baseline="0">
              <a:solidFill>
                <a:srgbClr val="000000"/>
              </a:solidFill>
              <a:latin typeface="Calibri"/>
              <a:cs typeface="Calibri"/>
            </a:rPr>
            <a:t>Gå til oversikt</a:t>
          </a:r>
        </a:p>
      </xdr:txBody>
    </xdr:sp>
    <xdr:clientData fPrintsWithSheet="0"/>
  </xdr:twoCellAnchor>
  <xdr:twoCellAnchor editAs="oneCell">
    <xdr:from>
      <xdr:col>41</xdr:col>
      <xdr:colOff>374650</xdr:colOff>
      <xdr:row>27</xdr:row>
      <xdr:rowOff>152400</xdr:rowOff>
    </xdr:from>
    <xdr:to>
      <xdr:col>44</xdr:col>
      <xdr:colOff>241300</xdr:colOff>
      <xdr:row>29</xdr:row>
      <xdr:rowOff>31750</xdr:rowOff>
    </xdr:to>
    <xdr:sp macro="" textlink="">
      <xdr:nvSpPr>
        <xdr:cNvPr id="32838" name="Check Box 70" hidden="1">
          <a:extLst>
            <a:ext uri="{63B3BB69-23CF-44E3-9099-C40C66FF867C}">
              <a14:compatExt xmlns:a14="http://schemas.microsoft.com/office/drawing/2010/main" spid="_x0000_s32838"/>
            </a:ext>
            <a:ext uri="{FF2B5EF4-FFF2-40B4-BE49-F238E27FC236}">
              <a16:creationId xmlns:a16="http://schemas.microsoft.com/office/drawing/2014/main" id="{00000000-0008-0000-1900-000046800000}"/>
            </a:ext>
          </a:extLst>
        </xdr:cNvPr>
        <xdr:cNvSpPr/>
      </xdr:nvSpPr>
      <xdr:spPr bwMode="auto">
        <a:xfrm>
          <a:off x="0" y="0"/>
          <a:ext cx="0" cy="0"/>
        </a:xfrm>
        <a:prstGeom prst="rect">
          <a:avLst/>
        </a:prstGeom>
        <a:solidFill>
          <a:srgbClr val="D8E4BC"/>
        </a:solidFill>
        <a:ln w="9525">
          <a:solidFill>
            <a:srgbClr val="9DBB61"/>
          </a:solidFill>
          <a:miter lim="800000"/>
          <a:headEnd/>
          <a:tailEnd/>
        </a:ln>
      </xdr:spPr>
      <xdr:txBody>
        <a:bodyPr vertOverflow="clip" wrap="square" lIns="36576" tIns="32004" rIns="0" bIns="32004" anchor="ctr" upright="1"/>
        <a:lstStyle/>
        <a:p>
          <a:pPr algn="l" rtl="0">
            <a:defRPr sz="1000"/>
          </a:pPr>
          <a:r>
            <a:rPr lang="nb-NO" sz="800" b="0" i="0" u="none" strike="noStrike" baseline="0">
              <a:solidFill>
                <a:srgbClr val="000000"/>
              </a:solidFill>
              <a:latin typeface="Segoe UI"/>
              <a:cs typeface="Segoe UI"/>
            </a:rPr>
            <a:t>Reinvesteringer</a:t>
          </a:r>
        </a:p>
      </xdr:txBody>
    </xdr:sp>
    <xdr:clientData/>
  </xdr:twoCellAnchor>
  <xdr:twoCellAnchor>
    <xdr:from>
      <xdr:col>21</xdr:col>
      <xdr:colOff>327314</xdr:colOff>
      <xdr:row>50</xdr:row>
      <xdr:rowOff>81462</xdr:rowOff>
    </xdr:from>
    <xdr:to>
      <xdr:col>24</xdr:col>
      <xdr:colOff>223837</xdr:colOff>
      <xdr:row>76</xdr:row>
      <xdr:rowOff>66675</xdr:rowOff>
    </xdr:to>
    <xdr:grpSp>
      <xdr:nvGrpSpPr>
        <xdr:cNvPr id="17" name="Gruppe 16">
          <a:extLst>
            <a:ext uri="{FF2B5EF4-FFF2-40B4-BE49-F238E27FC236}">
              <a16:creationId xmlns:a16="http://schemas.microsoft.com/office/drawing/2014/main" id="{00000000-0008-0000-1900-000011000000}"/>
            </a:ext>
          </a:extLst>
        </xdr:cNvPr>
        <xdr:cNvGrpSpPr/>
      </xdr:nvGrpSpPr>
      <xdr:grpSpPr>
        <a:xfrm>
          <a:off x="17332614" y="9609637"/>
          <a:ext cx="2319048" cy="4931863"/>
          <a:chOff x="16329314" y="9635039"/>
          <a:chExt cx="2182406" cy="4938216"/>
        </a:xfrm>
      </xdr:grpSpPr>
      <xdr:sp macro="" textlink="">
        <xdr:nvSpPr>
          <xdr:cNvPr id="32805" name="Check Box 37" hidden="1">
            <a:extLst>
              <a:ext uri="{63B3BB69-23CF-44E3-9099-C40C66FF867C}">
                <a14:compatExt xmlns:a14="http://schemas.microsoft.com/office/drawing/2010/main" spid="_x0000_s32805"/>
              </a:ext>
              <a:ext uri="{FF2B5EF4-FFF2-40B4-BE49-F238E27FC236}">
                <a16:creationId xmlns:a16="http://schemas.microsoft.com/office/drawing/2014/main" id="{00000000-0008-0000-1900-000025800000}"/>
              </a:ext>
            </a:extLst>
          </xdr:cNvPr>
          <xdr:cNvSpPr/>
        </xdr:nvSpPr>
        <xdr:spPr bwMode="auto">
          <a:xfrm>
            <a:off x="16329314" y="12375270"/>
            <a:ext cx="2174296" cy="238087"/>
          </a:xfrm>
          <a:prstGeom prst="rect">
            <a:avLst/>
          </a:prstGeom>
          <a:solidFill>
            <a:srgbClr val="D8E4BC"/>
          </a:solidFill>
          <a:ln w="9525">
            <a:solidFill>
              <a:srgbClr val="9DBB61"/>
            </a:solidFill>
            <a:miter lim="800000"/>
            <a:headEnd/>
            <a:tailEnd/>
          </a:ln>
        </xdr:spPr>
        <xdr:txBody>
          <a:bodyPr vertOverflow="clip" wrap="square" lIns="36576" tIns="32004" rIns="0" bIns="32004" anchor="ctr" upright="1"/>
          <a:lstStyle/>
          <a:p>
            <a:pPr algn="l" rtl="0">
              <a:defRPr sz="1000"/>
            </a:pPr>
            <a:r>
              <a:rPr lang="nb-NO" sz="800" b="0" i="0" u="none" strike="noStrike" baseline="0">
                <a:solidFill>
                  <a:srgbClr val="000000"/>
                </a:solidFill>
                <a:latin typeface="Segoe UI"/>
                <a:cs typeface="Segoe UI"/>
              </a:rPr>
              <a:t>Skip</a:t>
            </a:r>
          </a:p>
        </xdr:txBody>
      </xdr:sp>
      <xdr:sp macro="" textlink="">
        <xdr:nvSpPr>
          <xdr:cNvPr id="32806" name="Check Box 38" hidden="1">
            <a:extLst>
              <a:ext uri="{63B3BB69-23CF-44E3-9099-C40C66FF867C}">
                <a14:compatExt xmlns:a14="http://schemas.microsoft.com/office/drawing/2010/main" spid="_x0000_s32806"/>
              </a:ext>
              <a:ext uri="{FF2B5EF4-FFF2-40B4-BE49-F238E27FC236}">
                <a16:creationId xmlns:a16="http://schemas.microsoft.com/office/drawing/2014/main" id="{00000000-0008-0000-1900-000026800000}"/>
              </a:ext>
            </a:extLst>
          </xdr:cNvPr>
          <xdr:cNvSpPr/>
        </xdr:nvSpPr>
        <xdr:spPr bwMode="auto">
          <a:xfrm>
            <a:off x="16329314" y="11591978"/>
            <a:ext cx="2174296" cy="235049"/>
          </a:xfrm>
          <a:prstGeom prst="rect">
            <a:avLst/>
          </a:prstGeom>
          <a:solidFill>
            <a:srgbClr val="D8E4BC"/>
          </a:solidFill>
          <a:ln w="9525">
            <a:solidFill>
              <a:srgbClr val="9DBB61"/>
            </a:solidFill>
            <a:miter lim="800000"/>
            <a:headEnd/>
            <a:tailEnd/>
          </a:ln>
        </xdr:spPr>
        <xdr:txBody>
          <a:bodyPr vertOverflow="clip" wrap="square" lIns="36576" tIns="32004" rIns="0" bIns="32004" anchor="ctr" upright="1"/>
          <a:lstStyle/>
          <a:p>
            <a:pPr algn="l" rtl="0">
              <a:defRPr sz="1000"/>
            </a:pPr>
            <a:r>
              <a:rPr lang="nb-NO" sz="800" b="0" i="0" u="none" strike="noStrike" baseline="0">
                <a:solidFill>
                  <a:srgbClr val="000000"/>
                </a:solidFill>
                <a:latin typeface="Segoe UI"/>
                <a:cs typeface="Segoe UI"/>
              </a:rPr>
              <a:t>Lastebil</a:t>
            </a:r>
          </a:p>
        </xdr:txBody>
      </xdr:sp>
      <xdr:sp macro="" textlink="">
        <xdr:nvSpPr>
          <xdr:cNvPr id="32807" name="Check Box 39" hidden="1">
            <a:extLst>
              <a:ext uri="{63B3BB69-23CF-44E3-9099-C40C66FF867C}">
                <a14:compatExt xmlns:a14="http://schemas.microsoft.com/office/drawing/2010/main" spid="_x0000_s32807"/>
              </a:ext>
              <a:ext uri="{FF2B5EF4-FFF2-40B4-BE49-F238E27FC236}">
                <a16:creationId xmlns:a16="http://schemas.microsoft.com/office/drawing/2014/main" id="{00000000-0008-0000-1900-000027800000}"/>
              </a:ext>
            </a:extLst>
          </xdr:cNvPr>
          <xdr:cNvSpPr/>
        </xdr:nvSpPr>
        <xdr:spPr bwMode="auto">
          <a:xfrm>
            <a:off x="16329314" y="11198756"/>
            <a:ext cx="2174296" cy="238087"/>
          </a:xfrm>
          <a:prstGeom prst="rect">
            <a:avLst/>
          </a:prstGeom>
          <a:solidFill>
            <a:srgbClr val="D8E4BC"/>
          </a:solidFill>
          <a:ln w="9525">
            <a:solidFill>
              <a:srgbClr val="9DBB61"/>
            </a:solidFill>
            <a:miter lim="800000"/>
            <a:headEnd/>
            <a:tailEnd/>
          </a:ln>
        </xdr:spPr>
        <xdr:txBody>
          <a:bodyPr vertOverflow="clip" wrap="square" lIns="36576" tIns="32004" rIns="0" bIns="32004" anchor="ctr" upright="1"/>
          <a:lstStyle/>
          <a:p>
            <a:pPr algn="l" rtl="0">
              <a:defRPr sz="1000"/>
            </a:pPr>
            <a:r>
              <a:rPr lang="nb-NO" sz="800" b="0" i="0" u="none" strike="noStrike" baseline="0">
                <a:solidFill>
                  <a:srgbClr val="000000"/>
                </a:solidFill>
                <a:latin typeface="Segoe UI"/>
                <a:cs typeface="Segoe UI"/>
              </a:rPr>
              <a:t>Fly</a:t>
            </a:r>
          </a:p>
        </xdr:txBody>
      </xdr:sp>
      <xdr:sp macro="" textlink="">
        <xdr:nvSpPr>
          <xdr:cNvPr id="32808" name="Check Box 40" hidden="1">
            <a:extLst>
              <a:ext uri="{63B3BB69-23CF-44E3-9099-C40C66FF867C}">
                <a14:compatExt xmlns:a14="http://schemas.microsoft.com/office/drawing/2010/main" spid="_x0000_s32808"/>
              </a:ext>
              <a:ext uri="{FF2B5EF4-FFF2-40B4-BE49-F238E27FC236}">
                <a16:creationId xmlns:a16="http://schemas.microsoft.com/office/drawing/2014/main" id="{00000000-0008-0000-1900-000028800000}"/>
              </a:ext>
            </a:extLst>
          </xdr:cNvPr>
          <xdr:cNvSpPr/>
        </xdr:nvSpPr>
        <xdr:spPr bwMode="auto">
          <a:xfrm>
            <a:off x="16329314" y="10808574"/>
            <a:ext cx="2174296" cy="235049"/>
          </a:xfrm>
          <a:prstGeom prst="rect">
            <a:avLst/>
          </a:prstGeom>
          <a:solidFill>
            <a:srgbClr val="D8E4BC"/>
          </a:solidFill>
          <a:ln w="9525">
            <a:solidFill>
              <a:srgbClr val="9DBB61"/>
            </a:solidFill>
            <a:miter lim="800000"/>
            <a:headEnd/>
            <a:tailEnd/>
          </a:ln>
        </xdr:spPr>
        <xdr:txBody>
          <a:bodyPr vertOverflow="clip" wrap="square" lIns="36576" tIns="32004" rIns="0" bIns="32004" anchor="ctr" upright="1"/>
          <a:lstStyle/>
          <a:p>
            <a:pPr algn="l" rtl="0">
              <a:defRPr sz="1000"/>
            </a:pPr>
            <a:r>
              <a:rPr lang="nb-NO" sz="800" b="0" i="0" u="none" strike="noStrike" baseline="0">
                <a:solidFill>
                  <a:srgbClr val="000000"/>
                </a:solidFill>
                <a:latin typeface="Segoe UI"/>
                <a:cs typeface="Segoe UI"/>
              </a:rPr>
              <a:t>Buss</a:t>
            </a:r>
          </a:p>
        </xdr:txBody>
      </xdr:sp>
      <xdr:sp macro="" textlink="">
        <xdr:nvSpPr>
          <xdr:cNvPr id="32809" name="Check Box 41" hidden="1">
            <a:extLst>
              <a:ext uri="{63B3BB69-23CF-44E3-9099-C40C66FF867C}">
                <a14:compatExt xmlns:a14="http://schemas.microsoft.com/office/drawing/2010/main" spid="_x0000_s32809"/>
              </a:ext>
              <a:ext uri="{FF2B5EF4-FFF2-40B4-BE49-F238E27FC236}">
                <a16:creationId xmlns:a16="http://schemas.microsoft.com/office/drawing/2014/main" id="{00000000-0008-0000-1900-000029800000}"/>
              </a:ext>
            </a:extLst>
          </xdr:cNvPr>
          <xdr:cNvSpPr/>
        </xdr:nvSpPr>
        <xdr:spPr bwMode="auto">
          <a:xfrm>
            <a:off x="16329314" y="10415353"/>
            <a:ext cx="2174296" cy="238088"/>
          </a:xfrm>
          <a:prstGeom prst="rect">
            <a:avLst/>
          </a:prstGeom>
          <a:solidFill>
            <a:srgbClr val="D8E4BC"/>
          </a:solidFill>
          <a:ln w="9525">
            <a:solidFill>
              <a:srgbClr val="9DBB61"/>
            </a:solidFill>
            <a:miter lim="800000"/>
            <a:headEnd/>
            <a:tailEnd/>
          </a:ln>
        </xdr:spPr>
        <xdr:txBody>
          <a:bodyPr vertOverflow="clip" wrap="square" lIns="36576" tIns="32004" rIns="0" bIns="32004" anchor="ctr" upright="1"/>
          <a:lstStyle/>
          <a:p>
            <a:pPr algn="l" rtl="0">
              <a:defRPr sz="1000"/>
            </a:pPr>
            <a:r>
              <a:rPr lang="nb-NO" sz="800" b="0" i="0" u="none" strike="noStrike" baseline="0">
                <a:solidFill>
                  <a:srgbClr val="000000"/>
                </a:solidFill>
                <a:latin typeface="Segoe UI"/>
                <a:cs typeface="Segoe UI"/>
              </a:rPr>
              <a:t>Personbil</a:t>
            </a:r>
          </a:p>
        </xdr:txBody>
      </xdr:sp>
      <xdr:sp macro="" textlink="">
        <xdr:nvSpPr>
          <xdr:cNvPr id="32810" name="Check Box 42" hidden="1">
            <a:extLst>
              <a:ext uri="{63B3BB69-23CF-44E3-9099-C40C66FF867C}">
                <a14:compatExt xmlns:a14="http://schemas.microsoft.com/office/drawing/2010/main" spid="_x0000_s32810"/>
              </a:ext>
              <a:ext uri="{FF2B5EF4-FFF2-40B4-BE49-F238E27FC236}">
                <a16:creationId xmlns:a16="http://schemas.microsoft.com/office/drawing/2014/main" id="{00000000-0008-0000-1900-00002A800000}"/>
              </a:ext>
            </a:extLst>
          </xdr:cNvPr>
          <xdr:cNvSpPr/>
        </xdr:nvSpPr>
        <xdr:spPr bwMode="auto">
          <a:xfrm>
            <a:off x="16329314" y="10025170"/>
            <a:ext cx="2174296" cy="235049"/>
          </a:xfrm>
          <a:prstGeom prst="rect">
            <a:avLst/>
          </a:prstGeom>
          <a:solidFill>
            <a:srgbClr val="D8E4BC"/>
          </a:solidFill>
          <a:ln w="9525">
            <a:solidFill>
              <a:srgbClr val="9DBB61"/>
            </a:solidFill>
            <a:miter lim="800000"/>
            <a:headEnd/>
            <a:tailEnd/>
          </a:ln>
        </xdr:spPr>
        <xdr:txBody>
          <a:bodyPr vertOverflow="clip" wrap="square" lIns="36576" tIns="32004" rIns="0" bIns="32004" anchor="ctr" upright="1"/>
          <a:lstStyle/>
          <a:p>
            <a:pPr algn="l" rtl="0">
              <a:defRPr sz="1000"/>
            </a:pPr>
            <a:r>
              <a:rPr lang="nb-NO" sz="800" b="0" i="0" u="none" strike="noStrike" baseline="0">
                <a:solidFill>
                  <a:srgbClr val="000000"/>
                </a:solidFill>
                <a:latin typeface="Segoe UI"/>
                <a:cs typeface="Segoe UI"/>
              </a:rPr>
              <a:t>Jernbane - Godstog</a:t>
            </a:r>
          </a:p>
        </xdr:txBody>
      </xdr:sp>
      <xdr:sp macro="" textlink="">
        <xdr:nvSpPr>
          <xdr:cNvPr id="32811" name="Check Box 43" hidden="1">
            <a:extLst>
              <a:ext uri="{63B3BB69-23CF-44E3-9099-C40C66FF867C}">
                <a14:compatExt xmlns:a14="http://schemas.microsoft.com/office/drawing/2010/main" spid="_x0000_s32811"/>
              </a:ext>
              <a:ext uri="{FF2B5EF4-FFF2-40B4-BE49-F238E27FC236}">
                <a16:creationId xmlns:a16="http://schemas.microsoft.com/office/drawing/2014/main" id="{00000000-0008-0000-1900-00002B800000}"/>
              </a:ext>
            </a:extLst>
          </xdr:cNvPr>
          <xdr:cNvSpPr/>
        </xdr:nvSpPr>
        <xdr:spPr bwMode="auto">
          <a:xfrm>
            <a:off x="16329314" y="9635039"/>
            <a:ext cx="2174296" cy="235049"/>
          </a:xfrm>
          <a:prstGeom prst="rect">
            <a:avLst/>
          </a:prstGeom>
          <a:solidFill>
            <a:srgbClr val="D8E4BC"/>
          </a:solidFill>
          <a:ln w="9525">
            <a:solidFill>
              <a:srgbClr val="9DBB61"/>
            </a:solidFill>
            <a:miter lim="800000"/>
            <a:headEnd/>
            <a:tailEnd/>
          </a:ln>
        </xdr:spPr>
        <xdr:txBody>
          <a:bodyPr vertOverflow="clip" wrap="square" lIns="36576" tIns="32004" rIns="0" bIns="32004" anchor="ctr" upright="1"/>
          <a:lstStyle/>
          <a:p>
            <a:pPr algn="l" rtl="0">
              <a:defRPr sz="1000"/>
            </a:pPr>
            <a:r>
              <a:rPr lang="nb-NO" sz="800" b="0" i="0" u="none" strike="noStrike" baseline="0">
                <a:solidFill>
                  <a:srgbClr val="000000"/>
                </a:solidFill>
                <a:latin typeface="Segoe UI"/>
                <a:cs typeface="Segoe UI"/>
              </a:rPr>
              <a:t>Jernbane - Persontog</a:t>
            </a:r>
          </a:p>
        </xdr:txBody>
      </xdr:sp>
      <xdr:sp macro="" textlink="">
        <xdr:nvSpPr>
          <xdr:cNvPr id="32812" name="Check Box 44" hidden="1">
            <a:extLst>
              <a:ext uri="{63B3BB69-23CF-44E3-9099-C40C66FF867C}">
                <a14:compatExt xmlns:a14="http://schemas.microsoft.com/office/drawing/2010/main" spid="_x0000_s32812"/>
              </a:ext>
              <a:ext uri="{FF2B5EF4-FFF2-40B4-BE49-F238E27FC236}">
                <a16:creationId xmlns:a16="http://schemas.microsoft.com/office/drawing/2014/main" id="{00000000-0008-0000-1900-00002C800000}"/>
              </a:ext>
            </a:extLst>
          </xdr:cNvPr>
          <xdr:cNvSpPr/>
        </xdr:nvSpPr>
        <xdr:spPr bwMode="auto">
          <a:xfrm>
            <a:off x="16329314" y="14043213"/>
            <a:ext cx="2174296" cy="235049"/>
          </a:xfrm>
          <a:prstGeom prst="rect">
            <a:avLst/>
          </a:prstGeom>
          <a:solidFill>
            <a:srgbClr val="D8E4BC"/>
          </a:solidFill>
          <a:ln w="9525">
            <a:solidFill>
              <a:srgbClr val="9DBB61"/>
            </a:solidFill>
            <a:miter lim="800000"/>
            <a:headEnd/>
            <a:tailEnd/>
          </a:ln>
        </xdr:spPr>
        <xdr:txBody>
          <a:bodyPr vertOverflow="clip" wrap="square" lIns="36576" tIns="32004" rIns="0" bIns="32004" anchor="ctr" upright="1"/>
          <a:lstStyle/>
          <a:p>
            <a:pPr algn="l" rtl="0">
              <a:defRPr sz="1000"/>
            </a:pPr>
            <a:r>
              <a:rPr lang="nb-NO" sz="800" b="0" i="0" u="none" strike="noStrike" baseline="0">
                <a:solidFill>
                  <a:srgbClr val="000000"/>
                </a:solidFill>
                <a:latin typeface="Segoe UI"/>
                <a:cs typeface="Segoe UI"/>
              </a:rPr>
              <a:t>Karbonprisbane, hovedalternativ (kr/tonn)</a:t>
            </a:r>
          </a:p>
        </xdr:txBody>
      </xdr:sp>
      <xdr:sp macro="" textlink="">
        <xdr:nvSpPr>
          <xdr:cNvPr id="32813" name="Check Box 45" hidden="1">
            <a:extLst>
              <a:ext uri="{63B3BB69-23CF-44E3-9099-C40C66FF867C}">
                <a14:compatExt xmlns:a14="http://schemas.microsoft.com/office/drawing/2010/main" spid="_x0000_s32813"/>
              </a:ext>
              <a:ext uri="{FF2B5EF4-FFF2-40B4-BE49-F238E27FC236}">
                <a16:creationId xmlns:a16="http://schemas.microsoft.com/office/drawing/2014/main" id="{00000000-0008-0000-1900-00002D800000}"/>
              </a:ext>
            </a:extLst>
          </xdr:cNvPr>
          <xdr:cNvSpPr/>
        </xdr:nvSpPr>
        <xdr:spPr bwMode="auto">
          <a:xfrm>
            <a:off x="16329314" y="14338205"/>
            <a:ext cx="2174296" cy="235050"/>
          </a:xfrm>
          <a:prstGeom prst="rect">
            <a:avLst/>
          </a:prstGeom>
          <a:solidFill>
            <a:srgbClr val="D8E4BC"/>
          </a:solidFill>
          <a:ln w="9525">
            <a:solidFill>
              <a:srgbClr val="9DBB61"/>
            </a:solidFill>
            <a:miter lim="800000"/>
            <a:headEnd/>
            <a:tailEnd/>
          </a:ln>
        </xdr:spPr>
        <xdr:txBody>
          <a:bodyPr vertOverflow="clip" wrap="square" lIns="36576" tIns="32004" rIns="0" bIns="32004" anchor="ctr" upright="1"/>
          <a:lstStyle/>
          <a:p>
            <a:pPr algn="l" rtl="0">
              <a:defRPr sz="1000"/>
            </a:pPr>
            <a:r>
              <a:rPr lang="nb-NO" sz="800" b="0" i="0" u="none" strike="noStrike" baseline="0">
                <a:solidFill>
                  <a:srgbClr val="000000"/>
                </a:solidFill>
                <a:latin typeface="Segoe UI"/>
                <a:cs typeface="Segoe UI"/>
              </a:rPr>
              <a:t>CO2-avgiftsbane (kr/tonn)</a:t>
            </a:r>
          </a:p>
        </xdr:txBody>
      </xdr:sp>
      <xdr:sp macro="" textlink="">
        <xdr:nvSpPr>
          <xdr:cNvPr id="32836" name="Check Box 68" hidden="1">
            <a:extLst>
              <a:ext uri="{63B3BB69-23CF-44E3-9099-C40C66FF867C}">
                <a14:compatExt xmlns:a14="http://schemas.microsoft.com/office/drawing/2010/main" spid="_x0000_s32836"/>
              </a:ext>
              <a:ext uri="{FF2B5EF4-FFF2-40B4-BE49-F238E27FC236}">
                <a16:creationId xmlns:a16="http://schemas.microsoft.com/office/drawing/2014/main" id="{00000000-0008-0000-1900-000044800000}"/>
              </a:ext>
            </a:extLst>
          </xdr:cNvPr>
          <xdr:cNvSpPr/>
        </xdr:nvSpPr>
        <xdr:spPr bwMode="auto">
          <a:xfrm>
            <a:off x="16333014" y="11982161"/>
            <a:ext cx="2166897" cy="237975"/>
          </a:xfrm>
          <a:prstGeom prst="rect">
            <a:avLst/>
          </a:prstGeom>
          <a:solidFill>
            <a:srgbClr val="D8E4BC"/>
          </a:solidFill>
          <a:ln w="9525">
            <a:solidFill>
              <a:srgbClr val="9DBB61"/>
            </a:solidFill>
            <a:miter lim="800000"/>
            <a:headEnd/>
            <a:tailEnd/>
          </a:ln>
        </xdr:spPr>
        <xdr:txBody>
          <a:bodyPr vertOverflow="clip" wrap="square" lIns="36576" tIns="32004" rIns="0" bIns="32004" anchor="ctr" upright="1"/>
          <a:lstStyle/>
          <a:p>
            <a:pPr algn="l" rtl="0">
              <a:defRPr sz="1000"/>
            </a:pPr>
            <a:r>
              <a:rPr lang="nb-NO" sz="800" b="0" i="0" u="none" strike="noStrike" baseline="0">
                <a:solidFill>
                  <a:srgbClr val="000000"/>
                </a:solidFill>
                <a:latin typeface="Segoe UI"/>
                <a:cs typeface="Segoe UI"/>
              </a:rPr>
              <a:t>Lett lastebil</a:t>
            </a:r>
          </a:p>
        </xdr:txBody>
      </xdr:sp>
      <xdr:sp macro="" textlink="">
        <xdr:nvSpPr>
          <xdr:cNvPr id="32837" name="Check Box 69" hidden="1">
            <a:extLst>
              <a:ext uri="{63B3BB69-23CF-44E3-9099-C40C66FF867C}">
                <a14:compatExt xmlns:a14="http://schemas.microsoft.com/office/drawing/2010/main" spid="_x0000_s32837"/>
              </a:ext>
              <a:ext uri="{FF2B5EF4-FFF2-40B4-BE49-F238E27FC236}">
                <a16:creationId xmlns:a16="http://schemas.microsoft.com/office/drawing/2014/main" id="{00000000-0008-0000-1900-000045800000}"/>
              </a:ext>
            </a:extLst>
          </xdr:cNvPr>
          <xdr:cNvSpPr/>
        </xdr:nvSpPr>
        <xdr:spPr bwMode="auto">
          <a:xfrm>
            <a:off x="16333014" y="12768489"/>
            <a:ext cx="2166897" cy="237975"/>
          </a:xfrm>
          <a:prstGeom prst="rect">
            <a:avLst/>
          </a:prstGeom>
          <a:solidFill>
            <a:srgbClr val="D8E4BC"/>
          </a:solidFill>
          <a:ln w="9525">
            <a:solidFill>
              <a:srgbClr val="9DBB61"/>
            </a:solidFill>
            <a:miter lim="800000"/>
            <a:headEnd/>
            <a:tailEnd/>
          </a:ln>
        </xdr:spPr>
        <xdr:txBody>
          <a:bodyPr vertOverflow="clip" wrap="square" lIns="36576" tIns="32004" rIns="0" bIns="32004" anchor="ctr" upright="1"/>
          <a:lstStyle/>
          <a:p>
            <a:pPr algn="l" rtl="0">
              <a:defRPr sz="1000"/>
            </a:pPr>
            <a:r>
              <a:rPr lang="nb-NO" sz="800" b="0" i="0" u="none" strike="noStrike" baseline="0">
                <a:solidFill>
                  <a:srgbClr val="000000"/>
                </a:solidFill>
                <a:latin typeface="Segoe UI"/>
                <a:cs typeface="Segoe UI"/>
              </a:rPr>
              <a:t>Godsfly</a:t>
            </a:r>
          </a:p>
        </xdr:txBody>
      </xdr:sp>
      <xdr:sp macro="" textlink="">
        <xdr:nvSpPr>
          <xdr:cNvPr id="32839" name="Check Box 71" hidden="1">
            <a:extLst>
              <a:ext uri="{63B3BB69-23CF-44E3-9099-C40C66FF867C}">
                <a14:compatExt xmlns:a14="http://schemas.microsoft.com/office/drawing/2010/main" spid="_x0000_s32839"/>
              </a:ext>
              <a:ext uri="{FF2B5EF4-FFF2-40B4-BE49-F238E27FC236}">
                <a16:creationId xmlns:a16="http://schemas.microsoft.com/office/drawing/2014/main" id="{00000000-0008-0000-1900-000047800000}"/>
              </a:ext>
            </a:extLst>
          </xdr:cNvPr>
          <xdr:cNvSpPr/>
        </xdr:nvSpPr>
        <xdr:spPr bwMode="auto">
          <a:xfrm>
            <a:off x="16333014" y="13161597"/>
            <a:ext cx="2166897" cy="237975"/>
          </a:xfrm>
          <a:prstGeom prst="rect">
            <a:avLst/>
          </a:prstGeom>
          <a:solidFill>
            <a:srgbClr val="D8E4BC"/>
          </a:solidFill>
          <a:ln w="9525">
            <a:solidFill>
              <a:srgbClr val="9DBB61"/>
            </a:solidFill>
            <a:miter lim="800000"/>
            <a:headEnd/>
            <a:tailEnd/>
          </a:ln>
        </xdr:spPr>
        <xdr:txBody>
          <a:bodyPr vertOverflow="clip" wrap="square" lIns="36576" tIns="32004" rIns="0" bIns="32004" anchor="ctr" upright="1"/>
          <a:lstStyle/>
          <a:p>
            <a:pPr algn="l" rtl="0">
              <a:defRPr sz="1000"/>
            </a:pPr>
            <a:r>
              <a:rPr lang="nb-NO" sz="800" b="0" i="0" u="none" strike="noStrike" baseline="0">
                <a:solidFill>
                  <a:srgbClr val="000000"/>
                </a:solidFill>
                <a:latin typeface="Segoe UI"/>
                <a:cs typeface="Segoe UI"/>
              </a:rPr>
              <a:t>Utslipp i byggefasen</a:t>
            </a:r>
          </a:p>
        </xdr:txBody>
      </xdr:sp>
      <xdr:sp macro="" textlink="">
        <xdr:nvSpPr>
          <xdr:cNvPr id="32840" name="Check Box 72" hidden="1">
            <a:extLst>
              <a:ext uri="{63B3BB69-23CF-44E3-9099-C40C66FF867C}">
                <a14:compatExt xmlns:a14="http://schemas.microsoft.com/office/drawing/2010/main" spid="_x0000_s32840"/>
              </a:ext>
              <a:ext uri="{FF2B5EF4-FFF2-40B4-BE49-F238E27FC236}">
                <a16:creationId xmlns:a16="http://schemas.microsoft.com/office/drawing/2014/main" id="{00000000-0008-0000-1900-000048800000}"/>
              </a:ext>
            </a:extLst>
          </xdr:cNvPr>
          <xdr:cNvSpPr/>
        </xdr:nvSpPr>
        <xdr:spPr bwMode="auto">
          <a:xfrm>
            <a:off x="16340029" y="13735680"/>
            <a:ext cx="2171691" cy="238126"/>
          </a:xfrm>
          <a:prstGeom prst="rect">
            <a:avLst/>
          </a:prstGeom>
          <a:solidFill>
            <a:srgbClr val="D8E4BC"/>
          </a:solidFill>
          <a:ln w="9525">
            <a:solidFill>
              <a:srgbClr val="9DBB61"/>
            </a:solidFill>
            <a:miter lim="800000"/>
            <a:headEnd/>
            <a:tailEnd/>
          </a:ln>
        </xdr:spPr>
        <xdr:txBody>
          <a:bodyPr vertOverflow="clip" wrap="square" lIns="36576" tIns="32004" rIns="0" bIns="32004" anchor="ctr" upright="1"/>
          <a:lstStyle/>
          <a:p>
            <a:pPr algn="l" rtl="0">
              <a:defRPr sz="1000"/>
            </a:pPr>
            <a:r>
              <a:rPr lang="nb-NO" sz="800" b="0" i="0" u="none" strike="noStrike" baseline="0">
                <a:solidFill>
                  <a:srgbClr val="000000"/>
                </a:solidFill>
                <a:latin typeface="Segoe UI"/>
                <a:cs typeface="Segoe UI"/>
              </a:rPr>
              <a:t>Endring i totale utslipp</a:t>
            </a:r>
          </a:p>
        </xdr:txBody>
      </xdr:sp>
    </xdr:grpSp>
    <xdr:clientData/>
  </xdr:twoCellAnchor>
  <xdr:twoCellAnchor>
    <xdr:from>
      <xdr:col>21</xdr:col>
      <xdr:colOff>410431</xdr:colOff>
      <xdr:row>10</xdr:row>
      <xdr:rowOff>122736</xdr:rowOff>
    </xdr:from>
    <xdr:to>
      <xdr:col>24</xdr:col>
      <xdr:colOff>301923</xdr:colOff>
      <xdr:row>34</xdr:row>
      <xdr:rowOff>31750</xdr:rowOff>
    </xdr:to>
    <xdr:grpSp>
      <xdr:nvGrpSpPr>
        <xdr:cNvPr id="14" name="Gruppe 13">
          <a:extLst>
            <a:ext uri="{FF2B5EF4-FFF2-40B4-BE49-F238E27FC236}">
              <a16:creationId xmlns:a16="http://schemas.microsoft.com/office/drawing/2014/main" id="{00000000-0008-0000-1900-00000E000000}"/>
            </a:ext>
          </a:extLst>
        </xdr:cNvPr>
        <xdr:cNvGrpSpPr/>
      </xdr:nvGrpSpPr>
      <xdr:grpSpPr>
        <a:xfrm>
          <a:off x="17409381" y="2030911"/>
          <a:ext cx="2323542" cy="4474664"/>
          <a:chOff x="16412431" y="2038345"/>
          <a:chExt cx="2177492" cy="4481014"/>
        </a:xfrm>
      </xdr:grpSpPr>
      <xdr:sp macro="" textlink="">
        <xdr:nvSpPr>
          <xdr:cNvPr id="32770" name="Check Box 2" hidden="1">
            <a:extLst>
              <a:ext uri="{63B3BB69-23CF-44E3-9099-C40C66FF867C}">
                <a14:compatExt xmlns:a14="http://schemas.microsoft.com/office/drawing/2010/main" spid="_x0000_s32770"/>
              </a:ext>
              <a:ext uri="{FF2B5EF4-FFF2-40B4-BE49-F238E27FC236}">
                <a16:creationId xmlns:a16="http://schemas.microsoft.com/office/drawing/2014/main" id="{00000000-0008-0000-1900-000002800000}"/>
              </a:ext>
            </a:extLst>
          </xdr:cNvPr>
          <xdr:cNvSpPr/>
        </xdr:nvSpPr>
        <xdr:spPr bwMode="auto">
          <a:xfrm>
            <a:off x="16429923" y="2038345"/>
            <a:ext cx="2160000" cy="243306"/>
          </a:xfrm>
          <a:prstGeom prst="rect">
            <a:avLst/>
          </a:prstGeom>
          <a:solidFill>
            <a:srgbClr val="D8E4BC"/>
          </a:solidFill>
          <a:ln w="9525">
            <a:solidFill>
              <a:srgbClr val="9DBB61"/>
            </a:solidFill>
            <a:miter lim="800000"/>
            <a:headEnd/>
            <a:tailEnd/>
          </a:ln>
        </xdr:spPr>
        <xdr:txBody>
          <a:bodyPr vertOverflow="clip" wrap="square" lIns="36576" tIns="32004" rIns="0" bIns="32004" anchor="ctr" upright="1"/>
          <a:lstStyle/>
          <a:p>
            <a:pPr algn="l" rtl="0">
              <a:defRPr sz="1000"/>
            </a:pPr>
            <a:r>
              <a:rPr lang="nb-NO" sz="800" b="0" i="0" u="none" strike="noStrike" baseline="0">
                <a:solidFill>
                  <a:srgbClr val="000000"/>
                </a:solidFill>
                <a:latin typeface="Segoe UI"/>
                <a:cs typeface="Segoe UI"/>
              </a:rPr>
              <a:t>Jernbane - Persontog</a:t>
            </a:r>
          </a:p>
        </xdr:txBody>
      </xdr:sp>
      <xdr:sp macro="" textlink="">
        <xdr:nvSpPr>
          <xdr:cNvPr id="32771" name="Check Box 3" hidden="1">
            <a:extLst>
              <a:ext uri="{63B3BB69-23CF-44E3-9099-C40C66FF867C}">
                <a14:compatExt xmlns:a14="http://schemas.microsoft.com/office/drawing/2010/main" spid="_x0000_s32771"/>
              </a:ext>
              <a:ext uri="{FF2B5EF4-FFF2-40B4-BE49-F238E27FC236}">
                <a16:creationId xmlns:a16="http://schemas.microsoft.com/office/drawing/2014/main" id="{00000000-0008-0000-1900-000003800000}"/>
              </a:ext>
            </a:extLst>
          </xdr:cNvPr>
          <xdr:cNvSpPr/>
        </xdr:nvSpPr>
        <xdr:spPr bwMode="auto">
          <a:xfrm>
            <a:off x="16429923" y="2337818"/>
            <a:ext cx="2160000" cy="243306"/>
          </a:xfrm>
          <a:prstGeom prst="rect">
            <a:avLst/>
          </a:prstGeom>
          <a:solidFill>
            <a:srgbClr val="D8E4BC"/>
          </a:solidFill>
          <a:ln w="9525">
            <a:solidFill>
              <a:srgbClr val="9DBB61"/>
            </a:solidFill>
            <a:miter lim="800000"/>
            <a:headEnd/>
            <a:tailEnd/>
          </a:ln>
        </xdr:spPr>
        <xdr:txBody>
          <a:bodyPr vertOverflow="clip" wrap="square" lIns="36576" tIns="32004" rIns="0" bIns="32004" anchor="ctr" upright="1"/>
          <a:lstStyle/>
          <a:p>
            <a:pPr algn="l" rtl="0">
              <a:defRPr sz="1000"/>
            </a:pPr>
            <a:r>
              <a:rPr lang="nb-NO" sz="800" b="0" i="0" u="none" strike="noStrike" baseline="0">
                <a:solidFill>
                  <a:srgbClr val="000000"/>
                </a:solidFill>
                <a:latin typeface="Segoe UI"/>
                <a:cs typeface="Segoe UI"/>
              </a:rPr>
              <a:t>Jernbane - Godstog</a:t>
            </a:r>
          </a:p>
        </xdr:txBody>
      </xdr:sp>
      <xdr:sp macro="" textlink="">
        <xdr:nvSpPr>
          <xdr:cNvPr id="32772" name="Check Box 4" hidden="1">
            <a:extLst>
              <a:ext uri="{63B3BB69-23CF-44E3-9099-C40C66FF867C}">
                <a14:compatExt xmlns:a14="http://schemas.microsoft.com/office/drawing/2010/main" spid="_x0000_s32772"/>
              </a:ext>
              <a:ext uri="{FF2B5EF4-FFF2-40B4-BE49-F238E27FC236}">
                <a16:creationId xmlns:a16="http://schemas.microsoft.com/office/drawing/2014/main" id="{00000000-0008-0000-1900-000004800000}"/>
              </a:ext>
            </a:extLst>
          </xdr:cNvPr>
          <xdr:cNvSpPr/>
        </xdr:nvSpPr>
        <xdr:spPr bwMode="auto">
          <a:xfrm>
            <a:off x="16429923" y="2647901"/>
            <a:ext cx="2160000" cy="243306"/>
          </a:xfrm>
          <a:prstGeom prst="rect">
            <a:avLst/>
          </a:prstGeom>
          <a:solidFill>
            <a:srgbClr val="D8E4BC"/>
          </a:solidFill>
          <a:ln w="9525">
            <a:solidFill>
              <a:srgbClr val="9DBB61"/>
            </a:solidFill>
            <a:miter lim="800000"/>
            <a:headEnd/>
            <a:tailEnd/>
          </a:ln>
        </xdr:spPr>
        <xdr:txBody>
          <a:bodyPr vertOverflow="clip" wrap="square" lIns="36576" tIns="32004" rIns="0" bIns="32004" anchor="ctr" upright="1"/>
          <a:lstStyle/>
          <a:p>
            <a:pPr algn="l" rtl="0">
              <a:defRPr sz="1000"/>
            </a:pPr>
            <a:r>
              <a:rPr lang="nb-NO" sz="800" b="0" i="0" u="none" strike="noStrike" baseline="0">
                <a:solidFill>
                  <a:srgbClr val="000000"/>
                </a:solidFill>
                <a:latin typeface="Segoe UI"/>
                <a:cs typeface="Segoe UI"/>
              </a:rPr>
              <a:t>Personbil</a:t>
            </a:r>
          </a:p>
        </xdr:txBody>
      </xdr:sp>
      <xdr:sp macro="" textlink="">
        <xdr:nvSpPr>
          <xdr:cNvPr id="32773" name="Check Box 5" hidden="1">
            <a:extLst>
              <a:ext uri="{63B3BB69-23CF-44E3-9099-C40C66FF867C}">
                <a14:compatExt xmlns:a14="http://schemas.microsoft.com/office/drawing/2010/main" spid="_x0000_s32773"/>
              </a:ext>
              <a:ext uri="{FF2B5EF4-FFF2-40B4-BE49-F238E27FC236}">
                <a16:creationId xmlns:a16="http://schemas.microsoft.com/office/drawing/2014/main" id="{00000000-0008-0000-1900-000005800000}"/>
              </a:ext>
            </a:extLst>
          </xdr:cNvPr>
          <xdr:cNvSpPr/>
        </xdr:nvSpPr>
        <xdr:spPr bwMode="auto">
          <a:xfrm>
            <a:off x="16419339" y="2979150"/>
            <a:ext cx="2160000" cy="243306"/>
          </a:xfrm>
          <a:prstGeom prst="rect">
            <a:avLst/>
          </a:prstGeom>
          <a:solidFill>
            <a:srgbClr val="D8E4BC"/>
          </a:solidFill>
          <a:ln w="9525">
            <a:solidFill>
              <a:srgbClr val="9DBB61"/>
            </a:solidFill>
            <a:miter lim="800000"/>
            <a:headEnd/>
            <a:tailEnd/>
          </a:ln>
        </xdr:spPr>
        <xdr:txBody>
          <a:bodyPr vertOverflow="clip" wrap="square" lIns="36576" tIns="32004" rIns="0" bIns="32004" anchor="ctr" upright="1"/>
          <a:lstStyle/>
          <a:p>
            <a:pPr algn="l" rtl="0">
              <a:defRPr sz="1000"/>
            </a:pPr>
            <a:r>
              <a:rPr lang="nb-NO" sz="800" b="0" i="0" u="none" strike="noStrike" baseline="0">
                <a:solidFill>
                  <a:srgbClr val="000000"/>
                </a:solidFill>
                <a:latin typeface="Segoe UI"/>
                <a:cs typeface="Segoe UI"/>
              </a:rPr>
              <a:t>Buss</a:t>
            </a:r>
          </a:p>
        </xdr:txBody>
      </xdr:sp>
      <xdr:sp macro="" textlink="">
        <xdr:nvSpPr>
          <xdr:cNvPr id="32774" name="Check Box 6" hidden="1">
            <a:extLst>
              <a:ext uri="{63B3BB69-23CF-44E3-9099-C40C66FF867C}">
                <a14:compatExt xmlns:a14="http://schemas.microsoft.com/office/drawing/2010/main" spid="_x0000_s32774"/>
              </a:ext>
              <a:ext uri="{FF2B5EF4-FFF2-40B4-BE49-F238E27FC236}">
                <a16:creationId xmlns:a16="http://schemas.microsoft.com/office/drawing/2014/main" id="{00000000-0008-0000-1900-000006800000}"/>
              </a:ext>
            </a:extLst>
          </xdr:cNvPr>
          <xdr:cNvSpPr/>
        </xdr:nvSpPr>
        <xdr:spPr bwMode="auto">
          <a:xfrm>
            <a:off x="16419340" y="3278650"/>
            <a:ext cx="2160000" cy="243306"/>
          </a:xfrm>
          <a:prstGeom prst="rect">
            <a:avLst/>
          </a:prstGeom>
          <a:solidFill>
            <a:srgbClr val="D8E4BC"/>
          </a:solidFill>
          <a:ln w="9525">
            <a:solidFill>
              <a:srgbClr val="9DBB61"/>
            </a:solidFill>
            <a:miter lim="800000"/>
            <a:headEnd/>
            <a:tailEnd/>
          </a:ln>
        </xdr:spPr>
        <xdr:txBody>
          <a:bodyPr vertOverflow="clip" wrap="square" lIns="36576" tIns="32004" rIns="0" bIns="32004" anchor="ctr" upright="1"/>
          <a:lstStyle/>
          <a:p>
            <a:pPr algn="l" rtl="0">
              <a:defRPr sz="1000"/>
            </a:pPr>
            <a:r>
              <a:rPr lang="nb-NO" sz="800" b="0" i="0" u="none" strike="noStrike" baseline="0">
                <a:solidFill>
                  <a:srgbClr val="000000"/>
                </a:solidFill>
                <a:latin typeface="Segoe UI"/>
                <a:cs typeface="Segoe UI"/>
              </a:rPr>
              <a:t>Fly</a:t>
            </a:r>
          </a:p>
        </xdr:txBody>
      </xdr:sp>
      <xdr:sp macro="" textlink="">
        <xdr:nvSpPr>
          <xdr:cNvPr id="32775" name="Check Box 7" hidden="1">
            <a:extLst>
              <a:ext uri="{63B3BB69-23CF-44E3-9099-C40C66FF867C}">
                <a14:compatExt xmlns:a14="http://schemas.microsoft.com/office/drawing/2010/main" spid="_x0000_s32775"/>
              </a:ext>
              <a:ext uri="{FF2B5EF4-FFF2-40B4-BE49-F238E27FC236}">
                <a16:creationId xmlns:a16="http://schemas.microsoft.com/office/drawing/2014/main" id="{00000000-0008-0000-1900-000007800000}"/>
              </a:ext>
            </a:extLst>
          </xdr:cNvPr>
          <xdr:cNvSpPr/>
        </xdr:nvSpPr>
        <xdr:spPr bwMode="auto">
          <a:xfrm>
            <a:off x="16419339" y="3609899"/>
            <a:ext cx="2160000" cy="243306"/>
          </a:xfrm>
          <a:prstGeom prst="rect">
            <a:avLst/>
          </a:prstGeom>
          <a:solidFill>
            <a:srgbClr val="D8E4BC"/>
          </a:solidFill>
          <a:ln w="9525">
            <a:solidFill>
              <a:srgbClr val="9DBB61"/>
            </a:solidFill>
            <a:miter lim="800000"/>
            <a:headEnd/>
            <a:tailEnd/>
          </a:ln>
        </xdr:spPr>
        <xdr:txBody>
          <a:bodyPr vertOverflow="clip" wrap="square" lIns="36576" tIns="32004" rIns="0" bIns="32004" anchor="ctr" upright="1"/>
          <a:lstStyle/>
          <a:p>
            <a:pPr algn="l" rtl="0">
              <a:defRPr sz="1000"/>
            </a:pPr>
            <a:r>
              <a:rPr lang="nb-NO" sz="800" b="0" i="0" u="none" strike="noStrike" baseline="0">
                <a:solidFill>
                  <a:srgbClr val="000000"/>
                </a:solidFill>
                <a:latin typeface="Segoe UI"/>
                <a:cs typeface="Segoe UI"/>
              </a:rPr>
              <a:t>Lastebil</a:t>
            </a:r>
          </a:p>
        </xdr:txBody>
      </xdr:sp>
      <xdr:sp macro="" textlink="">
        <xdr:nvSpPr>
          <xdr:cNvPr id="32776" name="Check Box 8" hidden="1">
            <a:extLst>
              <a:ext uri="{63B3BB69-23CF-44E3-9099-C40C66FF867C}">
                <a14:compatExt xmlns:a14="http://schemas.microsoft.com/office/drawing/2010/main" spid="_x0000_s32776"/>
              </a:ext>
              <a:ext uri="{FF2B5EF4-FFF2-40B4-BE49-F238E27FC236}">
                <a16:creationId xmlns:a16="http://schemas.microsoft.com/office/drawing/2014/main" id="{00000000-0008-0000-1900-000008800000}"/>
              </a:ext>
            </a:extLst>
          </xdr:cNvPr>
          <xdr:cNvSpPr/>
        </xdr:nvSpPr>
        <xdr:spPr bwMode="auto">
          <a:xfrm>
            <a:off x="16429923" y="4269393"/>
            <a:ext cx="2160000" cy="243306"/>
          </a:xfrm>
          <a:prstGeom prst="rect">
            <a:avLst/>
          </a:prstGeom>
          <a:solidFill>
            <a:srgbClr val="D8E4BC"/>
          </a:solidFill>
          <a:ln w="9525">
            <a:solidFill>
              <a:srgbClr val="9DBB61"/>
            </a:solidFill>
            <a:miter lim="800000"/>
            <a:headEnd/>
            <a:tailEnd/>
          </a:ln>
        </xdr:spPr>
        <xdr:txBody>
          <a:bodyPr vertOverflow="clip" wrap="square" lIns="36576" tIns="32004" rIns="0" bIns="32004" anchor="ctr" upright="1"/>
          <a:lstStyle/>
          <a:p>
            <a:pPr algn="l" rtl="0">
              <a:defRPr sz="1000"/>
            </a:pPr>
            <a:r>
              <a:rPr lang="nb-NO" sz="800" b="0" i="0" u="none" strike="noStrike" baseline="0">
                <a:solidFill>
                  <a:srgbClr val="000000"/>
                </a:solidFill>
                <a:latin typeface="Segoe UI"/>
                <a:cs typeface="Segoe UI"/>
              </a:rPr>
              <a:t>Skip</a:t>
            </a:r>
          </a:p>
        </xdr:txBody>
      </xdr:sp>
      <xdr:sp macro="" textlink="">
        <xdr:nvSpPr>
          <xdr:cNvPr id="32781" name="Check Box 13" hidden="1">
            <a:extLst>
              <a:ext uri="{63B3BB69-23CF-44E3-9099-C40C66FF867C}">
                <a14:compatExt xmlns:a14="http://schemas.microsoft.com/office/drawing/2010/main" spid="_x0000_s32781"/>
              </a:ext>
              <a:ext uri="{FF2B5EF4-FFF2-40B4-BE49-F238E27FC236}">
                <a16:creationId xmlns:a16="http://schemas.microsoft.com/office/drawing/2014/main" id="{00000000-0008-0000-1900-00000D800000}"/>
              </a:ext>
            </a:extLst>
          </xdr:cNvPr>
          <xdr:cNvSpPr/>
        </xdr:nvSpPr>
        <xdr:spPr bwMode="auto">
          <a:xfrm>
            <a:off x="16419339" y="5923609"/>
            <a:ext cx="2160000" cy="243306"/>
          </a:xfrm>
          <a:prstGeom prst="rect">
            <a:avLst/>
          </a:prstGeom>
          <a:solidFill>
            <a:srgbClr val="D8E4BC"/>
          </a:solidFill>
          <a:ln w="9525">
            <a:solidFill>
              <a:srgbClr val="9DBB61"/>
            </a:solidFill>
            <a:miter lim="800000"/>
            <a:headEnd/>
            <a:tailEnd/>
          </a:ln>
        </xdr:spPr>
        <xdr:txBody>
          <a:bodyPr vertOverflow="clip" wrap="square" lIns="36576" tIns="32004" rIns="0" bIns="32004" anchor="ctr" upright="1"/>
          <a:lstStyle/>
          <a:p>
            <a:pPr algn="l" rtl="0">
              <a:defRPr sz="1000"/>
            </a:pPr>
            <a:r>
              <a:rPr lang="nb-NO" sz="800" b="0" i="0" u="none" strike="noStrike" baseline="0">
                <a:solidFill>
                  <a:srgbClr val="000000"/>
                </a:solidFill>
                <a:latin typeface="Segoe UI"/>
                <a:cs typeface="Segoe UI"/>
              </a:rPr>
              <a:t>Karbonprisbane, hovedalternativ (kr/tonn)</a:t>
            </a:r>
          </a:p>
        </xdr:txBody>
      </xdr:sp>
      <xdr:sp macro="" textlink="">
        <xdr:nvSpPr>
          <xdr:cNvPr id="32782" name="Check Box 14" hidden="1">
            <a:extLst>
              <a:ext uri="{63B3BB69-23CF-44E3-9099-C40C66FF867C}">
                <a14:compatExt xmlns:a14="http://schemas.microsoft.com/office/drawing/2010/main" spid="_x0000_s32782"/>
              </a:ext>
              <a:ext uri="{FF2B5EF4-FFF2-40B4-BE49-F238E27FC236}">
                <a16:creationId xmlns:a16="http://schemas.microsoft.com/office/drawing/2014/main" id="{00000000-0008-0000-1900-00000E800000}"/>
              </a:ext>
            </a:extLst>
          </xdr:cNvPr>
          <xdr:cNvSpPr/>
        </xdr:nvSpPr>
        <xdr:spPr bwMode="auto">
          <a:xfrm>
            <a:off x="16419340" y="6276053"/>
            <a:ext cx="2160000" cy="243306"/>
          </a:xfrm>
          <a:prstGeom prst="rect">
            <a:avLst/>
          </a:prstGeom>
          <a:solidFill>
            <a:srgbClr val="D8E4BC"/>
          </a:solidFill>
          <a:ln w="9525">
            <a:solidFill>
              <a:srgbClr val="9DBB61"/>
            </a:solidFill>
            <a:miter lim="800000"/>
            <a:headEnd/>
            <a:tailEnd/>
          </a:ln>
        </xdr:spPr>
        <xdr:txBody>
          <a:bodyPr vertOverflow="clip" wrap="square" lIns="36576" tIns="32004" rIns="0" bIns="32004" anchor="ctr" upright="1"/>
          <a:lstStyle/>
          <a:p>
            <a:pPr algn="l" rtl="0">
              <a:defRPr sz="1000"/>
            </a:pPr>
            <a:r>
              <a:rPr lang="nb-NO" sz="800" b="0" i="0" u="none" strike="noStrike" baseline="0">
                <a:solidFill>
                  <a:srgbClr val="000000"/>
                </a:solidFill>
                <a:latin typeface="Segoe UI"/>
                <a:cs typeface="Segoe UI"/>
              </a:rPr>
              <a:t>CO2-avgiftsbane (kr/tonn)</a:t>
            </a:r>
          </a:p>
        </xdr:txBody>
      </xdr:sp>
      <xdr:sp macro="" textlink="">
        <xdr:nvSpPr>
          <xdr:cNvPr id="32833" name="Check Box 65" hidden="1">
            <a:extLst>
              <a:ext uri="{63B3BB69-23CF-44E3-9099-C40C66FF867C}">
                <a14:compatExt xmlns:a14="http://schemas.microsoft.com/office/drawing/2010/main" spid="_x0000_s32833"/>
              </a:ext>
              <a:ext uri="{FF2B5EF4-FFF2-40B4-BE49-F238E27FC236}">
                <a16:creationId xmlns:a16="http://schemas.microsoft.com/office/drawing/2014/main" id="{00000000-0008-0000-1900-000041800000}"/>
              </a:ext>
            </a:extLst>
          </xdr:cNvPr>
          <xdr:cNvSpPr/>
        </xdr:nvSpPr>
        <xdr:spPr bwMode="auto">
          <a:xfrm>
            <a:off x="16423014" y="3930565"/>
            <a:ext cx="2152650" cy="240301"/>
          </a:xfrm>
          <a:prstGeom prst="rect">
            <a:avLst/>
          </a:prstGeom>
          <a:solidFill>
            <a:srgbClr val="D8E4BC"/>
          </a:solidFill>
          <a:ln w="9525">
            <a:solidFill>
              <a:srgbClr val="9DBB61"/>
            </a:solidFill>
            <a:miter lim="800000"/>
            <a:headEnd/>
            <a:tailEnd/>
          </a:ln>
        </xdr:spPr>
        <xdr:txBody>
          <a:bodyPr vertOverflow="clip" wrap="square" lIns="36576" tIns="32004" rIns="0" bIns="32004" anchor="ctr" upright="1"/>
          <a:lstStyle/>
          <a:p>
            <a:pPr algn="l" rtl="0">
              <a:defRPr sz="1000"/>
            </a:pPr>
            <a:r>
              <a:rPr lang="nb-NO" sz="800" b="0" i="0" u="none" strike="noStrike" baseline="0">
                <a:solidFill>
                  <a:srgbClr val="000000"/>
                </a:solidFill>
                <a:latin typeface="Segoe UI"/>
                <a:cs typeface="Segoe UI"/>
              </a:rPr>
              <a:t>Lett lastebil</a:t>
            </a:r>
          </a:p>
        </xdr:txBody>
      </xdr:sp>
      <xdr:sp macro="" textlink="">
        <xdr:nvSpPr>
          <xdr:cNvPr id="32834" name="Check Box 66" descr="Godsfly" hidden="1">
            <a:extLst>
              <a:ext uri="{63B3BB69-23CF-44E3-9099-C40C66FF867C}">
                <a14:compatExt xmlns:a14="http://schemas.microsoft.com/office/drawing/2010/main" spid="_x0000_s32834"/>
              </a:ext>
              <a:ext uri="{FF2B5EF4-FFF2-40B4-BE49-F238E27FC236}">
                <a16:creationId xmlns:a16="http://schemas.microsoft.com/office/drawing/2014/main" id="{00000000-0008-0000-1900-000042800000}"/>
              </a:ext>
            </a:extLst>
          </xdr:cNvPr>
          <xdr:cNvSpPr/>
        </xdr:nvSpPr>
        <xdr:spPr bwMode="auto">
          <a:xfrm>
            <a:off x="16423014" y="4590059"/>
            <a:ext cx="2152650" cy="240301"/>
          </a:xfrm>
          <a:prstGeom prst="rect">
            <a:avLst/>
          </a:prstGeom>
          <a:solidFill>
            <a:srgbClr val="D8E4BC"/>
          </a:solidFill>
          <a:ln w="9525">
            <a:solidFill>
              <a:srgbClr val="9DBB61"/>
            </a:solidFill>
            <a:miter lim="800000"/>
            <a:headEnd/>
            <a:tailEnd/>
          </a:ln>
        </xdr:spPr>
        <xdr:txBody>
          <a:bodyPr vertOverflow="clip" wrap="square" lIns="36576" tIns="32004" rIns="0" bIns="32004" anchor="ctr" upright="1"/>
          <a:lstStyle/>
          <a:p>
            <a:pPr algn="l" rtl="0">
              <a:defRPr sz="1000"/>
            </a:pPr>
            <a:r>
              <a:rPr lang="nb-NO" sz="800" b="0" i="0" u="none" strike="noStrike" baseline="0">
                <a:solidFill>
                  <a:srgbClr val="000000"/>
                </a:solidFill>
                <a:latin typeface="Segoe UI"/>
                <a:cs typeface="Segoe UI"/>
              </a:rPr>
              <a:t>Godsfly</a:t>
            </a:r>
          </a:p>
        </xdr:txBody>
      </xdr:sp>
      <xdr:sp macro="" textlink="">
        <xdr:nvSpPr>
          <xdr:cNvPr id="32835" name="Check Box 67" descr="Godsfly" hidden="1">
            <a:extLst>
              <a:ext uri="{63B3BB69-23CF-44E3-9099-C40C66FF867C}">
                <a14:compatExt xmlns:a14="http://schemas.microsoft.com/office/drawing/2010/main" spid="_x0000_s32835"/>
              </a:ext>
              <a:ext uri="{FF2B5EF4-FFF2-40B4-BE49-F238E27FC236}">
                <a16:creationId xmlns:a16="http://schemas.microsoft.com/office/drawing/2014/main" id="{00000000-0008-0000-1900-000043800000}"/>
              </a:ext>
            </a:extLst>
          </xdr:cNvPr>
          <xdr:cNvSpPr/>
        </xdr:nvSpPr>
        <xdr:spPr bwMode="auto">
          <a:xfrm>
            <a:off x="16412431" y="4918303"/>
            <a:ext cx="2152650" cy="240301"/>
          </a:xfrm>
          <a:prstGeom prst="rect">
            <a:avLst/>
          </a:prstGeom>
          <a:solidFill>
            <a:srgbClr val="D8E4BC"/>
          </a:solidFill>
          <a:ln w="9525">
            <a:solidFill>
              <a:srgbClr val="9DBB61"/>
            </a:solidFill>
            <a:miter lim="800000"/>
            <a:headEnd/>
            <a:tailEnd/>
          </a:ln>
        </xdr:spPr>
        <xdr:txBody>
          <a:bodyPr vertOverflow="clip" wrap="square" lIns="36576" tIns="32004" rIns="0" bIns="32004" anchor="ctr" upright="1"/>
          <a:lstStyle/>
          <a:p>
            <a:pPr algn="l" rtl="0">
              <a:defRPr sz="1000"/>
            </a:pPr>
            <a:r>
              <a:rPr lang="nb-NO" sz="800" b="0" i="0" u="none" strike="noStrike" baseline="0">
                <a:solidFill>
                  <a:srgbClr val="000000"/>
                </a:solidFill>
                <a:latin typeface="Segoe UI"/>
                <a:cs typeface="Segoe UI"/>
              </a:rPr>
              <a:t>Utslipp i byggefasen</a:t>
            </a:r>
          </a:p>
        </xdr:txBody>
      </xdr:sp>
      <xdr:sp macro="" textlink="">
        <xdr:nvSpPr>
          <xdr:cNvPr id="32841" name="Check Box 73" descr="Godsfly" hidden="1">
            <a:extLst>
              <a:ext uri="{63B3BB69-23CF-44E3-9099-C40C66FF867C}">
                <a14:compatExt xmlns:a14="http://schemas.microsoft.com/office/drawing/2010/main" spid="_x0000_s32841"/>
              </a:ext>
              <a:ext uri="{FF2B5EF4-FFF2-40B4-BE49-F238E27FC236}">
                <a16:creationId xmlns:a16="http://schemas.microsoft.com/office/drawing/2014/main" id="{00000000-0008-0000-1900-000049800000}"/>
              </a:ext>
            </a:extLst>
          </xdr:cNvPr>
          <xdr:cNvSpPr/>
        </xdr:nvSpPr>
        <xdr:spPr bwMode="auto">
          <a:xfrm>
            <a:off x="16412432" y="5595797"/>
            <a:ext cx="2152650" cy="239869"/>
          </a:xfrm>
          <a:prstGeom prst="rect">
            <a:avLst/>
          </a:prstGeom>
          <a:solidFill>
            <a:srgbClr val="D8E4BC"/>
          </a:solidFill>
          <a:ln w="9525">
            <a:solidFill>
              <a:srgbClr val="9DBB61"/>
            </a:solidFill>
            <a:miter lim="800000"/>
            <a:headEnd/>
            <a:tailEnd/>
          </a:ln>
        </xdr:spPr>
        <xdr:txBody>
          <a:bodyPr vertOverflow="clip" wrap="square" lIns="36576" tIns="32004" rIns="0" bIns="32004" anchor="ctr" upright="1"/>
          <a:lstStyle/>
          <a:p>
            <a:pPr algn="l" rtl="0">
              <a:defRPr sz="1000"/>
            </a:pPr>
            <a:r>
              <a:rPr lang="nb-NO" sz="800" b="0" i="0" u="none" strike="noStrike" baseline="0">
                <a:solidFill>
                  <a:srgbClr val="000000"/>
                </a:solidFill>
                <a:latin typeface="Segoe UI"/>
                <a:cs typeface="Segoe UI"/>
              </a:rPr>
              <a:t>Endring i totale utslipp</a:t>
            </a:r>
          </a:p>
        </xdr:txBody>
      </xdr:sp>
    </xdr:grpSp>
    <xdr:clientData/>
  </xdr:twoCellAnchor>
  <xdr:twoCellAnchor editAs="oneCell">
    <xdr:from>
      <xdr:col>21</xdr:col>
      <xdr:colOff>412750</xdr:colOff>
      <xdr:row>27</xdr:row>
      <xdr:rowOff>95250</xdr:rowOff>
    </xdr:from>
    <xdr:to>
      <xdr:col>24</xdr:col>
      <xdr:colOff>279400</xdr:colOff>
      <xdr:row>28</xdr:row>
      <xdr:rowOff>133350</xdr:rowOff>
    </xdr:to>
    <xdr:sp macro="" textlink="">
      <xdr:nvSpPr>
        <xdr:cNvPr id="32842" name="Check Box 74" hidden="1">
          <a:extLst>
            <a:ext uri="{63B3BB69-23CF-44E3-9099-C40C66FF867C}">
              <a14:compatExt xmlns:a14="http://schemas.microsoft.com/office/drawing/2010/main" spid="_x0000_s32842"/>
            </a:ext>
            <a:ext uri="{FF2B5EF4-FFF2-40B4-BE49-F238E27FC236}">
              <a16:creationId xmlns:a16="http://schemas.microsoft.com/office/drawing/2014/main" id="{00000000-0008-0000-1900-00004A800000}"/>
            </a:ext>
          </a:extLst>
        </xdr:cNvPr>
        <xdr:cNvSpPr/>
      </xdr:nvSpPr>
      <xdr:spPr bwMode="auto">
        <a:xfrm>
          <a:off x="0" y="0"/>
          <a:ext cx="0" cy="0"/>
        </a:xfrm>
        <a:prstGeom prst="rect">
          <a:avLst/>
        </a:prstGeom>
        <a:solidFill>
          <a:srgbClr val="D8E4BC"/>
        </a:solidFill>
        <a:ln w="9525">
          <a:solidFill>
            <a:srgbClr val="9DBB61"/>
          </a:solidFill>
          <a:miter lim="800000"/>
          <a:headEnd/>
          <a:tailEnd/>
        </a:ln>
      </xdr:spPr>
      <xdr:txBody>
        <a:bodyPr vertOverflow="clip" wrap="square" lIns="36576" tIns="32004" rIns="0" bIns="32004" anchor="ctr" upright="1"/>
        <a:lstStyle/>
        <a:p>
          <a:pPr algn="l" rtl="0">
            <a:defRPr sz="1000"/>
          </a:pPr>
          <a:r>
            <a:rPr lang="nb-NO" sz="800" b="0" i="0" u="none" strike="noStrike" baseline="0">
              <a:solidFill>
                <a:srgbClr val="000000"/>
              </a:solidFill>
              <a:latin typeface="Segoe UI"/>
              <a:cs typeface="Segoe UI"/>
            </a:rPr>
            <a:t>Utslipp arealbeslag</a:t>
          </a:r>
        </a:p>
      </xdr:txBody>
    </xdr:sp>
    <xdr:clientData/>
  </xdr:twoCellAnchor>
  <xdr:twoCellAnchor editAs="oneCell">
    <xdr:from>
      <xdr:col>0</xdr:col>
      <xdr:colOff>361950</xdr:colOff>
      <xdr:row>0</xdr:row>
      <xdr:rowOff>107950</xdr:rowOff>
    </xdr:from>
    <xdr:to>
      <xdr:col>3</xdr:col>
      <xdr:colOff>260350</xdr:colOff>
      <xdr:row>1</xdr:row>
      <xdr:rowOff>133350</xdr:rowOff>
    </xdr:to>
    <xdr:sp macro="" textlink="">
      <xdr:nvSpPr>
        <xdr:cNvPr id="32843" name="Check Box 75" hidden="1">
          <a:extLst>
            <a:ext uri="{63B3BB69-23CF-44E3-9099-C40C66FF867C}">
              <a14:compatExt xmlns:a14="http://schemas.microsoft.com/office/drawing/2010/main" spid="_x0000_s32843"/>
            </a:ext>
            <a:ext uri="{FF2B5EF4-FFF2-40B4-BE49-F238E27FC236}">
              <a16:creationId xmlns:a16="http://schemas.microsoft.com/office/drawing/2014/main" id="{00000000-0008-0000-1900-00004B800000}"/>
            </a:ext>
          </a:extLst>
        </xdr:cNvPr>
        <xdr:cNvSpPr/>
      </xdr:nvSpPr>
      <xdr:spPr bwMode="auto">
        <a:xfrm>
          <a:off x="0" y="0"/>
          <a:ext cx="0" cy="0"/>
        </a:xfrm>
        <a:prstGeom prst="rect">
          <a:avLst/>
        </a:prstGeom>
        <a:solidFill>
          <a:srgbClr val="D8E4BC"/>
        </a:solidFill>
        <a:ln w="9525">
          <a:solidFill>
            <a:srgbClr val="9DBB61"/>
          </a:solidFill>
          <a:miter lim="800000"/>
          <a:headEnd/>
          <a:tailEnd/>
        </a:ln>
      </xdr:spPr>
      <xdr:txBody>
        <a:bodyPr vertOverflow="clip" wrap="square" lIns="36576" tIns="32004" rIns="0" bIns="32004" anchor="ctr" upright="1"/>
        <a:lstStyle/>
        <a:p>
          <a:pPr algn="l" rtl="0">
            <a:defRPr sz="1000"/>
          </a:pPr>
          <a:r>
            <a:rPr lang="nb-NO" sz="800" b="0" i="0" u="none" strike="noStrike" baseline="0">
              <a:solidFill>
                <a:srgbClr val="000000"/>
              </a:solidFill>
              <a:latin typeface="Segoe UI"/>
              <a:cs typeface="Segoe UI"/>
            </a:rPr>
            <a:t>Jernbane - Persontog</a:t>
          </a:r>
        </a:p>
      </xdr:txBody>
    </xdr:sp>
    <xdr:clientData/>
  </xdr:twoCellAnchor>
  <xdr:twoCellAnchor editAs="oneCell">
    <xdr:from>
      <xdr:col>0</xdr:col>
      <xdr:colOff>323850</xdr:colOff>
      <xdr:row>0</xdr:row>
      <xdr:rowOff>88900</xdr:rowOff>
    </xdr:from>
    <xdr:to>
      <xdr:col>3</xdr:col>
      <xdr:colOff>222250</xdr:colOff>
      <xdr:row>1</xdr:row>
      <xdr:rowOff>114300</xdr:rowOff>
    </xdr:to>
    <xdr:sp macro="" textlink="">
      <xdr:nvSpPr>
        <xdr:cNvPr id="32844" name="Check Box 76" hidden="1">
          <a:extLst>
            <a:ext uri="{63B3BB69-23CF-44E3-9099-C40C66FF867C}">
              <a14:compatExt xmlns:a14="http://schemas.microsoft.com/office/drawing/2010/main" spid="_x0000_s32844"/>
            </a:ext>
            <a:ext uri="{FF2B5EF4-FFF2-40B4-BE49-F238E27FC236}">
              <a16:creationId xmlns:a16="http://schemas.microsoft.com/office/drawing/2014/main" id="{00000000-0008-0000-1900-00004C800000}"/>
            </a:ext>
          </a:extLst>
        </xdr:cNvPr>
        <xdr:cNvSpPr/>
      </xdr:nvSpPr>
      <xdr:spPr bwMode="auto">
        <a:xfrm>
          <a:off x="0" y="0"/>
          <a:ext cx="0" cy="0"/>
        </a:xfrm>
        <a:prstGeom prst="rect">
          <a:avLst/>
        </a:prstGeom>
        <a:solidFill>
          <a:srgbClr val="D8E4BC"/>
        </a:solidFill>
        <a:ln w="9525">
          <a:solidFill>
            <a:srgbClr val="9DBB61"/>
          </a:solidFill>
          <a:miter lim="800000"/>
          <a:headEnd/>
          <a:tailEnd/>
        </a:ln>
      </xdr:spPr>
      <xdr:txBody>
        <a:bodyPr vertOverflow="clip" wrap="square" lIns="36576" tIns="32004" rIns="0" bIns="32004" anchor="ctr" upright="1"/>
        <a:lstStyle/>
        <a:p>
          <a:pPr algn="l" rtl="0">
            <a:defRPr sz="1000"/>
          </a:pPr>
          <a:r>
            <a:rPr lang="nb-NO" sz="800" b="0" i="0" u="none" strike="noStrike" baseline="0">
              <a:solidFill>
                <a:srgbClr val="000000"/>
              </a:solidFill>
              <a:latin typeface="Segoe UI"/>
              <a:cs typeface="Segoe UI"/>
            </a:rPr>
            <a:t>Jernbane - Persontog</a:t>
          </a:r>
        </a:p>
      </xdr:txBody>
    </xdr:sp>
    <xdr:clientData/>
  </xdr:twoCellAnchor>
  <xdr:twoCellAnchor editAs="oneCell">
    <xdr:from>
      <xdr:col>21</xdr:col>
      <xdr:colOff>323850</xdr:colOff>
      <xdr:row>70</xdr:row>
      <xdr:rowOff>95250</xdr:rowOff>
    </xdr:from>
    <xdr:to>
      <xdr:col>24</xdr:col>
      <xdr:colOff>222250</xdr:colOff>
      <xdr:row>71</xdr:row>
      <xdr:rowOff>133350</xdr:rowOff>
    </xdr:to>
    <xdr:sp macro="" textlink="">
      <xdr:nvSpPr>
        <xdr:cNvPr id="32845" name="Check Box 77" hidden="1">
          <a:extLst>
            <a:ext uri="{63B3BB69-23CF-44E3-9099-C40C66FF867C}">
              <a14:compatExt xmlns:a14="http://schemas.microsoft.com/office/drawing/2010/main" spid="_x0000_s32845"/>
            </a:ext>
            <a:ext uri="{FF2B5EF4-FFF2-40B4-BE49-F238E27FC236}">
              <a16:creationId xmlns:a16="http://schemas.microsoft.com/office/drawing/2014/main" id="{00000000-0008-0000-1900-00004D800000}"/>
            </a:ext>
          </a:extLst>
        </xdr:cNvPr>
        <xdr:cNvSpPr/>
      </xdr:nvSpPr>
      <xdr:spPr bwMode="auto">
        <a:xfrm>
          <a:off x="0" y="0"/>
          <a:ext cx="0" cy="0"/>
        </a:xfrm>
        <a:prstGeom prst="rect">
          <a:avLst/>
        </a:prstGeom>
        <a:solidFill>
          <a:srgbClr val="D8E4BC"/>
        </a:solidFill>
        <a:ln w="9525">
          <a:solidFill>
            <a:srgbClr val="9DBB61"/>
          </a:solidFill>
          <a:miter lim="800000"/>
          <a:headEnd/>
          <a:tailEnd/>
        </a:ln>
      </xdr:spPr>
      <xdr:txBody>
        <a:bodyPr vertOverflow="clip" wrap="square" lIns="36576" tIns="32004" rIns="0" bIns="32004" anchor="ctr" upright="1"/>
        <a:lstStyle/>
        <a:p>
          <a:pPr algn="l" rtl="0">
            <a:defRPr sz="1000"/>
          </a:pPr>
          <a:r>
            <a:rPr lang="nb-NO" sz="800" b="0" i="0" u="none" strike="noStrike" baseline="0">
              <a:solidFill>
                <a:srgbClr val="000000"/>
              </a:solidFill>
              <a:latin typeface="Segoe UI"/>
              <a:cs typeface="Segoe UI"/>
            </a:rPr>
            <a:t>Utslipp arealbeslag</a:t>
          </a:r>
        </a:p>
      </xdr:txBody>
    </xdr:sp>
    <xdr:clientData/>
  </xdr:twoCellAnchor>
  <mc:AlternateContent xmlns:mc="http://schemas.openxmlformats.org/markup-compatibility/2006">
    <mc:Choice xmlns:a14="http://schemas.microsoft.com/office/drawing/2010/main" Requires="a14">
      <xdr:twoCellAnchor editAs="oneCell">
        <xdr:from>
          <xdr:col>21</xdr:col>
          <xdr:colOff>431800</xdr:colOff>
          <xdr:row>10</xdr:row>
          <xdr:rowOff>127000</xdr:rowOff>
        </xdr:from>
        <xdr:to>
          <xdr:col>24</xdr:col>
          <xdr:colOff>304800</xdr:colOff>
          <xdr:row>11</xdr:row>
          <xdr:rowOff>184150</xdr:rowOff>
        </xdr:to>
        <xdr:sp macro="" textlink="">
          <xdr:nvSpPr>
            <xdr:cNvPr id="3" name="Check Box 2" hidden="1">
              <a:extLst>
                <a:ext uri="{63B3BB69-23CF-44E3-9099-C40C66FF867C}">
                  <a14:compatExt spid="_x0000_s32770"/>
                </a:ext>
                <a:ext uri="{FF2B5EF4-FFF2-40B4-BE49-F238E27FC236}">
                  <a16:creationId xmlns:a16="http://schemas.microsoft.com/office/drawing/2014/main" id="{00000000-0008-0000-1900-000003000000}"/>
                </a:ext>
              </a:extLst>
            </xdr:cNvPr>
            <xdr:cNvSpPr/>
          </xdr:nvSpPr>
          <xdr:spPr bwMode="auto">
            <a:xfrm>
              <a:off x="0" y="0"/>
              <a:ext cx="0" cy="0"/>
            </a:xfrm>
            <a:prstGeom prst="rect">
              <a:avLst/>
            </a:prstGeom>
            <a:solidFill>
              <a:srgbClr val="D8E4BC"/>
            </a:solidFill>
            <a:ln w="9525">
              <a:solidFill>
                <a:srgbClr val="9DBB61"/>
              </a:solidFill>
              <a:miter lim="800000"/>
              <a:headEnd/>
              <a:tailEnd/>
            </a:ln>
          </xdr:spPr>
          <xdr:txBody>
            <a:bodyPr vertOverflow="clip" wrap="square" lIns="36576" tIns="32004" rIns="0" bIns="32004" anchor="ctr" upright="1"/>
            <a:lstStyle/>
            <a:p>
              <a:pPr algn="l" rtl="0">
                <a:defRPr sz="1000"/>
              </a:pPr>
              <a:r>
                <a:rPr lang="nb-NO" sz="800" b="0" i="0" u="none" strike="noStrike" baseline="0">
                  <a:solidFill>
                    <a:srgbClr val="000000"/>
                  </a:solidFill>
                  <a:latin typeface="Segoe UI"/>
                  <a:cs typeface="Segoe UI"/>
                </a:rPr>
                <a:t>Jernbane - Persontog</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431800</xdr:colOff>
          <xdr:row>12</xdr:row>
          <xdr:rowOff>50800</xdr:rowOff>
        </xdr:from>
        <xdr:to>
          <xdr:col>24</xdr:col>
          <xdr:colOff>304800</xdr:colOff>
          <xdr:row>13</xdr:row>
          <xdr:rowOff>95250</xdr:rowOff>
        </xdr:to>
        <xdr:sp macro="" textlink="">
          <xdr:nvSpPr>
            <xdr:cNvPr id="4" name="Check Box 3" hidden="1">
              <a:extLst>
                <a:ext uri="{63B3BB69-23CF-44E3-9099-C40C66FF867C}">
                  <a14:compatExt spid="_x0000_s32771"/>
                </a:ext>
                <a:ext uri="{FF2B5EF4-FFF2-40B4-BE49-F238E27FC236}">
                  <a16:creationId xmlns:a16="http://schemas.microsoft.com/office/drawing/2014/main" id="{00000000-0008-0000-1900-000004000000}"/>
                </a:ext>
              </a:extLst>
            </xdr:cNvPr>
            <xdr:cNvSpPr/>
          </xdr:nvSpPr>
          <xdr:spPr bwMode="auto">
            <a:xfrm>
              <a:off x="0" y="0"/>
              <a:ext cx="0" cy="0"/>
            </a:xfrm>
            <a:prstGeom prst="rect">
              <a:avLst/>
            </a:prstGeom>
            <a:solidFill>
              <a:srgbClr val="D8E4BC"/>
            </a:solidFill>
            <a:ln w="9525">
              <a:solidFill>
                <a:srgbClr val="9DBB61"/>
              </a:solidFill>
              <a:miter lim="800000"/>
              <a:headEnd/>
              <a:tailEnd/>
            </a:ln>
          </xdr:spPr>
          <xdr:txBody>
            <a:bodyPr vertOverflow="clip" wrap="square" lIns="36576" tIns="32004" rIns="0" bIns="32004" anchor="ctr" upright="1"/>
            <a:lstStyle/>
            <a:p>
              <a:pPr algn="l" rtl="0">
                <a:defRPr sz="1000"/>
              </a:pPr>
              <a:r>
                <a:rPr lang="nb-NO" sz="800" b="0" i="0" u="none" strike="noStrike" baseline="0">
                  <a:solidFill>
                    <a:srgbClr val="000000"/>
                  </a:solidFill>
                  <a:latin typeface="Segoe UI"/>
                  <a:cs typeface="Segoe UI"/>
                </a:rPr>
                <a:t>Jernbane - Godstog</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431800</xdr:colOff>
          <xdr:row>13</xdr:row>
          <xdr:rowOff>165100</xdr:rowOff>
        </xdr:from>
        <xdr:to>
          <xdr:col>24</xdr:col>
          <xdr:colOff>304800</xdr:colOff>
          <xdr:row>15</xdr:row>
          <xdr:rowOff>31750</xdr:rowOff>
        </xdr:to>
        <xdr:sp macro="" textlink="">
          <xdr:nvSpPr>
            <xdr:cNvPr id="5" name="Check Box 4" hidden="1">
              <a:extLst>
                <a:ext uri="{63B3BB69-23CF-44E3-9099-C40C66FF867C}">
                  <a14:compatExt spid="_x0000_s32772"/>
                </a:ext>
                <a:ext uri="{FF2B5EF4-FFF2-40B4-BE49-F238E27FC236}">
                  <a16:creationId xmlns:a16="http://schemas.microsoft.com/office/drawing/2014/main" id="{00000000-0008-0000-1900-000005000000}"/>
                </a:ext>
              </a:extLst>
            </xdr:cNvPr>
            <xdr:cNvSpPr/>
          </xdr:nvSpPr>
          <xdr:spPr bwMode="auto">
            <a:xfrm>
              <a:off x="0" y="0"/>
              <a:ext cx="0" cy="0"/>
            </a:xfrm>
            <a:prstGeom prst="rect">
              <a:avLst/>
            </a:prstGeom>
            <a:solidFill>
              <a:srgbClr val="D8E4BC"/>
            </a:solidFill>
            <a:ln w="9525">
              <a:solidFill>
                <a:srgbClr val="9DBB61"/>
              </a:solidFill>
              <a:miter lim="800000"/>
              <a:headEnd/>
              <a:tailEnd/>
            </a:ln>
          </xdr:spPr>
          <xdr:txBody>
            <a:bodyPr vertOverflow="clip" wrap="square" lIns="36576" tIns="32004" rIns="0" bIns="32004" anchor="ctr" upright="1"/>
            <a:lstStyle/>
            <a:p>
              <a:pPr algn="l" rtl="0">
                <a:defRPr sz="1000"/>
              </a:pPr>
              <a:r>
                <a:rPr lang="nb-NO" sz="800" b="0" i="0" u="none" strike="noStrike" baseline="0">
                  <a:solidFill>
                    <a:srgbClr val="000000"/>
                  </a:solidFill>
                  <a:latin typeface="Segoe UI"/>
                  <a:cs typeface="Segoe UI"/>
                </a:rPr>
                <a:t>Personbil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412750</xdr:colOff>
          <xdr:row>15</xdr:row>
          <xdr:rowOff>114300</xdr:rowOff>
        </xdr:from>
        <xdr:to>
          <xdr:col>24</xdr:col>
          <xdr:colOff>298450</xdr:colOff>
          <xdr:row>16</xdr:row>
          <xdr:rowOff>165100</xdr:rowOff>
        </xdr:to>
        <xdr:sp macro="" textlink="">
          <xdr:nvSpPr>
            <xdr:cNvPr id="6" name="Check Box 5" hidden="1">
              <a:extLst>
                <a:ext uri="{63B3BB69-23CF-44E3-9099-C40C66FF867C}">
                  <a14:compatExt spid="_x0000_s32773"/>
                </a:ext>
                <a:ext uri="{FF2B5EF4-FFF2-40B4-BE49-F238E27FC236}">
                  <a16:creationId xmlns:a16="http://schemas.microsoft.com/office/drawing/2014/main" id="{00000000-0008-0000-1900-000006000000}"/>
                </a:ext>
              </a:extLst>
            </xdr:cNvPr>
            <xdr:cNvSpPr/>
          </xdr:nvSpPr>
          <xdr:spPr bwMode="auto">
            <a:xfrm>
              <a:off x="0" y="0"/>
              <a:ext cx="0" cy="0"/>
            </a:xfrm>
            <a:prstGeom prst="rect">
              <a:avLst/>
            </a:prstGeom>
            <a:solidFill>
              <a:srgbClr val="D8E4BC"/>
            </a:solidFill>
            <a:ln w="9525">
              <a:solidFill>
                <a:srgbClr val="9DBB61"/>
              </a:solidFill>
              <a:miter lim="800000"/>
              <a:headEnd/>
              <a:tailEnd/>
            </a:ln>
          </xdr:spPr>
          <xdr:txBody>
            <a:bodyPr vertOverflow="clip" wrap="square" lIns="36576" tIns="32004" rIns="0" bIns="32004" anchor="ctr" upright="1"/>
            <a:lstStyle/>
            <a:p>
              <a:pPr algn="l" rtl="0">
                <a:defRPr sz="1000"/>
              </a:pPr>
              <a:r>
                <a:rPr lang="nb-NO" sz="800" b="0" i="0" u="none" strike="noStrike" baseline="0">
                  <a:solidFill>
                    <a:srgbClr val="000000"/>
                  </a:solidFill>
                  <a:latin typeface="Segoe UI"/>
                  <a:cs typeface="Segoe UI"/>
                </a:rPr>
                <a:t>Buss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412750</xdr:colOff>
          <xdr:row>17</xdr:row>
          <xdr:rowOff>31750</xdr:rowOff>
        </xdr:from>
        <xdr:to>
          <xdr:col>24</xdr:col>
          <xdr:colOff>298450</xdr:colOff>
          <xdr:row>18</xdr:row>
          <xdr:rowOff>88900</xdr:rowOff>
        </xdr:to>
        <xdr:sp macro="" textlink="">
          <xdr:nvSpPr>
            <xdr:cNvPr id="7" name="Check Box 6" hidden="1">
              <a:extLst>
                <a:ext uri="{63B3BB69-23CF-44E3-9099-C40C66FF867C}">
                  <a14:compatExt spid="_x0000_s32774"/>
                </a:ext>
                <a:ext uri="{FF2B5EF4-FFF2-40B4-BE49-F238E27FC236}">
                  <a16:creationId xmlns:a16="http://schemas.microsoft.com/office/drawing/2014/main" id="{00000000-0008-0000-1900-000007000000}"/>
                </a:ext>
              </a:extLst>
            </xdr:cNvPr>
            <xdr:cNvSpPr/>
          </xdr:nvSpPr>
          <xdr:spPr bwMode="auto">
            <a:xfrm>
              <a:off x="0" y="0"/>
              <a:ext cx="0" cy="0"/>
            </a:xfrm>
            <a:prstGeom prst="rect">
              <a:avLst/>
            </a:prstGeom>
            <a:solidFill>
              <a:srgbClr val="D8E4BC"/>
            </a:solidFill>
            <a:ln w="9525">
              <a:solidFill>
                <a:srgbClr val="9DBB61"/>
              </a:solidFill>
              <a:miter lim="800000"/>
              <a:headEnd/>
              <a:tailEnd/>
            </a:ln>
          </xdr:spPr>
          <xdr:txBody>
            <a:bodyPr vertOverflow="clip" wrap="square" lIns="36576" tIns="32004" rIns="0" bIns="32004" anchor="ctr" upright="1"/>
            <a:lstStyle/>
            <a:p>
              <a:pPr algn="l" rtl="0">
                <a:defRPr sz="1000"/>
              </a:pPr>
              <a:r>
                <a:rPr lang="nb-NO" sz="800" b="0" i="0" u="none" strike="noStrike" baseline="0">
                  <a:solidFill>
                    <a:srgbClr val="000000"/>
                  </a:solidFill>
                  <a:latin typeface="Segoe UI"/>
                  <a:cs typeface="Segoe UI"/>
                </a:rPr>
                <a:t>Fly</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412750</xdr:colOff>
          <xdr:row>18</xdr:row>
          <xdr:rowOff>171450</xdr:rowOff>
        </xdr:from>
        <xdr:to>
          <xdr:col>24</xdr:col>
          <xdr:colOff>298450</xdr:colOff>
          <xdr:row>20</xdr:row>
          <xdr:rowOff>31750</xdr:rowOff>
        </xdr:to>
        <xdr:sp macro="" textlink="">
          <xdr:nvSpPr>
            <xdr:cNvPr id="9" name="Check Box 7" hidden="1">
              <a:extLst>
                <a:ext uri="{63B3BB69-23CF-44E3-9099-C40C66FF867C}">
                  <a14:compatExt spid="_x0000_s32775"/>
                </a:ext>
                <a:ext uri="{FF2B5EF4-FFF2-40B4-BE49-F238E27FC236}">
                  <a16:creationId xmlns:a16="http://schemas.microsoft.com/office/drawing/2014/main" id="{00000000-0008-0000-1900-000009000000}"/>
                </a:ext>
              </a:extLst>
            </xdr:cNvPr>
            <xdr:cNvSpPr/>
          </xdr:nvSpPr>
          <xdr:spPr bwMode="auto">
            <a:xfrm>
              <a:off x="0" y="0"/>
              <a:ext cx="0" cy="0"/>
            </a:xfrm>
            <a:prstGeom prst="rect">
              <a:avLst/>
            </a:prstGeom>
            <a:solidFill>
              <a:srgbClr val="D8E4BC"/>
            </a:solidFill>
            <a:ln w="9525">
              <a:solidFill>
                <a:srgbClr val="9DBB61"/>
              </a:solidFill>
              <a:miter lim="800000"/>
              <a:headEnd/>
              <a:tailEnd/>
            </a:ln>
          </xdr:spPr>
          <xdr:txBody>
            <a:bodyPr vertOverflow="clip" wrap="square" lIns="36576" tIns="32004" rIns="0" bIns="32004" anchor="ctr" upright="1"/>
            <a:lstStyle/>
            <a:p>
              <a:pPr algn="l" rtl="0">
                <a:defRPr sz="1000"/>
              </a:pPr>
              <a:r>
                <a:rPr lang="nb-NO" sz="800" b="0" i="0" u="none" strike="noStrike" baseline="0">
                  <a:solidFill>
                    <a:srgbClr val="000000"/>
                  </a:solidFill>
                  <a:latin typeface="Segoe UI"/>
                  <a:cs typeface="Segoe UI"/>
                </a:rPr>
                <a:t>Lastebil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431800</xdr:colOff>
          <xdr:row>22</xdr:row>
          <xdr:rowOff>69850</xdr:rowOff>
        </xdr:from>
        <xdr:to>
          <xdr:col>24</xdr:col>
          <xdr:colOff>304800</xdr:colOff>
          <xdr:row>23</xdr:row>
          <xdr:rowOff>127000</xdr:rowOff>
        </xdr:to>
        <xdr:sp macro="" textlink="">
          <xdr:nvSpPr>
            <xdr:cNvPr id="11" name="Check Box 8" hidden="1">
              <a:extLst>
                <a:ext uri="{63B3BB69-23CF-44E3-9099-C40C66FF867C}">
                  <a14:compatExt spid="_x0000_s32776"/>
                </a:ext>
                <a:ext uri="{FF2B5EF4-FFF2-40B4-BE49-F238E27FC236}">
                  <a16:creationId xmlns:a16="http://schemas.microsoft.com/office/drawing/2014/main" id="{00000000-0008-0000-1900-00000B000000}"/>
                </a:ext>
              </a:extLst>
            </xdr:cNvPr>
            <xdr:cNvSpPr/>
          </xdr:nvSpPr>
          <xdr:spPr bwMode="auto">
            <a:xfrm>
              <a:off x="0" y="0"/>
              <a:ext cx="0" cy="0"/>
            </a:xfrm>
            <a:prstGeom prst="rect">
              <a:avLst/>
            </a:prstGeom>
            <a:solidFill>
              <a:srgbClr val="D8E4BC"/>
            </a:solidFill>
            <a:ln w="9525">
              <a:solidFill>
                <a:srgbClr val="9DBB61"/>
              </a:solidFill>
              <a:miter lim="800000"/>
              <a:headEnd/>
              <a:tailEnd/>
            </a:ln>
          </xdr:spPr>
          <xdr:txBody>
            <a:bodyPr vertOverflow="clip" wrap="square" lIns="36576" tIns="32004" rIns="0" bIns="32004" anchor="ctr" upright="1"/>
            <a:lstStyle/>
            <a:p>
              <a:pPr algn="l" rtl="0">
                <a:defRPr sz="1000"/>
              </a:pPr>
              <a:r>
                <a:rPr lang="nb-NO" sz="800" b="0" i="0" u="none" strike="noStrike" baseline="0">
                  <a:solidFill>
                    <a:srgbClr val="000000"/>
                  </a:solidFill>
                  <a:latin typeface="Segoe UI"/>
                  <a:cs typeface="Segoe UI"/>
                </a:rPr>
                <a:t>Skip</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412750</xdr:colOff>
          <xdr:row>31</xdr:row>
          <xdr:rowOff>12700</xdr:rowOff>
        </xdr:from>
        <xdr:to>
          <xdr:col>24</xdr:col>
          <xdr:colOff>298450</xdr:colOff>
          <xdr:row>32</xdr:row>
          <xdr:rowOff>57150</xdr:rowOff>
        </xdr:to>
        <xdr:sp macro="" textlink="">
          <xdr:nvSpPr>
            <xdr:cNvPr id="12" name="Check Box 13" hidden="1">
              <a:extLst>
                <a:ext uri="{63B3BB69-23CF-44E3-9099-C40C66FF867C}">
                  <a14:compatExt spid="_x0000_s32781"/>
                </a:ext>
                <a:ext uri="{FF2B5EF4-FFF2-40B4-BE49-F238E27FC236}">
                  <a16:creationId xmlns:a16="http://schemas.microsoft.com/office/drawing/2014/main" id="{00000000-0008-0000-1900-00000C000000}"/>
                </a:ext>
              </a:extLst>
            </xdr:cNvPr>
            <xdr:cNvSpPr/>
          </xdr:nvSpPr>
          <xdr:spPr bwMode="auto">
            <a:xfrm>
              <a:off x="0" y="0"/>
              <a:ext cx="0" cy="0"/>
            </a:xfrm>
            <a:prstGeom prst="rect">
              <a:avLst/>
            </a:prstGeom>
            <a:solidFill>
              <a:srgbClr val="D8E4BC"/>
            </a:solidFill>
            <a:ln w="9525">
              <a:solidFill>
                <a:srgbClr val="9DBB61"/>
              </a:solidFill>
              <a:miter lim="800000"/>
              <a:headEnd/>
              <a:tailEnd/>
            </a:ln>
          </xdr:spPr>
          <xdr:txBody>
            <a:bodyPr vertOverflow="clip" wrap="square" lIns="36576" tIns="32004" rIns="0" bIns="32004" anchor="ctr" upright="1"/>
            <a:lstStyle/>
            <a:p>
              <a:pPr algn="l" rtl="0">
                <a:defRPr sz="1000"/>
              </a:pPr>
              <a:r>
                <a:rPr lang="nb-NO" sz="800" b="0" i="0" u="none" strike="noStrike" baseline="0">
                  <a:solidFill>
                    <a:srgbClr val="000000"/>
                  </a:solidFill>
                  <a:latin typeface="Segoe UI"/>
                  <a:cs typeface="Segoe UI"/>
                </a:rPr>
                <a:t>Karbonprisbane, hovedalternativ (kr/tonn)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412750</xdr:colOff>
          <xdr:row>32</xdr:row>
          <xdr:rowOff>165100</xdr:rowOff>
        </xdr:from>
        <xdr:to>
          <xdr:col>24</xdr:col>
          <xdr:colOff>298450</xdr:colOff>
          <xdr:row>34</xdr:row>
          <xdr:rowOff>31750</xdr:rowOff>
        </xdr:to>
        <xdr:sp macro="" textlink="">
          <xdr:nvSpPr>
            <xdr:cNvPr id="13" name="Check Box 14" hidden="1">
              <a:extLst>
                <a:ext uri="{63B3BB69-23CF-44E3-9099-C40C66FF867C}">
                  <a14:compatExt spid="_x0000_s32782"/>
                </a:ext>
                <a:ext uri="{FF2B5EF4-FFF2-40B4-BE49-F238E27FC236}">
                  <a16:creationId xmlns:a16="http://schemas.microsoft.com/office/drawing/2014/main" id="{00000000-0008-0000-1900-00000D000000}"/>
                </a:ext>
              </a:extLst>
            </xdr:cNvPr>
            <xdr:cNvSpPr/>
          </xdr:nvSpPr>
          <xdr:spPr bwMode="auto">
            <a:xfrm>
              <a:off x="0" y="0"/>
              <a:ext cx="0" cy="0"/>
            </a:xfrm>
            <a:prstGeom prst="rect">
              <a:avLst/>
            </a:prstGeom>
            <a:solidFill>
              <a:srgbClr val="D8E4BC"/>
            </a:solidFill>
            <a:ln w="9525">
              <a:solidFill>
                <a:srgbClr val="9DBB61"/>
              </a:solidFill>
              <a:miter lim="800000"/>
              <a:headEnd/>
              <a:tailEnd/>
            </a:ln>
          </xdr:spPr>
          <xdr:txBody>
            <a:bodyPr vertOverflow="clip" wrap="square" lIns="36576" tIns="32004" rIns="0" bIns="32004" anchor="ctr" upright="1"/>
            <a:lstStyle/>
            <a:p>
              <a:pPr algn="l" rtl="0">
                <a:defRPr sz="1000"/>
              </a:pPr>
              <a:r>
                <a:rPr lang="nb-NO" sz="800" b="0" i="0" u="none" strike="noStrike" baseline="0">
                  <a:solidFill>
                    <a:srgbClr val="000000"/>
                  </a:solidFill>
                  <a:latin typeface="Segoe UI"/>
                  <a:cs typeface="Segoe UI"/>
                </a:rPr>
                <a:t>CO2-avgiftsbane (kr/tonn)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374650</xdr:colOff>
          <xdr:row>25</xdr:row>
          <xdr:rowOff>107950</xdr:rowOff>
        </xdr:from>
        <xdr:to>
          <xdr:col>44</xdr:col>
          <xdr:colOff>241300</xdr:colOff>
          <xdr:row>26</xdr:row>
          <xdr:rowOff>171450</xdr:rowOff>
        </xdr:to>
        <xdr:sp macro="" textlink="">
          <xdr:nvSpPr>
            <xdr:cNvPr id="15" name="Check Box 26" hidden="1">
              <a:extLst>
                <a:ext uri="{63B3BB69-23CF-44E3-9099-C40C66FF867C}">
                  <a14:compatExt spid="_x0000_s32794"/>
                </a:ext>
                <a:ext uri="{FF2B5EF4-FFF2-40B4-BE49-F238E27FC236}">
                  <a16:creationId xmlns:a16="http://schemas.microsoft.com/office/drawing/2014/main" id="{00000000-0008-0000-1900-00000F000000}"/>
                </a:ext>
              </a:extLst>
            </xdr:cNvPr>
            <xdr:cNvSpPr/>
          </xdr:nvSpPr>
          <xdr:spPr bwMode="auto">
            <a:xfrm>
              <a:off x="0" y="0"/>
              <a:ext cx="0" cy="0"/>
            </a:xfrm>
            <a:prstGeom prst="rect">
              <a:avLst/>
            </a:prstGeom>
            <a:solidFill>
              <a:srgbClr val="D8E4BC"/>
            </a:solidFill>
            <a:ln w="9525">
              <a:solidFill>
                <a:srgbClr val="9DBB61"/>
              </a:solidFill>
              <a:miter lim="800000"/>
              <a:headEnd/>
              <a:tailEnd/>
            </a:ln>
          </xdr:spPr>
          <xdr:txBody>
            <a:bodyPr vertOverflow="clip" wrap="square" lIns="36576" tIns="32004" rIns="0" bIns="32004" anchor="ctr" upright="1"/>
            <a:lstStyle/>
            <a:p>
              <a:pPr algn="l" rtl="0">
                <a:defRPr sz="1000"/>
              </a:pPr>
              <a:r>
                <a:rPr lang="nb-NO" sz="800" b="0" i="0" u="none" strike="noStrike" baseline="0">
                  <a:solidFill>
                    <a:srgbClr val="000000"/>
                  </a:solidFill>
                  <a:latin typeface="Segoe UI"/>
                  <a:cs typeface="Segoe UI"/>
                </a:rPr>
                <a:t>Investeringer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361950</xdr:colOff>
          <xdr:row>30</xdr:row>
          <xdr:rowOff>12700</xdr:rowOff>
        </xdr:from>
        <xdr:to>
          <xdr:col>44</xdr:col>
          <xdr:colOff>228600</xdr:colOff>
          <xdr:row>31</xdr:row>
          <xdr:rowOff>88900</xdr:rowOff>
        </xdr:to>
        <xdr:sp macro="" textlink="">
          <xdr:nvSpPr>
            <xdr:cNvPr id="22" name="Check Box 27" hidden="1">
              <a:extLst>
                <a:ext uri="{63B3BB69-23CF-44E3-9099-C40C66FF867C}">
                  <a14:compatExt spid="_x0000_s32795"/>
                </a:ext>
                <a:ext uri="{FF2B5EF4-FFF2-40B4-BE49-F238E27FC236}">
                  <a16:creationId xmlns:a16="http://schemas.microsoft.com/office/drawing/2014/main" id="{00000000-0008-0000-1900-000016000000}"/>
                </a:ext>
              </a:extLst>
            </xdr:cNvPr>
            <xdr:cNvSpPr/>
          </xdr:nvSpPr>
          <xdr:spPr bwMode="auto">
            <a:xfrm>
              <a:off x="0" y="0"/>
              <a:ext cx="0" cy="0"/>
            </a:xfrm>
            <a:prstGeom prst="rect">
              <a:avLst/>
            </a:prstGeom>
            <a:solidFill>
              <a:srgbClr val="D8E4BC"/>
            </a:solidFill>
            <a:ln w="9525">
              <a:solidFill>
                <a:srgbClr val="9DBB61"/>
              </a:solidFill>
              <a:miter lim="800000"/>
              <a:headEnd/>
              <a:tailEnd/>
            </a:ln>
          </xdr:spPr>
          <xdr:txBody>
            <a:bodyPr vertOverflow="clip" wrap="square" lIns="36576" tIns="32004" rIns="0" bIns="32004" anchor="ctr" upright="1"/>
            <a:lstStyle/>
            <a:p>
              <a:pPr algn="l" rtl="0">
                <a:defRPr sz="1000"/>
              </a:pPr>
              <a:r>
                <a:rPr lang="nb-NO" sz="800" b="0" i="0" u="none" strike="noStrike" baseline="0">
                  <a:solidFill>
                    <a:srgbClr val="000000"/>
                  </a:solidFill>
                  <a:latin typeface="Segoe UI"/>
                  <a:cs typeface="Segoe UI"/>
                </a:rPr>
                <a:t>Budsjettvirkninger ekskl. investeringer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336550</xdr:colOff>
          <xdr:row>64</xdr:row>
          <xdr:rowOff>152400</xdr:rowOff>
        </xdr:from>
        <xdr:to>
          <xdr:col>24</xdr:col>
          <xdr:colOff>209550</xdr:colOff>
          <xdr:row>66</xdr:row>
          <xdr:rowOff>12700</xdr:rowOff>
        </xdr:to>
        <xdr:sp macro="" textlink="">
          <xdr:nvSpPr>
            <xdr:cNvPr id="23" name="Check Box 37" hidden="1">
              <a:extLst>
                <a:ext uri="{63B3BB69-23CF-44E3-9099-C40C66FF867C}">
                  <a14:compatExt spid="_x0000_s32805"/>
                </a:ext>
                <a:ext uri="{FF2B5EF4-FFF2-40B4-BE49-F238E27FC236}">
                  <a16:creationId xmlns:a16="http://schemas.microsoft.com/office/drawing/2014/main" id="{00000000-0008-0000-1900-000017000000}"/>
                </a:ext>
              </a:extLst>
            </xdr:cNvPr>
            <xdr:cNvSpPr/>
          </xdr:nvSpPr>
          <xdr:spPr bwMode="auto">
            <a:xfrm>
              <a:off x="0" y="0"/>
              <a:ext cx="0" cy="0"/>
            </a:xfrm>
            <a:prstGeom prst="rect">
              <a:avLst/>
            </a:prstGeom>
            <a:solidFill>
              <a:srgbClr val="D8E4BC"/>
            </a:solidFill>
            <a:ln w="9525">
              <a:solidFill>
                <a:srgbClr val="9DBB61"/>
              </a:solidFill>
              <a:miter lim="800000"/>
              <a:headEnd/>
              <a:tailEnd/>
            </a:ln>
          </xdr:spPr>
          <xdr:txBody>
            <a:bodyPr vertOverflow="clip" wrap="square" lIns="36576" tIns="32004" rIns="0" bIns="32004" anchor="ctr" upright="1"/>
            <a:lstStyle/>
            <a:p>
              <a:pPr algn="l" rtl="0">
                <a:defRPr sz="1000"/>
              </a:pPr>
              <a:r>
                <a:rPr lang="nb-NO" sz="800" b="0" i="0" u="none" strike="noStrike" baseline="0">
                  <a:solidFill>
                    <a:srgbClr val="000000"/>
                  </a:solidFill>
                  <a:latin typeface="Segoe UI"/>
                  <a:cs typeface="Segoe UI"/>
                </a:rPr>
                <a:t>Skip</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336550</xdr:colOff>
          <xdr:row>60</xdr:row>
          <xdr:rowOff>133350</xdr:rowOff>
        </xdr:from>
        <xdr:to>
          <xdr:col>24</xdr:col>
          <xdr:colOff>209550</xdr:colOff>
          <xdr:row>61</xdr:row>
          <xdr:rowOff>184150</xdr:rowOff>
        </xdr:to>
        <xdr:sp macro="" textlink="">
          <xdr:nvSpPr>
            <xdr:cNvPr id="24" name="Check Box 38" hidden="1">
              <a:extLst>
                <a:ext uri="{63B3BB69-23CF-44E3-9099-C40C66FF867C}">
                  <a14:compatExt spid="_x0000_s32806"/>
                </a:ext>
                <a:ext uri="{FF2B5EF4-FFF2-40B4-BE49-F238E27FC236}">
                  <a16:creationId xmlns:a16="http://schemas.microsoft.com/office/drawing/2014/main" id="{00000000-0008-0000-1900-000018000000}"/>
                </a:ext>
              </a:extLst>
            </xdr:cNvPr>
            <xdr:cNvSpPr/>
          </xdr:nvSpPr>
          <xdr:spPr bwMode="auto">
            <a:xfrm>
              <a:off x="0" y="0"/>
              <a:ext cx="0" cy="0"/>
            </a:xfrm>
            <a:prstGeom prst="rect">
              <a:avLst/>
            </a:prstGeom>
            <a:solidFill>
              <a:srgbClr val="D8E4BC"/>
            </a:solidFill>
            <a:ln w="9525">
              <a:solidFill>
                <a:srgbClr val="9DBB61"/>
              </a:solidFill>
              <a:miter lim="800000"/>
              <a:headEnd/>
              <a:tailEnd/>
            </a:ln>
          </xdr:spPr>
          <xdr:txBody>
            <a:bodyPr vertOverflow="clip" wrap="square" lIns="36576" tIns="32004" rIns="0" bIns="32004" anchor="ctr" upright="1"/>
            <a:lstStyle/>
            <a:p>
              <a:pPr algn="l" rtl="0">
                <a:defRPr sz="1000"/>
              </a:pPr>
              <a:r>
                <a:rPr lang="nb-NO" sz="800" b="0" i="0" u="none" strike="noStrike" baseline="0">
                  <a:solidFill>
                    <a:srgbClr val="000000"/>
                  </a:solidFill>
                  <a:latin typeface="Segoe UI"/>
                  <a:cs typeface="Segoe UI"/>
                </a:rPr>
                <a:t>Lastebil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336550</xdr:colOff>
          <xdr:row>58</xdr:row>
          <xdr:rowOff>127000</xdr:rowOff>
        </xdr:from>
        <xdr:to>
          <xdr:col>24</xdr:col>
          <xdr:colOff>209550</xdr:colOff>
          <xdr:row>59</xdr:row>
          <xdr:rowOff>171450</xdr:rowOff>
        </xdr:to>
        <xdr:sp macro="" textlink="">
          <xdr:nvSpPr>
            <xdr:cNvPr id="25" name="Check Box 39" hidden="1">
              <a:extLst>
                <a:ext uri="{63B3BB69-23CF-44E3-9099-C40C66FF867C}">
                  <a14:compatExt spid="_x0000_s32807"/>
                </a:ext>
                <a:ext uri="{FF2B5EF4-FFF2-40B4-BE49-F238E27FC236}">
                  <a16:creationId xmlns:a16="http://schemas.microsoft.com/office/drawing/2014/main" id="{00000000-0008-0000-1900-000019000000}"/>
                </a:ext>
              </a:extLst>
            </xdr:cNvPr>
            <xdr:cNvSpPr/>
          </xdr:nvSpPr>
          <xdr:spPr bwMode="auto">
            <a:xfrm>
              <a:off x="0" y="0"/>
              <a:ext cx="0" cy="0"/>
            </a:xfrm>
            <a:prstGeom prst="rect">
              <a:avLst/>
            </a:prstGeom>
            <a:solidFill>
              <a:srgbClr val="D8E4BC"/>
            </a:solidFill>
            <a:ln w="9525">
              <a:solidFill>
                <a:srgbClr val="9DBB61"/>
              </a:solidFill>
              <a:miter lim="800000"/>
              <a:headEnd/>
              <a:tailEnd/>
            </a:ln>
          </xdr:spPr>
          <xdr:txBody>
            <a:bodyPr vertOverflow="clip" wrap="square" lIns="36576" tIns="32004" rIns="0" bIns="32004" anchor="ctr" upright="1"/>
            <a:lstStyle/>
            <a:p>
              <a:pPr algn="l" rtl="0">
                <a:defRPr sz="1000"/>
              </a:pPr>
              <a:r>
                <a:rPr lang="nb-NO" sz="800" b="0" i="0" u="none" strike="noStrike" baseline="0">
                  <a:solidFill>
                    <a:srgbClr val="000000"/>
                  </a:solidFill>
                  <a:latin typeface="Segoe UI"/>
                  <a:cs typeface="Segoe UI"/>
                </a:rPr>
                <a:t>Fly</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336550</xdr:colOff>
          <xdr:row>56</xdr:row>
          <xdr:rowOff>114300</xdr:rowOff>
        </xdr:from>
        <xdr:to>
          <xdr:col>24</xdr:col>
          <xdr:colOff>209550</xdr:colOff>
          <xdr:row>57</xdr:row>
          <xdr:rowOff>165100</xdr:rowOff>
        </xdr:to>
        <xdr:sp macro="" textlink="">
          <xdr:nvSpPr>
            <xdr:cNvPr id="26" name="Check Box 40" hidden="1">
              <a:extLst>
                <a:ext uri="{63B3BB69-23CF-44E3-9099-C40C66FF867C}">
                  <a14:compatExt spid="_x0000_s32808"/>
                </a:ext>
                <a:ext uri="{FF2B5EF4-FFF2-40B4-BE49-F238E27FC236}">
                  <a16:creationId xmlns:a16="http://schemas.microsoft.com/office/drawing/2014/main" id="{00000000-0008-0000-1900-00001A000000}"/>
                </a:ext>
              </a:extLst>
            </xdr:cNvPr>
            <xdr:cNvSpPr/>
          </xdr:nvSpPr>
          <xdr:spPr bwMode="auto">
            <a:xfrm>
              <a:off x="0" y="0"/>
              <a:ext cx="0" cy="0"/>
            </a:xfrm>
            <a:prstGeom prst="rect">
              <a:avLst/>
            </a:prstGeom>
            <a:solidFill>
              <a:srgbClr val="D8E4BC"/>
            </a:solidFill>
            <a:ln w="9525">
              <a:solidFill>
                <a:srgbClr val="9DBB61"/>
              </a:solidFill>
              <a:miter lim="800000"/>
              <a:headEnd/>
              <a:tailEnd/>
            </a:ln>
          </xdr:spPr>
          <xdr:txBody>
            <a:bodyPr vertOverflow="clip" wrap="square" lIns="36576" tIns="32004" rIns="0" bIns="32004" anchor="ctr" upright="1"/>
            <a:lstStyle/>
            <a:p>
              <a:pPr algn="l" rtl="0">
                <a:defRPr sz="1000"/>
              </a:pPr>
              <a:r>
                <a:rPr lang="nb-NO" sz="800" b="0" i="0" u="none" strike="noStrike" baseline="0">
                  <a:solidFill>
                    <a:srgbClr val="000000"/>
                  </a:solidFill>
                  <a:latin typeface="Segoe UI"/>
                  <a:cs typeface="Segoe UI"/>
                </a:rPr>
                <a:t>Buss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336550</xdr:colOff>
          <xdr:row>54</xdr:row>
          <xdr:rowOff>107950</xdr:rowOff>
        </xdr:from>
        <xdr:to>
          <xdr:col>24</xdr:col>
          <xdr:colOff>209550</xdr:colOff>
          <xdr:row>55</xdr:row>
          <xdr:rowOff>152400</xdr:rowOff>
        </xdr:to>
        <xdr:sp macro="" textlink="">
          <xdr:nvSpPr>
            <xdr:cNvPr id="27" name="Check Box 41" hidden="1">
              <a:extLst>
                <a:ext uri="{63B3BB69-23CF-44E3-9099-C40C66FF867C}">
                  <a14:compatExt spid="_x0000_s32809"/>
                </a:ext>
                <a:ext uri="{FF2B5EF4-FFF2-40B4-BE49-F238E27FC236}">
                  <a16:creationId xmlns:a16="http://schemas.microsoft.com/office/drawing/2014/main" id="{00000000-0008-0000-1900-00001B000000}"/>
                </a:ext>
              </a:extLst>
            </xdr:cNvPr>
            <xdr:cNvSpPr/>
          </xdr:nvSpPr>
          <xdr:spPr bwMode="auto">
            <a:xfrm>
              <a:off x="0" y="0"/>
              <a:ext cx="0" cy="0"/>
            </a:xfrm>
            <a:prstGeom prst="rect">
              <a:avLst/>
            </a:prstGeom>
            <a:solidFill>
              <a:srgbClr val="D8E4BC"/>
            </a:solidFill>
            <a:ln w="9525">
              <a:solidFill>
                <a:srgbClr val="9DBB61"/>
              </a:solidFill>
              <a:miter lim="800000"/>
              <a:headEnd/>
              <a:tailEnd/>
            </a:ln>
          </xdr:spPr>
          <xdr:txBody>
            <a:bodyPr vertOverflow="clip" wrap="square" lIns="36576" tIns="32004" rIns="0" bIns="32004" anchor="ctr" upright="1"/>
            <a:lstStyle/>
            <a:p>
              <a:pPr algn="l" rtl="0">
                <a:defRPr sz="1000"/>
              </a:pPr>
              <a:r>
                <a:rPr lang="nb-NO" sz="800" b="0" i="0" u="none" strike="noStrike" baseline="0">
                  <a:solidFill>
                    <a:srgbClr val="000000"/>
                  </a:solidFill>
                  <a:latin typeface="Segoe UI"/>
                  <a:cs typeface="Segoe UI"/>
                </a:rPr>
                <a:t>Personbil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336550</xdr:colOff>
          <xdr:row>52</xdr:row>
          <xdr:rowOff>95250</xdr:rowOff>
        </xdr:from>
        <xdr:to>
          <xdr:col>24</xdr:col>
          <xdr:colOff>209550</xdr:colOff>
          <xdr:row>53</xdr:row>
          <xdr:rowOff>146050</xdr:rowOff>
        </xdr:to>
        <xdr:sp macro="" textlink="">
          <xdr:nvSpPr>
            <xdr:cNvPr id="28" name="Check Box 42" hidden="1">
              <a:extLst>
                <a:ext uri="{63B3BB69-23CF-44E3-9099-C40C66FF867C}">
                  <a14:compatExt spid="_x0000_s32810"/>
                </a:ext>
                <a:ext uri="{FF2B5EF4-FFF2-40B4-BE49-F238E27FC236}">
                  <a16:creationId xmlns:a16="http://schemas.microsoft.com/office/drawing/2014/main" id="{00000000-0008-0000-1900-00001C000000}"/>
                </a:ext>
              </a:extLst>
            </xdr:cNvPr>
            <xdr:cNvSpPr/>
          </xdr:nvSpPr>
          <xdr:spPr bwMode="auto">
            <a:xfrm>
              <a:off x="0" y="0"/>
              <a:ext cx="0" cy="0"/>
            </a:xfrm>
            <a:prstGeom prst="rect">
              <a:avLst/>
            </a:prstGeom>
            <a:solidFill>
              <a:srgbClr val="D8E4BC"/>
            </a:solidFill>
            <a:ln w="9525">
              <a:solidFill>
                <a:srgbClr val="9DBB61"/>
              </a:solidFill>
              <a:miter lim="800000"/>
              <a:headEnd/>
              <a:tailEnd/>
            </a:ln>
          </xdr:spPr>
          <xdr:txBody>
            <a:bodyPr vertOverflow="clip" wrap="square" lIns="36576" tIns="32004" rIns="0" bIns="32004" anchor="ctr" upright="1"/>
            <a:lstStyle/>
            <a:p>
              <a:pPr algn="l" rtl="0">
                <a:defRPr sz="1000"/>
              </a:pPr>
              <a:r>
                <a:rPr lang="nb-NO" sz="800" b="0" i="0" u="none" strike="noStrike" baseline="0">
                  <a:solidFill>
                    <a:srgbClr val="000000"/>
                  </a:solidFill>
                  <a:latin typeface="Segoe UI"/>
                  <a:cs typeface="Segoe UI"/>
                </a:rPr>
                <a:t>Jernbane - Godstog</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336550</xdr:colOff>
          <xdr:row>50</xdr:row>
          <xdr:rowOff>88900</xdr:rowOff>
        </xdr:from>
        <xdr:to>
          <xdr:col>24</xdr:col>
          <xdr:colOff>209550</xdr:colOff>
          <xdr:row>51</xdr:row>
          <xdr:rowOff>127000</xdr:rowOff>
        </xdr:to>
        <xdr:sp macro="" textlink="">
          <xdr:nvSpPr>
            <xdr:cNvPr id="29" name="Check Box 43" hidden="1">
              <a:extLst>
                <a:ext uri="{63B3BB69-23CF-44E3-9099-C40C66FF867C}">
                  <a14:compatExt spid="_x0000_s32811"/>
                </a:ext>
                <a:ext uri="{FF2B5EF4-FFF2-40B4-BE49-F238E27FC236}">
                  <a16:creationId xmlns:a16="http://schemas.microsoft.com/office/drawing/2014/main" id="{00000000-0008-0000-1900-00001D000000}"/>
                </a:ext>
              </a:extLst>
            </xdr:cNvPr>
            <xdr:cNvSpPr/>
          </xdr:nvSpPr>
          <xdr:spPr bwMode="auto">
            <a:xfrm>
              <a:off x="0" y="0"/>
              <a:ext cx="0" cy="0"/>
            </a:xfrm>
            <a:prstGeom prst="rect">
              <a:avLst/>
            </a:prstGeom>
            <a:solidFill>
              <a:srgbClr val="D8E4BC"/>
            </a:solidFill>
            <a:ln w="9525">
              <a:solidFill>
                <a:srgbClr val="9DBB61"/>
              </a:solidFill>
              <a:miter lim="800000"/>
              <a:headEnd/>
              <a:tailEnd/>
            </a:ln>
          </xdr:spPr>
          <xdr:txBody>
            <a:bodyPr vertOverflow="clip" wrap="square" lIns="36576" tIns="32004" rIns="0" bIns="32004" anchor="ctr" upright="1"/>
            <a:lstStyle/>
            <a:p>
              <a:pPr algn="l" rtl="0">
                <a:defRPr sz="1000"/>
              </a:pPr>
              <a:r>
                <a:rPr lang="nb-NO" sz="800" b="0" i="0" u="none" strike="noStrike" baseline="0">
                  <a:solidFill>
                    <a:srgbClr val="000000"/>
                  </a:solidFill>
                  <a:latin typeface="Segoe UI"/>
                  <a:cs typeface="Segoe UI"/>
                </a:rPr>
                <a:t>Jernbane - Persontog</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336550</xdr:colOff>
          <xdr:row>73</xdr:row>
          <xdr:rowOff>107950</xdr:rowOff>
        </xdr:from>
        <xdr:to>
          <xdr:col>24</xdr:col>
          <xdr:colOff>209550</xdr:colOff>
          <xdr:row>74</xdr:row>
          <xdr:rowOff>152400</xdr:rowOff>
        </xdr:to>
        <xdr:sp macro="" textlink="">
          <xdr:nvSpPr>
            <xdr:cNvPr id="30" name="Check Box 44" hidden="1">
              <a:extLst>
                <a:ext uri="{63B3BB69-23CF-44E3-9099-C40C66FF867C}">
                  <a14:compatExt spid="_x0000_s32812"/>
                </a:ext>
                <a:ext uri="{FF2B5EF4-FFF2-40B4-BE49-F238E27FC236}">
                  <a16:creationId xmlns:a16="http://schemas.microsoft.com/office/drawing/2014/main" id="{00000000-0008-0000-1900-00001E000000}"/>
                </a:ext>
              </a:extLst>
            </xdr:cNvPr>
            <xdr:cNvSpPr/>
          </xdr:nvSpPr>
          <xdr:spPr bwMode="auto">
            <a:xfrm>
              <a:off x="0" y="0"/>
              <a:ext cx="0" cy="0"/>
            </a:xfrm>
            <a:prstGeom prst="rect">
              <a:avLst/>
            </a:prstGeom>
            <a:solidFill>
              <a:srgbClr val="D8E4BC"/>
            </a:solidFill>
            <a:ln w="9525">
              <a:solidFill>
                <a:srgbClr val="9DBB61"/>
              </a:solidFill>
              <a:miter lim="800000"/>
              <a:headEnd/>
              <a:tailEnd/>
            </a:ln>
          </xdr:spPr>
          <xdr:txBody>
            <a:bodyPr vertOverflow="clip" wrap="square" lIns="36576" tIns="32004" rIns="0" bIns="32004" anchor="ctr" upright="1"/>
            <a:lstStyle/>
            <a:p>
              <a:pPr algn="l" rtl="0">
                <a:defRPr sz="1000"/>
              </a:pPr>
              <a:r>
                <a:rPr lang="nb-NO" sz="800" b="0" i="0" u="none" strike="noStrike" baseline="0">
                  <a:solidFill>
                    <a:srgbClr val="000000"/>
                  </a:solidFill>
                  <a:latin typeface="Segoe UI"/>
                  <a:cs typeface="Segoe UI"/>
                </a:rPr>
                <a:t>Karbonprisbane, hovedalternativ (kr/tonn)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336550</xdr:colOff>
          <xdr:row>75</xdr:row>
          <xdr:rowOff>19050</xdr:rowOff>
        </xdr:from>
        <xdr:to>
          <xdr:col>24</xdr:col>
          <xdr:colOff>209550</xdr:colOff>
          <xdr:row>76</xdr:row>
          <xdr:rowOff>69850</xdr:rowOff>
        </xdr:to>
        <xdr:sp macro="" textlink="">
          <xdr:nvSpPr>
            <xdr:cNvPr id="31" name="Check Box 45" hidden="1">
              <a:extLst>
                <a:ext uri="{63B3BB69-23CF-44E3-9099-C40C66FF867C}">
                  <a14:compatExt spid="_x0000_s32813"/>
                </a:ext>
                <a:ext uri="{FF2B5EF4-FFF2-40B4-BE49-F238E27FC236}">
                  <a16:creationId xmlns:a16="http://schemas.microsoft.com/office/drawing/2014/main" id="{00000000-0008-0000-1900-00001F000000}"/>
                </a:ext>
              </a:extLst>
            </xdr:cNvPr>
            <xdr:cNvSpPr/>
          </xdr:nvSpPr>
          <xdr:spPr bwMode="auto">
            <a:xfrm>
              <a:off x="0" y="0"/>
              <a:ext cx="0" cy="0"/>
            </a:xfrm>
            <a:prstGeom prst="rect">
              <a:avLst/>
            </a:prstGeom>
            <a:solidFill>
              <a:srgbClr val="D8E4BC"/>
            </a:solidFill>
            <a:ln w="9525">
              <a:solidFill>
                <a:srgbClr val="9DBB61"/>
              </a:solidFill>
              <a:miter lim="800000"/>
              <a:headEnd/>
              <a:tailEnd/>
            </a:ln>
          </xdr:spPr>
          <xdr:txBody>
            <a:bodyPr vertOverflow="clip" wrap="square" lIns="36576" tIns="32004" rIns="0" bIns="32004" anchor="ctr" upright="1"/>
            <a:lstStyle/>
            <a:p>
              <a:pPr algn="l" rtl="0">
                <a:defRPr sz="1000"/>
              </a:pPr>
              <a:r>
                <a:rPr lang="nb-NO" sz="800" b="0" i="0" u="none" strike="noStrike" baseline="0">
                  <a:solidFill>
                    <a:srgbClr val="000000"/>
                  </a:solidFill>
                  <a:latin typeface="Segoe UI"/>
                  <a:cs typeface="Segoe UI"/>
                </a:rPr>
                <a:t>CO2-avgiftsbane (kr/tonn)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361950</xdr:colOff>
          <xdr:row>64</xdr:row>
          <xdr:rowOff>69850</xdr:rowOff>
        </xdr:from>
        <xdr:to>
          <xdr:col>44</xdr:col>
          <xdr:colOff>228600</xdr:colOff>
          <xdr:row>65</xdr:row>
          <xdr:rowOff>146050</xdr:rowOff>
        </xdr:to>
        <xdr:sp macro="" textlink="">
          <xdr:nvSpPr>
            <xdr:cNvPr id="33" name="Check Box 46" hidden="1">
              <a:extLst>
                <a:ext uri="{63B3BB69-23CF-44E3-9099-C40C66FF867C}">
                  <a14:compatExt spid="_x0000_s32814"/>
                </a:ext>
                <a:ext uri="{FF2B5EF4-FFF2-40B4-BE49-F238E27FC236}">
                  <a16:creationId xmlns:a16="http://schemas.microsoft.com/office/drawing/2014/main" id="{00000000-0008-0000-1900-000021000000}"/>
                </a:ext>
              </a:extLst>
            </xdr:cNvPr>
            <xdr:cNvSpPr/>
          </xdr:nvSpPr>
          <xdr:spPr bwMode="auto">
            <a:xfrm>
              <a:off x="0" y="0"/>
              <a:ext cx="0" cy="0"/>
            </a:xfrm>
            <a:prstGeom prst="rect">
              <a:avLst/>
            </a:prstGeom>
            <a:solidFill>
              <a:srgbClr val="D8E4BC"/>
            </a:solidFill>
            <a:ln w="9525">
              <a:solidFill>
                <a:srgbClr val="9DBB61"/>
              </a:solidFill>
              <a:miter lim="800000"/>
              <a:headEnd/>
              <a:tailEnd/>
            </a:ln>
          </xdr:spPr>
          <xdr:txBody>
            <a:bodyPr vertOverflow="clip" wrap="square" lIns="36576" tIns="32004" rIns="0" bIns="32004" anchor="ctr" upright="1"/>
            <a:lstStyle/>
            <a:p>
              <a:pPr algn="l" rtl="0">
                <a:defRPr sz="1000"/>
              </a:pPr>
              <a:r>
                <a:rPr lang="nb-NO" sz="800" b="0" i="0" u="none" strike="noStrike" baseline="0">
                  <a:solidFill>
                    <a:srgbClr val="000000"/>
                  </a:solidFill>
                  <a:latin typeface="Segoe UI"/>
                  <a:cs typeface="Segoe UI"/>
                </a:rPr>
                <a:t>Ulykker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361950</xdr:colOff>
          <xdr:row>66</xdr:row>
          <xdr:rowOff>114300</xdr:rowOff>
        </xdr:from>
        <xdr:to>
          <xdr:col>44</xdr:col>
          <xdr:colOff>228600</xdr:colOff>
          <xdr:row>67</xdr:row>
          <xdr:rowOff>184150</xdr:rowOff>
        </xdr:to>
        <xdr:sp macro="" textlink="">
          <xdr:nvSpPr>
            <xdr:cNvPr id="37" name="Check Box 47" hidden="1">
              <a:extLst>
                <a:ext uri="{63B3BB69-23CF-44E3-9099-C40C66FF867C}">
                  <a14:compatExt spid="_x0000_s32815"/>
                </a:ext>
                <a:ext uri="{FF2B5EF4-FFF2-40B4-BE49-F238E27FC236}">
                  <a16:creationId xmlns:a16="http://schemas.microsoft.com/office/drawing/2014/main" id="{00000000-0008-0000-1900-000025000000}"/>
                </a:ext>
              </a:extLst>
            </xdr:cNvPr>
            <xdr:cNvSpPr/>
          </xdr:nvSpPr>
          <xdr:spPr bwMode="auto">
            <a:xfrm>
              <a:off x="0" y="0"/>
              <a:ext cx="0" cy="0"/>
            </a:xfrm>
            <a:prstGeom prst="rect">
              <a:avLst/>
            </a:prstGeom>
            <a:solidFill>
              <a:srgbClr val="D8E4BC"/>
            </a:solidFill>
            <a:ln w="9525">
              <a:solidFill>
                <a:srgbClr val="9DBB61"/>
              </a:solidFill>
              <a:miter lim="800000"/>
              <a:headEnd/>
              <a:tailEnd/>
            </a:ln>
          </xdr:spPr>
          <xdr:txBody>
            <a:bodyPr vertOverflow="clip" wrap="square" lIns="36576" tIns="32004" rIns="0" bIns="32004" anchor="ctr" upright="1"/>
            <a:lstStyle/>
            <a:p>
              <a:pPr algn="l" rtl="0">
                <a:defRPr sz="1000"/>
              </a:pPr>
              <a:r>
                <a:rPr lang="nb-NO" sz="800" b="0" i="0" u="none" strike="noStrike" baseline="0">
                  <a:solidFill>
                    <a:srgbClr val="000000"/>
                  </a:solidFill>
                  <a:latin typeface="Segoe UI"/>
                  <a:cs typeface="Segoe UI"/>
                </a:rPr>
                <a:t>Støy</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361950</xdr:colOff>
          <xdr:row>68</xdr:row>
          <xdr:rowOff>152400</xdr:rowOff>
        </xdr:from>
        <xdr:to>
          <xdr:col>44</xdr:col>
          <xdr:colOff>228600</xdr:colOff>
          <xdr:row>70</xdr:row>
          <xdr:rowOff>38100</xdr:rowOff>
        </xdr:to>
        <xdr:sp macro="" textlink="">
          <xdr:nvSpPr>
            <xdr:cNvPr id="38" name="Check Box 48" hidden="1">
              <a:extLst>
                <a:ext uri="{63B3BB69-23CF-44E3-9099-C40C66FF867C}">
                  <a14:compatExt spid="_x0000_s32816"/>
                </a:ext>
                <a:ext uri="{FF2B5EF4-FFF2-40B4-BE49-F238E27FC236}">
                  <a16:creationId xmlns:a16="http://schemas.microsoft.com/office/drawing/2014/main" id="{00000000-0008-0000-1900-000026000000}"/>
                </a:ext>
              </a:extLst>
            </xdr:cNvPr>
            <xdr:cNvSpPr/>
          </xdr:nvSpPr>
          <xdr:spPr bwMode="auto">
            <a:xfrm>
              <a:off x="0" y="0"/>
              <a:ext cx="0" cy="0"/>
            </a:xfrm>
            <a:prstGeom prst="rect">
              <a:avLst/>
            </a:prstGeom>
            <a:solidFill>
              <a:srgbClr val="D8E4BC"/>
            </a:solidFill>
            <a:ln w="9525">
              <a:solidFill>
                <a:srgbClr val="9DBB61"/>
              </a:solidFill>
              <a:miter lim="800000"/>
              <a:headEnd/>
              <a:tailEnd/>
            </a:ln>
          </xdr:spPr>
          <xdr:txBody>
            <a:bodyPr vertOverflow="clip" wrap="square" lIns="36576" tIns="32004" rIns="0" bIns="32004" anchor="ctr" upright="1"/>
            <a:lstStyle/>
            <a:p>
              <a:pPr algn="l" rtl="0">
                <a:defRPr sz="1000"/>
              </a:pPr>
              <a:r>
                <a:rPr lang="nb-NO" sz="800" b="0" i="0" u="none" strike="noStrike" baseline="0">
                  <a:solidFill>
                    <a:srgbClr val="000000"/>
                  </a:solidFill>
                  <a:latin typeface="Segoe UI"/>
                  <a:cs typeface="Segoe UI"/>
                </a:rPr>
                <a:t>Lokale utslipp</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9</xdr:col>
          <xdr:colOff>260350</xdr:colOff>
          <xdr:row>2</xdr:row>
          <xdr:rowOff>114300</xdr:rowOff>
        </xdr:from>
        <xdr:to>
          <xdr:col>18</xdr:col>
          <xdr:colOff>285750</xdr:colOff>
          <xdr:row>6</xdr:row>
          <xdr:rowOff>127000</xdr:rowOff>
        </xdr:to>
        <xdr:sp macro="" textlink="">
          <xdr:nvSpPr>
            <xdr:cNvPr id="21" name="CO2Nytte_knapp" hidden="1">
              <a:extLst>
                <a:ext uri="{63B3BB69-23CF-44E3-9099-C40C66FF867C}">
                  <a14:compatExt spid="_x0000_s32817"/>
                </a:ext>
                <a:ext uri="{FF2B5EF4-FFF2-40B4-BE49-F238E27FC236}">
                  <a16:creationId xmlns:a16="http://schemas.microsoft.com/office/drawing/2014/main" id="{00000000-0008-0000-1900-0000150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9</xdr:col>
          <xdr:colOff>298450</xdr:colOff>
          <xdr:row>8</xdr:row>
          <xdr:rowOff>152400</xdr:rowOff>
        </xdr:from>
        <xdr:to>
          <xdr:col>18</xdr:col>
          <xdr:colOff>317500</xdr:colOff>
          <xdr:row>13</xdr:row>
          <xdr:rowOff>31750</xdr:rowOff>
        </xdr:to>
        <xdr:sp macro="" textlink="">
          <xdr:nvSpPr>
            <xdr:cNvPr id="20" name="CO2Utslipp_knapp" hidden="1">
              <a:extLst>
                <a:ext uri="{63B3BB69-23CF-44E3-9099-C40C66FF867C}">
                  <a14:compatExt spid="_x0000_s32818"/>
                </a:ext>
                <a:ext uri="{FF2B5EF4-FFF2-40B4-BE49-F238E27FC236}">
                  <a16:creationId xmlns:a16="http://schemas.microsoft.com/office/drawing/2014/main" id="{00000000-0008-0000-1900-0000140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9</xdr:col>
          <xdr:colOff>298450</xdr:colOff>
          <xdr:row>21</xdr:row>
          <xdr:rowOff>19050</xdr:rowOff>
        </xdr:from>
        <xdr:to>
          <xdr:col>18</xdr:col>
          <xdr:colOff>317500</xdr:colOff>
          <xdr:row>25</xdr:row>
          <xdr:rowOff>95250</xdr:rowOff>
        </xdr:to>
        <xdr:sp macro="" textlink="">
          <xdr:nvSpPr>
            <xdr:cNvPr id="19" name="Budsjettkostnader_knapp" hidden="1">
              <a:extLst>
                <a:ext uri="{63B3BB69-23CF-44E3-9099-C40C66FF867C}">
                  <a14:compatExt spid="_x0000_s32819"/>
                </a:ext>
                <a:ext uri="{FF2B5EF4-FFF2-40B4-BE49-F238E27FC236}">
                  <a16:creationId xmlns:a16="http://schemas.microsoft.com/office/drawing/2014/main" id="{00000000-0008-0000-1900-0000130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9</xdr:col>
          <xdr:colOff>298450</xdr:colOff>
          <xdr:row>15</xdr:row>
          <xdr:rowOff>0</xdr:rowOff>
        </xdr:from>
        <xdr:to>
          <xdr:col>18</xdr:col>
          <xdr:colOff>317500</xdr:colOff>
          <xdr:row>19</xdr:row>
          <xdr:rowOff>69850</xdr:rowOff>
        </xdr:to>
        <xdr:sp macro="" textlink="">
          <xdr:nvSpPr>
            <xdr:cNvPr id="18" name="Breakeven_knapp" hidden="1">
              <a:extLst>
                <a:ext uri="{63B3BB69-23CF-44E3-9099-C40C66FF867C}">
                  <a14:compatExt spid="_x0000_s32820"/>
                </a:ext>
                <a:ext uri="{FF2B5EF4-FFF2-40B4-BE49-F238E27FC236}">
                  <a16:creationId xmlns:a16="http://schemas.microsoft.com/office/drawing/2014/main" id="{00000000-0008-0000-1900-0000120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9</xdr:col>
          <xdr:colOff>247650</xdr:colOff>
          <xdr:row>27</xdr:row>
          <xdr:rowOff>184150</xdr:rowOff>
        </xdr:from>
        <xdr:to>
          <xdr:col>18</xdr:col>
          <xdr:colOff>260350</xdr:colOff>
          <xdr:row>32</xdr:row>
          <xdr:rowOff>12700</xdr:rowOff>
        </xdr:to>
        <xdr:sp macro="" textlink="">
          <xdr:nvSpPr>
            <xdr:cNvPr id="16" name="Eksterne_knapp" hidden="1">
              <a:extLst>
                <a:ext uri="{63B3BB69-23CF-44E3-9099-C40C66FF867C}">
                  <a14:compatExt spid="_x0000_s32821"/>
                </a:ext>
                <a:ext uri="{FF2B5EF4-FFF2-40B4-BE49-F238E27FC236}">
                  <a16:creationId xmlns:a16="http://schemas.microsoft.com/office/drawing/2014/main" id="{00000000-0008-0000-1900-0000100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12700</xdr:colOff>
          <xdr:row>44</xdr:row>
          <xdr:rowOff>12700</xdr:rowOff>
        </xdr:from>
        <xdr:to>
          <xdr:col>3</xdr:col>
          <xdr:colOff>546100</xdr:colOff>
          <xdr:row>46</xdr:row>
          <xdr:rowOff>114300</xdr:rowOff>
        </xdr:to>
        <xdr:sp macro="" textlink="">
          <xdr:nvSpPr>
            <xdr:cNvPr id="39" name="Button 59" hidden="1">
              <a:extLst>
                <a:ext uri="{63B3BB69-23CF-44E3-9099-C40C66FF867C}">
                  <a14:compatExt spid="_x0000_s32827"/>
                </a:ext>
                <a:ext uri="{FF2B5EF4-FFF2-40B4-BE49-F238E27FC236}">
                  <a16:creationId xmlns:a16="http://schemas.microsoft.com/office/drawing/2014/main" id="{00000000-0008-0000-1900-0000270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nb-NO" sz="1100" b="0" i="0" u="none" strike="noStrike" baseline="0">
                  <a:solidFill>
                    <a:srgbClr val="000000"/>
                  </a:solidFill>
                  <a:latin typeface="Calibri"/>
                  <a:ea typeface="Calibri"/>
                  <a:cs typeface="Calibri"/>
                </a:rPr>
                <a:t>Gå til oversikt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21</xdr:col>
          <xdr:colOff>704850</xdr:colOff>
          <xdr:row>1</xdr:row>
          <xdr:rowOff>146050</xdr:rowOff>
        </xdr:from>
        <xdr:to>
          <xdr:col>23</xdr:col>
          <xdr:colOff>476250</xdr:colOff>
          <xdr:row>4</xdr:row>
          <xdr:rowOff>50800</xdr:rowOff>
        </xdr:to>
        <xdr:sp macro="" textlink="">
          <xdr:nvSpPr>
            <xdr:cNvPr id="40" name="Button 60" hidden="1">
              <a:extLst>
                <a:ext uri="{63B3BB69-23CF-44E3-9099-C40C66FF867C}">
                  <a14:compatExt spid="_x0000_s32828"/>
                </a:ext>
                <a:ext uri="{FF2B5EF4-FFF2-40B4-BE49-F238E27FC236}">
                  <a16:creationId xmlns:a16="http://schemas.microsoft.com/office/drawing/2014/main" id="{00000000-0008-0000-1900-0000280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nb-NO" sz="1100" b="0" i="0" u="none" strike="noStrike" baseline="0">
                  <a:solidFill>
                    <a:srgbClr val="000000"/>
                  </a:solidFill>
                  <a:latin typeface="Calibri"/>
                  <a:ea typeface="Calibri"/>
                  <a:cs typeface="Calibri"/>
                </a:rPr>
                <a:t>Gå til oversikt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22</xdr:col>
          <xdr:colOff>50800</xdr:colOff>
          <xdr:row>41</xdr:row>
          <xdr:rowOff>165100</xdr:rowOff>
        </xdr:from>
        <xdr:to>
          <xdr:col>23</xdr:col>
          <xdr:colOff>584200</xdr:colOff>
          <xdr:row>44</xdr:row>
          <xdr:rowOff>69850</xdr:rowOff>
        </xdr:to>
        <xdr:sp macro="" textlink="">
          <xdr:nvSpPr>
            <xdr:cNvPr id="41" name="CO2Utslipp" hidden="1">
              <a:extLst>
                <a:ext uri="{63B3BB69-23CF-44E3-9099-C40C66FF867C}">
                  <a14:compatExt spid="_x0000_s32829"/>
                </a:ext>
                <a:ext uri="{FF2B5EF4-FFF2-40B4-BE49-F238E27FC236}">
                  <a16:creationId xmlns:a16="http://schemas.microsoft.com/office/drawing/2014/main" id="{00000000-0008-0000-1900-0000290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nb-NO" sz="1100" b="0" i="0" u="none" strike="noStrike" baseline="0">
                  <a:solidFill>
                    <a:srgbClr val="000000"/>
                  </a:solidFill>
                  <a:latin typeface="Calibri"/>
                  <a:ea typeface="Calibri"/>
                  <a:cs typeface="Calibri"/>
                </a:rPr>
                <a:t>Gå til oversikt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42</xdr:col>
          <xdr:colOff>19050</xdr:colOff>
          <xdr:row>3</xdr:row>
          <xdr:rowOff>165100</xdr:rowOff>
        </xdr:from>
        <xdr:to>
          <xdr:col>43</xdr:col>
          <xdr:colOff>552450</xdr:colOff>
          <xdr:row>6</xdr:row>
          <xdr:rowOff>76200</xdr:rowOff>
        </xdr:to>
        <xdr:sp macro="" textlink="">
          <xdr:nvSpPr>
            <xdr:cNvPr id="42" name="Button 62" hidden="1">
              <a:extLst>
                <a:ext uri="{63B3BB69-23CF-44E3-9099-C40C66FF867C}">
                  <a14:compatExt spid="_x0000_s32830"/>
                </a:ext>
                <a:ext uri="{FF2B5EF4-FFF2-40B4-BE49-F238E27FC236}">
                  <a16:creationId xmlns:a16="http://schemas.microsoft.com/office/drawing/2014/main" id="{00000000-0008-0000-1900-00002A0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nb-NO" sz="1100" b="0" i="0" u="none" strike="noStrike" baseline="0">
                  <a:solidFill>
                    <a:srgbClr val="000000"/>
                  </a:solidFill>
                  <a:latin typeface="Calibri"/>
                  <a:ea typeface="Calibri"/>
                  <a:cs typeface="Calibri"/>
                </a:rPr>
                <a:t>Gå til oversikt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42</xdr:col>
          <xdr:colOff>0</xdr:colOff>
          <xdr:row>43</xdr:row>
          <xdr:rowOff>19050</xdr:rowOff>
        </xdr:from>
        <xdr:to>
          <xdr:col>43</xdr:col>
          <xdr:colOff>533400</xdr:colOff>
          <xdr:row>45</xdr:row>
          <xdr:rowOff>127000</xdr:rowOff>
        </xdr:to>
        <xdr:sp macro="" textlink="">
          <xdr:nvSpPr>
            <xdr:cNvPr id="43" name="Button 63" hidden="1">
              <a:extLst>
                <a:ext uri="{63B3BB69-23CF-44E3-9099-C40C66FF867C}">
                  <a14:compatExt spid="_x0000_s32831"/>
                </a:ext>
                <a:ext uri="{FF2B5EF4-FFF2-40B4-BE49-F238E27FC236}">
                  <a16:creationId xmlns:a16="http://schemas.microsoft.com/office/drawing/2014/main" id="{00000000-0008-0000-1900-00002B0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nb-NO" sz="1100" b="0" i="0" u="none" strike="noStrike" baseline="0">
                  <a:solidFill>
                    <a:srgbClr val="000000"/>
                  </a:solidFill>
                  <a:latin typeface="Calibri"/>
                  <a:ea typeface="Calibri"/>
                  <a:cs typeface="Calibri"/>
                </a:rPr>
                <a:t>Gå til oversikt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419100</xdr:colOff>
          <xdr:row>20</xdr:row>
          <xdr:rowOff>107950</xdr:rowOff>
        </xdr:from>
        <xdr:to>
          <xdr:col>24</xdr:col>
          <xdr:colOff>285750</xdr:colOff>
          <xdr:row>21</xdr:row>
          <xdr:rowOff>165100</xdr:rowOff>
        </xdr:to>
        <xdr:sp macro="" textlink="">
          <xdr:nvSpPr>
            <xdr:cNvPr id="44" name="Check Box 65" hidden="1">
              <a:extLst>
                <a:ext uri="{63B3BB69-23CF-44E3-9099-C40C66FF867C}">
                  <a14:compatExt spid="_x0000_s32833"/>
                </a:ext>
                <a:ext uri="{FF2B5EF4-FFF2-40B4-BE49-F238E27FC236}">
                  <a16:creationId xmlns:a16="http://schemas.microsoft.com/office/drawing/2014/main" id="{00000000-0008-0000-1900-00002C000000}"/>
                </a:ext>
              </a:extLst>
            </xdr:cNvPr>
            <xdr:cNvSpPr/>
          </xdr:nvSpPr>
          <xdr:spPr bwMode="auto">
            <a:xfrm>
              <a:off x="0" y="0"/>
              <a:ext cx="0" cy="0"/>
            </a:xfrm>
            <a:prstGeom prst="rect">
              <a:avLst/>
            </a:prstGeom>
            <a:solidFill>
              <a:srgbClr val="D8E4BC"/>
            </a:solidFill>
            <a:ln w="9525">
              <a:solidFill>
                <a:srgbClr val="9DBB61"/>
              </a:solidFill>
              <a:miter lim="800000"/>
              <a:headEnd/>
              <a:tailEnd/>
            </a:ln>
          </xdr:spPr>
          <xdr:txBody>
            <a:bodyPr vertOverflow="clip" wrap="square" lIns="36576" tIns="32004" rIns="0" bIns="32004" anchor="ctr" upright="1"/>
            <a:lstStyle/>
            <a:p>
              <a:pPr algn="l" rtl="0">
                <a:defRPr sz="1000"/>
              </a:pPr>
              <a:r>
                <a:rPr lang="nb-NO" sz="800" b="0" i="0" u="none" strike="noStrike" baseline="0">
                  <a:solidFill>
                    <a:srgbClr val="000000"/>
                  </a:solidFill>
                  <a:latin typeface="Segoe UI"/>
                  <a:cs typeface="Segoe UI"/>
                </a:rPr>
                <a:t>Lett lastebil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419100</xdr:colOff>
          <xdr:row>24</xdr:row>
          <xdr:rowOff>12700</xdr:rowOff>
        </xdr:from>
        <xdr:to>
          <xdr:col>24</xdr:col>
          <xdr:colOff>285750</xdr:colOff>
          <xdr:row>25</xdr:row>
          <xdr:rowOff>57150</xdr:rowOff>
        </xdr:to>
        <xdr:sp macro="" textlink="">
          <xdr:nvSpPr>
            <xdr:cNvPr id="45" name="Check Box 66" descr="Godsfly" hidden="1">
              <a:extLst>
                <a:ext uri="{63B3BB69-23CF-44E3-9099-C40C66FF867C}">
                  <a14:compatExt spid="_x0000_s32834"/>
                </a:ext>
                <a:ext uri="{FF2B5EF4-FFF2-40B4-BE49-F238E27FC236}">
                  <a16:creationId xmlns:a16="http://schemas.microsoft.com/office/drawing/2014/main" id="{00000000-0008-0000-1900-00002D000000}"/>
                </a:ext>
              </a:extLst>
            </xdr:cNvPr>
            <xdr:cNvSpPr/>
          </xdr:nvSpPr>
          <xdr:spPr bwMode="auto">
            <a:xfrm>
              <a:off x="0" y="0"/>
              <a:ext cx="0" cy="0"/>
            </a:xfrm>
            <a:prstGeom prst="rect">
              <a:avLst/>
            </a:prstGeom>
            <a:solidFill>
              <a:srgbClr val="D8E4BC"/>
            </a:solidFill>
            <a:ln w="9525">
              <a:solidFill>
                <a:srgbClr val="9DBB61"/>
              </a:solidFill>
              <a:miter lim="800000"/>
              <a:headEnd/>
              <a:tailEnd/>
            </a:ln>
          </xdr:spPr>
          <xdr:txBody>
            <a:bodyPr vertOverflow="clip" wrap="square" lIns="36576" tIns="32004" rIns="0" bIns="32004" anchor="ctr" upright="1"/>
            <a:lstStyle/>
            <a:p>
              <a:pPr algn="l" rtl="0">
                <a:defRPr sz="1000"/>
              </a:pPr>
              <a:r>
                <a:rPr lang="nb-NO" sz="800" b="0" i="0" u="none" strike="noStrike" baseline="0">
                  <a:solidFill>
                    <a:srgbClr val="000000"/>
                  </a:solidFill>
                  <a:latin typeface="Segoe UI"/>
                  <a:cs typeface="Segoe UI"/>
                </a:rPr>
                <a:t>Godsfly</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412750</xdr:colOff>
          <xdr:row>25</xdr:row>
          <xdr:rowOff>146050</xdr:rowOff>
        </xdr:from>
        <xdr:to>
          <xdr:col>24</xdr:col>
          <xdr:colOff>279400</xdr:colOff>
          <xdr:row>27</xdr:row>
          <xdr:rowOff>12700</xdr:rowOff>
        </xdr:to>
        <xdr:sp macro="" textlink="">
          <xdr:nvSpPr>
            <xdr:cNvPr id="47" name="Check Box 67" descr="Godsfly" hidden="1">
              <a:extLst>
                <a:ext uri="{63B3BB69-23CF-44E3-9099-C40C66FF867C}">
                  <a14:compatExt spid="_x0000_s32835"/>
                </a:ext>
                <a:ext uri="{FF2B5EF4-FFF2-40B4-BE49-F238E27FC236}">
                  <a16:creationId xmlns:a16="http://schemas.microsoft.com/office/drawing/2014/main" id="{00000000-0008-0000-1900-00002F000000}"/>
                </a:ext>
              </a:extLst>
            </xdr:cNvPr>
            <xdr:cNvSpPr/>
          </xdr:nvSpPr>
          <xdr:spPr bwMode="auto">
            <a:xfrm>
              <a:off x="0" y="0"/>
              <a:ext cx="0" cy="0"/>
            </a:xfrm>
            <a:prstGeom prst="rect">
              <a:avLst/>
            </a:prstGeom>
            <a:solidFill>
              <a:srgbClr val="D8E4BC"/>
            </a:solidFill>
            <a:ln w="9525">
              <a:solidFill>
                <a:srgbClr val="9DBB61"/>
              </a:solidFill>
              <a:miter lim="800000"/>
              <a:headEnd/>
              <a:tailEnd/>
            </a:ln>
          </xdr:spPr>
          <xdr:txBody>
            <a:bodyPr vertOverflow="clip" wrap="square" lIns="36576" tIns="32004" rIns="0" bIns="32004" anchor="ctr" upright="1"/>
            <a:lstStyle/>
            <a:p>
              <a:pPr algn="l" rtl="0">
                <a:defRPr sz="1000"/>
              </a:pPr>
              <a:r>
                <a:rPr lang="nb-NO" sz="800" b="0" i="0" u="none" strike="noStrike" baseline="0">
                  <a:solidFill>
                    <a:srgbClr val="000000"/>
                  </a:solidFill>
                  <a:latin typeface="Segoe UI"/>
                  <a:cs typeface="Segoe UI"/>
                </a:rPr>
                <a:t>Utslipp i byggefasen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336550</xdr:colOff>
          <xdr:row>62</xdr:row>
          <xdr:rowOff>146050</xdr:rowOff>
        </xdr:from>
        <xdr:to>
          <xdr:col>24</xdr:col>
          <xdr:colOff>209550</xdr:colOff>
          <xdr:row>64</xdr:row>
          <xdr:rowOff>0</xdr:rowOff>
        </xdr:to>
        <xdr:sp macro="" textlink="">
          <xdr:nvSpPr>
            <xdr:cNvPr id="48" name="Check Box 68" hidden="1">
              <a:extLst>
                <a:ext uri="{63B3BB69-23CF-44E3-9099-C40C66FF867C}">
                  <a14:compatExt spid="_x0000_s32836"/>
                </a:ext>
                <a:ext uri="{FF2B5EF4-FFF2-40B4-BE49-F238E27FC236}">
                  <a16:creationId xmlns:a16="http://schemas.microsoft.com/office/drawing/2014/main" id="{00000000-0008-0000-1900-000030000000}"/>
                </a:ext>
              </a:extLst>
            </xdr:cNvPr>
            <xdr:cNvSpPr/>
          </xdr:nvSpPr>
          <xdr:spPr bwMode="auto">
            <a:xfrm>
              <a:off x="0" y="0"/>
              <a:ext cx="0" cy="0"/>
            </a:xfrm>
            <a:prstGeom prst="rect">
              <a:avLst/>
            </a:prstGeom>
            <a:solidFill>
              <a:srgbClr val="D8E4BC"/>
            </a:solidFill>
            <a:ln w="9525">
              <a:solidFill>
                <a:srgbClr val="9DBB61"/>
              </a:solidFill>
              <a:miter lim="800000"/>
              <a:headEnd/>
              <a:tailEnd/>
            </a:ln>
          </xdr:spPr>
          <xdr:txBody>
            <a:bodyPr vertOverflow="clip" wrap="square" lIns="36576" tIns="32004" rIns="0" bIns="32004" anchor="ctr" upright="1"/>
            <a:lstStyle/>
            <a:p>
              <a:pPr algn="l" rtl="0">
                <a:defRPr sz="1000"/>
              </a:pPr>
              <a:r>
                <a:rPr lang="nb-NO" sz="800" b="0" i="0" u="none" strike="noStrike" baseline="0">
                  <a:solidFill>
                    <a:srgbClr val="000000"/>
                  </a:solidFill>
                  <a:latin typeface="Segoe UI"/>
                  <a:cs typeface="Segoe UI"/>
                </a:rPr>
                <a:t>Lett lastebil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336550</xdr:colOff>
          <xdr:row>66</xdr:row>
          <xdr:rowOff>165100</xdr:rowOff>
        </xdr:from>
        <xdr:to>
          <xdr:col>24</xdr:col>
          <xdr:colOff>209550</xdr:colOff>
          <xdr:row>68</xdr:row>
          <xdr:rowOff>31750</xdr:rowOff>
        </xdr:to>
        <xdr:sp macro="" textlink="">
          <xdr:nvSpPr>
            <xdr:cNvPr id="49" name="Check Box 69" hidden="1">
              <a:extLst>
                <a:ext uri="{63B3BB69-23CF-44E3-9099-C40C66FF867C}">
                  <a14:compatExt spid="_x0000_s32837"/>
                </a:ext>
                <a:ext uri="{FF2B5EF4-FFF2-40B4-BE49-F238E27FC236}">
                  <a16:creationId xmlns:a16="http://schemas.microsoft.com/office/drawing/2014/main" id="{00000000-0008-0000-1900-000031000000}"/>
                </a:ext>
              </a:extLst>
            </xdr:cNvPr>
            <xdr:cNvSpPr/>
          </xdr:nvSpPr>
          <xdr:spPr bwMode="auto">
            <a:xfrm>
              <a:off x="0" y="0"/>
              <a:ext cx="0" cy="0"/>
            </a:xfrm>
            <a:prstGeom prst="rect">
              <a:avLst/>
            </a:prstGeom>
            <a:solidFill>
              <a:srgbClr val="D8E4BC"/>
            </a:solidFill>
            <a:ln w="9525">
              <a:solidFill>
                <a:srgbClr val="9DBB61"/>
              </a:solidFill>
              <a:miter lim="800000"/>
              <a:headEnd/>
              <a:tailEnd/>
            </a:ln>
          </xdr:spPr>
          <xdr:txBody>
            <a:bodyPr vertOverflow="clip" wrap="square" lIns="36576" tIns="32004" rIns="0" bIns="32004" anchor="ctr" upright="1"/>
            <a:lstStyle/>
            <a:p>
              <a:pPr algn="l" rtl="0">
                <a:defRPr sz="1000"/>
              </a:pPr>
              <a:r>
                <a:rPr lang="nb-NO" sz="800" b="0" i="0" u="none" strike="noStrike" baseline="0">
                  <a:solidFill>
                    <a:srgbClr val="000000"/>
                  </a:solidFill>
                  <a:latin typeface="Segoe UI"/>
                  <a:cs typeface="Segoe UI"/>
                </a:rPr>
                <a:t>Godsfly</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374650</xdr:colOff>
          <xdr:row>27</xdr:row>
          <xdr:rowOff>152400</xdr:rowOff>
        </xdr:from>
        <xdr:to>
          <xdr:col>44</xdr:col>
          <xdr:colOff>241300</xdr:colOff>
          <xdr:row>29</xdr:row>
          <xdr:rowOff>31750</xdr:rowOff>
        </xdr:to>
        <xdr:sp macro="" textlink="">
          <xdr:nvSpPr>
            <xdr:cNvPr id="50" name="Check Box 70" hidden="1">
              <a:extLst>
                <a:ext uri="{63B3BB69-23CF-44E3-9099-C40C66FF867C}">
                  <a14:compatExt spid="_x0000_s32838"/>
                </a:ext>
                <a:ext uri="{FF2B5EF4-FFF2-40B4-BE49-F238E27FC236}">
                  <a16:creationId xmlns:a16="http://schemas.microsoft.com/office/drawing/2014/main" id="{00000000-0008-0000-1900-000032000000}"/>
                </a:ext>
              </a:extLst>
            </xdr:cNvPr>
            <xdr:cNvSpPr/>
          </xdr:nvSpPr>
          <xdr:spPr bwMode="auto">
            <a:xfrm>
              <a:off x="0" y="0"/>
              <a:ext cx="0" cy="0"/>
            </a:xfrm>
            <a:prstGeom prst="rect">
              <a:avLst/>
            </a:prstGeom>
            <a:solidFill>
              <a:srgbClr val="D8E4BC"/>
            </a:solidFill>
            <a:ln w="9525">
              <a:solidFill>
                <a:srgbClr val="9DBB61"/>
              </a:solidFill>
              <a:miter lim="800000"/>
              <a:headEnd/>
              <a:tailEnd/>
            </a:ln>
          </xdr:spPr>
          <xdr:txBody>
            <a:bodyPr vertOverflow="clip" wrap="square" lIns="36576" tIns="32004" rIns="0" bIns="32004" anchor="ctr" upright="1"/>
            <a:lstStyle/>
            <a:p>
              <a:pPr algn="l" rtl="0">
                <a:defRPr sz="1000"/>
              </a:pPr>
              <a:r>
                <a:rPr lang="nb-NO" sz="800" b="0" i="0" u="none" strike="noStrike" baseline="0">
                  <a:solidFill>
                    <a:srgbClr val="000000"/>
                  </a:solidFill>
                  <a:latin typeface="Segoe UI"/>
                  <a:cs typeface="Segoe UI"/>
                </a:rPr>
                <a:t>Reinvesteringer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336550</xdr:colOff>
          <xdr:row>68</xdr:row>
          <xdr:rowOff>184150</xdr:rowOff>
        </xdr:from>
        <xdr:to>
          <xdr:col>24</xdr:col>
          <xdr:colOff>209550</xdr:colOff>
          <xdr:row>70</xdr:row>
          <xdr:rowOff>31750</xdr:rowOff>
        </xdr:to>
        <xdr:sp macro="" textlink="">
          <xdr:nvSpPr>
            <xdr:cNvPr id="51" name="Check Box 71" hidden="1">
              <a:extLst>
                <a:ext uri="{63B3BB69-23CF-44E3-9099-C40C66FF867C}">
                  <a14:compatExt spid="_x0000_s32839"/>
                </a:ext>
                <a:ext uri="{FF2B5EF4-FFF2-40B4-BE49-F238E27FC236}">
                  <a16:creationId xmlns:a16="http://schemas.microsoft.com/office/drawing/2014/main" id="{00000000-0008-0000-1900-000033000000}"/>
                </a:ext>
              </a:extLst>
            </xdr:cNvPr>
            <xdr:cNvSpPr/>
          </xdr:nvSpPr>
          <xdr:spPr bwMode="auto">
            <a:xfrm>
              <a:off x="0" y="0"/>
              <a:ext cx="0" cy="0"/>
            </a:xfrm>
            <a:prstGeom prst="rect">
              <a:avLst/>
            </a:prstGeom>
            <a:solidFill>
              <a:srgbClr val="D8E4BC"/>
            </a:solidFill>
            <a:ln w="9525">
              <a:solidFill>
                <a:srgbClr val="9DBB61"/>
              </a:solidFill>
              <a:miter lim="800000"/>
              <a:headEnd/>
              <a:tailEnd/>
            </a:ln>
          </xdr:spPr>
          <xdr:txBody>
            <a:bodyPr vertOverflow="clip" wrap="square" lIns="36576" tIns="32004" rIns="0" bIns="32004" anchor="ctr" upright="1"/>
            <a:lstStyle/>
            <a:p>
              <a:pPr algn="l" rtl="0">
                <a:defRPr sz="1000"/>
              </a:pPr>
              <a:r>
                <a:rPr lang="nb-NO" sz="800" b="0" i="0" u="none" strike="noStrike" baseline="0">
                  <a:solidFill>
                    <a:srgbClr val="000000"/>
                  </a:solidFill>
                  <a:latin typeface="Segoe UI"/>
                  <a:cs typeface="Segoe UI"/>
                </a:rPr>
                <a:t>Utslipp i byggefasen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342900</xdr:colOff>
          <xdr:row>71</xdr:row>
          <xdr:rowOff>184150</xdr:rowOff>
        </xdr:from>
        <xdr:to>
          <xdr:col>24</xdr:col>
          <xdr:colOff>222250</xdr:colOff>
          <xdr:row>73</xdr:row>
          <xdr:rowOff>38100</xdr:rowOff>
        </xdr:to>
        <xdr:sp macro="" textlink="">
          <xdr:nvSpPr>
            <xdr:cNvPr id="52" name="Check Box 72" hidden="1">
              <a:extLst>
                <a:ext uri="{63B3BB69-23CF-44E3-9099-C40C66FF867C}">
                  <a14:compatExt spid="_x0000_s32840"/>
                </a:ext>
                <a:ext uri="{FF2B5EF4-FFF2-40B4-BE49-F238E27FC236}">
                  <a16:creationId xmlns:a16="http://schemas.microsoft.com/office/drawing/2014/main" id="{00000000-0008-0000-1900-000034000000}"/>
                </a:ext>
              </a:extLst>
            </xdr:cNvPr>
            <xdr:cNvSpPr/>
          </xdr:nvSpPr>
          <xdr:spPr bwMode="auto">
            <a:xfrm>
              <a:off x="0" y="0"/>
              <a:ext cx="0" cy="0"/>
            </a:xfrm>
            <a:prstGeom prst="rect">
              <a:avLst/>
            </a:prstGeom>
            <a:solidFill>
              <a:srgbClr val="D8E4BC"/>
            </a:solidFill>
            <a:ln w="9525">
              <a:solidFill>
                <a:srgbClr val="9DBB61"/>
              </a:solidFill>
              <a:miter lim="800000"/>
              <a:headEnd/>
              <a:tailEnd/>
            </a:ln>
          </xdr:spPr>
          <xdr:txBody>
            <a:bodyPr vertOverflow="clip" wrap="square" lIns="36576" tIns="32004" rIns="0" bIns="32004" anchor="ctr" upright="1"/>
            <a:lstStyle/>
            <a:p>
              <a:pPr algn="l" rtl="0">
                <a:defRPr sz="1000"/>
              </a:pPr>
              <a:r>
                <a:rPr lang="nb-NO" sz="800" b="0" i="0" u="none" strike="noStrike" baseline="0">
                  <a:solidFill>
                    <a:srgbClr val="000000"/>
                  </a:solidFill>
                  <a:latin typeface="Segoe UI"/>
                  <a:cs typeface="Segoe UI"/>
                </a:rPr>
                <a:t>Endring i totale utslipp</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412750</xdr:colOff>
          <xdr:row>29</xdr:row>
          <xdr:rowOff>57150</xdr:rowOff>
        </xdr:from>
        <xdr:to>
          <xdr:col>24</xdr:col>
          <xdr:colOff>279400</xdr:colOff>
          <xdr:row>30</xdr:row>
          <xdr:rowOff>107950</xdr:rowOff>
        </xdr:to>
        <xdr:sp macro="" textlink="">
          <xdr:nvSpPr>
            <xdr:cNvPr id="53" name="Check Box 73" descr="Godsfly" hidden="1">
              <a:extLst>
                <a:ext uri="{63B3BB69-23CF-44E3-9099-C40C66FF867C}">
                  <a14:compatExt spid="_x0000_s32841"/>
                </a:ext>
                <a:ext uri="{FF2B5EF4-FFF2-40B4-BE49-F238E27FC236}">
                  <a16:creationId xmlns:a16="http://schemas.microsoft.com/office/drawing/2014/main" id="{00000000-0008-0000-1900-000035000000}"/>
                </a:ext>
              </a:extLst>
            </xdr:cNvPr>
            <xdr:cNvSpPr/>
          </xdr:nvSpPr>
          <xdr:spPr bwMode="auto">
            <a:xfrm>
              <a:off x="0" y="0"/>
              <a:ext cx="0" cy="0"/>
            </a:xfrm>
            <a:prstGeom prst="rect">
              <a:avLst/>
            </a:prstGeom>
            <a:solidFill>
              <a:srgbClr val="D8E4BC"/>
            </a:solidFill>
            <a:ln w="9525">
              <a:solidFill>
                <a:srgbClr val="9DBB61"/>
              </a:solidFill>
              <a:miter lim="800000"/>
              <a:headEnd/>
              <a:tailEnd/>
            </a:ln>
          </xdr:spPr>
          <xdr:txBody>
            <a:bodyPr vertOverflow="clip" wrap="square" lIns="36576" tIns="32004" rIns="0" bIns="32004" anchor="ctr" upright="1"/>
            <a:lstStyle/>
            <a:p>
              <a:pPr algn="l" rtl="0">
                <a:defRPr sz="1000"/>
              </a:pPr>
              <a:r>
                <a:rPr lang="nb-NO" sz="800" b="0" i="0" u="none" strike="noStrike" baseline="0">
                  <a:solidFill>
                    <a:srgbClr val="000000"/>
                  </a:solidFill>
                  <a:latin typeface="Segoe UI"/>
                  <a:cs typeface="Segoe UI"/>
                </a:rPr>
                <a:t>Endring i totale utslipp</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412750</xdr:colOff>
          <xdr:row>27</xdr:row>
          <xdr:rowOff>95250</xdr:rowOff>
        </xdr:from>
        <xdr:to>
          <xdr:col>24</xdr:col>
          <xdr:colOff>279400</xdr:colOff>
          <xdr:row>28</xdr:row>
          <xdr:rowOff>133350</xdr:rowOff>
        </xdr:to>
        <xdr:sp macro="" textlink="">
          <xdr:nvSpPr>
            <xdr:cNvPr id="54" name="Check Box 74" hidden="1">
              <a:extLst>
                <a:ext uri="{63B3BB69-23CF-44E3-9099-C40C66FF867C}">
                  <a14:compatExt spid="_x0000_s32842"/>
                </a:ext>
                <a:ext uri="{FF2B5EF4-FFF2-40B4-BE49-F238E27FC236}">
                  <a16:creationId xmlns:a16="http://schemas.microsoft.com/office/drawing/2014/main" id="{00000000-0008-0000-1900-000036000000}"/>
                </a:ext>
              </a:extLst>
            </xdr:cNvPr>
            <xdr:cNvSpPr/>
          </xdr:nvSpPr>
          <xdr:spPr bwMode="auto">
            <a:xfrm>
              <a:off x="0" y="0"/>
              <a:ext cx="0" cy="0"/>
            </a:xfrm>
            <a:prstGeom prst="rect">
              <a:avLst/>
            </a:prstGeom>
            <a:solidFill>
              <a:srgbClr val="D8E4BC"/>
            </a:solidFill>
            <a:ln w="9525">
              <a:solidFill>
                <a:srgbClr val="9DBB61"/>
              </a:solidFill>
              <a:miter lim="800000"/>
              <a:headEnd/>
              <a:tailEnd/>
            </a:ln>
          </xdr:spPr>
          <xdr:txBody>
            <a:bodyPr vertOverflow="clip" wrap="square" lIns="36576" tIns="32004" rIns="0" bIns="32004" anchor="ctr" upright="1"/>
            <a:lstStyle/>
            <a:p>
              <a:pPr algn="l" rtl="0">
                <a:defRPr sz="1000"/>
              </a:pPr>
              <a:r>
                <a:rPr lang="nb-NO" sz="800" b="0" i="0" u="none" strike="noStrike" baseline="0">
                  <a:solidFill>
                    <a:srgbClr val="000000"/>
                  </a:solidFill>
                  <a:latin typeface="Segoe UI"/>
                  <a:cs typeface="Segoe UI"/>
                </a:rPr>
                <a:t>Utslipp arealbeslag</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361950</xdr:colOff>
          <xdr:row>0</xdr:row>
          <xdr:rowOff>107950</xdr:rowOff>
        </xdr:from>
        <xdr:to>
          <xdr:col>3</xdr:col>
          <xdr:colOff>260350</xdr:colOff>
          <xdr:row>1</xdr:row>
          <xdr:rowOff>133350</xdr:rowOff>
        </xdr:to>
        <xdr:sp macro="" textlink="">
          <xdr:nvSpPr>
            <xdr:cNvPr id="55" name="Check Box 75" hidden="1">
              <a:extLst>
                <a:ext uri="{63B3BB69-23CF-44E3-9099-C40C66FF867C}">
                  <a14:compatExt spid="_x0000_s32843"/>
                </a:ext>
                <a:ext uri="{FF2B5EF4-FFF2-40B4-BE49-F238E27FC236}">
                  <a16:creationId xmlns:a16="http://schemas.microsoft.com/office/drawing/2014/main" id="{00000000-0008-0000-1900-000037000000}"/>
                </a:ext>
              </a:extLst>
            </xdr:cNvPr>
            <xdr:cNvSpPr/>
          </xdr:nvSpPr>
          <xdr:spPr bwMode="auto">
            <a:xfrm>
              <a:off x="0" y="0"/>
              <a:ext cx="0" cy="0"/>
            </a:xfrm>
            <a:prstGeom prst="rect">
              <a:avLst/>
            </a:prstGeom>
            <a:solidFill>
              <a:srgbClr val="D8E4BC"/>
            </a:solidFill>
            <a:ln w="9525">
              <a:solidFill>
                <a:srgbClr val="9DBB61"/>
              </a:solidFill>
              <a:miter lim="800000"/>
              <a:headEnd/>
              <a:tailEnd/>
            </a:ln>
          </xdr:spPr>
          <xdr:txBody>
            <a:bodyPr vertOverflow="clip" wrap="square" lIns="36576" tIns="32004" rIns="0" bIns="32004" anchor="ctr" upright="1"/>
            <a:lstStyle/>
            <a:p>
              <a:pPr algn="l" rtl="0">
                <a:defRPr sz="1000"/>
              </a:pPr>
              <a:r>
                <a:rPr lang="nb-NO" sz="800" b="0" i="0" u="none" strike="noStrike" baseline="0">
                  <a:solidFill>
                    <a:srgbClr val="000000"/>
                  </a:solidFill>
                  <a:latin typeface="Segoe UI"/>
                  <a:cs typeface="Segoe UI"/>
                </a:rPr>
                <a:t>Jernbane - Persontog</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323850</xdr:colOff>
          <xdr:row>0</xdr:row>
          <xdr:rowOff>88900</xdr:rowOff>
        </xdr:from>
        <xdr:to>
          <xdr:col>3</xdr:col>
          <xdr:colOff>222250</xdr:colOff>
          <xdr:row>1</xdr:row>
          <xdr:rowOff>114300</xdr:rowOff>
        </xdr:to>
        <xdr:sp macro="" textlink="">
          <xdr:nvSpPr>
            <xdr:cNvPr id="56" name="Check Box 76" hidden="1">
              <a:extLst>
                <a:ext uri="{63B3BB69-23CF-44E3-9099-C40C66FF867C}">
                  <a14:compatExt spid="_x0000_s32844"/>
                </a:ext>
                <a:ext uri="{FF2B5EF4-FFF2-40B4-BE49-F238E27FC236}">
                  <a16:creationId xmlns:a16="http://schemas.microsoft.com/office/drawing/2014/main" id="{00000000-0008-0000-1900-000038000000}"/>
                </a:ext>
              </a:extLst>
            </xdr:cNvPr>
            <xdr:cNvSpPr/>
          </xdr:nvSpPr>
          <xdr:spPr bwMode="auto">
            <a:xfrm>
              <a:off x="0" y="0"/>
              <a:ext cx="0" cy="0"/>
            </a:xfrm>
            <a:prstGeom prst="rect">
              <a:avLst/>
            </a:prstGeom>
            <a:solidFill>
              <a:srgbClr val="D8E4BC"/>
            </a:solidFill>
            <a:ln w="9525">
              <a:solidFill>
                <a:srgbClr val="9DBB61"/>
              </a:solidFill>
              <a:miter lim="800000"/>
              <a:headEnd/>
              <a:tailEnd/>
            </a:ln>
          </xdr:spPr>
          <xdr:txBody>
            <a:bodyPr vertOverflow="clip" wrap="square" lIns="36576" tIns="32004" rIns="0" bIns="32004" anchor="ctr" upright="1"/>
            <a:lstStyle/>
            <a:p>
              <a:pPr algn="l" rtl="0">
                <a:defRPr sz="1000"/>
              </a:pPr>
              <a:r>
                <a:rPr lang="nb-NO" sz="800" b="0" i="0" u="none" strike="noStrike" baseline="0">
                  <a:solidFill>
                    <a:srgbClr val="000000"/>
                  </a:solidFill>
                  <a:latin typeface="Segoe UI"/>
                  <a:cs typeface="Segoe UI"/>
                </a:rPr>
                <a:t>Jernbane - Persontog</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323850</xdr:colOff>
          <xdr:row>70</xdr:row>
          <xdr:rowOff>95250</xdr:rowOff>
        </xdr:from>
        <xdr:to>
          <xdr:col>24</xdr:col>
          <xdr:colOff>222250</xdr:colOff>
          <xdr:row>71</xdr:row>
          <xdr:rowOff>133350</xdr:rowOff>
        </xdr:to>
        <xdr:sp macro="" textlink="">
          <xdr:nvSpPr>
            <xdr:cNvPr id="57" name="Check Box 77" hidden="1">
              <a:extLst>
                <a:ext uri="{63B3BB69-23CF-44E3-9099-C40C66FF867C}">
                  <a14:compatExt spid="_x0000_s32845"/>
                </a:ext>
                <a:ext uri="{FF2B5EF4-FFF2-40B4-BE49-F238E27FC236}">
                  <a16:creationId xmlns:a16="http://schemas.microsoft.com/office/drawing/2014/main" id="{00000000-0008-0000-1900-000039000000}"/>
                </a:ext>
              </a:extLst>
            </xdr:cNvPr>
            <xdr:cNvSpPr/>
          </xdr:nvSpPr>
          <xdr:spPr bwMode="auto">
            <a:xfrm>
              <a:off x="0" y="0"/>
              <a:ext cx="0" cy="0"/>
            </a:xfrm>
            <a:prstGeom prst="rect">
              <a:avLst/>
            </a:prstGeom>
            <a:solidFill>
              <a:srgbClr val="D8E4BC"/>
            </a:solidFill>
            <a:ln w="9525">
              <a:solidFill>
                <a:srgbClr val="9DBB61"/>
              </a:solidFill>
              <a:miter lim="800000"/>
              <a:headEnd/>
              <a:tailEnd/>
            </a:ln>
          </xdr:spPr>
          <xdr:txBody>
            <a:bodyPr vertOverflow="clip" wrap="square" lIns="36576" tIns="32004" rIns="0" bIns="32004" anchor="ctr" upright="1"/>
            <a:lstStyle/>
            <a:p>
              <a:pPr algn="l" rtl="0">
                <a:defRPr sz="1000"/>
              </a:pPr>
              <a:r>
                <a:rPr lang="nb-NO" sz="800" b="0" i="0" u="none" strike="noStrike" baseline="0">
                  <a:solidFill>
                    <a:srgbClr val="000000"/>
                  </a:solidFill>
                  <a:latin typeface="Segoe UI"/>
                  <a:cs typeface="Segoe UI"/>
                </a:rPr>
                <a:t>Utslipp arealbeslag</a:t>
              </a:r>
            </a:p>
          </xdr:txBody>
        </xdr:sp>
        <xdr:clientData/>
      </xdr:twoCellAnchor>
    </mc:Choice>
    <mc:Fallback/>
  </mc:AlternateContent>
</xdr:wsDr>
</file>

<file path=xl/drawings/drawing25.xml><?xml version="1.0" encoding="utf-8"?>
<xdr:wsDr xmlns:xdr="http://schemas.openxmlformats.org/drawingml/2006/spreadsheetDrawing" xmlns:a="http://schemas.openxmlformats.org/drawingml/2006/main">
  <xdr:twoCellAnchor>
    <xdr:from>
      <xdr:col>4</xdr:col>
      <xdr:colOff>800100</xdr:colOff>
      <xdr:row>0</xdr:row>
      <xdr:rowOff>104775</xdr:rowOff>
    </xdr:from>
    <xdr:to>
      <xdr:col>15</xdr:col>
      <xdr:colOff>1426508</xdr:colOff>
      <xdr:row>2</xdr:row>
      <xdr:rowOff>112059</xdr:rowOff>
    </xdr:to>
    <xdr:sp macro="" textlink="">
      <xdr:nvSpPr>
        <xdr:cNvPr id="2" name="TekstSylinder 1">
          <a:extLst>
            <a:ext uri="{FF2B5EF4-FFF2-40B4-BE49-F238E27FC236}">
              <a16:creationId xmlns:a16="http://schemas.microsoft.com/office/drawing/2014/main" id="{00000000-0008-0000-1A00-000002000000}"/>
            </a:ext>
          </a:extLst>
        </xdr:cNvPr>
        <xdr:cNvSpPr txBox="1"/>
      </xdr:nvSpPr>
      <xdr:spPr>
        <a:xfrm>
          <a:off x="5353050" y="104775"/>
          <a:ext cx="12027833" cy="388284"/>
        </a:xfrm>
        <a:prstGeom prst="rect">
          <a:avLst/>
        </a:prstGeom>
        <a:solidFill>
          <a:schemeClr val="accent1">
            <a:lumMod val="40000"/>
            <a:lumOff val="60000"/>
          </a:schemeClr>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nb-NO" sz="1400" b="1"/>
            <a:t>VIKTIG:</a:t>
          </a:r>
          <a:r>
            <a:rPr lang="nb-NO" sz="1100" baseline="0"/>
            <a:t> Hvis det gjøres endringer i resultattabellen i ark 4.1 Resultatark må det gjøres tilsvarende endringer i datatabellene i dette regnearket, samt i figurene i ark 4.4 Tverrsnittfigurer.</a:t>
          </a:r>
          <a:endParaRPr lang="nb-NO" sz="1100"/>
        </a:p>
      </xdr:txBody>
    </xdr:sp>
    <xdr:clientData/>
  </xdr:twoCellAnchor>
  <xdr:twoCellAnchor>
    <xdr:from>
      <xdr:col>0</xdr:col>
      <xdr:colOff>76200</xdr:colOff>
      <xdr:row>0</xdr:row>
      <xdr:rowOff>114300</xdr:rowOff>
    </xdr:from>
    <xdr:to>
      <xdr:col>4</xdr:col>
      <xdr:colOff>723900</xdr:colOff>
      <xdr:row>2</xdr:row>
      <xdr:rowOff>114300</xdr:rowOff>
    </xdr:to>
    <xdr:sp macro="" textlink="">
      <xdr:nvSpPr>
        <xdr:cNvPr id="3" name="TekstSylinder 2">
          <a:extLst>
            <a:ext uri="{FF2B5EF4-FFF2-40B4-BE49-F238E27FC236}">
              <a16:creationId xmlns:a16="http://schemas.microsoft.com/office/drawing/2014/main" id="{00000000-0008-0000-1A00-000003000000}"/>
            </a:ext>
          </a:extLst>
        </xdr:cNvPr>
        <xdr:cNvSpPr txBox="1"/>
      </xdr:nvSpPr>
      <xdr:spPr>
        <a:xfrm>
          <a:off x="76200" y="114300"/>
          <a:ext cx="5200650" cy="381000"/>
        </a:xfrm>
        <a:prstGeom prst="rect">
          <a:avLst/>
        </a:prstGeom>
        <a:solidFill>
          <a:schemeClr val="accent1">
            <a:lumMod val="40000"/>
            <a:lumOff val="60000"/>
          </a:schemeClr>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nb-NO" sz="1400" b="1"/>
            <a:t>Informasjon:</a:t>
          </a:r>
          <a:r>
            <a:rPr lang="nb-NO" sz="1100" baseline="0"/>
            <a:t> Dette regnearket inneholder datatabeller til tverrsnittfigurer i ark 4.4.</a:t>
          </a:r>
          <a:endParaRPr lang="nb-NO" sz="1100"/>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2</xdr:col>
      <xdr:colOff>744311</xdr:colOff>
      <xdr:row>0</xdr:row>
      <xdr:rowOff>104775</xdr:rowOff>
    </xdr:from>
    <xdr:to>
      <xdr:col>9</xdr:col>
      <xdr:colOff>1571625</xdr:colOff>
      <xdr:row>2</xdr:row>
      <xdr:rowOff>112059</xdr:rowOff>
    </xdr:to>
    <xdr:sp macro="" textlink="">
      <xdr:nvSpPr>
        <xdr:cNvPr id="3" name="TekstSylinder 2">
          <a:extLst>
            <a:ext uri="{FF2B5EF4-FFF2-40B4-BE49-F238E27FC236}">
              <a16:creationId xmlns:a16="http://schemas.microsoft.com/office/drawing/2014/main" id="{00000000-0008-0000-1B00-000003000000}"/>
            </a:ext>
          </a:extLst>
        </xdr:cNvPr>
        <xdr:cNvSpPr txBox="1"/>
      </xdr:nvSpPr>
      <xdr:spPr>
        <a:xfrm>
          <a:off x="5421086" y="104775"/>
          <a:ext cx="12695464" cy="388284"/>
        </a:xfrm>
        <a:prstGeom prst="rect">
          <a:avLst/>
        </a:prstGeom>
        <a:solidFill>
          <a:schemeClr val="accent1">
            <a:lumMod val="40000"/>
            <a:lumOff val="60000"/>
          </a:schemeClr>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nb-NO" sz="1400" b="1"/>
            <a:t>VIKTIG:</a:t>
          </a:r>
          <a:r>
            <a:rPr lang="nb-NO" sz="1100" baseline="0"/>
            <a:t> Hvis det gjøres endringer i ark 3.1 Nyttestrøm må det gjøres tilsvarende endringer i datatabellene i dette regnearket, samt i figurene i ark 4.5 Tidsseriefigurer. Les merknad under hver tabell for detaljer.</a:t>
          </a:r>
          <a:endParaRPr lang="nb-NO" sz="1100"/>
        </a:p>
      </xdr:txBody>
    </xdr:sp>
    <xdr:clientData/>
  </xdr:twoCellAnchor>
  <xdr:twoCellAnchor>
    <xdr:from>
      <xdr:col>0</xdr:col>
      <xdr:colOff>152400</xdr:colOff>
      <xdr:row>0</xdr:row>
      <xdr:rowOff>95250</xdr:rowOff>
    </xdr:from>
    <xdr:to>
      <xdr:col>2</xdr:col>
      <xdr:colOff>581025</xdr:colOff>
      <xdr:row>2</xdr:row>
      <xdr:rowOff>102534</xdr:rowOff>
    </xdr:to>
    <xdr:sp macro="" textlink="">
      <xdr:nvSpPr>
        <xdr:cNvPr id="4" name="TekstSylinder 3">
          <a:extLst>
            <a:ext uri="{FF2B5EF4-FFF2-40B4-BE49-F238E27FC236}">
              <a16:creationId xmlns:a16="http://schemas.microsoft.com/office/drawing/2014/main" id="{00000000-0008-0000-1B00-000004000000}"/>
            </a:ext>
          </a:extLst>
        </xdr:cNvPr>
        <xdr:cNvSpPr txBox="1"/>
      </xdr:nvSpPr>
      <xdr:spPr>
        <a:xfrm>
          <a:off x="152400" y="95250"/>
          <a:ext cx="5105400" cy="388284"/>
        </a:xfrm>
        <a:prstGeom prst="rect">
          <a:avLst/>
        </a:prstGeom>
        <a:solidFill>
          <a:schemeClr val="accent1">
            <a:lumMod val="40000"/>
            <a:lumOff val="60000"/>
          </a:schemeClr>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nb-NO" sz="1400" b="1"/>
            <a:t>Informasjon:</a:t>
          </a:r>
          <a:r>
            <a:rPr lang="nb-NO" sz="1100" baseline="0"/>
            <a:t> Dette regnearket inneholder datatabeller til tidsseriefigurer i ark 4.5.</a:t>
          </a:r>
          <a:endParaRPr lang="nb-NO" sz="1100"/>
        </a:p>
      </xdr:txBody>
    </xdr:sp>
    <xdr:clientData/>
  </xdr:twoCellAnchor>
</xdr:wsDr>
</file>

<file path=xl/drawings/drawing27.xml><?xml version="1.0" encoding="utf-8"?>
<xdr:wsDr xmlns:xdr="http://schemas.openxmlformats.org/drawingml/2006/spreadsheetDrawing" xmlns:a="http://schemas.openxmlformats.org/drawingml/2006/main">
  <xdr:oneCellAnchor>
    <xdr:from>
      <xdr:col>0</xdr:col>
      <xdr:colOff>463550</xdr:colOff>
      <xdr:row>25</xdr:row>
      <xdr:rowOff>50800</xdr:rowOff>
    </xdr:from>
    <xdr:ext cx="5330372" cy="3709092"/>
    <xdr:sp macro="" textlink="">
      <xdr:nvSpPr>
        <xdr:cNvPr id="2" name="TekstSylinder 1">
          <a:extLst>
            <a:ext uri="{FF2B5EF4-FFF2-40B4-BE49-F238E27FC236}">
              <a16:creationId xmlns:a16="http://schemas.microsoft.com/office/drawing/2014/main" id="{00000000-0008-0000-1C00-000002000000}"/>
            </a:ext>
          </a:extLst>
        </xdr:cNvPr>
        <xdr:cNvSpPr txBox="1"/>
      </xdr:nvSpPr>
      <xdr:spPr>
        <a:xfrm>
          <a:off x="463550" y="4654550"/>
          <a:ext cx="5330372" cy="3709092"/>
        </a:xfrm>
        <a:prstGeom prst="rect">
          <a:avLst/>
        </a:prstGeom>
        <a:solidFill>
          <a:schemeClr val="accent1">
            <a:lumMod val="40000"/>
            <a:lumOff val="60000"/>
          </a:schemeClr>
        </a:solidFill>
        <a:ln w="25400">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nb-NO" sz="1100" b="1">
              <a:solidFill>
                <a:schemeClr val="tx1"/>
              </a:solidFill>
              <a:effectLst/>
              <a:latin typeface="+mn-lt"/>
              <a:ea typeface="+mn-ea"/>
              <a:cs typeface="+mn-cs"/>
            </a:rPr>
            <a:t>Informasjon </a:t>
          </a:r>
          <a:endParaRPr lang="nb-NO" sz="1400">
            <a:effectLst/>
          </a:endParaRPr>
        </a:p>
        <a:p>
          <a:pPr marL="0" marR="0" lvl="0" indent="0" defTabSz="914400" eaLnBrk="1" fontAlgn="auto" latinLnBrk="0" hangingPunct="1">
            <a:lnSpc>
              <a:spcPct val="100000"/>
            </a:lnSpc>
            <a:spcBef>
              <a:spcPts val="0"/>
            </a:spcBef>
            <a:spcAft>
              <a:spcPts val="0"/>
            </a:spcAft>
            <a:buClrTx/>
            <a:buSzTx/>
            <a:buFontTx/>
            <a:buNone/>
            <a:tabLst/>
            <a:defRPr/>
          </a:pPr>
          <a:r>
            <a:rPr lang="nb-NO" sz="1100">
              <a:solidFill>
                <a:schemeClr val="tx1"/>
              </a:solidFill>
              <a:effectLst/>
              <a:latin typeface="+mn-lt"/>
              <a:ea typeface="+mn-ea"/>
              <a:cs typeface="+mn-cs"/>
            </a:rPr>
            <a:t>Denne arkfanen</a:t>
          </a:r>
          <a:r>
            <a:rPr lang="nb-NO" sz="1100" baseline="0">
              <a:solidFill>
                <a:schemeClr val="tx1"/>
              </a:solidFill>
              <a:effectLst/>
              <a:latin typeface="+mn-lt"/>
              <a:ea typeface="+mn-ea"/>
              <a:cs typeface="+mn-cs"/>
            </a:rPr>
            <a:t> inneholder lister over parametere/eksogene variabler som kan velges i følsomhetsanalysen og Monte Carlo-simuleringer. Listene inneholder pekere til område-/celle-navn for parameterne, hvilken arkfane de befinner seg, hvilke formater som kan velges (prosent og/eller tallverdi, samt benevning for parameterne. </a:t>
          </a:r>
          <a:r>
            <a:rPr lang="nb-NO" sz="1100">
              <a:solidFill>
                <a:schemeClr val="tx1"/>
              </a:solidFill>
              <a:effectLst/>
              <a:latin typeface="+mn-lt"/>
              <a:ea typeface="+mn-ea"/>
              <a:cs typeface="+mn-cs"/>
            </a:rPr>
            <a:t>Trukkede verdier som de stokastiske eksogene variablene midlertidig linkes til under Monte Carlo-simuleringen er også knyttet til listene. </a:t>
          </a:r>
        </a:p>
        <a:p>
          <a:endParaRPr lang="nb-NO" sz="1100" baseline="0">
            <a:solidFill>
              <a:schemeClr val="tx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nb-NO" sz="1100">
              <a:solidFill>
                <a:schemeClr val="tx1"/>
              </a:solidFill>
              <a:effectLst/>
              <a:latin typeface="+mn-lt"/>
              <a:ea typeface="+mn-ea"/>
              <a:cs typeface="+mn-cs"/>
            </a:rPr>
            <a:t>Lenger til høyre i arket finnes flere lister som kun blir brukt til Monte Carlo-simulering og ikke ordinær følsomhetsanalyse. Disse listene danner grunnlag for nedtrekksmenyer for valg av sannsynlighetsfordeling, type spredningsmål, type sentralitetsmål og stokastiske endogene variabler som kan lagres ved Monte Carlo-simulering (inkludert benevning og celleområdene til de mulige eksogene variablene). Videre ligger tallgrunnlaget bak figuren for kumulativ fordeling og sannsynlighetstetthet. Tallgrunnlaget blir skrevet ut av makroen, «Oppdater_Tabell_TetthetKumulativ».   </a:t>
          </a:r>
        </a:p>
        <a:p>
          <a:endParaRPr lang="nb-NO" sz="1100" baseline="0">
            <a:solidFill>
              <a:schemeClr val="tx1"/>
            </a:solidFill>
            <a:effectLst/>
            <a:latin typeface="+mn-lt"/>
            <a:ea typeface="+mn-ea"/>
            <a:cs typeface="+mn-cs"/>
          </a:endParaRPr>
        </a:p>
        <a:p>
          <a:r>
            <a:rPr lang="nb-NO" sz="1100" baseline="0">
              <a:solidFill>
                <a:schemeClr val="tx1"/>
              </a:solidFill>
              <a:effectLst/>
              <a:latin typeface="+mn-lt"/>
              <a:ea typeface="+mn-ea"/>
              <a:cs typeface="+mn-cs"/>
            </a:rPr>
            <a:t>Listene og de tilknyttede navngitte områdene må utvides dersom man ønsker å legge til flere mulige parametere i følsomhetsanalysen/flere mulige eksogene variabler ved Monte Carlo-simulering, eller flere mulige endogene variabler ved Monte Carlo-simulering. Dersom man legger til en rad, er det altså viktig at navnet på områdene i listen oppdateres til å dekke den nye raden.</a:t>
          </a:r>
          <a:endParaRPr lang="nb-NO" sz="1400">
            <a:solidFill>
              <a:sysClr val="windowText" lastClr="000000"/>
            </a:solidFill>
            <a:effectLst/>
          </a:endParaRPr>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osloeconomicsas.sharepoint.com/sites/JBD-VisualiseringSAGAogTrenklin/Shared%20Documents/General/Tilbud/04%20SAGA/Eksempel%20SAGA.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osloeconomicsas.sharepoint.com/Prosjekt/21-HWA-02%20JDir%20F&#248;lsomhetsmodul%20SAGA/Underlag/S&#216;A_del2_17_Maste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1 Innhold"/>
      <sheetName val="0.2 Struktur &amp; brukerveiledning"/>
      <sheetName val="0.3 Endringslogg"/>
      <sheetName val="0.4 Definisjoner"/>
      <sheetName val="0.5 Kilder"/>
      <sheetName val="Standardsatser-Forutsetninger"/>
      <sheetName val="1.1 Standardsatser"/>
      <sheetName val="1.2 Forutsetninger"/>
      <sheetName val="1.3 Persontransportmodell"/>
      <sheetName val="1.4 Godsmodell"/>
      <sheetName val="1.5 Prognoser og indekser"/>
      <sheetName val="2.1 Trafikanter"/>
      <sheetName val="2.2 Operatører"/>
      <sheetName val="2.3 Det Offentlige"/>
      <sheetName val="2.4 Samfunnet for øvrig"/>
      <sheetName val="2.5 Investeringer + vedlikehold"/>
      <sheetName val="3.1 Nyttestrøm"/>
      <sheetName val="4.1 Resultatark"/>
      <sheetName val="4.2 Diagram"/>
      <sheetName val="4.3 Følsomhetsanalyse"/>
      <sheetName val="5. Resultat"/>
      <sheetName val="Tidsserie"/>
      <sheetName val="Netto nåverdi fossefall"/>
      <sheetName val="4.5 Trafikantnytte oppdelt"/>
      <sheetName val="4.4 Fossefall"/>
      <sheetName val="1.5 Prognoser og indekser (2)"/>
      <sheetName val="Parametere"/>
      <sheetName val="4.5 Trafikantnytte"/>
    </sheetNames>
    <sheetDataSet>
      <sheetData sheetId="0"/>
      <sheetData sheetId="1"/>
      <sheetData sheetId="2"/>
      <sheetData sheetId="3"/>
      <sheetData sheetId="4"/>
      <sheetData sheetId="5"/>
      <sheetData sheetId="6">
        <row r="95">
          <cell r="D95">
            <v>0.31191730122111982</v>
          </cell>
        </row>
      </sheetData>
      <sheetData sheetId="7">
        <row r="11">
          <cell r="C11" t="str">
            <v>RTM/NTM</v>
          </cell>
        </row>
        <row r="22">
          <cell r="C22">
            <v>9.3235200000000004E-2</v>
          </cell>
        </row>
        <row r="215">
          <cell r="C215">
            <v>6.8</v>
          </cell>
        </row>
        <row r="242">
          <cell r="C242">
            <v>4</v>
          </cell>
        </row>
        <row r="243">
          <cell r="C243">
            <v>5</v>
          </cell>
        </row>
        <row r="245">
          <cell r="C245">
            <v>5</v>
          </cell>
        </row>
        <row r="334">
          <cell r="C334">
            <v>2.2000000000000002</v>
          </cell>
        </row>
      </sheetData>
      <sheetData sheetId="8">
        <row r="13">
          <cell r="E13">
            <v>371844</v>
          </cell>
        </row>
      </sheetData>
      <sheetData sheetId="9">
        <row r="16">
          <cell r="E16">
            <v>0.444000000000349</v>
          </cell>
        </row>
      </sheetData>
      <sheetData sheetId="10">
        <row r="10">
          <cell r="M10">
            <v>2014</v>
          </cell>
        </row>
      </sheetData>
      <sheetData sheetId="11">
        <row r="19">
          <cell r="C19">
            <v>2080500</v>
          </cell>
        </row>
      </sheetData>
      <sheetData sheetId="12">
        <row r="18">
          <cell r="K18">
            <v>97.015934766589226</v>
          </cell>
        </row>
      </sheetData>
      <sheetData sheetId="13"/>
      <sheetData sheetId="14">
        <row r="37">
          <cell r="C37">
            <v>0</v>
          </cell>
        </row>
      </sheetData>
      <sheetData sheetId="15"/>
      <sheetData sheetId="16"/>
      <sheetData sheetId="17">
        <row r="36">
          <cell r="C36">
            <v>2624.3219445718141</v>
          </cell>
        </row>
      </sheetData>
      <sheetData sheetId="18"/>
      <sheetData sheetId="19">
        <row r="16">
          <cell r="F16" t="str">
            <v>-Velg-</v>
          </cell>
        </row>
      </sheetData>
      <sheetData sheetId="20"/>
      <sheetData sheetId="21"/>
      <sheetData sheetId="22">
        <row r="26">
          <cell r="E26" t="str">
            <v>Pillars</v>
          </cell>
        </row>
      </sheetData>
      <sheetData sheetId="23"/>
      <sheetData sheetId="24"/>
      <sheetData sheetId="25"/>
      <sheetData sheetId="26">
        <row r="2">
          <cell r="A2" t="str">
            <v>-Velg-</v>
          </cell>
        </row>
      </sheetData>
      <sheetData sheetId="27">
        <row r="26">
          <cell r="E26" t="str">
            <v>Pillars</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ltater simulering"/>
      <sheetName val="Oppsummering simulering"/>
      <sheetName val="Analyse simulering"/>
      <sheetName val="Forutsetninger fra Godsnytte"/>
      <sheetName val="Spesielle forutsetninger KS1"/>
      <sheetName val="Nytte og kostnader"/>
      <sheetName val="Div grunnlag"/>
      <sheetName val="Utviklingsbaner"/>
      <sheetName val="Kapasitet og terminalkost"/>
      <sheetName val="Etterspørselsmodell 2040"/>
      <sheetName val="Etterspørselsmodell 2062"/>
      <sheetName val="Avvist etterspørsel"/>
      <sheetName val="Investeringskostnader"/>
      <sheetName val="Hjelpeark"/>
      <sheetName val="Hjelpeark 2"/>
    </sheetNames>
    <sheetDataSet>
      <sheetData sheetId="0" refreshError="1"/>
      <sheetData sheetId="1" refreshError="1"/>
      <sheetData sheetId="2" refreshError="1"/>
      <sheetData sheetId="3" refreshError="1"/>
      <sheetData sheetId="4">
        <row r="63">
          <cell r="C63">
            <v>10000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persons/person.xml><?xml version="1.0" encoding="utf-8"?>
<personList xmlns="http://schemas.microsoft.com/office/spreadsheetml/2018/threadedcomments" xmlns:x="http://schemas.openxmlformats.org/spreadsheetml/2006/main">
  <person displayName="Henning Wahlquist" id="{5B1071E6-C5A1-4FC7-9BBE-8FB901AE1110}" userId="Henning Wahlquist" providerId="None"/>
  <person displayName="Tormod Wergeland Haug" id="{146E3FC9-7B33-4B68-8AD9-EAD1BF7B83F2}" userId="S::tormod.haug@jernbanedirektoratet.no::c67a8ba5-b9c5-4a84-ae34-b22050e3bbd9" providerId="AD"/>
  <person displayName="Mai Brit Svendsen" id="{F0A47A0F-3679-4917-A622-C0ABA118FB21}" userId="S::mai.svendsen@jernbanedirektoratet.no::4f56097e-1523-402b-9a3f-2e76d8b50c62" providerId="AD"/>
  <person displayName="Mari Baklund Størseth" id="{CDC6FC34-7B77-4D37-9FC2-2EC2078C0A44}" userId="S::mari.b.storseth@jernbanedirektoratet.no::eee7a29e-4222-4188-a11c-7a252ffc5c53" providerId="AD"/>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4A78B87C-C2FA-4934-8260-4FF7A49AE80D}" name="Trafikantnytte_fordeling" displayName="Trafikantnytte_fordeling" ref="B58:E69" totalsRowShown="0">
  <autoFilter ref="B58:E69" xr:uid="{3DC6E97A-A2BE-48B1-9FC1-F5D79EF3D5D4}">
    <filterColumn colId="1">
      <filters>
        <filter val="SANN"/>
      </filters>
    </filterColumn>
  </autoFilter>
  <tableColumns count="4">
    <tableColumn id="1" xr3:uid="{610275B2-8BF9-43C1-A0F6-A6138935C730}" name="Kolonne1"/>
    <tableColumn id="2" xr3:uid="{C584CAFE-BA8D-4A04-9068-26DD990E98E6}" name="Kolonne2" dataDxfId="351">
      <calculatedColumnFormula>IF(AND(D$59&gt;=0,D$60&gt;=0,D$61&gt;=0,D$62&gt;=0,D$63&gt;=0,D$64&gt;=0,D$65&gt;=0,D$66&gt;=0,D$67&gt;=0,D$68&gt;=0,D$69&gt;=0),TRUE,FALSE)</calculatedColumnFormula>
    </tableColumn>
    <tableColumn id="3" xr3:uid="{BFF91024-2532-45F9-B3DF-9BF38C50F56E}" name="Kolonne3" dataDxfId="350"/>
    <tableColumn id="4" xr3:uid="{34D52823-1233-4B0D-93C6-38C072134962}" name="Kolonne4" dataDxfId="349">
      <calculatedColumnFormula>IF('3.1 Nyttestrøm'!DS15&gt;0,'3.1 Nyttestrøm'!DS15,NA())</calculatedColumnFormula>
    </tableColumn>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4FE71A2-7491-4819-B899-E84FCA81FEFD}" name="Stolpediagram" displayName="Stolpediagram" ref="B73:H79" totalsRowShown="0">
  <autoFilter ref="B73:H79" xr:uid="{EC432E20-F2A9-4752-9F97-3DB245B86450}">
    <filterColumn colId="1">
      <filters>
        <filter val="SANN"/>
      </filters>
    </filterColumn>
  </autoFilter>
  <tableColumns count="7">
    <tableColumn id="1" xr3:uid="{3CFD1EF5-0D57-4264-8216-FC74D23A2E0B}" name="Kolonne1"/>
    <tableColumn id="11" xr3:uid="{CF10652C-9D54-4D92-B52C-17959B49A703}" name="Kolonne14">
      <calculatedColumnFormula>IF(ROUND(F74,3)=0,FALSE,TRUE)</calculatedColumnFormula>
    </tableColumn>
    <tableColumn id="3" xr3:uid="{864497AA-19FF-4CEC-AA90-5C9806DAC009}" name="Kolonne12" dataDxfId="348"/>
    <tableColumn id="4" xr3:uid="{C027413D-2E0D-47A9-B605-1F3C323F6BD7}" name="Kolonne13" dataDxfId="347" dataCellStyle="Komma">
      <calculatedColumnFormula>Stolpediagram[[#This Row],[Kolonne2]]</calculatedColumnFormula>
    </tableColumn>
    <tableColumn id="2" xr3:uid="{8EB77AAF-335F-44CD-B265-7D84E35A395D}" name="Kolonne2" dataDxfId="346" dataCellStyle="Komma"/>
    <tableColumn id="5" xr3:uid="{9FCA7CC7-3098-463F-AEFA-C0C5CD59A0FA}" name="Kolonne3" dataDxfId="345" dataCellStyle="Komma">
      <calculatedColumnFormula>Stolpediagram[[#This Row],[Kolonne2]]</calculatedColumnFormula>
    </tableColumn>
    <tableColumn id="12" xr3:uid="{9B5C6537-F623-47CE-BB55-D0D59CE356C6}" name="Kolonne4" dataDxfId="344"/>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E734F85E-F17A-464E-AF54-0491E3127D3F}" name="Tidsserie_CO2_Kostnad" displayName="Tidsserie_CO2_Kostnad" ref="A26:DH41" headerRowDxfId="343" dataDxfId="342">
  <autoFilter ref="A26:DH41" xr:uid="{7CAF726F-BD2E-4725-A761-9B0C91764850}">
    <filterColumn colId="0">
      <filters>
        <filter val="SANN/USANN"/>
        <filter val="SANN"/>
      </filters>
    </filterColumn>
  </autoFilter>
  <tableColumns count="112">
    <tableColumn id="1" xr3:uid="{47160BD7-4A73-4CB8-9B79-E4DE98CE16CC}" name="Kolonne1" totalsRowLabel="Totalt" dataDxfId="341"/>
    <tableColumn id="2" xr3:uid="{5355053C-FE94-4088-9135-FC86ECC42E76}" name="Figurtittel:" dataDxfId="340" totalsRowDxfId="339">
      <calculatedColumnFormula>B5</calculatedColumnFormula>
    </tableColumn>
    <tableColumn id="3" xr3:uid="{9D8464FD-49F3-48F9-82E6-AF8664375F71}" name="Kolonne2" dataDxfId="338" totalsRowDxfId="337"/>
    <tableColumn id="4" xr3:uid="{6A0FAD84-4E10-474E-A1DE-E862590D65BE}" name="Kolonne3" dataDxfId="336" totalsRowDxfId="335"/>
    <tableColumn id="5" xr3:uid="{67D012B7-C609-4B47-B623-F810E3050755}" name="Kolonne4" dataDxfId="334" totalsRowDxfId="333"/>
    <tableColumn id="6" xr3:uid="{3DD0E2BB-4D4B-43BF-932E-8CAEF4989318}" name="Kolonne5" dataDxfId="332" totalsRowDxfId="331"/>
    <tableColumn id="7" xr3:uid="{C014BF75-E5DB-4F61-83A0-33781A19A68B}" name="Kolonne6" dataDxfId="330" totalsRowDxfId="329"/>
    <tableColumn id="8" xr3:uid="{FFEB3AC1-FA34-4096-904A-A8D8E250D1B2}" name="Kolonne7" dataDxfId="328" totalsRowDxfId="327"/>
    <tableColumn id="9" xr3:uid="{D712C9BD-5976-444F-81C6-6D039B431171}" name="Kolonne8" dataDxfId="326" totalsRowDxfId="325"/>
    <tableColumn id="10" xr3:uid="{3E1ADEB2-1B94-495A-943A-24BC41B7DF12}" name="Kolonne9" dataDxfId="324" totalsRowDxfId="323"/>
    <tableColumn id="11" xr3:uid="{92E6005B-ABC4-4E5A-BC80-4E3754C2B76C}" name="Kolonne92" dataDxfId="322" totalsRowDxfId="321"/>
    <tableColumn id="12" xr3:uid="{B51D191E-2C6B-483F-A0BA-C8B249F134B9}" name="Kolonne10" dataDxfId="320" totalsRowDxfId="319">
      <calculatedColumnFormula>L5</calculatedColumnFormula>
    </tableColumn>
    <tableColumn id="13" xr3:uid="{8A83C32B-7883-4893-BAE9-44FEF5F8C635}" name="Kolonne11" dataDxfId="318" totalsRowDxfId="317">
      <calculatedColumnFormula>IF($A27,M5,NA())</calculatedColumnFormula>
    </tableColumn>
    <tableColumn id="14" xr3:uid="{BCC67E13-AF1F-4D2B-826E-7E33FC721404}" name="Kolonne12" dataDxfId="316" totalsRowDxfId="315">
      <calculatedColumnFormula>IF($A27,N5,NA())</calculatedColumnFormula>
    </tableColumn>
    <tableColumn id="15" xr3:uid="{D68683C8-DAE7-445A-BB34-1F19D1FEA078}" name="Kolonne13" dataDxfId="314" totalsRowDxfId="313">
      <calculatedColumnFormula>IF($A27,O5,NA())</calculatedColumnFormula>
    </tableColumn>
    <tableColumn id="16" xr3:uid="{F5064287-855D-4F2C-8969-8FFA6AA4C5C4}" name="Kolonne14" dataDxfId="312" totalsRowDxfId="311">
      <calculatedColumnFormula>IF($A27,P5,NA())</calculatedColumnFormula>
    </tableColumn>
    <tableColumn id="17" xr3:uid="{53EC3F0F-4E54-41EA-983A-72E146B6EDF1}" name="Kolonne15" dataDxfId="310" totalsRowDxfId="309">
      <calculatedColumnFormula>IF($A27,Q5,NA())</calculatedColumnFormula>
    </tableColumn>
    <tableColumn id="18" xr3:uid="{49029329-B279-47B4-A7D4-ACE246E5B0BD}" name="Kolonne16" dataDxfId="308" totalsRowDxfId="307">
      <calculatedColumnFormula>IF($A27,R5,NA())</calculatedColumnFormula>
    </tableColumn>
    <tableColumn id="19" xr3:uid="{6C793392-A926-479A-A31A-08926A775DA5}" name="Kolonne17" dataDxfId="306" totalsRowDxfId="305">
      <calculatedColumnFormula>IF($A27,S5,NA())</calculatedColumnFormula>
    </tableColumn>
    <tableColumn id="20" xr3:uid="{AEFECD23-2AD7-4A1C-8795-B155952E41F1}" name="Kolonne18" dataDxfId="304" totalsRowDxfId="303">
      <calculatedColumnFormula>IF($A27,T5,NA())</calculatedColumnFormula>
    </tableColumn>
    <tableColumn id="21" xr3:uid="{9CD84073-39DB-4047-A5D5-CA9C6B881503}" name="Kolonne19" dataDxfId="302" totalsRowDxfId="301">
      <calculatedColumnFormula>IF($A27,U5,NA())</calculatedColumnFormula>
    </tableColumn>
    <tableColumn id="22" xr3:uid="{9054A6F2-9F9E-4E7F-8AD6-DDAF33D296BF}" name="Kolonne20" dataDxfId="300" totalsRowDxfId="299">
      <calculatedColumnFormula>IF($A27,V5,NA())</calculatedColumnFormula>
    </tableColumn>
    <tableColumn id="23" xr3:uid="{76CF1FD6-D4BA-485A-9430-4961630B3090}" name="Kolonne21" dataDxfId="298" totalsRowDxfId="297">
      <calculatedColumnFormula>IF($A27,W5,NA())</calculatedColumnFormula>
    </tableColumn>
    <tableColumn id="24" xr3:uid="{615E06A1-A4C5-4545-8B8D-651D6CC609C2}" name="Kolonne22" dataDxfId="296" totalsRowDxfId="295">
      <calculatedColumnFormula>IF($A27,X5,NA())</calculatedColumnFormula>
    </tableColumn>
    <tableColumn id="25" xr3:uid="{C84EFA5F-B546-4C4B-8B04-EB122070F53B}" name="Kolonne23" dataDxfId="294" totalsRowDxfId="293">
      <calculatedColumnFormula>IF($A27,Y5,NA())</calculatedColumnFormula>
    </tableColumn>
    <tableColumn id="26" xr3:uid="{3F7AC3F2-E0A1-437F-A0C5-4540D9C6B9EF}" name="Kolonne24" dataDxfId="292" totalsRowDxfId="291">
      <calculatedColumnFormula>IF($A27,Z5,NA())</calculatedColumnFormula>
    </tableColumn>
    <tableColumn id="27" xr3:uid="{12D62651-F410-455F-A023-F2571722DADD}" name="Kolonne25" dataDxfId="290" totalsRowDxfId="289">
      <calculatedColumnFormula>IF($A27,AA5,NA())</calculatedColumnFormula>
    </tableColumn>
    <tableColumn id="28" xr3:uid="{6F6E8E18-1F78-4642-9D23-84618D9139EA}" name="Kolonne26" dataDxfId="288" totalsRowDxfId="287">
      <calculatedColumnFormula>IF($A27,AB5,NA())</calculatedColumnFormula>
    </tableColumn>
    <tableColumn id="29" xr3:uid="{025C208E-000D-4803-B80B-7B8E768E99D9}" name="Kolonne27" dataDxfId="286" totalsRowDxfId="285">
      <calculatedColumnFormula>IF($A27,AC5,NA())</calculatedColumnFormula>
    </tableColumn>
    <tableColumn id="30" xr3:uid="{A50D5018-CA3B-49AB-ACC3-8C7284DF5810}" name="Kolonne28" dataDxfId="284" totalsRowDxfId="283">
      <calculatedColumnFormula>IF($A27,AD5,NA())</calculatedColumnFormula>
    </tableColumn>
    <tableColumn id="31" xr3:uid="{36074629-D003-4DEF-833E-FBA32B032E21}" name="Kolonne29" dataDxfId="282" totalsRowDxfId="281">
      <calculatedColumnFormula>IF($A27,AE5,NA())</calculatedColumnFormula>
    </tableColumn>
    <tableColumn id="32" xr3:uid="{9C162EB5-809C-4E01-A718-B5FD0A212D35}" name="Kolonne30" dataDxfId="280" totalsRowDxfId="279">
      <calculatedColumnFormula>IF($A27,AF5,NA())</calculatedColumnFormula>
    </tableColumn>
    <tableColumn id="33" xr3:uid="{25476800-BA6A-4359-850C-F890D5F3A54C}" name="Kolonne31" dataDxfId="278" totalsRowDxfId="277">
      <calculatedColumnFormula>IF($A27,AG5,NA())</calculatedColumnFormula>
    </tableColumn>
    <tableColumn id="34" xr3:uid="{4A574A99-70B7-4177-8B5F-C30CC4FCAB2B}" name="Kolonne32" dataDxfId="276" totalsRowDxfId="275">
      <calculatedColumnFormula>IF($A27,AH5,NA())</calculatedColumnFormula>
    </tableColumn>
    <tableColumn id="35" xr3:uid="{D3139765-A6DF-448B-8B45-753161B0D1B7}" name="Kolonne33" dataDxfId="274" totalsRowDxfId="273">
      <calculatedColumnFormula>IF($A27,AI5,NA())</calculatedColumnFormula>
    </tableColumn>
    <tableColumn id="36" xr3:uid="{5AE19FC8-C1C3-412D-A79E-0D7BCCFB2B1B}" name="Kolonne34" dataDxfId="272" totalsRowDxfId="271">
      <calculatedColumnFormula>IF($A27,AJ5,NA())</calculatedColumnFormula>
    </tableColumn>
    <tableColumn id="37" xr3:uid="{6FC1B707-6FAE-4024-BDBE-E9660C1317A9}" name="Kolonne35" dataDxfId="270" totalsRowDxfId="269">
      <calculatedColumnFormula>IF($A27,AK5,NA())</calculatedColumnFormula>
    </tableColumn>
    <tableColumn id="38" xr3:uid="{81573D13-CC57-4A82-A435-585400A234E2}" name="Kolonne36" dataDxfId="268" totalsRowDxfId="267">
      <calculatedColumnFormula>IF($A27,AL5,NA())</calculatedColumnFormula>
    </tableColumn>
    <tableColumn id="39" xr3:uid="{58747158-E194-41F9-8A22-ABFEE5F49AA8}" name="Kolonne37" dataDxfId="266" totalsRowDxfId="265">
      <calculatedColumnFormula>IF($A27,AM5,NA())</calculatedColumnFormula>
    </tableColumn>
    <tableColumn id="40" xr3:uid="{CB0B8BB6-F03C-463F-838B-07ABFA9C3A34}" name="Kolonne38" dataDxfId="264" totalsRowDxfId="263">
      <calculatedColumnFormula>IF($A27,AN5,NA())</calculatedColumnFormula>
    </tableColumn>
    <tableColumn id="41" xr3:uid="{69B75215-EBB4-47F3-96E8-6BA9242C512A}" name="Kolonne39" dataDxfId="262" totalsRowDxfId="261">
      <calculatedColumnFormula>IF($A27,AO5,NA())</calculatedColumnFormula>
    </tableColumn>
    <tableColumn id="42" xr3:uid="{ACA047F8-417B-48A2-9F39-AC3116471786}" name="Kolonne40" dataDxfId="260" totalsRowDxfId="259">
      <calculatedColumnFormula>IF($A27,AP5,NA())</calculatedColumnFormula>
    </tableColumn>
    <tableColumn id="43" xr3:uid="{22FA6B53-4D7D-4E86-8DB7-CB9D2C5E13CC}" name="Kolonne41" dataDxfId="258" totalsRowDxfId="257">
      <calculatedColumnFormula>IF($A27,AQ5,NA())</calculatedColumnFormula>
    </tableColumn>
    <tableColumn id="44" xr3:uid="{1CB802E4-68F2-47DF-B3E1-5573AE0681C8}" name="Kolonne42" dataDxfId="256" totalsRowDxfId="255">
      <calculatedColumnFormula>IF($A27,AR5,NA())</calculatedColumnFormula>
    </tableColumn>
    <tableColumn id="45" xr3:uid="{813711AF-204B-42BA-8714-C66FDA66A09E}" name="Kolonne43" dataDxfId="254" totalsRowDxfId="253">
      <calculatedColumnFormula>IF($A27,AS5,NA())</calculatedColumnFormula>
    </tableColumn>
    <tableColumn id="46" xr3:uid="{DB92E13D-7E89-453D-A7D6-EDC72EE53B46}" name="Kolonne44" dataDxfId="252" totalsRowDxfId="251">
      <calculatedColumnFormula>IF($A27,AT5,NA())</calculatedColumnFormula>
    </tableColumn>
    <tableColumn id="47" xr3:uid="{724BA984-CA78-44F8-8773-EFE23686AAC5}" name="Kolonne45" dataDxfId="250" totalsRowDxfId="249">
      <calculatedColumnFormula>IF($A27,AU5,NA())</calculatedColumnFormula>
    </tableColumn>
    <tableColumn id="48" xr3:uid="{B2403355-EBCC-4240-80EF-2F618E5F01D8}" name="Kolonne46" dataDxfId="248" totalsRowDxfId="247">
      <calculatedColumnFormula>IF($A27,AV5,NA())</calculatedColumnFormula>
    </tableColumn>
    <tableColumn id="49" xr3:uid="{BAE32C70-605B-45E0-BF36-98B579025571}" name="Kolonne47" dataDxfId="246" totalsRowDxfId="245">
      <calculatedColumnFormula>IF($A27,AW5,NA())</calculatedColumnFormula>
    </tableColumn>
    <tableColumn id="50" xr3:uid="{96B14182-0BAA-4DAC-B325-34CE5C8B33D8}" name="Kolonne48" dataDxfId="244" totalsRowDxfId="243">
      <calculatedColumnFormula>IF($A27,AX5,NA())</calculatedColumnFormula>
    </tableColumn>
    <tableColumn id="51" xr3:uid="{C4B30C0C-E851-4062-BADE-77A45674BEF2}" name="Kolonne49" dataDxfId="242" totalsRowDxfId="241">
      <calculatedColumnFormula>IF($A27,AY5,NA())</calculatedColumnFormula>
    </tableColumn>
    <tableColumn id="52" xr3:uid="{29BE7A46-56E6-4D76-B5B4-7DF96C517402}" name="Kolonne50" dataDxfId="240" totalsRowDxfId="239">
      <calculatedColumnFormula>IF($A27,AZ5,NA())</calculatedColumnFormula>
    </tableColumn>
    <tableColumn id="53" xr3:uid="{F4A37CA2-3943-428D-ABE6-615610F6A264}" name="Kolonne51" dataDxfId="238" totalsRowDxfId="237">
      <calculatedColumnFormula>IF($A27,BA5,NA())</calculatedColumnFormula>
    </tableColumn>
    <tableColumn id="54" xr3:uid="{BD6A4BFA-7FCE-49A3-983D-010953D059BB}" name="Kolonne52" dataDxfId="236" totalsRowDxfId="235">
      <calculatedColumnFormula>IF($A27,BB5,NA())</calculatedColumnFormula>
    </tableColumn>
    <tableColumn id="55" xr3:uid="{233F4971-058D-406C-91C2-90DE7DF5D1A8}" name="Kolonne53" dataDxfId="234" totalsRowDxfId="233">
      <calculatedColumnFormula>IF($A27,BC5,NA())</calculatedColumnFormula>
    </tableColumn>
    <tableColumn id="56" xr3:uid="{F5D8AE6D-F735-4CCE-BDE5-926599132F3C}" name="Kolonne54" dataDxfId="232" totalsRowDxfId="231">
      <calculatedColumnFormula>IF($A27,BD5,NA())</calculatedColumnFormula>
    </tableColumn>
    <tableColumn id="57" xr3:uid="{40F214E9-9117-4154-9DE2-014C564AFA13}" name="Kolonne55" dataDxfId="230" totalsRowDxfId="229">
      <calculatedColumnFormula>IF($A27,BE5,NA())</calculatedColumnFormula>
    </tableColumn>
    <tableColumn id="58" xr3:uid="{B49E10CC-3F43-4B3E-B1B2-988051B3491F}" name="Kolonne56" dataDxfId="228" totalsRowDxfId="227">
      <calculatedColumnFormula>IF($A27,BF5,NA())</calculatedColumnFormula>
    </tableColumn>
    <tableColumn id="59" xr3:uid="{57952B64-83C8-4590-AAE8-0197D7E6D59B}" name="Kolonne57" dataDxfId="226" totalsRowDxfId="225">
      <calculatedColumnFormula>IF($A27,BG5,NA())</calculatedColumnFormula>
    </tableColumn>
    <tableColumn id="60" xr3:uid="{37A500CF-CBA2-46EB-AA27-7EB99F2F3D3F}" name="Kolonne58" dataDxfId="224" totalsRowDxfId="223">
      <calculatedColumnFormula>IF($A27,BH5,NA())</calculatedColumnFormula>
    </tableColumn>
    <tableColumn id="61" xr3:uid="{FEA401E8-1B90-439F-B083-3F9BA8E15868}" name="Kolonne59" dataDxfId="222" totalsRowDxfId="221">
      <calculatedColumnFormula>IF($A27,BI5,NA())</calculatedColumnFormula>
    </tableColumn>
    <tableColumn id="62" xr3:uid="{32D8F7A8-52F9-4E43-B137-E5E735A1D7F4}" name="Kolonne60" dataDxfId="220" totalsRowDxfId="219">
      <calculatedColumnFormula>IF($A27,BJ5,NA())</calculatedColumnFormula>
    </tableColumn>
    <tableColumn id="63" xr3:uid="{D6AE2716-E9B5-405E-9CDF-DC7FE8F815DE}" name="Kolonne61" dataDxfId="218" totalsRowDxfId="217">
      <calculatedColumnFormula>IF($A27,BK5,NA())</calculatedColumnFormula>
    </tableColumn>
    <tableColumn id="64" xr3:uid="{7C1BE390-2C46-4387-9858-F847D4D2E02F}" name="Kolonne62" dataDxfId="216" totalsRowDxfId="215">
      <calculatedColumnFormula>IF($A27,BL5,NA())</calculatedColumnFormula>
    </tableColumn>
    <tableColumn id="65" xr3:uid="{B20460F5-45EC-41C6-9FE4-C444ECF2AACB}" name="Kolonne63" dataDxfId="214" totalsRowDxfId="213">
      <calculatedColumnFormula>IF($A27,BM5,NA())</calculatedColumnFormula>
    </tableColumn>
    <tableColumn id="66" xr3:uid="{A07B67EE-925F-4CF8-BCBE-93BFA8ADD207}" name="Kolonne64" dataDxfId="212" totalsRowDxfId="211">
      <calculatedColumnFormula>IF($A27,BN5,NA())</calculatedColumnFormula>
    </tableColumn>
    <tableColumn id="67" xr3:uid="{C705B925-9731-4F41-855C-337591BE2915}" name="Kolonne65" dataDxfId="210" totalsRowDxfId="209">
      <calculatedColumnFormula>IF($A27,BO5,NA())</calculatedColumnFormula>
    </tableColumn>
    <tableColumn id="68" xr3:uid="{5566B187-AFB1-443D-97B1-D593056E9E24}" name="Kolonne66" dataDxfId="208" totalsRowDxfId="207">
      <calculatedColumnFormula>IF($A27,BP5,NA())</calculatedColumnFormula>
    </tableColumn>
    <tableColumn id="69" xr3:uid="{5A8BC3B6-9C44-47A4-A6C2-C29AD1D9E23E}" name="Kolonne67" dataDxfId="206" totalsRowDxfId="205">
      <calculatedColumnFormula>IF($A27,BQ5,NA())</calculatedColumnFormula>
    </tableColumn>
    <tableColumn id="70" xr3:uid="{2BA1C878-2400-4F0F-8E2A-66C32A134B7A}" name="Kolonne68" dataDxfId="204" totalsRowDxfId="203">
      <calculatedColumnFormula>IF($A27,BR5,NA())</calculatedColumnFormula>
    </tableColumn>
    <tableColumn id="71" xr3:uid="{295D0735-C633-4B12-A9A2-C274D9FCE911}" name="Kolonne69" dataDxfId="202" totalsRowDxfId="201">
      <calculatedColumnFormula>IF($A27,BS5,NA())</calculatedColumnFormula>
    </tableColumn>
    <tableColumn id="72" xr3:uid="{78FE3F0F-8629-4711-B19A-2CF5EA21F250}" name="Kolonne70" dataDxfId="200" totalsRowDxfId="199">
      <calculatedColumnFormula>IF($A27,BT5,NA())</calculatedColumnFormula>
    </tableColumn>
    <tableColumn id="73" xr3:uid="{82808C95-F168-4FEB-A9A2-B4D7CC7916B4}" name="Kolonne71" dataDxfId="198" totalsRowDxfId="197">
      <calculatedColumnFormula>IF($A27,BU5,NA())</calculatedColumnFormula>
    </tableColumn>
    <tableColumn id="74" xr3:uid="{A2326C44-1230-427B-9709-864D940A97D0}" name="Kolonne72" dataDxfId="196" totalsRowDxfId="195">
      <calculatedColumnFormula>IF($A27,BV5,NA())</calculatedColumnFormula>
    </tableColumn>
    <tableColumn id="75" xr3:uid="{A58427CA-FAA9-4169-859C-92CA3C66616C}" name="Kolonne73" dataDxfId="194" totalsRowDxfId="193">
      <calculatedColumnFormula>IF($A27,BW5,NA())</calculatedColumnFormula>
    </tableColumn>
    <tableColumn id="76" xr3:uid="{7DA255FD-9FD1-4D18-9E22-CD9656097899}" name="Kolonne74" dataDxfId="192" totalsRowDxfId="191">
      <calculatedColumnFormula>IF($A27,BX5,NA())</calculatedColumnFormula>
    </tableColumn>
    <tableColumn id="77" xr3:uid="{B1F486DB-76DD-4315-8A29-01D10220F13D}" name="Kolonne75" dataDxfId="190" totalsRowDxfId="189">
      <calculatedColumnFormula>IF($A27,BY5,NA())</calculatedColumnFormula>
    </tableColumn>
    <tableColumn id="78" xr3:uid="{4AFCA740-EF4D-4EAD-8E29-340AEF913035}" name="Kolonne76" dataDxfId="188" totalsRowDxfId="187">
      <calculatedColumnFormula>IF($A27,BZ5,NA())</calculatedColumnFormula>
    </tableColumn>
    <tableColumn id="79" xr3:uid="{6CB3A64C-F79F-4271-A741-BFE7A17E7DE3}" name="Kolonne77" dataDxfId="186" totalsRowDxfId="185">
      <calculatedColumnFormula>IF($A27,CA5,NA())</calculatedColumnFormula>
    </tableColumn>
    <tableColumn id="80" xr3:uid="{88E15220-B0A3-4B18-B4F6-2C4052A8F5F3}" name="Kolonne78" dataDxfId="184" totalsRowDxfId="183">
      <calculatedColumnFormula>IF($A27,CB5,NA())</calculatedColumnFormula>
    </tableColumn>
    <tableColumn id="81" xr3:uid="{719EE358-C772-4C4E-B770-77BB776CC2A9}" name="Kolonne79" dataDxfId="182" totalsRowDxfId="181">
      <calculatedColumnFormula>IF($A27,CC5,NA())</calculatedColumnFormula>
    </tableColumn>
    <tableColumn id="82" xr3:uid="{B15D5DF9-96A2-4089-97A6-1DD369F62A43}" name="Kolonne80" dataDxfId="180" totalsRowDxfId="179">
      <calculatedColumnFormula>IF($A27,CD5,NA())</calculatedColumnFormula>
    </tableColumn>
    <tableColumn id="83" xr3:uid="{4C597D18-CCC1-4B4B-BB73-B0C6B9C75FA0}" name="Kolonne81" dataDxfId="178" totalsRowDxfId="177">
      <calculatedColumnFormula>IF($A27,CE5,NA())</calculatedColumnFormula>
    </tableColumn>
    <tableColumn id="84" xr3:uid="{EC842A07-E20F-4C46-8BC1-9C6DD3BE90BE}" name="Kolonne82" dataDxfId="176" totalsRowDxfId="175">
      <calculatedColumnFormula>IF($A27,CF5,NA())</calculatedColumnFormula>
    </tableColumn>
    <tableColumn id="85" xr3:uid="{75197DFC-53F9-4DED-83A9-4506B5016321}" name="Kolonne83" dataDxfId="174" totalsRowDxfId="173">
      <calculatedColumnFormula>IF($A27,CG5,NA())</calculatedColumnFormula>
    </tableColumn>
    <tableColumn id="86" xr3:uid="{4E5850F6-3B0F-417E-AE32-90F3E6011139}" name="Kolonne84" dataDxfId="172" totalsRowDxfId="171">
      <calculatedColumnFormula>IF($A27,CH5,NA())</calculatedColumnFormula>
    </tableColumn>
    <tableColumn id="87" xr3:uid="{6106F467-A655-4A0F-8F3D-8118B0EA2AFE}" name="Kolonne85" totalsRowFunction="sum" dataDxfId="170" totalsRowDxfId="169">
      <calculatedColumnFormula>IF($A27,CI5,NA())</calculatedColumnFormula>
    </tableColumn>
    <tableColumn id="88" xr3:uid="{D64268B9-BA4A-49F0-8352-DC5A8756C3FD}" name="Kolonne86" dataDxfId="168" totalsRowDxfId="167"/>
    <tableColumn id="89" xr3:uid="{CC2E5644-B62C-4263-9C13-59D36A4D9EFE}" name="Kolonne87" dataDxfId="166" totalsRowDxfId="165"/>
    <tableColumn id="90" xr3:uid="{CAFD4F15-CB03-47F0-B9B6-58756117FCC0}" name="Kolonne88" dataDxfId="164" totalsRowDxfId="163"/>
    <tableColumn id="91" xr3:uid="{1C4E9C68-ABD2-4BE0-A1BA-6005F135ADA3}" name="Kolonne89" dataDxfId="162" totalsRowDxfId="161"/>
    <tableColumn id="92" xr3:uid="{EB1B3C4A-5039-4DB8-822F-D33FDAC1F2A8}" name="Kolonne90" dataDxfId="160" totalsRowDxfId="159"/>
    <tableColumn id="93" xr3:uid="{0A1FE41B-00B7-4B36-B1F9-FD2DD5F58710}" name="Kolonne91" dataDxfId="158" totalsRowDxfId="157"/>
    <tableColumn id="94" xr3:uid="{7267227F-C0D0-4FA8-86E5-C94EA2826E35}" name="Kolonne912" dataDxfId="156" totalsRowDxfId="155"/>
    <tableColumn id="95" xr3:uid="{EA2DA26A-A47B-44C5-9216-4F0E4FB28E0E}" name="Kolonne913" dataDxfId="154" totalsRowDxfId="153"/>
    <tableColumn id="96" xr3:uid="{88F089B5-E485-4E29-A3CE-39181CCC6489}" name="Kolonne914" dataDxfId="152" totalsRowDxfId="151"/>
    <tableColumn id="97" xr3:uid="{2E292A28-3032-4BE8-9A10-EA0909E4011D}" name="Kolonne915" dataDxfId="150" totalsRowDxfId="149"/>
    <tableColumn id="98" xr3:uid="{FE29BD17-B71B-422A-B3DB-3597DA417EE2}" name="Kolonne916" dataDxfId="148" totalsRowDxfId="147"/>
    <tableColumn id="99" xr3:uid="{1D74542F-CFDC-4D62-BFAF-698EC707BED6}" name="Kolonne917" dataDxfId="146" totalsRowDxfId="145"/>
    <tableColumn id="100" xr3:uid="{E13E2AC5-E5F4-4C83-88F5-4AB29AD1B038}" name="Kolonne918" dataDxfId="144" totalsRowDxfId="143"/>
    <tableColumn id="101" xr3:uid="{3199A49D-7F64-474D-89B1-6B45C4B63220}" name="Kolonne919" dataDxfId="142" totalsRowDxfId="141"/>
    <tableColumn id="102" xr3:uid="{72854AD1-6F22-4ECD-8A94-07615C5DA0D2}" name="Kolonne920" dataDxfId="140" totalsRowDxfId="139"/>
    <tableColumn id="103" xr3:uid="{2959FCF6-82B5-4749-9750-44538788E161}" name="Kolonne921" dataDxfId="138" totalsRowDxfId="137"/>
    <tableColumn id="104" xr3:uid="{EDDEFE43-9A89-4AA6-8B23-D441768CA172}" name="Kolonne922" dataDxfId="136" totalsRowDxfId="135"/>
    <tableColumn id="105" xr3:uid="{A922C5B7-22F7-460A-8FDA-157B2BF3C99C}" name="Kolonne923" dataDxfId="134" totalsRowDxfId="133"/>
    <tableColumn id="106" xr3:uid="{B970DDCF-6E7C-4C65-AC3F-67D8AC7712CE}" name="Kolonne924" dataDxfId="132" totalsRowDxfId="131"/>
    <tableColumn id="107" xr3:uid="{51952F39-A447-4461-B4D4-BD7E4662E3D3}" name="Kolonne925" dataDxfId="130" totalsRowDxfId="129"/>
    <tableColumn id="108" xr3:uid="{B3C5DF64-87CD-4715-B297-142AFCE4B1A0}" name="Kolonne926" dataDxfId="128" totalsRowDxfId="127"/>
    <tableColumn id="109" xr3:uid="{16B3402A-E1E6-41AE-B41D-64FE483C1038}" name="Kolonne927" dataDxfId="126" totalsRowDxfId="125"/>
    <tableColumn id="110" xr3:uid="{55F9C712-77DA-49BC-BBE9-3793B5B9AE82}" name="Kolonne928" dataDxfId="124" totalsRowDxfId="123"/>
    <tableColumn id="111" xr3:uid="{D3CF1E84-F786-4686-9C4D-76DC691CFC87}" name="Kolonne929" dataDxfId="122" totalsRowDxfId="121"/>
    <tableColumn id="112" xr3:uid="{DAD61A61-4592-4ECE-8007-5208BA28EA06}" name="Kolonne930" dataDxfId="120" totalsRowDxfId="119"/>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BC75C737-3728-4F9F-A8AE-16CBA35CE4EF}" name="Tidsserie_Budsjettkostnader" displayName="Tidsserie_Budsjettkostnader" ref="A63:DH68" headerRowDxfId="118" headerRowBorderDxfId="117">
  <autoFilter ref="A63:DH68" xr:uid="{7C83AD41-E35A-4995-87D3-7A2CDC50BAFF}">
    <filterColumn colId="0">
      <filters>
        <filter val="SANN/USANN"/>
        <filter val="SANN"/>
      </filters>
    </filterColumn>
  </autoFilter>
  <tableColumns count="112">
    <tableColumn id="1" xr3:uid="{1FB61DA0-84AD-44A9-A8AF-C3F089F7F280}" name="Kolonne1" totalsRowLabel="Totalt"/>
    <tableColumn id="2" xr3:uid="{891038E9-4486-4E1E-BA13-11C5629528F6}" name="Kolonne2">
      <calculatedColumnFormula>B49</calculatedColumnFormula>
    </tableColumn>
    <tableColumn id="3" xr3:uid="{14A87086-28EE-4CDE-A7DE-6D5DAA0CFD3E}" name="Kolonne3">
      <calculatedColumnFormula>IF(AND($A64,C$58),C49,FALSE)</calculatedColumnFormula>
    </tableColumn>
    <tableColumn id="4" xr3:uid="{B5F59E33-B701-40E3-AA08-2D87A369E0CD}" name="Kolonne4">
      <calculatedColumnFormula>IF(AND($A64,D$58),D49,FALSE)</calculatedColumnFormula>
    </tableColumn>
    <tableColumn id="5" xr3:uid="{57986E12-2D61-4BBB-8E83-9BCDB205DB66}" name="Kolonne5">
      <calculatedColumnFormula>IF(AND($A64,E$58),E49,FALSE)</calculatedColumnFormula>
    </tableColumn>
    <tableColumn id="6" xr3:uid="{4BCD26CA-AF81-438C-B2A3-49D308676181}" name="Kolonne6">
      <calculatedColumnFormula>IF(AND($A64,F$58),F49,FALSE)</calculatedColumnFormula>
    </tableColumn>
    <tableColumn id="7" xr3:uid="{8B9A968A-C311-4B11-88CD-87C3C7A46362}" name="Kolonne7">
      <calculatedColumnFormula>IF(AND($A64,G$58),G49,FALSE)</calculatedColumnFormula>
    </tableColumn>
    <tableColumn id="8" xr3:uid="{F7537B6F-DC7E-4CDB-A6D1-93B2D22554FA}" name="Kolonne8">
      <calculatedColumnFormula>IF(AND($A64,H$58),H49,FALSE)</calculatedColumnFormula>
    </tableColumn>
    <tableColumn id="9" xr3:uid="{5763DA8D-2DB7-4F1C-B5E6-3EB9AD4F31A5}" name="Kolonne9">
      <calculatedColumnFormula>IF(AND($A64,I$58),I49,NA())</calculatedColumnFormula>
    </tableColumn>
    <tableColumn id="10" xr3:uid="{AE438E19-C909-45DB-ADB0-02CF12D2C23E}" name="Kolonne10">
      <calculatedColumnFormula>IF(AND($A64,J$58),J49,NA())</calculatedColumnFormula>
    </tableColumn>
    <tableColumn id="11" xr3:uid="{0504D753-72AA-4BD7-BE84-B07A70EE7BA3}" name="Kolonne11">
      <calculatedColumnFormula>IF(AND($A64,K$58),K49,NA())</calculatedColumnFormula>
    </tableColumn>
    <tableColumn id="12" xr3:uid="{968A00E4-88EF-471A-B077-0BE972042C1A}" name="Kolonne12">
      <calculatedColumnFormula>IF(AND($A64,L$58),L49,NA())</calculatedColumnFormula>
    </tableColumn>
    <tableColumn id="13" xr3:uid="{F8D9D145-E308-4CC5-8E7B-9C0F298AA7DB}" name="Kolonne13">
      <calculatedColumnFormula>IF(AND($A64,M$58),M49,NA())</calculatedColumnFormula>
    </tableColumn>
    <tableColumn id="14" xr3:uid="{7E755976-A872-4DD7-9607-914E782D418E}" name="Kolonne14">
      <calculatedColumnFormula>IF(AND($A64,N$58),N49,NA())</calculatedColumnFormula>
    </tableColumn>
    <tableColumn id="15" xr3:uid="{6DA17806-7A70-4757-B6A1-06A48F84A1E4}" name="Kolonne15">
      <calculatedColumnFormula>IF(AND($A64,O$58),O49,NA())</calculatedColumnFormula>
    </tableColumn>
    <tableColumn id="16" xr3:uid="{B3FE0B4D-1465-4DB4-9E1C-213114C531A1}" name="Kolonne16">
      <calculatedColumnFormula>IF(AND($A64,P$58),P49,NA())</calculatedColumnFormula>
    </tableColumn>
    <tableColumn id="17" xr3:uid="{294E5E4B-6997-4E34-BB13-F839F374F1F9}" name="Kolonne17">
      <calculatedColumnFormula>IF(AND($A64,Q$58),Q49,NA())</calculatedColumnFormula>
    </tableColumn>
    <tableColumn id="18" xr3:uid="{7C27D101-F8A8-4EC7-BDA8-65D153A4E291}" name="Kolonne18">
      <calculatedColumnFormula>IF(AND($A64,R$58),R49,NA())</calculatedColumnFormula>
    </tableColumn>
    <tableColumn id="19" xr3:uid="{DB79A5B5-D305-4F37-91B9-6D4703A1F52D}" name="Kolonne19">
      <calculatedColumnFormula>IF(AND($A64,S$58),S49,NA())</calculatedColumnFormula>
    </tableColumn>
    <tableColumn id="20" xr3:uid="{209CFF5D-1289-4314-A6AA-E48679BA4E4A}" name="Kolonne20">
      <calculatedColumnFormula>IF(AND($A64,T$58),T49,NA())</calculatedColumnFormula>
    </tableColumn>
    <tableColumn id="21" xr3:uid="{A1D9AB8D-4EB2-4F7A-BDFA-334CDD1F2C9D}" name="Kolonne21">
      <calculatedColumnFormula>IF(AND($A64,U$58),U49,NA())</calculatedColumnFormula>
    </tableColumn>
    <tableColumn id="22" xr3:uid="{419EC8FC-9FEF-44F2-82FC-8A2E97460443}" name="Kolonne22">
      <calculatedColumnFormula>IF(AND($A64,V$58),V49,NA())</calculatedColumnFormula>
    </tableColumn>
    <tableColumn id="23" xr3:uid="{0A466AE3-D3BF-437E-80FD-F518DE1E6727}" name="Kolonne23">
      <calculatedColumnFormula>IF(AND($A64,W$58),W49,NA())</calculatedColumnFormula>
    </tableColumn>
    <tableColumn id="24" xr3:uid="{C7C62543-A49E-4BED-8306-8AF920D92597}" name="Kolonne24">
      <calculatedColumnFormula>IF(AND($A64,X$58),X49,NA())</calculatedColumnFormula>
    </tableColumn>
    <tableColumn id="25" xr3:uid="{2A13FE1A-3FC8-4587-8CC1-1F52632338F1}" name="Kolonne25">
      <calculatedColumnFormula>IF(AND($A64,Y$58),Y49,NA())</calculatedColumnFormula>
    </tableColumn>
    <tableColumn id="26" xr3:uid="{C5A0BDC2-5DBC-4641-8C26-BB3B5729A353}" name="Kolonne26">
      <calculatedColumnFormula>IF(AND($A64,Z$58),Z49,NA())</calculatedColumnFormula>
    </tableColumn>
    <tableColumn id="27" xr3:uid="{A1B7478C-E769-4ACB-99B9-C098318CD551}" name="Kolonne27">
      <calculatedColumnFormula>IF(AND($A64,AA$58),AA49,NA())</calculatedColumnFormula>
    </tableColumn>
    <tableColumn id="28" xr3:uid="{894C9B2E-1D09-4767-9D3C-E2D393D7A448}" name="Kolonne28">
      <calculatedColumnFormula>IF(AND($A64,AB$58),AB49,NA())</calculatedColumnFormula>
    </tableColumn>
    <tableColumn id="29" xr3:uid="{90C3E511-DD60-4729-A46A-157148A9744F}" name="Kolonne29">
      <calculatedColumnFormula>IF(AND($A64,AC$58),AC49,NA())</calculatedColumnFormula>
    </tableColumn>
    <tableColumn id="30" xr3:uid="{19C3F3E4-F0A6-42A4-BA5E-A83A0350B502}" name="Kolonne30">
      <calculatedColumnFormula>IF(AND($A64,AD$58),AD49,NA())</calculatedColumnFormula>
    </tableColumn>
    <tableColumn id="31" xr3:uid="{42A90975-9EE0-4207-B68D-41EC1DF03F46}" name="Kolonne31">
      <calculatedColumnFormula>IF(AND($A64,AE$58),AE49,NA())</calculatedColumnFormula>
    </tableColumn>
    <tableColumn id="32" xr3:uid="{65E90224-BC6C-4A8A-8693-2185E0E8BCC5}" name="Kolonne32">
      <calculatedColumnFormula>IF(AND($A64,AF$58),AF49,NA())</calculatedColumnFormula>
    </tableColumn>
    <tableColumn id="33" xr3:uid="{6A9D6656-F96C-4CF3-95ED-F392357D1B43}" name="Kolonne33">
      <calculatedColumnFormula>IF(AND($A64,AG$58),AG49,NA())</calculatedColumnFormula>
    </tableColumn>
    <tableColumn id="34" xr3:uid="{BA28E09F-C35E-4EAA-81B8-CF9CBF582112}" name="Kolonne34">
      <calculatedColumnFormula>IF(AND($A64,AH$58),AH49,NA())</calculatedColumnFormula>
    </tableColumn>
    <tableColumn id="35" xr3:uid="{3AD66BC3-9B67-40EF-A744-1A57DB01AFC3}" name="Kolonne35">
      <calculatedColumnFormula>IF(AND($A64,AI$58),AI49,NA())</calculatedColumnFormula>
    </tableColumn>
    <tableColumn id="36" xr3:uid="{0C143AA5-4318-465C-AD0E-62CEFED0C3CA}" name="Kolonne36">
      <calculatedColumnFormula>IF(AND($A64,AJ$58),AJ49,NA())</calculatedColumnFormula>
    </tableColumn>
    <tableColumn id="37" xr3:uid="{69F62F33-B26D-40A3-9179-5A8661F9B7E8}" name="Kolonne37">
      <calculatedColumnFormula>IF(AND($A64,AK$58),AK49,NA())</calculatedColumnFormula>
    </tableColumn>
    <tableColumn id="38" xr3:uid="{2A9EE953-6B8E-41FC-8642-5A318268BC47}" name="Kolonne38">
      <calculatedColumnFormula>IF(AND($A64,AL$58),AL49,NA())</calculatedColumnFormula>
    </tableColumn>
    <tableColumn id="39" xr3:uid="{5F9C3FE4-003E-4FF8-A823-18EE4C81535F}" name="Kolonne39">
      <calculatedColumnFormula>IF(AND($A64,AM$58),AM49,NA())</calculatedColumnFormula>
    </tableColumn>
    <tableColumn id="40" xr3:uid="{DC2F44A0-F5F1-4E39-87FE-B919B477EF01}" name="Kolonne40">
      <calculatedColumnFormula>IF(AND($A64,AN$58),AN49,NA())</calculatedColumnFormula>
    </tableColumn>
    <tableColumn id="41" xr3:uid="{68B94F86-1F71-4761-8950-28560BF8CE0B}" name="Kolonne41">
      <calculatedColumnFormula>IF(AND($A64,AO$58),AO49,NA())</calculatedColumnFormula>
    </tableColumn>
    <tableColumn id="42" xr3:uid="{752E723E-A80C-4DFF-97B9-A47CC7D1B178}" name="Kolonne42">
      <calculatedColumnFormula>IF(AND($A64,AP$58),AP49,NA())</calculatedColumnFormula>
    </tableColumn>
    <tableColumn id="43" xr3:uid="{C4377246-6ED2-40E4-915D-F9F50789C6A5}" name="Kolonne43">
      <calculatedColumnFormula>IF(AND($A64,AQ$58),AQ49,NA())</calculatedColumnFormula>
    </tableColumn>
    <tableColumn id="44" xr3:uid="{04ADEE9A-A3A9-4BD4-943E-355C715D0D41}" name="Kolonne44">
      <calculatedColumnFormula>IF(AND($A64,AR$58),AR49,NA())</calculatedColumnFormula>
    </tableColumn>
    <tableColumn id="45" xr3:uid="{DC3FF5B4-8143-42E9-9520-2522DE7D28B5}" name="Kolonne45">
      <calculatedColumnFormula>IF(AND($A64,AS$58),AS49,NA())</calculatedColumnFormula>
    </tableColumn>
    <tableColumn id="46" xr3:uid="{1D81D375-00F6-4063-BA38-535534834483}" name="Kolonne46">
      <calculatedColumnFormula>IF(AND($A64,AT$58),AT49,NA())</calculatedColumnFormula>
    </tableColumn>
    <tableColumn id="47" xr3:uid="{73F57251-4768-4D4B-B760-B77E0810F7D0}" name="Kolonne47">
      <calculatedColumnFormula>IF(AND($A64,AU$58),AU49,NA())</calculatedColumnFormula>
    </tableColumn>
    <tableColumn id="48" xr3:uid="{D3E4395A-116D-4C83-9C0C-FA12A8F54E30}" name="Kolonne48">
      <calculatedColumnFormula>IF(AND($A64,AV$58),AV49,NA())</calculatedColumnFormula>
    </tableColumn>
    <tableColumn id="49" xr3:uid="{03265C89-3833-4459-AD3C-803366CC73B0}" name="Kolonne49">
      <calculatedColumnFormula>IF(AND($A64,AW$58),AW49,NA())</calculatedColumnFormula>
    </tableColumn>
    <tableColumn id="50" xr3:uid="{DC3A8B34-2E4A-475B-AC80-C6ADB9B0572F}" name="Kolonne50">
      <calculatedColumnFormula>IF(AND($A64,AX$58),AX49,NA())</calculatedColumnFormula>
    </tableColumn>
    <tableColumn id="51" xr3:uid="{308FA2FC-AA2F-48E3-A3DC-72A6AAFDCA4A}" name="Kolonne51">
      <calculatedColumnFormula>IF(AND($A64,AY$58),AY49,NA())</calculatedColumnFormula>
    </tableColumn>
    <tableColumn id="52" xr3:uid="{8F197B05-09C8-4908-B93D-75F88E925029}" name="Kolonne52">
      <calculatedColumnFormula>IF(AND($A64,AZ$58),AZ49,NA())</calculatedColumnFormula>
    </tableColumn>
    <tableColumn id="53" xr3:uid="{89CE2476-027C-440E-881E-7C6178403CB6}" name="Kolonne53">
      <calculatedColumnFormula>IF(AND($A64,BA$58),BA49,NA())</calculatedColumnFormula>
    </tableColumn>
    <tableColumn id="54" xr3:uid="{448D7B0D-E6AF-4FE0-A8BC-2085F7948202}" name="Kolonne54">
      <calculatedColumnFormula>IF(AND($A64,BB$58),BB49,NA())</calculatedColumnFormula>
    </tableColumn>
    <tableColumn id="55" xr3:uid="{FFD5F945-AF1E-4086-AD3A-DD23473A3417}" name="Kolonne55">
      <calculatedColumnFormula>IF(AND($A64,BC$58),BC49,NA())</calculatedColumnFormula>
    </tableColumn>
    <tableColumn id="56" xr3:uid="{C69C4F8A-9F75-46C3-8D7B-6D95044FF707}" name="Kolonne56">
      <calculatedColumnFormula>IF(AND($A64,BD$58),BD49,NA())</calculatedColumnFormula>
    </tableColumn>
    <tableColumn id="57" xr3:uid="{FEBFA719-6C8D-49F1-9840-8B2ACFCE73A0}" name="Kolonne57">
      <calculatedColumnFormula>IF(AND($A64,BE$58),BE49,NA())</calculatedColumnFormula>
    </tableColumn>
    <tableColumn id="58" xr3:uid="{99FA6362-4134-4970-A211-C4B1A165B840}" name="Kolonne58">
      <calculatedColumnFormula>IF(AND($A64,BF$58),BF49,NA())</calculatedColumnFormula>
    </tableColumn>
    <tableColumn id="59" xr3:uid="{5FE84CA2-88C1-4D98-9D8C-4BE93EFAAF56}" name="Kolonne59">
      <calculatedColumnFormula>IF(AND($A64,BG$58),BG49,NA())</calculatedColumnFormula>
    </tableColumn>
    <tableColumn id="60" xr3:uid="{844F452F-D9E1-427F-83BA-984E38B2CF6D}" name="Kolonne60">
      <calculatedColumnFormula>IF(AND($A64,BH$58),BH49,NA())</calculatedColumnFormula>
    </tableColumn>
    <tableColumn id="61" xr3:uid="{924518B5-B835-4E1C-9967-FCC7FDC2060A}" name="Kolonne61">
      <calculatedColumnFormula>IF(AND($A64,BI$58),BI49,NA())</calculatedColumnFormula>
    </tableColumn>
    <tableColumn id="62" xr3:uid="{3C9E7F71-F487-4891-82F3-1B05ED015A2C}" name="Kolonne62">
      <calculatedColumnFormula>IF(AND($A64,BJ$58),BJ49,NA())</calculatedColumnFormula>
    </tableColumn>
    <tableColumn id="63" xr3:uid="{4BAB3BB6-54F9-41FA-AC5B-92ADA9348AE5}" name="Kolonne63">
      <calculatedColumnFormula>IF(AND($A64,BK$58),BK49,NA())</calculatedColumnFormula>
    </tableColumn>
    <tableColumn id="64" xr3:uid="{7734AAAE-8520-4BD2-BD06-AEEC5155A336}" name="Kolonne64">
      <calculatedColumnFormula>IF(AND($A64,BL$58),BL49,NA())</calculatedColumnFormula>
    </tableColumn>
    <tableColumn id="65" xr3:uid="{8300FF39-44D5-4377-9455-50FCC6F5BDF6}" name="Kolonne65">
      <calculatedColumnFormula>IF(AND($A64,BM$58),BM49,NA())</calculatedColumnFormula>
    </tableColumn>
    <tableColumn id="66" xr3:uid="{A609ACF4-E7D9-48EA-B7D1-9D32B7C4D72C}" name="Kolonne66">
      <calculatedColumnFormula>IF(AND($A64,BN$58),BN49,NA())</calculatedColumnFormula>
    </tableColumn>
    <tableColumn id="67" xr3:uid="{90E319E6-2444-4F4E-BE74-F59E1A633EFF}" name="Kolonne67">
      <calculatedColumnFormula>IF(AND($A64,BO$58),BO49,NA())</calculatedColumnFormula>
    </tableColumn>
    <tableColumn id="68" xr3:uid="{84AFC9F6-48C9-4DF8-A923-A5F1FD0B63E6}" name="Kolonne68">
      <calculatedColumnFormula>IF(AND($A64,BP$58),BP49,NA())</calculatedColumnFormula>
    </tableColumn>
    <tableColumn id="69" xr3:uid="{8D6511D3-A503-44B3-A4B7-8E4863502D88}" name="Kolonne69">
      <calculatedColumnFormula>IF(AND($A64,BQ$58),BQ49,NA())</calculatedColumnFormula>
    </tableColumn>
    <tableColumn id="70" xr3:uid="{D639A6F9-2A82-40AC-9DE0-9E2D3B419C6F}" name="Kolonne70">
      <calculatedColumnFormula>IF(AND($A64,BR$58),BR49,NA())</calculatedColumnFormula>
    </tableColumn>
    <tableColumn id="71" xr3:uid="{E87C0CB6-44A1-44BF-A22D-377053C5BDF3}" name="Kolonne71">
      <calculatedColumnFormula>IF(AND($A64,BS$58),BS49,NA())</calculatedColumnFormula>
    </tableColumn>
    <tableColumn id="72" xr3:uid="{23F49BAE-D812-497E-8391-6AC2D75768D2}" name="Kolonne72">
      <calculatedColumnFormula>IF(AND($A64,BT$58),BT49,NA())</calculatedColumnFormula>
    </tableColumn>
    <tableColumn id="73" xr3:uid="{76393FCF-928B-4788-88FD-DA82BD13E338}" name="Kolonne73">
      <calculatedColumnFormula>IF(AND($A64,BU$58),BU49,NA())</calculatedColumnFormula>
    </tableColumn>
    <tableColumn id="74" xr3:uid="{CA2D9960-F4E8-4E3F-9495-790964EE9D14}" name="Kolonne74">
      <calculatedColumnFormula>IF(AND($A64,BV$58),BV49,NA())</calculatedColumnFormula>
    </tableColumn>
    <tableColumn id="75" xr3:uid="{D53700FA-BE2C-4CB6-8937-83EEECC7E142}" name="Kolonne75">
      <calculatedColumnFormula>IF(AND($A64,BW$58),BW49,NA())</calculatedColumnFormula>
    </tableColumn>
    <tableColumn id="76" xr3:uid="{4621F0D0-C9E6-49CE-8BA7-E92C310D6276}" name="Kolonne76">
      <calculatedColumnFormula>IF(AND($A64,BX$58),BX49,NA())</calculatedColumnFormula>
    </tableColumn>
    <tableColumn id="77" xr3:uid="{4F60D18B-99BA-4E90-8B69-F04B38857A62}" name="Kolonne77">
      <calculatedColumnFormula>IF(AND($A64,BY$58),BY49,NA())</calculatedColumnFormula>
    </tableColumn>
    <tableColumn id="78" xr3:uid="{4EACBA92-716D-4C90-86B6-8E1D2477E52C}" name="Kolonne78">
      <calculatedColumnFormula>IF(AND($A64,BZ$58),BZ49,NA())</calculatedColumnFormula>
    </tableColumn>
    <tableColumn id="79" xr3:uid="{70B99386-A959-4C79-B703-2797957A6374}" name="Kolonne79">
      <calculatedColumnFormula>IF(AND($A64,CA$58),CA49,NA())</calculatedColumnFormula>
    </tableColumn>
    <tableColumn id="80" xr3:uid="{2696DE00-3D00-4D3D-86EF-2CEB5E4AA8D3}" name="Kolonne80">
      <calculatedColumnFormula>IF(AND($A64,CB$58),CB49,NA())</calculatedColumnFormula>
    </tableColumn>
    <tableColumn id="81" xr3:uid="{6134B4CE-D617-411B-B98D-E62DB3324B95}" name="Kolonne81">
      <calculatedColumnFormula>IF(AND($A64,CC$58),CC49,NA())</calculatedColumnFormula>
    </tableColumn>
    <tableColumn id="82" xr3:uid="{553DB1F7-A041-4713-84C6-FB1748698A56}" name="Kolonne82">
      <calculatedColumnFormula>IF(AND($A64,CD$58),CD49,NA())</calculatedColumnFormula>
    </tableColumn>
    <tableColumn id="83" xr3:uid="{08EDCC09-C692-4B78-A086-AC49AC277CFB}" name="Kolonne83">
      <calculatedColumnFormula>IF(AND($A64,CE$58),CE49,NA())</calculatedColumnFormula>
    </tableColumn>
    <tableColumn id="84" xr3:uid="{0B69DE6F-1660-4961-BBE3-A2CEBA36323A}" name="Kolonne84">
      <calculatedColumnFormula>IF(AND($A64,CF$58),CF49,NA())</calculatedColumnFormula>
    </tableColumn>
    <tableColumn id="85" xr3:uid="{BEA9433B-0048-4871-9936-0658F40DFECE}" name="Kolonne85">
      <calculatedColumnFormula>IF(AND($A64,CG$58),CG49,NA())</calculatedColumnFormula>
    </tableColumn>
    <tableColumn id="86" xr3:uid="{A91A0FF0-B89E-439D-984D-740C2B26F3B1}" name="Kolonne86">
      <calculatedColumnFormula>IF(AND($A64,CH$58),CH49,NA())</calculatedColumnFormula>
    </tableColumn>
    <tableColumn id="87" xr3:uid="{24DE9E59-E119-4BFA-8643-84C6C544BAC7}" name="Kolonne87" totalsRowFunction="count">
      <calculatedColumnFormula>IF(AND($A64,CI$58),CI49,NA())</calculatedColumnFormula>
    </tableColumn>
    <tableColumn id="88" xr3:uid="{DD9AE393-5736-4C8A-9547-DE0CE1B7E7F8}" name="Kolonne872"/>
    <tableColumn id="89" xr3:uid="{7E5F8222-B0F1-44EC-8AC9-0EAFF2D9658C}" name="Kolonne873"/>
    <tableColumn id="90" xr3:uid="{E499A214-0DE8-4F4E-988C-8E3B203B6521}" name="Kolonne874"/>
    <tableColumn id="91" xr3:uid="{1B7982C2-5DDE-4DF4-B19E-413EEAA1B60A}" name="Kolonne875"/>
    <tableColumn id="92" xr3:uid="{616FEFFA-781A-4BB2-93EF-21A927B97A68}" name="Kolonne876"/>
    <tableColumn id="93" xr3:uid="{5013AFEB-88A2-4F9B-80C2-4FEB93FE6631}" name="Kolonne877"/>
    <tableColumn id="94" xr3:uid="{562262E6-2CFE-4831-B849-74D39288B903}" name="Kolonne878"/>
    <tableColumn id="95" xr3:uid="{BB8E7670-4887-4210-8111-3D87CE21DF75}" name="Kolonne879"/>
    <tableColumn id="96" xr3:uid="{57A86CDE-8A74-4488-A2EF-8B2AC2440780}" name="Kolonne8710"/>
    <tableColumn id="97" xr3:uid="{983F6ADC-E1F8-4C5A-A557-1DB5FFAF7FF0}" name="Kolonne8711"/>
    <tableColumn id="98" xr3:uid="{9D56086C-25AF-43D1-AC0D-DA0F194D7D54}" name="Kolonne8712"/>
    <tableColumn id="99" xr3:uid="{47B3668B-5A70-411E-96EF-9F5EF9E89A25}" name="Kolonne8713"/>
    <tableColumn id="100" xr3:uid="{69E8E1AC-6A4D-46C0-8B81-49248080A118}" name="Kolonne8714"/>
    <tableColumn id="101" xr3:uid="{CEAA7ACE-B2B1-4FDB-A142-558B8B7AE7C9}" name="Kolonne8715"/>
    <tableColumn id="102" xr3:uid="{FD9CB53D-3C18-4599-8A7A-7B2F3ADDBAA3}" name="Kolonne8716"/>
    <tableColumn id="103" xr3:uid="{56DA195A-9080-43F4-A286-CD122B5B9F37}" name="Kolonne8717"/>
    <tableColumn id="104" xr3:uid="{3176A5BB-18B2-46C7-8E52-EEF0762498BB}" name="Kolonne8718"/>
    <tableColumn id="105" xr3:uid="{054480CA-5E32-4E0D-AFB8-58317540B336}" name="Kolonne8719"/>
    <tableColumn id="106" xr3:uid="{62CFC0B8-175D-4F08-A0F9-1AB66349B198}" name="Kolonne8720"/>
    <tableColumn id="107" xr3:uid="{7B650E98-D01E-4946-B3EE-F930D5CAE861}" name="Kolonne8721"/>
    <tableColumn id="108" xr3:uid="{77003662-27F6-481C-AD8A-C77D3F2D19F2}" name="Kolonne8722"/>
    <tableColumn id="109" xr3:uid="{98D2864B-993D-4271-8A52-D45580B2FD1F}" name="Kolonne8723"/>
    <tableColumn id="110" xr3:uid="{5BBDEB37-861C-43CC-9F9A-3C5AFB137B47}" name="Kolonne8724"/>
    <tableColumn id="111" xr3:uid="{1536946E-A76A-4AC3-B150-1CFB2F2E4543}" name="Kolonne8725"/>
    <tableColumn id="112" xr3:uid="{BAE6A9F9-A58F-4A35-BA64-7C3D8F793849}" name="Kolonne8726"/>
  </tableColumns>
  <tableStyleInfo name="TableStyleMedium2" showFirstColumn="1"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47FEDCAD-7491-47E8-90C1-72CAC228BB62}" name="Tabell5" displayName="Tabell5" ref="B89:DI96" totalsRowShown="0" headerRowDxfId="116" dataDxfId="115">
  <autoFilter ref="B89:DI96" xr:uid="{EED8C5C3-3FBB-4DCB-988A-FF785593A910}"/>
  <tableColumns count="112">
    <tableColumn id="1" xr3:uid="{80959D74-77A7-47AB-991C-611E043CE7C3}" name="Kolonne1" dataDxfId="114"/>
    <tableColumn id="2" xr3:uid="{BEA3D215-75FC-4C9B-AA79-E6EDDCD99141}" name="Kolonne2"/>
    <tableColumn id="3" xr3:uid="{7966D696-B082-4413-85FA-E3110915B1D6}" name="Kolonne3" dataDxfId="113">
      <calculatedColumnFormula>D77</calculatedColumnFormula>
    </tableColumn>
    <tableColumn id="4" xr3:uid="{B47D74D4-889A-4DA7-A98A-24E10E551E9D}" name="Kolonne4" dataDxfId="112">
      <calculatedColumnFormula>E77</calculatedColumnFormula>
    </tableColumn>
    <tableColumn id="5" xr3:uid="{30FBA446-3982-4311-889C-00234F229A34}" name="Kolonne5" dataDxfId="111">
      <calculatedColumnFormula>F77</calculatedColumnFormula>
    </tableColumn>
    <tableColumn id="6" xr3:uid="{8689E580-14C7-41C7-93A5-44BA79D6D9F9}" name="Kolonne6" dataDxfId="110">
      <calculatedColumnFormula>G77</calculatedColumnFormula>
    </tableColumn>
    <tableColumn id="7" xr3:uid="{8F5694D1-06B8-48DD-9703-0D508113AC21}" name="Kolonne7" dataDxfId="109">
      <calculatedColumnFormula>H77</calculatedColumnFormula>
    </tableColumn>
    <tableColumn id="8" xr3:uid="{8811A495-B6C7-47BA-9D58-24844D6C1793}" name="Kolonne8" dataDxfId="108">
      <calculatedColumnFormula>I77</calculatedColumnFormula>
    </tableColumn>
    <tableColumn id="9" xr3:uid="{967375C5-5AE8-4DAD-B95B-35BF919EC360}" name="Kolonne9" dataDxfId="107">
      <calculatedColumnFormula>J77</calculatedColumnFormula>
    </tableColumn>
    <tableColumn id="10" xr3:uid="{EC919BD2-C9E5-4606-A42E-A55D04F618D7}" name="Kolonne10" dataDxfId="106">
      <calculatedColumnFormula>K77</calculatedColumnFormula>
    </tableColumn>
    <tableColumn id="11" xr3:uid="{E48165C2-D3BD-4DA2-8973-3A366F4B88C0}" name="Kolonne11" dataDxfId="105">
      <calculatedColumnFormula>L77</calculatedColumnFormula>
    </tableColumn>
    <tableColumn id="12" xr3:uid="{B5DFBAC6-0741-4FF2-A5E8-5003605C0469}" name="Kolonne12" dataDxfId="104">
      <calculatedColumnFormula>M77</calculatedColumnFormula>
    </tableColumn>
    <tableColumn id="13" xr3:uid="{C2BC5CCA-65B7-43E2-BF71-BBC8998F441E}" name="Kolonne13" dataDxfId="103">
      <calculatedColumnFormula>N77</calculatedColumnFormula>
    </tableColumn>
    <tableColumn id="14" xr3:uid="{9C3FF1C9-56D7-4101-95AE-E0EFA6181854}" name="Kolonne14" dataDxfId="102">
      <calculatedColumnFormula>O77</calculatedColumnFormula>
    </tableColumn>
    <tableColumn id="15" xr3:uid="{196E314D-9117-41EB-ADC4-52AAAD7BD40B}" name="Kolonne15" dataDxfId="101">
      <calculatedColumnFormula>P77</calculatedColumnFormula>
    </tableColumn>
    <tableColumn id="16" xr3:uid="{089F69D2-E564-4D40-8852-A581E494F23E}" name="Kolonne16" dataDxfId="100">
      <calculatedColumnFormula>Q77</calculatedColumnFormula>
    </tableColumn>
    <tableColumn id="17" xr3:uid="{34301F75-872E-4705-AFD6-84C3876B59B8}" name="Kolonne17" dataDxfId="99">
      <calculatedColumnFormula>R77</calculatedColumnFormula>
    </tableColumn>
    <tableColumn id="18" xr3:uid="{5FC0E4E0-0B35-45CA-8490-BA10D939B07A}" name="Kolonne18" dataDxfId="98">
      <calculatedColumnFormula>S77</calculatedColumnFormula>
    </tableColumn>
    <tableColumn id="19" xr3:uid="{5DAFEBD2-EE9C-4381-9175-4754950BC0C4}" name="Kolonne19" dataDxfId="97">
      <calculatedColumnFormula>T77</calculatedColumnFormula>
    </tableColumn>
    <tableColumn id="20" xr3:uid="{1E51E3A6-3D3A-4473-9A9C-0F4E5E8F60F7}" name="Kolonne20" dataDxfId="96">
      <calculatedColumnFormula>U77</calculatedColumnFormula>
    </tableColumn>
    <tableColumn id="21" xr3:uid="{3739707F-EEBF-4D64-AEB9-873DA9B34259}" name="Kolonne21" dataDxfId="95">
      <calculatedColumnFormula>V77</calculatedColumnFormula>
    </tableColumn>
    <tableColumn id="22" xr3:uid="{0782202D-14E3-4691-8351-40F2EFEFD2C2}" name="Kolonne22" dataDxfId="94">
      <calculatedColumnFormula>W77</calculatedColumnFormula>
    </tableColumn>
    <tableColumn id="23" xr3:uid="{D2141C43-E2DD-46B0-A9F4-5CF49AAD3542}" name="Kolonne23" dataDxfId="93">
      <calculatedColumnFormula>X77</calculatedColumnFormula>
    </tableColumn>
    <tableColumn id="24" xr3:uid="{65940C93-D6C1-4693-9531-14BF436718DA}" name="Kolonne24" dataDxfId="92">
      <calculatedColumnFormula>Y77</calculatedColumnFormula>
    </tableColumn>
    <tableColumn id="25" xr3:uid="{F790BBB6-D411-4801-9B76-476ED23C4C6F}" name="Kolonne25" dataDxfId="91">
      <calculatedColumnFormula>Z77</calculatedColumnFormula>
    </tableColumn>
    <tableColumn id="26" xr3:uid="{D61E3690-C9C8-4E0A-AD70-A092410660CE}" name="Kolonne26" dataDxfId="90">
      <calculatedColumnFormula>AA77</calculatedColumnFormula>
    </tableColumn>
    <tableColumn id="27" xr3:uid="{04CE0543-7C7A-4C46-9070-B6AE8241C4D8}" name="Kolonne27" dataDxfId="89">
      <calculatedColumnFormula>AB77</calculatedColumnFormula>
    </tableColumn>
    <tableColumn id="28" xr3:uid="{8AEC4594-F440-4471-B40C-785A7867A28A}" name="Kolonne28" dataDxfId="88">
      <calculatedColumnFormula>AC77</calculatedColumnFormula>
    </tableColumn>
    <tableColumn id="29" xr3:uid="{E75FA337-85EC-40B1-85E8-E6E5B534A6AE}" name="Kolonne29" dataDxfId="87">
      <calculatedColumnFormula>AD77</calculatedColumnFormula>
    </tableColumn>
    <tableColumn id="30" xr3:uid="{7FC1A3C9-DE96-4535-8477-D86FBBFCF0E2}" name="Kolonne30" dataDxfId="86">
      <calculatedColumnFormula>AE77</calculatedColumnFormula>
    </tableColumn>
    <tableColumn id="31" xr3:uid="{D5A0232E-80E2-46BB-AE38-BEFEDE2C85BB}" name="Kolonne31" dataDxfId="85">
      <calculatedColumnFormula>AF77</calculatedColumnFormula>
    </tableColumn>
    <tableColumn id="32" xr3:uid="{6C5D0472-6F75-46F6-95F5-760BBF8C95C5}" name="Kolonne32" dataDxfId="84">
      <calculatedColumnFormula>AG77</calculatedColumnFormula>
    </tableColumn>
    <tableColumn id="33" xr3:uid="{CC120747-12C8-4B44-BEB3-C17BDC326321}" name="Kolonne33" dataDxfId="83">
      <calculatedColumnFormula>AH77</calculatedColumnFormula>
    </tableColumn>
    <tableColumn id="34" xr3:uid="{A0AEAF9E-797D-4A99-BFE9-2406E4A281D3}" name="Kolonne34" dataDxfId="82">
      <calculatedColumnFormula>AI77</calculatedColumnFormula>
    </tableColumn>
    <tableColumn id="35" xr3:uid="{8E7F75FF-53E9-42E0-9531-F994E5945F23}" name="Kolonne35" dataDxfId="81">
      <calculatedColumnFormula>AJ77</calculatedColumnFormula>
    </tableColumn>
    <tableColumn id="36" xr3:uid="{385F2A5B-A5BF-45C4-A549-35541D01D996}" name="Kolonne36" dataDxfId="80">
      <calculatedColumnFormula>AK77</calculatedColumnFormula>
    </tableColumn>
    <tableColumn id="37" xr3:uid="{B1C33998-F5D9-4337-8719-117AB0469561}" name="Kolonne37" dataDxfId="79">
      <calculatedColumnFormula>AL77</calculatedColumnFormula>
    </tableColumn>
    <tableColumn id="38" xr3:uid="{04EC7114-BF3F-4A57-8CC5-4C5CB7D3096C}" name="Kolonne38" dataDxfId="78">
      <calculatedColumnFormula>AM77</calculatedColumnFormula>
    </tableColumn>
    <tableColumn id="39" xr3:uid="{6D9C6427-915E-4613-A8AE-77D2CBD43233}" name="Kolonne39" dataDxfId="77">
      <calculatedColumnFormula>AN77</calculatedColumnFormula>
    </tableColumn>
    <tableColumn id="40" xr3:uid="{CA45845A-92F9-461B-8522-DE49F32FA021}" name="Kolonne40" dataDxfId="76">
      <calculatedColumnFormula>AO77</calculatedColumnFormula>
    </tableColumn>
    <tableColumn id="41" xr3:uid="{25F083AA-7E89-439D-A621-F2249BF56183}" name="Kolonne41" dataDxfId="75">
      <calculatedColumnFormula>AP77</calculatedColumnFormula>
    </tableColumn>
    <tableColumn id="42" xr3:uid="{9B07555E-31B6-4486-8A67-F8C229C16121}" name="Kolonne42" dataDxfId="74">
      <calculatedColumnFormula>AQ77</calculatedColumnFormula>
    </tableColumn>
    <tableColumn id="43" xr3:uid="{77AD79F9-757C-47D3-97FD-7FCDAFA9AC7F}" name="Kolonne43" dataDxfId="73">
      <calculatedColumnFormula>AR77</calculatedColumnFormula>
    </tableColumn>
    <tableColumn id="44" xr3:uid="{DFEF29DC-5D05-48FD-940C-1B2870375A64}" name="Kolonne44" dataDxfId="72">
      <calculatedColumnFormula>AS77</calculatedColumnFormula>
    </tableColumn>
    <tableColumn id="45" xr3:uid="{58A386A9-D5CA-4CF9-99A5-78427A384F30}" name="Kolonne45" dataDxfId="71">
      <calculatedColumnFormula>AT77</calculatedColumnFormula>
    </tableColumn>
    <tableColumn id="46" xr3:uid="{50696501-4DC8-4365-8419-82260C7A4115}" name="Kolonne46" dataDxfId="70">
      <calculatedColumnFormula>AU77</calculatedColumnFormula>
    </tableColumn>
    <tableColumn id="47" xr3:uid="{AB811921-74E0-422C-B790-67A46DDA6C37}" name="Kolonne47" dataDxfId="69">
      <calculatedColumnFormula>AV77</calculatedColumnFormula>
    </tableColumn>
    <tableColumn id="48" xr3:uid="{2580F670-917A-4E1F-8CC4-57C90AD6C603}" name="Kolonne48" dataDxfId="68">
      <calculatedColumnFormula>AW77</calculatedColumnFormula>
    </tableColumn>
    <tableColumn id="49" xr3:uid="{5E92B02A-DE00-40B5-9631-243306EB1FE4}" name="Kolonne49" dataDxfId="67">
      <calculatedColumnFormula>AX77</calculatedColumnFormula>
    </tableColumn>
    <tableColumn id="50" xr3:uid="{51AF5B18-1F72-4346-B810-3ACF77B6E6C1}" name="Kolonne50" dataDxfId="66">
      <calculatedColumnFormula>AY77</calculatedColumnFormula>
    </tableColumn>
    <tableColumn id="51" xr3:uid="{266B7DEE-B4E0-4880-AC65-70E6E168321C}" name="Kolonne51" dataDxfId="65">
      <calculatedColumnFormula>AZ77</calculatedColumnFormula>
    </tableColumn>
    <tableColumn id="52" xr3:uid="{AACD4E8F-B613-4C1F-B315-13649A22D2C8}" name="Kolonne52" dataDxfId="64">
      <calculatedColumnFormula>BA77</calculatedColumnFormula>
    </tableColumn>
    <tableColumn id="53" xr3:uid="{7B61F507-BFC9-4BD2-A9BB-49FC224A5204}" name="Kolonne53" dataDxfId="63">
      <calculatedColumnFormula>BB77</calculatedColumnFormula>
    </tableColumn>
    <tableColumn id="54" xr3:uid="{6BCA912A-181D-44B6-947B-887E0BF19B7D}" name="Kolonne54" dataDxfId="62">
      <calculatedColumnFormula>BC77</calculatedColumnFormula>
    </tableColumn>
    <tableColumn id="55" xr3:uid="{CC38686F-D434-416F-9219-B73EB801A69F}" name="Kolonne55" dataDxfId="61">
      <calculatedColumnFormula>BD77</calculatedColumnFormula>
    </tableColumn>
    <tableColumn id="56" xr3:uid="{5D2F18E2-A6B0-49E5-AFE7-4910C50D6AC7}" name="Kolonne56" dataDxfId="60">
      <calculatedColumnFormula>BE77</calculatedColumnFormula>
    </tableColumn>
    <tableColumn id="57" xr3:uid="{2B697E1B-4F5B-446E-8952-6B4A5FE28E4C}" name="Kolonne57" dataDxfId="59">
      <calculatedColumnFormula>BF77</calculatedColumnFormula>
    </tableColumn>
    <tableColumn id="58" xr3:uid="{686B00AD-2C7B-41CD-9E08-AD9C1DC83415}" name="Kolonne58" dataDxfId="58">
      <calculatedColumnFormula>BG77</calculatedColumnFormula>
    </tableColumn>
    <tableColumn id="59" xr3:uid="{B572409E-8DB2-4EDC-B3E0-6DBC73287A4A}" name="Kolonne59" dataDxfId="57">
      <calculatedColumnFormula>BH77</calculatedColumnFormula>
    </tableColumn>
    <tableColumn id="60" xr3:uid="{1FB7E0A8-416D-4AE1-9FDB-9E2D84003AD7}" name="Kolonne60" dataDxfId="56">
      <calculatedColumnFormula>BI77</calculatedColumnFormula>
    </tableColumn>
    <tableColumn id="61" xr3:uid="{899B851B-0384-4D48-B4F4-0703764BD59D}" name="Kolonne61" dataDxfId="55">
      <calculatedColumnFormula>BJ77</calculatedColumnFormula>
    </tableColumn>
    <tableColumn id="62" xr3:uid="{6CCB4FAF-B830-4A34-9A92-5A7C4AEA84B1}" name="Kolonne62" dataDxfId="54">
      <calculatedColumnFormula>BK77</calculatedColumnFormula>
    </tableColumn>
    <tableColumn id="63" xr3:uid="{7B803F42-C0C2-4346-B0F5-03F683F64AD2}" name="Kolonne63" dataDxfId="53">
      <calculatedColumnFormula>BL77</calculatedColumnFormula>
    </tableColumn>
    <tableColumn id="64" xr3:uid="{B5355BF9-AB2C-4833-8482-11B0B7072AA0}" name="Kolonne64" dataDxfId="52">
      <calculatedColumnFormula>BM77</calculatedColumnFormula>
    </tableColumn>
    <tableColumn id="65" xr3:uid="{2C611F21-C163-40D4-AE45-07390FB15FF8}" name="Kolonne65" dataDxfId="51">
      <calculatedColumnFormula>BN77</calculatedColumnFormula>
    </tableColumn>
    <tableColumn id="66" xr3:uid="{E876F585-4986-4969-9850-0BAB11494D90}" name="Kolonne66" dataDxfId="50">
      <calculatedColumnFormula>BO77</calculatedColumnFormula>
    </tableColumn>
    <tableColumn id="67" xr3:uid="{B8168260-540F-4B39-B02A-4E0E59070435}" name="Kolonne67" dataDxfId="49">
      <calculatedColumnFormula>BP77</calculatedColumnFormula>
    </tableColumn>
    <tableColumn id="68" xr3:uid="{B112F195-A05E-41A6-8EF5-A4F49FE334FB}" name="Kolonne68" dataDxfId="48">
      <calculatedColumnFormula>BQ77</calculatedColumnFormula>
    </tableColumn>
    <tableColumn id="69" xr3:uid="{473E104A-25C9-4C8F-9467-4C0A2D297747}" name="Kolonne69" dataDxfId="47">
      <calculatedColumnFormula>BR77</calculatedColumnFormula>
    </tableColumn>
    <tableColumn id="70" xr3:uid="{7CDCFFD3-7463-45F4-93FE-92E41F319529}" name="Kolonne70" dataDxfId="46">
      <calculatedColumnFormula>BS77</calculatedColumnFormula>
    </tableColumn>
    <tableColumn id="71" xr3:uid="{BF360891-6809-4208-9AA2-8D2136DFA5DB}" name="Kolonne71" dataDxfId="45">
      <calculatedColumnFormula>BT77</calculatedColumnFormula>
    </tableColumn>
    <tableColumn id="72" xr3:uid="{3305EC3C-1828-4577-AAA3-D4EBF2681369}" name="Kolonne72" dataDxfId="44">
      <calculatedColumnFormula>BU77</calculatedColumnFormula>
    </tableColumn>
    <tableColumn id="73" xr3:uid="{2026766D-FCEE-4CBE-AAF6-BC4E66FE8B3F}" name="Kolonne73" dataDxfId="43">
      <calculatedColumnFormula>BV77</calculatedColumnFormula>
    </tableColumn>
    <tableColumn id="74" xr3:uid="{96358650-84EC-48E8-BE7D-9E1D019B0A87}" name="Kolonne74" dataDxfId="42">
      <calculatedColumnFormula>BW77</calculatedColumnFormula>
    </tableColumn>
    <tableColumn id="75" xr3:uid="{D1458E91-9FC8-4640-819F-ECB9BFB970DA}" name="Kolonne75" dataDxfId="41">
      <calculatedColumnFormula>BX77</calculatedColumnFormula>
    </tableColumn>
    <tableColumn id="76" xr3:uid="{146DA9A2-0AE8-4039-AAC0-8BD6D7D32699}" name="Kolonne76" dataDxfId="40">
      <calculatedColumnFormula>BY77</calculatedColumnFormula>
    </tableColumn>
    <tableColumn id="77" xr3:uid="{1AE4EA3C-6BB0-4EE5-B2C7-EF05E07DA16F}" name="Kolonne77" dataDxfId="39">
      <calculatedColumnFormula>BZ77</calculatedColumnFormula>
    </tableColumn>
    <tableColumn id="78" xr3:uid="{C2E9DB52-50DA-4FF9-8880-4F7E5AA32473}" name="Kolonne78" dataDxfId="38">
      <calculatedColumnFormula>CA77</calculatedColumnFormula>
    </tableColumn>
    <tableColumn id="79" xr3:uid="{5C2275AA-FEA6-47FF-B6D3-E705B35AD9EB}" name="Kolonne79" dataDxfId="37">
      <calculatedColumnFormula>CB77</calculatedColumnFormula>
    </tableColumn>
    <tableColumn id="80" xr3:uid="{4DDACD99-D16F-4398-9A7A-9F4FC0E1CB18}" name="Kolonne80" dataDxfId="36">
      <calculatedColumnFormula>CC77</calculatedColumnFormula>
    </tableColumn>
    <tableColumn id="81" xr3:uid="{B21CF58D-0A7A-402D-AD99-F89EF5529430}" name="Kolonne81" dataDxfId="35">
      <calculatedColumnFormula>CD77</calculatedColumnFormula>
    </tableColumn>
    <tableColumn id="82" xr3:uid="{9910E322-AE3B-432E-8E4A-50A8A4A5F693}" name="Kolonne82" dataDxfId="34">
      <calculatedColumnFormula>CE77</calculatedColumnFormula>
    </tableColumn>
    <tableColumn id="83" xr3:uid="{44DFC0B8-9B11-4A63-B0F9-6181B09F93D8}" name="Kolonne83" dataDxfId="33">
      <calculatedColumnFormula>CF77</calculatedColumnFormula>
    </tableColumn>
    <tableColumn id="84" xr3:uid="{29470B4D-0020-4DB9-AD12-94D812B7B44D}" name="Kolonne84" dataDxfId="32">
      <calculatedColumnFormula>CG77</calculatedColumnFormula>
    </tableColumn>
    <tableColumn id="85" xr3:uid="{97CAB118-8636-4AFC-B258-0DEB5D1F0A4B}" name="Kolonne85" dataDxfId="31">
      <calculatedColumnFormula>CH77</calculatedColumnFormula>
    </tableColumn>
    <tableColumn id="86" xr3:uid="{2DCE3B35-5035-4526-91B3-BFBC728FBB91}" name="Kolonne86" dataDxfId="30">
      <calculatedColumnFormula>CI77</calculatedColumnFormula>
    </tableColumn>
    <tableColumn id="87" xr3:uid="{8D84F438-133F-426E-9EBD-613F5CE8F8D7}" name="Kolonne87" dataDxfId="29">
      <calculatedColumnFormula>CJ77</calculatedColumnFormula>
    </tableColumn>
    <tableColumn id="88" xr3:uid="{D43DAF35-2EF4-4D35-939E-5D9815F7EAD6}" name="Kolonne88" dataDxfId="28">
      <calculatedColumnFormula>CK77</calculatedColumnFormula>
    </tableColumn>
    <tableColumn id="89" xr3:uid="{9BC9F790-0513-4177-94C9-A6195CD0E6AB}" name="Kolonne89" dataDxfId="27">
      <calculatedColumnFormula>CL77</calculatedColumnFormula>
    </tableColumn>
    <tableColumn id="90" xr3:uid="{19F3082A-4801-4C80-9431-37E97DD05C74}" name="Kolonne90" dataDxfId="26">
      <calculatedColumnFormula>CM77</calculatedColumnFormula>
    </tableColumn>
    <tableColumn id="91" xr3:uid="{0FF1F67B-06FF-4057-8C74-072CBC415BBD}" name="Kolonne91" dataDxfId="25">
      <calculatedColumnFormula>CN77</calculatedColumnFormula>
    </tableColumn>
    <tableColumn id="92" xr3:uid="{68B2403E-E34D-49A8-BF63-9298D3100912}" name="Kolonne92" dataDxfId="24">
      <calculatedColumnFormula>CO77</calculatedColumnFormula>
    </tableColumn>
    <tableColumn id="93" xr3:uid="{90BE8424-4990-4794-92A3-2F45877D7433}" name="Kolonne93" dataDxfId="23">
      <calculatedColumnFormula>CP77</calculatedColumnFormula>
    </tableColumn>
    <tableColumn id="94" xr3:uid="{BDD1F9D5-36F9-482E-B1F3-A8205F9424B5}" name="Kolonne94" dataDxfId="22">
      <calculatedColumnFormula>CQ77</calculatedColumnFormula>
    </tableColumn>
    <tableColumn id="95" xr3:uid="{176BBB0F-C351-45FF-ACF9-4ED8CA1DAA6B}" name="Kolonne95" dataDxfId="21">
      <calculatedColumnFormula>CR77</calculatedColumnFormula>
    </tableColumn>
    <tableColumn id="96" xr3:uid="{86BD8E4C-BA0A-4A62-BD02-30A99ACFE84C}" name="Kolonne96" dataDxfId="20">
      <calculatedColumnFormula>CS77</calculatedColumnFormula>
    </tableColumn>
    <tableColumn id="97" xr3:uid="{7DE8E6F0-8EDE-4503-8025-60D00FFE5C41}" name="Kolonne97" dataDxfId="19">
      <calculatedColumnFormula>CT77</calculatedColumnFormula>
    </tableColumn>
    <tableColumn id="98" xr3:uid="{5B581C21-0EEE-4B5B-8FBC-51AC4FF27CE5}" name="Kolonne98" dataDxfId="18">
      <calculatedColumnFormula>CU77</calculatedColumnFormula>
    </tableColumn>
    <tableColumn id="99" xr3:uid="{0D21B1F1-D491-4DBB-9FFF-A0AD06D40AF2}" name="Kolonne99" dataDxfId="17">
      <calculatedColumnFormula>CV77</calculatedColumnFormula>
    </tableColumn>
    <tableColumn id="100" xr3:uid="{D1ED1E72-B890-4EE3-BAA2-4A172929FDB3}" name="Kolonne100" dataDxfId="16">
      <calculatedColumnFormula>CW77</calculatedColumnFormula>
    </tableColumn>
    <tableColumn id="101" xr3:uid="{411B335A-A606-45E0-874B-05B549BBE9D9}" name="Kolonne101" dataDxfId="15">
      <calculatedColumnFormula>CX77</calculatedColumnFormula>
    </tableColumn>
    <tableColumn id="102" xr3:uid="{958D8EF0-E476-415B-99B1-EA29AAEEC1F9}" name="Kolonne102" dataDxfId="14">
      <calculatedColumnFormula>CY77</calculatedColumnFormula>
    </tableColumn>
    <tableColumn id="103" xr3:uid="{C62469CC-332D-4709-9A14-6B8DFE1ECBF3}" name="Kolonne103" dataDxfId="13">
      <calculatedColumnFormula>CZ77</calculatedColumnFormula>
    </tableColumn>
    <tableColumn id="104" xr3:uid="{0219CDE0-77B2-4D45-9487-0CF447C62734}" name="Kolonne104" dataDxfId="12">
      <calculatedColumnFormula>DA77</calculatedColumnFormula>
    </tableColumn>
    <tableColumn id="105" xr3:uid="{DE7D672B-4495-4266-97C5-7714EE0DF005}" name="Kolonne105" dataDxfId="11">
      <calculatedColumnFormula>DB77</calculatedColumnFormula>
    </tableColumn>
    <tableColumn id="106" xr3:uid="{A07AFE9B-4795-40CB-9FBB-83265C30265F}" name="Kolonne106" dataDxfId="10">
      <calculatedColumnFormula>DC77</calculatedColumnFormula>
    </tableColumn>
    <tableColumn id="107" xr3:uid="{38DFA833-40AA-47C4-86AA-63A160F1DD7A}" name="Kolonne107" dataDxfId="9">
      <calculatedColumnFormula>DD77</calculatedColumnFormula>
    </tableColumn>
    <tableColumn id="108" xr3:uid="{0628B2C3-27BD-4276-A5CF-D7A7E57AFB53}" name="Kolonne108" dataDxfId="8">
      <calculatedColumnFormula>DE77</calculatedColumnFormula>
    </tableColumn>
    <tableColumn id="109" xr3:uid="{7933DEFD-C818-4566-9CA7-43315B9CA302}" name="Kolonne109" dataDxfId="7">
      <calculatedColumnFormula>DF77</calculatedColumnFormula>
    </tableColumn>
    <tableColumn id="110" xr3:uid="{E22F0A06-B220-4F07-9B5A-B65CFDAB0220}" name="Kolonne110" dataDxfId="6">
      <calculatedColumnFormula>DG77</calculatedColumnFormula>
    </tableColumn>
    <tableColumn id="111" xr3:uid="{DFB3CD6C-8836-48CF-9F4E-D011DF04480F}" name="Kolonne111" dataDxfId="5">
      <calculatedColumnFormula>DH77</calculatedColumnFormula>
    </tableColumn>
    <tableColumn id="112" xr3:uid="{0BBC0CC1-BE65-42BC-A09D-3CD331DBCFC8}" name="Kolonne112" dataDxfId="4">
      <calculatedColumnFormula>DI77</calculatedColumnFormula>
    </tableColumn>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F22EC1B4-7ED5-42B9-80A9-FEC1C7E4C671}" name="Tidsserie_CO2_Utvikling" displayName="Tidsserie_CO2_Utvikling" ref="A140:DW155" totalsRowShown="0">
  <autoFilter ref="A140:DW155" xr:uid="{31C039FD-6776-4CCF-B0C4-1C50CB30C4B7}">
    <filterColumn colId="0">
      <filters>
        <filter val="SANN/USANN"/>
        <filter val="SANN"/>
      </filters>
    </filterColumn>
  </autoFilter>
  <tableColumns count="127">
    <tableColumn id="1" xr3:uid="{96A4AAA0-D93E-40DA-83B7-64C8511B58D1}" name="Kolonne1" dataDxfId="3"/>
    <tableColumn id="2" xr3:uid="{820FC1AC-AD67-4ECC-AE12-D71BAA8A7080}" name="Kolonne2">
      <calculatedColumnFormula>'3.1 Nyttestrøm'!C75</calculatedColumnFormula>
    </tableColumn>
    <tableColumn id="99" xr3:uid="{A6D3B95C-EA7B-4764-8431-1832BEF0970C}" name="Kolonne211"/>
    <tableColumn id="100" xr3:uid="{D91A62F1-1C5B-4661-A8FE-23F072E098CD}" name="Kolonne212"/>
    <tableColumn id="101" xr3:uid="{97F6247C-0AD3-45FF-A60D-AFE16617E9FA}" name="Kolonne213"/>
    <tableColumn id="102" xr3:uid="{2782FA59-2A78-4417-9CB1-3637D9235430}" name="Kolonne214"/>
    <tableColumn id="103" xr3:uid="{F15DDC34-4E0A-4DEE-89F7-887D15C4D14E}" name="Kolonne215"/>
    <tableColumn id="104" xr3:uid="{794ECDE5-D0A4-4C6E-9EFD-AE73E45CE0DC}" name="Kolonne216"/>
    <tableColumn id="105" xr3:uid="{6D52D5A8-1294-4E7F-AB88-708C0094321C}" name="Kolonne217"/>
    <tableColumn id="106" xr3:uid="{B4D0C41E-3691-4DD3-A968-430AD959A764}" name="Kolonne218"/>
    <tableColumn id="107" xr3:uid="{24FD7387-C14C-4BF2-AA93-3C2FCD8E40CF}" name="Kolonne219"/>
    <tableColumn id="108" xr3:uid="{497500D1-D5B8-42AC-A346-78CB4704CAE9}" name="Kolonne220"/>
    <tableColumn id="109" xr3:uid="{3AB98465-3033-4669-9FE9-69931B388AD3}" name="Kolonne221"/>
    <tableColumn id="110" xr3:uid="{4D5FE937-5175-41A5-9081-B097B3846910}" name="Kolonne222"/>
    <tableColumn id="111" xr3:uid="{2764C91F-B352-4E09-8A80-40439F0C2914}" name="Kolonne223"/>
    <tableColumn id="112" xr3:uid="{D46B328E-F226-4E74-AEE8-52AAF6D95156}" name="Kolonne224"/>
    <tableColumn id="113" xr3:uid="{E2771748-D688-450D-AD28-816FB7F9528A}" name="Kolonne225"/>
    <tableColumn id="114" xr3:uid="{D66C1185-6734-4B2A-81DF-58F7DD4E18B1}" name="Kolonne226"/>
    <tableColumn id="115" xr3:uid="{2519BCB9-F40D-4613-A10E-EFBBCF0AF47B}" name="Kolonne227"/>
    <tableColumn id="116" xr3:uid="{FFD7C402-327D-424B-9A82-D83E0CFED9D8}" name="Kolonne228"/>
    <tableColumn id="117" xr3:uid="{EF600427-A9B6-4D00-9C86-14D09BC8E6C5}" name="Kolonne229"/>
    <tableColumn id="78" xr3:uid="{C89EA925-1D01-447B-AFED-7FE31C71B0E9}" name="Kolonne210"/>
    <tableColumn id="3" xr3:uid="{F046AF8D-4B99-4760-9426-FF7048FDB355}" name="Kolonne3">
      <calculatedColumnFormula>IF($A141,W123)</calculatedColumnFormula>
    </tableColumn>
    <tableColumn id="4" xr3:uid="{C13FDA20-9231-45D4-B4C0-C3B1AC32E018}" name="Kolonne4">
      <calculatedColumnFormula>IF($A141,X123)</calculatedColumnFormula>
    </tableColumn>
    <tableColumn id="5" xr3:uid="{D4095340-EEDF-4E85-8B52-BE330980E9E0}" name="Kolonne5">
      <calculatedColumnFormula>IF($A141,Y123)</calculatedColumnFormula>
    </tableColumn>
    <tableColumn id="6" xr3:uid="{D82A0299-004E-4B18-9267-CF9380393A9A}" name="Kolonne6">
      <calculatedColumnFormula>IF($A141,Z123)</calculatedColumnFormula>
    </tableColumn>
    <tableColumn id="7" xr3:uid="{20BF11FC-5FD3-43E6-966F-A3713C962C70}" name="Kolonne7">
      <calculatedColumnFormula>IF($A141,AA123)</calculatedColumnFormula>
    </tableColumn>
    <tableColumn id="8" xr3:uid="{9B26D35E-63D1-40DE-B1CB-099857037064}" name="Kolonne8">
      <calculatedColumnFormula>IF($A141,AB123)</calculatedColumnFormula>
    </tableColumn>
    <tableColumn id="9" xr3:uid="{35A14C06-F6C5-4C67-B643-9A9640D10003}" name="Kolonne9">
      <calculatedColumnFormula>IF($A141,AC123)</calculatedColumnFormula>
    </tableColumn>
    <tableColumn id="10" xr3:uid="{B05DFA9D-7B39-421B-8905-76A507F64F3B}" name="Kolonne10">
      <calculatedColumnFormula>IF($A141,AD123)</calculatedColumnFormula>
    </tableColumn>
    <tableColumn id="11" xr3:uid="{92136CF2-E3BA-4DC1-B8E1-B34BE5A9688F}" name="Kolonne11">
      <calculatedColumnFormula>IF($A141,AE123)</calculatedColumnFormula>
    </tableColumn>
    <tableColumn id="12" xr3:uid="{087B63E4-562C-4AE8-8D0A-63C807555BBC}" name="Kolonne12">
      <calculatedColumnFormula>IF($A141,AF123)</calculatedColumnFormula>
    </tableColumn>
    <tableColumn id="13" xr3:uid="{74F2D5EE-101C-460D-A4E9-2321756C10B4}" name="Kolonne13">
      <calculatedColumnFormula>IF($A141,AG123)</calculatedColumnFormula>
    </tableColumn>
    <tableColumn id="14" xr3:uid="{F3E5A23C-3FAA-4873-9945-21FE05650322}" name="Kolonne14">
      <calculatedColumnFormula>IF($A141,AH123)</calculatedColumnFormula>
    </tableColumn>
    <tableColumn id="15" xr3:uid="{1252A38E-6BF6-4FC3-8408-4BE629704AEE}" name="Kolonne15">
      <calculatedColumnFormula>IF($A141,AI123)</calculatedColumnFormula>
    </tableColumn>
    <tableColumn id="16" xr3:uid="{62B8F3F6-ECB0-47AD-951A-4C8E11881A19}" name="Kolonne16">
      <calculatedColumnFormula>IF($A141,AJ123)</calculatedColumnFormula>
    </tableColumn>
    <tableColumn id="17" xr3:uid="{DB3EDBD3-8502-4C1C-876C-0CFA04A21F0D}" name="Kolonne17">
      <calculatedColumnFormula>IF($A141,AK123)</calculatedColumnFormula>
    </tableColumn>
    <tableColumn id="18" xr3:uid="{A603F5C1-4B1E-4979-91CE-8A6DF7BB4F19}" name="Kolonne18">
      <calculatedColumnFormula>IF($A141,AL123)</calculatedColumnFormula>
    </tableColumn>
    <tableColumn id="19" xr3:uid="{526AF27C-5BDA-46E8-803D-FF40AA0B63BE}" name="Kolonne19">
      <calculatedColumnFormula>IF($A141,AM123)</calculatedColumnFormula>
    </tableColumn>
    <tableColumn id="20" xr3:uid="{3379DBA1-F2CC-49F2-9F90-0CF56215BC44}" name="Kolonne20">
      <calculatedColumnFormula>IF($A141,AN123)</calculatedColumnFormula>
    </tableColumn>
    <tableColumn id="21" xr3:uid="{715A9FC5-2FAF-40B6-BFF4-13536D89988F}" name="Kolonne21">
      <calculatedColumnFormula>IF($A141,AO123)</calculatedColumnFormula>
    </tableColumn>
    <tableColumn id="22" xr3:uid="{93AE7DB3-7D45-4183-9D24-F978D8DD3D79}" name="Kolonne22">
      <calculatedColumnFormula>IF($A141,AP123)</calculatedColumnFormula>
    </tableColumn>
    <tableColumn id="23" xr3:uid="{913CC1FB-9DFD-41C9-B458-BD04DA68B61D}" name="Kolonne23">
      <calculatedColumnFormula>IF($A141,AQ123)</calculatedColumnFormula>
    </tableColumn>
    <tableColumn id="24" xr3:uid="{C2A7E3C9-93D2-49A6-BA99-ECC24A27D0E9}" name="Kolonne24">
      <calculatedColumnFormula>IF($A141,AR123)</calculatedColumnFormula>
    </tableColumn>
    <tableColumn id="25" xr3:uid="{831BD955-3DF4-4429-B43E-6579F4ED27C4}" name="Kolonne25">
      <calculatedColumnFormula>IF($A141,AS123)</calculatedColumnFormula>
    </tableColumn>
    <tableColumn id="26" xr3:uid="{6990D473-5ED2-4A27-9C98-495A87D6D7B6}" name="Kolonne26">
      <calculatedColumnFormula>IF($A141,AT123)</calculatedColumnFormula>
    </tableColumn>
    <tableColumn id="27" xr3:uid="{AB4F96E5-AE4D-4A0B-841D-A61C43519D8D}" name="Kolonne27">
      <calculatedColumnFormula>IF($A141,AU123)</calculatedColumnFormula>
    </tableColumn>
    <tableColumn id="28" xr3:uid="{044244C6-6E26-414B-A900-2D49A5499194}" name="Kolonne28">
      <calculatedColumnFormula>IF($A141,AV123)</calculatedColumnFormula>
    </tableColumn>
    <tableColumn id="29" xr3:uid="{A20B5611-64CA-4F13-8A01-E8CEB5999BB4}" name="Kolonne29">
      <calculatedColumnFormula>IF($A141,AW123)</calculatedColumnFormula>
    </tableColumn>
    <tableColumn id="30" xr3:uid="{BA264EEA-3DD1-4036-B2AA-B738B57FDFF1}" name="Kolonne30">
      <calculatedColumnFormula>IF($A141,AX123)</calculatedColumnFormula>
    </tableColumn>
    <tableColumn id="31" xr3:uid="{9FF243D0-7731-48C8-8E18-FD06D73CF098}" name="Kolonne31">
      <calculatedColumnFormula>IF($A141,AY123)</calculatedColumnFormula>
    </tableColumn>
    <tableColumn id="32" xr3:uid="{D3A21A3D-BE19-484C-A9A9-E1B5E289A4ED}" name="Kolonne32">
      <calculatedColumnFormula>IF($A141,AZ123)</calculatedColumnFormula>
    </tableColumn>
    <tableColumn id="33" xr3:uid="{5CCAE985-5562-4A56-B81C-646EB3967A20}" name="Kolonne33">
      <calculatedColumnFormula>IF($A141,BA123)</calculatedColumnFormula>
    </tableColumn>
    <tableColumn id="34" xr3:uid="{5DD5F57C-16C9-46CA-A184-9FE8BA85C473}" name="Kolonne34">
      <calculatedColumnFormula>IF($A141,BB123)</calculatedColumnFormula>
    </tableColumn>
    <tableColumn id="35" xr3:uid="{BE6DCA1B-2C23-47AC-BD91-7F0EAC1FEC20}" name="Kolonne35">
      <calculatedColumnFormula>IF($A141,BC123)</calculatedColumnFormula>
    </tableColumn>
    <tableColumn id="36" xr3:uid="{C394EFFB-DEA7-4701-AA43-608E334AC609}" name="Kolonne36">
      <calculatedColumnFormula>IF($A141,BD123)</calculatedColumnFormula>
    </tableColumn>
    <tableColumn id="37" xr3:uid="{C1FCF016-B6E1-4CA8-A7C0-5F33527FD980}" name="Kolonne37">
      <calculatedColumnFormula>IF($A141,BE123)</calculatedColumnFormula>
    </tableColumn>
    <tableColumn id="38" xr3:uid="{5679D702-FE7F-459C-BCF7-09FF7F5A53D3}" name="Kolonne38">
      <calculatedColumnFormula>IF($A141,BF123)</calculatedColumnFormula>
    </tableColumn>
    <tableColumn id="39" xr3:uid="{4850E846-BA59-4D18-8322-4C88915BE540}" name="Kolonne39">
      <calculatedColumnFormula>IF($A141,BG123)</calculatedColumnFormula>
    </tableColumn>
    <tableColumn id="40" xr3:uid="{8532E393-105E-4DED-AC74-D67F7656E726}" name="Kolonne40">
      <calculatedColumnFormula>IF($A141,BH123)</calculatedColumnFormula>
    </tableColumn>
    <tableColumn id="41" xr3:uid="{E36815F8-00A2-46BC-82CE-3A67AB318C8B}" name="Kolonne41">
      <calculatedColumnFormula>IF($A141,BI123)</calculatedColumnFormula>
    </tableColumn>
    <tableColumn id="42" xr3:uid="{0A50E653-1284-48D6-AC1D-0B737A3CCBBE}" name="Kolonne42">
      <calculatedColumnFormula>IF($A141,BJ123)</calculatedColumnFormula>
    </tableColumn>
    <tableColumn id="43" xr3:uid="{10D815D8-4265-411B-B053-8D76E50A1CD7}" name="Kolonne43">
      <calculatedColumnFormula>IF($A141,BK123)</calculatedColumnFormula>
    </tableColumn>
    <tableColumn id="44" xr3:uid="{E93499AC-CCFA-440B-BEC3-A864577EAB11}" name="Kolonne44">
      <calculatedColumnFormula>IF($A141,BL123)</calculatedColumnFormula>
    </tableColumn>
    <tableColumn id="45" xr3:uid="{3922C810-D1AA-4C93-8123-06BECBDB2E25}" name="Kolonne45">
      <calculatedColumnFormula>IF($A141,BM123)</calculatedColumnFormula>
    </tableColumn>
    <tableColumn id="46" xr3:uid="{6D79241C-2515-4479-B58B-E6493900788C}" name="Kolonne46">
      <calculatedColumnFormula>IF($A141,BN123)</calculatedColumnFormula>
    </tableColumn>
    <tableColumn id="47" xr3:uid="{5D8D5FEC-FA70-4508-9C3A-C7D932151D1B}" name="Kolonne47">
      <calculatedColumnFormula>IF($A141,BO123)</calculatedColumnFormula>
    </tableColumn>
    <tableColumn id="48" xr3:uid="{80DAC73B-FB38-4788-B79F-A42F664E8BCD}" name="Kolonne48">
      <calculatedColumnFormula>IF($A141,BP123)</calculatedColumnFormula>
    </tableColumn>
    <tableColumn id="49" xr3:uid="{D07D4E6E-F115-4027-842F-3698503C5CB8}" name="Kolonne49">
      <calculatedColumnFormula>IF($A141,BQ123)</calculatedColumnFormula>
    </tableColumn>
    <tableColumn id="50" xr3:uid="{F34EAD7D-B138-4FF1-BFA2-8314249B6BBD}" name="Kolonne50">
      <calculatedColumnFormula>IF($A141,BR123)</calculatedColumnFormula>
    </tableColumn>
    <tableColumn id="51" xr3:uid="{D936342A-64B9-44E4-AF9B-E50114E79EC5}" name="Kolonne51">
      <calculatedColumnFormula>IF($A141,BS123)</calculatedColumnFormula>
    </tableColumn>
    <tableColumn id="52" xr3:uid="{779E421F-951E-4687-A894-94022E57BBBC}" name="Kolonne52">
      <calculatedColumnFormula>IF($A141,BT123)</calculatedColumnFormula>
    </tableColumn>
    <tableColumn id="53" xr3:uid="{6D7B8FE0-E947-4C4A-A91D-956EA1E5F5E3}" name="Kolonne53">
      <calculatedColumnFormula>IF($A141,BU123)</calculatedColumnFormula>
    </tableColumn>
    <tableColumn id="54" xr3:uid="{D2C70E5F-3C65-494F-97DB-B0AAF9C2047F}" name="Kolonne54">
      <calculatedColumnFormula>IF($A141,BV123)</calculatedColumnFormula>
    </tableColumn>
    <tableColumn id="55" xr3:uid="{170C37EF-BA2A-4134-973D-4A17946AF0B6}" name="Kolonne55">
      <calculatedColumnFormula>IF($A141,BW123)</calculatedColumnFormula>
    </tableColumn>
    <tableColumn id="56" xr3:uid="{FADCCF47-310F-4EC5-8B95-00C89EEA74F6}" name="Kolonne56">
      <calculatedColumnFormula>IF($A141,BX123)</calculatedColumnFormula>
    </tableColumn>
    <tableColumn id="57" xr3:uid="{5A81485A-C7DC-4AC4-B3CB-6AB7554B0CE2}" name="Kolonne57">
      <calculatedColumnFormula>IF($A141,BY123)</calculatedColumnFormula>
    </tableColumn>
    <tableColumn id="58" xr3:uid="{BD4FC2C6-0D0F-46F0-9FCD-2F223BCE653C}" name="Kolonne58">
      <calculatedColumnFormula>IF($A141,BZ123)</calculatedColumnFormula>
    </tableColumn>
    <tableColumn id="59" xr3:uid="{2DCE51FD-FC75-4CB2-8B0C-CC3E8390940E}" name="Kolonne59">
      <calculatedColumnFormula>IF($A141,CA123)</calculatedColumnFormula>
    </tableColumn>
    <tableColumn id="60" xr3:uid="{4BFE4074-368F-45E3-965D-1D38A5219D6A}" name="Kolonne60">
      <calculatedColumnFormula>IF($A141,CB123)</calculatedColumnFormula>
    </tableColumn>
    <tableColumn id="61" xr3:uid="{D49889C9-D639-4C32-8608-570DC0320DBB}" name="Kolonne61">
      <calculatedColumnFormula>IF($A141,CC123)</calculatedColumnFormula>
    </tableColumn>
    <tableColumn id="62" xr3:uid="{0AD4ACC4-3439-4A28-BAE5-54BD86E727DC}" name="Kolonne62">
      <calculatedColumnFormula>IF($A141,CD123)</calculatedColumnFormula>
    </tableColumn>
    <tableColumn id="63" xr3:uid="{A57B7BFC-FC9A-4CD6-9E19-9AC0C63236A3}" name="Kolonne63">
      <calculatedColumnFormula>IF($A141,CE123)</calculatedColumnFormula>
    </tableColumn>
    <tableColumn id="64" xr3:uid="{92E27014-CC52-4F74-A933-2F82F1EA98B9}" name="Kolonne64">
      <calculatedColumnFormula>IF($A141,CF123)</calculatedColumnFormula>
    </tableColumn>
    <tableColumn id="65" xr3:uid="{46CFECC5-DE46-4CEA-B2E1-C07F6EBF409A}" name="Kolonne65">
      <calculatedColumnFormula>IF($A141,CG123)</calculatedColumnFormula>
    </tableColumn>
    <tableColumn id="66" xr3:uid="{25408295-6275-4747-A528-FB553081D9D7}" name="Kolonne66">
      <calculatedColumnFormula>IF($A141,CH123)</calculatedColumnFormula>
    </tableColumn>
    <tableColumn id="67" xr3:uid="{06D9158B-03A8-4181-9100-343765D2269D}" name="Kolonne67">
      <calculatedColumnFormula>IF($A141,CI123)</calculatedColumnFormula>
    </tableColumn>
    <tableColumn id="68" xr3:uid="{0469C223-CCEC-49CC-8156-47217C8FB34A}" name="Kolonne68">
      <calculatedColumnFormula>IF($A141,CJ123)</calculatedColumnFormula>
    </tableColumn>
    <tableColumn id="69" xr3:uid="{E42C61ED-1657-45C3-B999-8865EF415C17}" name="Kolonne69">
      <calculatedColumnFormula>IF($A141,CK123)</calculatedColumnFormula>
    </tableColumn>
    <tableColumn id="70" xr3:uid="{4F83F569-D67D-42B9-8EC5-D4ABE2431847}" name="Kolonne70">
      <calculatedColumnFormula>IF($A141,CL123)</calculatedColumnFormula>
    </tableColumn>
    <tableColumn id="71" xr3:uid="{B08807C6-93D6-40E0-AAAB-EBB2E4C80D5C}" name="Kolonne71">
      <calculatedColumnFormula>IF($A141,CM123)</calculatedColumnFormula>
    </tableColumn>
    <tableColumn id="72" xr3:uid="{CE92A9F4-6E31-4D72-9186-09281DF662B6}" name="Kolonne72">
      <calculatedColumnFormula>IF($A141,CN123)</calculatedColumnFormula>
    </tableColumn>
    <tableColumn id="73" xr3:uid="{62AE781C-AD93-4E39-BDDB-AA5768604CAB}" name="Kolonne73">
      <calculatedColumnFormula>IF($A141,CO123)</calculatedColumnFormula>
    </tableColumn>
    <tableColumn id="74" xr3:uid="{A567AEFB-2299-4065-939C-68068B276864}" name="Kolonne74">
      <calculatedColumnFormula>IF($A141,CP123)</calculatedColumnFormula>
    </tableColumn>
    <tableColumn id="75" xr3:uid="{B58BAA51-A9F6-47C0-BC63-B8C8FA8148E9}" name="Kolonne75">
      <calculatedColumnFormula>IF($A141,CQ123)</calculatedColumnFormula>
    </tableColumn>
    <tableColumn id="76" xr3:uid="{EA48DFCF-1B0A-42D7-9192-B5080CAE46B1}" name="Kolonne76">
      <calculatedColumnFormula>IF($A141,CR123)</calculatedColumnFormula>
    </tableColumn>
    <tableColumn id="77" xr3:uid="{3A3A5015-067B-4FE4-979E-841AFA1AD994}" name="Kolonne77">
      <calculatedColumnFormula>IF($A141,CS123)</calculatedColumnFormula>
    </tableColumn>
    <tableColumn id="79" xr3:uid="{4C969DF3-4C0F-4535-9563-DC047295287F}" name="Kolonne772"/>
    <tableColumn id="80" xr3:uid="{90E6F1FB-D917-441B-B4A7-B0AEE67F935B}" name="Kolonne7722"/>
    <tableColumn id="81" xr3:uid="{DEE2AE68-3199-45BE-982D-094826D05198}" name="Kolonne7723"/>
    <tableColumn id="82" xr3:uid="{A1DC6D8B-7B06-49C8-A58F-0A369820F956}" name="Kolonne7724"/>
    <tableColumn id="83" xr3:uid="{DA851DA3-28EB-4B41-A4B2-3C30AED69E24}" name="Kolonne7725"/>
    <tableColumn id="84" xr3:uid="{3DD09995-C8C3-4E51-BD4E-4B3B3195AF4B}" name="Kolonne7726"/>
    <tableColumn id="85" xr3:uid="{56DCE0B9-5379-4F0E-A1DA-979091D4E10A}" name="Kolonne7727"/>
    <tableColumn id="86" xr3:uid="{CBEB3499-3135-4053-B6BC-52115ED677C9}" name="Kolonne7728"/>
    <tableColumn id="87" xr3:uid="{455FF2F4-BE99-476F-89FB-0F6B72C05624}" name="Kolonne7729"/>
    <tableColumn id="88" xr3:uid="{127CC595-807F-4ACE-9C43-CB6B46FAB6E9}" name="Kolonne77210"/>
    <tableColumn id="89" xr3:uid="{0785690B-6C7F-4832-BC79-31CC0CAF7E6C}" name="Kolonne77211"/>
    <tableColumn id="90" xr3:uid="{30E3449B-6846-4DBA-860E-226B22731B26}" name="Kolonne77212"/>
    <tableColumn id="91" xr3:uid="{092D5C13-C231-45F1-B032-A36975D7FD05}" name="Kolonne77213"/>
    <tableColumn id="92" xr3:uid="{D42F1FF3-7DA3-4FB9-BE05-D8308E71C4BA}" name="Kolonne77214"/>
    <tableColumn id="93" xr3:uid="{94B29156-3A02-4A2B-9DB1-0CCAC98F2C57}" name="Kolonne77215"/>
    <tableColumn id="94" xr3:uid="{7922B7A2-7CC8-477E-9E55-F7B8CFC0F2B6}" name="Kolonne77216"/>
    <tableColumn id="95" xr3:uid="{C51E855D-86CE-4ECA-A182-2CC05B23F941}" name="Kolonne77217"/>
    <tableColumn id="96" xr3:uid="{88E2B759-905A-4DEE-9118-33603D532112}" name="Kolonne77218"/>
    <tableColumn id="97" xr3:uid="{249793E5-D9EB-4691-9E48-2792287EDDD8}" name="Kolonne77219"/>
    <tableColumn id="98" xr3:uid="{802D8D37-9576-482D-9046-DA09A69FCE4A}" name="Kolonne77220"/>
    <tableColumn id="118" xr3:uid="{AF40B9A1-9767-4B0D-AD13-FF6ADDEC8BDC}" name="Kolonne77221"/>
    <tableColumn id="119" xr3:uid="{997AEA60-E018-42FE-8CC2-729970DD61F1}" name="Kolonne77222"/>
    <tableColumn id="120" xr3:uid="{94AB5C32-FCBA-467D-8676-DDD5E5766781}" name="Kolonne77223"/>
    <tableColumn id="121" xr3:uid="{47AB44A5-785A-4980-A1D7-49DB3BF2F0FE}" name="Kolonne77224"/>
    <tableColumn id="122" xr3:uid="{306101A0-8DE4-4796-AE45-5BFC287FC991}" name="Kolonne77225" dataDxfId="2"/>
    <tableColumn id="123" xr3:uid="{AD92F146-632A-4142-AADF-D60A44C3CE87}" name="Kolonne78"/>
    <tableColumn id="124" xr3:uid="{034FB273-008C-429E-AF7E-AEC2C6AC26AF}" name="Kolonne79"/>
    <tableColumn id="125" xr3:uid="{060363B9-ACAA-40AA-BF1D-5B7A0F5031F5}" name="Kolonne80"/>
    <tableColumn id="126" xr3:uid="{9209744B-019C-4880-9685-6891190A0EBB}" name="Kolonne81"/>
    <tableColumn id="127" xr3:uid="{2F9D18C1-817B-4AC1-9A94-BD2F92281470}" name="Kolonne82"/>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598A4352-C154-4810-A2F0-196EAFD06D9B}" name="Tidsserie_Andre_Samfunnsvirkninger" displayName="Tidsserie_Andre_Samfunnsvirkninger" ref="A172:CX176" totalsRowShown="0" headerRowDxfId="1" headerRowBorderDxfId="0">
  <autoFilter ref="A172:CX176" xr:uid="{A16C2016-9DD0-4D42-B4FD-CC76EECDF3B9}">
    <filterColumn colId="0">
      <filters>
        <filter val="SANN/USANN"/>
        <filter val="SANN"/>
      </filters>
    </filterColumn>
  </autoFilter>
  <tableColumns count="102">
    <tableColumn id="1" xr3:uid="{482B28A0-C175-4CE7-BC69-0B03DC21A274}" name="Kolonne1"/>
    <tableColumn id="2" xr3:uid="{700FA1B1-C934-4D94-ACCC-8C96A2D3DF56}" name="Kolonne2">
      <calculatedColumnFormula>B164</calculatedColumnFormula>
    </tableColumn>
    <tableColumn id="3" xr3:uid="{395B418D-D76E-4EA5-AB48-A94838E864C6}" name="Kolonne3">
      <calculatedColumnFormula>IF($A173,C164,NA())</calculatedColumnFormula>
    </tableColumn>
    <tableColumn id="4" xr3:uid="{312C169D-DC54-4F64-852D-CA09DB7A1A11}" name="Kolonne4">
      <calculatedColumnFormula>IF($A173,D164,NA())</calculatedColumnFormula>
    </tableColumn>
    <tableColumn id="5" xr3:uid="{AE6E4769-7793-4965-8C47-16AD8355C09B}" name="Kolonne5">
      <calculatedColumnFormula>IF($A173,E164,NA())</calculatedColumnFormula>
    </tableColumn>
    <tableColumn id="6" xr3:uid="{6C60704D-4C78-4A2C-9F93-C62D4838E15D}" name="Kolonne6">
      <calculatedColumnFormula>IF($A173,F164,NA())</calculatedColumnFormula>
    </tableColumn>
    <tableColumn id="7" xr3:uid="{35F3B119-6DC4-446B-A2C8-8C44386F92FA}" name="Kolonne7">
      <calculatedColumnFormula>IF($A173,G164,NA())</calculatedColumnFormula>
    </tableColumn>
    <tableColumn id="8" xr3:uid="{2C1CA9D5-FEFE-4106-ACA2-0659D40340D5}" name="Kolonne8">
      <calculatedColumnFormula>IF($A173,H164,NA())</calculatedColumnFormula>
    </tableColumn>
    <tableColumn id="9" xr3:uid="{6D3080F2-E19F-46D0-96D1-306019733219}" name="Kolonne9">
      <calculatedColumnFormula>IF($A173,I164,NA())</calculatedColumnFormula>
    </tableColumn>
    <tableColumn id="10" xr3:uid="{C33898D5-B2CD-46D7-9256-CAAD0911D31C}" name="Kolonne10">
      <calculatedColumnFormula>IF($A173,J164,NA())</calculatedColumnFormula>
    </tableColumn>
    <tableColumn id="11" xr3:uid="{ECB2498D-CD22-463A-A6DF-C6EC24EAEEFA}" name="Kolonne11">
      <calculatedColumnFormula>IF($A173,K164,NA())</calculatedColumnFormula>
    </tableColumn>
    <tableColumn id="12" xr3:uid="{D17D2243-2E4A-40C7-B317-365300932D72}" name="Kolonne12">
      <calculatedColumnFormula>IF($A173,L164,NA())</calculatedColumnFormula>
    </tableColumn>
    <tableColumn id="13" xr3:uid="{4F532C8F-7C42-4B5A-8D3B-E58CD1E5B859}" name="Kolonne13">
      <calculatedColumnFormula>IF($A173,M164,NA())</calculatedColumnFormula>
    </tableColumn>
    <tableColumn id="14" xr3:uid="{08EDC192-3921-432D-81C9-393C0AB20DDC}" name="Kolonne14">
      <calculatedColumnFormula>IF($A173,N164,NA())</calculatedColumnFormula>
    </tableColumn>
    <tableColumn id="15" xr3:uid="{D43B0AD4-968A-4646-AC3C-932ED77653AC}" name="Kolonne15">
      <calculatedColumnFormula>IF($A173,O164,NA())</calculatedColumnFormula>
    </tableColumn>
    <tableColumn id="16" xr3:uid="{B96CB2A0-8574-4B81-BB36-6A58C701C8EC}" name="Kolonne16">
      <calculatedColumnFormula>IF($A173,P164,NA())</calculatedColumnFormula>
    </tableColumn>
    <tableColumn id="17" xr3:uid="{63649B7A-8A70-4B23-A02D-7FDFB8062B2B}" name="Kolonne17">
      <calculatedColumnFormula>IF($A173,Q164,NA())</calculatedColumnFormula>
    </tableColumn>
    <tableColumn id="18" xr3:uid="{221B1DCC-8641-4324-9ADC-BFC80253C91B}" name="Kolonne18">
      <calculatedColumnFormula>IF($A173,R164,NA())</calculatedColumnFormula>
    </tableColumn>
    <tableColumn id="19" xr3:uid="{8FFFDEA9-4D5D-485C-93DB-BD3320C5C0E8}" name="Kolonne19">
      <calculatedColumnFormula>IF($A173,S164,NA())</calculatedColumnFormula>
    </tableColumn>
    <tableColumn id="20" xr3:uid="{89E70B07-E791-4A3B-B4DF-93926E6A355D}" name="Kolonne20">
      <calculatedColumnFormula>IF($A173,T164,NA())</calculatedColumnFormula>
    </tableColumn>
    <tableColumn id="21" xr3:uid="{EB0BD090-BBCD-4A4F-90DF-F50BCDBFE694}" name="Kolonne21">
      <calculatedColumnFormula>IF($A173,U164,NA())</calculatedColumnFormula>
    </tableColumn>
    <tableColumn id="22" xr3:uid="{C9FF31BA-1841-4B08-849E-C13F724BE459}" name="Kolonne22">
      <calculatedColumnFormula>IF($A173,V164,NA())</calculatedColumnFormula>
    </tableColumn>
    <tableColumn id="23" xr3:uid="{9870065C-3582-42A7-A6FB-FDC63E18DA74}" name="Kolonne23">
      <calculatedColumnFormula>IF($A173,W164,NA())</calculatedColumnFormula>
    </tableColumn>
    <tableColumn id="24" xr3:uid="{47BF6AD9-4E9C-4AB3-AAD9-0D82FB975C5A}" name="Kolonne24">
      <calculatedColumnFormula>IF($A173,X164,NA())</calculatedColumnFormula>
    </tableColumn>
    <tableColumn id="25" xr3:uid="{9AEE9387-EEBD-4895-8F66-5F4A49999E8B}" name="Kolonne25">
      <calculatedColumnFormula>IF($A173,Y164,NA())</calculatedColumnFormula>
    </tableColumn>
    <tableColumn id="26" xr3:uid="{21095D4E-1982-4FE9-9CFA-62059D752C0C}" name="Kolonne26">
      <calculatedColumnFormula>IF($A173,Z164,NA())</calculatedColumnFormula>
    </tableColumn>
    <tableColumn id="27" xr3:uid="{E5F58A2A-3404-4742-BC96-4CF47925848B}" name="Kolonne27">
      <calculatedColumnFormula>IF($A173,AA164,NA())</calculatedColumnFormula>
    </tableColumn>
    <tableColumn id="28" xr3:uid="{1FB51ACB-9C9D-4C1B-B06B-14A0AFF38EA3}" name="Kolonne28">
      <calculatedColumnFormula>IF($A173,AB164,NA())</calculatedColumnFormula>
    </tableColumn>
    <tableColumn id="29" xr3:uid="{44A70D97-B394-4857-88F9-689143DCE500}" name="Kolonne29">
      <calculatedColumnFormula>IF($A173,AC164,NA())</calculatedColumnFormula>
    </tableColumn>
    <tableColumn id="30" xr3:uid="{3AD650E3-4443-4755-9546-9A7F5512EFEB}" name="Kolonne30">
      <calculatedColumnFormula>IF($A173,AD164,NA())</calculatedColumnFormula>
    </tableColumn>
    <tableColumn id="31" xr3:uid="{148519EF-38FA-45B1-938D-168440A80569}" name="Kolonne31">
      <calculatedColumnFormula>IF($A173,AE164,NA())</calculatedColumnFormula>
    </tableColumn>
    <tableColumn id="32" xr3:uid="{2DB73CA2-B679-4A38-94FE-7210BEECC87E}" name="Kolonne32">
      <calculatedColumnFormula>IF($A173,AF164,NA())</calculatedColumnFormula>
    </tableColumn>
    <tableColumn id="33" xr3:uid="{07F2D3EC-64BC-48B4-9209-4ED5165CADB8}" name="Kolonne33">
      <calculatedColumnFormula>IF($A173,AG164,NA())</calculatedColumnFormula>
    </tableColumn>
    <tableColumn id="34" xr3:uid="{16C83478-029B-4353-91F3-311082C8E3B5}" name="Kolonne34">
      <calculatedColumnFormula>IF($A173,AH164,NA())</calculatedColumnFormula>
    </tableColumn>
    <tableColumn id="35" xr3:uid="{1B48CEE6-B6D4-46B5-AC39-9EAAEDBE1173}" name="Kolonne35">
      <calculatedColumnFormula>IF($A173,AI164,NA())</calculatedColumnFormula>
    </tableColumn>
    <tableColumn id="36" xr3:uid="{37D61131-E057-4322-9B95-F6A41D471854}" name="Kolonne36">
      <calculatedColumnFormula>IF($A173,AJ164,NA())</calculatedColumnFormula>
    </tableColumn>
    <tableColumn id="37" xr3:uid="{B467FB44-2DC0-4BA3-8573-27C6F9B2D74D}" name="Kolonne37">
      <calculatedColumnFormula>IF($A173,AK164,NA())</calculatedColumnFormula>
    </tableColumn>
    <tableColumn id="38" xr3:uid="{89E5E7E6-2CFB-45BB-ADB3-1DC03E3D2334}" name="Kolonne38">
      <calculatedColumnFormula>IF($A173,AL164,NA())</calculatedColumnFormula>
    </tableColumn>
    <tableColumn id="39" xr3:uid="{A79823C8-9A5C-48B0-BCCA-71999863FDE1}" name="Kolonne39">
      <calculatedColumnFormula>IF($A173,AM164,NA())</calculatedColumnFormula>
    </tableColumn>
    <tableColumn id="40" xr3:uid="{AF0CEA35-0948-42A0-A13C-20D4AC9D8E7E}" name="Kolonne40">
      <calculatedColumnFormula>IF($A173,AN164,NA())</calculatedColumnFormula>
    </tableColumn>
    <tableColumn id="41" xr3:uid="{D56472D9-FEC4-4DE1-92DF-01CC00FEA0A3}" name="Kolonne41">
      <calculatedColumnFormula>IF($A173,AO164,NA())</calculatedColumnFormula>
    </tableColumn>
    <tableColumn id="42" xr3:uid="{EFD62530-3C6D-4DA5-A013-F8BED906B330}" name="Kolonne42">
      <calculatedColumnFormula>IF($A173,AP164,NA())</calculatedColumnFormula>
    </tableColumn>
    <tableColumn id="43" xr3:uid="{9B4BA0AB-549F-4988-BB30-7E2EF6971593}" name="Kolonne43">
      <calculatedColumnFormula>IF($A173,AQ164,NA())</calculatedColumnFormula>
    </tableColumn>
    <tableColumn id="44" xr3:uid="{CBBB924F-0028-48AF-88EC-82E26910A4EC}" name="Kolonne44">
      <calculatedColumnFormula>IF($A173,AR164,NA())</calculatedColumnFormula>
    </tableColumn>
    <tableColumn id="45" xr3:uid="{0E7C06B2-7BD0-46CB-AD59-7F84EAF14402}" name="Kolonne45">
      <calculatedColumnFormula>IF($A173,AS164,NA())</calculatedColumnFormula>
    </tableColumn>
    <tableColumn id="46" xr3:uid="{E4140AC4-9AF9-4CC3-BCD7-2D432EF7FABA}" name="Kolonne46">
      <calculatedColumnFormula>IF($A173,AT164,NA())</calculatedColumnFormula>
    </tableColumn>
    <tableColumn id="47" xr3:uid="{BD8103BC-D11F-46FC-B344-25EEA7444CED}" name="Kolonne47">
      <calculatedColumnFormula>IF($A173,AU164,NA())</calculatedColumnFormula>
    </tableColumn>
    <tableColumn id="48" xr3:uid="{977A4480-276B-4B68-8A97-8B45030DCC50}" name="Kolonne48">
      <calculatedColumnFormula>IF($A173,AV164,NA())</calculatedColumnFormula>
    </tableColumn>
    <tableColumn id="49" xr3:uid="{AFAB5382-B9BF-4B89-A57D-3630E38943D0}" name="Kolonne49">
      <calculatedColumnFormula>IF($A173,AW164,NA())</calculatedColumnFormula>
    </tableColumn>
    <tableColumn id="50" xr3:uid="{3303958A-93F2-4FAC-95C1-CC5C0B3F4D7F}" name="Kolonne50">
      <calculatedColumnFormula>IF($A173,AX164,NA())</calculatedColumnFormula>
    </tableColumn>
    <tableColumn id="51" xr3:uid="{415E4D3A-DFF1-48FE-9B31-1FB1AC6CAEA7}" name="Kolonne51">
      <calculatedColumnFormula>IF($A173,AY164,NA())</calculatedColumnFormula>
    </tableColumn>
    <tableColumn id="52" xr3:uid="{E629D932-CA44-440F-91C6-FDF68C656C60}" name="Kolonne52">
      <calculatedColumnFormula>IF($A173,AZ164,NA())</calculatedColumnFormula>
    </tableColumn>
    <tableColumn id="53" xr3:uid="{1A91907F-596D-4630-BBDD-AE50B560FA9C}" name="Kolonne53">
      <calculatedColumnFormula>IF($A173,BA164,NA())</calculatedColumnFormula>
    </tableColumn>
    <tableColumn id="54" xr3:uid="{C33C7DA8-9D78-4237-BF60-75DE71880F9F}" name="Kolonne54">
      <calculatedColumnFormula>IF($A173,BB164,NA())</calculatedColumnFormula>
    </tableColumn>
    <tableColumn id="55" xr3:uid="{D658C117-FD2D-48A0-A194-880E1B4DFEDD}" name="Kolonne55">
      <calculatedColumnFormula>IF($A173,BC164,NA())</calculatedColumnFormula>
    </tableColumn>
    <tableColumn id="56" xr3:uid="{E4C7FD88-0488-4CB9-820D-775035607F26}" name="Kolonne56">
      <calculatedColumnFormula>IF($A173,BD164,NA())</calculatedColumnFormula>
    </tableColumn>
    <tableColumn id="57" xr3:uid="{4CEAC36F-BB54-45BB-AA18-EEF59B744033}" name="Kolonne57">
      <calculatedColumnFormula>IF($A173,BE164,NA())</calculatedColumnFormula>
    </tableColumn>
    <tableColumn id="58" xr3:uid="{BEBE29FD-BA95-44F2-B2DD-20EE8125F134}" name="Kolonne58">
      <calculatedColumnFormula>IF($A173,BF164,NA())</calculatedColumnFormula>
    </tableColumn>
    <tableColumn id="59" xr3:uid="{EE48A3AE-7128-4AF2-820B-CF3AE20D6646}" name="Kolonne59">
      <calculatedColumnFormula>IF($A173,BG164,NA())</calculatedColumnFormula>
    </tableColumn>
    <tableColumn id="60" xr3:uid="{335FCF89-8ECC-484E-BDC3-A30F4E18A57B}" name="Kolonne60">
      <calculatedColumnFormula>IF($A173,BH164,NA())</calculatedColumnFormula>
    </tableColumn>
    <tableColumn id="61" xr3:uid="{B52F1FF6-30AF-482F-B7D2-694A8F174721}" name="Kolonne61">
      <calculatedColumnFormula>IF($A173,BI164,NA())</calculatedColumnFormula>
    </tableColumn>
    <tableColumn id="62" xr3:uid="{909B6833-DF9F-4D01-A08D-B727E075E7D5}" name="Kolonne62">
      <calculatedColumnFormula>IF($A173,BJ164,NA())</calculatedColumnFormula>
    </tableColumn>
    <tableColumn id="63" xr3:uid="{6F7B155C-C541-4814-BCCE-09ED23BC36B3}" name="Kolonne63">
      <calculatedColumnFormula>IF($A173,BK164,NA())</calculatedColumnFormula>
    </tableColumn>
    <tableColumn id="64" xr3:uid="{E415B5B3-DAE1-483D-853F-913ADC67FE56}" name="Kolonne64">
      <calculatedColumnFormula>IF($A173,BL164,NA())</calculatedColumnFormula>
    </tableColumn>
    <tableColumn id="65" xr3:uid="{89CF6447-3F2E-4CDB-BE27-ABF1AC2254E1}" name="Kolonne65">
      <calculatedColumnFormula>IF($A173,BM164,NA())</calculatedColumnFormula>
    </tableColumn>
    <tableColumn id="66" xr3:uid="{D8F3AA58-8720-41A2-9318-9B35616FBC2C}" name="Kolonne66">
      <calculatedColumnFormula>IF($A173,BN164,NA())</calculatedColumnFormula>
    </tableColumn>
    <tableColumn id="67" xr3:uid="{4F0777A1-E9F4-42BB-AF15-2B9709253DFF}" name="Kolonne67">
      <calculatedColumnFormula>IF($A173,BO164,NA())</calculatedColumnFormula>
    </tableColumn>
    <tableColumn id="68" xr3:uid="{31C73095-020D-4078-A805-64541C6FC7E1}" name="Kolonne68">
      <calculatedColumnFormula>IF($A173,BP164,NA())</calculatedColumnFormula>
    </tableColumn>
    <tableColumn id="69" xr3:uid="{A2940D30-5FBF-4F0D-8F80-0E9308E2FF30}" name="Kolonne69">
      <calculatedColumnFormula>IF($A173,BQ164,NA())</calculatedColumnFormula>
    </tableColumn>
    <tableColumn id="70" xr3:uid="{61CB3328-3C53-4A29-ADC3-41D3236772E8}" name="Kolonne70">
      <calculatedColumnFormula>IF($A173,BR164,NA())</calculatedColumnFormula>
    </tableColumn>
    <tableColumn id="71" xr3:uid="{F9D0E78F-A812-47B7-8210-C12A85D16FD4}" name="Kolonne71">
      <calculatedColumnFormula>IF($A173,BS164,NA())</calculatedColumnFormula>
    </tableColumn>
    <tableColumn id="72" xr3:uid="{1B7C733C-64FC-4B12-A6B0-5C770DBE5FA9}" name="Kolonne72">
      <calculatedColumnFormula>IF($A173,BT164,NA())</calculatedColumnFormula>
    </tableColumn>
    <tableColumn id="73" xr3:uid="{31C8E6E9-544E-46D6-A5A7-55CCA29BB823}" name="Kolonne73">
      <calculatedColumnFormula>IF($A173,BU164,NA())</calculatedColumnFormula>
    </tableColumn>
    <tableColumn id="74" xr3:uid="{DDBF7801-D8E8-4DB7-9A1C-E97BD4A556C2}" name="Kolonne74">
      <calculatedColumnFormula>IF($A173,BV164,NA())</calculatedColumnFormula>
    </tableColumn>
    <tableColumn id="75" xr3:uid="{9E0A1DE2-A470-4B55-9D7B-55D621EB2573}" name="Kolonne75">
      <calculatedColumnFormula>IF($A173,BW164,NA())</calculatedColumnFormula>
    </tableColumn>
    <tableColumn id="76" xr3:uid="{8AB649E6-7987-4BB3-9987-CC4A774C52E0}" name="Kolonne76">
      <calculatedColumnFormula>IF($A173,BX164,NA())</calculatedColumnFormula>
    </tableColumn>
    <tableColumn id="77" xr3:uid="{6B85086C-12C9-40E9-96B4-9E894F2CC557}" name="Kolonne77">
      <calculatedColumnFormula>IF($A173,BY164,NA())</calculatedColumnFormula>
    </tableColumn>
    <tableColumn id="78" xr3:uid="{4C41FD18-5F57-4645-8B61-5B9AF3B07FED}" name="Kolonne772">
      <calculatedColumnFormula>IF(BZ164="",NA(),IF($A173,BZ164,NA()))</calculatedColumnFormula>
    </tableColumn>
    <tableColumn id="79" xr3:uid="{EDFD9CF3-E950-4E5C-91AF-6FCA57096341}" name="Kolonne7722">
      <calculatedColumnFormula>IF(CA164="",NA(),IF($A173,CA164,NA()))</calculatedColumnFormula>
    </tableColumn>
    <tableColumn id="80" xr3:uid="{A2F4DA57-712E-497A-93F3-CD363D2A9B16}" name="Kolonne7723">
      <calculatedColumnFormula>IF(CB164="",NA(),IF($A173,CB164,NA()))</calculatedColumnFormula>
    </tableColumn>
    <tableColumn id="81" xr3:uid="{D6417C9F-DA21-4092-B542-C88C9470C5AA}" name="Kolonne7724">
      <calculatedColumnFormula>IF(CC164="",NA(),IF($A173,CC164,NA()))</calculatedColumnFormula>
    </tableColumn>
    <tableColumn id="82" xr3:uid="{3A09B5DA-98C8-4076-B782-1AEAE356890F}" name="Kolonne7725">
      <calculatedColumnFormula>IF(CD164="",NA(),IF($A173,CD164,NA()))</calculatedColumnFormula>
    </tableColumn>
    <tableColumn id="83" xr3:uid="{85B965DA-BFD1-4A32-9D84-9700FB981C08}" name="Kolonne7726">
      <calculatedColumnFormula>IF(CE164="",NA(),IF($A173,CE164,NA()))</calculatedColumnFormula>
    </tableColumn>
    <tableColumn id="84" xr3:uid="{046AE6A0-52E6-45FC-B093-C203C183386B}" name="Kolonne7727">
      <calculatedColumnFormula>IF(CF164="",NA(),IF($A173,CF164,NA()))</calculatedColumnFormula>
    </tableColumn>
    <tableColumn id="85" xr3:uid="{20F25053-DE0B-42B3-8D4E-64584D699A1E}" name="Kolonne7728">
      <calculatedColumnFormula>IF(CG164="",NA(),IF($A173,CG164,NA()))</calculatedColumnFormula>
    </tableColumn>
    <tableColumn id="86" xr3:uid="{EEA64140-A599-476A-A2D7-4A2B5116546F}" name="Kolonne7729">
      <calculatedColumnFormula>IF(CH164="",NA(),IF($A173,CH164,NA()))</calculatedColumnFormula>
    </tableColumn>
    <tableColumn id="87" xr3:uid="{24D036D9-2B6B-4322-B3FE-C8CBB7703057}" name="Kolonne77210">
      <calculatedColumnFormula>IF(CI164="",NA(),IF($A173,CI164,NA()))</calculatedColumnFormula>
    </tableColumn>
    <tableColumn id="88" xr3:uid="{7F25FBB0-81F3-4577-B9C2-C6082D1E7651}" name="Kolonne77211">
      <calculatedColumnFormula>IF(CJ164="",NA(),IF($A173,CJ164,NA()))</calculatedColumnFormula>
    </tableColumn>
    <tableColumn id="89" xr3:uid="{5E6C49BE-C4A6-4EF4-A35E-E7DA0DFEFC4E}" name="Kolonne77212">
      <calculatedColumnFormula>IF(CK164="",NA(),IF($A173,CK164,NA()))</calculatedColumnFormula>
    </tableColumn>
    <tableColumn id="90" xr3:uid="{4E1CE142-FB0F-401A-8DEB-2C9F690928FB}" name="Kolonne77213">
      <calculatedColumnFormula>IF(CL164="",NA(),IF($A173,CL164,NA()))</calculatedColumnFormula>
    </tableColumn>
    <tableColumn id="91" xr3:uid="{4E6E6FF9-93CC-46DD-9E77-904E327ABD5D}" name="Kolonne77214">
      <calculatedColumnFormula>IF(CM164="",NA(),IF($A173,CM164,NA()))</calculatedColumnFormula>
    </tableColumn>
    <tableColumn id="92" xr3:uid="{DFF2F306-D38C-4687-9655-77DCB7E101DF}" name="Kolonne77215">
      <calculatedColumnFormula>IF(CN164="",NA(),IF($A173,CN164,NA()))</calculatedColumnFormula>
    </tableColumn>
    <tableColumn id="93" xr3:uid="{4E00B11A-69CF-4A00-9915-5A2046FA1EBE}" name="Kolonne77216">
      <calculatedColumnFormula>IF(CO164="",NA(),IF($A173,CO164,NA()))</calculatedColumnFormula>
    </tableColumn>
    <tableColumn id="94" xr3:uid="{F79C0960-B7D3-4810-89F2-AA289CF9799C}" name="Kolonne77217">
      <calculatedColumnFormula>IF(CP164="",NA(),IF($A173,CP164,NA()))</calculatedColumnFormula>
    </tableColumn>
    <tableColumn id="95" xr3:uid="{528F316E-0CA5-4E14-B817-9212FCB5CE6C}" name="Kolonne77218">
      <calculatedColumnFormula>IF(CQ164="",NA(),IF($A173,CQ164,NA()))</calculatedColumnFormula>
    </tableColumn>
    <tableColumn id="96" xr3:uid="{696C5502-3F77-4EA7-AC3F-9444F85E5964}" name="Kolonne77219">
      <calculatedColumnFormula>IF(CR164="",NA(),IF($A173,CR164,NA()))</calculatedColumnFormula>
    </tableColumn>
    <tableColumn id="97" xr3:uid="{13E70C21-6BB8-49C5-AE0E-CD88256A9AB4}" name="Kolonne77220">
      <calculatedColumnFormula>IF(CS164="",NA(),IF($A173,CS164,NA()))</calculatedColumnFormula>
    </tableColumn>
    <tableColumn id="98" xr3:uid="{94DE376A-78A2-4B85-B7DF-2E67B765FF46}" name="Kolonne77221">
      <calculatedColumnFormula>IF(CT164="",NA(),IF($A173,CT164,NA()))</calculatedColumnFormula>
    </tableColumn>
    <tableColumn id="99" xr3:uid="{2A417645-B65C-4BA4-A6B6-6A2419091F7C}" name="Kolonne77222">
      <calculatedColumnFormula>IF(CU164="",NA(),IF($A173,CU164,NA()))</calculatedColumnFormula>
    </tableColumn>
    <tableColumn id="100" xr3:uid="{24465A2A-CA30-4CE7-8471-554224AAC0CE}" name="Kolonne77223">
      <calculatedColumnFormula>IF(CV164="",NA(),IF($A173,CV164,NA()))</calculatedColumnFormula>
    </tableColumn>
    <tableColumn id="101" xr3:uid="{E894DD23-AF85-4533-BA77-718CC30BA166}" name="Kolonne77224">
      <calculatedColumnFormula>IF(CW164="",NA(),IF($A173,CW164,NA()))</calculatedColumnFormula>
    </tableColumn>
    <tableColumn id="102" xr3:uid="{246C0396-C1E9-435B-8739-27C5CD5F276D}" name="Kolonne77225">
      <calculatedColumnFormula>IF(CX164="",NA(),IF($A173,CX164,NA()))</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tema">
  <a:themeElements>
    <a:clrScheme name="JDir">
      <a:dk1>
        <a:sysClr val="windowText" lastClr="000000"/>
      </a:dk1>
      <a:lt1>
        <a:sysClr val="window" lastClr="FFFFFF"/>
      </a:lt1>
      <a:dk2>
        <a:srgbClr val="2E578B"/>
      </a:dk2>
      <a:lt2>
        <a:srgbClr val="8F9BBA"/>
      </a:lt2>
      <a:accent1>
        <a:srgbClr val="2E578B"/>
      </a:accent1>
      <a:accent2>
        <a:srgbClr val="8F9BBA"/>
      </a:accent2>
      <a:accent3>
        <a:srgbClr val="CB5F3B"/>
      </a:accent3>
      <a:accent4>
        <a:srgbClr val="E3A889"/>
      </a:accent4>
      <a:accent5>
        <a:srgbClr val="593D6C"/>
      </a:accent5>
      <a:accent6>
        <a:srgbClr val="9A88A3"/>
      </a:accent6>
      <a:hlink>
        <a:srgbClr val="000000"/>
      </a:hlink>
      <a:folHlink>
        <a:srgbClr val="00000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J84" dT="2026-01-21T09:08:35.30" personId="{F0A47A0F-3679-4917-A622-C0ABA118FB21}" id="{2EB38048-F937-468D-8792-66E4FB4956FF}">
    <text>Inkl. 50 % ”Annet tog”</text>
  </threadedComment>
  <threadedComment ref="J85" dT="2026-01-21T09:08:50.56" personId="{F0A47A0F-3679-4917-A622-C0ABA118FB21}" id="{04F6CEE1-9E09-47FF-8B62-573C91A06E7C}">
    <text>Inkl. 50 % ”Annet tog”</text>
  </threadedComment>
  <threadedComment ref="J86" dT="2026-02-25T14:13:55.64" personId="{F0A47A0F-3679-4917-A622-C0ABA118FB21}" id="{D1D545F1-B967-4D1C-89D9-4DC6FE579738}">
    <text>Inkl. 50 % ”Annet tog”.</text>
  </threadedComment>
  <threadedComment ref="B161" dT="2026-01-23T14:16:54.77" personId="{F0A47A0F-3679-4917-A622-C0ABA118FB21}" id="{7E46DF1C-86B4-401C-BC15-89B0F99211B4}">
    <text>Inkl. 50 % ”Annet tog”</text>
  </threadedComment>
  <threadedComment ref="B165" dT="2026-01-23T14:17:15.24" personId="{F0A47A0F-3679-4917-A622-C0ABA118FB21}" id="{E24B8601-316E-4FD6-8609-D1571BE9615E}">
    <text>Inkl. 50 % ”Annet tog”</text>
  </threadedComment>
</ThreadedComments>
</file>

<file path=xl/threadedComments/threadedComment2.xml><?xml version="1.0" encoding="utf-8"?>
<ThreadedComments xmlns="http://schemas.microsoft.com/office/spreadsheetml/2018/threadedcomments" xmlns:x="http://schemas.openxmlformats.org/spreadsheetml/2006/main">
  <threadedComment ref="H106" dT="2026-02-26T11:53:54.49" personId="{CDC6FC34-7B77-4D37-9FC2-2EC2078C0A44}" id="{29911BB6-EC29-40DB-A587-E01C96C0B83F}">
    <text>Standard-andelen skal oppdateres med tall fra interne jernbaneundersøkelser (KTU).</text>
  </threadedComment>
</ThreadedComments>
</file>

<file path=xl/threadedComments/threadedComment3.xml><?xml version="1.0" encoding="utf-8"?>
<ThreadedComments xmlns="http://schemas.microsoft.com/office/spreadsheetml/2018/threadedcomments" xmlns:x="http://schemas.openxmlformats.org/spreadsheetml/2006/main">
  <threadedComment ref="C18" dT="2022-06-23T08:02:33.44" personId="{F0A47A0F-3679-4917-A622-C0ABA118FB21}" id="{5D1FAF02-2B8E-4CE0-B30C-C117A84AFA81}">
    <text>Endre navn her?</text>
  </threadedComment>
</ThreadedComments>
</file>

<file path=xl/threadedComments/threadedComment4.xml><?xml version="1.0" encoding="utf-8"?>
<ThreadedComments xmlns="http://schemas.microsoft.com/office/spreadsheetml/2018/threadedcomments" xmlns:x="http://schemas.openxmlformats.org/spreadsheetml/2006/main">
  <threadedComment ref="U24" dT="2021-09-23T08:16:30.10" personId="{146E3FC9-7B33-4B68-8AD9-EAD1BF7B83F2}" id="{6DCF984E-2E23-4D8D-9BC5-2C78D5137D5E}">
    <text>Basisprognosen for årlig prosentvis vekst i persontrafikk etter siste beregningsår er avtagende over tid. Basisprognosen kan gjennom følsomhetsanalyse enten skaleres med en bestemt prosentendring slik at prognosens relative struktur beholdes, eller erstattes med en fast årlig prosentsats (tallverdi) for hele perioden.</text>
  </threadedComment>
  <threadedComment ref="U25" dT="2021-09-23T08:16:50.61" personId="{146E3FC9-7B33-4B68-8AD9-EAD1BF7B83F2}" id="{289C2450-CA11-49CF-AD82-9FD7A9E5290F}">
    <text>Basisprognosen for årlig prosentvis vekst i godstrafikk etter siste beregningsår er avtagende over tid. Basisprognosen kan gjennom følsomhetsanalyse enten skaleres med en bestemt prosentendring slik at prognosens relative struktur beholdes, eller erstattes med en fast årlig prosentsats (tallverdi) for hele perioden.</text>
  </threadedComment>
  <threadedComment ref="U26" dT="2021-09-23T08:17:15.79" personId="{146E3FC9-7B33-4B68-8AD9-EAD1BF7B83F2}" id="{09E879D8-CE32-45C5-9760-1C251E0B0114}">
    <text>Forutsatt fremtidig vekst i BNP per innbygger bestemmer i SAGA realprisjusteringen miljø, ulykker og helse.</text>
  </threadedComment>
</ThreadedComments>
</file>

<file path=xl/threadedComments/threadedComment5.xml><?xml version="1.0" encoding="utf-8"?>
<ThreadedComments xmlns="http://schemas.microsoft.com/office/spreadsheetml/2018/threadedcomments" xmlns:x="http://schemas.openxmlformats.org/spreadsheetml/2006/main">
  <threadedComment ref="B12" dT="2021-05-28T13:36:19.37" personId="{5B1071E6-C5A1-4FC7-9BBE-8FB901AE1110}" id="{B921D94B-ED12-4EAF-9454-C0A2A67C2612}">
    <text>Velg antall stokastisk eksogene variabler som skal simuleres, samt antall trekninger som gjennomføres for hver variabel. Antall stokastiske eksogene variabler kan enten spesifiseres direkte ved å taste inn et tall, eller ved å «klikke» seg til det ønskede tallet. 
For hver stokastiske eksogene variabel må div grønne områder fylles ut.</text>
  </threadedComment>
  <threadedComment ref="Q12" dT="2021-05-28T13:31:40.57" personId="{5B1071E6-C5A1-4FC7-9BBE-8FB901AE1110}" id="{BDF3F9E1-A436-4CAC-9D39-5F18081D5047}">
    <text>Hvis input er endret må man velge variabel på nytt for at figuren skal oppdateres</text>
  </threadedComment>
  <threadedComment ref="W12" dT="2021-05-28T13:35:09.01" personId="{5B1071E6-C5A1-4FC7-9BBE-8FB901AE1110}" id="{35B83F18-5E9D-4B67-8479-3E5EB5E6C77C}">
    <text>Velg antall og hvilke stokastiske endogene variabler som skal lagres under simulering (og som senere kan illustreres). Klikk "Lagre alle mulige hovedresultater" for å automatisk fylle tabellen over utvalgte resultater med alle de endogene variablene det er mulig å lagre, slik at disse blir lagret ved neste simulering.
Tabellen over utvalgte resultater viser forventningsverdier fra siste simulering og basisverdier fra hovedberegningen for de stokastiske endogene variablene.</text>
  </threadedComment>
  <threadedComment ref="AA12" dT="2021-05-28T13:40:12.73" personId="{5B1071E6-C5A1-4FC7-9BBE-8FB901AE1110}" id="{FB2A7C69-0901-41F8-9EC4-6440C995B82F}">
    <text>Velg en stokastisk endogen variabel fra siste simulering. I tabellen under vises da deskriptiv statistikk for den valgte variabelen. Samtidig vises figurer for kumulativ fordeling, histogram og løpende simulert gjennomsnitt for den samme variabelen. 
Man kan bestemme om antall desimaler i tabeller og figurer skal formateres automatisk, eller kunne endres manuelt.</text>
  </threadedComment>
  <threadedComment ref="AD12" dT="2021-05-28T13:42:22.60" personId="{5B1071E6-C5A1-4FC7-9BBE-8FB901AE1110}" id="{E8608B01-A468-4E03-AC92-19F01BD4DBBE}">
    <text>I figuren for kumulativ fordeling kan det fremheves verdier knyttet til tre valgfrie persentiler.</text>
  </threadedComment>
  <threadedComment ref="AI12" dT="2021-05-28T13:43:06.82" personId="{5B1071E6-C5A1-4FC7-9BBE-8FB901AE1110}" id="{5AABE35F-B151-4D01-B380-69E859BC28A4}">
    <text>I histogrammet beregnes automatisk bredden på bolkene/stolpene. Det er imidlertid også mulig å bestemme antall og bredden på de bolkene selv, ved å velge «Ja» på spørsmålet om det skal brukes egendefinerte bolker.</text>
  </threadedComment>
  <threadedComment ref="AO12" dT="2021-05-28T13:41:25.61" personId="{5B1071E6-C5A1-4FC7-9BBE-8FB901AE1110}" id="{FD242E81-44B7-4966-A173-3A22228D012D}">
    <text>Løpende simulerte gjennomsnitt for valgt endogene variabelen gir sammen med det oppgitte konfidensintervallet en indikasjon på om resultatene av simuleringen har konvergert i tilstrekkelig grad, og om simuleringen er basert på for få, passe eller unødvendig mange trekninger.</text>
  </threadedComment>
  <threadedComment ref="B18" dT="2021-05-28T12:23:33.46" personId="{5B1071E6-C5A1-4FC7-9BBE-8FB901AE1110}" id="{CF310E61-F43C-4ACA-8574-192E4DE42014}">
    <text>Navn på valgte stokastiske eksogene variabler i simuleringen. Enkelte variabler forklares ytterligere helt til høyre i tabellen.</text>
  </threadedComment>
  <threadedComment ref="C18" dT="2021-05-28T12:21:56.23" personId="{5B1071E6-C5A1-4FC7-9BBE-8FB901AE1110}" id="{75C1A9B4-AF9A-4CA5-AD09-EEB56BCB9876}">
    <text>Formatet kan enten være en tallverdi eller prosent endring fra basisverdi. Valgmuligheten avhenger av den eksogene variabelen.</text>
  </threadedComment>
  <threadedComment ref="D18" dT="2021-05-28T12:25:09.90" personId="{5B1071E6-C5A1-4FC7-9BBE-8FB901AE1110}" id="{EC600BF4-009C-4822-AA0F-22903ACC36B8}">
    <text>For lognormale fordelinger er de simulerte verdiene av variabelen alltid positive (logaritmen av fordelingen er normalfordelt). Oppgitt spredningsmål og sentralitetsmål må da også bestå av positive verdier.</text>
  </threadedComment>
  <threadedComment ref="E18" dT="2021-05-28T12:27:35.36" personId="{5B1071E6-C5A1-4FC7-9BBE-8FB901AE1110}" id="{26378A7D-DD66-4503-869C-9F8686445FFD}">
    <text>Spredningsmålet bestemmer sannsynlighetsfordelingens variasjon. Ved normal og lognormal fordeling kan man enten oppgi standardavviket, eller en valgfri persentil som spredningsmål . Ved triangulær fordeling er første spredningsmål fordelingens minimummsverdi (P0).</text>
  </threadedComment>
  <threadedComment ref="G18" dT="2021-05-28T12:31:14.82" personId="{5B1071E6-C5A1-4FC7-9BBE-8FB901AE1110}" id="{09B40CDA-A6B5-4596-8F7B-13F94F8ECF72}">
    <text>Sentralitetsmålet bestemmer sannsynlighetsfordelingens sentralitet. Ved normalfordeling skal det aritmetiske gjennomsnittet/medianen oppgis. Ved lognormal fordeling skal det aritmetiske gjennomsnittet oppgis hvis standardavviket er valgt som spredningsmål, mens medianen skal oppgis hvis en persentil er valgt som spredningsmål. Ved triangulær fordeling kan kun modus (typetallet) oppgis som sentralitetsmål. Modus er verdien som inntreffer oftest for en stokastisk variabel, altså verdien det er størst sannsynlighet for at en variabel trekkes til ved Monte Carlo-simulering</text>
  </threadedComment>
  <threadedComment ref="I18" dT="2021-05-28T12:29:37.25" personId="{5B1071E6-C5A1-4FC7-9BBE-8FB901AE1110}" id="{F363B542-F080-41ED-88E6-5EC563305DF9}">
    <text>Det andre spredningsmålet skal kun oppgis ved triangulær sannsynlighetssfordeling og består da av fordelingens maksimumsverdi (P100).</text>
  </threadedComment>
  <threadedComment ref="K18" dT="2021-05-28T12:35:30.43" personId="{5B1071E6-C5A1-4FC7-9BBE-8FB901AE1110}" id="{46BC401C-AA31-48F1-A5D1-606EE033C634}">
    <text>Her kan et valgfritt sprednings- eller sentralitetsmål oppgis. Valgene og verdiene brukes ikke som input i simuleringene, men er ment for å gi brukeren nyttig informasjon om den forutsatte sannsynlighetsfordelingen.</text>
  </threadedComment>
  <threadedComment ref="M18" dT="2021-05-28T12:38:31.73" personId="{5B1071E6-C5A1-4FC7-9BBE-8FB901AE1110}" id="{10CE67D8-727D-43BF-8CE5-6A9AEF1F986B}">
    <text>De eksogene variablenes opprinnelige verdi hentes fra de relevante cellene i SAGA. Verdier vil ikke oppgis hvis variabelen representerer forutsetninger som er fordelt over flere celler (f.eks. prisbanen for CO2).</text>
  </threadedComment>
  <threadedComment ref="O18" dT="2021-05-28T12:40:26.94" personId="{5B1071E6-C5A1-4FC7-9BBE-8FB901AE1110}" id="{48FF3B8A-AEA3-4DA7-9259-674ABBE3F262}">
    <text>Ytterligere forklaring er forsøkt gitt for variabler som ikke er selvforklarende.</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6" Type="http://schemas.openxmlformats.org/officeDocument/2006/relationships/hyperlink" Target="https://www.regjeringen.no/contentassets/aefd9d12738d43078cbc647448bbeca1/no/pdfs/stm201620170029000dddpdfs.pdf" TargetMode="External"/><Relationship Id="rId21" Type="http://schemas.openxmlformats.org/officeDocument/2006/relationships/hyperlink" Target="https://www.toi.no/getfile.php?mmfileid=5998" TargetMode="External"/><Relationship Id="rId42" Type="http://schemas.openxmlformats.org/officeDocument/2006/relationships/hyperlink" Target="https://www.jernbanedirektoratet.no/saga" TargetMode="External"/><Relationship Id="rId47" Type="http://schemas.openxmlformats.org/officeDocument/2006/relationships/hyperlink" Target="https://www.jernbanedirektoratet.no/contentassets/03a365b2dcf04eb6a1779a34752a0fb6/econ-054-2003_eksterne-marginale-kostnader-ved-transport.pdf" TargetMode="External"/><Relationship Id="rId63" Type="http://schemas.openxmlformats.org/officeDocument/2006/relationships/hyperlink" Target="https://www.regjeringen.no/no/tema/okonomi-og-budsjett/skatter-og-avgifter/avgiftssatser-2018/id2575160/" TargetMode="External"/><Relationship Id="rId68" Type="http://schemas.openxmlformats.org/officeDocument/2006/relationships/hyperlink" Target="https://www.regjeringen.no/no/tema/okonomi-og-budsjett/skatter-og-avgifter/avgiftssatser-2021/id2767486/" TargetMode="External"/><Relationship Id="rId84" Type="http://schemas.openxmlformats.org/officeDocument/2006/relationships/hyperlink" Target="https://utdanning.no/yrker/beskrivelse/konduktor" TargetMode="External"/><Relationship Id="rId89" Type="http://schemas.openxmlformats.org/officeDocument/2006/relationships/drawing" Target="../drawings/drawing4.xml"/><Relationship Id="rId16" Type="http://schemas.openxmlformats.org/officeDocument/2006/relationships/hyperlink" Target="http://jernbaneforskning.no/files/pages/555/2003-vurdering-av-framtidig-stallingsbehov-for-lokaltog-i-oslo-apen.pdf" TargetMode="External"/><Relationship Id="rId11" Type="http://schemas.openxmlformats.org/officeDocument/2006/relationships/hyperlink" Target="https://www.toi.no/getfile.php?mmfileid=36274" TargetMode="External"/><Relationship Id="rId32" Type="http://schemas.openxmlformats.org/officeDocument/2006/relationships/hyperlink" Target="https://www.regjeringen.no/no/dokumenter/prop.-1-ls-ls0-20162017/id2514108/" TargetMode="External"/><Relationship Id="rId37" Type="http://schemas.openxmlformats.org/officeDocument/2006/relationships/hyperlink" Target="https://lastebil.no/Infobank/Faktabank/Ordliste" TargetMode="External"/><Relationship Id="rId53" Type="http://schemas.openxmlformats.org/officeDocument/2006/relationships/hyperlink" Target="https://www.regjeringen.no/no/tema/okonomi-og-budsjett/skatter-og-avgifter/avgiftssatser-2020/id2671008/" TargetMode="External"/><Relationship Id="rId58" Type="http://schemas.openxmlformats.org/officeDocument/2006/relationships/hyperlink" Target="https://www.regjeringen.no/no/tema/okonomi-og-budsjett/skatter-og-avgifter/avgiftssatser-2017/id2514838/" TargetMode="External"/><Relationship Id="rId74" Type="http://schemas.openxmlformats.org/officeDocument/2006/relationships/hyperlink" Target="https://www.regjeringen.no/no/tema/okonomi-og-budsjett/statlig-okonomistyring/karbonprisbaner-for-bruk-i-samfunnsokonomiske-analyser/id2878113/" TargetMode="External"/><Relationship Id="rId79" Type="http://schemas.openxmlformats.org/officeDocument/2006/relationships/hyperlink" Target="https://www.regjeringen.no/no/tema/okonomi-og-budsjett/skatter-og-avgifter/avgiftssatser-2024/id2997383/" TargetMode="External"/><Relationship Id="rId5" Type="http://schemas.openxmlformats.org/officeDocument/2006/relationships/hyperlink" Target="http://www.statsbudsjettet.no/upload/Statsbudsjett_2013/dokumenter/pdf/gulbok.pdf" TargetMode="External"/><Relationship Id="rId14" Type="http://schemas.openxmlformats.org/officeDocument/2006/relationships/hyperlink" Target="https://www.toi.no/getfile.php/Publikasjoner/T%C3%98I%20rapporter/2015/1424-2015/1424-2015-sam.pdf" TargetMode="External"/><Relationship Id="rId22" Type="http://schemas.openxmlformats.org/officeDocument/2006/relationships/hyperlink" Target="https://www.regjeringen.no/no/dokumenter/nou-2012-16/id700821/?ch=1&amp;q=" TargetMode="External"/><Relationship Id="rId27" Type="http://schemas.openxmlformats.org/officeDocument/2006/relationships/hyperlink" Target="https://www.toi.no/getfile.php?mmfileid=38978" TargetMode="External"/><Relationship Id="rId30" Type="http://schemas.openxmlformats.org/officeDocument/2006/relationships/hyperlink" Target="https://no.wikipedia.org/wiki/Diesel" TargetMode="External"/><Relationship Id="rId35" Type="http://schemas.openxmlformats.org/officeDocument/2006/relationships/hyperlink" Target="https://www.regjeringen.no/globalassets/upload/fin/vedlegg/okstyring/rundskriv/faste/r_109_2014.pdf" TargetMode="External"/><Relationship Id="rId43" Type="http://schemas.openxmlformats.org/officeDocument/2006/relationships/hyperlink" Target="https://www.ssb.no/statbank/table/09786" TargetMode="External"/><Relationship Id="rId48" Type="http://schemas.openxmlformats.org/officeDocument/2006/relationships/hyperlink" Target="https://www.ssb.no/kpi" TargetMode="External"/><Relationship Id="rId56" Type="http://schemas.openxmlformats.org/officeDocument/2006/relationships/hyperlink" Target="https://www.toi.no/getfile.php?mmfileid=52408" TargetMode="External"/><Relationship Id="rId64" Type="http://schemas.openxmlformats.org/officeDocument/2006/relationships/hyperlink" Target="https://www.jernbanedirektoratet.no/saga" TargetMode="External"/><Relationship Id="rId69" Type="http://schemas.openxmlformats.org/officeDocument/2006/relationships/hyperlink" Target="https://www.regjeringen.no/no/tema/okonomi-og-budsjett/skatter-og-avgifter/avgiftssatser-2022/id2873933/" TargetMode="External"/><Relationship Id="rId77" Type="http://schemas.openxmlformats.org/officeDocument/2006/relationships/hyperlink" Target="https://www.toi.no/getfile.php?mmfileid=74674" TargetMode="External"/><Relationship Id="rId8" Type="http://schemas.openxmlformats.org/officeDocument/2006/relationships/hyperlink" Target="https://www.toi.no/getfile.php?mmfileid=13925" TargetMode="External"/><Relationship Id="rId51" Type="http://schemas.openxmlformats.org/officeDocument/2006/relationships/hyperlink" Target="https://www.jernbanedirektoratet.no/contentassets/03a365b2dcf04eb6a1779a34752a0fb6/helseeffekter-i-transportetatenes-nyttekostnadsanalyser.pdf" TargetMode="External"/><Relationship Id="rId72" Type="http://schemas.openxmlformats.org/officeDocument/2006/relationships/hyperlink" Target="https://www.ssb.no/statbank/table/13599" TargetMode="External"/><Relationship Id="rId80" Type="http://schemas.openxmlformats.org/officeDocument/2006/relationships/hyperlink" Target="https://www.helsedirektoratet.no/rapporter/dokumentasjonsrapport-helseeffekter-av-fysisk-aktivitet-per-km-gange-og-sykling/okonomisk-verdsetting-av-helsegevinster" TargetMode="External"/><Relationship Id="rId85" Type="http://schemas.openxmlformats.org/officeDocument/2006/relationships/hyperlink" Target="https://www.regjeringen.no/no/tema/okonomi-og-budsjett/skatter-og-avgifter/skatte-og-avgiftssatser/avgiftssatser-2026/id3121982/" TargetMode="External"/><Relationship Id="rId3" Type="http://schemas.openxmlformats.org/officeDocument/2006/relationships/hyperlink" Target="https://www.toi.no/getfile.php?mmfileid=39511" TargetMode="External"/><Relationship Id="rId12" Type="http://schemas.openxmlformats.org/officeDocument/2006/relationships/hyperlink" Target="http://www.jernbaneverket.no/contentassets/a3e2c5d145d04eaa95c04e6ebe036e44/metodehandbok-2015.pdf" TargetMode="External"/><Relationship Id="rId17" Type="http://schemas.openxmlformats.org/officeDocument/2006/relationships/hyperlink" Target="https://www.regjeringen.no/globalassets/upload/fin/vedlegg/okstyring/rundskriv/faste/r_109_2014.pdf" TargetMode="External"/><Relationship Id="rId25" Type="http://schemas.openxmlformats.org/officeDocument/2006/relationships/hyperlink" Target="https://trv.jbv.no/wiki/Bruer_og_konstruksjoner/Prosjektering_og_bygging/Generelle_tekniske_krav" TargetMode="External"/><Relationship Id="rId33" Type="http://schemas.openxmlformats.org/officeDocument/2006/relationships/hyperlink" Target="https://www.vy.no/globalassets/vy.no/filer-no/barekraft-og-samfunnsansvar/2015-miljo--og-samfunnsrapport.pdf" TargetMode="External"/><Relationship Id="rId38" Type="http://schemas.openxmlformats.org/officeDocument/2006/relationships/hyperlink" Target="https://www.toi.no/getfile.php?mmfileid=44646" TargetMode="External"/><Relationship Id="rId46" Type="http://schemas.openxmlformats.org/officeDocument/2006/relationships/hyperlink" Target="https://www.jernbanedirektoratet.no/contentassets/03a365b2dcf04eb6a1779a34752a0fb6/beregning-av-elastisiteter-for-togreiser.pdf" TargetMode="External"/><Relationship Id="rId59" Type="http://schemas.openxmlformats.org/officeDocument/2006/relationships/hyperlink" Target="https://www.regjeringen.no/no/tema/okonomi-og-budsjett/skatter-og-avgifter/avgiftssatser-2019/id2614443/" TargetMode="External"/><Relationship Id="rId67" Type="http://schemas.openxmlformats.org/officeDocument/2006/relationships/hyperlink" Target="https://www.toi.no/getfile.php?mmfileid=53108" TargetMode="External"/><Relationship Id="rId20" Type="http://schemas.openxmlformats.org/officeDocument/2006/relationships/hyperlink" Target="https://www.toi.no/getfile.php?mmfileid=12239" TargetMode="External"/><Relationship Id="rId41" Type="http://schemas.openxmlformats.org/officeDocument/2006/relationships/hyperlink" Target="https://www.jernbanedirektoratet.no/contentassets/c645017befc9469b8bc9ff1af7f27976/trenklin---versjon-3.pdf" TargetMode="External"/><Relationship Id="rId54" Type="http://schemas.openxmlformats.org/officeDocument/2006/relationships/hyperlink" Target="http://networkstatement.jbv.no/doku.php?id=ns2020no:priser" TargetMode="External"/><Relationship Id="rId62" Type="http://schemas.openxmlformats.org/officeDocument/2006/relationships/hyperlink" Target="https://www.regjeringen.no/no/tema/okonomi-og-budsjett/skatter-og-avgifter/skattesatser-2017/id2514837/" TargetMode="External"/><Relationship Id="rId70" Type="http://schemas.openxmlformats.org/officeDocument/2006/relationships/hyperlink" Target="https://networkstatement.banenor.no/doku.php?id=ns2022no:tjenester_og_priser" TargetMode="External"/><Relationship Id="rId75" Type="http://schemas.openxmlformats.org/officeDocument/2006/relationships/hyperlink" Target="https://www.regjeringen.no/no/tema/okonomi-og-budsjett/skatter-og-avgifter/avgiftssatser-2023/id2929584/" TargetMode="External"/><Relationship Id="rId83" Type="http://schemas.openxmlformats.org/officeDocument/2006/relationships/hyperlink" Target="https://utdanning.no/yrker/beskrivelse/lokomotivforer" TargetMode="External"/><Relationship Id="rId88" Type="http://schemas.openxmlformats.org/officeDocument/2006/relationships/printerSettings" Target="../printerSettings/printerSettings4.bin"/><Relationship Id="rId1" Type="http://schemas.openxmlformats.org/officeDocument/2006/relationships/hyperlink" Target="https://www.toi.no/getfile.php?mmfileid=4186" TargetMode="External"/><Relationship Id="rId6" Type="http://schemas.openxmlformats.org/officeDocument/2006/relationships/hyperlink" Target="http://www.vegvesen.no/_attachment/603144/binary/951955?fast_title=Revidert+HB+140+%E2%80%93+h%C3%B8ringsutgave.pd" TargetMode="External"/><Relationship Id="rId15" Type="http://schemas.openxmlformats.org/officeDocument/2006/relationships/hyperlink" Target="http://www.ntp.dep.no/Forside/_attachment/502793/binary/813774?_ts=1400c273da8" TargetMode="External"/><Relationship Id="rId23" Type="http://schemas.openxmlformats.org/officeDocument/2006/relationships/hyperlink" Target="http://www.ssb.no/arbeid-og-lonn?de=L%C3%B8nn+og+arbeidskraftkostnader" TargetMode="External"/><Relationship Id="rId28" Type="http://schemas.openxmlformats.org/officeDocument/2006/relationships/hyperlink" Target="https://helsedirektoratet.no/Documents/Statistikk%20og%20analyse/Samfunns%C3%B8konomiske%20analyser/Notat%20til%20Vegdirektoratet%20om%20oppdaterte%20helsekostnader%20versjon%2029%20januar%202014.pdf" TargetMode="External"/><Relationship Id="rId36" Type="http://schemas.openxmlformats.org/officeDocument/2006/relationships/hyperlink" Target="https://www.ssb.no/arbeid-og-lonn/statistikker/lonnansatt/aar" TargetMode="External"/><Relationship Id="rId49" Type="http://schemas.openxmlformats.org/officeDocument/2006/relationships/hyperlink" Target="https://www.ssb.no/statbank/table/09842" TargetMode="External"/><Relationship Id="rId57" Type="http://schemas.openxmlformats.org/officeDocument/2006/relationships/hyperlink" Target="https://vista-analyse.no/site/assets/files/6776/va-rapport_2020-03_klimapris_og_utslipp_transport.pdf" TargetMode="External"/><Relationship Id="rId10" Type="http://schemas.openxmlformats.org/officeDocument/2006/relationships/hyperlink" Target="https://www.toi.no/getfile.php?mmfileid=16693" TargetMode="External"/><Relationship Id="rId31" Type="http://schemas.openxmlformats.org/officeDocument/2006/relationships/hyperlink" Target="http://www.skatteetaten.no/globalassets/saravgifter/avgiftsrundskriv/2017-mineralske-produkter.pdf" TargetMode="External"/><Relationship Id="rId44" Type="http://schemas.openxmlformats.org/officeDocument/2006/relationships/hyperlink" Target="https://www.jernbanedirektoratet.no/globalassets/documenter/handboker/kapasitet-og-begrepskatalog/jernbanedirektoratets-begrepskatalog-2017-versjon-2.pdf" TargetMode="External"/><Relationship Id="rId52" Type="http://schemas.openxmlformats.org/officeDocument/2006/relationships/hyperlink" Target="https://www.toi.no/getfile.php?mmfileid=50202" TargetMode="External"/><Relationship Id="rId60" Type="http://schemas.openxmlformats.org/officeDocument/2006/relationships/hyperlink" Target="https://www.regjeringen.no/no/dokumentarkiv/regjeringen-solberg/fin/Avgiftssatser-2015/id2005679/" TargetMode="External"/><Relationship Id="rId65" Type="http://schemas.openxmlformats.org/officeDocument/2006/relationships/hyperlink" Target="https://www.sintef.no/publikasjoner/publikasjon/1912976/" TargetMode="External"/><Relationship Id="rId73" Type="http://schemas.openxmlformats.org/officeDocument/2006/relationships/hyperlink" Target="https://www.toi.no/getfile.php?mmfileid=51596" TargetMode="External"/><Relationship Id="rId78" Type="http://schemas.openxmlformats.org/officeDocument/2006/relationships/hyperlink" Target="https://networkstatement.banenor.no/doku.php?id=ns2024no:tjenester_og_priser" TargetMode="External"/><Relationship Id="rId81" Type="http://schemas.openxmlformats.org/officeDocument/2006/relationships/hyperlink" Target="https://www.toi.no/getfile.php?mmfileid=80260" TargetMode="External"/><Relationship Id="rId86" Type="http://schemas.openxmlformats.org/officeDocument/2006/relationships/hyperlink" Target="https://om.avinor.no/om-oss/trafikkstatistikk/" TargetMode="External"/><Relationship Id="rId4" Type="http://schemas.openxmlformats.org/officeDocument/2006/relationships/hyperlink" Target="http://www.statsbudsjettet.no/Upload/Statsbudsjett_2009/dokumenter/pdf/gulbok.pdf" TargetMode="External"/><Relationship Id="rId9" Type="http://schemas.openxmlformats.org/officeDocument/2006/relationships/hyperlink" Target="https://www.toi.no/getfile.php?mmfileid=16111" TargetMode="External"/><Relationship Id="rId13" Type="http://schemas.openxmlformats.org/officeDocument/2006/relationships/hyperlink" Target="https://www.ssb.no/transport-og-reiseliv/statistikker/lbunasj/kvartal/2001-12-14" TargetMode="External"/><Relationship Id="rId18" Type="http://schemas.openxmlformats.org/officeDocument/2006/relationships/hyperlink" Target="https://helsedirektoratet.no/Lists/Publikasjoner/Attachments/92/Vunne-kvalitetsjusterte-levear-qalys-ved-fysisk-aktivitet-IS-1794.pdf" TargetMode="External"/><Relationship Id="rId39" Type="http://schemas.openxmlformats.org/officeDocument/2006/relationships/hyperlink" Target="https://www.toi.no/getfile.php?mmfileid=2385" TargetMode="External"/><Relationship Id="rId34" Type="http://schemas.openxmlformats.org/officeDocument/2006/relationships/hyperlink" Target="https://ec.europa.eu/transport/sites/transport/files/themes/sustainable/studies/doc/2014-handbook-external-costs-transport.pdf" TargetMode="External"/><Relationship Id="rId50" Type="http://schemas.openxmlformats.org/officeDocument/2006/relationships/hyperlink" Target="https://www.ssb.no/statbank/table/08658/" TargetMode="External"/><Relationship Id="rId55" Type="http://schemas.openxmlformats.org/officeDocument/2006/relationships/hyperlink" Target="https://www.skatteetaten.no/satser/merverdiavgift/" TargetMode="External"/><Relationship Id="rId76" Type="http://schemas.openxmlformats.org/officeDocument/2006/relationships/hyperlink" Target="https://www.toi.no/getfile.php?mmfileid=74680" TargetMode="External"/><Relationship Id="rId7" Type="http://schemas.openxmlformats.org/officeDocument/2006/relationships/hyperlink" Target="https://www.toi.no/getfile.php?mmfileid=1929" TargetMode="External"/><Relationship Id="rId71" Type="http://schemas.openxmlformats.org/officeDocument/2006/relationships/hyperlink" Target="https://www.ssb.no/statbank/table/12881/" TargetMode="External"/><Relationship Id="rId2" Type="http://schemas.openxmlformats.org/officeDocument/2006/relationships/hyperlink" Target="https://www.toi.no/getfile.php?mmfileid=16282" TargetMode="External"/><Relationship Id="rId29" Type="http://schemas.openxmlformats.org/officeDocument/2006/relationships/hyperlink" Target="http://www.ntp.dep.no/Forside/_attachment/1595499/binary/1143639?_ts=15823d19e90" TargetMode="External"/><Relationship Id="rId24" Type="http://schemas.openxmlformats.org/officeDocument/2006/relationships/hyperlink" Target="https://trv.jbv.no/wiki/Kontaktledning/Prosjektering/Generelle_tekniske_krav" TargetMode="External"/><Relationship Id="rId40" Type="http://schemas.openxmlformats.org/officeDocument/2006/relationships/hyperlink" Target="http://www.banenor.no/globalassets/kundeportal/dokumenter/infrastrukturpriser/implementeringsplan_infrastrukturavgifter_20170714.pdf" TargetMode="External"/><Relationship Id="rId45" Type="http://schemas.openxmlformats.org/officeDocument/2006/relationships/hyperlink" Target="https://www.jernbanedirektoratet.no/contentassets/03a365b2dcf04eb6a1779a34752a0fb6/estimering-av-vedlikeholdskostnader-jernbanen.pdf" TargetMode="External"/><Relationship Id="rId66" Type="http://schemas.openxmlformats.org/officeDocument/2006/relationships/hyperlink" Target="https://www.regjeringen.no/contentassets/91bdfca9231d45408e8107a703fee790/no/pdfs/stm202020210014000dddpdfs.pdf" TargetMode="External"/><Relationship Id="rId87" Type="http://schemas.openxmlformats.org/officeDocument/2006/relationships/hyperlink" Target="https://www.ssb.no/statbank/table/07849" TargetMode="External"/><Relationship Id="rId61" Type="http://schemas.openxmlformats.org/officeDocument/2006/relationships/hyperlink" Target="https://www.regjeringen.no/no/dokumentarkiv/regjeringen-solberg/fin/avgiftssatser-i-2015-og-foreslatte-satser-for-2016/id2457142/" TargetMode="External"/><Relationship Id="rId82" Type="http://schemas.openxmlformats.org/officeDocument/2006/relationships/hyperlink" Target="https://www.toi.no/getfile.php?mmfileid=75162" TargetMode="External"/><Relationship Id="rId19" Type="http://schemas.openxmlformats.org/officeDocument/2006/relationships/hyperlink" Target="http://www.vegvesen.no/_attachment/61432/binary/14139" TargetMode="Externa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5.xml"/><Relationship Id="rId1" Type="http://schemas.openxmlformats.org/officeDocument/2006/relationships/printerSettings" Target="../printerSettings/printerSettings5.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8" Type="http://schemas.openxmlformats.org/officeDocument/2006/relationships/hyperlink" Target="https://www.regjeringen.no/no/tema/okonomi-og-budsjett/skatter-og-avgifter/skatte-og-avgiftssatser/avgiftssatser-2026/id3121982/" TargetMode="External"/><Relationship Id="rId13" Type="http://schemas.openxmlformats.org/officeDocument/2006/relationships/comments" Target="../comments2.xml"/><Relationship Id="rId3" Type="http://schemas.openxmlformats.org/officeDocument/2006/relationships/hyperlink" Target="https://www.regjeringen.no/no/tema/okonomi-og-budsjett/skatter-og-avgifter/skatte-og-avgiftssatser/avgiftssatser-2026/id3121982/" TargetMode="External"/><Relationship Id="rId7" Type="http://schemas.openxmlformats.org/officeDocument/2006/relationships/hyperlink" Target="https://www.regjeringen.no/no/tema/okonomi-og-budsjett/skatter-og-avgifter/skatte-og-avgiftssatser/avgiftssatser-2026/id3121982/" TargetMode="External"/><Relationship Id="rId12" Type="http://schemas.openxmlformats.org/officeDocument/2006/relationships/vmlDrawing" Target="../drawings/vmlDrawing2.vml"/><Relationship Id="rId2" Type="http://schemas.openxmlformats.org/officeDocument/2006/relationships/hyperlink" Target="https://www.regjeringen.no/no/tema/okonomi-og-budsjett/skatter-og-avgifter/skatte-og-avgiftssatser/avgiftssatser-2026/id3121982/" TargetMode="External"/><Relationship Id="rId1" Type="http://schemas.openxmlformats.org/officeDocument/2006/relationships/hyperlink" Target="https://www.regjeringen.no/no/tema/okonomi-og-budsjett/skatter-og-avgifter/skatte-og-avgiftssatser/avgiftssatser-2026/id3121982/" TargetMode="External"/><Relationship Id="rId6" Type="http://schemas.openxmlformats.org/officeDocument/2006/relationships/hyperlink" Target="https://www.regjeringen.no/no/tema/okonomi-og-budsjett/skatter-og-avgifter/skatte-og-avgiftssatser/avgiftssatser-2026/id3121982/" TargetMode="External"/><Relationship Id="rId11" Type="http://schemas.openxmlformats.org/officeDocument/2006/relationships/drawing" Target="../drawings/drawing6.xml"/><Relationship Id="rId5" Type="http://schemas.openxmlformats.org/officeDocument/2006/relationships/hyperlink" Target="https://www.regjeringen.no/no/tema/okonomi-og-budsjett/skatter-og-avgifter/skatte-og-avgiftssatser/avgiftssatser-2026/id3121982/" TargetMode="External"/><Relationship Id="rId10" Type="http://schemas.openxmlformats.org/officeDocument/2006/relationships/printerSettings" Target="../printerSettings/printerSettings6.bin"/><Relationship Id="rId4" Type="http://schemas.openxmlformats.org/officeDocument/2006/relationships/hyperlink" Target="https://www.regjeringen.no/no/tema/okonomi-og-budsjett/skatter-og-avgifter/skatte-og-avgiftssatser/avgiftssatser-2026/id3121982/" TargetMode="External"/><Relationship Id="rId9" Type="http://schemas.openxmlformats.org/officeDocument/2006/relationships/hyperlink" Target="https://www.regjeringen.no/no/tema/okonomi-og-budsjett/skatter-og-avgifter/skatte-og-avgiftssatser/avgiftssatser-2026/id3121982/" TargetMode="Externa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7.xml"/><Relationship Id="rId1" Type="http://schemas.openxmlformats.org/officeDocument/2006/relationships/printerSettings" Target="../printerSettings/printerSettings7.bin"/><Relationship Id="rId5" Type="http://schemas.microsoft.com/office/2017/10/relationships/threadedComment" Target="../threadedComments/threadedComment2.xml"/><Relationship Id="rId4" Type="http://schemas.openxmlformats.org/officeDocument/2006/relationships/comments" Target="../comments3.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omments" Target="../comments4.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9.xml"/><Relationship Id="rId1" Type="http://schemas.openxmlformats.org/officeDocument/2006/relationships/printerSettings" Target="../printerSettings/printerSettings9.bin"/><Relationship Id="rId4" Type="http://schemas.openxmlformats.org/officeDocument/2006/relationships/comments" Target="../comments5.xml"/></Relationships>
</file>

<file path=xl/worksheets/_rels/sheet10.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1.xml"/><Relationship Id="rId1" Type="http://schemas.openxmlformats.org/officeDocument/2006/relationships/printerSettings" Target="../printerSettings/printerSettings12.bin"/><Relationship Id="rId4" Type="http://schemas.openxmlformats.org/officeDocument/2006/relationships/comments" Target="../comments7.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2.xml"/><Relationship Id="rId1" Type="http://schemas.openxmlformats.org/officeDocument/2006/relationships/printerSettings" Target="../printerSettings/printerSettings13.bin"/><Relationship Id="rId4" Type="http://schemas.openxmlformats.org/officeDocument/2006/relationships/comments" Target="../comments8.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5.xml"/><Relationship Id="rId1" Type="http://schemas.openxmlformats.org/officeDocument/2006/relationships/printerSettings" Target="../printerSettings/printerSettings16.bin"/><Relationship Id="rId5" Type="http://schemas.microsoft.com/office/2017/10/relationships/threadedComment" Target="../threadedComments/threadedComment3.xml"/><Relationship Id="rId4" Type="http://schemas.openxmlformats.org/officeDocument/2006/relationships/comments" Target="../comments9.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6.xml"/><Relationship Id="rId1" Type="http://schemas.openxmlformats.org/officeDocument/2006/relationships/printerSettings" Target="../printerSettings/printerSettings17.bin"/><Relationship Id="rId4" Type="http://schemas.openxmlformats.org/officeDocument/2006/relationships/comments" Target="../comments10.xml"/></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7.xml"/><Relationship Id="rId1" Type="http://schemas.openxmlformats.org/officeDocument/2006/relationships/printerSettings" Target="../printerSettings/printerSettings18.bin"/><Relationship Id="rId4" Type="http://schemas.openxmlformats.org/officeDocument/2006/relationships/comments" Target="../comments11.xml"/></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8" Type="http://schemas.openxmlformats.org/officeDocument/2006/relationships/ctrlProp" Target="../ctrlProps/ctrlProp3.xml"/><Relationship Id="rId3" Type="http://schemas.openxmlformats.org/officeDocument/2006/relationships/vmlDrawing" Target="../drawings/vmlDrawing12.vml"/><Relationship Id="rId7" Type="http://schemas.openxmlformats.org/officeDocument/2006/relationships/ctrlProp" Target="../ctrlProps/ctrlProp2.xml"/><Relationship Id="rId2" Type="http://schemas.openxmlformats.org/officeDocument/2006/relationships/drawing" Target="../drawings/drawing21.xml"/><Relationship Id="rId1" Type="http://schemas.openxmlformats.org/officeDocument/2006/relationships/printerSettings" Target="../printerSettings/printerSettings21.bin"/><Relationship Id="rId6" Type="http://schemas.openxmlformats.org/officeDocument/2006/relationships/ctrlProp" Target="../ctrlProps/ctrlProp1.xml"/><Relationship Id="rId5" Type="http://schemas.openxmlformats.org/officeDocument/2006/relationships/image" Target="../media/image4.emf"/><Relationship Id="rId10" Type="http://schemas.microsoft.com/office/2017/10/relationships/threadedComment" Target="../threadedComments/threadedComment4.xml"/><Relationship Id="rId4" Type="http://schemas.openxmlformats.org/officeDocument/2006/relationships/control" Target="../activeX/activeX1.xml"/><Relationship Id="rId9" Type="http://schemas.openxmlformats.org/officeDocument/2006/relationships/comments" Target="../comments12.xml"/></Relationships>
</file>

<file path=xl/worksheets/_rels/sheet23.xml.rels><?xml version="1.0" encoding="UTF-8" standalone="yes"?>
<Relationships xmlns="http://schemas.openxmlformats.org/package/2006/relationships"><Relationship Id="rId8" Type="http://schemas.openxmlformats.org/officeDocument/2006/relationships/ctrlProp" Target="../ctrlProps/ctrlProp4.xml"/><Relationship Id="rId3" Type="http://schemas.openxmlformats.org/officeDocument/2006/relationships/vmlDrawing" Target="../drawings/vmlDrawing13.vml"/><Relationship Id="rId7" Type="http://schemas.openxmlformats.org/officeDocument/2006/relationships/image" Target="../media/image6.emf"/><Relationship Id="rId2" Type="http://schemas.openxmlformats.org/officeDocument/2006/relationships/drawing" Target="../drawings/drawing22.xml"/><Relationship Id="rId1" Type="http://schemas.openxmlformats.org/officeDocument/2006/relationships/printerSettings" Target="../printerSettings/printerSettings22.bin"/><Relationship Id="rId6" Type="http://schemas.openxmlformats.org/officeDocument/2006/relationships/control" Target="../activeX/activeX3.xml"/><Relationship Id="rId11" Type="http://schemas.microsoft.com/office/2017/10/relationships/threadedComment" Target="../threadedComments/threadedComment5.xml"/><Relationship Id="rId5" Type="http://schemas.openxmlformats.org/officeDocument/2006/relationships/image" Target="../media/image5.emf"/><Relationship Id="rId10" Type="http://schemas.openxmlformats.org/officeDocument/2006/relationships/comments" Target="../comments13.xml"/><Relationship Id="rId4" Type="http://schemas.openxmlformats.org/officeDocument/2006/relationships/control" Target="../activeX/activeX2.xml"/><Relationship Id="rId9" Type="http://schemas.openxmlformats.org/officeDocument/2006/relationships/ctrlProp" Target="../ctrlProps/ctrlProp5.xml"/></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8" Type="http://schemas.openxmlformats.org/officeDocument/2006/relationships/control" Target="../activeX/activeX6.xml"/><Relationship Id="rId13" Type="http://schemas.openxmlformats.org/officeDocument/2006/relationships/image" Target="../media/image11.emf"/><Relationship Id="rId18" Type="http://schemas.openxmlformats.org/officeDocument/2006/relationships/control" Target="../activeX/activeX11.xml"/><Relationship Id="rId26" Type="http://schemas.openxmlformats.org/officeDocument/2006/relationships/ctrlProp" Target="../ctrlProps/ctrlProp12.xml"/><Relationship Id="rId3" Type="http://schemas.openxmlformats.org/officeDocument/2006/relationships/vmlDrawing" Target="../drawings/vmlDrawing14.vml"/><Relationship Id="rId21" Type="http://schemas.openxmlformats.org/officeDocument/2006/relationships/ctrlProp" Target="../ctrlProps/ctrlProp7.xml"/><Relationship Id="rId7" Type="http://schemas.openxmlformats.org/officeDocument/2006/relationships/image" Target="../media/image8.emf"/><Relationship Id="rId12" Type="http://schemas.openxmlformats.org/officeDocument/2006/relationships/control" Target="../activeX/activeX8.xml"/><Relationship Id="rId17" Type="http://schemas.openxmlformats.org/officeDocument/2006/relationships/image" Target="../media/image13.emf"/><Relationship Id="rId25" Type="http://schemas.openxmlformats.org/officeDocument/2006/relationships/ctrlProp" Target="../ctrlProps/ctrlProp11.xml"/><Relationship Id="rId2" Type="http://schemas.openxmlformats.org/officeDocument/2006/relationships/drawing" Target="../drawings/drawing23.xml"/><Relationship Id="rId16" Type="http://schemas.openxmlformats.org/officeDocument/2006/relationships/control" Target="../activeX/activeX10.xml"/><Relationship Id="rId20" Type="http://schemas.openxmlformats.org/officeDocument/2006/relationships/ctrlProp" Target="../ctrlProps/ctrlProp6.xml"/><Relationship Id="rId1" Type="http://schemas.openxmlformats.org/officeDocument/2006/relationships/printerSettings" Target="../printerSettings/printerSettings24.bin"/><Relationship Id="rId6" Type="http://schemas.openxmlformats.org/officeDocument/2006/relationships/control" Target="../activeX/activeX5.xml"/><Relationship Id="rId11" Type="http://schemas.openxmlformats.org/officeDocument/2006/relationships/image" Target="../media/image10.emf"/><Relationship Id="rId24" Type="http://schemas.openxmlformats.org/officeDocument/2006/relationships/ctrlProp" Target="../ctrlProps/ctrlProp10.xml"/><Relationship Id="rId5" Type="http://schemas.openxmlformats.org/officeDocument/2006/relationships/image" Target="../media/image7.emf"/><Relationship Id="rId15" Type="http://schemas.openxmlformats.org/officeDocument/2006/relationships/image" Target="../media/image12.emf"/><Relationship Id="rId23" Type="http://schemas.openxmlformats.org/officeDocument/2006/relationships/ctrlProp" Target="../ctrlProps/ctrlProp9.xml"/><Relationship Id="rId10" Type="http://schemas.openxmlformats.org/officeDocument/2006/relationships/control" Target="../activeX/activeX7.xml"/><Relationship Id="rId19" Type="http://schemas.openxmlformats.org/officeDocument/2006/relationships/image" Target="../media/image14.emf"/><Relationship Id="rId4" Type="http://schemas.openxmlformats.org/officeDocument/2006/relationships/control" Target="../activeX/activeX4.xml"/><Relationship Id="rId9" Type="http://schemas.openxmlformats.org/officeDocument/2006/relationships/image" Target="../media/image9.emf"/><Relationship Id="rId14" Type="http://schemas.openxmlformats.org/officeDocument/2006/relationships/control" Target="../activeX/activeX9.xml"/><Relationship Id="rId22" Type="http://schemas.openxmlformats.org/officeDocument/2006/relationships/ctrlProp" Target="../ctrlProps/ctrlProp8.xml"/><Relationship Id="rId27" Type="http://schemas.openxmlformats.org/officeDocument/2006/relationships/ctrlProp" Target="../ctrlProps/ctrlProp13.xml"/></Relationships>
</file>

<file path=xl/worksheets/_rels/sheet26.xml.rels><?xml version="1.0" encoding="UTF-8" standalone="yes"?>
<Relationships xmlns="http://schemas.openxmlformats.org/package/2006/relationships"><Relationship Id="rId13" Type="http://schemas.openxmlformats.org/officeDocument/2006/relationships/image" Target="../media/image19.emf"/><Relationship Id="rId18" Type="http://schemas.openxmlformats.org/officeDocument/2006/relationships/ctrlProp" Target="../ctrlProps/ctrlProp18.xml"/><Relationship Id="rId26" Type="http://schemas.openxmlformats.org/officeDocument/2006/relationships/ctrlProp" Target="../ctrlProps/ctrlProp26.xml"/><Relationship Id="rId39" Type="http://schemas.openxmlformats.org/officeDocument/2006/relationships/ctrlProp" Target="../ctrlProps/ctrlProp39.xml"/><Relationship Id="rId21" Type="http://schemas.openxmlformats.org/officeDocument/2006/relationships/ctrlProp" Target="../ctrlProps/ctrlProp21.xml"/><Relationship Id="rId34" Type="http://schemas.openxmlformats.org/officeDocument/2006/relationships/ctrlProp" Target="../ctrlProps/ctrlProp34.xml"/><Relationship Id="rId42" Type="http://schemas.openxmlformats.org/officeDocument/2006/relationships/ctrlProp" Target="../ctrlProps/ctrlProp42.xml"/><Relationship Id="rId47" Type="http://schemas.openxmlformats.org/officeDocument/2006/relationships/ctrlProp" Target="../ctrlProps/ctrlProp47.xml"/><Relationship Id="rId50" Type="http://schemas.openxmlformats.org/officeDocument/2006/relationships/ctrlProp" Target="../ctrlProps/ctrlProp50.xml"/><Relationship Id="rId7" Type="http://schemas.openxmlformats.org/officeDocument/2006/relationships/image" Target="../media/image16.emf"/><Relationship Id="rId2" Type="http://schemas.openxmlformats.org/officeDocument/2006/relationships/drawing" Target="../drawings/drawing24.xml"/><Relationship Id="rId16" Type="http://schemas.openxmlformats.org/officeDocument/2006/relationships/ctrlProp" Target="../ctrlProps/ctrlProp16.xml"/><Relationship Id="rId29" Type="http://schemas.openxmlformats.org/officeDocument/2006/relationships/ctrlProp" Target="../ctrlProps/ctrlProp29.xml"/><Relationship Id="rId11" Type="http://schemas.openxmlformats.org/officeDocument/2006/relationships/image" Target="../media/image18.emf"/><Relationship Id="rId24" Type="http://schemas.openxmlformats.org/officeDocument/2006/relationships/ctrlProp" Target="../ctrlProps/ctrlProp24.xml"/><Relationship Id="rId32" Type="http://schemas.openxmlformats.org/officeDocument/2006/relationships/ctrlProp" Target="../ctrlProps/ctrlProp32.xml"/><Relationship Id="rId37" Type="http://schemas.openxmlformats.org/officeDocument/2006/relationships/ctrlProp" Target="../ctrlProps/ctrlProp37.xml"/><Relationship Id="rId40" Type="http://schemas.openxmlformats.org/officeDocument/2006/relationships/ctrlProp" Target="../ctrlProps/ctrlProp40.xml"/><Relationship Id="rId45" Type="http://schemas.openxmlformats.org/officeDocument/2006/relationships/ctrlProp" Target="../ctrlProps/ctrlProp45.xml"/><Relationship Id="rId53" Type="http://schemas.openxmlformats.org/officeDocument/2006/relationships/ctrlProp" Target="../ctrlProps/ctrlProp53.xml"/><Relationship Id="rId5" Type="http://schemas.openxmlformats.org/officeDocument/2006/relationships/image" Target="../media/image15.emf"/><Relationship Id="rId10" Type="http://schemas.openxmlformats.org/officeDocument/2006/relationships/control" Target="../activeX/activeX15.xml"/><Relationship Id="rId19" Type="http://schemas.openxmlformats.org/officeDocument/2006/relationships/ctrlProp" Target="../ctrlProps/ctrlProp19.xml"/><Relationship Id="rId31" Type="http://schemas.openxmlformats.org/officeDocument/2006/relationships/ctrlProp" Target="../ctrlProps/ctrlProp31.xml"/><Relationship Id="rId44" Type="http://schemas.openxmlformats.org/officeDocument/2006/relationships/ctrlProp" Target="../ctrlProps/ctrlProp44.xml"/><Relationship Id="rId52" Type="http://schemas.openxmlformats.org/officeDocument/2006/relationships/ctrlProp" Target="../ctrlProps/ctrlProp52.xml"/><Relationship Id="rId4" Type="http://schemas.openxmlformats.org/officeDocument/2006/relationships/control" Target="../activeX/activeX12.xml"/><Relationship Id="rId9" Type="http://schemas.openxmlformats.org/officeDocument/2006/relationships/image" Target="../media/image17.emf"/><Relationship Id="rId14" Type="http://schemas.openxmlformats.org/officeDocument/2006/relationships/ctrlProp" Target="../ctrlProps/ctrlProp14.xml"/><Relationship Id="rId22" Type="http://schemas.openxmlformats.org/officeDocument/2006/relationships/ctrlProp" Target="../ctrlProps/ctrlProp22.xml"/><Relationship Id="rId27" Type="http://schemas.openxmlformats.org/officeDocument/2006/relationships/ctrlProp" Target="../ctrlProps/ctrlProp27.xml"/><Relationship Id="rId30" Type="http://schemas.openxmlformats.org/officeDocument/2006/relationships/ctrlProp" Target="../ctrlProps/ctrlProp30.xml"/><Relationship Id="rId35" Type="http://schemas.openxmlformats.org/officeDocument/2006/relationships/ctrlProp" Target="../ctrlProps/ctrlProp35.xml"/><Relationship Id="rId43" Type="http://schemas.openxmlformats.org/officeDocument/2006/relationships/ctrlProp" Target="../ctrlProps/ctrlProp43.xml"/><Relationship Id="rId48" Type="http://schemas.openxmlformats.org/officeDocument/2006/relationships/ctrlProp" Target="../ctrlProps/ctrlProp48.xml"/><Relationship Id="rId8" Type="http://schemas.openxmlformats.org/officeDocument/2006/relationships/control" Target="../activeX/activeX14.xml"/><Relationship Id="rId51" Type="http://schemas.openxmlformats.org/officeDocument/2006/relationships/ctrlProp" Target="../ctrlProps/ctrlProp51.xml"/><Relationship Id="rId3" Type="http://schemas.openxmlformats.org/officeDocument/2006/relationships/vmlDrawing" Target="../drawings/vmlDrawing15.vml"/><Relationship Id="rId12" Type="http://schemas.openxmlformats.org/officeDocument/2006/relationships/control" Target="../activeX/activeX16.xml"/><Relationship Id="rId17" Type="http://schemas.openxmlformats.org/officeDocument/2006/relationships/ctrlProp" Target="../ctrlProps/ctrlProp17.xml"/><Relationship Id="rId25" Type="http://schemas.openxmlformats.org/officeDocument/2006/relationships/ctrlProp" Target="../ctrlProps/ctrlProp25.xml"/><Relationship Id="rId33" Type="http://schemas.openxmlformats.org/officeDocument/2006/relationships/ctrlProp" Target="../ctrlProps/ctrlProp33.xml"/><Relationship Id="rId38" Type="http://schemas.openxmlformats.org/officeDocument/2006/relationships/ctrlProp" Target="../ctrlProps/ctrlProp38.xml"/><Relationship Id="rId46" Type="http://schemas.openxmlformats.org/officeDocument/2006/relationships/ctrlProp" Target="../ctrlProps/ctrlProp46.xml"/><Relationship Id="rId20" Type="http://schemas.openxmlformats.org/officeDocument/2006/relationships/ctrlProp" Target="../ctrlProps/ctrlProp20.xml"/><Relationship Id="rId41" Type="http://schemas.openxmlformats.org/officeDocument/2006/relationships/ctrlProp" Target="../ctrlProps/ctrlProp41.xml"/><Relationship Id="rId54" Type="http://schemas.openxmlformats.org/officeDocument/2006/relationships/ctrlProp" Target="../ctrlProps/ctrlProp54.xml"/><Relationship Id="rId1" Type="http://schemas.openxmlformats.org/officeDocument/2006/relationships/printerSettings" Target="../printerSettings/printerSettings25.bin"/><Relationship Id="rId6" Type="http://schemas.openxmlformats.org/officeDocument/2006/relationships/control" Target="../activeX/activeX13.xml"/><Relationship Id="rId15" Type="http://schemas.openxmlformats.org/officeDocument/2006/relationships/ctrlProp" Target="../ctrlProps/ctrlProp15.xml"/><Relationship Id="rId23" Type="http://schemas.openxmlformats.org/officeDocument/2006/relationships/ctrlProp" Target="../ctrlProps/ctrlProp23.xml"/><Relationship Id="rId28" Type="http://schemas.openxmlformats.org/officeDocument/2006/relationships/ctrlProp" Target="../ctrlProps/ctrlProp28.xml"/><Relationship Id="rId36" Type="http://schemas.openxmlformats.org/officeDocument/2006/relationships/ctrlProp" Target="../ctrlProps/ctrlProp36.xml"/><Relationship Id="rId49" Type="http://schemas.openxmlformats.org/officeDocument/2006/relationships/ctrlProp" Target="../ctrlProps/ctrlProp49.xml"/></Relationships>
</file>

<file path=xl/worksheets/_rels/sheet27.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25.xml"/><Relationship Id="rId1" Type="http://schemas.openxmlformats.org/officeDocument/2006/relationships/printerSettings" Target="../printerSettings/printerSettings26.bin"/><Relationship Id="rId4" Type="http://schemas.openxmlformats.org/officeDocument/2006/relationships/table" Target="../tables/table2.xml"/></Relationships>
</file>

<file path=xl/worksheets/_rels/sheet28.xml.rels><?xml version="1.0" encoding="UTF-8" standalone="yes"?>
<Relationships xmlns="http://schemas.openxmlformats.org/package/2006/relationships"><Relationship Id="rId3" Type="http://schemas.openxmlformats.org/officeDocument/2006/relationships/table" Target="../tables/table3.xml"/><Relationship Id="rId7" Type="http://schemas.openxmlformats.org/officeDocument/2006/relationships/table" Target="../tables/table7.xml"/><Relationship Id="rId2" Type="http://schemas.openxmlformats.org/officeDocument/2006/relationships/drawing" Target="../drawings/drawing26.xml"/><Relationship Id="rId1" Type="http://schemas.openxmlformats.org/officeDocument/2006/relationships/printerSettings" Target="../printerSettings/printerSettings27.bin"/><Relationship Id="rId6" Type="http://schemas.openxmlformats.org/officeDocument/2006/relationships/table" Target="../tables/table6.xml"/><Relationship Id="rId5" Type="http://schemas.openxmlformats.org/officeDocument/2006/relationships/table" Target="../tables/table5.xml"/><Relationship Id="rId4" Type="http://schemas.openxmlformats.org/officeDocument/2006/relationships/table" Target="../tables/table4.xml"/></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Ark1">
    <tabColor theme="4" tint="0.79998168889431442"/>
  </sheetPr>
  <dimension ref="B1:N56"/>
  <sheetViews>
    <sheetView tabSelected="1" workbookViewId="0"/>
  </sheetViews>
  <sheetFormatPr baseColWidth="10" defaultColWidth="11.453125" defaultRowHeight="14.5" x14ac:dyDescent="0.35"/>
  <cols>
    <col min="1" max="1" width="11.453125" style="85"/>
    <col min="2" max="2" width="75.453125" style="85" customWidth="1"/>
    <col min="3" max="16384" width="11.453125" style="85"/>
  </cols>
  <sheetData>
    <row r="1" spans="2:2" ht="20.25" customHeight="1" x14ac:dyDescent="0.65">
      <c r="B1" s="386"/>
    </row>
    <row r="3" spans="2:2" ht="15" thickBot="1" x14ac:dyDescent="0.4"/>
    <row r="4" spans="2:2" ht="36.5" thickBot="1" x14ac:dyDescent="0.85">
      <c r="B4" s="618" t="s">
        <v>0</v>
      </c>
    </row>
    <row r="6" spans="2:2" ht="21" x14ac:dyDescent="0.5">
      <c r="B6" s="86"/>
    </row>
    <row r="22" spans="2:14" ht="23.5" x14ac:dyDescent="0.55000000000000004">
      <c r="B22" s="87"/>
    </row>
    <row r="26" spans="2:14" ht="15" thickBot="1" x14ac:dyDescent="0.4"/>
    <row r="27" spans="2:14" ht="21" x14ac:dyDescent="0.5">
      <c r="B27" s="815" t="s">
        <v>1</v>
      </c>
      <c r="C27" s="816"/>
      <c r="D27" s="816"/>
      <c r="E27" s="816"/>
      <c r="F27" s="816"/>
      <c r="G27" s="816"/>
      <c r="H27" s="816"/>
      <c r="I27" s="816"/>
      <c r="J27" s="816"/>
      <c r="K27" s="816"/>
      <c r="L27" s="816"/>
      <c r="M27" s="816"/>
      <c r="N27" s="817"/>
    </row>
    <row r="28" spans="2:14" x14ac:dyDescent="0.35">
      <c r="B28" s="818" t="s">
        <v>2</v>
      </c>
      <c r="C28" s="699" t="s">
        <v>3</v>
      </c>
      <c r="D28" s="699"/>
      <c r="E28" s="699"/>
      <c r="F28" s="699"/>
      <c r="G28" s="699"/>
      <c r="H28" s="699"/>
      <c r="I28" s="699"/>
      <c r="J28" s="699"/>
      <c r="K28" s="699"/>
      <c r="L28" s="699"/>
      <c r="M28" s="699"/>
      <c r="N28" s="819"/>
    </row>
    <row r="29" spans="2:14" x14ac:dyDescent="0.35">
      <c r="B29" s="818" t="s">
        <v>4</v>
      </c>
      <c r="C29" s="699" t="s">
        <v>5</v>
      </c>
      <c r="D29" s="699"/>
      <c r="E29" s="699"/>
      <c r="F29" s="699"/>
      <c r="G29" s="699"/>
      <c r="H29" s="699"/>
      <c r="I29" s="699"/>
      <c r="J29" s="699"/>
      <c r="K29" s="699"/>
      <c r="L29" s="699"/>
      <c r="M29" s="699"/>
      <c r="N29" s="819"/>
    </row>
    <row r="30" spans="2:14" x14ac:dyDescent="0.35">
      <c r="B30" s="818" t="s">
        <v>6</v>
      </c>
      <c r="C30" s="699" t="s">
        <v>7</v>
      </c>
      <c r="D30" s="699"/>
      <c r="E30" s="699"/>
      <c r="F30" s="699"/>
      <c r="G30" s="699"/>
      <c r="H30" s="699"/>
      <c r="I30" s="699"/>
      <c r="J30" s="699"/>
      <c r="K30" s="699"/>
      <c r="L30" s="699"/>
      <c r="M30" s="699"/>
      <c r="N30" s="819"/>
    </row>
    <row r="31" spans="2:14" x14ac:dyDescent="0.35">
      <c r="B31" s="818" t="s">
        <v>8</v>
      </c>
      <c r="C31" s="699" t="s">
        <v>9</v>
      </c>
      <c r="D31" s="699"/>
      <c r="E31" s="699"/>
      <c r="F31" s="699"/>
      <c r="G31" s="699"/>
      <c r="H31" s="699"/>
      <c r="I31" s="699"/>
      <c r="J31" s="699"/>
      <c r="K31" s="699"/>
      <c r="L31" s="699"/>
      <c r="M31" s="699"/>
      <c r="N31" s="819"/>
    </row>
    <row r="32" spans="2:14" x14ac:dyDescent="0.35">
      <c r="B32" s="1204" t="s">
        <v>10</v>
      </c>
      <c r="C32" s="699" t="s">
        <v>11</v>
      </c>
      <c r="D32" s="699"/>
      <c r="E32" s="699"/>
      <c r="F32" s="699"/>
      <c r="G32" s="699"/>
      <c r="H32" s="699"/>
      <c r="I32" s="699"/>
      <c r="J32" s="699"/>
      <c r="K32" s="699"/>
      <c r="L32" s="699"/>
      <c r="M32" s="699"/>
      <c r="N32" s="819"/>
    </row>
    <row r="33" spans="2:14" x14ac:dyDescent="0.35">
      <c r="B33" s="818" t="s">
        <v>12</v>
      </c>
      <c r="C33" s="699" t="s">
        <v>13</v>
      </c>
      <c r="D33" s="699"/>
      <c r="E33" s="699"/>
      <c r="F33" s="699"/>
      <c r="G33" s="699"/>
      <c r="H33" s="699"/>
      <c r="I33" s="699"/>
      <c r="J33" s="699"/>
      <c r="K33" s="699"/>
      <c r="L33" s="699"/>
      <c r="M33" s="699"/>
      <c r="N33" s="819"/>
    </row>
    <row r="34" spans="2:14" x14ac:dyDescent="0.35">
      <c r="B34" s="818" t="s">
        <v>14</v>
      </c>
      <c r="C34" s="699" t="s">
        <v>15</v>
      </c>
      <c r="D34" s="699"/>
      <c r="E34" s="699"/>
      <c r="F34" s="699"/>
      <c r="G34" s="699"/>
      <c r="H34" s="699"/>
      <c r="I34" s="699"/>
      <c r="J34" s="699"/>
      <c r="K34" s="699"/>
      <c r="L34" s="699"/>
      <c r="M34" s="699"/>
      <c r="N34" s="819"/>
    </row>
    <row r="35" spans="2:14" x14ac:dyDescent="0.35">
      <c r="B35" s="818" t="s">
        <v>16</v>
      </c>
      <c r="C35" s="699" t="s">
        <v>17</v>
      </c>
      <c r="D35" s="699"/>
      <c r="E35" s="699"/>
      <c r="F35" s="699"/>
      <c r="G35" s="699"/>
      <c r="H35" s="699"/>
      <c r="I35" s="699"/>
      <c r="J35" s="699"/>
      <c r="K35" s="699"/>
      <c r="L35" s="699"/>
      <c r="M35" s="699"/>
      <c r="N35" s="819"/>
    </row>
    <row r="36" spans="2:14" x14ac:dyDescent="0.35">
      <c r="B36" s="818" t="s">
        <v>18</v>
      </c>
      <c r="C36" s="699" t="s">
        <v>19</v>
      </c>
      <c r="D36" s="699"/>
      <c r="E36" s="699"/>
      <c r="F36" s="699"/>
      <c r="G36" s="699"/>
      <c r="H36" s="699"/>
      <c r="I36" s="699"/>
      <c r="J36" s="699"/>
      <c r="K36" s="699"/>
      <c r="L36" s="699"/>
      <c r="M36" s="699"/>
      <c r="N36" s="819"/>
    </row>
    <row r="37" spans="2:14" x14ac:dyDescent="0.35">
      <c r="B37" s="818" t="s">
        <v>20</v>
      </c>
      <c r="C37" s="699" t="s">
        <v>21</v>
      </c>
      <c r="D37" s="699"/>
      <c r="E37" s="699"/>
      <c r="F37" s="699"/>
      <c r="G37" s="699"/>
      <c r="H37" s="699"/>
      <c r="I37" s="699"/>
      <c r="J37" s="699"/>
      <c r="K37" s="699"/>
      <c r="L37" s="699"/>
      <c r="M37" s="699"/>
      <c r="N37" s="819"/>
    </row>
    <row r="38" spans="2:14" x14ac:dyDescent="0.35">
      <c r="B38" s="818" t="s">
        <v>22</v>
      </c>
      <c r="C38" s="699" t="s">
        <v>23</v>
      </c>
      <c r="D38" s="699"/>
      <c r="E38" s="699"/>
      <c r="F38" s="699"/>
      <c r="G38" s="699"/>
      <c r="H38" s="699"/>
      <c r="I38" s="699"/>
      <c r="J38" s="699"/>
      <c r="K38" s="699"/>
      <c r="L38" s="699"/>
      <c r="M38" s="699"/>
      <c r="N38" s="819"/>
    </row>
    <row r="39" spans="2:14" x14ac:dyDescent="0.35">
      <c r="B39" s="818" t="s">
        <v>24</v>
      </c>
      <c r="C39" s="699" t="s">
        <v>25</v>
      </c>
      <c r="D39" s="699"/>
      <c r="E39" s="699"/>
      <c r="F39" s="699"/>
      <c r="G39" s="699"/>
      <c r="H39" s="699"/>
      <c r="I39" s="699"/>
      <c r="J39" s="699"/>
      <c r="K39" s="699"/>
      <c r="L39" s="699"/>
      <c r="M39" s="699"/>
      <c r="N39" s="819"/>
    </row>
    <row r="40" spans="2:14" x14ac:dyDescent="0.35">
      <c r="B40" s="818" t="s">
        <v>26</v>
      </c>
      <c r="C40" s="699" t="s">
        <v>27</v>
      </c>
      <c r="D40" s="699"/>
      <c r="E40" s="699"/>
      <c r="F40" s="699"/>
      <c r="G40" s="699"/>
      <c r="H40" s="699"/>
      <c r="I40" s="699"/>
      <c r="J40" s="699"/>
      <c r="K40" s="699"/>
      <c r="L40" s="699"/>
      <c r="M40" s="699"/>
      <c r="N40" s="819"/>
    </row>
    <row r="41" spans="2:14" x14ac:dyDescent="0.35">
      <c r="B41" s="818" t="s">
        <v>28</v>
      </c>
      <c r="C41" s="699" t="s">
        <v>29</v>
      </c>
      <c r="D41" s="699"/>
      <c r="E41" s="699"/>
      <c r="F41" s="699"/>
      <c r="G41" s="699"/>
      <c r="H41" s="699"/>
      <c r="I41" s="699"/>
      <c r="J41" s="699"/>
      <c r="K41" s="699"/>
      <c r="L41" s="699"/>
      <c r="M41" s="699"/>
      <c r="N41" s="819"/>
    </row>
    <row r="42" spans="2:14" x14ac:dyDescent="0.35">
      <c r="B42" s="818" t="s">
        <v>30</v>
      </c>
      <c r="C42" s="699" t="s">
        <v>31</v>
      </c>
      <c r="D42" s="699"/>
      <c r="E42" s="699"/>
      <c r="F42" s="699"/>
      <c r="G42" s="699"/>
      <c r="H42" s="699"/>
      <c r="I42" s="699"/>
      <c r="J42" s="699"/>
      <c r="K42" s="699"/>
      <c r="L42" s="699"/>
      <c r="M42" s="699"/>
      <c r="N42" s="819"/>
    </row>
    <row r="43" spans="2:14" x14ac:dyDescent="0.35">
      <c r="B43" s="818" t="s">
        <v>32</v>
      </c>
      <c r="C43" s="699" t="s">
        <v>33</v>
      </c>
      <c r="D43" s="699"/>
      <c r="E43" s="699"/>
      <c r="F43" s="699"/>
      <c r="G43" s="699"/>
      <c r="H43" s="699"/>
      <c r="I43" s="699"/>
      <c r="J43" s="699"/>
      <c r="K43" s="699"/>
      <c r="L43" s="699"/>
      <c r="M43" s="699"/>
      <c r="N43" s="819"/>
    </row>
    <row r="44" spans="2:14" x14ac:dyDescent="0.35">
      <c r="B44" s="818" t="s">
        <v>34</v>
      </c>
      <c r="C44" s="699" t="s">
        <v>35</v>
      </c>
      <c r="D44" s="699"/>
      <c r="E44" s="699"/>
      <c r="F44" s="699"/>
      <c r="G44" s="699"/>
      <c r="H44" s="699"/>
      <c r="I44" s="699"/>
      <c r="J44" s="699"/>
      <c r="K44" s="699"/>
      <c r="L44" s="699"/>
      <c r="M44" s="699"/>
      <c r="N44" s="819"/>
    </row>
    <row r="45" spans="2:14" x14ac:dyDescent="0.35">
      <c r="B45" s="818" t="s">
        <v>36</v>
      </c>
      <c r="C45" s="699" t="s">
        <v>37</v>
      </c>
      <c r="D45" s="699"/>
      <c r="E45" s="699"/>
      <c r="F45" s="699"/>
      <c r="G45" s="699"/>
      <c r="H45" s="699"/>
      <c r="I45" s="699"/>
      <c r="J45" s="699"/>
      <c r="K45" s="699"/>
      <c r="L45" s="699"/>
      <c r="M45" s="699"/>
      <c r="N45" s="819"/>
    </row>
    <row r="46" spans="2:14" x14ac:dyDescent="0.35">
      <c r="B46" s="818" t="s">
        <v>38</v>
      </c>
      <c r="C46" s="699" t="s">
        <v>39</v>
      </c>
      <c r="D46" s="699"/>
      <c r="E46" s="699"/>
      <c r="F46" s="699"/>
      <c r="G46" s="699"/>
      <c r="H46" s="699"/>
      <c r="I46" s="699"/>
      <c r="J46" s="699"/>
      <c r="K46" s="699"/>
      <c r="L46" s="699"/>
      <c r="M46" s="699"/>
      <c r="N46" s="819"/>
    </row>
    <row r="47" spans="2:14" x14ac:dyDescent="0.35">
      <c r="B47" s="1204" t="s">
        <v>2598</v>
      </c>
      <c r="C47" s="699" t="s">
        <v>39</v>
      </c>
      <c r="D47" s="699"/>
      <c r="E47" s="699"/>
      <c r="F47" s="699"/>
      <c r="G47" s="699"/>
      <c r="H47" s="699"/>
      <c r="I47" s="699"/>
      <c r="J47" s="699"/>
      <c r="K47" s="699"/>
      <c r="L47" s="699"/>
      <c r="M47" s="699"/>
      <c r="N47" s="819"/>
    </row>
    <row r="48" spans="2:14" x14ac:dyDescent="0.35">
      <c r="B48" s="818" t="s">
        <v>40</v>
      </c>
      <c r="C48" s="699" t="s">
        <v>41</v>
      </c>
      <c r="D48" s="699"/>
      <c r="E48" s="699"/>
      <c r="F48" s="699"/>
      <c r="G48" s="699"/>
      <c r="H48" s="699"/>
      <c r="I48" s="699"/>
      <c r="J48" s="699"/>
      <c r="K48" s="699"/>
      <c r="L48" s="699"/>
      <c r="M48" s="699"/>
      <c r="N48" s="819"/>
    </row>
    <row r="49" spans="2:14" x14ac:dyDescent="0.35">
      <c r="B49" s="1204" t="s">
        <v>42</v>
      </c>
      <c r="C49" s="699" t="s">
        <v>43</v>
      </c>
      <c r="D49" s="699"/>
      <c r="E49" s="699"/>
      <c r="F49" s="699"/>
      <c r="G49" s="699"/>
      <c r="H49" s="699"/>
      <c r="I49" s="699"/>
      <c r="J49" s="699"/>
      <c r="K49" s="699"/>
      <c r="L49" s="699"/>
      <c r="M49" s="699"/>
      <c r="N49" s="819"/>
    </row>
    <row r="50" spans="2:14" x14ac:dyDescent="0.35">
      <c r="B50" s="818" t="s">
        <v>44</v>
      </c>
      <c r="C50" s="699" t="s">
        <v>45</v>
      </c>
      <c r="D50" s="699"/>
      <c r="E50" s="699"/>
      <c r="F50" s="699"/>
      <c r="G50" s="699"/>
      <c r="H50" s="699"/>
      <c r="I50" s="699"/>
      <c r="J50" s="699"/>
      <c r="K50" s="699"/>
      <c r="L50" s="699"/>
      <c r="M50" s="699"/>
      <c r="N50" s="819"/>
    </row>
    <row r="51" spans="2:14" x14ac:dyDescent="0.35">
      <c r="B51" s="818" t="s">
        <v>46</v>
      </c>
      <c r="C51" s="699" t="s">
        <v>47</v>
      </c>
      <c r="D51" s="699"/>
      <c r="E51" s="699"/>
      <c r="F51" s="699"/>
      <c r="G51" s="699"/>
      <c r="H51" s="699"/>
      <c r="I51" s="699"/>
      <c r="J51" s="699"/>
      <c r="K51" s="699"/>
      <c r="L51" s="699"/>
      <c r="M51" s="699"/>
      <c r="N51" s="819"/>
    </row>
    <row r="52" spans="2:14" x14ac:dyDescent="0.35">
      <c r="B52" s="1204" t="s">
        <v>48</v>
      </c>
      <c r="C52" s="699" t="s">
        <v>49</v>
      </c>
      <c r="D52" s="699"/>
      <c r="E52" s="699"/>
      <c r="F52" s="699"/>
      <c r="G52" s="699"/>
      <c r="H52" s="699"/>
      <c r="I52" s="699"/>
      <c r="J52" s="699"/>
      <c r="K52" s="699"/>
      <c r="L52" s="699"/>
      <c r="M52" s="699"/>
      <c r="N52" s="819"/>
    </row>
    <row r="53" spans="2:14" x14ac:dyDescent="0.35">
      <c r="B53" s="818" t="s">
        <v>50</v>
      </c>
      <c r="C53" s="699" t="s">
        <v>51</v>
      </c>
      <c r="D53" s="699"/>
      <c r="E53" s="699"/>
      <c r="F53" s="699"/>
      <c r="G53" s="699"/>
      <c r="H53" s="699"/>
      <c r="I53" s="699"/>
      <c r="J53" s="699"/>
      <c r="K53" s="699"/>
      <c r="L53" s="699"/>
      <c r="M53" s="699"/>
      <c r="N53" s="819"/>
    </row>
    <row r="54" spans="2:14" x14ac:dyDescent="0.35">
      <c r="B54" s="1204" t="s">
        <v>52</v>
      </c>
      <c r="C54" s="699" t="s">
        <v>53</v>
      </c>
      <c r="D54" s="699"/>
      <c r="E54" s="699"/>
      <c r="F54" s="699"/>
      <c r="G54" s="699"/>
      <c r="H54" s="699"/>
      <c r="I54" s="699"/>
      <c r="J54" s="699"/>
      <c r="K54" s="699"/>
      <c r="L54" s="699"/>
      <c r="M54" s="699"/>
      <c r="N54" s="819"/>
    </row>
    <row r="55" spans="2:14" x14ac:dyDescent="0.35">
      <c r="B55" s="818" t="s">
        <v>54</v>
      </c>
      <c r="C55" s="699" t="s">
        <v>55</v>
      </c>
      <c r="D55" s="699"/>
      <c r="E55" s="699"/>
      <c r="F55" s="699"/>
      <c r="G55" s="699"/>
      <c r="H55" s="699"/>
      <c r="I55" s="699"/>
      <c r="J55" s="699"/>
      <c r="K55" s="699"/>
      <c r="L55" s="699"/>
      <c r="M55" s="699"/>
      <c r="N55" s="819"/>
    </row>
    <row r="56" spans="2:14" ht="15" thickBot="1" x14ac:dyDescent="0.4">
      <c r="B56" s="1203" t="s">
        <v>56</v>
      </c>
      <c r="C56" s="820" t="s">
        <v>57</v>
      </c>
      <c r="D56" s="820"/>
      <c r="E56" s="820"/>
      <c r="F56" s="820"/>
      <c r="G56" s="820"/>
      <c r="H56" s="820"/>
      <c r="I56" s="820"/>
      <c r="J56" s="820"/>
      <c r="K56" s="820"/>
      <c r="L56" s="820"/>
      <c r="M56" s="820"/>
      <c r="N56" s="821"/>
    </row>
  </sheetData>
  <dataConsolidate/>
  <hyperlinks>
    <hyperlink ref="B29" location="'0.2 Struktur &amp; brukerveiledning'!A1" display="0.2 Struktur &amp; brukerveiledning" xr:uid="{00000000-0004-0000-0000-000000000000}"/>
    <hyperlink ref="B33" location="'1.1 Standardsatser'!A1" display="1.1 Standardsatser -  Alle standard satser i modellen ligger i denne arkfanen. De skal ikke endres uten begunnelse, men ligge fast i alle analyser." xr:uid="{00000000-0004-0000-0000-000001000000}"/>
    <hyperlink ref="B34" location="'1.2 Forutsetninger'!A1" display="1.2 Forutsetninger -  Hvilke forutsetninger som ligger til grunn i analysen skal fylles inn her. " xr:uid="{00000000-0004-0000-0000-000002000000}"/>
    <hyperlink ref="B42" location="'2.5 Investeringer + vedlikehold'!A1" display="2.5 Investeringer + Vedlikehold" xr:uid="{00000000-0004-0000-0000-000003000000}"/>
    <hyperlink ref="B35" location="'1.3 Persontransportmodell'!A1" display="1.3 Persontransportmodell" xr:uid="{00000000-0004-0000-0000-000004000000}"/>
    <hyperlink ref="B45" location="'4.1 Resultatark'!A1" display="4.1 Resultatark" xr:uid="{00000000-0004-0000-0000-000005000000}"/>
    <hyperlink ref="B38" location="'2.1 Trafikanter'!A1" display="2.1 Trafikanter" xr:uid="{00000000-0004-0000-0000-000006000000}"/>
    <hyperlink ref="B39" location="'2.2 Operatører'!A1" display="2.2 Operatører" xr:uid="{00000000-0004-0000-0000-000007000000}"/>
    <hyperlink ref="B40" location="'2.3 Det Offentlige'!A1" display="2.3 Det Offentlige" xr:uid="{00000000-0004-0000-0000-000008000000}"/>
    <hyperlink ref="B41" location="'2.4 Samfunnet for øvrig'!A1" display="2.4 Samfunnet for øvrig" xr:uid="{00000000-0004-0000-0000-000009000000}"/>
    <hyperlink ref="B36" location="'1.4 Godsmodell'!A1" display="1.4 Godsmodell" xr:uid="{00000000-0004-0000-0000-00000A000000}"/>
    <hyperlink ref="B32" location="'Standardsatser-Forutsetninger'!A1" display="Standardsatser - Forutsetninger" xr:uid="{00000000-0004-0000-0000-00000C000000}"/>
    <hyperlink ref="B37" location="'1.5 Prognoser og indekser'!A1" display="1.5 Prognoser og indekser" xr:uid="{00000000-0004-0000-0000-00000D000000}"/>
    <hyperlink ref="B43" location="'3.1 Nyttestrøm'!A1" display="3.1 Nyttestrøm" xr:uid="{00000000-0004-0000-0000-00000E000000}"/>
    <hyperlink ref="B31" location="'0.5 Kilder'!A1" display="0.5 Kilder" xr:uid="{00000000-0004-0000-0000-00000F000000}"/>
    <hyperlink ref="B30" location="'0.3 Endringslogg'!A1" display="0.3 Endringslogg" xr:uid="{00000000-0004-0000-0000-000010000000}"/>
    <hyperlink ref="B28" location="'0.1 Innhold'!A1" display="0.1 Innhold" xr:uid="{00000000-0004-0000-0000-000011000000}"/>
    <hyperlink ref="B50" location="'4.2 Følsomhetsanalyse'!A1" display="4.3 Følsomhetsanalyse" xr:uid="{A0E65B6B-CF01-46B2-B6EC-D4EED923ADE2}"/>
    <hyperlink ref="B53" location="'4.3 Tverrsnittfigurer'!A1" display="4.3 Tversnittfigurer" xr:uid="{3E10C4F1-D70C-44F3-AEBA-F9C196877D50}"/>
    <hyperlink ref="B55" location="'4.4 Tidsseriefigurer'!A1" display="4.4 Tidsseriefigurer" xr:uid="{2BCFB953-C1D7-41D6-8690-4366181AD35A}"/>
    <hyperlink ref="B54" location="'4.3.1 Data_Tverrsnittfigurer'!A1" display="4.3.1 Data_Tverrsnittfigurer" xr:uid="{A88C1F62-0340-4175-8012-65DF9BC4B07A}"/>
    <hyperlink ref="B56" location="'4.4.1 Data_Tidsseriefigurer'!A1" display="4.4.1 Data_Tidsseriefigurer" xr:uid="{74151794-58D6-4B4C-A143-942FE2CE9062}"/>
    <hyperlink ref="B51" location="'4.2 Følsomhetsanalyse'!A1" display="4.3 Følsomhetsanalyse" xr:uid="{741C3EC3-6F02-45DD-BDA2-2BC09191B6BC}"/>
    <hyperlink ref="B44" location="'3.2 Ikke-prissatte virkninger'!A1" display="3.2 Ikke-prissatte virkninger" xr:uid="{5D2F1BB6-4DA0-41C3-8B54-3CDF1306A286}"/>
    <hyperlink ref="B46" location="'4.1.2 Superside NTP 25-36'!A1" display="4.1.2 Superside NTP 25-36" xr:uid="{89B405EC-B944-4118-90F8-A7626DD3ABCD}"/>
    <hyperlink ref="B48" location="'4.1.3 Geofordelingsmodell'!A1" display="4.1.3 Geofordelingsmodell" xr:uid="{0E80137C-6B04-41E0-A39A-2AA90C8617E0}"/>
  </hyperlink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Ark2">
    <tabColor theme="4" tint="0.79998168889431442"/>
  </sheetPr>
  <dimension ref="S16:S41"/>
  <sheetViews>
    <sheetView workbookViewId="0"/>
  </sheetViews>
  <sheetFormatPr baseColWidth="10" defaultColWidth="11.453125" defaultRowHeight="14.5" x14ac:dyDescent="0.35"/>
  <cols>
    <col min="1" max="16384" width="11.453125" style="1"/>
  </cols>
  <sheetData>
    <row r="16" spans="19:19" x14ac:dyDescent="0.35">
      <c r="S16" s="3"/>
    </row>
    <row r="24" spans="19:19" x14ac:dyDescent="0.35">
      <c r="S24" s="3"/>
    </row>
    <row r="29" spans="19:19" x14ac:dyDescent="0.35">
      <c r="S29" s="3"/>
    </row>
    <row r="34" spans="19:19" x14ac:dyDescent="0.35">
      <c r="S34" s="3"/>
    </row>
    <row r="41" spans="19:19" x14ac:dyDescent="0.35">
      <c r="S41" s="3"/>
    </row>
  </sheetData>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Ark15">
    <tabColor theme="4" tint="0.79998168889431442"/>
  </sheetPr>
  <dimension ref="B1:G162"/>
  <sheetViews>
    <sheetView topLeftCell="A106" zoomScaleNormal="100" workbookViewId="0">
      <selection activeCell="F162" sqref="F162"/>
    </sheetView>
  </sheetViews>
  <sheetFormatPr baseColWidth="10" defaultColWidth="11.453125" defaultRowHeight="14.5" x14ac:dyDescent="0.35"/>
  <cols>
    <col min="2" max="2" width="19.81640625" style="212" customWidth="1"/>
    <col min="3" max="3" width="11.453125" style="17"/>
    <col min="4" max="4" width="11.453125" style="940"/>
    <col min="5" max="5" width="19.54296875" style="17" customWidth="1"/>
    <col min="6" max="6" width="144" style="213" customWidth="1"/>
  </cols>
  <sheetData>
    <row r="1" spans="2:6" x14ac:dyDescent="0.35">
      <c r="B1"/>
      <c r="C1"/>
      <c r="D1" s="500"/>
      <c r="E1"/>
      <c r="F1"/>
    </row>
    <row r="2" spans="2:6" x14ac:dyDescent="0.35">
      <c r="B2"/>
      <c r="C2"/>
      <c r="D2" s="500"/>
      <c r="E2"/>
      <c r="F2"/>
    </row>
    <row r="3" spans="2:6" x14ac:dyDescent="0.35">
      <c r="B3"/>
      <c r="C3"/>
      <c r="D3" s="500"/>
      <c r="E3"/>
      <c r="F3"/>
    </row>
    <row r="4" spans="2:6" x14ac:dyDescent="0.35">
      <c r="B4"/>
      <c r="C4"/>
      <c r="D4" s="500"/>
      <c r="E4"/>
      <c r="F4"/>
    </row>
    <row r="5" spans="2:6" x14ac:dyDescent="0.35">
      <c r="B5"/>
      <c r="C5"/>
      <c r="D5" s="500"/>
      <c r="E5"/>
      <c r="F5"/>
    </row>
    <row r="6" spans="2:6" x14ac:dyDescent="0.35">
      <c r="B6"/>
      <c r="C6"/>
      <c r="D6" s="500"/>
      <c r="E6"/>
      <c r="F6"/>
    </row>
    <row r="7" spans="2:6" x14ac:dyDescent="0.35">
      <c r="B7"/>
      <c r="C7"/>
      <c r="D7" s="500"/>
      <c r="E7"/>
      <c r="F7"/>
    </row>
    <row r="8" spans="2:6" ht="15" thickBot="1" x14ac:dyDescent="0.4">
      <c r="B8"/>
      <c r="C8"/>
      <c r="D8" s="500"/>
      <c r="E8"/>
      <c r="F8"/>
    </row>
    <row r="9" spans="2:6" ht="21" x14ac:dyDescent="0.5">
      <c r="B9" s="207" t="s">
        <v>58</v>
      </c>
      <c r="C9" s="208"/>
      <c r="D9" s="501"/>
      <c r="E9" s="208"/>
      <c r="F9" s="209"/>
    </row>
    <row r="10" spans="2:6" ht="15.5" x14ac:dyDescent="0.35">
      <c r="B10" s="210" t="s">
        <v>59</v>
      </c>
      <c r="C10" s="938" t="s">
        <v>60</v>
      </c>
      <c r="D10" s="939" t="s">
        <v>61</v>
      </c>
      <c r="E10" s="938" t="s">
        <v>62</v>
      </c>
      <c r="F10" s="211" t="s">
        <v>63</v>
      </c>
    </row>
    <row r="11" spans="2:6" x14ac:dyDescent="0.35">
      <c r="B11" s="212" t="s">
        <v>64</v>
      </c>
      <c r="C11" s="69">
        <v>43126</v>
      </c>
      <c r="D11" s="940">
        <v>1</v>
      </c>
      <c r="E11" s="69" t="s">
        <v>65</v>
      </c>
      <c r="F11" s="213" t="s">
        <v>66</v>
      </c>
    </row>
    <row r="12" spans="2:6" x14ac:dyDescent="0.35">
      <c r="B12" s="212" t="s">
        <v>64</v>
      </c>
      <c r="C12" s="69">
        <v>43133</v>
      </c>
      <c r="D12" s="582" t="s">
        <v>67</v>
      </c>
      <c r="E12" s="69" t="s">
        <v>68</v>
      </c>
      <c r="F12" s="250" t="s">
        <v>69</v>
      </c>
    </row>
    <row r="13" spans="2:6" x14ac:dyDescent="0.35">
      <c r="B13" s="212" t="s">
        <v>64</v>
      </c>
      <c r="C13" s="69">
        <v>43167</v>
      </c>
      <c r="D13" s="582" t="s">
        <v>70</v>
      </c>
      <c r="E13" s="69" t="s">
        <v>71</v>
      </c>
      <c r="F13" s="217" t="s">
        <v>72</v>
      </c>
    </row>
    <row r="14" spans="2:6" x14ac:dyDescent="0.35">
      <c r="B14" s="212" t="s">
        <v>64</v>
      </c>
      <c r="C14" s="101">
        <v>43258</v>
      </c>
      <c r="D14" s="582" t="s">
        <v>73</v>
      </c>
      <c r="E14" s="69" t="s">
        <v>74</v>
      </c>
      <c r="F14" s="250" t="s">
        <v>75</v>
      </c>
    </row>
    <row r="15" spans="2:6" s="59" customFormat="1" x14ac:dyDescent="0.35">
      <c r="B15" s="218" t="s">
        <v>64</v>
      </c>
      <c r="C15" s="101">
        <v>43320</v>
      </c>
      <c r="D15" s="133" t="s">
        <v>76</v>
      </c>
      <c r="E15" s="101" t="s">
        <v>77</v>
      </c>
      <c r="F15" s="217" t="s">
        <v>78</v>
      </c>
    </row>
    <row r="16" spans="2:6" s="6" customFormat="1" x14ac:dyDescent="0.35">
      <c r="B16" s="218" t="s">
        <v>64</v>
      </c>
      <c r="C16" s="101">
        <v>43426</v>
      </c>
      <c r="D16" s="941">
        <v>2</v>
      </c>
      <c r="E16" s="101" t="s">
        <v>79</v>
      </c>
      <c r="F16" s="217" t="s">
        <v>80</v>
      </c>
    </row>
    <row r="17" spans="2:7" x14ac:dyDescent="0.35">
      <c r="B17" s="218" t="s">
        <v>64</v>
      </c>
      <c r="C17" s="69">
        <v>43447</v>
      </c>
      <c r="D17" s="942" t="s">
        <v>81</v>
      </c>
      <c r="E17" s="101" t="s">
        <v>82</v>
      </c>
      <c r="F17" s="217" t="s">
        <v>83</v>
      </c>
    </row>
    <row r="18" spans="2:7" x14ac:dyDescent="0.35">
      <c r="B18" s="218" t="s">
        <v>64</v>
      </c>
      <c r="C18" s="69">
        <v>43538</v>
      </c>
      <c r="D18" s="942" t="s">
        <v>84</v>
      </c>
      <c r="E18" s="101" t="s">
        <v>85</v>
      </c>
      <c r="F18" s="217" t="s">
        <v>86</v>
      </c>
    </row>
    <row r="19" spans="2:7" x14ac:dyDescent="0.35">
      <c r="B19" s="579" t="s">
        <v>64</v>
      </c>
      <c r="C19" s="943">
        <v>43629</v>
      </c>
      <c r="D19" s="944" t="s">
        <v>87</v>
      </c>
      <c r="E19" s="943" t="s">
        <v>88</v>
      </c>
      <c r="F19" s="580" t="s">
        <v>89</v>
      </c>
    </row>
    <row r="20" spans="2:7" x14ac:dyDescent="0.35">
      <c r="B20" s="579" t="s">
        <v>64</v>
      </c>
      <c r="C20" s="943">
        <v>43629</v>
      </c>
      <c r="D20" s="944" t="s">
        <v>90</v>
      </c>
      <c r="E20" s="943" t="s">
        <v>91</v>
      </c>
      <c r="F20" s="580" t="s">
        <v>92</v>
      </c>
    </row>
    <row r="21" spans="2:7" x14ac:dyDescent="0.35">
      <c r="B21" s="579" t="s">
        <v>64</v>
      </c>
      <c r="C21" s="943">
        <v>43641</v>
      </c>
      <c r="D21" s="944" t="s">
        <v>93</v>
      </c>
      <c r="E21" s="943" t="s">
        <v>94</v>
      </c>
      <c r="F21" s="580" t="s">
        <v>95</v>
      </c>
    </row>
    <row r="22" spans="2:7" x14ac:dyDescent="0.35">
      <c r="B22" s="218" t="s">
        <v>64</v>
      </c>
      <c r="C22" s="69">
        <v>43706</v>
      </c>
      <c r="D22" s="942" t="s">
        <v>96</v>
      </c>
      <c r="E22" s="101" t="s">
        <v>97</v>
      </c>
      <c r="F22" s="217" t="s">
        <v>98</v>
      </c>
    </row>
    <row r="23" spans="2:7" x14ac:dyDescent="0.35">
      <c r="B23" s="218" t="s">
        <v>64</v>
      </c>
      <c r="C23" s="69">
        <v>43794</v>
      </c>
      <c r="D23" s="942" t="s">
        <v>99</v>
      </c>
      <c r="E23" s="101" t="s">
        <v>100</v>
      </c>
      <c r="F23" s="578" t="s">
        <v>101</v>
      </c>
    </row>
    <row r="24" spans="2:7" s="59" customFormat="1" x14ac:dyDescent="0.35">
      <c r="B24" s="218" t="s">
        <v>102</v>
      </c>
      <c r="C24" s="101">
        <v>43909</v>
      </c>
      <c r="D24" s="942" t="s">
        <v>103</v>
      </c>
      <c r="E24" s="101" t="s">
        <v>104</v>
      </c>
      <c r="F24" s="221" t="s">
        <v>105</v>
      </c>
      <c r="G24" s="59" t="s">
        <v>106</v>
      </c>
    </row>
    <row r="25" spans="2:7" s="59" customFormat="1" x14ac:dyDescent="0.35">
      <c r="B25" s="218"/>
      <c r="C25" s="101"/>
      <c r="D25" s="942"/>
      <c r="E25" s="101"/>
      <c r="F25" s="221" t="s">
        <v>107</v>
      </c>
      <c r="G25" s="59" t="s">
        <v>106</v>
      </c>
    </row>
    <row r="26" spans="2:7" s="59" customFormat="1" x14ac:dyDescent="0.35">
      <c r="B26" s="218"/>
      <c r="C26" s="101"/>
      <c r="D26" s="941"/>
      <c r="E26" s="101"/>
      <c r="F26" s="221" t="s">
        <v>108</v>
      </c>
    </row>
    <row r="27" spans="2:7" s="59" customFormat="1" x14ac:dyDescent="0.35">
      <c r="B27" s="218" t="s">
        <v>102</v>
      </c>
      <c r="C27" s="101">
        <v>43910</v>
      </c>
      <c r="D27" s="942" t="s">
        <v>103</v>
      </c>
      <c r="E27" s="101" t="s">
        <v>104</v>
      </c>
      <c r="F27" s="221" t="s">
        <v>109</v>
      </c>
    </row>
    <row r="28" spans="2:7" s="59" customFormat="1" x14ac:dyDescent="0.35">
      <c r="B28" s="218" t="s">
        <v>102</v>
      </c>
      <c r="C28" s="101">
        <v>43915</v>
      </c>
      <c r="D28" s="942" t="s">
        <v>103</v>
      </c>
      <c r="E28" s="101" t="s">
        <v>104</v>
      </c>
      <c r="F28" s="221" t="s">
        <v>110</v>
      </c>
    </row>
    <row r="29" spans="2:7" s="59" customFormat="1" x14ac:dyDescent="0.35">
      <c r="B29" s="218"/>
      <c r="C29" s="65"/>
      <c r="D29" s="941"/>
      <c r="E29" s="65"/>
      <c r="F29" s="221" t="s">
        <v>111</v>
      </c>
      <c r="G29" s="59" t="s">
        <v>106</v>
      </c>
    </row>
    <row r="30" spans="2:7" s="59" customFormat="1" x14ac:dyDescent="0.35">
      <c r="B30" s="218" t="s">
        <v>102</v>
      </c>
      <c r="C30" s="101">
        <v>43923</v>
      </c>
      <c r="D30" s="942" t="s">
        <v>103</v>
      </c>
      <c r="E30" s="101" t="s">
        <v>104</v>
      </c>
      <c r="F30" s="221" t="s">
        <v>112</v>
      </c>
    </row>
    <row r="31" spans="2:7" s="59" customFormat="1" x14ac:dyDescent="0.35">
      <c r="B31" s="218"/>
      <c r="C31" s="65"/>
      <c r="D31" s="941"/>
      <c r="E31" s="65"/>
      <c r="F31" s="221" t="s">
        <v>113</v>
      </c>
    </row>
    <row r="32" spans="2:7" s="59" customFormat="1" x14ac:dyDescent="0.35">
      <c r="B32" s="218" t="s">
        <v>102</v>
      </c>
      <c r="C32" s="101">
        <v>43938</v>
      </c>
      <c r="D32" s="942" t="s">
        <v>103</v>
      </c>
      <c r="E32" s="101" t="s">
        <v>104</v>
      </c>
      <c r="F32" s="221" t="s">
        <v>114</v>
      </c>
    </row>
    <row r="33" spans="2:7" s="59" customFormat="1" x14ac:dyDescent="0.35">
      <c r="B33" s="218"/>
      <c r="C33" s="65"/>
      <c r="D33" s="941"/>
      <c r="E33" s="65"/>
      <c r="F33" s="221" t="s">
        <v>115</v>
      </c>
    </row>
    <row r="34" spans="2:7" s="59" customFormat="1" x14ac:dyDescent="0.35">
      <c r="B34" s="218" t="s">
        <v>102</v>
      </c>
      <c r="C34" s="101">
        <v>43948</v>
      </c>
      <c r="D34" s="942" t="s">
        <v>103</v>
      </c>
      <c r="E34" s="101" t="s">
        <v>104</v>
      </c>
      <c r="F34" s="221" t="s">
        <v>116</v>
      </c>
      <c r="G34" s="59" t="s">
        <v>106</v>
      </c>
    </row>
    <row r="35" spans="2:7" s="59" customFormat="1" x14ac:dyDescent="0.35">
      <c r="B35" s="218" t="s">
        <v>117</v>
      </c>
      <c r="C35" s="101">
        <v>44005</v>
      </c>
      <c r="D35" s="942" t="s">
        <v>103</v>
      </c>
      <c r="E35" s="101" t="s">
        <v>104</v>
      </c>
      <c r="F35" s="221" t="s">
        <v>118</v>
      </c>
    </row>
    <row r="36" spans="2:7" s="59" customFormat="1" x14ac:dyDescent="0.35">
      <c r="B36" s="218" t="s">
        <v>102</v>
      </c>
      <c r="C36" s="101">
        <v>44007</v>
      </c>
      <c r="D36" s="942" t="s">
        <v>103</v>
      </c>
      <c r="E36" s="101" t="s">
        <v>104</v>
      </c>
      <c r="F36" s="221" t="s">
        <v>119</v>
      </c>
    </row>
    <row r="37" spans="2:7" s="59" customFormat="1" x14ac:dyDescent="0.35">
      <c r="B37" s="218"/>
      <c r="C37" s="65"/>
      <c r="D37" s="941"/>
      <c r="E37" s="65"/>
      <c r="F37" s="221" t="s">
        <v>120</v>
      </c>
      <c r="G37" s="59" t="s">
        <v>106</v>
      </c>
    </row>
    <row r="38" spans="2:7" s="59" customFormat="1" x14ac:dyDescent="0.35">
      <c r="B38" s="218"/>
      <c r="C38" s="65"/>
      <c r="D38" s="941"/>
      <c r="E38" s="65"/>
      <c r="F38" s="221" t="s">
        <v>121</v>
      </c>
      <c r="G38" s="59" t="s">
        <v>106</v>
      </c>
    </row>
    <row r="39" spans="2:7" s="59" customFormat="1" x14ac:dyDescent="0.35">
      <c r="B39" s="218" t="s">
        <v>102</v>
      </c>
      <c r="C39" s="101">
        <v>44011</v>
      </c>
      <c r="D39" s="942" t="s">
        <v>103</v>
      </c>
      <c r="E39" s="101" t="s">
        <v>104</v>
      </c>
      <c r="F39" s="221" t="s">
        <v>122</v>
      </c>
    </row>
    <row r="40" spans="2:7" s="59" customFormat="1" x14ac:dyDescent="0.35">
      <c r="B40" s="218"/>
      <c r="C40" s="65"/>
      <c r="D40" s="941"/>
      <c r="E40" s="65"/>
      <c r="F40" s="221" t="s">
        <v>123</v>
      </c>
    </row>
    <row r="41" spans="2:7" s="59" customFormat="1" x14ac:dyDescent="0.35">
      <c r="B41" s="218" t="s">
        <v>102</v>
      </c>
      <c r="C41" s="101">
        <v>44012</v>
      </c>
      <c r="D41" s="942" t="s">
        <v>103</v>
      </c>
      <c r="E41" s="101" t="s">
        <v>104</v>
      </c>
      <c r="F41" s="221" t="s">
        <v>124</v>
      </c>
    </row>
    <row r="42" spans="2:7" s="59" customFormat="1" x14ac:dyDescent="0.35">
      <c r="B42" s="218" t="s">
        <v>102</v>
      </c>
      <c r="C42" s="101">
        <v>44013</v>
      </c>
      <c r="D42" s="942" t="s">
        <v>103</v>
      </c>
      <c r="E42" s="101" t="s">
        <v>104</v>
      </c>
      <c r="F42" s="221" t="s">
        <v>125</v>
      </c>
    </row>
    <row r="43" spans="2:7" s="59" customFormat="1" x14ac:dyDescent="0.35">
      <c r="B43" s="218"/>
      <c r="C43" s="65"/>
      <c r="D43" s="941"/>
      <c r="E43" s="65"/>
      <c r="F43" s="221" t="s">
        <v>126</v>
      </c>
    </row>
    <row r="44" spans="2:7" s="59" customFormat="1" x14ac:dyDescent="0.35">
      <c r="B44" s="218" t="s">
        <v>102</v>
      </c>
      <c r="C44" s="101">
        <v>44015</v>
      </c>
      <c r="D44" s="942" t="s">
        <v>103</v>
      </c>
      <c r="E44" s="101" t="s">
        <v>104</v>
      </c>
      <c r="F44" s="221" t="s">
        <v>127</v>
      </c>
      <c r="G44" s="59" t="s">
        <v>106</v>
      </c>
    </row>
    <row r="45" spans="2:7" s="59" customFormat="1" x14ac:dyDescent="0.35">
      <c r="B45" s="218" t="s">
        <v>102</v>
      </c>
      <c r="C45" s="101">
        <v>44018</v>
      </c>
      <c r="D45" s="942" t="s">
        <v>103</v>
      </c>
      <c r="E45" s="101" t="s">
        <v>104</v>
      </c>
      <c r="F45" s="221" t="s">
        <v>128</v>
      </c>
      <c r="G45" s="59" t="s">
        <v>106</v>
      </c>
    </row>
    <row r="46" spans="2:7" s="59" customFormat="1" x14ac:dyDescent="0.35">
      <c r="B46" s="218" t="s">
        <v>102</v>
      </c>
      <c r="C46" s="101">
        <v>44019</v>
      </c>
      <c r="D46" s="942" t="s">
        <v>103</v>
      </c>
      <c r="E46" s="101" t="s">
        <v>104</v>
      </c>
      <c r="F46" s="221" t="s">
        <v>129</v>
      </c>
    </row>
    <row r="47" spans="2:7" x14ac:dyDescent="0.35">
      <c r="B47" s="212" t="s">
        <v>130</v>
      </c>
      <c r="C47" s="69">
        <v>44020</v>
      </c>
      <c r="D47" s="942" t="s">
        <v>103</v>
      </c>
      <c r="E47" s="101" t="s">
        <v>104</v>
      </c>
      <c r="F47" s="213" t="s">
        <v>131</v>
      </c>
    </row>
    <row r="48" spans="2:7" x14ac:dyDescent="0.35">
      <c r="B48" s="212" t="s">
        <v>130</v>
      </c>
      <c r="C48" s="69">
        <v>44053</v>
      </c>
      <c r="D48" s="942" t="s">
        <v>103</v>
      </c>
      <c r="E48" s="101" t="s">
        <v>104</v>
      </c>
      <c r="F48" s="213" t="s">
        <v>132</v>
      </c>
    </row>
    <row r="49" spans="2:7" x14ac:dyDescent="0.35">
      <c r="B49" s="218" t="s">
        <v>133</v>
      </c>
      <c r="C49" s="101">
        <v>44078</v>
      </c>
      <c r="D49" s="942" t="s">
        <v>134</v>
      </c>
      <c r="E49" s="101" t="s">
        <v>135</v>
      </c>
      <c r="F49" s="221" t="s">
        <v>136</v>
      </c>
    </row>
    <row r="50" spans="2:7" x14ac:dyDescent="0.35">
      <c r="B50" s="218" t="s">
        <v>102</v>
      </c>
      <c r="C50" s="101">
        <v>44078</v>
      </c>
      <c r="D50" s="942" t="s">
        <v>134</v>
      </c>
      <c r="E50" s="101" t="s">
        <v>135</v>
      </c>
      <c r="F50" s="221" t="s">
        <v>137</v>
      </c>
      <c r="G50" t="s">
        <v>106</v>
      </c>
    </row>
    <row r="51" spans="2:7" x14ac:dyDescent="0.35">
      <c r="B51" s="218" t="s">
        <v>102</v>
      </c>
      <c r="C51" s="101">
        <v>44110</v>
      </c>
      <c r="D51" s="942" t="s">
        <v>134</v>
      </c>
      <c r="E51" s="101" t="s">
        <v>135</v>
      </c>
      <c r="F51" s="221" t="s">
        <v>138</v>
      </c>
    </row>
    <row r="52" spans="2:7" x14ac:dyDescent="0.35">
      <c r="B52" s="218" t="s">
        <v>102</v>
      </c>
      <c r="C52" s="101">
        <v>44110</v>
      </c>
      <c r="D52" s="942" t="s">
        <v>134</v>
      </c>
      <c r="E52" s="101" t="s">
        <v>135</v>
      </c>
      <c r="F52" s="221" t="s">
        <v>139</v>
      </c>
    </row>
    <row r="53" spans="2:7" x14ac:dyDescent="0.35">
      <c r="B53" s="218" t="s">
        <v>102</v>
      </c>
      <c r="C53" s="101">
        <v>44110</v>
      </c>
      <c r="D53" s="942" t="s">
        <v>134</v>
      </c>
      <c r="E53" s="101" t="s">
        <v>135</v>
      </c>
      <c r="F53" s="221" t="s">
        <v>140</v>
      </c>
      <c r="G53" t="s">
        <v>106</v>
      </c>
    </row>
    <row r="54" spans="2:7" x14ac:dyDescent="0.35">
      <c r="B54" s="218" t="s">
        <v>141</v>
      </c>
      <c r="C54" s="101">
        <v>44162</v>
      </c>
      <c r="D54" s="65" t="s">
        <v>134</v>
      </c>
      <c r="E54" s="65" t="s">
        <v>135</v>
      </c>
      <c r="F54" s="221" t="s">
        <v>142</v>
      </c>
    </row>
    <row r="55" spans="2:7" x14ac:dyDescent="0.35">
      <c r="B55" s="218" t="s">
        <v>130</v>
      </c>
      <c r="C55" s="101">
        <v>44180</v>
      </c>
      <c r="D55" s="65" t="s">
        <v>143</v>
      </c>
      <c r="E55" s="65" t="s">
        <v>144</v>
      </c>
      <c r="F55" s="221" t="s">
        <v>145</v>
      </c>
    </row>
    <row r="56" spans="2:7" x14ac:dyDescent="0.35">
      <c r="B56" s="218" t="s">
        <v>130</v>
      </c>
      <c r="C56" s="101">
        <v>43844</v>
      </c>
      <c r="D56" s="65" t="s">
        <v>143</v>
      </c>
      <c r="E56" s="65" t="s">
        <v>144</v>
      </c>
      <c r="F56" s="221" t="s">
        <v>146</v>
      </c>
    </row>
    <row r="57" spans="2:7" x14ac:dyDescent="0.35">
      <c r="B57" s="218" t="s">
        <v>147</v>
      </c>
      <c r="C57" s="101">
        <v>44350</v>
      </c>
      <c r="D57" s="65"/>
      <c r="E57" s="65" t="s">
        <v>148</v>
      </c>
      <c r="F57" s="221" t="s">
        <v>149</v>
      </c>
      <c r="G57" t="s">
        <v>106</v>
      </c>
    </row>
    <row r="58" spans="2:7" x14ac:dyDescent="0.35">
      <c r="B58" s="218" t="s">
        <v>130</v>
      </c>
      <c r="C58" s="101">
        <v>44358</v>
      </c>
      <c r="D58" s="65" t="s">
        <v>150</v>
      </c>
      <c r="E58" s="65" t="s">
        <v>151</v>
      </c>
      <c r="F58" s="221" t="s">
        <v>152</v>
      </c>
    </row>
    <row r="59" spans="2:7" x14ac:dyDescent="0.35">
      <c r="B59" s="218" t="s">
        <v>130</v>
      </c>
      <c r="C59" s="101">
        <v>44362</v>
      </c>
      <c r="D59" s="65" t="s">
        <v>150</v>
      </c>
      <c r="E59" s="65" t="s">
        <v>151</v>
      </c>
      <c r="F59" s="221" t="s">
        <v>153</v>
      </c>
    </row>
    <row r="60" spans="2:7" x14ac:dyDescent="0.35">
      <c r="B60" s="218" t="s">
        <v>117</v>
      </c>
      <c r="C60" s="101">
        <v>44368</v>
      </c>
      <c r="D60" s="65" t="s">
        <v>150</v>
      </c>
      <c r="E60" s="65" t="s">
        <v>151</v>
      </c>
      <c r="F60" s="221" t="s">
        <v>154</v>
      </c>
    </row>
    <row r="61" spans="2:7" x14ac:dyDescent="0.35">
      <c r="B61" s="218" t="s">
        <v>130</v>
      </c>
      <c r="C61" s="101">
        <v>44376</v>
      </c>
      <c r="D61" s="65" t="s">
        <v>150</v>
      </c>
      <c r="E61" s="65" t="s">
        <v>151</v>
      </c>
      <c r="F61" s="221" t="s">
        <v>155</v>
      </c>
    </row>
    <row r="62" spans="2:7" x14ac:dyDescent="0.35">
      <c r="B62" s="218" t="s">
        <v>117</v>
      </c>
      <c r="C62" s="101">
        <v>44377</v>
      </c>
      <c r="D62" s="65" t="s">
        <v>150</v>
      </c>
      <c r="E62" s="65" t="s">
        <v>151</v>
      </c>
      <c r="F62" s="221" t="s">
        <v>156</v>
      </c>
    </row>
    <row r="63" spans="2:7" x14ac:dyDescent="0.35">
      <c r="B63" s="218" t="s">
        <v>117</v>
      </c>
      <c r="C63" s="101">
        <v>44377</v>
      </c>
      <c r="D63" s="65" t="s">
        <v>150</v>
      </c>
      <c r="E63" s="65" t="s">
        <v>151</v>
      </c>
      <c r="F63" s="221" t="s">
        <v>157</v>
      </c>
    </row>
    <row r="64" spans="2:7" x14ac:dyDescent="0.35">
      <c r="B64" s="218" t="s">
        <v>117</v>
      </c>
      <c r="C64" s="101">
        <v>44377</v>
      </c>
      <c r="D64" s="65" t="s">
        <v>150</v>
      </c>
      <c r="E64" s="65" t="s">
        <v>151</v>
      </c>
      <c r="F64" s="221" t="s">
        <v>158</v>
      </c>
    </row>
    <row r="65" spans="2:6" x14ac:dyDescent="0.35">
      <c r="B65" s="218" t="s">
        <v>117</v>
      </c>
      <c r="C65" s="101">
        <v>44377</v>
      </c>
      <c r="D65" s="65" t="s">
        <v>150</v>
      </c>
      <c r="E65" s="65" t="s">
        <v>151</v>
      </c>
      <c r="F65" s="221" t="s">
        <v>159</v>
      </c>
    </row>
    <row r="66" spans="2:6" x14ac:dyDescent="0.35">
      <c r="B66" s="212" t="s">
        <v>160</v>
      </c>
      <c r="C66" s="101">
        <v>44449</v>
      </c>
      <c r="D66" s="65" t="s">
        <v>150</v>
      </c>
      <c r="E66" s="65" t="s">
        <v>151</v>
      </c>
      <c r="F66" s="213" t="s">
        <v>161</v>
      </c>
    </row>
    <row r="67" spans="2:6" x14ac:dyDescent="0.35">
      <c r="B67" s="218" t="s">
        <v>117</v>
      </c>
      <c r="C67" s="101">
        <v>44462</v>
      </c>
      <c r="D67" s="65" t="s">
        <v>150</v>
      </c>
      <c r="E67" s="65" t="s">
        <v>151</v>
      </c>
      <c r="F67" s="213" t="s">
        <v>162</v>
      </c>
    </row>
    <row r="68" spans="2:6" x14ac:dyDescent="0.35">
      <c r="B68" s="218" t="s">
        <v>117</v>
      </c>
      <c r="C68" s="101">
        <v>44462</v>
      </c>
      <c r="D68" s="65" t="s">
        <v>150</v>
      </c>
      <c r="E68" s="65" t="s">
        <v>151</v>
      </c>
      <c r="F68" s="213" t="s">
        <v>163</v>
      </c>
    </row>
    <row r="69" spans="2:6" x14ac:dyDescent="0.35">
      <c r="B69" s="218" t="s">
        <v>117</v>
      </c>
      <c r="C69" s="101">
        <v>44462</v>
      </c>
      <c r="D69" s="65" t="s">
        <v>150</v>
      </c>
      <c r="E69" s="65" t="s">
        <v>151</v>
      </c>
      <c r="F69" s="213" t="s">
        <v>164</v>
      </c>
    </row>
    <row r="70" spans="2:6" x14ac:dyDescent="0.35">
      <c r="B70" s="212" t="s">
        <v>165</v>
      </c>
      <c r="C70" s="101">
        <v>44510</v>
      </c>
      <c r="D70" s="970" t="s">
        <v>150</v>
      </c>
      <c r="E70" s="17" t="s">
        <v>151</v>
      </c>
      <c r="F70" s="213" t="s">
        <v>166</v>
      </c>
    </row>
    <row r="71" spans="2:6" x14ac:dyDescent="0.35">
      <c r="B71" s="212" t="s">
        <v>165</v>
      </c>
      <c r="C71" s="101">
        <v>44510</v>
      </c>
      <c r="D71" s="971" t="s">
        <v>150</v>
      </c>
      <c r="E71" s="17" t="s">
        <v>151</v>
      </c>
      <c r="F71" s="213" t="s">
        <v>167</v>
      </c>
    </row>
    <row r="72" spans="2:6" x14ac:dyDescent="0.35">
      <c r="B72" s="212" t="s">
        <v>165</v>
      </c>
      <c r="C72" s="101">
        <v>44511</v>
      </c>
      <c r="D72" s="971" t="s">
        <v>150</v>
      </c>
      <c r="E72" s="17" t="s">
        <v>151</v>
      </c>
      <c r="F72" s="213" t="s">
        <v>168</v>
      </c>
    </row>
    <row r="73" spans="2:6" x14ac:dyDescent="0.35">
      <c r="B73" s="212" t="s">
        <v>165</v>
      </c>
      <c r="C73" s="101">
        <v>44516</v>
      </c>
      <c r="D73" s="971" t="s">
        <v>150</v>
      </c>
      <c r="E73" s="17" t="s">
        <v>151</v>
      </c>
      <c r="F73" s="213" t="s">
        <v>169</v>
      </c>
    </row>
    <row r="74" spans="2:6" x14ac:dyDescent="0.35">
      <c r="B74" s="212" t="s">
        <v>165</v>
      </c>
      <c r="C74" s="69">
        <v>44517</v>
      </c>
      <c r="D74" s="971" t="s">
        <v>150</v>
      </c>
      <c r="E74" s="17" t="s">
        <v>151</v>
      </c>
      <c r="F74" s="213" t="s">
        <v>170</v>
      </c>
    </row>
    <row r="75" spans="2:6" x14ac:dyDescent="0.35">
      <c r="B75" s="212" t="s">
        <v>165</v>
      </c>
      <c r="C75" s="69">
        <v>44522</v>
      </c>
      <c r="D75" s="971" t="s">
        <v>150</v>
      </c>
      <c r="E75" s="17" t="s">
        <v>151</v>
      </c>
      <c r="F75" s="213" t="s">
        <v>171</v>
      </c>
    </row>
    <row r="76" spans="2:6" x14ac:dyDescent="0.35">
      <c r="B76" s="212" t="s">
        <v>165</v>
      </c>
      <c r="C76" s="69">
        <v>44540</v>
      </c>
      <c r="D76" s="971" t="s">
        <v>150</v>
      </c>
      <c r="E76" s="17" t="s">
        <v>151</v>
      </c>
      <c r="F76" s="213" t="s">
        <v>172</v>
      </c>
    </row>
    <row r="77" spans="2:6" x14ac:dyDescent="0.35">
      <c r="B77" s="212" t="s">
        <v>173</v>
      </c>
      <c r="C77" s="69">
        <v>44540</v>
      </c>
      <c r="D77" s="971" t="s">
        <v>150</v>
      </c>
      <c r="E77" s="17" t="s">
        <v>151</v>
      </c>
      <c r="F77" s="213" t="s">
        <v>174</v>
      </c>
    </row>
    <row r="78" spans="2:6" x14ac:dyDescent="0.35">
      <c r="B78" s="212" t="s">
        <v>173</v>
      </c>
      <c r="C78" s="69">
        <v>44546</v>
      </c>
      <c r="D78" s="971" t="s">
        <v>150</v>
      </c>
      <c r="E78" s="17" t="s">
        <v>151</v>
      </c>
      <c r="F78" s="213" t="s">
        <v>175</v>
      </c>
    </row>
    <row r="79" spans="2:6" x14ac:dyDescent="0.35">
      <c r="B79" s="212" t="s">
        <v>173</v>
      </c>
      <c r="C79" s="69">
        <v>44546</v>
      </c>
      <c r="D79" s="971" t="s">
        <v>150</v>
      </c>
      <c r="E79" s="17" t="s">
        <v>151</v>
      </c>
      <c r="F79" s="213" t="s">
        <v>176</v>
      </c>
    </row>
    <row r="80" spans="2:6" x14ac:dyDescent="0.35">
      <c r="B80" s="212" t="s">
        <v>165</v>
      </c>
      <c r="C80" s="69">
        <v>44722</v>
      </c>
      <c r="D80" s="971" t="s">
        <v>150</v>
      </c>
      <c r="E80" s="17" t="s">
        <v>151</v>
      </c>
      <c r="F80" s="213" t="s">
        <v>177</v>
      </c>
    </row>
    <row r="81" spans="2:6" x14ac:dyDescent="0.35">
      <c r="B81" s="212" t="s">
        <v>165</v>
      </c>
      <c r="C81" s="69">
        <v>44722</v>
      </c>
      <c r="D81" s="971" t="s">
        <v>150</v>
      </c>
      <c r="E81" s="17" t="s">
        <v>151</v>
      </c>
      <c r="F81" s="213" t="s">
        <v>178</v>
      </c>
    </row>
    <row r="82" spans="2:6" x14ac:dyDescent="0.35">
      <c r="B82" s="212" t="s">
        <v>165</v>
      </c>
      <c r="C82" s="69">
        <v>44729</v>
      </c>
      <c r="D82" s="971" t="s">
        <v>150</v>
      </c>
      <c r="E82" s="17" t="s">
        <v>151</v>
      </c>
      <c r="F82" s="213" t="s">
        <v>179</v>
      </c>
    </row>
    <row r="83" spans="2:6" x14ac:dyDescent="0.35">
      <c r="B83" s="212" t="s">
        <v>165</v>
      </c>
      <c r="C83" s="69">
        <v>44732</v>
      </c>
      <c r="D83" s="971" t="s">
        <v>150</v>
      </c>
      <c r="E83" s="17" t="s">
        <v>151</v>
      </c>
      <c r="F83" s="213" t="s">
        <v>180</v>
      </c>
    </row>
    <row r="84" spans="2:6" x14ac:dyDescent="0.35">
      <c r="B84" s="212" t="s">
        <v>165</v>
      </c>
      <c r="C84" s="69">
        <v>44732</v>
      </c>
      <c r="D84" s="971" t="s">
        <v>150</v>
      </c>
      <c r="E84" s="17" t="s">
        <v>151</v>
      </c>
      <c r="F84" s="213" t="s">
        <v>181</v>
      </c>
    </row>
    <row r="85" spans="2:6" x14ac:dyDescent="0.35">
      <c r="B85" s="212" t="s">
        <v>165</v>
      </c>
      <c r="C85" s="69">
        <v>44733</v>
      </c>
      <c r="D85" s="971" t="s">
        <v>150</v>
      </c>
      <c r="E85" s="17" t="s">
        <v>151</v>
      </c>
      <c r="F85" s="213" t="s">
        <v>182</v>
      </c>
    </row>
    <row r="86" spans="2:6" x14ac:dyDescent="0.35">
      <c r="B86" s="212" t="s">
        <v>165</v>
      </c>
      <c r="C86" s="69">
        <v>44734</v>
      </c>
      <c r="D86" s="971" t="s">
        <v>150</v>
      </c>
      <c r="E86" s="17" t="s">
        <v>151</v>
      </c>
      <c r="F86" s="213" t="s">
        <v>183</v>
      </c>
    </row>
    <row r="87" spans="2:6" x14ac:dyDescent="0.35">
      <c r="B87" s="212" t="s">
        <v>165</v>
      </c>
      <c r="C87" s="69">
        <v>44735</v>
      </c>
      <c r="D87" s="971" t="s">
        <v>150</v>
      </c>
      <c r="E87" s="17" t="s">
        <v>151</v>
      </c>
      <c r="F87" s="213" t="s">
        <v>184</v>
      </c>
    </row>
    <row r="88" spans="2:6" x14ac:dyDescent="0.35">
      <c r="B88" s="212" t="s">
        <v>165</v>
      </c>
      <c r="C88" s="69">
        <v>44740</v>
      </c>
      <c r="D88" s="971" t="s">
        <v>150</v>
      </c>
      <c r="E88" s="17" t="s">
        <v>151</v>
      </c>
      <c r="F88" s="213" t="s">
        <v>185</v>
      </c>
    </row>
    <row r="89" spans="2:6" x14ac:dyDescent="0.35">
      <c r="B89" s="212" t="s">
        <v>165</v>
      </c>
      <c r="C89" s="69">
        <v>44770</v>
      </c>
      <c r="D89" s="971" t="s">
        <v>150</v>
      </c>
      <c r="E89" s="17" t="s">
        <v>151</v>
      </c>
      <c r="F89" s="213" t="s">
        <v>123</v>
      </c>
    </row>
    <row r="90" spans="2:6" x14ac:dyDescent="0.35">
      <c r="B90" s="212" t="s">
        <v>173</v>
      </c>
      <c r="C90" s="69">
        <v>44788</v>
      </c>
      <c r="D90" s="971" t="s">
        <v>150</v>
      </c>
      <c r="E90" s="17" t="s">
        <v>151</v>
      </c>
      <c r="F90" s="213" t="s">
        <v>186</v>
      </c>
    </row>
    <row r="91" spans="2:6" x14ac:dyDescent="0.35">
      <c r="B91" s="212" t="s">
        <v>173</v>
      </c>
      <c r="C91" s="69">
        <v>44788</v>
      </c>
      <c r="D91" s="971" t="s">
        <v>150</v>
      </c>
      <c r="E91" s="17" t="s">
        <v>151</v>
      </c>
      <c r="F91" s="213" t="s">
        <v>187</v>
      </c>
    </row>
    <row r="92" spans="2:6" x14ac:dyDescent="0.35">
      <c r="B92" s="212" t="s">
        <v>165</v>
      </c>
      <c r="C92" s="69">
        <v>44818</v>
      </c>
      <c r="D92" s="971" t="s">
        <v>150</v>
      </c>
      <c r="E92" s="17" t="s">
        <v>151</v>
      </c>
      <c r="F92" s="213" t="s">
        <v>188</v>
      </c>
    </row>
    <row r="93" spans="2:6" x14ac:dyDescent="0.35">
      <c r="B93" s="212" t="s">
        <v>173</v>
      </c>
      <c r="C93" s="69">
        <v>44818</v>
      </c>
      <c r="D93" s="971" t="s">
        <v>150</v>
      </c>
      <c r="E93" s="17" t="s">
        <v>151</v>
      </c>
      <c r="F93" s="213" t="s">
        <v>189</v>
      </c>
    </row>
    <row r="94" spans="2:6" x14ac:dyDescent="0.35">
      <c r="B94" s="212" t="s">
        <v>173</v>
      </c>
      <c r="C94" s="69">
        <v>44869</v>
      </c>
      <c r="D94" s="971" t="s">
        <v>150</v>
      </c>
      <c r="E94" s="17" t="s">
        <v>151</v>
      </c>
      <c r="F94" s="213" t="s">
        <v>190</v>
      </c>
    </row>
    <row r="95" spans="2:6" x14ac:dyDescent="0.35">
      <c r="B95" s="212" t="s">
        <v>173</v>
      </c>
      <c r="C95" s="69">
        <v>44875</v>
      </c>
      <c r="D95" s="971" t="s">
        <v>150</v>
      </c>
      <c r="E95" s="17" t="s">
        <v>151</v>
      </c>
      <c r="F95" s="213" t="s">
        <v>191</v>
      </c>
    </row>
    <row r="96" spans="2:6" x14ac:dyDescent="0.35">
      <c r="B96" s="212" t="s">
        <v>173</v>
      </c>
      <c r="C96" s="69">
        <v>44876</v>
      </c>
      <c r="D96" s="971" t="s">
        <v>150</v>
      </c>
      <c r="E96" s="17" t="s">
        <v>151</v>
      </c>
      <c r="F96" s="213" t="s">
        <v>192</v>
      </c>
    </row>
    <row r="97" spans="2:6" x14ac:dyDescent="0.35">
      <c r="B97" s="212" t="s">
        <v>173</v>
      </c>
      <c r="C97" s="69">
        <v>44880</v>
      </c>
      <c r="D97" s="971" t="s">
        <v>150</v>
      </c>
      <c r="E97" s="17" t="s">
        <v>151</v>
      </c>
      <c r="F97" s="213" t="s">
        <v>193</v>
      </c>
    </row>
    <row r="98" spans="2:6" x14ac:dyDescent="0.35">
      <c r="B98" s="212" t="s">
        <v>173</v>
      </c>
      <c r="C98" s="69">
        <v>44880</v>
      </c>
      <c r="D98" s="971" t="s">
        <v>150</v>
      </c>
      <c r="E98" s="17" t="s">
        <v>151</v>
      </c>
      <c r="F98" s="213" t="s">
        <v>194</v>
      </c>
    </row>
    <row r="99" spans="2:6" x14ac:dyDescent="0.35">
      <c r="B99" s="212" t="s">
        <v>173</v>
      </c>
      <c r="C99" s="69">
        <v>44881</v>
      </c>
      <c r="D99" s="971" t="s">
        <v>150</v>
      </c>
      <c r="E99" s="17" t="s">
        <v>151</v>
      </c>
      <c r="F99" s="213" t="s">
        <v>195</v>
      </c>
    </row>
    <row r="100" spans="2:6" x14ac:dyDescent="0.35">
      <c r="B100" s="212" t="s">
        <v>173</v>
      </c>
      <c r="C100" s="69">
        <v>44883</v>
      </c>
      <c r="D100" s="971" t="s">
        <v>150</v>
      </c>
      <c r="E100" s="17" t="s">
        <v>151</v>
      </c>
      <c r="F100" s="213" t="s">
        <v>196</v>
      </c>
    </row>
    <row r="101" spans="2:6" x14ac:dyDescent="0.35">
      <c r="B101" s="212" t="s">
        <v>165</v>
      </c>
      <c r="C101" s="69">
        <v>44894</v>
      </c>
      <c r="D101" s="971" t="s">
        <v>150</v>
      </c>
      <c r="E101" s="17" t="s">
        <v>151</v>
      </c>
      <c r="F101" s="213" t="s">
        <v>197</v>
      </c>
    </row>
    <row r="102" spans="2:6" x14ac:dyDescent="0.35">
      <c r="B102" s="212" t="s">
        <v>165</v>
      </c>
      <c r="C102" s="69">
        <v>44918</v>
      </c>
      <c r="D102" s="971" t="s">
        <v>150</v>
      </c>
      <c r="E102" s="17" t="s">
        <v>151</v>
      </c>
      <c r="F102" s="213" t="s">
        <v>198</v>
      </c>
    </row>
    <row r="103" spans="2:6" x14ac:dyDescent="0.35">
      <c r="B103" s="212" t="s">
        <v>165</v>
      </c>
      <c r="C103" s="69">
        <v>44918</v>
      </c>
      <c r="D103" s="971" t="s">
        <v>150</v>
      </c>
      <c r="E103" s="17" t="s">
        <v>151</v>
      </c>
      <c r="F103" s="213" t="s">
        <v>199</v>
      </c>
    </row>
    <row r="104" spans="2:6" x14ac:dyDescent="0.35">
      <c r="B104" s="212" t="s">
        <v>165</v>
      </c>
      <c r="C104" s="69">
        <v>44929</v>
      </c>
      <c r="D104" s="971" t="s">
        <v>150</v>
      </c>
      <c r="E104" s="17" t="s">
        <v>151</v>
      </c>
      <c r="F104" s="213" t="s">
        <v>200</v>
      </c>
    </row>
    <row r="105" spans="2:6" x14ac:dyDescent="0.35">
      <c r="B105" s="212" t="s">
        <v>165</v>
      </c>
      <c r="C105" s="69">
        <v>44932</v>
      </c>
      <c r="D105" s="971" t="s">
        <v>150</v>
      </c>
      <c r="E105" s="17" t="s">
        <v>151</v>
      </c>
      <c r="F105" s="213" t="s">
        <v>201</v>
      </c>
    </row>
    <row r="106" spans="2:6" x14ac:dyDescent="0.35">
      <c r="B106" s="212" t="s">
        <v>165</v>
      </c>
      <c r="C106" s="69">
        <v>44967</v>
      </c>
      <c r="D106" s="971" t="s">
        <v>202</v>
      </c>
      <c r="E106" s="17" t="s">
        <v>203</v>
      </c>
      <c r="F106" s="213" t="s">
        <v>204</v>
      </c>
    </row>
    <row r="107" spans="2:6" x14ac:dyDescent="0.35">
      <c r="B107" s="212" t="s">
        <v>117</v>
      </c>
      <c r="C107" s="69">
        <v>44979</v>
      </c>
      <c r="D107" s="971" t="s">
        <v>205</v>
      </c>
      <c r="E107" s="17" t="s">
        <v>206</v>
      </c>
      <c r="F107" s="213" t="s">
        <v>207</v>
      </c>
    </row>
    <row r="108" spans="2:6" x14ac:dyDescent="0.35">
      <c r="B108" s="212" t="s">
        <v>117</v>
      </c>
      <c r="C108" s="69">
        <v>44985</v>
      </c>
      <c r="D108" s="971" t="s">
        <v>205</v>
      </c>
      <c r="E108" s="17" t="s">
        <v>206</v>
      </c>
      <c r="F108" s="213" t="s">
        <v>208</v>
      </c>
    </row>
    <row r="109" spans="2:6" x14ac:dyDescent="0.35">
      <c r="B109" s="212" t="s">
        <v>165</v>
      </c>
      <c r="C109" s="69">
        <v>44985</v>
      </c>
      <c r="D109" s="971" t="s">
        <v>205</v>
      </c>
      <c r="E109" s="17" t="s">
        <v>206</v>
      </c>
      <c r="F109" s="213" t="s">
        <v>209</v>
      </c>
    </row>
    <row r="110" spans="2:6" x14ac:dyDescent="0.35">
      <c r="B110" s="212" t="s">
        <v>117</v>
      </c>
      <c r="C110" s="69">
        <v>44985</v>
      </c>
      <c r="D110" s="971" t="s">
        <v>205</v>
      </c>
      <c r="E110" s="17" t="s">
        <v>206</v>
      </c>
      <c r="F110" s="213" t="s">
        <v>210</v>
      </c>
    </row>
    <row r="111" spans="2:6" x14ac:dyDescent="0.35">
      <c r="B111" s="212" t="s">
        <v>117</v>
      </c>
      <c r="C111" s="69">
        <v>44994</v>
      </c>
      <c r="D111" s="971" t="s">
        <v>205</v>
      </c>
      <c r="E111" s="17" t="s">
        <v>211</v>
      </c>
      <c r="F111" s="213" t="s">
        <v>212</v>
      </c>
    </row>
    <row r="112" spans="2:6" x14ac:dyDescent="0.35">
      <c r="B112" s="212" t="s">
        <v>165</v>
      </c>
      <c r="C112" s="69">
        <v>45008</v>
      </c>
      <c r="D112" s="971" t="s">
        <v>213</v>
      </c>
      <c r="E112" s="17" t="s">
        <v>211</v>
      </c>
      <c r="F112" s="213" t="s">
        <v>214</v>
      </c>
    </row>
    <row r="113" spans="2:6" x14ac:dyDescent="0.35">
      <c r="B113" s="579" t="s">
        <v>173</v>
      </c>
      <c r="C113" s="943">
        <v>45111</v>
      </c>
      <c r="D113" s="1190" t="s">
        <v>215</v>
      </c>
      <c r="E113" s="1191" t="s">
        <v>216</v>
      </c>
      <c r="F113" s="1192" t="s">
        <v>217</v>
      </c>
    </row>
    <row r="114" spans="2:6" x14ac:dyDescent="0.35">
      <c r="B114" s="579" t="s">
        <v>173</v>
      </c>
      <c r="C114" s="943">
        <v>45111</v>
      </c>
      <c r="D114" s="1190" t="s">
        <v>215</v>
      </c>
      <c r="E114" s="1191" t="s">
        <v>216</v>
      </c>
      <c r="F114" s="1192" t="s">
        <v>218</v>
      </c>
    </row>
    <row r="115" spans="2:6" x14ac:dyDescent="0.35">
      <c r="B115" s="579" t="s">
        <v>173</v>
      </c>
      <c r="C115" s="943">
        <v>45111</v>
      </c>
      <c r="D115" s="1190" t="s">
        <v>215</v>
      </c>
      <c r="E115" s="1191" t="s">
        <v>216</v>
      </c>
      <c r="F115" s="1192" t="s">
        <v>219</v>
      </c>
    </row>
    <row r="116" spans="2:6" x14ac:dyDescent="0.35">
      <c r="B116" s="579" t="s">
        <v>173</v>
      </c>
      <c r="C116" s="943">
        <v>45156</v>
      </c>
      <c r="D116" s="1190" t="s">
        <v>220</v>
      </c>
      <c r="E116" s="1191" t="s">
        <v>221</v>
      </c>
      <c r="F116" s="1192" t="s">
        <v>222</v>
      </c>
    </row>
    <row r="117" spans="2:6" x14ac:dyDescent="0.35">
      <c r="B117" s="579" t="s">
        <v>173</v>
      </c>
      <c r="C117" s="943">
        <v>45162</v>
      </c>
      <c r="D117" s="1190" t="s">
        <v>220</v>
      </c>
      <c r="E117" s="1191" t="s">
        <v>221</v>
      </c>
      <c r="F117" s="1192" t="s">
        <v>223</v>
      </c>
    </row>
    <row r="118" spans="2:6" x14ac:dyDescent="0.35">
      <c r="B118" s="579" t="s">
        <v>173</v>
      </c>
      <c r="C118" s="943">
        <v>45216</v>
      </c>
      <c r="D118" s="1190" t="s">
        <v>220</v>
      </c>
      <c r="E118" s="1191" t="s">
        <v>221</v>
      </c>
      <c r="F118" s="1192" t="s">
        <v>224</v>
      </c>
    </row>
    <row r="119" spans="2:6" x14ac:dyDescent="0.35">
      <c r="B119" s="579" t="s">
        <v>173</v>
      </c>
      <c r="C119" s="943">
        <v>45216</v>
      </c>
      <c r="D119" s="1190" t="s">
        <v>220</v>
      </c>
      <c r="E119" s="1191" t="s">
        <v>221</v>
      </c>
      <c r="F119" s="1192" t="s">
        <v>225</v>
      </c>
    </row>
    <row r="120" spans="2:6" x14ac:dyDescent="0.35">
      <c r="B120" s="579" t="s">
        <v>173</v>
      </c>
      <c r="C120" s="943">
        <v>45216</v>
      </c>
      <c r="D120" s="1190" t="s">
        <v>220</v>
      </c>
      <c r="E120" s="1191" t="s">
        <v>221</v>
      </c>
      <c r="F120" s="1192" t="s">
        <v>226</v>
      </c>
    </row>
    <row r="121" spans="2:6" x14ac:dyDescent="0.35">
      <c r="B121" s="579" t="s">
        <v>165</v>
      </c>
      <c r="C121" s="943">
        <v>45209</v>
      </c>
      <c r="D121" s="1190" t="s">
        <v>220</v>
      </c>
      <c r="E121" s="1191" t="s">
        <v>221</v>
      </c>
      <c r="F121" s="1192" t="s">
        <v>227</v>
      </c>
    </row>
    <row r="122" spans="2:6" x14ac:dyDescent="0.35">
      <c r="B122" s="579" t="s">
        <v>165</v>
      </c>
      <c r="C122" s="943">
        <v>45210</v>
      </c>
      <c r="D122" s="1190" t="s">
        <v>220</v>
      </c>
      <c r="E122" s="1191" t="s">
        <v>221</v>
      </c>
      <c r="F122" s="1192" t="s">
        <v>228</v>
      </c>
    </row>
    <row r="123" spans="2:6" x14ac:dyDescent="0.35">
      <c r="B123" s="579" t="s">
        <v>165</v>
      </c>
      <c r="C123" s="943">
        <v>45216</v>
      </c>
      <c r="D123" s="1190" t="s">
        <v>220</v>
      </c>
      <c r="E123" s="1191" t="s">
        <v>221</v>
      </c>
      <c r="F123" s="1192" t="s">
        <v>229</v>
      </c>
    </row>
    <row r="124" spans="2:6" x14ac:dyDescent="0.35">
      <c r="B124" s="579" t="s">
        <v>173</v>
      </c>
      <c r="C124" s="943">
        <v>45216</v>
      </c>
      <c r="D124" s="1190" t="s">
        <v>220</v>
      </c>
      <c r="E124" s="1191" t="s">
        <v>221</v>
      </c>
      <c r="F124" s="1192" t="s">
        <v>230</v>
      </c>
    </row>
    <row r="125" spans="2:6" x14ac:dyDescent="0.35">
      <c r="B125" s="579" t="s">
        <v>165</v>
      </c>
      <c r="C125" s="943">
        <v>45216</v>
      </c>
      <c r="D125" s="1190" t="s">
        <v>220</v>
      </c>
      <c r="E125" s="1191" t="s">
        <v>221</v>
      </c>
      <c r="F125" s="1192" t="s">
        <v>231</v>
      </c>
    </row>
    <row r="126" spans="2:6" x14ac:dyDescent="0.35">
      <c r="B126" s="579" t="s">
        <v>173</v>
      </c>
      <c r="C126" s="943">
        <v>45216</v>
      </c>
      <c r="D126" s="1190" t="s">
        <v>220</v>
      </c>
      <c r="E126" s="1191" t="s">
        <v>221</v>
      </c>
      <c r="F126" s="1192" t="s">
        <v>232</v>
      </c>
    </row>
    <row r="127" spans="2:6" x14ac:dyDescent="0.35">
      <c r="B127" s="212" t="s">
        <v>173</v>
      </c>
      <c r="C127" s="69">
        <v>45251</v>
      </c>
      <c r="D127" s="971" t="s">
        <v>233</v>
      </c>
      <c r="E127" s="17" t="s">
        <v>234</v>
      </c>
      <c r="F127" s="213" t="s">
        <v>235</v>
      </c>
    </row>
    <row r="128" spans="2:6" x14ac:dyDescent="0.35">
      <c r="B128" s="212" t="s">
        <v>173</v>
      </c>
      <c r="C128" s="69">
        <v>45252</v>
      </c>
      <c r="D128" s="971" t="s">
        <v>233</v>
      </c>
      <c r="E128" s="17" t="s">
        <v>234</v>
      </c>
      <c r="F128" s="213" t="s">
        <v>236</v>
      </c>
    </row>
    <row r="129" spans="2:6" x14ac:dyDescent="0.35">
      <c r="B129" s="212" t="s">
        <v>173</v>
      </c>
      <c r="C129" s="69">
        <v>45252</v>
      </c>
      <c r="D129" s="971" t="s">
        <v>233</v>
      </c>
      <c r="E129" s="17" t="s">
        <v>234</v>
      </c>
      <c r="F129" s="213" t="s">
        <v>237</v>
      </c>
    </row>
    <row r="130" spans="2:6" x14ac:dyDescent="0.35">
      <c r="B130" s="212" t="s">
        <v>117</v>
      </c>
      <c r="C130" s="69">
        <v>45254</v>
      </c>
      <c r="D130" s="971" t="s">
        <v>233</v>
      </c>
      <c r="E130" s="17" t="s">
        <v>234</v>
      </c>
      <c r="F130" s="213" t="s">
        <v>238</v>
      </c>
    </row>
    <row r="131" spans="2:6" x14ac:dyDescent="0.35">
      <c r="B131" s="212" t="s">
        <v>173</v>
      </c>
      <c r="C131" s="69">
        <v>45265</v>
      </c>
      <c r="D131" s="971" t="s">
        <v>233</v>
      </c>
      <c r="E131" s="17" t="s">
        <v>234</v>
      </c>
      <c r="F131" s="213" t="s">
        <v>239</v>
      </c>
    </row>
    <row r="132" spans="2:6" x14ac:dyDescent="0.35">
      <c r="B132" s="212" t="s">
        <v>173</v>
      </c>
      <c r="C132" s="69">
        <v>45282</v>
      </c>
      <c r="D132" s="971" t="s">
        <v>233</v>
      </c>
      <c r="E132" s="17" t="s">
        <v>234</v>
      </c>
      <c r="F132" s="213" t="s">
        <v>240</v>
      </c>
    </row>
    <row r="133" spans="2:6" x14ac:dyDescent="0.35">
      <c r="B133" s="212" t="s">
        <v>173</v>
      </c>
      <c r="C133" s="69">
        <v>45288</v>
      </c>
      <c r="D133" s="971" t="s">
        <v>233</v>
      </c>
      <c r="E133" s="17" t="s">
        <v>234</v>
      </c>
      <c r="F133" s="213" t="s">
        <v>241</v>
      </c>
    </row>
    <row r="134" spans="2:6" x14ac:dyDescent="0.35">
      <c r="B134" s="212" t="s">
        <v>173</v>
      </c>
      <c r="C134" s="69">
        <v>45357</v>
      </c>
      <c r="D134" s="940" t="s">
        <v>233</v>
      </c>
      <c r="E134" s="17" t="s">
        <v>234</v>
      </c>
      <c r="F134" s="213" t="s">
        <v>242</v>
      </c>
    </row>
    <row r="135" spans="2:6" x14ac:dyDescent="0.35">
      <c r="B135" s="212" t="s">
        <v>173</v>
      </c>
      <c r="C135" s="69">
        <v>45365</v>
      </c>
      <c r="D135" s="940" t="s">
        <v>233</v>
      </c>
      <c r="E135" s="17" t="s">
        <v>234</v>
      </c>
      <c r="F135" s="213" t="s">
        <v>243</v>
      </c>
    </row>
    <row r="136" spans="2:6" x14ac:dyDescent="0.35">
      <c r="B136" s="212" t="s">
        <v>173</v>
      </c>
      <c r="C136" s="69">
        <v>45392</v>
      </c>
      <c r="D136" s="971" t="s">
        <v>244</v>
      </c>
      <c r="E136" s="17" t="s">
        <v>245</v>
      </c>
      <c r="F136" s="213" t="s">
        <v>246</v>
      </c>
    </row>
    <row r="137" spans="2:6" x14ac:dyDescent="0.35">
      <c r="B137" s="212" t="s">
        <v>173</v>
      </c>
      <c r="C137" s="69">
        <v>45530</v>
      </c>
      <c r="D137" s="971" t="s">
        <v>247</v>
      </c>
      <c r="E137" s="17" t="s">
        <v>248</v>
      </c>
      <c r="F137" s="213" t="s">
        <v>249</v>
      </c>
    </row>
    <row r="138" spans="2:6" x14ac:dyDescent="0.35">
      <c r="B138" s="212" t="s">
        <v>173</v>
      </c>
      <c r="C138" s="69">
        <v>45530</v>
      </c>
      <c r="D138" s="971" t="s">
        <v>247</v>
      </c>
      <c r="E138" s="17" t="s">
        <v>248</v>
      </c>
      <c r="F138" s="213" t="s">
        <v>250</v>
      </c>
    </row>
    <row r="139" spans="2:6" x14ac:dyDescent="0.35">
      <c r="B139" s="212" t="s">
        <v>173</v>
      </c>
      <c r="C139" s="69">
        <v>45530</v>
      </c>
      <c r="D139" s="971" t="s">
        <v>247</v>
      </c>
      <c r="E139" s="17" t="s">
        <v>248</v>
      </c>
      <c r="F139" s="213" t="s">
        <v>251</v>
      </c>
    </row>
    <row r="140" spans="2:6" x14ac:dyDescent="0.35">
      <c r="B140" s="212" t="s">
        <v>173</v>
      </c>
      <c r="C140" s="69">
        <v>45548</v>
      </c>
      <c r="D140" s="971" t="s">
        <v>247</v>
      </c>
      <c r="E140" s="17" t="s">
        <v>248</v>
      </c>
      <c r="F140" s="213" t="s">
        <v>252</v>
      </c>
    </row>
    <row r="141" spans="2:6" x14ac:dyDescent="0.35">
      <c r="B141" s="212" t="s">
        <v>173</v>
      </c>
      <c r="C141" s="69">
        <v>45548</v>
      </c>
      <c r="D141" s="971" t="s">
        <v>247</v>
      </c>
      <c r="E141" s="17" t="s">
        <v>248</v>
      </c>
      <c r="F141" s="213" t="s">
        <v>253</v>
      </c>
    </row>
    <row r="142" spans="2:6" x14ac:dyDescent="0.35">
      <c r="B142" s="212" t="s">
        <v>173</v>
      </c>
      <c r="C142" s="69">
        <v>45548</v>
      </c>
      <c r="D142" s="971" t="s">
        <v>254</v>
      </c>
      <c r="E142" s="17" t="s">
        <v>255</v>
      </c>
      <c r="F142" s="213" t="s">
        <v>256</v>
      </c>
    </row>
    <row r="143" spans="2:6" x14ac:dyDescent="0.35">
      <c r="B143" s="212" t="s">
        <v>173</v>
      </c>
      <c r="C143" s="69">
        <v>45548</v>
      </c>
      <c r="D143" s="971" t="s">
        <v>254</v>
      </c>
      <c r="E143" s="17" t="s">
        <v>255</v>
      </c>
      <c r="F143" s="213" t="s">
        <v>257</v>
      </c>
    </row>
    <row r="144" spans="2:6" x14ac:dyDescent="0.35">
      <c r="B144" s="212" t="s">
        <v>173</v>
      </c>
      <c r="C144" s="69">
        <v>45548</v>
      </c>
      <c r="D144" s="971" t="s">
        <v>254</v>
      </c>
      <c r="E144" s="17" t="s">
        <v>255</v>
      </c>
      <c r="F144" s="213" t="s">
        <v>258</v>
      </c>
    </row>
    <row r="145" spans="2:6" x14ac:dyDescent="0.35">
      <c r="B145" s="212" t="s">
        <v>173</v>
      </c>
      <c r="C145" s="69">
        <v>45841</v>
      </c>
      <c r="D145" s="971" t="s">
        <v>259</v>
      </c>
      <c r="E145" s="17" t="s">
        <v>260</v>
      </c>
      <c r="F145" s="213" t="s">
        <v>261</v>
      </c>
    </row>
    <row r="146" spans="2:6" x14ac:dyDescent="0.35">
      <c r="B146" s="212" t="s">
        <v>173</v>
      </c>
      <c r="C146" s="69">
        <v>45841</v>
      </c>
      <c r="D146" s="971" t="s">
        <v>259</v>
      </c>
      <c r="E146" s="17" t="s">
        <v>260</v>
      </c>
      <c r="F146" s="213" t="s">
        <v>262</v>
      </c>
    </row>
    <row r="147" spans="2:6" x14ac:dyDescent="0.35">
      <c r="B147" s="212" t="s">
        <v>173</v>
      </c>
      <c r="C147" s="69">
        <v>45841</v>
      </c>
      <c r="D147" s="971" t="s">
        <v>259</v>
      </c>
      <c r="E147" s="17" t="s">
        <v>260</v>
      </c>
      <c r="F147" s="213" t="s">
        <v>263</v>
      </c>
    </row>
    <row r="148" spans="2:6" x14ac:dyDescent="0.35">
      <c r="B148" s="212" t="s">
        <v>173</v>
      </c>
      <c r="C148" s="69">
        <v>45841</v>
      </c>
      <c r="D148" s="971" t="s">
        <v>259</v>
      </c>
      <c r="E148" s="17" t="s">
        <v>260</v>
      </c>
      <c r="F148" s="213" t="s">
        <v>264</v>
      </c>
    </row>
    <row r="149" spans="2:6" x14ac:dyDescent="0.35">
      <c r="B149" s="212" t="s">
        <v>173</v>
      </c>
      <c r="C149" s="69">
        <v>45841</v>
      </c>
      <c r="D149" s="971" t="s">
        <v>259</v>
      </c>
      <c r="E149" s="17" t="s">
        <v>260</v>
      </c>
      <c r="F149" s="213" t="s">
        <v>265</v>
      </c>
    </row>
    <row r="150" spans="2:6" x14ac:dyDescent="0.35">
      <c r="B150" s="212" t="s">
        <v>173</v>
      </c>
      <c r="C150" s="69">
        <v>45841</v>
      </c>
      <c r="D150" s="971" t="s">
        <v>259</v>
      </c>
      <c r="E150" s="17" t="s">
        <v>260</v>
      </c>
      <c r="F150" s="213" t="s">
        <v>266</v>
      </c>
    </row>
    <row r="151" spans="2:6" x14ac:dyDescent="0.35">
      <c r="B151" s="212" t="s">
        <v>173</v>
      </c>
      <c r="C151" s="69">
        <v>45904</v>
      </c>
      <c r="D151" s="971" t="s">
        <v>259</v>
      </c>
      <c r="E151" s="17" t="s">
        <v>260</v>
      </c>
      <c r="F151" s="213" t="s">
        <v>267</v>
      </c>
    </row>
    <row r="152" spans="2:6" x14ac:dyDescent="0.35">
      <c r="B152" s="212" t="s">
        <v>173</v>
      </c>
      <c r="C152" s="69">
        <v>46049</v>
      </c>
      <c r="D152" s="971" t="s">
        <v>268</v>
      </c>
      <c r="E152" s="17" t="s">
        <v>269</v>
      </c>
      <c r="F152" s="213" t="s">
        <v>270</v>
      </c>
    </row>
    <row r="153" spans="2:6" x14ac:dyDescent="0.35">
      <c r="B153" s="212" t="s">
        <v>173</v>
      </c>
      <c r="C153" s="69">
        <v>46079</v>
      </c>
      <c r="D153" s="971" t="s">
        <v>268</v>
      </c>
      <c r="E153" s="17" t="s">
        <v>269</v>
      </c>
      <c r="F153" s="213" t="s">
        <v>2456</v>
      </c>
    </row>
    <row r="154" spans="2:6" x14ac:dyDescent="0.35">
      <c r="B154" s="212" t="s">
        <v>173</v>
      </c>
      <c r="C154" s="69">
        <v>46079</v>
      </c>
      <c r="D154" s="971" t="s">
        <v>268</v>
      </c>
      <c r="E154" s="17" t="s">
        <v>269</v>
      </c>
      <c r="F154" s="213" t="s">
        <v>2457</v>
      </c>
    </row>
    <row r="155" spans="2:6" x14ac:dyDescent="0.35">
      <c r="B155" s="212" t="s">
        <v>808</v>
      </c>
      <c r="C155" s="69">
        <v>46045</v>
      </c>
      <c r="D155" s="971" t="s">
        <v>268</v>
      </c>
      <c r="E155" s="17" t="s">
        <v>269</v>
      </c>
      <c r="F155" s="213" t="s">
        <v>2460</v>
      </c>
    </row>
    <row r="156" spans="2:6" x14ac:dyDescent="0.35">
      <c r="B156" s="212" t="s">
        <v>808</v>
      </c>
      <c r="C156" s="69">
        <v>46079</v>
      </c>
      <c r="D156" s="971" t="s">
        <v>268</v>
      </c>
      <c r="E156" s="17" t="s">
        <v>269</v>
      </c>
      <c r="F156" s="213" t="s">
        <v>2461</v>
      </c>
    </row>
    <row r="157" spans="2:6" x14ac:dyDescent="0.35">
      <c r="B157" s="218" t="s">
        <v>808</v>
      </c>
      <c r="C157" s="101">
        <v>46157</v>
      </c>
      <c r="D157" s="970" t="s">
        <v>2503</v>
      </c>
      <c r="E157" s="65" t="s">
        <v>2493</v>
      </c>
      <c r="F157" s="221" t="s">
        <v>2492</v>
      </c>
    </row>
    <row r="158" spans="2:6" x14ac:dyDescent="0.35">
      <c r="B158" s="218" t="s">
        <v>808</v>
      </c>
      <c r="C158" s="69">
        <v>46162</v>
      </c>
      <c r="D158" s="970" t="s">
        <v>2503</v>
      </c>
      <c r="E158" s="65" t="s">
        <v>2493</v>
      </c>
      <c r="F158" s="221" t="s">
        <v>2523</v>
      </c>
    </row>
    <row r="159" spans="2:6" x14ac:dyDescent="0.35">
      <c r="B159" s="218" t="s">
        <v>808</v>
      </c>
      <c r="C159" s="101">
        <v>46237</v>
      </c>
      <c r="D159" s="970" t="s">
        <v>2503</v>
      </c>
      <c r="E159" s="65" t="s">
        <v>2493</v>
      </c>
      <c r="F159" s="221" t="s">
        <v>2495</v>
      </c>
    </row>
    <row r="160" spans="2:6" x14ac:dyDescent="0.35">
      <c r="B160" s="212" t="s">
        <v>173</v>
      </c>
      <c r="C160" s="69">
        <v>46237</v>
      </c>
      <c r="D160" s="970" t="s">
        <v>2503</v>
      </c>
      <c r="E160" s="65" t="s">
        <v>2493</v>
      </c>
      <c r="F160" s="213" t="s">
        <v>2499</v>
      </c>
    </row>
    <row r="161" spans="2:6" x14ac:dyDescent="0.35">
      <c r="B161" s="212" t="s">
        <v>808</v>
      </c>
      <c r="C161" s="69">
        <v>46252</v>
      </c>
      <c r="D161" s="970" t="s">
        <v>2503</v>
      </c>
      <c r="E161" s="65" t="s">
        <v>2493</v>
      </c>
      <c r="F161" s="213" t="s">
        <v>2533</v>
      </c>
    </row>
    <row r="162" spans="2:6" x14ac:dyDescent="0.35">
      <c r="B162" s="212" t="s">
        <v>808</v>
      </c>
      <c r="C162" s="69">
        <v>46269</v>
      </c>
      <c r="D162" s="970" t="s">
        <v>2503</v>
      </c>
      <c r="E162" s="65" t="s">
        <v>2493</v>
      </c>
      <c r="F162" s="213" t="s">
        <v>2585</v>
      </c>
    </row>
  </sheetData>
  <phoneticPr fontId="64"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Ark11">
    <tabColor theme="4" tint="0.79998168889431442"/>
  </sheetPr>
  <dimension ref="B1:E102"/>
  <sheetViews>
    <sheetView zoomScaleNormal="100" workbookViewId="0"/>
  </sheetViews>
  <sheetFormatPr baseColWidth="10" defaultColWidth="11.453125" defaultRowHeight="14.5" x14ac:dyDescent="0.35"/>
  <cols>
    <col min="2" max="2" width="43.453125" style="212" customWidth="1"/>
    <col min="3" max="3" width="87" style="17" bestFit="1" customWidth="1"/>
    <col min="4" max="4" width="90.453125" style="17" customWidth="1"/>
    <col min="5" max="5" width="66.453125" style="213" customWidth="1"/>
  </cols>
  <sheetData>
    <row r="1" spans="2:5" x14ac:dyDescent="0.35">
      <c r="B1"/>
      <c r="C1"/>
      <c r="D1"/>
      <c r="E1"/>
    </row>
    <row r="2" spans="2:5" x14ac:dyDescent="0.35">
      <c r="B2"/>
      <c r="C2"/>
      <c r="D2"/>
      <c r="E2"/>
    </row>
    <row r="3" spans="2:5" x14ac:dyDescent="0.35">
      <c r="B3"/>
      <c r="C3"/>
      <c r="D3"/>
      <c r="E3"/>
    </row>
    <row r="4" spans="2:5" ht="15" thickBot="1" x14ac:dyDescent="0.4">
      <c r="B4"/>
      <c r="C4"/>
      <c r="D4"/>
      <c r="E4"/>
    </row>
    <row r="5" spans="2:5" ht="21" x14ac:dyDescent="0.5">
      <c r="B5" s="214" t="s">
        <v>271</v>
      </c>
      <c r="C5" s="208"/>
      <c r="D5" s="208"/>
      <c r="E5" s="209"/>
    </row>
    <row r="6" spans="2:5" s="89" customFormat="1" ht="18.5" x14ac:dyDescent="0.45">
      <c r="B6" s="227" t="s">
        <v>272</v>
      </c>
      <c r="C6" s="222" t="s">
        <v>273</v>
      </c>
      <c r="D6" s="222" t="s">
        <v>274</v>
      </c>
      <c r="E6" s="228" t="s">
        <v>275</v>
      </c>
    </row>
    <row r="7" spans="2:5" s="89" customFormat="1" ht="18.5" x14ac:dyDescent="0.45">
      <c r="B7" s="229" t="s">
        <v>276</v>
      </c>
      <c r="C7" s="204" t="s">
        <v>277</v>
      </c>
      <c r="D7" s="223" t="s">
        <v>278</v>
      </c>
      <c r="E7" s="230"/>
    </row>
    <row r="8" spans="2:5" s="89" customFormat="1" ht="18.5" x14ac:dyDescent="0.45">
      <c r="B8" s="229" t="s">
        <v>276</v>
      </c>
      <c r="C8" s="224" t="s">
        <v>279</v>
      </c>
      <c r="D8" s="223" t="s">
        <v>280</v>
      </c>
      <c r="E8" s="213" t="str">
        <f>""</f>
        <v/>
      </c>
    </row>
    <row r="9" spans="2:5" s="89" customFormat="1" ht="18.5" x14ac:dyDescent="0.45">
      <c r="B9" s="229" t="s">
        <v>276</v>
      </c>
      <c r="C9" s="224" t="s">
        <v>281</v>
      </c>
      <c r="D9" s="223" t="s">
        <v>282</v>
      </c>
      <c r="E9" s="213" t="str">
        <f>""</f>
        <v/>
      </c>
    </row>
    <row r="10" spans="2:5" s="89" customFormat="1" ht="18.5" x14ac:dyDescent="0.45">
      <c r="B10" s="229" t="s">
        <v>276</v>
      </c>
      <c r="C10" s="204" t="s">
        <v>283</v>
      </c>
      <c r="D10" s="223" t="s">
        <v>284</v>
      </c>
      <c r="E10" s="213"/>
    </row>
    <row r="11" spans="2:5" s="89" customFormat="1" ht="18.5" x14ac:dyDescent="0.45">
      <c r="B11" s="229" t="s">
        <v>285</v>
      </c>
      <c r="C11" s="204" t="s">
        <v>286</v>
      </c>
      <c r="D11" s="223" t="s">
        <v>287</v>
      </c>
      <c r="E11" s="213"/>
    </row>
    <row r="12" spans="2:5" s="89" customFormat="1" ht="18.5" x14ac:dyDescent="0.45">
      <c r="B12" s="229" t="s">
        <v>288</v>
      </c>
      <c r="C12" s="204" t="s">
        <v>289</v>
      </c>
      <c r="D12" s="72" t="s">
        <v>290</v>
      </c>
      <c r="E12" s="213"/>
    </row>
    <row r="13" spans="2:5" s="89" customFormat="1" ht="18.5" x14ac:dyDescent="0.45">
      <c r="B13" s="229" t="s">
        <v>291</v>
      </c>
      <c r="C13" s="204" t="s">
        <v>292</v>
      </c>
      <c r="D13" s="72" t="s">
        <v>290</v>
      </c>
      <c r="E13" s="213"/>
    </row>
    <row r="14" spans="2:5" s="89" customFormat="1" ht="18.5" x14ac:dyDescent="0.45">
      <c r="B14" s="229" t="s">
        <v>293</v>
      </c>
      <c r="C14" s="34" t="s">
        <v>294</v>
      </c>
      <c r="D14" s="223" t="s">
        <v>295</v>
      </c>
      <c r="E14" s="213"/>
    </row>
    <row r="15" spans="2:5" x14ac:dyDescent="0.35">
      <c r="B15" s="231" t="s">
        <v>296</v>
      </c>
      <c r="C15" s="203" t="s">
        <v>297</v>
      </c>
      <c r="D15" s="223" t="s">
        <v>298</v>
      </c>
      <c r="E15" s="232"/>
    </row>
    <row r="16" spans="2:5" x14ac:dyDescent="0.35">
      <c r="B16" s="231" t="s">
        <v>299</v>
      </c>
      <c r="C16" s="203" t="s">
        <v>300</v>
      </c>
      <c r="D16" s="223" t="s">
        <v>301</v>
      </c>
      <c r="E16" s="232"/>
    </row>
    <row r="17" spans="2:5" x14ac:dyDescent="0.35">
      <c r="B17" s="229" t="s">
        <v>302</v>
      </c>
      <c r="C17" s="204" t="s">
        <v>303</v>
      </c>
      <c r="D17" s="223" t="s">
        <v>304</v>
      </c>
      <c r="E17" s="213" t="str">
        <f>""</f>
        <v/>
      </c>
    </row>
    <row r="18" spans="2:5" ht="29" x14ac:dyDescent="0.35">
      <c r="B18" s="229" t="s">
        <v>305</v>
      </c>
      <c r="C18" s="204" t="s">
        <v>306</v>
      </c>
      <c r="D18" s="225" t="s">
        <v>307</v>
      </c>
    </row>
    <row r="19" spans="2:5" x14ac:dyDescent="0.35">
      <c r="B19" s="229" t="s">
        <v>308</v>
      </c>
      <c r="C19" s="204" t="s">
        <v>309</v>
      </c>
      <c r="D19" s="225" t="s">
        <v>310</v>
      </c>
    </row>
    <row r="20" spans="2:5" ht="43.5" x14ac:dyDescent="0.35">
      <c r="B20" s="231" t="s">
        <v>311</v>
      </c>
      <c r="C20" s="203" t="s">
        <v>312</v>
      </c>
      <c r="D20" s="225" t="s">
        <v>313</v>
      </c>
    </row>
    <row r="21" spans="2:5" ht="58" x14ac:dyDescent="0.35">
      <c r="B21" s="231" t="s">
        <v>314</v>
      </c>
      <c r="C21" s="203" t="s">
        <v>315</v>
      </c>
      <c r="D21" s="225" t="s">
        <v>316</v>
      </c>
    </row>
    <row r="22" spans="2:5" x14ac:dyDescent="0.35">
      <c r="B22" s="231" t="s">
        <v>317</v>
      </c>
      <c r="C22" s="203" t="s">
        <v>318</v>
      </c>
      <c r="D22" s="225" t="s">
        <v>319</v>
      </c>
    </row>
    <row r="23" spans="2:5" ht="29" x14ac:dyDescent="0.35">
      <c r="B23" s="231" t="s">
        <v>317</v>
      </c>
      <c r="C23" s="203" t="s">
        <v>320</v>
      </c>
      <c r="D23" s="384" t="s">
        <v>321</v>
      </c>
    </row>
    <row r="24" spans="2:5" x14ac:dyDescent="0.35">
      <c r="B24" s="231" t="s">
        <v>2584</v>
      </c>
      <c r="C24" s="203" t="s">
        <v>2583</v>
      </c>
      <c r="D24" s="384" t="s">
        <v>323</v>
      </c>
    </row>
    <row r="25" spans="2:5" x14ac:dyDescent="0.35">
      <c r="B25" s="231" t="s">
        <v>322</v>
      </c>
      <c r="C25" s="203" t="s">
        <v>324</v>
      </c>
      <c r="D25" s="225" t="s">
        <v>325</v>
      </c>
    </row>
    <row r="26" spans="2:5" x14ac:dyDescent="0.35">
      <c r="B26" s="229" t="s">
        <v>326</v>
      </c>
      <c r="C26" s="204" t="s">
        <v>327</v>
      </c>
      <c r="D26" s="223"/>
      <c r="E26" s="213" t="s">
        <v>328</v>
      </c>
    </row>
    <row r="27" spans="2:5" x14ac:dyDescent="0.35">
      <c r="B27" s="229" t="s">
        <v>329</v>
      </c>
      <c r="C27" s="204" t="s">
        <v>330</v>
      </c>
      <c r="D27" s="225" t="s">
        <v>331</v>
      </c>
    </row>
    <row r="28" spans="2:5" x14ac:dyDescent="0.35">
      <c r="B28" s="229" t="s">
        <v>332</v>
      </c>
      <c r="C28" s="204" t="s">
        <v>333</v>
      </c>
      <c r="D28" s="433" t="s">
        <v>334</v>
      </c>
    </row>
    <row r="29" spans="2:5" x14ac:dyDescent="0.35">
      <c r="B29" s="229" t="s">
        <v>335</v>
      </c>
      <c r="C29" s="204" t="s">
        <v>336</v>
      </c>
      <c r="D29" s="72" t="s">
        <v>337</v>
      </c>
    </row>
    <row r="30" spans="2:5" x14ac:dyDescent="0.35">
      <c r="B30" s="229" t="s">
        <v>338</v>
      </c>
      <c r="C30" s="204" t="s">
        <v>339</v>
      </c>
      <c r="D30" s="225" t="s">
        <v>340</v>
      </c>
      <c r="E30" s="213" t="s">
        <v>341</v>
      </c>
    </row>
    <row r="31" spans="2:5" x14ac:dyDescent="0.35">
      <c r="B31" s="229" t="s">
        <v>342</v>
      </c>
      <c r="C31" s="204" t="s">
        <v>343</v>
      </c>
      <c r="D31" s="223" t="s">
        <v>344</v>
      </c>
    </row>
    <row r="32" spans="2:5" x14ac:dyDescent="0.35">
      <c r="B32" s="229" t="s">
        <v>345</v>
      </c>
      <c r="C32" s="204" t="s">
        <v>346</v>
      </c>
      <c r="D32" s="223" t="s">
        <v>347</v>
      </c>
      <c r="E32" s="213" t="str">
        <f>""</f>
        <v/>
      </c>
    </row>
    <row r="33" spans="2:5" x14ac:dyDescent="0.35">
      <c r="B33" s="229" t="s">
        <v>348</v>
      </c>
      <c r="C33" s="204" t="s">
        <v>349</v>
      </c>
      <c r="D33" s="223" t="s">
        <v>350</v>
      </c>
    </row>
    <row r="34" spans="2:5" x14ac:dyDescent="0.35">
      <c r="B34" s="229" t="s">
        <v>351</v>
      </c>
      <c r="C34" s="17" t="s">
        <v>352</v>
      </c>
      <c r="D34" s="223" t="s">
        <v>353</v>
      </c>
    </row>
    <row r="35" spans="2:5" x14ac:dyDescent="0.35">
      <c r="B35" s="229" t="s">
        <v>354</v>
      </c>
      <c r="C35" s="204" t="s">
        <v>355</v>
      </c>
      <c r="D35" s="223" t="s">
        <v>356</v>
      </c>
    </row>
    <row r="36" spans="2:5" x14ac:dyDescent="0.35">
      <c r="B36" s="229" t="s">
        <v>357</v>
      </c>
      <c r="C36" s="204" t="s">
        <v>358</v>
      </c>
      <c r="D36" s="223" t="s">
        <v>359</v>
      </c>
      <c r="E36" s="213" t="str">
        <f>""</f>
        <v/>
      </c>
    </row>
    <row r="37" spans="2:5" x14ac:dyDescent="0.35">
      <c r="B37" s="229" t="s">
        <v>357</v>
      </c>
      <c r="C37" s="204" t="s">
        <v>360</v>
      </c>
      <c r="D37" s="223" t="s">
        <v>361</v>
      </c>
    </row>
    <row r="38" spans="2:5" x14ac:dyDescent="0.35">
      <c r="B38" s="229" t="s">
        <v>362</v>
      </c>
      <c r="C38" s="204" t="s">
        <v>363</v>
      </c>
      <c r="D38" s="223" t="s">
        <v>364</v>
      </c>
    </row>
    <row r="39" spans="2:5" x14ac:dyDescent="0.35">
      <c r="B39" s="229" t="s">
        <v>365</v>
      </c>
      <c r="C39" s="204" t="s">
        <v>366</v>
      </c>
      <c r="D39" s="223" t="s">
        <v>367</v>
      </c>
    </row>
    <row r="40" spans="2:5" x14ac:dyDescent="0.35">
      <c r="B40" s="229" t="s">
        <v>365</v>
      </c>
      <c r="C40" s="17" t="s">
        <v>368</v>
      </c>
      <c r="D40" s="223" t="s">
        <v>369</v>
      </c>
      <c r="E40" s="213" t="str">
        <f>""</f>
        <v/>
      </c>
    </row>
    <row r="41" spans="2:5" x14ac:dyDescent="0.35">
      <c r="B41" s="229" t="s">
        <v>370</v>
      </c>
      <c r="C41" s="204" t="s">
        <v>371</v>
      </c>
      <c r="D41" s="223" t="s">
        <v>372</v>
      </c>
    </row>
    <row r="42" spans="2:5" x14ac:dyDescent="0.35">
      <c r="B42" s="229" t="s">
        <v>370</v>
      </c>
      <c r="C42" s="204" t="s">
        <v>373</v>
      </c>
      <c r="D42" s="223" t="s">
        <v>374</v>
      </c>
      <c r="E42" s="213" t="str">
        <f>""</f>
        <v/>
      </c>
    </row>
    <row r="43" spans="2:5" x14ac:dyDescent="0.35">
      <c r="B43" s="229" t="s">
        <v>375</v>
      </c>
      <c r="C43" s="204" t="s">
        <v>376</v>
      </c>
      <c r="D43" s="223" t="s">
        <v>377</v>
      </c>
    </row>
    <row r="44" spans="2:5" x14ac:dyDescent="0.35">
      <c r="B44" s="673" t="s">
        <v>378</v>
      </c>
      <c r="C44" s="204" t="s">
        <v>379</v>
      </c>
      <c r="D44" s="223" t="s">
        <v>380</v>
      </c>
      <c r="E44" s="213" t="str">
        <f>""</f>
        <v/>
      </c>
    </row>
    <row r="45" spans="2:5" x14ac:dyDescent="0.35">
      <c r="B45" s="673" t="s">
        <v>381</v>
      </c>
      <c r="C45" s="204" t="s">
        <v>382</v>
      </c>
      <c r="D45" s="223" t="s">
        <v>383</v>
      </c>
    </row>
    <row r="46" spans="2:5" x14ac:dyDescent="0.35">
      <c r="B46" s="229" t="s">
        <v>384</v>
      </c>
      <c r="C46" s="205" t="s">
        <v>385</v>
      </c>
      <c r="D46" s="223" t="s">
        <v>386</v>
      </c>
    </row>
    <row r="47" spans="2:5" x14ac:dyDescent="0.35">
      <c r="B47" s="229" t="s">
        <v>387</v>
      </c>
      <c r="C47" s="205" t="s">
        <v>388</v>
      </c>
      <c r="D47" s="223" t="s">
        <v>389</v>
      </c>
    </row>
    <row r="48" spans="2:5" x14ac:dyDescent="0.35">
      <c r="B48" s="229" t="s">
        <v>390</v>
      </c>
      <c r="C48" s="205" t="s">
        <v>391</v>
      </c>
      <c r="D48" s="223" t="s">
        <v>392</v>
      </c>
    </row>
    <row r="49" spans="2:5" x14ac:dyDescent="0.35">
      <c r="B49" s="229" t="s">
        <v>393</v>
      </c>
      <c r="C49" s="205" t="s">
        <v>394</v>
      </c>
      <c r="D49" s="72" t="s">
        <v>323</v>
      </c>
      <c r="E49" s="213" t="s">
        <v>395</v>
      </c>
    </row>
    <row r="50" spans="2:5" x14ac:dyDescent="0.35">
      <c r="B50" s="229" t="s">
        <v>396</v>
      </c>
      <c r="C50" s="205" t="s">
        <v>397</v>
      </c>
      <c r="D50" s="225" t="s">
        <v>398</v>
      </c>
    </row>
    <row r="51" spans="2:5" x14ac:dyDescent="0.35">
      <c r="B51" s="229" t="s">
        <v>399</v>
      </c>
      <c r="C51" s="205" t="s">
        <v>400</v>
      </c>
      <c r="D51" s="205" t="s">
        <v>401</v>
      </c>
    </row>
    <row r="52" spans="2:5" x14ac:dyDescent="0.35">
      <c r="B52" s="229" t="s">
        <v>402</v>
      </c>
      <c r="C52" s="204" t="s">
        <v>403</v>
      </c>
      <c r="D52" s="223" t="s">
        <v>404</v>
      </c>
      <c r="E52" s="213" t="str">
        <f>""</f>
        <v/>
      </c>
    </row>
    <row r="53" spans="2:5" x14ac:dyDescent="0.35">
      <c r="B53" s="229" t="s">
        <v>405</v>
      </c>
      <c r="C53" s="204" t="s">
        <v>406</v>
      </c>
      <c r="D53" s="223" t="s">
        <v>407</v>
      </c>
      <c r="E53" s="233"/>
    </row>
    <row r="54" spans="2:5" x14ac:dyDescent="0.35">
      <c r="B54" s="229" t="s">
        <v>408</v>
      </c>
      <c r="C54" s="205" t="s">
        <v>409</v>
      </c>
      <c r="D54" s="223" t="s">
        <v>410</v>
      </c>
    </row>
    <row r="55" spans="2:5" x14ac:dyDescent="0.35">
      <c r="B55" s="229" t="s">
        <v>411</v>
      </c>
      <c r="C55" s="204" t="s">
        <v>412</v>
      </c>
      <c r="D55" s="223" t="s">
        <v>413</v>
      </c>
      <c r="E55" s="219" t="s">
        <v>414</v>
      </c>
    </row>
    <row r="56" spans="2:5" x14ac:dyDescent="0.35">
      <c r="B56" s="229" t="s">
        <v>411</v>
      </c>
      <c r="C56" s="204" t="s">
        <v>415</v>
      </c>
      <c r="D56" s="223" t="s">
        <v>416</v>
      </c>
    </row>
    <row r="57" spans="2:5" x14ac:dyDescent="0.35">
      <c r="B57" s="231" t="s">
        <v>417</v>
      </c>
      <c r="C57" s="204" t="s">
        <v>418</v>
      </c>
      <c r="D57" s="72" t="s">
        <v>419</v>
      </c>
    </row>
    <row r="58" spans="2:5" x14ac:dyDescent="0.35">
      <c r="B58" s="231" t="s">
        <v>417</v>
      </c>
      <c r="C58" s="204" t="s">
        <v>420</v>
      </c>
      <c r="D58" s="72" t="s">
        <v>421</v>
      </c>
      <c r="E58" s="213" t="s">
        <v>422</v>
      </c>
    </row>
    <row r="59" spans="2:5" x14ac:dyDescent="0.35">
      <c r="B59" s="231" t="s">
        <v>417</v>
      </c>
      <c r="C59" s="204" t="s">
        <v>423</v>
      </c>
      <c r="D59" s="72" t="s">
        <v>424</v>
      </c>
      <c r="E59" s="213" t="s">
        <v>425</v>
      </c>
    </row>
    <row r="60" spans="2:5" x14ac:dyDescent="0.35">
      <c r="B60" s="231" t="s">
        <v>417</v>
      </c>
      <c r="C60" s="204" t="s">
        <v>426</v>
      </c>
      <c r="D60" s="72" t="s">
        <v>427</v>
      </c>
      <c r="E60" s="250" t="s">
        <v>428</v>
      </c>
    </row>
    <row r="61" spans="2:5" x14ac:dyDescent="0.35">
      <c r="B61" s="231" t="s">
        <v>417</v>
      </c>
      <c r="C61" s="204" t="s">
        <v>429</v>
      </c>
      <c r="D61" s="72" t="s">
        <v>430</v>
      </c>
      <c r="E61" s="250" t="s">
        <v>431</v>
      </c>
    </row>
    <row r="62" spans="2:5" x14ac:dyDescent="0.35">
      <c r="B62" s="231" t="s">
        <v>432</v>
      </c>
      <c r="C62" s="204" t="s">
        <v>433</v>
      </c>
      <c r="D62" s="72" t="s">
        <v>434</v>
      </c>
      <c r="E62" s="250" t="s">
        <v>431</v>
      </c>
    </row>
    <row r="63" spans="2:5" x14ac:dyDescent="0.35">
      <c r="B63" s="229" t="s">
        <v>435</v>
      </c>
      <c r="C63" s="204" t="s">
        <v>436</v>
      </c>
      <c r="D63" s="223" t="s">
        <v>437</v>
      </c>
    </row>
    <row r="64" spans="2:5" x14ac:dyDescent="0.35">
      <c r="B64" s="229" t="s">
        <v>438</v>
      </c>
      <c r="C64" s="204" t="s">
        <v>439</v>
      </c>
      <c r="D64" s="223" t="s">
        <v>440</v>
      </c>
    </row>
    <row r="65" spans="2:5" x14ac:dyDescent="0.35">
      <c r="B65" s="229" t="s">
        <v>441</v>
      </c>
      <c r="C65" s="204" t="s">
        <v>442</v>
      </c>
      <c r="D65" s="225" t="s">
        <v>443</v>
      </c>
    </row>
    <row r="66" spans="2:5" ht="29" x14ac:dyDescent="0.35">
      <c r="B66" s="229" t="s">
        <v>444</v>
      </c>
      <c r="C66" s="204" t="s">
        <v>445</v>
      </c>
      <c r="D66" s="223" t="s">
        <v>446</v>
      </c>
    </row>
    <row r="67" spans="2:5" x14ac:dyDescent="0.35">
      <c r="B67" s="229" t="s">
        <v>447</v>
      </c>
      <c r="C67" s="204" t="s">
        <v>448</v>
      </c>
      <c r="D67" s="223" t="s">
        <v>449</v>
      </c>
    </row>
    <row r="68" spans="2:5" ht="30" x14ac:dyDescent="0.45">
      <c r="B68" s="231" t="s">
        <v>450</v>
      </c>
      <c r="C68" s="203" t="s">
        <v>451</v>
      </c>
      <c r="D68" s="223" t="s">
        <v>452</v>
      </c>
      <c r="E68" s="234"/>
    </row>
    <row r="69" spans="2:5" x14ac:dyDescent="0.35">
      <c r="B69" s="229" t="s">
        <v>453</v>
      </c>
      <c r="C69" s="204" t="s">
        <v>454</v>
      </c>
      <c r="D69" s="223" t="s">
        <v>455</v>
      </c>
    </row>
    <row r="70" spans="2:5" ht="29" x14ac:dyDescent="0.35">
      <c r="B70" s="229" t="s">
        <v>456</v>
      </c>
      <c r="C70" s="204" t="s">
        <v>457</v>
      </c>
      <c r="D70" s="223" t="s">
        <v>458</v>
      </c>
    </row>
    <row r="71" spans="2:5" ht="29" x14ac:dyDescent="0.35">
      <c r="B71" s="229" t="s">
        <v>459</v>
      </c>
      <c r="C71" s="204" t="s">
        <v>460</v>
      </c>
      <c r="D71" s="223" t="s">
        <v>461</v>
      </c>
    </row>
    <row r="72" spans="2:5" x14ac:dyDescent="0.35">
      <c r="B72" s="231" t="s">
        <v>462</v>
      </c>
      <c r="C72" s="203" t="s">
        <v>463</v>
      </c>
      <c r="D72" s="223" t="s">
        <v>464</v>
      </c>
    </row>
    <row r="73" spans="2:5" x14ac:dyDescent="0.35">
      <c r="B73" s="229" t="s">
        <v>465</v>
      </c>
      <c r="C73" s="204" t="s">
        <v>466</v>
      </c>
      <c r="D73" s="223" t="s">
        <v>467</v>
      </c>
    </row>
    <row r="74" spans="2:5" x14ac:dyDescent="0.35">
      <c r="B74" s="231" t="s">
        <v>468</v>
      </c>
      <c r="C74" s="203" t="s">
        <v>469</v>
      </c>
      <c r="D74" s="226" t="s">
        <v>470</v>
      </c>
      <c r="E74" s="213" t="str">
        <f>""</f>
        <v/>
      </c>
    </row>
    <row r="75" spans="2:5" ht="29" x14ac:dyDescent="0.35">
      <c r="B75" s="229" t="s">
        <v>471</v>
      </c>
      <c r="C75" s="204" t="s">
        <v>472</v>
      </c>
      <c r="D75" s="223" t="s">
        <v>473</v>
      </c>
    </row>
    <row r="76" spans="2:5" x14ac:dyDescent="0.35">
      <c r="B76" s="229" t="s">
        <v>474</v>
      </c>
      <c r="C76" s="204" t="s">
        <v>475</v>
      </c>
      <c r="D76" s="223" t="s">
        <v>476</v>
      </c>
    </row>
    <row r="77" spans="2:5" ht="29" x14ac:dyDescent="0.35">
      <c r="B77" s="229" t="s">
        <v>477</v>
      </c>
      <c r="C77" s="205" t="s">
        <v>478</v>
      </c>
      <c r="D77" s="225" t="s">
        <v>479</v>
      </c>
    </row>
    <row r="78" spans="2:5" x14ac:dyDescent="0.35">
      <c r="B78" s="229" t="s">
        <v>480</v>
      </c>
      <c r="C78" s="205" t="s">
        <v>481</v>
      </c>
      <c r="D78" s="225"/>
    </row>
    <row r="79" spans="2:5" x14ac:dyDescent="0.35">
      <c r="B79" s="229" t="s">
        <v>482</v>
      </c>
      <c r="C79" s="204" t="s">
        <v>483</v>
      </c>
      <c r="D79" s="225" t="s">
        <v>484</v>
      </c>
    </row>
    <row r="80" spans="2:5" x14ac:dyDescent="0.35">
      <c r="B80" s="229" t="s">
        <v>485</v>
      </c>
      <c r="C80" s="204" t="s">
        <v>486</v>
      </c>
      <c r="D80" s="225" t="s">
        <v>487</v>
      </c>
    </row>
    <row r="81" spans="2:5" x14ac:dyDescent="0.35">
      <c r="B81" s="229" t="s">
        <v>488</v>
      </c>
      <c r="C81" s="204" t="s">
        <v>489</v>
      </c>
      <c r="D81" s="384" t="s">
        <v>490</v>
      </c>
    </row>
    <row r="82" spans="2:5" ht="29" x14ac:dyDescent="0.35">
      <c r="B82" s="229" t="s">
        <v>491</v>
      </c>
      <c r="C82" s="204" t="s">
        <v>492</v>
      </c>
      <c r="D82" s="72" t="s">
        <v>493</v>
      </c>
    </row>
    <row r="83" spans="2:5" x14ac:dyDescent="0.35">
      <c r="B83" s="229" t="s">
        <v>494</v>
      </c>
      <c r="C83" s="204" t="s">
        <v>495</v>
      </c>
      <c r="D83" s="72" t="s">
        <v>496</v>
      </c>
      <c r="E83" s="250"/>
    </row>
    <row r="84" spans="2:5" x14ac:dyDescent="0.35">
      <c r="B84" s="229" t="s">
        <v>497</v>
      </c>
      <c r="C84" s="204" t="s">
        <v>498</v>
      </c>
      <c r="D84" s="223" t="s">
        <v>499</v>
      </c>
    </row>
    <row r="86" spans="2:5" x14ac:dyDescent="0.35">
      <c r="B86" s="212" t="s">
        <v>500</v>
      </c>
      <c r="C86" s="17" t="s">
        <v>501</v>
      </c>
      <c r="D86" s="72" t="s">
        <v>502</v>
      </c>
    </row>
    <row r="87" spans="2:5" x14ac:dyDescent="0.35">
      <c r="B87" s="229" t="s">
        <v>503</v>
      </c>
      <c r="C87" s="204" t="s">
        <v>504</v>
      </c>
      <c r="D87" s="72" t="s">
        <v>505</v>
      </c>
      <c r="E87" s="213" t="str">
        <f>""</f>
        <v/>
      </c>
    </row>
    <row r="88" spans="2:5" x14ac:dyDescent="0.35">
      <c r="B88" s="212" t="s">
        <v>506</v>
      </c>
      <c r="C88" s="17" t="s">
        <v>507</v>
      </c>
      <c r="D88" s="72" t="s">
        <v>508</v>
      </c>
    </row>
    <row r="89" spans="2:5" x14ac:dyDescent="0.35">
      <c r="B89" s="212" t="s">
        <v>2537</v>
      </c>
      <c r="C89" s="17" t="s">
        <v>2535</v>
      </c>
      <c r="D89" s="17" t="s">
        <v>2536</v>
      </c>
    </row>
    <row r="90" spans="2:5" x14ac:dyDescent="0.35">
      <c r="B90" s="212" t="s">
        <v>2534</v>
      </c>
      <c r="C90" s="17" t="s">
        <v>2455</v>
      </c>
      <c r="D90" s="17" t="s">
        <v>2455</v>
      </c>
    </row>
    <row r="91" spans="2:5" x14ac:dyDescent="0.35">
      <c r="B91" s="212" t="s">
        <v>509</v>
      </c>
      <c r="C91" s="17" t="s">
        <v>510</v>
      </c>
      <c r="D91" s="972" t="s">
        <v>511</v>
      </c>
    </row>
    <row r="92" spans="2:5" x14ac:dyDescent="0.35">
      <c r="B92" s="212" t="s">
        <v>512</v>
      </c>
      <c r="C92" s="17" t="s">
        <v>513</v>
      </c>
      <c r="D92" s="972" t="s">
        <v>514</v>
      </c>
    </row>
    <row r="93" spans="2:5" x14ac:dyDescent="0.35">
      <c r="B93" s="212" t="s">
        <v>515</v>
      </c>
      <c r="C93" s="17" t="s">
        <v>516</v>
      </c>
      <c r="D93" s="972" t="s">
        <v>517</v>
      </c>
    </row>
    <row r="94" spans="2:5" x14ac:dyDescent="0.35">
      <c r="B94" s="212" t="s">
        <v>518</v>
      </c>
      <c r="C94" s="17" t="s">
        <v>519</v>
      </c>
      <c r="D94" s="972" t="s">
        <v>520</v>
      </c>
    </row>
    <row r="95" spans="2:5" x14ac:dyDescent="0.35">
      <c r="B95" s="212" t="s">
        <v>521</v>
      </c>
      <c r="C95" s="17" t="s">
        <v>522</v>
      </c>
      <c r="D95" s="72" t="s">
        <v>523</v>
      </c>
    </row>
    <row r="96" spans="2:5" x14ac:dyDescent="0.35">
      <c r="B96" s="212" t="s">
        <v>524</v>
      </c>
      <c r="C96" s="17" t="s">
        <v>525</v>
      </c>
      <c r="D96" s="72" t="s">
        <v>526</v>
      </c>
    </row>
    <row r="97" spans="2:4" x14ac:dyDescent="0.35">
      <c r="B97" s="212" t="s">
        <v>527</v>
      </c>
      <c r="C97" s="17" t="s">
        <v>528</v>
      </c>
      <c r="D97" s="72" t="s">
        <v>529</v>
      </c>
    </row>
    <row r="98" spans="2:4" x14ac:dyDescent="0.35">
      <c r="B98" s="945" t="s">
        <v>825</v>
      </c>
      <c r="C98" s="17" t="s">
        <v>530</v>
      </c>
      <c r="D98" s="19" t="s">
        <v>531</v>
      </c>
    </row>
    <row r="99" spans="2:4" x14ac:dyDescent="0.35">
      <c r="B99" s="212" t="s">
        <v>2466</v>
      </c>
      <c r="C99" s="17" t="s">
        <v>2464</v>
      </c>
      <c r="D99" s="19" t="s">
        <v>2465</v>
      </c>
    </row>
    <row r="100" spans="2:4" x14ac:dyDescent="0.35">
      <c r="B100" s="212" t="s">
        <v>2510</v>
      </c>
      <c r="C100" s="17" t="s">
        <v>2507</v>
      </c>
      <c r="D100" s="19" t="s">
        <v>2506</v>
      </c>
    </row>
    <row r="101" spans="2:4" x14ac:dyDescent="0.35">
      <c r="B101" s="212" t="s">
        <v>2510</v>
      </c>
      <c r="C101" s="17" t="s">
        <v>2508</v>
      </c>
      <c r="D101" s="19" t="s">
        <v>2509</v>
      </c>
    </row>
    <row r="102" spans="2:4" x14ac:dyDescent="0.35">
      <c r="B102" s="212" t="s">
        <v>2527</v>
      </c>
      <c r="C102" s="17" t="s">
        <v>2526</v>
      </c>
      <c r="D102" s="19" t="s">
        <v>2525</v>
      </c>
    </row>
  </sheetData>
  <dataConsolidate/>
  <hyperlinks>
    <hyperlink ref="D46" r:id="rId1" display="https://www.toi.no/getfile.php?mmfileid=4186" xr:uid="{00000000-0004-0000-0400-000000000000}"/>
    <hyperlink ref="D47" r:id="rId2" xr:uid="{00000000-0004-0000-0400-000001000000}"/>
    <hyperlink ref="D48" r:id="rId3" display="https://www.toi.no/getfile.php?mmfileid=39511" xr:uid="{00000000-0004-0000-0400-000002000000}"/>
    <hyperlink ref="D63" r:id="rId4" xr:uid="{00000000-0004-0000-0400-000003000000}"/>
    <hyperlink ref="D64" r:id="rId5" xr:uid="{00000000-0004-0000-0400-000004000000}"/>
    <hyperlink ref="D65" r:id="rId6" display="http://www.vegvesen.no/_attachment/603144/binary/951955?fast_title=Revidert+HB+140+%E2%80%93+h%C3%B8ringsutgave.pd" xr:uid="{00000000-0004-0000-0400-000005000000}"/>
    <hyperlink ref="D68" r:id="rId7" xr:uid="{00000000-0004-0000-0400-000006000000}"/>
    <hyperlink ref="D71" r:id="rId8" display="https://www.toi.no/getfile.php?mmfileid=13925" xr:uid="{00000000-0004-0000-0400-000007000000}"/>
    <hyperlink ref="D72" r:id="rId9" xr:uid="{00000000-0004-0000-0400-000008000000}"/>
    <hyperlink ref="D73" r:id="rId10" display="https://www.toi.no/getfile.php?mmfileid=16693" xr:uid="{00000000-0004-0000-0400-000009000000}"/>
    <hyperlink ref="D75" r:id="rId11" xr:uid="{00000000-0004-0000-0400-00000A000000}"/>
    <hyperlink ref="D27" r:id="rId12" xr:uid="{00000000-0004-0000-0400-00000B000000}"/>
    <hyperlink ref="D54" r:id="rId13" xr:uid="{00000000-0004-0000-0400-00000C000000}"/>
    <hyperlink ref="D77" r:id="rId14" xr:uid="{00000000-0004-0000-0400-00000D000000}"/>
    <hyperlink ref="D33" r:id="rId15" xr:uid="{00000000-0004-0000-0400-00000E000000}"/>
    <hyperlink ref="D50" r:id="rId16" xr:uid="{00000000-0004-0000-0400-00000F000000}"/>
    <hyperlink ref="D18" r:id="rId17" display="https://www.regjeringen.no/globalassets/upload/fin/vedlegg/okstyring/rundskriv/faste/r_109_2014.pdf" xr:uid="{00000000-0004-0000-0400-000010000000}"/>
    <hyperlink ref="D19" r:id="rId18" xr:uid="{00000000-0004-0000-0400-000011000000}"/>
    <hyperlink ref="D66" r:id="rId19" xr:uid="{00000000-0004-0000-0400-000012000000}"/>
    <hyperlink ref="D67" r:id="rId20" xr:uid="{00000000-0004-0000-0400-000013000000}"/>
    <hyperlink ref="D69" r:id="rId21" xr:uid="{00000000-0004-0000-0400-000014000000}"/>
    <hyperlink ref="D31" r:id="rId22" xr:uid="{00000000-0004-0000-0400-000015000000}"/>
    <hyperlink ref="D55" r:id="rId23" xr:uid="{00000000-0004-0000-0400-000016000000}"/>
    <hyperlink ref="D7" r:id="rId24" xr:uid="{00000000-0004-0000-0400-000019000000}"/>
    <hyperlink ref="D8" r:id="rId25" xr:uid="{00000000-0004-0000-0400-00001B000000}"/>
    <hyperlink ref="D42" r:id="rId26" xr:uid="{00000000-0004-0000-0400-00001D000000}"/>
    <hyperlink ref="D74" r:id="rId27" xr:uid="{00000000-0004-0000-0400-00001E000000}"/>
    <hyperlink ref="D20" r:id="rId28" xr:uid="{00000000-0004-0000-0400-00001F000000}"/>
    <hyperlink ref="D84" r:id="rId29" xr:uid="{00000000-0004-0000-0400-000020000000}"/>
    <hyperlink ref="D87" r:id="rId30" xr:uid="{00000000-0004-0000-0400-000021000000}"/>
    <hyperlink ref="D52" r:id="rId31" xr:uid="{00000000-0004-0000-0400-000025000000}"/>
    <hyperlink ref="D17" r:id="rId32" xr:uid="{00000000-0004-0000-0400-000027000000}"/>
    <hyperlink ref="D32" r:id="rId33" xr:uid="{00000000-0004-0000-0400-000028000000}"/>
    <hyperlink ref="D16" r:id="rId34" xr:uid="{00000000-0004-0000-0400-00002A000000}"/>
    <hyperlink ref="D36" r:id="rId35" xr:uid="{00000000-0004-0000-0400-00002B000000}"/>
    <hyperlink ref="D56" r:id="rId36" xr:uid="{00000000-0004-0000-0400-00002C000000}"/>
    <hyperlink ref="D29" r:id="rId37" xr:uid="{00000000-0004-0000-0400-00002E000000}"/>
    <hyperlink ref="D80" r:id="rId38" xr:uid="{00000000-0004-0000-0400-00002F000000}"/>
    <hyperlink ref="D70" r:id="rId39" xr:uid="{00000000-0004-0000-0400-000030000000}"/>
    <hyperlink ref="D10" r:id="rId40" xr:uid="{00000000-0004-0000-0400-000031000000}"/>
    <hyperlink ref="D22" r:id="rId41" xr:uid="{00000000-0004-0000-0400-000032000000}"/>
    <hyperlink ref="D24" r:id="rId42" xr:uid="{00000000-0004-0000-0400-000033000000}"/>
    <hyperlink ref="D58" r:id="rId43" xr:uid="{6EC5E834-709C-4DDC-9400-FC3EF215FF73}"/>
    <hyperlink ref="D23" r:id="rId44" xr:uid="{919E83E0-F625-4676-8AAD-A0F63D1A2163}"/>
    <hyperlink ref="D28" r:id="rId45" xr:uid="{52869F48-76C7-4E30-9685-EB79AEC015AD}"/>
    <hyperlink ref="D34" r:id="rId46" xr:uid="{F602792A-9FED-4096-BC9D-ED7B168DA0BC}"/>
    <hyperlink ref="D15" r:id="rId47" xr:uid="{28C3A9D0-CFEF-435C-AB4B-C0391AD5109A}"/>
    <hyperlink ref="D57" r:id="rId48" xr:uid="{5ADBAA8A-5803-405A-9948-83FFB22ACF0F}"/>
    <hyperlink ref="D59" r:id="rId49" xr:uid="{9B3F7AB6-84D1-4251-B10D-D2F40B0C5CE2}"/>
    <hyperlink ref="D60" r:id="rId50" xr:uid="{9DBC84BA-AA68-4A64-B99F-0355F58FDF1C}"/>
    <hyperlink ref="D25" r:id="rId51" xr:uid="{3F07719E-9EC2-4F47-B994-32C5E130614C}"/>
    <hyperlink ref="D82" r:id="rId52" xr:uid="{6A16C6CB-3119-445A-8AC9-EB58CC5A50FB}"/>
    <hyperlink ref="D44" r:id="rId53" xr:uid="{888E2B5E-EC2F-49FD-999E-4F5B3E8AF382}"/>
    <hyperlink ref="D11" r:id="rId54" location="den_minste_pakken_med_tjenester2" display="http://networkstatement.jbv.no/doku.php?id=ns2020no:priser - den_minste_pakken_med_tjenester2" xr:uid="{BA9C155D-E5CF-4E7F-AAE6-840585E27718}"/>
    <hyperlink ref="D53" r:id="rId55" xr:uid="{72D81265-86F4-44FF-AE7D-36C3733E7530}"/>
    <hyperlink ref="D83" r:id="rId56" xr:uid="{73D07FB4-7A43-4065-99C0-C537B49AB475}"/>
    <hyperlink ref="D86" r:id="rId57" xr:uid="{C5D969A2-E731-47F4-ABF4-A3114EC1C307}"/>
    <hyperlink ref="D39" r:id="rId58" xr:uid="{98820F16-4C2F-4FFD-82E6-185860BB3571}"/>
    <hyperlink ref="D43" r:id="rId59" xr:uid="{D7E3DEBE-EC53-405E-B4C9-A8427366FB44}"/>
    <hyperlink ref="D37" r:id="rId60" xr:uid="{10054E77-25C7-4A4D-A387-CCBA62163321}"/>
    <hyperlink ref="D38" r:id="rId61" xr:uid="{34F638AB-E6AB-4259-9808-053FFCDB73B4}"/>
    <hyperlink ref="D40" r:id="rId62" xr:uid="{EDA19010-7224-4247-A66F-EB88C4E3BA83}"/>
    <hyperlink ref="D41" r:id="rId63" xr:uid="{4591BB4C-37DF-41FA-AD79-A438AB3710E9}"/>
    <hyperlink ref="D49" r:id="rId64" xr:uid="{DB39EACE-0731-400C-8DE4-912CAE427B8B}"/>
    <hyperlink ref="D51" r:id="rId65" display="https://www.sintef.no/publikasjoner/publikasjon/1912976/" xr:uid="{BC6D04B5-6BAE-4B87-A7CF-1C3E5235AF3C}"/>
    <hyperlink ref="D88" r:id="rId66" display="https://www.regjeringen.no/contentassets/91bdfca9231d45408e8107a703fee790/no/pdfs/stm202020210014000dddpdfs.pdf" xr:uid="{FDC2AECE-34F0-4744-A73F-63823206E5C1}"/>
    <hyperlink ref="D81" r:id="rId67" xr:uid="{D29AF2E4-927D-4D87-AA43-1545701DBFDE}"/>
    <hyperlink ref="D91" r:id="rId68" display="https://www.regjeringen.no/no/tema/okonomi-og-budsjett/skatter-og-avgifter/avgiftssatser-2021/id2767486/" xr:uid="{13560009-D85D-4B32-9559-494E3733C116}"/>
    <hyperlink ref="D92" r:id="rId69" display="https://www.regjeringen.no/no/tema/okonomi-og-budsjett/skatter-og-avgifter/avgiftssatser-2022/id2873933/" xr:uid="{0A3922AE-3213-4328-908F-C55E47B21620}"/>
    <hyperlink ref="D12" r:id="rId70" location="den_minste_pakken_med_tjenester_og_priser" display="https://networkstatement.banenor.no/doku.php?id=ns2022no:tjenester_og_priser - den_minste_pakken_med_tjenester_og_priser" xr:uid="{2BD8C7BD-5BBB-4575-979C-4EF7026F4D3C}"/>
    <hyperlink ref="D61" r:id="rId71" xr:uid="{8CEB8560-46BD-4625-8A68-0A4AD40D02F8}"/>
    <hyperlink ref="D62" r:id="rId72" xr:uid="{D837F1AB-9F77-4247-9A6C-4421D76BA313}"/>
    <hyperlink ref="D79" r:id="rId73" xr:uid="{B897E79A-F748-4100-B126-686768DA2843}"/>
    <hyperlink ref="D94" r:id="rId74" display="https://www.regjeringen.no/no/tema/okonomi-og-budsjett/statlig-okonomistyring/karbonprisbaner-for-bruk-i-samfunnsokonomiske-analyser/id2878113/" xr:uid="{79F8D167-01E3-4C90-AC50-64E8A4F50EA3}"/>
    <hyperlink ref="D93" r:id="rId75" display="https://www.regjeringen.no/no/tema/okonomi-og-budsjett/skatter-og-avgifter/avgiftssatser-2023/id2929584/" xr:uid="{B7D146FE-88CE-49DE-AC01-5A8648882B87}"/>
    <hyperlink ref="D95" r:id="rId76" display="https://www.toi.no/getfile.php?mmfileid=74680" xr:uid="{3AA814C0-1241-4E2B-8077-F8D6357F6439}"/>
    <hyperlink ref="D96" r:id="rId77" display="https://www.toi.no/getfile.php?mmfileid=74674" xr:uid="{E1AA69DB-65F3-4CB3-9AFD-1733726D0736}"/>
    <hyperlink ref="D13" r:id="rId78" display="https://networkstatement.banenor.no/doku.php?id=ns2024no:tjenester_og_priser" xr:uid="{340ACAEB-2E60-4281-BFAF-EA6D409314A8}"/>
    <hyperlink ref="D45" r:id="rId79" xr:uid="{1EDD3FFD-F8B1-4174-B930-8B372DCF375C}"/>
    <hyperlink ref="D97" r:id="rId80" display="https://www.helsedirektoratet.no/rapporter/dokumentasjonsrapport-helseeffekter-av-fysisk-aktivitet-per-km-gange-og-sykling/okonomisk-verdsetting-av-helsegevinster" xr:uid="{1D9CF0C5-F2B0-438F-9E8E-D01BCFC84AD0}"/>
    <hyperlink ref="D98" r:id="rId81" display="https://www.toi.no/getfile.php?mmfileid=80260" xr:uid="{4419224E-D006-4141-8525-CF3E835D79C4}"/>
    <hyperlink ref="D99" r:id="rId82" display="https://www.toi.no/getfile.php?mmfileid=75162" xr:uid="{F86ABB96-4437-49E4-B3A1-48AD680F13E9}"/>
    <hyperlink ref="D100" r:id="rId83" display="https://utdanning.no/yrker/beskrivelse/lokomotivforer" xr:uid="{A27E8CA3-762D-44AE-B0D3-4876F005E341}"/>
    <hyperlink ref="D101" r:id="rId84" display="https://utdanning.no/yrker/beskrivelse/konduktor" xr:uid="{DA4ED7DB-2C97-4700-B6BF-F0B6E24FDBCB}"/>
    <hyperlink ref="D102" r:id="rId85" display="https://www.regjeringen.no/no/tema/okonomi-og-budsjett/skatter-og-avgifter/skatte-og-avgiftssatser/avgiftssatser-2026/id3121982/" xr:uid="{A9378EB2-50D5-4CF2-9CFB-A22BB57F8B29}"/>
    <hyperlink ref="D90" r:id="rId86" display="https://om.avinor.no/om-oss/trafikkstatistikk/" xr:uid="{6126908C-6E1B-4C02-88C1-2630E95DD75D}"/>
    <hyperlink ref="D89" r:id="rId87" display="https://www.ssb.no/statbank/table/07849" xr:uid="{0DEB6E75-C23D-4CFE-9AE6-65B0583C39BB}"/>
  </hyperlinks>
  <pageMargins left="0.7" right="0.7" top="0.75" bottom="0.75" header="0.3" footer="0.3"/>
  <pageSetup paperSize="9" orientation="portrait" r:id="rId88"/>
  <drawing r:id="rId89"/>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Ark16"/>
  <dimension ref="A1:AM11471"/>
  <sheetViews>
    <sheetView topLeftCell="A147" zoomScale="77" zoomScaleNormal="90" workbookViewId="0">
      <selection activeCell="C164" sqref="C164"/>
    </sheetView>
  </sheetViews>
  <sheetFormatPr baseColWidth="10" defaultColWidth="11.453125" defaultRowHeight="14.5" x14ac:dyDescent="0.35"/>
  <cols>
    <col min="1" max="1" width="12.6328125" style="60" bestFit="1" customWidth="1"/>
    <col min="2" max="2" width="73.7265625" style="212" bestFit="1" customWidth="1"/>
    <col min="3" max="3" width="21.453125" style="110" customWidth="1"/>
    <col min="4" max="4" width="19.54296875" style="34" customWidth="1"/>
    <col min="5" max="5" width="14.1796875" style="34" customWidth="1"/>
    <col min="6" max="6" width="15.7265625" style="191" bestFit="1" customWidth="1"/>
    <col min="7" max="7" width="16.7265625" style="34" customWidth="1"/>
    <col min="8" max="8" width="13" style="191" bestFit="1" customWidth="1"/>
    <col min="9" max="9" width="9.81640625" style="34" bestFit="1" customWidth="1"/>
    <col min="10" max="10" width="11.81640625" style="191" customWidth="1"/>
    <col min="11" max="11" width="11.54296875" style="34" customWidth="1"/>
    <col min="12" max="12" width="8.7265625" style="191" bestFit="1" customWidth="1"/>
    <col min="13" max="13" width="11.453125" style="34" customWidth="1"/>
    <col min="14" max="14" width="11.1796875" style="191" customWidth="1"/>
    <col min="15" max="15" width="9.453125" style="34" customWidth="1"/>
    <col min="16" max="16" width="11" style="191" customWidth="1"/>
    <col min="17" max="17" width="10" style="34" bestFit="1" customWidth="1"/>
    <col min="18" max="18" width="8.81640625" style="191" customWidth="1"/>
    <col min="19" max="19" width="9.453125" style="34" bestFit="1" customWidth="1"/>
    <col min="20" max="20" width="10.7265625" style="191" customWidth="1"/>
    <col min="21" max="21" width="11.453125" style="34"/>
    <col min="22" max="22" width="12.1796875" style="34" bestFit="1" customWidth="1"/>
    <col min="23" max="23" width="11.453125" style="34"/>
    <col min="24" max="24" width="11.453125" style="191"/>
    <col min="25" max="27" width="11.453125" style="34"/>
    <col min="28" max="28" width="14.26953125" style="34" bestFit="1" customWidth="1"/>
    <col min="29" max="34" width="14.26953125" style="34" customWidth="1"/>
    <col min="35" max="35" width="11.453125" style="34"/>
    <col min="36" max="36" width="41.453125" customWidth="1"/>
  </cols>
  <sheetData>
    <row r="1" spans="1:37" x14ac:dyDescent="0.35">
      <c r="B1"/>
      <c r="C1" s="60"/>
      <c r="D1" s="128"/>
      <c r="E1" s="128"/>
      <c r="F1" s="186"/>
      <c r="G1" s="128"/>
      <c r="H1" s="186"/>
      <c r="I1" s="128"/>
      <c r="J1" s="186"/>
      <c r="K1" s="128"/>
      <c r="L1" s="186"/>
      <c r="M1" s="128"/>
      <c r="N1" s="186"/>
      <c r="O1" s="128"/>
      <c r="P1" s="186"/>
      <c r="Q1" s="128"/>
      <c r="R1" s="186"/>
      <c r="S1" s="128"/>
      <c r="T1" s="186"/>
      <c r="U1" s="128"/>
      <c r="V1" s="128"/>
      <c r="W1" s="128"/>
      <c r="X1" s="186"/>
      <c r="Y1" s="128"/>
      <c r="Z1" s="128"/>
      <c r="AA1" s="128"/>
      <c r="AB1" s="128"/>
      <c r="AC1" s="128"/>
      <c r="AD1" s="128"/>
      <c r="AE1" s="128"/>
      <c r="AF1" s="128"/>
      <c r="AG1" s="128"/>
      <c r="AH1" s="128"/>
      <c r="AI1" s="128"/>
    </row>
    <row r="2" spans="1:37" x14ac:dyDescent="0.35">
      <c r="B2"/>
      <c r="C2" s="60"/>
      <c r="D2" s="128"/>
      <c r="E2" s="128"/>
      <c r="F2" s="186"/>
      <c r="G2" s="128"/>
      <c r="H2" s="186"/>
      <c r="I2" s="128"/>
      <c r="J2" s="186"/>
      <c r="K2" s="128"/>
      <c r="L2" s="186"/>
      <c r="M2" s="128"/>
      <c r="N2" s="186"/>
      <c r="O2" s="128"/>
      <c r="P2" s="186"/>
      <c r="Q2" s="128"/>
      <c r="R2" s="186"/>
      <c r="S2" s="128"/>
      <c r="T2" s="186"/>
      <c r="U2" s="128"/>
      <c r="V2" s="128"/>
      <c r="W2" s="128"/>
      <c r="X2" s="186"/>
      <c r="Y2" s="128"/>
      <c r="Z2" s="128"/>
      <c r="AA2" s="128"/>
      <c r="AB2" s="128"/>
      <c r="AC2" s="128"/>
      <c r="AD2" s="128"/>
      <c r="AE2" s="128"/>
      <c r="AF2" s="128"/>
      <c r="AG2" s="128"/>
      <c r="AH2" s="128"/>
      <c r="AI2" s="128"/>
    </row>
    <row r="3" spans="1:37" x14ac:dyDescent="0.35">
      <c r="B3"/>
      <c r="C3" s="60"/>
      <c r="D3" s="128"/>
      <c r="E3" s="128"/>
      <c r="F3" s="186"/>
      <c r="G3" s="128"/>
      <c r="H3" s="186"/>
      <c r="I3" s="128"/>
      <c r="J3" s="186"/>
      <c r="K3" s="128"/>
      <c r="L3" s="186"/>
      <c r="M3" s="128"/>
      <c r="N3" s="186"/>
      <c r="O3" s="128"/>
      <c r="P3" s="186"/>
      <c r="Q3" s="128"/>
      <c r="R3" s="186"/>
      <c r="S3" s="128"/>
      <c r="T3" s="186"/>
      <c r="U3" s="128"/>
      <c r="V3" s="128"/>
      <c r="W3" s="128"/>
      <c r="X3" s="186"/>
      <c r="Y3" s="128"/>
      <c r="Z3" s="128"/>
      <c r="AA3" s="128"/>
      <c r="AB3" s="128"/>
      <c r="AC3" s="128"/>
      <c r="AD3" s="128"/>
      <c r="AE3" s="128"/>
      <c r="AF3" s="128"/>
      <c r="AG3" s="128"/>
      <c r="AH3" s="128"/>
      <c r="AI3" s="128"/>
    </row>
    <row r="4" spans="1:37" x14ac:dyDescent="0.35">
      <c r="B4"/>
      <c r="C4" s="60"/>
      <c r="D4" s="128"/>
      <c r="E4" s="128"/>
      <c r="F4" s="186"/>
      <c r="G4" s="128"/>
      <c r="H4" s="186"/>
      <c r="I4" s="128"/>
      <c r="J4" s="186"/>
      <c r="K4" s="128"/>
      <c r="L4" s="186"/>
      <c r="M4" s="128"/>
      <c r="N4" s="186"/>
      <c r="O4" s="128"/>
      <c r="P4" s="186"/>
      <c r="Q4" s="128"/>
      <c r="R4" s="186"/>
      <c r="S4" s="128"/>
      <c r="T4" s="186"/>
      <c r="U4" s="128"/>
      <c r="V4" s="128"/>
      <c r="W4" s="128"/>
      <c r="X4" s="186"/>
      <c r="Y4" s="128"/>
      <c r="Z4" s="128"/>
      <c r="AA4" s="128"/>
      <c r="AB4" s="128"/>
      <c r="AC4" s="128"/>
      <c r="AD4" s="128"/>
      <c r="AE4" s="128"/>
      <c r="AF4" s="128"/>
      <c r="AG4" s="128"/>
      <c r="AH4" s="128"/>
      <c r="AI4" s="128"/>
    </row>
    <row r="5" spans="1:37" x14ac:dyDescent="0.35">
      <c r="B5"/>
      <c r="C5" s="60"/>
      <c r="D5" s="128"/>
      <c r="E5" s="128"/>
      <c r="F5" s="186"/>
      <c r="G5" s="128"/>
      <c r="H5" s="186"/>
      <c r="I5" s="128"/>
      <c r="J5" s="186"/>
      <c r="K5" s="128"/>
      <c r="L5" s="186"/>
      <c r="M5" s="128"/>
      <c r="N5" s="186"/>
      <c r="O5" s="128"/>
      <c r="P5" s="186"/>
      <c r="Q5" s="128"/>
      <c r="R5" s="186"/>
      <c r="S5" s="128"/>
      <c r="T5" s="186"/>
      <c r="U5" s="128"/>
      <c r="V5" s="128"/>
      <c r="W5" s="128"/>
      <c r="X5" s="186"/>
      <c r="Y5" s="128"/>
      <c r="Z5" s="128"/>
      <c r="AA5" s="128"/>
      <c r="AB5" s="128"/>
      <c r="AC5" s="128"/>
      <c r="AD5" s="128"/>
      <c r="AE5" s="128"/>
      <c r="AF5" s="128"/>
      <c r="AG5" s="128"/>
      <c r="AH5" s="128"/>
      <c r="AI5" s="128"/>
    </row>
    <row r="6" spans="1:37" x14ac:dyDescent="0.35">
      <c r="B6"/>
      <c r="C6" s="60"/>
      <c r="D6" s="128"/>
      <c r="E6" s="128"/>
      <c r="F6" s="186"/>
      <c r="G6" s="128"/>
      <c r="H6" s="186"/>
      <c r="I6" s="128"/>
      <c r="J6" s="186"/>
      <c r="K6" s="128"/>
      <c r="L6" s="186"/>
      <c r="M6" s="128"/>
      <c r="N6" s="186"/>
      <c r="O6" s="128"/>
      <c r="P6" s="186"/>
      <c r="Q6" s="128"/>
      <c r="R6" s="186"/>
      <c r="S6" s="128"/>
      <c r="T6" s="186"/>
      <c r="U6" s="128"/>
      <c r="V6" s="128"/>
      <c r="W6" s="128"/>
      <c r="X6" s="186"/>
      <c r="Y6" s="128"/>
      <c r="Z6" s="128"/>
      <c r="AA6" s="128"/>
      <c r="AB6" s="128"/>
      <c r="AC6" s="128"/>
      <c r="AD6" s="128"/>
      <c r="AE6" s="128"/>
      <c r="AF6" s="128"/>
      <c r="AG6" s="128"/>
      <c r="AH6" s="128"/>
      <c r="AI6" s="128"/>
    </row>
    <row r="7" spans="1:37" ht="15" thickBot="1" x14ac:dyDescent="0.4">
      <c r="B7"/>
      <c r="C7" s="60"/>
      <c r="D7" s="128"/>
      <c r="E7" s="128"/>
      <c r="F7" s="186"/>
      <c r="G7" s="128"/>
      <c r="H7" s="186"/>
      <c r="I7" s="128"/>
      <c r="J7" s="186"/>
      <c r="K7" s="128"/>
      <c r="L7" s="186"/>
      <c r="M7" s="128"/>
      <c r="N7" s="186"/>
      <c r="O7" s="128"/>
      <c r="P7" s="186"/>
      <c r="Q7" s="128"/>
      <c r="R7" s="186"/>
      <c r="S7" s="128"/>
      <c r="T7" s="186"/>
      <c r="U7" s="128"/>
      <c r="V7" s="128"/>
      <c r="W7" s="128"/>
      <c r="X7" s="186"/>
      <c r="Y7" s="128"/>
      <c r="Z7" s="128"/>
      <c r="AA7" s="128"/>
      <c r="AB7" s="128"/>
      <c r="AC7" s="128"/>
      <c r="AD7" s="128"/>
      <c r="AE7" s="128"/>
      <c r="AF7" s="128"/>
      <c r="AG7" s="128"/>
      <c r="AH7" s="128"/>
      <c r="AI7" s="128"/>
    </row>
    <row r="8" spans="1:37" s="88" customFormat="1" ht="21" x14ac:dyDescent="0.5">
      <c r="A8" s="542"/>
      <c r="B8" s="235" t="s">
        <v>532</v>
      </c>
      <c r="C8" s="236"/>
      <c r="D8" s="237"/>
      <c r="E8" s="237"/>
      <c r="F8" s="238"/>
      <c r="G8" s="237"/>
      <c r="H8" s="238"/>
      <c r="I8" s="237"/>
      <c r="J8" s="238"/>
      <c r="K8" s="237"/>
      <c r="L8" s="238"/>
      <c r="M8" s="237"/>
      <c r="N8" s="238"/>
      <c r="O8" s="237"/>
      <c r="P8" s="238"/>
      <c r="Q8" s="237"/>
      <c r="R8" s="238"/>
      <c r="S8" s="237"/>
      <c r="T8" s="238"/>
      <c r="U8" s="237"/>
      <c r="V8" s="237"/>
      <c r="W8" s="237"/>
      <c r="X8" s="238"/>
      <c r="Y8" s="237"/>
      <c r="Z8" s="237"/>
      <c r="AA8" s="237"/>
      <c r="AB8" s="237"/>
      <c r="AC8" s="237"/>
      <c r="AD8" s="237"/>
      <c r="AE8" s="237"/>
      <c r="AF8" s="237"/>
      <c r="AG8" s="237"/>
      <c r="AH8" s="237"/>
      <c r="AI8" s="237"/>
      <c r="AJ8" s="239"/>
    </row>
    <row r="9" spans="1:37" ht="18.5" x14ac:dyDescent="0.45">
      <c r="B9" s="240" t="str">
        <f>'1.1 Standardsatser'!$B$133</f>
        <v>Helseeffekter</v>
      </c>
      <c r="C9" s="121" t="s">
        <v>533</v>
      </c>
      <c r="D9" s="74" t="s">
        <v>534</v>
      </c>
      <c r="E9" s="74" t="s">
        <v>535</v>
      </c>
      <c r="F9" s="187"/>
      <c r="G9" s="132"/>
      <c r="H9" s="188"/>
      <c r="I9" s="132"/>
      <c r="J9" s="188"/>
      <c r="K9" s="130"/>
      <c r="L9" s="188"/>
      <c r="M9" s="132"/>
      <c r="N9" s="188"/>
      <c r="O9" s="132"/>
      <c r="P9" s="188"/>
      <c r="Q9" s="132"/>
      <c r="R9" s="188"/>
      <c r="S9" s="132"/>
      <c r="T9" s="188"/>
      <c r="U9" s="132"/>
      <c r="V9" s="132"/>
      <c r="W9" s="132"/>
      <c r="X9" s="188"/>
      <c r="Y9" s="132"/>
      <c r="Z9" s="132"/>
      <c r="AA9" s="132"/>
      <c r="AB9" s="132"/>
      <c r="AC9" s="132"/>
      <c r="AD9" s="132"/>
      <c r="AE9" s="132"/>
      <c r="AF9" s="132"/>
      <c r="AG9" s="132"/>
      <c r="AH9" s="132"/>
      <c r="AI9" s="132"/>
      <c r="AJ9" s="242"/>
      <c r="AK9" s="89" t="str">
        <f>""</f>
        <v/>
      </c>
    </row>
    <row r="10" spans="1:37" ht="18.5" x14ac:dyDescent="0.45">
      <c r="B10" s="218" t="str">
        <f>CONCATENATE('1.1 Standardsatser'!$B$134," - ",'1.1 Standardsatser'!$B$135)</f>
        <v>Tilbringerreiser med gang/sykkel - Verdsetting av helseeffekter</v>
      </c>
      <c r="C10" s="123">
        <f>((F10*N10+H10*P10)+(J10*N10+L10*P10))/2</f>
        <v>24.716999999999999</v>
      </c>
      <c r="D10" s="129" t="s">
        <v>536</v>
      </c>
      <c r="E10" s="129">
        <v>2023</v>
      </c>
      <c r="F10" s="182">
        <v>41.02</v>
      </c>
      <c r="G10" s="129" t="s">
        <v>537</v>
      </c>
      <c r="H10" s="182">
        <v>14.78</v>
      </c>
      <c r="I10" s="129" t="s">
        <v>537</v>
      </c>
      <c r="J10" s="182">
        <v>60.31</v>
      </c>
      <c r="K10" s="129" t="s">
        <v>537</v>
      </c>
      <c r="L10" s="182">
        <v>21.68</v>
      </c>
      <c r="M10" s="129" t="s">
        <v>537</v>
      </c>
      <c r="N10" s="191">
        <v>0.2</v>
      </c>
      <c r="O10" s="34" t="s">
        <v>538</v>
      </c>
      <c r="P10" s="191">
        <v>0.8</v>
      </c>
      <c r="Q10" s="34" t="s">
        <v>538</v>
      </c>
      <c r="X10" s="182"/>
      <c r="Y10" s="129"/>
      <c r="Z10" s="129"/>
      <c r="AA10" s="129"/>
      <c r="AB10" s="129"/>
      <c r="AC10" s="129"/>
      <c r="AD10" s="129"/>
      <c r="AE10" s="129"/>
      <c r="AF10" s="129"/>
      <c r="AG10" s="129"/>
      <c r="AH10" s="129"/>
      <c r="AI10" s="129"/>
      <c r="AJ10" s="221" t="s">
        <v>539</v>
      </c>
      <c r="AK10" s="89" t="str">
        <f>""</f>
        <v/>
      </c>
    </row>
    <row r="11" spans="1:37" ht="18.5" x14ac:dyDescent="0.45">
      <c r="B11" s="240" t="str">
        <f>'1.1 Standardsatser'!$B$136</f>
        <v>Avgifter til staten (ekskl. CO2-avgift)</v>
      </c>
      <c r="C11" s="114"/>
      <c r="D11" s="165"/>
      <c r="E11" s="132"/>
      <c r="F11" s="188"/>
      <c r="G11" s="132"/>
      <c r="H11" s="188"/>
      <c r="I11" s="132"/>
      <c r="J11" s="188"/>
      <c r="K11" s="130"/>
      <c r="L11" s="188"/>
      <c r="M11" s="132"/>
      <c r="N11" s="188"/>
      <c r="O11" s="132"/>
      <c r="P11" s="188"/>
      <c r="Q11" s="132"/>
      <c r="R11" s="188"/>
      <c r="S11" s="132"/>
      <c r="T11" s="188"/>
      <c r="U11" s="132"/>
      <c r="V11" s="132"/>
      <c r="W11" s="132"/>
      <c r="X11" s="188"/>
      <c r="Y11" s="132"/>
      <c r="Z11" s="132"/>
      <c r="AA11" s="132"/>
      <c r="AB11" s="132"/>
      <c r="AC11" s="132"/>
      <c r="AD11" s="132"/>
      <c r="AE11" s="132"/>
      <c r="AF11" s="132"/>
      <c r="AG11" s="132"/>
      <c r="AH11" s="132"/>
      <c r="AI11" s="132"/>
      <c r="AJ11" s="242"/>
      <c r="AK11" s="89" t="str">
        <f>""</f>
        <v/>
      </c>
    </row>
    <row r="12" spans="1:37" ht="18.5" x14ac:dyDescent="0.45">
      <c r="B12" s="218" t="str">
        <f>CONCATENATE('1.1 Standardsatser'!$B$137," - ",'1.1 Standardsatser'!$B$139)</f>
        <v xml:space="preserve">Persontog - Diesel </v>
      </c>
      <c r="C12" s="104">
        <f>(F12*P12)</f>
        <v>0.93796852468530889</v>
      </c>
      <c r="D12" s="34" t="s">
        <v>540</v>
      </c>
      <c r="E12" s="129">
        <f>$E$23</f>
        <v>2026</v>
      </c>
      <c r="F12" s="182">
        <f>Drivstofforbruk_PersontogD</f>
        <v>1.7151968345533488</v>
      </c>
      <c r="G12" s="129" t="str">
        <f>'1.2 Forutsetninger'!D374</f>
        <v>l/km</v>
      </c>
      <c r="H12" s="182">
        <f>NOx_KgPerTonn_Diesel</f>
        <v>24.165591014734513</v>
      </c>
      <c r="I12" s="129" t="str">
        <f>'1.2 Forutsetninger'!$D$365</f>
        <v>Kg/tonn</v>
      </c>
      <c r="J12" s="182">
        <f>Massetetthet_Diesel</f>
        <v>0.84</v>
      </c>
      <c r="K12" s="129" t="str">
        <f>'1.2 Forutsetninger'!$D$368</f>
        <v>Kg/l</v>
      </c>
      <c r="L12" s="182">
        <f>H12*J12/1000</f>
        <v>2.0299096452376989E-2</v>
      </c>
      <c r="M12" s="129" t="s">
        <v>541</v>
      </c>
      <c r="N12" s="182">
        <f>$C$23</f>
        <v>26.94</v>
      </c>
      <c r="O12" s="34" t="str">
        <f>D23</f>
        <v>Kr/kg</v>
      </c>
      <c r="P12" s="182">
        <f>L12*N12</f>
        <v>0.54685765842703615</v>
      </c>
      <c r="Q12" s="129" t="s">
        <v>542</v>
      </c>
      <c r="R12" s="182"/>
      <c r="S12" s="129"/>
      <c r="T12" s="182"/>
      <c r="U12" s="129"/>
      <c r="V12" s="111"/>
      <c r="W12" s="129"/>
      <c r="AJ12" s="217" t="s">
        <v>543</v>
      </c>
      <c r="AK12" s="89" t="str">
        <f>""</f>
        <v/>
      </c>
    </row>
    <row r="13" spans="1:37" ht="18.5" x14ac:dyDescent="0.45">
      <c r="B13" s="218" t="str">
        <f>CONCATENATE('1.1 Standardsatser'!$B$140," - ",'1.1 Standardsatser'!$B$141)</f>
        <v xml:space="preserve">Godstog - Elektrisk </v>
      </c>
      <c r="C13" s="104">
        <f>J13</f>
        <v>9.94</v>
      </c>
      <c r="D13" s="136" t="str">
        <f>K13</f>
        <v>kr/togkm</v>
      </c>
      <c r="E13" s="129">
        <f>$E$23</f>
        <v>2026</v>
      </c>
      <c r="F13" s="109">
        <f>Togvekt_Godstog</f>
        <v>650</v>
      </c>
      <c r="G13" s="34" t="str">
        <f>'1.2 Forutsetninger'!$D$262</f>
        <v>Tonn</v>
      </c>
      <c r="H13" s="201">
        <f>IF(RabattSporavgift="Ja",RabattfaktorSporavgift,0)</f>
        <v>0</v>
      </c>
      <c r="I13" s="34" t="s">
        <v>544</v>
      </c>
      <c r="J13" s="182">
        <f>C26*(1-H13)</f>
        <v>9.94</v>
      </c>
      <c r="K13" s="129" t="s">
        <v>545</v>
      </c>
      <c r="L13" s="182"/>
      <c r="M13" s="129"/>
      <c r="N13" s="182"/>
      <c r="P13" s="182"/>
      <c r="Q13" s="129"/>
      <c r="R13" s="182"/>
      <c r="S13" s="129"/>
      <c r="T13" s="182"/>
      <c r="U13" s="129"/>
      <c r="V13" s="129"/>
      <c r="W13" s="129"/>
      <c r="AJ13" s="217"/>
      <c r="AK13" s="89"/>
    </row>
    <row r="14" spans="1:37" ht="18.5" x14ac:dyDescent="0.45">
      <c r="B14" s="218" t="str">
        <f>CONCATENATE('1.1 Standardsatser'!$B$140," - ",'1.1 Standardsatser'!$B$142)</f>
        <v xml:space="preserve">Godstog - Diesel </v>
      </c>
      <c r="C14" s="123">
        <f>F14*P14+V14</f>
        <v>12.7391049820053</v>
      </c>
      <c r="D14" s="129" t="s">
        <v>540</v>
      </c>
      <c r="E14" s="129">
        <f>$E$23</f>
        <v>2026</v>
      </c>
      <c r="F14" s="182">
        <f>Drivstofforbruk_GodstogD</f>
        <v>5.1185257056773343</v>
      </c>
      <c r="G14" s="144" t="s">
        <v>546</v>
      </c>
      <c r="H14" s="182">
        <f>NOx_KgPerTonn_Diesel</f>
        <v>24.165591014734513</v>
      </c>
      <c r="I14" s="129" t="str">
        <f>'1.2 Forutsetninger'!$D$365</f>
        <v>Kg/tonn</v>
      </c>
      <c r="J14" s="182">
        <f>Massetetthet_Diesel</f>
        <v>0.84</v>
      </c>
      <c r="K14" s="129" t="str">
        <f>'1.2 Forutsetninger'!$D$368</f>
        <v>Kg/l</v>
      </c>
      <c r="L14" s="182">
        <f>H14*J14/1000</f>
        <v>2.0299096452376989E-2</v>
      </c>
      <c r="M14" s="129" t="s">
        <v>541</v>
      </c>
      <c r="N14" s="182">
        <f>$C$23</f>
        <v>26.94</v>
      </c>
      <c r="O14" s="34" t="s">
        <v>547</v>
      </c>
      <c r="P14" s="182">
        <f>L14*N14</f>
        <v>0.54685765842703615</v>
      </c>
      <c r="Q14" s="129" t="s">
        <v>542</v>
      </c>
      <c r="R14" s="109"/>
      <c r="T14" s="428">
        <f>IF(RabattSporavgift="Ja",RabattfaktorSporavgift,0)</f>
        <v>0</v>
      </c>
      <c r="U14" s="428" t="s">
        <v>544</v>
      </c>
      <c r="V14" s="182">
        <f>C26*(1-T14)</f>
        <v>9.94</v>
      </c>
      <c r="W14" s="129" t="s">
        <v>548</v>
      </c>
      <c r="Z14" s="129"/>
      <c r="AA14" s="129"/>
      <c r="AB14" s="129"/>
      <c r="AC14" s="129"/>
      <c r="AD14" s="129"/>
      <c r="AE14" s="129"/>
      <c r="AF14" s="129"/>
      <c r="AG14" s="129"/>
      <c r="AH14" s="129"/>
      <c r="AI14" s="129"/>
      <c r="AJ14" s="217" t="s">
        <v>543</v>
      </c>
      <c r="AK14" s="89" t="str">
        <f>""</f>
        <v/>
      </c>
    </row>
    <row r="15" spans="1:37" ht="18.5" x14ac:dyDescent="0.45">
      <c r="B15" s="218" t="str">
        <f>CONCATENATE('1.1 Standardsatser'!$B$143," - ",'1.1 Standardsatser'!$B$144)</f>
        <v xml:space="preserve">Andre transportmidler - Personbil </v>
      </c>
      <c r="C15" s="123">
        <f>J15*F15*N15+L15*H15*P15</f>
        <v>9.8043121675294026E-2</v>
      </c>
      <c r="D15" s="129" t="s">
        <v>549</v>
      </c>
      <c r="E15" s="129">
        <f>$E$21</f>
        <v>2026</v>
      </c>
      <c r="F15" s="182">
        <f>Drivstofforbruk_Bil_Diesel</f>
        <v>6.0935534163978081E-2</v>
      </c>
      <c r="G15" s="129" t="str">
        <f>'1.2 Forutsetninger'!$D$379</f>
        <v>l/km</v>
      </c>
      <c r="H15" s="182">
        <f>Drivstofforbruk_Bil_Bensin</f>
        <v>6.1487968001910948E-2</v>
      </c>
      <c r="I15" s="129" t="str">
        <f>'1.2 Forutsetninger'!$D$378</f>
        <v>l/km</v>
      </c>
      <c r="J15" s="182">
        <f>C21</f>
        <v>2.2799999999999998</v>
      </c>
      <c r="K15" s="129" t="str">
        <f>D21</f>
        <v>Kr/l</v>
      </c>
      <c r="L15" s="182">
        <f>C22</f>
        <v>3.77</v>
      </c>
      <c r="M15" s="144" t="str">
        <f>D22</f>
        <v>Kr/l</v>
      </c>
      <c r="N15" s="182">
        <f>Bilparken_Bil_Diesel</f>
        <v>0.32113901172379822</v>
      </c>
      <c r="O15" s="129" t="s">
        <v>544</v>
      </c>
      <c r="P15" s="182">
        <f>Bilparken_Bil_Bensin</f>
        <v>0.23047492657723542</v>
      </c>
      <c r="Q15" s="129" t="s">
        <v>544</v>
      </c>
      <c r="T15" s="182"/>
      <c r="U15" s="129"/>
      <c r="V15" s="129"/>
      <c r="W15" s="129"/>
      <c r="AJ15" s="217" t="s">
        <v>550</v>
      </c>
      <c r="AK15" s="89"/>
    </row>
    <row r="16" spans="1:37" ht="18.5" x14ac:dyDescent="0.45">
      <c r="B16" s="218" t="str">
        <f>CONCATENATE('1.1 Standardsatser'!$B$143," - ",'1.1 Standardsatser'!$B$145)</f>
        <v>Andre transportmidler - Buss</v>
      </c>
      <c r="C16" s="123">
        <f>H16*F16</f>
        <v>0.90167841444941832</v>
      </c>
      <c r="D16" s="129" t="s">
        <v>549</v>
      </c>
      <c r="E16" s="129">
        <f>$E$21</f>
        <v>2026</v>
      </c>
      <c r="F16" s="197">
        <f>Drivstofforbruk_Buss</f>
        <v>0.39547298879360454</v>
      </c>
      <c r="G16" s="129" t="str">
        <f>'1.2 Forutsetninger'!D380</f>
        <v>l/km</v>
      </c>
      <c r="H16" s="182">
        <f>C21</f>
        <v>2.2799999999999998</v>
      </c>
      <c r="I16" s="144" t="str">
        <f>D21</f>
        <v>Kr/l</v>
      </c>
      <c r="L16" s="182"/>
      <c r="M16" s="129"/>
      <c r="N16" s="182"/>
      <c r="O16" s="129"/>
      <c r="P16" s="182"/>
      <c r="Q16" s="129"/>
      <c r="R16" s="182"/>
      <c r="S16" s="129"/>
      <c r="T16" s="182"/>
      <c r="U16" s="129"/>
      <c r="V16" s="129"/>
      <c r="W16" s="129"/>
      <c r="AJ16" s="217" t="s">
        <v>543</v>
      </c>
      <c r="AK16" s="89" t="str">
        <f>""</f>
        <v/>
      </c>
    </row>
    <row r="17" spans="1:39" ht="18.5" x14ac:dyDescent="0.45">
      <c r="B17" s="218" t="str">
        <f>CONCATENATE('1.1 Standardsatser'!$B$143," - ",'1.1 Standardsatser'!$B$146)</f>
        <v>Andre transportmidler - Lett lastebil</v>
      </c>
      <c r="C17" s="123">
        <f>H17*F17</f>
        <v>0.27131999999999995</v>
      </c>
      <c r="D17" s="129" t="s">
        <v>549</v>
      </c>
      <c r="E17" s="129">
        <f>$E$21</f>
        <v>2026</v>
      </c>
      <c r="F17" s="182">
        <f>Drivstofforbruk_LettLastebil</f>
        <v>0.11899999999999999</v>
      </c>
      <c r="G17" s="129" t="str">
        <f>'1.2 Forutsetninger'!D381</f>
        <v>l/km</v>
      </c>
      <c r="H17" s="182">
        <f>C21</f>
        <v>2.2799999999999998</v>
      </c>
      <c r="I17" s="144" t="str">
        <f>D21</f>
        <v>Kr/l</v>
      </c>
      <c r="L17" s="182"/>
      <c r="M17" s="129"/>
      <c r="N17" s="182"/>
      <c r="O17" s="129"/>
      <c r="P17" s="182"/>
      <c r="Q17" s="129"/>
      <c r="R17" s="182"/>
      <c r="S17" s="129"/>
      <c r="T17" s="182"/>
      <c r="U17" s="129"/>
      <c r="V17" s="129"/>
      <c r="W17" s="129"/>
      <c r="AJ17" s="217" t="s">
        <v>543</v>
      </c>
      <c r="AK17" s="89" t="str">
        <f>""</f>
        <v/>
      </c>
    </row>
    <row r="18" spans="1:39" ht="18.5" x14ac:dyDescent="0.45">
      <c r="B18" s="218" t="str">
        <f>CONCATENATE('1.1 Standardsatser'!$B$143," - ",'1.1 Standardsatser'!$B$147)</f>
        <v>Andre transportmidler - Tung lastebil og modulvogntog</v>
      </c>
      <c r="C18" s="123">
        <f>H18*F18</f>
        <v>0.67305599999999999</v>
      </c>
      <c r="D18" s="129" t="s">
        <v>549</v>
      </c>
      <c r="E18" s="129">
        <f>$E$21</f>
        <v>2026</v>
      </c>
      <c r="F18" s="182">
        <f>Drivstofforbruk_TungLastebil</f>
        <v>0.29520000000000002</v>
      </c>
      <c r="G18" s="129" t="str">
        <f>'1.2 Forutsetninger'!D382</f>
        <v>l/km</v>
      </c>
      <c r="H18" s="182">
        <f>C21</f>
        <v>2.2799999999999998</v>
      </c>
      <c r="I18" s="144" t="str">
        <f>D21</f>
        <v>Kr/l</v>
      </c>
      <c r="L18" s="182"/>
      <c r="M18" s="129"/>
      <c r="N18" s="182"/>
      <c r="O18" s="129"/>
      <c r="P18" s="182"/>
      <c r="Q18" s="129"/>
      <c r="R18" s="182"/>
      <c r="S18" s="129"/>
      <c r="T18" s="182"/>
      <c r="U18" s="129"/>
      <c r="V18" s="129"/>
      <c r="W18" s="129"/>
      <c r="AJ18" s="217" t="s">
        <v>543</v>
      </c>
      <c r="AK18" s="89" t="str">
        <f>""</f>
        <v/>
      </c>
    </row>
    <row r="19" spans="1:39" ht="18.5" x14ac:dyDescent="0.45">
      <c r="B19" s="218" t="str">
        <f>CONCATENATE('1.1 Standardsatser'!$B$143," - ",'1.1 Standardsatser'!$B$148)</f>
        <v>Andre transportmidler - Skip</v>
      </c>
      <c r="C19" s="123">
        <f>L19+F19*N19</f>
        <v>29.754859090719446</v>
      </c>
      <c r="D19" s="129" t="s">
        <v>551</v>
      </c>
      <c r="E19" s="129">
        <f>$E$23</f>
        <v>2026</v>
      </c>
      <c r="F19" s="182">
        <f>Drivstofforbruk_Skip</f>
        <v>32.24660295068616</v>
      </c>
      <c r="G19" s="129" t="str">
        <f>'1.2 Forutsetninger'!D384</f>
        <v>l/km</v>
      </c>
      <c r="H19" s="125">
        <f>NOxUtslipp_Skip</f>
        <v>912.96965919115291</v>
      </c>
      <c r="I19" s="581" t="str">
        <f>'1.2 Forutsetninger'!D328</f>
        <v>G/fartøykm</v>
      </c>
      <c r="J19" s="182">
        <f>C23</f>
        <v>26.94</v>
      </c>
      <c r="K19" s="129" t="str">
        <f>D23</f>
        <v>Kr/kg</v>
      </c>
      <c r="L19" s="182">
        <f>(H19)*J19/1000</f>
        <v>24.595402618609661</v>
      </c>
      <c r="M19" s="129" t="s">
        <v>537</v>
      </c>
      <c r="N19" s="182">
        <f>C24</f>
        <v>0.16</v>
      </c>
      <c r="O19" s="129" t="str">
        <f>D24</f>
        <v>Kr/l</v>
      </c>
      <c r="V19" s="129"/>
      <c r="W19" s="129"/>
      <c r="AJ19" s="217" t="s">
        <v>543</v>
      </c>
      <c r="AK19" s="89"/>
    </row>
    <row r="20" spans="1:39" ht="18.5" x14ac:dyDescent="0.45">
      <c r="B20" s="220" t="s">
        <v>552</v>
      </c>
      <c r="C20" s="139"/>
      <c r="D20" s="141"/>
      <c r="E20" s="141"/>
      <c r="F20" s="189"/>
      <c r="G20" s="141"/>
      <c r="H20" s="189"/>
      <c r="I20" s="141"/>
      <c r="J20" s="195"/>
      <c r="K20" s="142"/>
      <c r="L20" s="195"/>
      <c r="M20" s="142"/>
      <c r="N20" s="189"/>
      <c r="O20" s="141"/>
      <c r="P20" s="195"/>
      <c r="Q20" s="142"/>
      <c r="R20" s="189"/>
      <c r="S20" s="141"/>
      <c r="T20" s="189"/>
      <c r="U20" s="141"/>
      <c r="V20" s="141"/>
      <c r="W20" s="141"/>
      <c r="X20" s="189"/>
      <c r="Y20" s="141"/>
      <c r="Z20" s="141"/>
      <c r="AA20" s="141"/>
      <c r="AB20" s="141"/>
      <c r="AC20" s="141"/>
      <c r="AD20" s="141"/>
      <c r="AE20" s="141"/>
      <c r="AF20" s="141"/>
      <c r="AG20" s="141"/>
      <c r="AH20" s="141"/>
      <c r="AI20" s="141"/>
      <c r="AJ20" s="243"/>
      <c r="AK20" s="89"/>
    </row>
    <row r="21" spans="1:39" ht="18.5" x14ac:dyDescent="0.45">
      <c r="B21" s="218" t="s">
        <v>553</v>
      </c>
      <c r="C21" s="111">
        <v>2.2799999999999998</v>
      </c>
      <c r="D21" s="129" t="s">
        <v>542</v>
      </c>
      <c r="E21" s="129">
        <v>2026</v>
      </c>
      <c r="F21" s="182">
        <f>Massetetthet_Diesel</f>
        <v>0.84</v>
      </c>
      <c r="G21" s="129" t="s">
        <v>541</v>
      </c>
      <c r="H21" s="182">
        <f>(Veibruksavgift_krprliter_diesel/F21)*1000</f>
        <v>2714.2857142857138</v>
      </c>
      <c r="I21" s="129" t="s">
        <v>554</v>
      </c>
      <c r="J21" s="182"/>
      <c r="K21" s="129"/>
      <c r="L21" s="182"/>
      <c r="M21" s="129"/>
      <c r="N21" s="182"/>
      <c r="O21" s="129"/>
      <c r="P21" s="182"/>
      <c r="Q21" s="129"/>
      <c r="R21" s="182"/>
      <c r="S21" s="129"/>
      <c r="T21" s="182"/>
      <c r="U21" s="129"/>
      <c r="V21" s="129"/>
      <c r="W21" s="129"/>
      <c r="X21" s="182"/>
      <c r="Y21" s="129"/>
      <c r="Z21" s="129"/>
      <c r="AA21" s="129"/>
      <c r="AB21" s="129"/>
      <c r="AC21" s="129"/>
      <c r="AD21" s="129"/>
      <c r="AE21" s="129"/>
      <c r="AF21" s="129"/>
      <c r="AG21" s="129"/>
      <c r="AH21" s="129"/>
      <c r="AI21" s="129"/>
      <c r="AJ21" s="217" t="s">
        <v>555</v>
      </c>
      <c r="AK21" s="89" t="str">
        <f>""</f>
        <v/>
      </c>
    </row>
    <row r="22" spans="1:39" ht="18.5" x14ac:dyDescent="0.45">
      <c r="B22" s="218" t="s">
        <v>556</v>
      </c>
      <c r="C22" s="111">
        <v>3.77</v>
      </c>
      <c r="D22" s="129" t="s">
        <v>542</v>
      </c>
      <c r="E22" s="129">
        <v>2026</v>
      </c>
      <c r="F22" s="182"/>
      <c r="G22" s="129"/>
      <c r="H22" s="182"/>
      <c r="I22" s="129"/>
      <c r="J22" s="182"/>
      <c r="K22" s="129"/>
      <c r="L22" s="182"/>
      <c r="M22" s="129"/>
      <c r="N22" s="182"/>
      <c r="O22" s="129"/>
      <c r="P22" s="182"/>
      <c r="Q22" s="129"/>
      <c r="R22" s="182"/>
      <c r="S22" s="129"/>
      <c r="T22" s="182"/>
      <c r="U22" s="129"/>
      <c r="V22" s="129"/>
      <c r="W22" s="129"/>
      <c r="X22" s="182"/>
      <c r="Y22" s="129"/>
      <c r="Z22" s="129"/>
      <c r="AA22" s="129"/>
      <c r="AB22" s="129"/>
      <c r="AC22" s="129"/>
      <c r="AD22" s="129"/>
      <c r="AE22" s="129"/>
      <c r="AF22" s="129"/>
      <c r="AG22" s="129"/>
      <c r="AH22" s="129"/>
      <c r="AI22" s="129"/>
      <c r="AJ22" s="217" t="s">
        <v>555</v>
      </c>
      <c r="AK22" s="89"/>
    </row>
    <row r="23" spans="1:39" ht="18.5" x14ac:dyDescent="0.45">
      <c r="B23" s="218" t="s">
        <v>557</v>
      </c>
      <c r="C23" s="111">
        <v>26.94</v>
      </c>
      <c r="D23" s="129" t="s">
        <v>547</v>
      </c>
      <c r="E23" s="129">
        <v>2026</v>
      </c>
      <c r="F23" s="182"/>
      <c r="G23" s="129"/>
      <c r="H23" s="182"/>
      <c r="I23" s="129"/>
      <c r="J23" s="182"/>
      <c r="K23" s="129"/>
      <c r="L23" s="182"/>
      <c r="M23" s="129"/>
      <c r="N23" s="182"/>
      <c r="O23" s="129"/>
      <c r="P23" s="182"/>
      <c r="Q23" s="129"/>
      <c r="R23" s="182"/>
      <c r="S23" s="129"/>
      <c r="T23" s="182"/>
      <c r="U23" s="129"/>
      <c r="V23" s="129"/>
      <c r="W23" s="129"/>
      <c r="X23" s="182"/>
      <c r="Y23" s="129"/>
      <c r="Z23" s="129"/>
      <c r="AA23" s="129"/>
      <c r="AB23" s="129"/>
      <c r="AC23" s="129"/>
      <c r="AD23" s="129"/>
      <c r="AE23" s="129"/>
      <c r="AF23" s="129"/>
      <c r="AG23" s="129"/>
      <c r="AH23" s="129"/>
      <c r="AI23" s="129"/>
      <c r="AJ23" s="217" t="s">
        <v>555</v>
      </c>
      <c r="AK23" s="89"/>
    </row>
    <row r="24" spans="1:39" ht="18.5" x14ac:dyDescent="0.45">
      <c r="B24" s="218" t="s">
        <v>558</v>
      </c>
      <c r="C24" s="111">
        <f>16/100</f>
        <v>0.16</v>
      </c>
      <c r="D24" s="129" t="s">
        <v>542</v>
      </c>
      <c r="E24" s="129">
        <v>2026</v>
      </c>
      <c r="F24" s="182"/>
      <c r="G24" s="129"/>
      <c r="H24" s="182"/>
      <c r="I24" s="129"/>
      <c r="J24" s="182"/>
      <c r="K24" s="129"/>
      <c r="L24" s="182"/>
      <c r="M24" s="129"/>
      <c r="N24" s="182"/>
      <c r="O24" s="129"/>
      <c r="P24" s="182"/>
      <c r="Q24" s="129"/>
      <c r="R24" s="182"/>
      <c r="S24" s="129"/>
      <c r="T24" s="182"/>
      <c r="U24" s="129"/>
      <c r="V24" s="129"/>
      <c r="W24" s="129"/>
      <c r="X24" s="182"/>
      <c r="Y24" s="129"/>
      <c r="Z24" s="129"/>
      <c r="AA24" s="129"/>
      <c r="AB24" s="129"/>
      <c r="AC24" s="129"/>
      <c r="AD24" s="129"/>
      <c r="AE24" s="129"/>
      <c r="AF24" s="129"/>
      <c r="AG24" s="129"/>
      <c r="AH24" s="129"/>
      <c r="AI24" s="129"/>
      <c r="AJ24" s="217" t="s">
        <v>555</v>
      </c>
      <c r="AK24" s="89"/>
    </row>
    <row r="25" spans="1:39" ht="18.5" x14ac:dyDescent="0.45">
      <c r="B25" s="218" t="s">
        <v>559</v>
      </c>
      <c r="C25" s="111">
        <v>9.94</v>
      </c>
      <c r="D25" s="129" t="s">
        <v>548</v>
      </c>
      <c r="E25" s="129">
        <v>2026</v>
      </c>
      <c r="F25" s="197"/>
      <c r="G25" s="129"/>
      <c r="H25" s="182"/>
      <c r="I25" s="129"/>
      <c r="J25" s="182"/>
      <c r="K25" s="129"/>
      <c r="L25" s="182"/>
      <c r="M25" s="129"/>
      <c r="N25" s="182"/>
      <c r="O25" s="129"/>
      <c r="P25" s="182"/>
      <c r="Q25" s="129"/>
      <c r="R25" s="182"/>
      <c r="S25" s="129"/>
      <c r="T25" s="182"/>
      <c r="U25" s="129"/>
      <c r="V25" s="129"/>
      <c r="W25" s="129"/>
      <c r="X25" s="182"/>
      <c r="Y25" s="129"/>
      <c r="Z25" s="129"/>
      <c r="AA25" s="129"/>
      <c r="AB25" s="129"/>
      <c r="AC25" s="129"/>
      <c r="AD25" s="129"/>
      <c r="AE25" s="129"/>
      <c r="AF25" s="129"/>
      <c r="AG25" s="129"/>
      <c r="AH25" s="129"/>
      <c r="AI25" s="129"/>
      <c r="AJ25" s="217" t="s">
        <v>560</v>
      </c>
      <c r="AK25" s="89"/>
    </row>
    <row r="26" spans="1:39" ht="18.5" x14ac:dyDescent="0.45">
      <c r="B26" s="218" t="s">
        <v>561</v>
      </c>
      <c r="C26" s="111">
        <v>9.94</v>
      </c>
      <c r="D26" s="129" t="s">
        <v>548</v>
      </c>
      <c r="E26" s="129">
        <v>2026</v>
      </c>
      <c r="F26" s="1057">
        <f>'1.2 Forutsetninger'!D95</f>
        <v>0.75</v>
      </c>
      <c r="G26" s="129" t="s">
        <v>544</v>
      </c>
      <c r="H26" s="182"/>
      <c r="I26" s="129"/>
      <c r="J26" s="182"/>
      <c r="K26" s="129"/>
      <c r="L26" s="182"/>
      <c r="M26" s="129"/>
      <c r="N26" s="182"/>
      <c r="O26" s="129"/>
      <c r="P26" s="182"/>
      <c r="Q26" s="129"/>
      <c r="R26" s="182"/>
      <c r="S26" s="129"/>
      <c r="T26" s="182"/>
      <c r="U26" s="129"/>
      <c r="V26" s="129"/>
      <c r="W26" s="129"/>
      <c r="X26" s="182"/>
      <c r="Y26" s="129"/>
      <c r="Z26" s="129"/>
      <c r="AA26" s="129"/>
      <c r="AB26" s="129"/>
      <c r="AC26" s="129"/>
      <c r="AD26" s="129"/>
      <c r="AE26" s="129"/>
      <c r="AF26" s="129"/>
      <c r="AG26" s="129"/>
      <c r="AH26" s="129"/>
      <c r="AI26" s="129"/>
      <c r="AJ26" s="217" t="s">
        <v>562</v>
      </c>
      <c r="AK26" s="89"/>
    </row>
    <row r="27" spans="1:39" ht="18.5" x14ac:dyDescent="0.45">
      <c r="B27" s="240" t="str">
        <f>'1.1 Standardsatser'!$B$149</f>
        <v>Vedlikeholdskostnader infrastruktur</v>
      </c>
      <c r="C27" s="114"/>
      <c r="D27" s="165"/>
      <c r="E27" s="132"/>
      <c r="F27" s="188"/>
      <c r="G27" s="132"/>
      <c r="H27" s="188"/>
      <c r="I27" s="132"/>
      <c r="J27" s="188"/>
      <c r="K27" s="130"/>
      <c r="L27" s="188"/>
      <c r="M27" s="132"/>
      <c r="N27" s="188"/>
      <c r="O27" s="132"/>
      <c r="P27" s="188"/>
      <c r="Q27" s="132"/>
      <c r="R27" s="188"/>
      <c r="S27" s="132"/>
      <c r="T27" s="188"/>
      <c r="U27" s="132"/>
      <c r="V27" s="132"/>
      <c r="W27" s="132"/>
      <c r="X27" s="188"/>
      <c r="Y27" s="132"/>
      <c r="Z27" s="132"/>
      <c r="AA27" s="132"/>
      <c r="AB27" s="132"/>
      <c r="AC27" s="132"/>
      <c r="AD27" s="132"/>
      <c r="AE27" s="132"/>
      <c r="AF27" s="132"/>
      <c r="AG27" s="132"/>
      <c r="AH27" s="132"/>
      <c r="AI27" s="132"/>
      <c r="AJ27" s="242"/>
      <c r="AK27" s="89" t="str">
        <f>""</f>
        <v/>
      </c>
      <c r="AL27" t="str">
        <f>IF(COUNTBLANK(C27)=0,"Finn forutsetninger","")</f>
        <v/>
      </c>
    </row>
    <row r="28" spans="1:39" x14ac:dyDescent="0.35">
      <c r="B28" s="218" t="str">
        <f>CONCATENATE('1.1 Standardsatser'!$B$150," - ",'1.1 Standardsatser'!$B$157)</f>
        <v xml:space="preserve">Tog - Persontog - slitasje </v>
      </c>
      <c r="C28" s="123">
        <v>24.01</v>
      </c>
      <c r="D28" s="129" t="s">
        <v>563</v>
      </c>
      <c r="E28" s="167">
        <v>2025</v>
      </c>
      <c r="F28" s="197">
        <f>C25</f>
        <v>9.94</v>
      </c>
      <c r="G28" s="432" t="str">
        <f>D25</f>
        <v>Kr/togkm</v>
      </c>
      <c r="H28" s="125"/>
      <c r="I28" s="136"/>
      <c r="J28" s="182">
        <f>IFERROR('1.3 Persontransportmodell'!E32/('1.3 Persontransportmodell'!E33+'1.3 Persontransportmodell'!E34),1)</f>
        <v>1</v>
      </c>
      <c r="K28" s="136" t="s">
        <v>564</v>
      </c>
      <c r="L28" s="182"/>
      <c r="M28" s="136"/>
      <c r="N28" s="182"/>
      <c r="O28" s="129"/>
      <c r="P28" s="182"/>
      <c r="Q28" s="136"/>
      <c r="R28" s="182"/>
      <c r="S28" s="136"/>
      <c r="T28" s="182"/>
      <c r="U28" s="136"/>
      <c r="V28" s="136"/>
      <c r="W28" s="136"/>
      <c r="X28" s="182"/>
      <c r="Y28" s="136"/>
      <c r="Z28" s="136"/>
      <c r="AA28" s="136"/>
      <c r="AB28" s="136"/>
      <c r="AC28" s="136"/>
      <c r="AD28" s="136"/>
      <c r="AE28" s="136"/>
      <c r="AF28" s="136"/>
      <c r="AG28" s="136"/>
      <c r="AH28" s="136"/>
      <c r="AI28" s="136"/>
      <c r="AJ28" s="217" t="s">
        <v>565</v>
      </c>
    </row>
    <row r="29" spans="1:39" x14ac:dyDescent="0.35">
      <c r="A29" s="543"/>
      <c r="B29" s="218" t="str">
        <f>CONCATENATE('1.1 Standardsatser'!$B$150," - ",'1.1 Standardsatser'!$B$158)</f>
        <v>Tog - Godstog - slitasje</v>
      </c>
      <c r="C29" s="123">
        <v>24.01</v>
      </c>
      <c r="D29" s="129" t="s">
        <v>548</v>
      </c>
      <c r="E29" s="167">
        <v>2025</v>
      </c>
      <c r="F29" s="197"/>
      <c r="G29" s="432"/>
      <c r="H29" s="125"/>
      <c r="I29" s="136"/>
      <c r="J29" s="182"/>
      <c r="K29" s="136"/>
      <c r="L29" s="182"/>
      <c r="M29" s="136"/>
      <c r="N29" s="182"/>
      <c r="O29" s="129"/>
      <c r="P29" s="182"/>
      <c r="Q29" s="136"/>
      <c r="R29" s="182"/>
      <c r="S29" s="136"/>
      <c r="T29" s="182"/>
      <c r="U29" s="136"/>
      <c r="V29" s="136"/>
      <c r="W29" s="136"/>
      <c r="X29" s="182"/>
      <c r="Y29" s="136"/>
      <c r="Z29" s="136"/>
      <c r="AA29" s="136"/>
      <c r="AB29" s="136"/>
      <c r="AC29" s="136"/>
      <c r="AD29" s="136"/>
      <c r="AE29" s="136"/>
      <c r="AF29" s="136"/>
      <c r="AG29" s="136"/>
      <c r="AH29" s="136"/>
      <c r="AI29" s="136"/>
      <c r="AJ29" s="217" t="s">
        <v>566</v>
      </c>
    </row>
    <row r="30" spans="1:39" ht="18.5" x14ac:dyDescent="0.45">
      <c r="B30" s="220" t="str">
        <f>'1.1 Standardsatser'!B159</f>
        <v>Andre transportmidler</v>
      </c>
      <c r="C30" s="139"/>
      <c r="D30" s="141"/>
      <c r="E30" s="141"/>
      <c r="F30" s="189"/>
      <c r="G30" s="141"/>
      <c r="H30" s="189"/>
      <c r="I30" s="141"/>
      <c r="J30" s="195"/>
      <c r="K30" s="142"/>
      <c r="L30" s="195"/>
      <c r="M30" s="142"/>
      <c r="N30" s="189"/>
      <c r="O30" s="141"/>
      <c r="P30" s="195"/>
      <c r="Q30" s="142"/>
      <c r="R30" s="189"/>
      <c r="S30" s="141"/>
      <c r="T30" s="189"/>
      <c r="U30" s="141"/>
      <c r="V30" s="141"/>
      <c r="W30" s="141"/>
      <c r="X30" s="189"/>
      <c r="Y30" s="141"/>
      <c r="Z30" s="141"/>
      <c r="AA30" s="141"/>
      <c r="AB30" s="141"/>
      <c r="AC30" s="141"/>
      <c r="AD30" s="141"/>
      <c r="AE30" s="141"/>
      <c r="AF30" s="141"/>
      <c r="AG30" s="141"/>
      <c r="AH30" s="141"/>
      <c r="AI30" s="141"/>
      <c r="AJ30" s="243"/>
      <c r="AK30" s="89"/>
    </row>
    <row r="31" spans="1:39" ht="18.5" x14ac:dyDescent="0.45">
      <c r="B31" s="218" t="str">
        <f>'1.1 Standardsatser'!B163</f>
        <v>Tung lastebil - slitasje</v>
      </c>
      <c r="C31" s="123">
        <v>0.254</v>
      </c>
      <c r="D31" s="129" t="s">
        <v>549</v>
      </c>
      <c r="E31" s="167">
        <v>2022</v>
      </c>
      <c r="F31" s="197"/>
      <c r="G31" s="432"/>
      <c r="H31" s="125"/>
      <c r="I31" s="136"/>
      <c r="J31" s="182"/>
      <c r="K31" s="136"/>
      <c r="L31" s="182"/>
      <c r="M31" s="136"/>
      <c r="N31" s="182"/>
      <c r="O31" s="129"/>
      <c r="P31" s="182"/>
      <c r="Q31" s="136"/>
      <c r="R31" s="182"/>
      <c r="S31" s="136"/>
      <c r="T31" s="182"/>
      <c r="U31" s="136"/>
      <c r="V31" s="136"/>
      <c r="W31" s="136"/>
      <c r="X31" s="182"/>
      <c r="Y31" s="136"/>
      <c r="Z31" s="136"/>
      <c r="AA31" s="136"/>
      <c r="AB31" s="136"/>
      <c r="AC31" s="136"/>
      <c r="AD31" s="136"/>
      <c r="AE31" s="136"/>
      <c r="AF31" s="136"/>
      <c r="AG31" s="136"/>
      <c r="AH31" s="136"/>
      <c r="AI31" s="136"/>
      <c r="AJ31" s="217" t="s">
        <v>2501</v>
      </c>
      <c r="AK31" s="89"/>
      <c r="AM31" s="1246"/>
    </row>
    <row r="32" spans="1:39" x14ac:dyDescent="0.35">
      <c r="A32" s="543"/>
      <c r="B32" s="218" t="str">
        <f>'1.1 Standardsatser'!B164</f>
        <v>Modulvogntog - slitasje</v>
      </c>
      <c r="C32" s="123">
        <v>0.37</v>
      </c>
      <c r="D32" s="129" t="s">
        <v>567</v>
      </c>
      <c r="E32" s="167">
        <v>2022</v>
      </c>
      <c r="F32" s="197"/>
      <c r="G32" s="432"/>
      <c r="H32" s="125"/>
      <c r="I32" s="136"/>
      <c r="J32" s="182"/>
      <c r="K32" s="136"/>
      <c r="L32" s="182"/>
      <c r="M32" s="136"/>
      <c r="N32" s="182"/>
      <c r="O32" s="129"/>
      <c r="P32" s="182"/>
      <c r="Q32" s="136"/>
      <c r="R32" s="182"/>
      <c r="S32" s="136"/>
      <c r="T32" s="182"/>
      <c r="U32" s="136"/>
      <c r="V32" s="136"/>
      <c r="W32" s="136"/>
      <c r="X32" s="182"/>
      <c r="Y32" s="136"/>
      <c r="Z32" s="136"/>
      <c r="AA32" s="136"/>
      <c r="AB32" s="136"/>
      <c r="AC32" s="136"/>
      <c r="AD32" s="136"/>
      <c r="AE32" s="136"/>
      <c r="AF32" s="136"/>
      <c r="AG32" s="136"/>
      <c r="AH32" s="136"/>
      <c r="AI32" s="136"/>
      <c r="AJ32" s="217" t="s">
        <v>2502</v>
      </c>
      <c r="AM32" s="1246"/>
    </row>
    <row r="33" spans="1:39" ht="18.5" x14ac:dyDescent="0.45">
      <c r="B33" s="240" t="str">
        <f>'1.1 Standardsatser'!$B$165</f>
        <v>Lønnkostnader for personell på tog</v>
      </c>
      <c r="C33" s="114"/>
      <c r="D33" s="165"/>
      <c r="E33" s="132"/>
      <c r="F33" s="188"/>
      <c r="G33" s="132"/>
      <c r="H33" s="188"/>
      <c r="I33" s="132"/>
      <c r="J33" s="188"/>
      <c r="K33" s="130"/>
      <c r="L33" s="188"/>
      <c r="M33" s="132"/>
      <c r="N33" s="188"/>
      <c r="O33" s="132"/>
      <c r="P33" s="188"/>
      <c r="Q33" s="132"/>
      <c r="R33" s="188"/>
      <c r="S33" s="132"/>
      <c r="T33" s="188"/>
      <c r="U33" s="132"/>
      <c r="V33" s="132"/>
      <c r="W33" s="132"/>
      <c r="X33" s="188"/>
      <c r="Y33" s="132"/>
      <c r="Z33" s="132"/>
      <c r="AA33" s="132"/>
      <c r="AB33" s="132"/>
      <c r="AC33" s="132"/>
      <c r="AD33" s="132"/>
      <c r="AE33" s="132"/>
      <c r="AF33" s="132"/>
      <c r="AG33" s="132"/>
      <c r="AH33" s="132"/>
      <c r="AI33" s="132"/>
      <c r="AJ33" s="242"/>
      <c r="AK33" s="89" t="str">
        <f>""</f>
        <v/>
      </c>
      <c r="AM33" s="1246"/>
    </row>
    <row r="34" spans="1:39" ht="18.5" x14ac:dyDescent="0.45">
      <c r="A34" s="929"/>
      <c r="B34" s="218" t="str">
        <f>CONCATENATE('1.1 Standardsatser'!$B$166," - ",'1.1 Standardsatser'!$B$167)</f>
        <v>Lønn per time inkl. sosiale kostnader - Lokomotivfører</v>
      </c>
      <c r="C34" s="133">
        <f>F34*(1+(H34+J34+L34))/N34</f>
        <v>894.41902702702714</v>
      </c>
      <c r="D34" s="129" t="s">
        <v>568</v>
      </c>
      <c r="E34" s="167">
        <v>2025</v>
      </c>
      <c r="F34" s="125">
        <v>899280</v>
      </c>
      <c r="G34" s="432" t="s">
        <v>569</v>
      </c>
      <c r="H34" s="182">
        <v>0.14000000000000001</v>
      </c>
      <c r="I34" s="136" t="s">
        <v>570</v>
      </c>
      <c r="J34" s="182">
        <v>0.2</v>
      </c>
      <c r="K34" s="136" t="s">
        <v>570</v>
      </c>
      <c r="L34" s="182">
        <v>0.5</v>
      </c>
      <c r="M34" s="136" t="s">
        <v>570</v>
      </c>
      <c r="N34" s="182">
        <v>1850</v>
      </c>
      <c r="O34" s="129" t="s">
        <v>571</v>
      </c>
      <c r="P34" s="182"/>
      <c r="Q34" s="136"/>
      <c r="R34" s="182"/>
      <c r="S34" s="136"/>
      <c r="T34" s="182"/>
      <c r="U34" s="136"/>
      <c r="V34" s="136"/>
      <c r="W34" s="136"/>
      <c r="X34" s="182"/>
      <c r="Y34" s="136"/>
      <c r="Z34" s="136"/>
      <c r="AA34" s="136"/>
      <c r="AB34" s="136"/>
      <c r="AC34" s="136"/>
      <c r="AD34" s="136"/>
      <c r="AE34" s="136"/>
      <c r="AF34" s="136"/>
      <c r="AG34" s="136"/>
      <c r="AH34" s="136"/>
      <c r="AI34" s="136"/>
      <c r="AJ34" s="217" t="s">
        <v>2505</v>
      </c>
      <c r="AK34" s="89" t="str">
        <f>""</f>
        <v/>
      </c>
    </row>
    <row r="35" spans="1:39" ht="18.5" x14ac:dyDescent="0.45">
      <c r="A35" s="929"/>
      <c r="B35" s="218" t="str">
        <f>CONCATENATE('1.1 Standardsatser'!$B$166," - ",'1.1 Standardsatser'!$B$168)</f>
        <v>Lønn per time inkl. sosiale kostnader - Konduktør</v>
      </c>
      <c r="C35" s="133">
        <f>F35*(1+(H35+J35+L35))/N35</f>
        <v>791.65751351351355</v>
      </c>
      <c r="D35" s="129" t="s">
        <v>568</v>
      </c>
      <c r="E35" s="167">
        <v>2025</v>
      </c>
      <c r="F35" s="125">
        <v>795960</v>
      </c>
      <c r="G35" s="432" t="s">
        <v>569</v>
      </c>
      <c r="H35" s="182">
        <v>0.14000000000000001</v>
      </c>
      <c r="I35" s="136" t="s">
        <v>570</v>
      </c>
      <c r="J35" s="182">
        <v>0.2</v>
      </c>
      <c r="K35" s="136" t="s">
        <v>570</v>
      </c>
      <c r="L35" s="182">
        <v>0.5</v>
      </c>
      <c r="M35" s="136" t="s">
        <v>570</v>
      </c>
      <c r="N35" s="182">
        <v>1850</v>
      </c>
      <c r="O35" s="129" t="s">
        <v>571</v>
      </c>
      <c r="P35" s="182"/>
      <c r="Q35" s="136"/>
      <c r="R35" s="182"/>
      <c r="S35" s="136"/>
      <c r="T35" s="182"/>
      <c r="U35" s="136"/>
      <c r="V35" s="136"/>
      <c r="W35" s="136"/>
      <c r="X35" s="182"/>
      <c r="Y35" s="136"/>
      <c r="Z35" s="136"/>
      <c r="AA35" s="136"/>
      <c r="AB35" s="136"/>
      <c r="AC35" s="136"/>
      <c r="AD35" s="136"/>
      <c r="AE35" s="136"/>
      <c r="AF35" s="136"/>
      <c r="AG35" s="136"/>
      <c r="AH35" s="136"/>
      <c r="AI35" s="136"/>
      <c r="AJ35" s="217" t="s">
        <v>572</v>
      </c>
      <c r="AK35" s="89" t="str">
        <f>""</f>
        <v/>
      </c>
    </row>
    <row r="36" spans="1:39" ht="18.5" x14ac:dyDescent="0.45">
      <c r="B36" s="240" t="str">
        <f>'1.1 Standardsatser'!B169</f>
        <v>Driftskostnader tog</v>
      </c>
      <c r="C36" s="180"/>
      <c r="D36" s="181"/>
      <c r="E36" s="181"/>
      <c r="F36" s="190"/>
      <c r="G36" s="181"/>
      <c r="H36" s="190"/>
      <c r="I36" s="181"/>
      <c r="J36" s="190"/>
      <c r="K36" s="181"/>
      <c r="L36" s="190"/>
      <c r="M36" s="181"/>
      <c r="N36" s="190"/>
      <c r="O36" s="181"/>
      <c r="P36" s="190"/>
      <c r="Q36" s="181"/>
      <c r="R36" s="190"/>
      <c r="S36" s="181"/>
      <c r="T36" s="190"/>
      <c r="U36" s="181"/>
      <c r="V36" s="181"/>
      <c r="W36" s="181"/>
      <c r="X36" s="190"/>
      <c r="Y36" s="181"/>
      <c r="Z36" s="181"/>
      <c r="AA36" s="181"/>
      <c r="AB36" s="181"/>
      <c r="AC36" s="181"/>
      <c r="AD36" s="181"/>
      <c r="AE36" s="181"/>
      <c r="AF36" s="181"/>
      <c r="AG36" s="181"/>
      <c r="AH36" s="181"/>
      <c r="AI36" s="181"/>
      <c r="AJ36" s="244"/>
      <c r="AK36" s="89"/>
    </row>
    <row r="37" spans="1:39" ht="18.5" x14ac:dyDescent="0.45">
      <c r="B37" s="218" t="str">
        <f>CONCATENATE('1.1 Standardsatser'!$B$193," - ",'1.1 Standardsatser'!B194)</f>
        <v>Energikostnad  - S tog</v>
      </c>
      <c r="C37" s="123">
        <f t="shared" ref="C37:C58" si="0">F37*H37</f>
        <v>5.681982926829269</v>
      </c>
      <c r="D37" s="129" t="s">
        <v>573</v>
      </c>
      <c r="E37" s="129">
        <f t="shared" ref="E37:E44" si="1">$E$80</f>
        <v>2025</v>
      </c>
      <c r="F37" s="182">
        <f>kWhSettkm_Stog</f>
        <v>7.15</v>
      </c>
      <c r="G37" s="129" t="s">
        <v>574</v>
      </c>
      <c r="H37" s="182">
        <f>$C$80</f>
        <v>0.79468292682926833</v>
      </c>
      <c r="I37" s="136" t="str">
        <f t="shared" ref="I37:I44" si="2">$D$80</f>
        <v>Kr per kWh</v>
      </c>
      <c r="J37" s="182"/>
      <c r="K37" s="129"/>
      <c r="L37" s="182"/>
      <c r="M37" s="129"/>
      <c r="N37" s="182"/>
      <c r="O37" s="129"/>
      <c r="P37" s="182"/>
      <c r="Q37" s="129"/>
      <c r="R37" s="182"/>
      <c r="S37" s="129"/>
      <c r="T37" s="182"/>
      <c r="U37" s="129"/>
      <c r="V37" s="129"/>
      <c r="W37" s="129"/>
      <c r="X37" s="182"/>
      <c r="Y37" s="129"/>
      <c r="Z37" s="129"/>
      <c r="AA37" s="129"/>
      <c r="AB37" s="129"/>
      <c r="AC37" s="129"/>
      <c r="AD37" s="129"/>
      <c r="AE37" s="129"/>
      <c r="AF37" s="129"/>
      <c r="AG37" s="129"/>
      <c r="AH37" s="129"/>
      <c r="AI37" s="129"/>
      <c r="AJ37" s="217" t="s">
        <v>575</v>
      </c>
      <c r="AK37" s="89"/>
    </row>
    <row r="38" spans="1:39" ht="18.5" x14ac:dyDescent="0.45">
      <c r="B38" s="218" t="str">
        <f>CONCATENATE('1.1 Standardsatser'!$B$193," - ",'1.1 Standardsatser'!B195)</f>
        <v>Energikostnad  - Type 69</v>
      </c>
      <c r="C38" s="123">
        <f>F38*H38</f>
        <v>5.460761812132235</v>
      </c>
      <c r="D38" s="129" t="s">
        <v>573</v>
      </c>
      <c r="E38" s="129">
        <v>2025</v>
      </c>
      <c r="F38" s="123">
        <v>6.8716234208281142</v>
      </c>
      <c r="G38" s="129" t="s">
        <v>574</v>
      </c>
      <c r="H38" s="182">
        <f t="shared" ref="H38:H45" si="3">$C$80</f>
        <v>0.79468292682926833</v>
      </c>
      <c r="I38" s="136" t="str">
        <f t="shared" si="2"/>
        <v>Kr per kWh</v>
      </c>
      <c r="J38" s="182"/>
      <c r="K38" s="129"/>
      <c r="L38" s="182"/>
      <c r="M38" s="129"/>
      <c r="N38" s="182"/>
      <c r="O38" s="129"/>
      <c r="P38" s="182"/>
      <c r="Q38" s="129"/>
      <c r="R38" s="182"/>
      <c r="S38" s="129"/>
      <c r="T38" s="182"/>
      <c r="U38" s="129"/>
      <c r="V38" s="129"/>
      <c r="W38" s="129"/>
      <c r="X38" s="182"/>
      <c r="Y38" s="129"/>
      <c r="Z38" s="129"/>
      <c r="AA38" s="129"/>
      <c r="AB38" s="129"/>
      <c r="AC38" s="129"/>
      <c r="AD38" s="129"/>
      <c r="AE38" s="129"/>
      <c r="AF38" s="129"/>
      <c r="AG38" s="129"/>
      <c r="AH38" s="129"/>
      <c r="AI38" s="129"/>
      <c r="AJ38" s="217" t="s">
        <v>575</v>
      </c>
      <c r="AK38" s="89"/>
    </row>
    <row r="39" spans="1:39" ht="18.5" x14ac:dyDescent="0.45">
      <c r="B39" s="218" t="str">
        <f>CONCATENATE('1.1 Standardsatser'!$B$193," - ",'1.1 Standardsatser'!B196)</f>
        <v>Energikostnad  - Type 70</v>
      </c>
      <c r="C39" s="123">
        <f>F39*H39</f>
        <v>8.4914105115683878</v>
      </c>
      <c r="D39" s="129" t="s">
        <v>573</v>
      </c>
      <c r="E39" s="129">
        <v>2025</v>
      </c>
      <c r="F39" s="123">
        <v>10.685281166727146</v>
      </c>
      <c r="G39" s="129" t="s">
        <v>574</v>
      </c>
      <c r="H39" s="182">
        <f t="shared" si="3"/>
        <v>0.79468292682926833</v>
      </c>
      <c r="I39" s="136" t="str">
        <f t="shared" si="2"/>
        <v>Kr per kWh</v>
      </c>
      <c r="J39" s="182"/>
      <c r="K39" s="129"/>
      <c r="L39" s="182"/>
      <c r="M39" s="129"/>
      <c r="N39" s="182"/>
      <c r="O39" s="129"/>
      <c r="P39" s="182"/>
      <c r="Q39" s="129"/>
      <c r="R39" s="182"/>
      <c r="S39" s="129"/>
      <c r="T39" s="182"/>
      <c r="U39" s="129"/>
      <c r="V39" s="129"/>
      <c r="W39" s="129"/>
      <c r="X39" s="182"/>
      <c r="Y39" s="129"/>
      <c r="Z39" s="129"/>
      <c r="AA39" s="129"/>
      <c r="AB39" s="129"/>
      <c r="AC39" s="129"/>
      <c r="AD39" s="129"/>
      <c r="AE39" s="129"/>
      <c r="AF39" s="129"/>
      <c r="AG39" s="129"/>
      <c r="AH39" s="129"/>
      <c r="AI39" s="129"/>
      <c r="AJ39" s="217" t="s">
        <v>575</v>
      </c>
      <c r="AK39" s="89"/>
    </row>
    <row r="40" spans="1:39" ht="18.5" x14ac:dyDescent="0.45">
      <c r="B40" s="218" t="str">
        <f>CONCATENATE('1.1 Standardsatser'!$B$193," - ",'1.1 Standardsatser'!B197)</f>
        <v>Energikostnad  - Type 75</v>
      </c>
      <c r="C40" s="123">
        <f t="shared" si="0"/>
        <v>8.2090746341463419</v>
      </c>
      <c r="D40" s="129" t="s">
        <v>573</v>
      </c>
      <c r="E40" s="129">
        <f t="shared" si="1"/>
        <v>2025</v>
      </c>
      <c r="F40" s="111">
        <f>kWhSettkm_75</f>
        <v>10.33</v>
      </c>
      <c r="G40" s="129" t="s">
        <v>574</v>
      </c>
      <c r="H40" s="182">
        <f t="shared" si="3"/>
        <v>0.79468292682926833</v>
      </c>
      <c r="I40" s="136" t="str">
        <f t="shared" si="2"/>
        <v>Kr per kWh</v>
      </c>
      <c r="J40" s="182"/>
      <c r="K40" s="129"/>
      <c r="L40" s="182"/>
      <c r="M40" s="129"/>
      <c r="N40" s="182"/>
      <c r="O40" s="129"/>
      <c r="P40" s="182"/>
      <c r="Q40" s="129"/>
      <c r="R40" s="182"/>
      <c r="S40" s="129"/>
      <c r="T40" s="182"/>
      <c r="U40" s="129"/>
      <c r="V40" s="129"/>
      <c r="W40" s="129"/>
      <c r="X40" s="182"/>
      <c r="Y40" s="129"/>
      <c r="Z40" s="129"/>
      <c r="AA40" s="129"/>
      <c r="AB40" s="129"/>
      <c r="AC40" s="129"/>
      <c r="AD40" s="129"/>
      <c r="AE40" s="129"/>
      <c r="AF40" s="129"/>
      <c r="AG40" s="129"/>
      <c r="AH40" s="129"/>
      <c r="AI40" s="129"/>
      <c r="AJ40" s="217" t="s">
        <v>575</v>
      </c>
      <c r="AK40" s="89"/>
    </row>
    <row r="41" spans="1:39" ht="18.5" x14ac:dyDescent="0.45">
      <c r="B41" s="218" t="str">
        <f>CONCATENATE('1.1 Standardsatser'!$B$193," - ",'1.1 Standardsatser'!B198)</f>
        <v>Energikostnad  - Type 74</v>
      </c>
      <c r="C41" s="123">
        <f t="shared" si="0"/>
        <v>7.9070951219512198</v>
      </c>
      <c r="D41" s="129" t="s">
        <v>573</v>
      </c>
      <c r="E41" s="129">
        <f t="shared" si="1"/>
        <v>2025</v>
      </c>
      <c r="F41" s="111">
        <f>kWhSettkm_74</f>
        <v>9.9499999999999993</v>
      </c>
      <c r="G41" s="129" t="s">
        <v>574</v>
      </c>
      <c r="H41" s="182">
        <f t="shared" si="3"/>
        <v>0.79468292682926833</v>
      </c>
      <c r="I41" s="136" t="str">
        <f t="shared" si="2"/>
        <v>Kr per kWh</v>
      </c>
      <c r="J41" s="182"/>
      <c r="K41" s="129"/>
      <c r="L41" s="182"/>
      <c r="M41" s="129"/>
      <c r="N41" s="182"/>
      <c r="O41" s="129"/>
      <c r="P41" s="182"/>
      <c r="Q41" s="129"/>
      <c r="R41" s="182"/>
      <c r="S41" s="129"/>
      <c r="T41" s="182"/>
      <c r="U41" s="129"/>
      <c r="V41" s="129"/>
      <c r="W41" s="129"/>
      <c r="X41" s="182"/>
      <c r="Y41" s="129"/>
      <c r="Z41" s="129"/>
      <c r="AA41" s="129"/>
      <c r="AB41" s="129"/>
      <c r="AC41" s="129"/>
      <c r="AD41" s="129"/>
      <c r="AE41" s="129"/>
      <c r="AF41" s="129"/>
      <c r="AG41" s="129"/>
      <c r="AH41" s="129"/>
      <c r="AI41" s="129"/>
      <c r="AJ41" s="217" t="s">
        <v>575</v>
      </c>
      <c r="AK41" s="89"/>
    </row>
    <row r="42" spans="1:39" ht="18.5" x14ac:dyDescent="0.45">
      <c r="B42" s="218" t="str">
        <f>CONCATENATE('1.1 Standardsatser'!$B$193," - ",'1.1 Standardsatser'!B199)</f>
        <v>Energikostnad  - Type 73</v>
      </c>
      <c r="C42" s="123">
        <f>F42*H42</f>
        <v>8.0837987052069025</v>
      </c>
      <c r="D42" s="129" t="s">
        <v>573</v>
      </c>
      <c r="E42" s="129">
        <f t="shared" si="1"/>
        <v>2025</v>
      </c>
      <c r="F42" s="123">
        <f>KWhSettkm_73</f>
        <v>10.172357341890706</v>
      </c>
      <c r="G42" s="129" t="s">
        <v>574</v>
      </c>
      <c r="H42" s="182">
        <f t="shared" si="3"/>
        <v>0.79468292682926833</v>
      </c>
      <c r="I42" s="136" t="str">
        <f t="shared" si="2"/>
        <v>Kr per kWh</v>
      </c>
      <c r="J42" s="182"/>
      <c r="K42" s="129"/>
      <c r="L42" s="182"/>
      <c r="M42" s="129"/>
      <c r="N42" s="182"/>
      <c r="O42" s="129"/>
      <c r="P42" s="182"/>
      <c r="Q42" s="129"/>
      <c r="R42" s="182"/>
      <c r="S42" s="129"/>
      <c r="T42" s="182"/>
      <c r="U42" s="129"/>
      <c r="V42" s="129"/>
      <c r="W42" s="129"/>
      <c r="X42" s="182"/>
      <c r="Y42" s="129"/>
      <c r="Z42" s="129"/>
      <c r="AA42" s="129"/>
      <c r="AB42" s="129"/>
      <c r="AC42" s="129"/>
      <c r="AD42" s="129"/>
      <c r="AE42" s="129"/>
      <c r="AF42" s="129"/>
      <c r="AG42" s="129"/>
      <c r="AH42" s="129"/>
      <c r="AI42" s="129"/>
      <c r="AJ42" s="217" t="s">
        <v>575</v>
      </c>
      <c r="AK42" s="89"/>
    </row>
    <row r="43" spans="1:39" ht="18.5" x14ac:dyDescent="0.45">
      <c r="B43" s="218" t="str">
        <f>CONCATENATE('1.1 Standardsatser'!$B$193," - ",'1.1 Standardsatser'!B200)</f>
        <v>Energikostnad  - Type 72</v>
      </c>
      <c r="C43" s="123">
        <f>F43*H43</f>
        <v>7.2157209756097567</v>
      </c>
      <c r="D43" s="129" t="s">
        <v>573</v>
      </c>
      <c r="E43" s="129">
        <f t="shared" si="1"/>
        <v>2025</v>
      </c>
      <c r="F43" s="182">
        <f>kWhSettkm_72</f>
        <v>9.08</v>
      </c>
      <c r="G43" s="129" t="s">
        <v>574</v>
      </c>
      <c r="H43" s="182">
        <f t="shared" si="3"/>
        <v>0.79468292682926833</v>
      </c>
      <c r="I43" s="136" t="str">
        <f t="shared" si="2"/>
        <v>Kr per kWh</v>
      </c>
      <c r="J43" s="182"/>
      <c r="K43" s="129"/>
      <c r="L43" s="182"/>
      <c r="M43" s="129"/>
      <c r="N43" s="182"/>
      <c r="O43" s="129"/>
      <c r="P43" s="182"/>
      <c r="Q43" s="129"/>
      <c r="R43" s="182"/>
      <c r="S43" s="129"/>
      <c r="T43" s="182"/>
      <c r="U43" s="129"/>
      <c r="V43" s="129"/>
      <c r="W43" s="129"/>
      <c r="X43" s="182"/>
      <c r="Y43" s="129"/>
      <c r="Z43" s="129"/>
      <c r="AA43" s="129"/>
      <c r="AB43" s="129"/>
      <c r="AC43" s="129"/>
      <c r="AD43" s="129"/>
      <c r="AE43" s="129"/>
      <c r="AF43" s="129"/>
      <c r="AG43" s="129"/>
      <c r="AH43" s="129"/>
      <c r="AI43" s="129"/>
      <c r="AJ43" s="217" t="s">
        <v>575</v>
      </c>
      <c r="AK43" s="89"/>
    </row>
    <row r="44" spans="1:39" ht="18.5" x14ac:dyDescent="0.45">
      <c r="B44" s="218" t="str">
        <f>CONCATENATE('1.1 Standardsatser'!$B$193," - ",'1.1 Standardsatser'!B201)</f>
        <v xml:space="preserve">Energikostnad  - Type 78 </v>
      </c>
      <c r="C44" s="123">
        <f t="shared" si="0"/>
        <v>5.4038439024390241</v>
      </c>
      <c r="D44" s="129" t="s">
        <v>573</v>
      </c>
      <c r="E44" s="129">
        <f t="shared" si="1"/>
        <v>2025</v>
      </c>
      <c r="F44" s="111">
        <f>kWhSettkm_78</f>
        <v>6.8</v>
      </c>
      <c r="G44" s="129" t="s">
        <v>574</v>
      </c>
      <c r="H44" s="182">
        <f t="shared" si="3"/>
        <v>0.79468292682926833</v>
      </c>
      <c r="I44" s="136" t="str">
        <f t="shared" si="2"/>
        <v>Kr per kWh</v>
      </c>
      <c r="J44" s="182"/>
      <c r="K44" s="129"/>
      <c r="L44" s="182"/>
      <c r="M44" s="129"/>
      <c r="N44" s="182"/>
      <c r="O44" s="129"/>
      <c r="P44" s="182"/>
      <c r="Q44" s="129"/>
      <c r="R44" s="182"/>
      <c r="S44" s="129"/>
      <c r="T44" s="182"/>
      <c r="U44" s="129"/>
      <c r="V44" s="129"/>
      <c r="W44" s="129"/>
      <c r="X44" s="182"/>
      <c r="Y44" s="129"/>
      <c r="Z44" s="129"/>
      <c r="AA44" s="129"/>
      <c r="AB44" s="129"/>
      <c r="AC44" s="129"/>
      <c r="AD44" s="129"/>
      <c r="AE44" s="129"/>
      <c r="AF44" s="129"/>
      <c r="AG44" s="129"/>
      <c r="AH44" s="129"/>
      <c r="AI44" s="129"/>
      <c r="AJ44" s="217" t="s">
        <v>575</v>
      </c>
      <c r="AK44" s="89"/>
    </row>
    <row r="45" spans="1:39" ht="18.5" x14ac:dyDescent="0.45">
      <c r="B45" s="218" t="str">
        <f>CONCATENATE('1.1 Standardsatser'!$B$193," - ",'1.1 Standardsatser'!B202)</f>
        <v>Energikostnad  - Type 77</v>
      </c>
      <c r="C45" s="123">
        <f>F45*H45</f>
        <v>6.5672597073170742</v>
      </c>
      <c r="D45" s="129" t="s">
        <v>573</v>
      </c>
      <c r="E45" s="129">
        <v>2025</v>
      </c>
      <c r="F45" s="111">
        <f>kWhSettkm_77</f>
        <v>8.2640000000000011</v>
      </c>
      <c r="G45" s="129" t="s">
        <v>574</v>
      </c>
      <c r="H45" s="182">
        <f t="shared" si="3"/>
        <v>0.79468292682926833</v>
      </c>
      <c r="I45" s="587" t="s">
        <v>576</v>
      </c>
      <c r="J45" s="182"/>
      <c r="K45" s="129"/>
      <c r="L45" s="182"/>
      <c r="M45" s="129"/>
      <c r="N45" s="182"/>
      <c r="O45" s="129"/>
      <c r="P45" s="182"/>
      <c r="Q45" s="129"/>
      <c r="R45" s="182"/>
      <c r="S45" s="129"/>
      <c r="T45" s="182"/>
      <c r="U45" s="129"/>
      <c r="V45" s="129"/>
      <c r="W45" s="129"/>
      <c r="X45" s="182"/>
      <c r="Y45" s="129"/>
      <c r="Z45" s="129"/>
      <c r="AA45" s="129"/>
      <c r="AB45" s="129"/>
      <c r="AC45" s="129"/>
      <c r="AD45" s="129"/>
      <c r="AE45" s="129"/>
      <c r="AF45" s="129"/>
      <c r="AG45" s="129"/>
      <c r="AH45" s="129"/>
      <c r="AI45" s="129"/>
      <c r="AJ45" s="217" t="s">
        <v>575</v>
      </c>
      <c r="AK45" s="89"/>
    </row>
    <row r="46" spans="1:39" ht="18.5" x14ac:dyDescent="0.45">
      <c r="B46" s="218" t="str">
        <f>CONCATENATE('1.1 Standardsatser'!$B$193," - ",'1.1 Standardsatser'!B203)</f>
        <v>Energikostnad  - Type 93D</v>
      </c>
      <c r="C46" s="123">
        <f t="shared" si="0"/>
        <v>23.974999999999998</v>
      </c>
      <c r="D46" s="129" t="s">
        <v>573</v>
      </c>
      <c r="E46" s="129">
        <f>E81</f>
        <v>2026</v>
      </c>
      <c r="F46" s="182">
        <f>Drivstofforbruk_93</f>
        <v>1.75</v>
      </c>
      <c r="G46" s="129" t="str">
        <f>'1.2 Forutsetninger'!D371</f>
        <v>l/km</v>
      </c>
      <c r="H46" s="182">
        <f>C81</f>
        <v>13.7</v>
      </c>
      <c r="I46" s="136" t="str">
        <f>D81</f>
        <v>Kr/l</v>
      </c>
      <c r="J46" s="182"/>
      <c r="K46" s="129"/>
      <c r="L46" s="182"/>
      <c r="M46" s="129"/>
      <c r="N46" s="182"/>
      <c r="O46" s="129"/>
      <c r="P46" s="182"/>
      <c r="Q46" s="129"/>
      <c r="R46" s="182"/>
      <c r="S46" s="129"/>
      <c r="T46" s="182"/>
      <c r="U46" s="129"/>
      <c r="V46" s="129"/>
      <c r="W46" s="129"/>
      <c r="X46" s="182"/>
      <c r="Y46" s="129"/>
      <c r="Z46" s="129"/>
      <c r="AA46" s="129"/>
      <c r="AB46" s="129"/>
      <c r="AC46" s="129"/>
      <c r="AD46" s="129"/>
      <c r="AE46" s="129"/>
      <c r="AF46" s="129"/>
      <c r="AG46" s="129"/>
      <c r="AH46" s="129"/>
      <c r="AI46" s="129"/>
      <c r="AJ46" s="217" t="s">
        <v>577</v>
      </c>
      <c r="AK46" s="89"/>
    </row>
    <row r="47" spans="1:39" ht="18.5" x14ac:dyDescent="0.45">
      <c r="B47" s="218" t="str">
        <f>CONCATENATE('1.1 Standardsatser'!$B$193," - ",'1.1 Standardsatser'!B204)</f>
        <v>Energikostnad  - Type 76 (diesel)</v>
      </c>
      <c r="C47" s="123">
        <f t="shared" si="0"/>
        <v>21.372</v>
      </c>
      <c r="D47" s="129" t="s">
        <v>573</v>
      </c>
      <c r="E47" s="129">
        <f>E81</f>
        <v>2026</v>
      </c>
      <c r="F47" s="182">
        <f>Drivstofforbruk_76</f>
        <v>1.56</v>
      </c>
      <c r="G47" s="129" t="str">
        <f>'1.2 Forutsetninger'!D373</f>
        <v>l/km</v>
      </c>
      <c r="H47" s="182">
        <f>C81</f>
        <v>13.7</v>
      </c>
      <c r="I47" s="136" t="str">
        <f>D81</f>
        <v>Kr/l</v>
      </c>
      <c r="J47" s="182"/>
      <c r="K47" s="129"/>
      <c r="L47" s="182"/>
      <c r="M47" s="129"/>
      <c r="N47" s="182"/>
      <c r="O47" s="129"/>
      <c r="P47" s="182"/>
      <c r="Q47" s="129"/>
      <c r="R47" s="182"/>
      <c r="S47" s="129"/>
      <c r="T47" s="182"/>
      <c r="U47" s="129"/>
      <c r="V47" s="129"/>
      <c r="W47" s="129"/>
      <c r="X47" s="182"/>
      <c r="Y47" s="129"/>
      <c r="Z47" s="129"/>
      <c r="AA47" s="129"/>
      <c r="AB47" s="129"/>
      <c r="AC47" s="129"/>
      <c r="AD47" s="129"/>
      <c r="AE47" s="129"/>
      <c r="AF47" s="129"/>
      <c r="AG47" s="129"/>
      <c r="AH47" s="129"/>
      <c r="AI47" s="129"/>
      <c r="AJ47" s="217" t="s">
        <v>577</v>
      </c>
      <c r="AK47" s="89"/>
    </row>
    <row r="48" spans="1:39" ht="18.5" x14ac:dyDescent="0.45">
      <c r="B48" s="218" t="str">
        <f>CONCATENATE('1.1 Standardsatser'!$B$193," - ",'1.1 Standardsatser'!B205)</f>
        <v>Energikostnad  - Type 76 (elektrisk)</v>
      </c>
      <c r="C48" s="123">
        <f t="shared" ref="C48:C53" si="4">F48*H48</f>
        <v>9.7746000000000013</v>
      </c>
      <c r="D48" s="129" t="s">
        <v>573</v>
      </c>
      <c r="E48" s="129">
        <v>2025</v>
      </c>
      <c r="F48" s="182">
        <v>12.3</v>
      </c>
      <c r="G48" s="129" t="s">
        <v>574</v>
      </c>
      <c r="H48" s="182">
        <f t="shared" ref="H48:H55" si="5">$C$80</f>
        <v>0.79468292682926833</v>
      </c>
      <c r="I48" s="136" t="s">
        <v>576</v>
      </c>
      <c r="J48" s="182"/>
      <c r="K48" s="129"/>
      <c r="L48" s="182"/>
      <c r="M48" s="129"/>
      <c r="N48" s="182"/>
      <c r="O48" s="129"/>
      <c r="P48" s="182"/>
      <c r="Q48" s="129"/>
      <c r="R48" s="182"/>
      <c r="S48" s="129"/>
      <c r="T48" s="182"/>
      <c r="U48" s="129"/>
      <c r="V48" s="129"/>
      <c r="W48" s="129"/>
      <c r="X48" s="182"/>
      <c r="Y48" s="129"/>
      <c r="Z48" s="129"/>
      <c r="AA48" s="129"/>
      <c r="AB48" s="129"/>
      <c r="AC48" s="129"/>
      <c r="AD48" s="129"/>
      <c r="AE48" s="129"/>
      <c r="AF48" s="129"/>
      <c r="AG48" s="129"/>
      <c r="AH48" s="129"/>
      <c r="AI48" s="129"/>
      <c r="AJ48" s="217" t="s">
        <v>575</v>
      </c>
      <c r="AK48" s="89"/>
    </row>
    <row r="49" spans="2:37" ht="18.5" x14ac:dyDescent="0.45">
      <c r="B49" s="218" t="str">
        <f>CONCATENATE('1.1 Standardsatser'!$B$193," - ",'1.1 Standardsatser'!B206)</f>
        <v>Energikostnad  - Type N05</v>
      </c>
      <c r="C49" s="123">
        <f t="shared" si="4"/>
        <v>6.850166829268292</v>
      </c>
      <c r="D49" s="129" t="s">
        <v>573</v>
      </c>
      <c r="E49" s="129">
        <v>2025</v>
      </c>
      <c r="F49" s="182">
        <v>8.6199999999999992</v>
      </c>
      <c r="G49" s="129" t="s">
        <v>574</v>
      </c>
      <c r="H49" s="182">
        <f t="shared" si="5"/>
        <v>0.79468292682926833</v>
      </c>
      <c r="I49" s="136" t="s">
        <v>576</v>
      </c>
      <c r="J49" s="182"/>
      <c r="K49" s="129"/>
      <c r="L49" s="182"/>
      <c r="M49" s="129"/>
      <c r="N49" s="182"/>
      <c r="O49" s="129"/>
      <c r="P49" s="182"/>
      <c r="Q49" s="129"/>
      <c r="R49" s="182"/>
      <c r="S49" s="129"/>
      <c r="T49" s="182"/>
      <c r="U49" s="129"/>
      <c r="V49" s="129"/>
      <c r="W49" s="129"/>
      <c r="X49" s="182"/>
      <c r="Y49" s="129"/>
      <c r="Z49" s="129"/>
      <c r="AA49" s="129"/>
      <c r="AB49" s="129"/>
      <c r="AC49" s="129"/>
      <c r="AD49" s="129"/>
      <c r="AE49" s="129"/>
      <c r="AF49" s="129"/>
      <c r="AG49" s="129"/>
      <c r="AH49" s="129"/>
      <c r="AI49" s="129"/>
      <c r="AJ49" s="217" t="s">
        <v>575</v>
      </c>
      <c r="AK49" s="89"/>
    </row>
    <row r="50" spans="2:37" ht="18.5" x14ac:dyDescent="0.45">
      <c r="B50" s="218" t="str">
        <f>CONCATENATE('1.1 Standardsatser'!$B$193," - ",'1.1 Standardsatser'!B207)</f>
        <v>Energikostnad  - Type N06</v>
      </c>
      <c r="C50" s="123">
        <f t="shared" si="4"/>
        <v>6.850166829268292</v>
      </c>
      <c r="D50" s="129" t="s">
        <v>573</v>
      </c>
      <c r="E50" s="129">
        <v>2025</v>
      </c>
      <c r="F50" s="182">
        <v>8.6199999999999992</v>
      </c>
      <c r="G50" s="129" t="s">
        <v>574</v>
      </c>
      <c r="H50" s="182">
        <f t="shared" si="5"/>
        <v>0.79468292682926833</v>
      </c>
      <c r="I50" s="136" t="s">
        <v>576</v>
      </c>
      <c r="J50" s="182"/>
      <c r="K50" s="129"/>
      <c r="L50" s="182"/>
      <c r="M50" s="129"/>
      <c r="N50" s="182"/>
      <c r="O50" s="129"/>
      <c r="P50" s="182"/>
      <c r="Q50" s="129"/>
      <c r="R50" s="182"/>
      <c r="S50" s="129"/>
      <c r="T50" s="182"/>
      <c r="U50" s="129"/>
      <c r="V50" s="129"/>
      <c r="W50" s="129"/>
      <c r="X50" s="182"/>
      <c r="Y50" s="129"/>
      <c r="Z50" s="129"/>
      <c r="AA50" s="129"/>
      <c r="AB50" s="129"/>
      <c r="AC50" s="129"/>
      <c r="AD50" s="129"/>
      <c r="AE50" s="129"/>
      <c r="AF50" s="129"/>
      <c r="AG50" s="129"/>
      <c r="AH50" s="129"/>
      <c r="AI50" s="129"/>
      <c r="AJ50" s="217" t="s">
        <v>575</v>
      </c>
      <c r="AK50" s="89"/>
    </row>
    <row r="51" spans="2:37" ht="18.5" x14ac:dyDescent="0.45">
      <c r="B51" s="218" t="str">
        <f>CONCATENATE('1.1 Standardsatser'!$B$193," - ",'1.1 Standardsatser'!B208)</f>
        <v>Energikostnad  - Type N10 dag</v>
      </c>
      <c r="C51" s="123">
        <f t="shared" si="4"/>
        <v>11.379859512195123</v>
      </c>
      <c r="D51" s="129" t="s">
        <v>573</v>
      </c>
      <c r="E51" s="129">
        <v>2025</v>
      </c>
      <c r="F51" s="182">
        <v>14.32</v>
      </c>
      <c r="G51" s="129" t="s">
        <v>574</v>
      </c>
      <c r="H51" s="182">
        <f t="shared" si="5"/>
        <v>0.79468292682926833</v>
      </c>
      <c r="I51" s="136" t="s">
        <v>576</v>
      </c>
      <c r="J51" s="182"/>
      <c r="K51" s="129"/>
      <c r="L51" s="182"/>
      <c r="M51" s="129"/>
      <c r="N51" s="182"/>
      <c r="O51" s="129"/>
      <c r="P51" s="182"/>
      <c r="Q51" s="129"/>
      <c r="R51" s="182"/>
      <c r="S51" s="129"/>
      <c r="T51" s="182"/>
      <c r="U51" s="129"/>
      <c r="V51" s="129"/>
      <c r="W51" s="129"/>
      <c r="X51" s="182"/>
      <c r="Y51" s="129"/>
      <c r="Z51" s="129"/>
      <c r="AA51" s="129"/>
      <c r="AB51" s="129"/>
      <c r="AC51" s="129"/>
      <c r="AD51" s="129"/>
      <c r="AE51" s="129"/>
      <c r="AF51" s="129"/>
      <c r="AG51" s="129"/>
      <c r="AH51" s="129"/>
      <c r="AI51" s="129"/>
      <c r="AJ51" s="217" t="s">
        <v>575</v>
      </c>
      <c r="AK51" s="89"/>
    </row>
    <row r="52" spans="2:37" ht="18.5" x14ac:dyDescent="0.45">
      <c r="B52" s="218" t="str">
        <f>CONCATENATE('1.1 Standardsatser'!$B$193," - ",'1.1 Standardsatser'!B209)</f>
        <v>Energikostnad  - Type N10 natt</v>
      </c>
      <c r="C52" s="123">
        <f t="shared" si="4"/>
        <v>11.379859512195123</v>
      </c>
      <c r="D52" s="129" t="s">
        <v>573</v>
      </c>
      <c r="E52" s="129">
        <v>2025</v>
      </c>
      <c r="F52" s="182">
        <v>14.32</v>
      </c>
      <c r="G52" s="129" t="s">
        <v>574</v>
      </c>
      <c r="H52" s="182">
        <f t="shared" si="5"/>
        <v>0.79468292682926833</v>
      </c>
      <c r="I52" s="136" t="s">
        <v>576</v>
      </c>
      <c r="J52" s="182"/>
      <c r="K52" s="129"/>
      <c r="L52" s="182"/>
      <c r="M52" s="129"/>
      <c r="N52" s="182"/>
      <c r="O52" s="129"/>
      <c r="P52" s="182"/>
      <c r="Q52" s="129"/>
      <c r="R52" s="182"/>
      <c r="S52" s="129"/>
      <c r="T52" s="182"/>
      <c r="U52" s="129"/>
      <c r="V52" s="129"/>
      <c r="W52" s="129"/>
      <c r="X52" s="182"/>
      <c r="Y52" s="129"/>
      <c r="Z52" s="129"/>
      <c r="AA52" s="129"/>
      <c r="AB52" s="129"/>
      <c r="AC52" s="129"/>
      <c r="AD52" s="129"/>
      <c r="AE52" s="129"/>
      <c r="AF52" s="129"/>
      <c r="AG52" s="129"/>
      <c r="AH52" s="129"/>
      <c r="AI52" s="129"/>
      <c r="AJ52" s="217" t="s">
        <v>577</v>
      </c>
      <c r="AK52" s="89"/>
    </row>
    <row r="53" spans="2:37" ht="18.5" x14ac:dyDescent="0.45">
      <c r="B53" s="218" t="str">
        <f>CONCATENATE('1.1 Standardsatser'!$B$193," - ",'1.1 Standardsatser'!B210)</f>
        <v>Energikostnad  - Type N11</v>
      </c>
      <c r="C53" s="123">
        <f t="shared" si="4"/>
        <v>9.9891643902439036</v>
      </c>
      <c r="D53" s="129" t="s">
        <v>573</v>
      </c>
      <c r="E53" s="129">
        <v>2025</v>
      </c>
      <c r="F53" s="182">
        <v>12.57</v>
      </c>
      <c r="G53" s="129" t="s">
        <v>574</v>
      </c>
      <c r="H53" s="182">
        <f t="shared" si="5"/>
        <v>0.79468292682926833</v>
      </c>
      <c r="I53" s="136" t="s">
        <v>576</v>
      </c>
      <c r="J53" s="182"/>
      <c r="K53" s="129"/>
      <c r="L53" s="182"/>
      <c r="M53" s="129"/>
      <c r="N53" s="182"/>
      <c r="O53" s="129"/>
      <c r="P53" s="182"/>
      <c r="Q53" s="129"/>
      <c r="R53" s="182"/>
      <c r="S53" s="129"/>
      <c r="T53" s="182"/>
      <c r="U53" s="129"/>
      <c r="V53" s="129"/>
      <c r="W53" s="129"/>
      <c r="X53" s="182"/>
      <c r="Y53" s="129"/>
      <c r="Z53" s="129"/>
      <c r="AA53" s="129"/>
      <c r="AB53" s="129"/>
      <c r="AC53" s="129"/>
      <c r="AD53" s="129"/>
      <c r="AE53" s="129"/>
      <c r="AF53" s="129"/>
      <c r="AG53" s="129"/>
      <c r="AH53" s="129"/>
      <c r="AI53" s="129"/>
      <c r="AJ53" s="217" t="s">
        <v>577</v>
      </c>
      <c r="AK53" s="89"/>
    </row>
    <row r="54" spans="2:37" ht="18.5" x14ac:dyDescent="0.45">
      <c r="B54" s="218" t="str">
        <f>CONCATENATE('1.1 Standardsatser'!$B$193," - ",'1.1 Standardsatser'!B211)</f>
        <v>Energikostnad  - Type N12</v>
      </c>
      <c r="C54" s="123">
        <f t="shared" ref="C54:C55" si="6">F54*H54</f>
        <v>11.379859512195123</v>
      </c>
      <c r="D54" s="129" t="s">
        <v>573</v>
      </c>
      <c r="E54" s="129">
        <v>2025</v>
      </c>
      <c r="F54" s="182">
        <v>14.32</v>
      </c>
      <c r="G54" s="129" t="s">
        <v>574</v>
      </c>
      <c r="H54" s="182">
        <f t="shared" si="5"/>
        <v>0.79468292682926833</v>
      </c>
      <c r="I54" s="136" t="s">
        <v>576</v>
      </c>
      <c r="J54" s="182"/>
      <c r="K54" s="129"/>
      <c r="L54" s="182"/>
      <c r="M54" s="129"/>
      <c r="N54" s="182"/>
      <c r="O54" s="129"/>
      <c r="P54" s="182"/>
      <c r="Q54" s="129"/>
      <c r="R54" s="182"/>
      <c r="S54" s="129"/>
      <c r="T54" s="182"/>
      <c r="U54" s="129"/>
      <c r="V54" s="129"/>
      <c r="W54" s="129"/>
      <c r="X54" s="182"/>
      <c r="Y54" s="129"/>
      <c r="Z54" s="129"/>
      <c r="AA54" s="129"/>
      <c r="AB54" s="129"/>
      <c r="AC54" s="129"/>
      <c r="AD54" s="129"/>
      <c r="AE54" s="129"/>
      <c r="AF54" s="129"/>
      <c r="AG54" s="129"/>
      <c r="AH54" s="129"/>
      <c r="AI54" s="129"/>
      <c r="AJ54" s="217" t="s">
        <v>575</v>
      </c>
      <c r="AK54" s="89"/>
    </row>
    <row r="55" spans="2:37" ht="18.5" x14ac:dyDescent="0.45">
      <c r="B55" s="218" t="str">
        <f>CONCATENATE('1.1 Standardsatser'!$B$193," - ",'1.1 Standardsatser'!B212)</f>
        <v>Energikostnad  - Type N13</v>
      </c>
      <c r="C55" s="123">
        <f t="shared" si="6"/>
        <v>11.379859512195123</v>
      </c>
      <c r="D55" s="129" t="s">
        <v>573</v>
      </c>
      <c r="E55" s="129">
        <v>2025</v>
      </c>
      <c r="F55" s="182">
        <v>14.32</v>
      </c>
      <c r="G55" s="129" t="s">
        <v>574</v>
      </c>
      <c r="H55" s="182">
        <f t="shared" si="5"/>
        <v>0.79468292682926833</v>
      </c>
      <c r="I55" s="136" t="s">
        <v>576</v>
      </c>
      <c r="J55" s="182"/>
      <c r="K55" s="129"/>
      <c r="L55" s="182"/>
      <c r="M55" s="129"/>
      <c r="N55" s="182"/>
      <c r="O55" s="129"/>
      <c r="P55" s="182"/>
      <c r="Q55" s="129"/>
      <c r="R55" s="182"/>
      <c r="S55" s="129"/>
      <c r="T55" s="182"/>
      <c r="U55" s="129"/>
      <c r="V55" s="129"/>
      <c r="W55" s="129"/>
      <c r="X55" s="182"/>
      <c r="Y55" s="129"/>
      <c r="Z55" s="129"/>
      <c r="AA55" s="129"/>
      <c r="AB55" s="129"/>
      <c r="AC55" s="129"/>
      <c r="AD55" s="129"/>
      <c r="AE55" s="129"/>
      <c r="AF55" s="129"/>
      <c r="AG55" s="129"/>
      <c r="AH55" s="129"/>
      <c r="AI55" s="129"/>
      <c r="AJ55" s="217" t="s">
        <v>575</v>
      </c>
      <c r="AK55" s="89"/>
    </row>
    <row r="56" spans="2:37" ht="18.5" x14ac:dyDescent="0.45">
      <c r="B56" s="218" t="str">
        <f>CONCATENATE('1.1 Standardsatser'!$B$193," - ",'1.1 Standardsatser'!B213)</f>
        <v>Energikostnad  - Elektrisk lokomotiv (EL18)</v>
      </c>
      <c r="C56" s="123">
        <f t="shared" si="0"/>
        <v>2.2727931707317075</v>
      </c>
      <c r="D56" s="129" t="s">
        <v>573</v>
      </c>
      <c r="E56" s="129">
        <f>$E$80</f>
        <v>2025</v>
      </c>
      <c r="F56" s="182">
        <f>kWhSettkm_LokEL</f>
        <v>2.86</v>
      </c>
      <c r="G56" s="129" t="s">
        <v>574</v>
      </c>
      <c r="H56" s="182">
        <f>$C$80</f>
        <v>0.79468292682926833</v>
      </c>
      <c r="I56" s="136" t="str">
        <f>$D$80</f>
        <v>Kr per kWh</v>
      </c>
      <c r="J56" s="182"/>
      <c r="K56" s="129"/>
      <c r="L56" s="182"/>
      <c r="M56" s="129"/>
      <c r="N56" s="182"/>
      <c r="O56" s="129"/>
      <c r="P56" s="182"/>
      <c r="Q56" s="129"/>
      <c r="R56" s="182"/>
      <c r="S56" s="129"/>
      <c r="T56" s="182"/>
      <c r="U56" s="129"/>
      <c r="V56" s="129"/>
      <c r="W56" s="129"/>
      <c r="X56" s="182"/>
      <c r="Y56" s="129"/>
      <c r="Z56" s="129"/>
      <c r="AA56" s="129"/>
      <c r="AB56" s="129"/>
      <c r="AC56" s="129"/>
      <c r="AD56" s="129"/>
      <c r="AE56" s="129"/>
      <c r="AF56" s="129"/>
      <c r="AG56" s="129"/>
      <c r="AH56" s="129"/>
      <c r="AI56" s="129"/>
      <c r="AJ56" s="217" t="s">
        <v>575</v>
      </c>
      <c r="AK56" s="89"/>
    </row>
    <row r="57" spans="2:37" ht="18.5" x14ac:dyDescent="0.45">
      <c r="B57" s="218" t="str">
        <f>CONCATENATE('1.1 Standardsatser'!$B$193," - ",'1.1 Standardsatser'!B214)</f>
        <v>Energikostnad  - Diesel lokomotiv (Di4)</v>
      </c>
      <c r="C57" s="123">
        <f t="shared" si="0"/>
        <v>34.25</v>
      </c>
      <c r="D57" s="129" t="s">
        <v>573</v>
      </c>
      <c r="E57" s="129">
        <f>E81</f>
        <v>2026</v>
      </c>
      <c r="F57" s="182">
        <f>Drivstofforbruk_LokD</f>
        <v>2.5</v>
      </c>
      <c r="G57" s="129" t="str">
        <f>'1.2 Forutsetninger'!D372</f>
        <v>l/km</v>
      </c>
      <c r="H57" s="182">
        <f>C81</f>
        <v>13.7</v>
      </c>
      <c r="I57" s="136" t="str">
        <f>D81</f>
        <v>Kr/l</v>
      </c>
      <c r="J57" s="182"/>
      <c r="K57" s="129"/>
      <c r="L57" s="182"/>
      <c r="M57" s="129"/>
      <c r="N57" s="182"/>
      <c r="O57" s="129"/>
      <c r="P57" s="182"/>
      <c r="Q57" s="129"/>
      <c r="R57" s="182"/>
      <c r="S57" s="129"/>
      <c r="T57" s="182"/>
      <c r="U57" s="129"/>
      <c r="V57" s="129"/>
      <c r="W57" s="129"/>
      <c r="X57" s="182"/>
      <c r="Y57" s="129"/>
      <c r="Z57" s="129"/>
      <c r="AA57" s="129"/>
      <c r="AB57" s="129"/>
      <c r="AC57" s="129"/>
      <c r="AD57" s="129"/>
      <c r="AE57" s="129"/>
      <c r="AF57" s="129"/>
      <c r="AG57" s="129"/>
      <c r="AH57" s="129"/>
      <c r="AI57" s="129"/>
      <c r="AJ57" s="217" t="s">
        <v>577</v>
      </c>
      <c r="AK57" s="89"/>
    </row>
    <row r="58" spans="2:37" ht="18.5" x14ac:dyDescent="0.45">
      <c r="B58" s="218" t="str">
        <f>CONCATENATE('1.1 Standardsatser'!$B$261," - ",'1.1 Standardsatser'!B262)</f>
        <v>Rengjøringskostnad - S tog</v>
      </c>
      <c r="C58" s="133">
        <f t="shared" si="0"/>
        <v>3000</v>
      </c>
      <c r="D58" s="129" t="s">
        <v>578</v>
      </c>
      <c r="E58" s="129">
        <f>$E$82</f>
        <v>2016</v>
      </c>
      <c r="F58" s="125">
        <f>Vogner_Stog</f>
        <v>4</v>
      </c>
      <c r="G58" s="129" t="str">
        <f>'1.2 Forutsetninger'!D267</f>
        <v>Vogner</v>
      </c>
      <c r="H58" s="125">
        <f>$C$82</f>
        <v>750</v>
      </c>
      <c r="I58" s="136" t="str">
        <f>$D$82</f>
        <v>Kr per vogn</v>
      </c>
      <c r="J58" s="182"/>
      <c r="K58" s="129"/>
      <c r="L58" s="182"/>
      <c r="M58" s="129"/>
      <c r="N58" s="182"/>
      <c r="O58" s="129"/>
      <c r="P58" s="182"/>
      <c r="Q58" s="129"/>
      <c r="R58" s="182"/>
      <c r="S58" s="129"/>
      <c r="T58" s="182"/>
      <c r="U58" s="129"/>
      <c r="V58" s="129"/>
      <c r="W58" s="129"/>
      <c r="X58" s="182"/>
      <c r="Y58" s="129"/>
      <c r="Z58" s="129"/>
      <c r="AA58" s="129"/>
      <c r="AB58" s="129"/>
      <c r="AC58" s="129"/>
      <c r="AD58" s="129"/>
      <c r="AE58" s="129"/>
      <c r="AF58" s="129"/>
      <c r="AG58" s="129"/>
      <c r="AH58" s="129"/>
      <c r="AI58" s="129"/>
      <c r="AJ58" s="217" t="s">
        <v>579</v>
      </c>
      <c r="AK58" s="89"/>
    </row>
    <row r="59" spans="2:37" ht="18.5" x14ac:dyDescent="0.45">
      <c r="B59" s="218" t="str">
        <f>CONCATENATE('1.1 Standardsatser'!$B$261," - ",'1.1 Standardsatser'!B263)</f>
        <v>Rengjøringskostnad - Type 69</v>
      </c>
      <c r="C59" s="133">
        <v>1055.568734165651</v>
      </c>
      <c r="D59" s="129" t="s">
        <v>578</v>
      </c>
      <c r="E59" s="129">
        <v>2024</v>
      </c>
      <c r="F59" s="125"/>
      <c r="G59" s="129"/>
      <c r="H59" s="125"/>
      <c r="I59" s="136"/>
      <c r="J59" s="182"/>
      <c r="K59" s="129"/>
      <c r="L59" s="182"/>
      <c r="M59" s="129"/>
      <c r="N59" s="182"/>
      <c r="O59" s="129"/>
      <c r="P59" s="182"/>
      <c r="Q59" s="129"/>
      <c r="R59" s="182"/>
      <c r="S59" s="129"/>
      <c r="T59" s="182"/>
      <c r="U59" s="129"/>
      <c r="V59" s="129"/>
      <c r="W59" s="129"/>
      <c r="X59" s="182"/>
      <c r="Y59" s="129"/>
      <c r="Z59" s="129"/>
      <c r="AA59" s="129"/>
      <c r="AB59" s="129"/>
      <c r="AC59" s="129"/>
      <c r="AD59" s="129"/>
      <c r="AE59" s="129"/>
      <c r="AF59" s="129"/>
      <c r="AG59" s="129"/>
      <c r="AH59" s="129"/>
      <c r="AI59" s="129"/>
      <c r="AJ59" s="217"/>
      <c r="AK59" s="89"/>
    </row>
    <row r="60" spans="2:37" ht="18.5" x14ac:dyDescent="0.45">
      <c r="B60" s="218" t="str">
        <f>CONCATENATE('1.1 Standardsatser'!$B$261," - ",'1.1 Standardsatser'!B264)</f>
        <v>Rengjøringskostnad - Type 70</v>
      </c>
      <c r="C60" s="133">
        <v>694.27561540727027</v>
      </c>
      <c r="D60" s="129" t="s">
        <v>578</v>
      </c>
      <c r="E60" s="129">
        <v>2024</v>
      </c>
      <c r="F60" s="125"/>
      <c r="G60" s="129"/>
      <c r="H60" s="125"/>
      <c r="I60" s="136"/>
      <c r="J60" s="182"/>
      <c r="K60" s="129"/>
      <c r="L60" s="182"/>
      <c r="M60" s="129"/>
      <c r="N60" s="182"/>
      <c r="O60" s="129"/>
      <c r="P60" s="182"/>
      <c r="Q60" s="129"/>
      <c r="R60" s="182"/>
      <c r="S60" s="129"/>
      <c r="T60" s="182"/>
      <c r="U60" s="129"/>
      <c r="V60" s="129"/>
      <c r="W60" s="129"/>
      <c r="X60" s="182"/>
      <c r="Y60" s="129"/>
      <c r="Z60" s="129"/>
      <c r="AA60" s="129"/>
      <c r="AB60" s="129"/>
      <c r="AC60" s="129"/>
      <c r="AD60" s="129"/>
      <c r="AE60" s="129"/>
      <c r="AF60" s="129"/>
      <c r="AG60" s="129"/>
      <c r="AH60" s="129"/>
      <c r="AI60" s="129"/>
      <c r="AJ60" s="217"/>
      <c r="AK60" s="89"/>
    </row>
    <row r="61" spans="2:37" ht="18.5" x14ac:dyDescent="0.45">
      <c r="B61" s="218" t="str">
        <f>CONCATENATE('1.1 Standardsatser'!$B$261," - ",'1.1 Standardsatser'!B265)</f>
        <v>Rengjøringskostnad - Type 75</v>
      </c>
      <c r="C61" s="123">
        <v>2992.9549673322467</v>
      </c>
      <c r="D61" s="129" t="s">
        <v>578</v>
      </c>
      <c r="E61" s="129">
        <v>2024</v>
      </c>
      <c r="F61" s="182"/>
      <c r="G61" s="129"/>
      <c r="H61" s="182"/>
      <c r="I61" s="136"/>
      <c r="J61" s="182"/>
      <c r="K61" s="129"/>
      <c r="L61" s="182"/>
      <c r="M61" s="129"/>
      <c r="N61" s="182"/>
      <c r="O61" s="129"/>
      <c r="P61" s="182"/>
      <c r="Q61" s="129"/>
      <c r="R61" s="182"/>
      <c r="S61" s="129"/>
      <c r="T61" s="182"/>
      <c r="U61" s="129"/>
      <c r="V61" s="129"/>
      <c r="W61" s="129"/>
      <c r="X61" s="182"/>
      <c r="Y61" s="129"/>
      <c r="Z61" s="129"/>
      <c r="AA61" s="129"/>
      <c r="AB61" s="129"/>
      <c r="AC61" s="129"/>
      <c r="AD61" s="129"/>
      <c r="AE61" s="129"/>
      <c r="AF61" s="129"/>
      <c r="AG61" s="129"/>
      <c r="AH61" s="129"/>
      <c r="AI61" s="129"/>
      <c r="AJ61" s="217"/>
      <c r="AK61" s="89"/>
    </row>
    <row r="62" spans="2:37" ht="18.5" x14ac:dyDescent="0.45">
      <c r="B62" s="218" t="str">
        <f>CONCATENATE('1.1 Standardsatser'!$B$261," - ",'1.1 Standardsatser'!B266)</f>
        <v>Rengjøringskostnad - Type 74</v>
      </c>
      <c r="C62" s="123">
        <v>3440.8729144855824</v>
      </c>
      <c r="D62" s="129" t="s">
        <v>578</v>
      </c>
      <c r="E62" s="129">
        <v>2024</v>
      </c>
      <c r="F62" s="182"/>
      <c r="G62" s="129"/>
      <c r="H62" s="182"/>
      <c r="I62" s="136"/>
      <c r="J62" s="182"/>
      <c r="K62" s="129"/>
      <c r="L62" s="182"/>
      <c r="M62" s="129"/>
      <c r="N62" s="182"/>
      <c r="O62" s="129"/>
      <c r="P62" s="182"/>
      <c r="Q62" s="129"/>
      <c r="R62" s="182"/>
      <c r="S62" s="129"/>
      <c r="T62" s="182"/>
      <c r="U62" s="129"/>
      <c r="V62" s="129"/>
      <c r="W62" s="129"/>
      <c r="X62" s="182"/>
      <c r="Y62" s="129"/>
      <c r="Z62" s="129"/>
      <c r="AA62" s="129"/>
      <c r="AB62" s="129"/>
      <c r="AC62" s="129"/>
      <c r="AD62" s="129"/>
      <c r="AE62" s="129"/>
      <c r="AF62" s="129"/>
      <c r="AG62" s="129"/>
      <c r="AH62" s="129"/>
      <c r="AI62" s="129"/>
      <c r="AJ62" s="217"/>
      <c r="AK62" s="89"/>
    </row>
    <row r="63" spans="2:37" ht="18.5" x14ac:dyDescent="0.45">
      <c r="B63" s="218" t="str">
        <f>CONCATENATE('1.1 Standardsatser'!$B$261," - ",'1.1 Standardsatser'!B268)</f>
        <v>Rengjøringskostnad - Type 72</v>
      </c>
      <c r="C63" s="123">
        <v>1087.8269025204763</v>
      </c>
      <c r="D63" s="129" t="s">
        <v>578</v>
      </c>
      <c r="E63" s="129">
        <v>2024</v>
      </c>
      <c r="F63" s="182"/>
      <c r="G63" s="129"/>
      <c r="H63" s="182"/>
      <c r="I63" s="136"/>
      <c r="J63" s="182"/>
      <c r="K63" s="129"/>
      <c r="L63" s="182"/>
      <c r="M63" s="129"/>
      <c r="N63" s="182"/>
      <c r="O63" s="129"/>
      <c r="P63" s="182"/>
      <c r="Q63" s="129"/>
      <c r="R63" s="182"/>
      <c r="S63" s="129"/>
      <c r="T63" s="182"/>
      <c r="U63" s="129"/>
      <c r="V63" s="129"/>
      <c r="W63" s="129"/>
      <c r="X63" s="182"/>
      <c r="Y63" s="129"/>
      <c r="Z63" s="129"/>
      <c r="AA63" s="129"/>
      <c r="AB63" s="129"/>
      <c r="AC63" s="129"/>
      <c r="AD63" s="129"/>
      <c r="AE63" s="129"/>
      <c r="AF63" s="129"/>
      <c r="AG63" s="129"/>
      <c r="AH63" s="129"/>
      <c r="AI63" s="129"/>
      <c r="AJ63" s="217"/>
      <c r="AK63" s="89"/>
    </row>
    <row r="64" spans="2:37" ht="18.5" x14ac:dyDescent="0.45">
      <c r="B64" s="218" t="str">
        <f>CONCATENATE('1.1 Standardsatser'!$B$261," - ",'1.1 Standardsatser'!B269)</f>
        <v xml:space="preserve">Rengjøringskostnad - Type 78 </v>
      </c>
      <c r="C64" s="133">
        <f t="shared" ref="C64:C78" si="7">F64*H64</f>
        <v>3000</v>
      </c>
      <c r="D64" s="129" t="s">
        <v>578</v>
      </c>
      <c r="E64" s="129">
        <f>$E$82</f>
        <v>2016</v>
      </c>
      <c r="F64" s="125">
        <f>Vogner_78</f>
        <v>4</v>
      </c>
      <c r="G64" s="129" t="str">
        <f>'1.2 Forutsetninger'!D271</f>
        <v>Vogner</v>
      </c>
      <c r="H64" s="125">
        <f>$C$82</f>
        <v>750</v>
      </c>
      <c r="I64" s="136" t="str">
        <f>$D$82</f>
        <v>Kr per vogn</v>
      </c>
      <c r="J64" s="182"/>
      <c r="K64" s="129"/>
      <c r="L64" s="182"/>
      <c r="M64" s="129"/>
      <c r="N64" s="182"/>
      <c r="O64" s="129"/>
      <c r="P64" s="182"/>
      <c r="Q64" s="129"/>
      <c r="R64" s="182"/>
      <c r="S64" s="129"/>
      <c r="T64" s="182"/>
      <c r="U64" s="129"/>
      <c r="V64" s="129"/>
      <c r="W64" s="129"/>
      <c r="X64" s="182"/>
      <c r="Y64" s="129"/>
      <c r="Z64" s="129"/>
      <c r="AA64" s="129"/>
      <c r="AB64" s="129"/>
      <c r="AC64" s="129"/>
      <c r="AD64" s="129"/>
      <c r="AE64" s="129"/>
      <c r="AF64" s="129"/>
      <c r="AG64" s="129"/>
      <c r="AH64" s="129"/>
      <c r="AI64" s="129"/>
      <c r="AJ64" s="217" t="s">
        <v>579</v>
      </c>
      <c r="AK64" s="89"/>
    </row>
    <row r="65" spans="2:37" ht="18.5" x14ac:dyDescent="0.45">
      <c r="B65" s="218" t="str">
        <f>CONCATENATE('1.1 Standardsatser'!$B$261," - ",'1.1 Standardsatser'!B270)</f>
        <v>Rengjøringskostnad - Type 77</v>
      </c>
      <c r="C65" s="133">
        <f t="shared" si="7"/>
        <v>3750</v>
      </c>
      <c r="D65" s="129" t="s">
        <v>578</v>
      </c>
      <c r="E65" s="129">
        <f>$E$82</f>
        <v>2016</v>
      </c>
      <c r="F65" s="125">
        <f>Vogner_77</f>
        <v>5</v>
      </c>
      <c r="G65" s="129" t="str">
        <f>'1.2 Forutsetninger'!D272</f>
        <v>Vogner</v>
      </c>
      <c r="H65" s="125">
        <f>$C$82</f>
        <v>750</v>
      </c>
      <c r="I65" s="136" t="str">
        <f>$D$82</f>
        <v>Kr per vogn</v>
      </c>
      <c r="J65" s="182"/>
      <c r="K65" s="129"/>
      <c r="L65" s="182"/>
      <c r="M65" s="129"/>
      <c r="N65" s="182"/>
      <c r="O65" s="129"/>
      <c r="P65" s="182"/>
      <c r="Q65" s="129"/>
      <c r="R65" s="182"/>
      <c r="S65" s="129"/>
      <c r="T65" s="182"/>
      <c r="U65" s="129"/>
      <c r="V65" s="129"/>
      <c r="W65" s="129"/>
      <c r="X65" s="182"/>
      <c r="Y65" s="129"/>
      <c r="Z65" s="129"/>
      <c r="AA65" s="129"/>
      <c r="AB65" s="129"/>
      <c r="AC65" s="129"/>
      <c r="AD65" s="129"/>
      <c r="AE65" s="129"/>
      <c r="AF65" s="129"/>
      <c r="AG65" s="129"/>
      <c r="AH65" s="129"/>
      <c r="AI65" s="129"/>
      <c r="AJ65" s="217" t="s">
        <v>579</v>
      </c>
      <c r="AK65" s="89"/>
    </row>
    <row r="66" spans="2:37" ht="18.5" x14ac:dyDescent="0.45">
      <c r="B66" s="218" t="str">
        <f>CONCATENATE('1.1 Standardsatser'!$B$261," - ",'1.1 Standardsatser'!B271)</f>
        <v>Rengjøringskostnad - Type 93D</v>
      </c>
      <c r="C66" s="123">
        <v>1501.1010381723968</v>
      </c>
      <c r="D66" s="129" t="s">
        <v>578</v>
      </c>
      <c r="E66" s="129">
        <v>2024</v>
      </c>
      <c r="F66" s="182"/>
      <c r="G66" s="129"/>
      <c r="H66" s="182"/>
      <c r="I66" s="136"/>
      <c r="J66" s="182"/>
      <c r="K66" s="129"/>
      <c r="L66" s="182"/>
      <c r="M66" s="129"/>
      <c r="N66" s="182"/>
      <c r="O66" s="129"/>
      <c r="P66" s="182"/>
      <c r="Q66" s="129"/>
      <c r="R66" s="182"/>
      <c r="S66" s="129"/>
      <c r="T66" s="182"/>
      <c r="U66" s="129"/>
      <c r="V66" s="129"/>
      <c r="W66" s="129"/>
      <c r="X66" s="182"/>
      <c r="Y66" s="129"/>
      <c r="Z66" s="129"/>
      <c r="AA66" s="129"/>
      <c r="AB66" s="129"/>
      <c r="AC66" s="129"/>
      <c r="AD66" s="129"/>
      <c r="AE66" s="129"/>
      <c r="AF66" s="129"/>
      <c r="AG66" s="129"/>
      <c r="AH66" s="129"/>
      <c r="AI66" s="129"/>
      <c r="AJ66" s="217"/>
      <c r="AK66" s="89"/>
    </row>
    <row r="67" spans="2:37" ht="18.5" x14ac:dyDescent="0.45">
      <c r="B67" s="218" t="str">
        <f>CONCATENATE('1.1 Standardsatser'!$B$261," - ",'1.1 Standardsatser'!B272)</f>
        <v>Rengjøringskostnad - Type 76</v>
      </c>
      <c r="C67" s="123">
        <v>3433.07400982428</v>
      </c>
      <c r="D67" s="129" t="s">
        <v>578</v>
      </c>
      <c r="E67" s="129">
        <v>2024</v>
      </c>
      <c r="F67" s="182"/>
      <c r="G67" s="129"/>
      <c r="H67" s="182"/>
      <c r="I67" s="136"/>
      <c r="J67" s="182"/>
      <c r="K67" s="129"/>
      <c r="L67" s="182"/>
      <c r="M67" s="129"/>
      <c r="N67" s="182"/>
      <c r="O67" s="129"/>
      <c r="P67" s="182"/>
      <c r="Q67" s="129"/>
      <c r="R67" s="182"/>
      <c r="S67" s="129"/>
      <c r="T67" s="182"/>
      <c r="U67" s="129"/>
      <c r="V67" s="129"/>
      <c r="W67" s="129"/>
      <c r="X67" s="182"/>
      <c r="Y67" s="129"/>
      <c r="Z67" s="129"/>
      <c r="AA67" s="129"/>
      <c r="AB67" s="129"/>
      <c r="AC67" s="129"/>
      <c r="AD67" s="129"/>
      <c r="AE67" s="129"/>
      <c r="AF67" s="129"/>
      <c r="AG67" s="129"/>
      <c r="AH67" s="129"/>
      <c r="AI67" s="129"/>
      <c r="AJ67" s="217"/>
      <c r="AK67" s="89"/>
    </row>
    <row r="68" spans="2:37" ht="18.5" x14ac:dyDescent="0.45">
      <c r="B68" s="218" t="str">
        <f>CONCATENATE('1.1 Standardsatser'!$B$261," - ",'1.1 Standardsatser'!B273)</f>
        <v>Rengjøringskostnad - Type N05</v>
      </c>
      <c r="C68" s="123">
        <f>AVERAGE(C61:C62)</f>
        <v>3216.9139409089148</v>
      </c>
      <c r="D68" s="129" t="s">
        <v>578</v>
      </c>
      <c r="E68" s="129">
        <v>2024</v>
      </c>
      <c r="F68" s="182"/>
      <c r="G68" s="129"/>
      <c r="H68" s="182"/>
      <c r="I68" s="136"/>
      <c r="J68" s="182"/>
      <c r="K68" s="129"/>
      <c r="L68" s="182"/>
      <c r="M68" s="129"/>
      <c r="N68" s="182"/>
      <c r="O68" s="129"/>
      <c r="P68" s="182"/>
      <c r="Q68" s="129"/>
      <c r="R68" s="182"/>
      <c r="S68" s="129"/>
      <c r="T68" s="182"/>
      <c r="U68" s="129"/>
      <c r="V68" s="129"/>
      <c r="W68" s="129"/>
      <c r="X68" s="182"/>
      <c r="Y68" s="129"/>
      <c r="Z68" s="129"/>
      <c r="AA68" s="129"/>
      <c r="AB68" s="129"/>
      <c r="AC68" s="129"/>
      <c r="AD68" s="129"/>
      <c r="AE68" s="129"/>
      <c r="AF68" s="129"/>
      <c r="AG68" s="129"/>
      <c r="AH68" s="129"/>
      <c r="AI68" s="129"/>
      <c r="AJ68" s="217"/>
      <c r="AK68" s="89"/>
    </row>
    <row r="69" spans="2:37" ht="18.5" x14ac:dyDescent="0.45">
      <c r="B69" s="218" t="str">
        <f>CONCATENATE('1.1 Standardsatser'!$B$261," - ",'1.1 Standardsatser'!B274)</f>
        <v>Rengjøringskostnad - Type N06</v>
      </c>
      <c r="C69" s="123">
        <f>AVERAGE(C61:C62)</f>
        <v>3216.9139409089148</v>
      </c>
      <c r="D69" s="129" t="s">
        <v>578</v>
      </c>
      <c r="E69" s="129">
        <v>2024</v>
      </c>
      <c r="F69" s="182"/>
      <c r="G69" s="129"/>
      <c r="H69" s="182"/>
      <c r="I69" s="136"/>
      <c r="J69" s="182"/>
      <c r="K69" s="129"/>
      <c r="L69" s="182"/>
      <c r="M69" s="129"/>
      <c r="N69" s="182"/>
      <c r="O69" s="129"/>
      <c r="P69" s="182"/>
      <c r="Q69" s="129"/>
      <c r="R69" s="182"/>
      <c r="S69" s="129"/>
      <c r="T69" s="182"/>
      <c r="U69" s="129"/>
      <c r="V69" s="129"/>
      <c r="W69" s="129"/>
      <c r="X69" s="182"/>
      <c r="Y69" s="129"/>
      <c r="Z69" s="129"/>
      <c r="AA69" s="129"/>
      <c r="AB69" s="129"/>
      <c r="AC69" s="129"/>
      <c r="AD69" s="129"/>
      <c r="AE69" s="129"/>
      <c r="AF69" s="129"/>
      <c r="AG69" s="129"/>
      <c r="AH69" s="129"/>
      <c r="AI69" s="129"/>
      <c r="AJ69" s="217"/>
      <c r="AK69" s="89"/>
    </row>
    <row r="70" spans="2:37" ht="18.5" x14ac:dyDescent="0.45">
      <c r="B70" s="218" t="str">
        <f>CONCATENATE('1.1 Standardsatser'!$B$261," - ",'1.1 Standardsatser'!B275)</f>
        <v>Rengjøringskostnad - Type N10 dag</v>
      </c>
      <c r="C70" s="123">
        <v>7687</v>
      </c>
      <c r="D70" s="129" t="s">
        <v>578</v>
      </c>
      <c r="E70" s="129">
        <v>2024</v>
      </c>
      <c r="F70" s="182"/>
      <c r="G70" s="129"/>
      <c r="H70" s="182"/>
      <c r="I70" s="136"/>
      <c r="J70" s="182"/>
      <c r="K70" s="129"/>
      <c r="L70" s="182"/>
      <c r="M70" s="129"/>
      <c r="N70" s="182"/>
      <c r="O70" s="129"/>
      <c r="P70" s="182"/>
      <c r="Q70" s="129"/>
      <c r="R70" s="182"/>
      <c r="S70" s="129"/>
      <c r="T70" s="182"/>
      <c r="U70" s="129"/>
      <c r="V70" s="129"/>
      <c r="W70" s="129"/>
      <c r="X70" s="182"/>
      <c r="Y70" s="129"/>
      <c r="Z70" s="129"/>
      <c r="AA70" s="129"/>
      <c r="AB70" s="129"/>
      <c r="AC70" s="129"/>
      <c r="AD70" s="129"/>
      <c r="AE70" s="129"/>
      <c r="AF70" s="129"/>
      <c r="AG70" s="129"/>
      <c r="AH70" s="129"/>
      <c r="AI70" s="129"/>
      <c r="AJ70" s="217"/>
      <c r="AK70" s="89"/>
    </row>
    <row r="71" spans="2:37" ht="18.5" x14ac:dyDescent="0.45">
      <c r="B71" s="218" t="str">
        <f>CONCATENATE('1.1 Standardsatser'!$B$261," - ",'1.1 Standardsatser'!B276)</f>
        <v>Rengjøringskostnad - Type N10 natt</v>
      </c>
      <c r="C71" s="133">
        <v>10631</v>
      </c>
      <c r="D71" s="129" t="s">
        <v>578</v>
      </c>
      <c r="E71" s="129">
        <v>2024</v>
      </c>
      <c r="F71" s="182"/>
      <c r="G71" s="129"/>
      <c r="H71" s="182"/>
      <c r="I71" s="136"/>
      <c r="J71" s="182"/>
      <c r="K71" s="129"/>
      <c r="L71" s="182"/>
      <c r="M71" s="129"/>
      <c r="N71" s="182"/>
      <c r="O71" s="129"/>
      <c r="P71" s="182"/>
      <c r="Q71" s="129"/>
      <c r="R71" s="182"/>
      <c r="S71" s="129"/>
      <c r="T71" s="182"/>
      <c r="U71" s="129"/>
      <c r="V71" s="129"/>
      <c r="W71" s="129"/>
      <c r="X71" s="182"/>
      <c r="Y71" s="129"/>
      <c r="Z71" s="129"/>
      <c r="AA71" s="129"/>
      <c r="AB71" s="129"/>
      <c r="AC71" s="129"/>
      <c r="AD71" s="129"/>
      <c r="AE71" s="129"/>
      <c r="AF71" s="129"/>
      <c r="AG71" s="129"/>
      <c r="AH71" s="129"/>
      <c r="AI71" s="129"/>
      <c r="AJ71" s="217"/>
      <c r="AK71" s="89"/>
    </row>
    <row r="72" spans="2:37" ht="18.5" x14ac:dyDescent="0.45">
      <c r="B72" s="218" t="str">
        <f>CONCATENATE('1.1 Standardsatser'!$B$261," - ",'1.1 Standardsatser'!B277)</f>
        <v>Rengjøringskostnad - Type N11</v>
      </c>
      <c r="C72" s="133">
        <v>9500</v>
      </c>
      <c r="D72" s="129" t="s">
        <v>578</v>
      </c>
      <c r="E72" s="129">
        <v>2024</v>
      </c>
      <c r="F72" s="182"/>
      <c r="G72" s="129"/>
      <c r="H72" s="182"/>
      <c r="I72" s="136"/>
      <c r="J72" s="182"/>
      <c r="K72" s="129"/>
      <c r="L72" s="182"/>
      <c r="M72" s="129"/>
      <c r="N72" s="182"/>
      <c r="O72" s="129"/>
      <c r="P72" s="182"/>
      <c r="Q72" s="129"/>
      <c r="R72" s="182"/>
      <c r="S72" s="129"/>
      <c r="T72" s="182"/>
      <c r="U72" s="129"/>
      <c r="V72" s="129"/>
      <c r="W72" s="129"/>
      <c r="X72" s="182"/>
      <c r="Y72" s="129"/>
      <c r="Z72" s="129"/>
      <c r="AA72" s="129"/>
      <c r="AB72" s="129"/>
      <c r="AC72" s="129"/>
      <c r="AD72" s="129"/>
      <c r="AE72" s="129"/>
      <c r="AF72" s="129"/>
      <c r="AG72" s="129"/>
      <c r="AH72" s="129"/>
      <c r="AI72" s="129"/>
      <c r="AJ72" s="217"/>
      <c r="AK72" s="89"/>
    </row>
    <row r="73" spans="2:37" ht="18.5" x14ac:dyDescent="0.45">
      <c r="B73" s="218" t="str">
        <f>CONCATENATE('1.1 Standardsatser'!$B$261," - ",'1.1 Standardsatser'!B278)</f>
        <v>Rengjøringskostnad - Type N12</v>
      </c>
      <c r="C73" s="123">
        <v>11160</v>
      </c>
      <c r="D73" s="129" t="s">
        <v>578</v>
      </c>
      <c r="E73" s="129">
        <v>2024</v>
      </c>
      <c r="F73" s="182"/>
      <c r="G73" s="129"/>
      <c r="H73" s="182"/>
      <c r="I73" s="136"/>
      <c r="J73" s="182"/>
      <c r="K73" s="129"/>
      <c r="L73" s="182"/>
      <c r="M73" s="129"/>
      <c r="N73" s="182"/>
      <c r="O73" s="129"/>
      <c r="P73" s="182"/>
      <c r="Q73" s="129"/>
      <c r="R73" s="182"/>
      <c r="S73" s="129"/>
      <c r="T73" s="182"/>
      <c r="U73" s="129"/>
      <c r="V73" s="129"/>
      <c r="W73" s="129"/>
      <c r="X73" s="182"/>
      <c r="Y73" s="129"/>
      <c r="Z73" s="129"/>
      <c r="AA73" s="129"/>
      <c r="AB73" s="129"/>
      <c r="AC73" s="129"/>
      <c r="AD73" s="129"/>
      <c r="AE73" s="129"/>
      <c r="AF73" s="129"/>
      <c r="AG73" s="129"/>
      <c r="AH73" s="129"/>
      <c r="AI73" s="129"/>
      <c r="AJ73" s="217"/>
      <c r="AK73" s="89"/>
    </row>
    <row r="74" spans="2:37" ht="18.5" x14ac:dyDescent="0.45">
      <c r="B74" s="218" t="str">
        <f>CONCATENATE('1.1 Standardsatser'!$B$261," - ",'1.1 Standardsatser'!B279)</f>
        <v>Rengjøringskostnad - Type N13</v>
      </c>
      <c r="C74" s="123">
        <v>9645</v>
      </c>
      <c r="D74" s="129" t="s">
        <v>578</v>
      </c>
      <c r="E74" s="129">
        <v>2024</v>
      </c>
      <c r="F74" s="182"/>
      <c r="G74" s="129"/>
      <c r="H74" s="182"/>
      <c r="I74" s="136"/>
      <c r="J74" s="182"/>
      <c r="K74" s="129"/>
      <c r="L74" s="182"/>
      <c r="M74" s="129"/>
      <c r="N74" s="182"/>
      <c r="O74" s="129"/>
      <c r="P74" s="182"/>
      <c r="Q74" s="129"/>
      <c r="R74" s="182"/>
      <c r="S74" s="129"/>
      <c r="T74" s="182"/>
      <c r="U74" s="129"/>
      <c r="V74" s="129"/>
      <c r="W74" s="129"/>
      <c r="X74" s="182"/>
      <c r="Y74" s="129"/>
      <c r="Z74" s="129"/>
      <c r="AA74" s="129"/>
      <c r="AB74" s="129"/>
      <c r="AC74" s="129"/>
      <c r="AD74" s="129"/>
      <c r="AE74" s="129"/>
      <c r="AF74" s="129"/>
      <c r="AG74" s="129"/>
      <c r="AH74" s="129"/>
      <c r="AI74" s="129"/>
      <c r="AJ74" s="217"/>
      <c r="AK74" s="89"/>
    </row>
    <row r="75" spans="2:37" ht="18.5" x14ac:dyDescent="0.45">
      <c r="B75" s="218" t="str">
        <f>CONCATENATE('1.1 Standardsatser'!$B$261," - ",'1.1 Standardsatser'!B280)</f>
        <v>Rengjøringskostnad - Elektrisk lokomotiv (EL18)</v>
      </c>
      <c r="C75" s="123">
        <v>1002.0409288233262</v>
      </c>
      <c r="D75" s="129" t="s">
        <v>578</v>
      </c>
      <c r="E75" s="129">
        <v>2024</v>
      </c>
      <c r="F75" s="182"/>
      <c r="G75" s="129"/>
      <c r="H75" s="182"/>
      <c r="I75" s="136"/>
      <c r="J75" s="182"/>
      <c r="K75" s="129"/>
      <c r="L75" s="182"/>
      <c r="M75" s="129"/>
      <c r="N75" s="182"/>
      <c r="O75" s="129"/>
      <c r="P75" s="182"/>
      <c r="Q75" s="129"/>
      <c r="R75" s="182"/>
      <c r="S75" s="129"/>
      <c r="T75" s="182"/>
      <c r="U75" s="129"/>
      <c r="V75" s="129"/>
      <c r="W75" s="129"/>
      <c r="X75" s="182"/>
      <c r="Y75" s="129"/>
      <c r="Z75" s="129"/>
      <c r="AA75" s="129"/>
      <c r="AB75" s="129"/>
      <c r="AC75" s="129"/>
      <c r="AD75" s="129"/>
      <c r="AE75" s="129"/>
      <c r="AF75" s="129"/>
      <c r="AG75" s="129"/>
      <c r="AH75" s="129"/>
      <c r="AI75" s="129"/>
      <c r="AJ75" s="217"/>
      <c r="AK75" s="89"/>
    </row>
    <row r="76" spans="2:37" ht="18.5" x14ac:dyDescent="0.45">
      <c r="B76" s="218" t="str">
        <f>CONCATENATE('1.1 Standardsatser'!$B$261," - ",'1.1 Standardsatser'!B281)</f>
        <v>Rengjøringskostnad - Diesel lokomotiv (Di4)</v>
      </c>
      <c r="C76" s="123">
        <v>3648.3772561502319</v>
      </c>
      <c r="D76" s="129" t="s">
        <v>578</v>
      </c>
      <c r="E76" s="129">
        <v>2024</v>
      </c>
      <c r="F76" s="182"/>
      <c r="G76" s="129"/>
      <c r="H76" s="182"/>
      <c r="I76" s="136"/>
      <c r="J76" s="182"/>
      <c r="K76" s="129"/>
      <c r="L76" s="182"/>
      <c r="M76" s="129"/>
      <c r="N76" s="182"/>
      <c r="O76" s="129"/>
      <c r="P76" s="182"/>
      <c r="Q76" s="129"/>
      <c r="R76" s="182"/>
      <c r="S76" s="129"/>
      <c r="T76" s="182"/>
      <c r="U76" s="129"/>
      <c r="V76" s="129"/>
      <c r="W76" s="129"/>
      <c r="X76" s="182"/>
      <c r="Y76" s="129"/>
      <c r="Z76" s="129"/>
      <c r="AA76" s="129"/>
      <c r="AB76" s="129"/>
      <c r="AC76" s="129"/>
      <c r="AD76" s="129"/>
      <c r="AE76" s="129"/>
      <c r="AF76" s="129"/>
      <c r="AG76" s="129"/>
      <c r="AH76" s="129"/>
      <c r="AI76" s="129"/>
      <c r="AJ76" s="217"/>
      <c r="AK76" s="89"/>
    </row>
    <row r="77" spans="2:37" ht="18.5" x14ac:dyDescent="0.45">
      <c r="B77" s="218" t="str">
        <f>CONCATENATE('1.1 Standardsatser'!$B$261," - ",'1.1 Standardsatser'!B282)</f>
        <v>Rengjøringskostnad - Sittevogn (type 5 og 7)</v>
      </c>
      <c r="C77" s="133">
        <f t="shared" si="7"/>
        <v>750</v>
      </c>
      <c r="D77" s="129" t="s">
        <v>578</v>
      </c>
      <c r="E77" s="129">
        <f>$E$82</f>
        <v>2016</v>
      </c>
      <c r="F77" s="125">
        <f>Vogner_Sittevogn</f>
        <v>1</v>
      </c>
      <c r="G77" s="129" t="str">
        <f>'1.2 Forutsetninger'!D277</f>
        <v>Vogn</v>
      </c>
      <c r="H77" s="125">
        <f>$C$82</f>
        <v>750</v>
      </c>
      <c r="I77" s="136" t="str">
        <f>$D$82</f>
        <v>Kr per vogn</v>
      </c>
      <c r="J77" s="182"/>
      <c r="K77" s="129"/>
      <c r="L77" s="182"/>
      <c r="M77" s="129"/>
      <c r="N77" s="182"/>
      <c r="O77" s="129"/>
      <c r="P77" s="182"/>
      <c r="Q77" s="129"/>
      <c r="R77" s="182"/>
      <c r="S77" s="129"/>
      <c r="T77" s="182"/>
      <c r="U77" s="129"/>
      <c r="V77" s="129"/>
      <c r="W77" s="129"/>
      <c r="X77" s="182"/>
      <c r="Y77" s="129"/>
      <c r="Z77" s="129"/>
      <c r="AA77" s="129"/>
      <c r="AB77" s="129"/>
      <c r="AC77" s="129"/>
      <c r="AD77" s="129"/>
      <c r="AE77" s="129"/>
      <c r="AF77" s="129"/>
      <c r="AG77" s="129"/>
      <c r="AH77" s="129"/>
      <c r="AI77" s="129"/>
      <c r="AJ77" s="217" t="s">
        <v>579</v>
      </c>
      <c r="AK77" s="89"/>
    </row>
    <row r="78" spans="2:37" ht="18.5" x14ac:dyDescent="0.45">
      <c r="B78" s="218" t="str">
        <f>CONCATENATE('1.1 Standardsatser'!$B$261," - ",'1.1 Standardsatser'!B283)</f>
        <v>Rengjøringskostnad - Sovevogn</v>
      </c>
      <c r="C78" s="133">
        <f t="shared" si="7"/>
        <v>750</v>
      </c>
      <c r="D78" s="129" t="s">
        <v>578</v>
      </c>
      <c r="E78" s="129">
        <f>$E$82</f>
        <v>2016</v>
      </c>
      <c r="F78" s="125">
        <f>Vogner_Sovevogn</f>
        <v>1</v>
      </c>
      <c r="G78" s="129" t="str">
        <f>'1.2 Forutsetninger'!D278</f>
        <v>Vogn</v>
      </c>
      <c r="H78" s="125">
        <f>$C$82</f>
        <v>750</v>
      </c>
      <c r="I78" s="136" t="str">
        <f>$D$82</f>
        <v>Kr per vogn</v>
      </c>
      <c r="J78" s="182"/>
      <c r="K78" s="129"/>
      <c r="L78" s="182"/>
      <c r="M78" s="129"/>
      <c r="N78" s="182"/>
      <c r="O78" s="129"/>
      <c r="P78" s="182"/>
      <c r="Q78" s="129"/>
      <c r="R78" s="182"/>
      <c r="S78" s="129"/>
      <c r="T78" s="182"/>
      <c r="U78" s="129"/>
      <c r="V78" s="129"/>
      <c r="W78" s="129"/>
      <c r="X78" s="182"/>
      <c r="Y78" s="129"/>
      <c r="Z78" s="129"/>
      <c r="AA78" s="129"/>
      <c r="AB78" s="129"/>
      <c r="AC78" s="129"/>
      <c r="AD78" s="129"/>
      <c r="AE78" s="129"/>
      <c r="AF78" s="129"/>
      <c r="AG78" s="129"/>
      <c r="AH78" s="129"/>
      <c r="AI78" s="129"/>
      <c r="AJ78" s="217" t="s">
        <v>579</v>
      </c>
      <c r="AK78" s="89"/>
    </row>
    <row r="79" spans="2:37" ht="18.5" x14ac:dyDescent="0.45">
      <c r="B79" s="220" t="s">
        <v>580</v>
      </c>
      <c r="C79" s="179"/>
      <c r="D79" s="141"/>
      <c r="E79" s="141"/>
      <c r="F79" s="189"/>
      <c r="G79" s="141"/>
      <c r="H79" s="189"/>
      <c r="I79" s="141"/>
      <c r="J79" s="189"/>
      <c r="K79" s="141"/>
      <c r="L79" s="189"/>
      <c r="M79" s="141"/>
      <c r="N79" s="189"/>
      <c r="O79" s="141"/>
      <c r="P79" s="189"/>
      <c r="Q79" s="141"/>
      <c r="R79" s="189"/>
      <c r="S79" s="141"/>
      <c r="T79" s="189"/>
      <c r="U79" s="141"/>
      <c r="V79" s="141"/>
      <c r="W79" s="141"/>
      <c r="X79" s="189"/>
      <c r="Y79" s="141"/>
      <c r="Z79" s="141"/>
      <c r="AA79" s="141"/>
      <c r="AB79" s="141"/>
      <c r="AC79" s="141"/>
      <c r="AD79" s="141"/>
      <c r="AE79" s="141"/>
      <c r="AF79" s="141"/>
      <c r="AG79" s="141"/>
      <c r="AH79" s="141"/>
      <c r="AI79" s="141"/>
      <c r="AJ79" s="245"/>
      <c r="AK79" s="89"/>
    </row>
    <row r="80" spans="2:37" ht="18.5" x14ac:dyDescent="0.45">
      <c r="B80" s="218" t="s">
        <v>581</v>
      </c>
      <c r="C80" s="104">
        <f>F80+H80</f>
        <v>0.79468292682926833</v>
      </c>
      <c r="D80" s="129" t="s">
        <v>576</v>
      </c>
      <c r="E80" s="129">
        <v>2025</v>
      </c>
      <c r="F80" s="182">
        <f>67/100</f>
        <v>0.67</v>
      </c>
      <c r="G80" s="129" t="s">
        <v>576</v>
      </c>
      <c r="H80" s="182">
        <f>(J80+L80+N80)/1000*(LOOKUP($E$80,StatistikkOgPrognoseÅr,KPIIndeks)/LOOKUP($P$80,StatistikkOgPrognoseÅr,KPIIndeks))</f>
        <v>0.12468292682926831</v>
      </c>
      <c r="I80" s="129" t="s">
        <v>576</v>
      </c>
      <c r="J80" s="182">
        <v>108.9</v>
      </c>
      <c r="K80" s="129" t="s">
        <v>582</v>
      </c>
      <c r="L80" s="182">
        <v>14.8</v>
      </c>
      <c r="M80" s="129" t="s">
        <v>582</v>
      </c>
      <c r="N80" s="182">
        <v>4.0999999999999996</v>
      </c>
      <c r="O80" s="129" t="s">
        <v>582</v>
      </c>
      <c r="P80" s="111">
        <v>2026</v>
      </c>
      <c r="Q80" s="129"/>
      <c r="R80" s="182"/>
      <c r="S80" s="129"/>
      <c r="T80" s="182"/>
      <c r="U80" s="129"/>
      <c r="V80" s="129"/>
      <c r="W80" s="129"/>
      <c r="X80" s="182"/>
      <c r="Y80" s="129"/>
      <c r="Z80" s="129"/>
      <c r="AA80" s="129"/>
      <c r="AB80" s="129"/>
      <c r="AC80" s="129"/>
      <c r="AD80" s="129"/>
      <c r="AE80" s="129"/>
      <c r="AF80" s="129"/>
      <c r="AG80" s="129"/>
      <c r="AH80" s="129"/>
      <c r="AI80" s="129"/>
      <c r="AJ80" s="217" t="s">
        <v>583</v>
      </c>
      <c r="AK80" s="89"/>
    </row>
    <row r="81" spans="2:37" ht="18.5" x14ac:dyDescent="0.45">
      <c r="B81" s="218" t="s">
        <v>584</v>
      </c>
      <c r="C81" s="124">
        <v>13.7</v>
      </c>
      <c r="D81" s="129" t="s">
        <v>542</v>
      </c>
      <c r="E81" s="129">
        <v>2026</v>
      </c>
      <c r="F81" s="182"/>
      <c r="G81" s="129"/>
      <c r="H81" s="182"/>
      <c r="I81" s="129"/>
      <c r="J81" s="182"/>
      <c r="K81" s="129"/>
      <c r="L81" s="182"/>
      <c r="M81" s="129"/>
      <c r="N81" s="182"/>
      <c r="O81" s="129"/>
      <c r="P81" s="182"/>
      <c r="Q81" s="129"/>
      <c r="R81" s="182"/>
      <c r="S81" s="129"/>
      <c r="T81" s="182"/>
      <c r="U81" s="129"/>
      <c r="V81" s="129"/>
      <c r="W81" s="129"/>
      <c r="X81" s="182"/>
      <c r="Y81" s="129"/>
      <c r="Z81" s="129"/>
      <c r="AA81" s="129"/>
      <c r="AB81" s="129"/>
      <c r="AC81" s="129"/>
      <c r="AD81" s="129"/>
      <c r="AE81" s="129"/>
      <c r="AF81" s="129"/>
      <c r="AG81" s="129"/>
      <c r="AH81" s="129"/>
      <c r="AI81" s="129"/>
      <c r="AJ81" s="217" t="s">
        <v>585</v>
      </c>
      <c r="AK81" s="89"/>
    </row>
    <row r="82" spans="2:37" ht="18.5" x14ac:dyDescent="0.45">
      <c r="B82" s="218" t="s">
        <v>586</v>
      </c>
      <c r="C82" s="133">
        <v>750</v>
      </c>
      <c r="D82" s="129" t="s">
        <v>587</v>
      </c>
      <c r="E82" s="129">
        <v>2016</v>
      </c>
      <c r="F82" s="182"/>
      <c r="G82" s="129"/>
      <c r="H82" s="182"/>
      <c r="I82" s="129"/>
      <c r="J82" s="182"/>
      <c r="K82" s="129"/>
      <c r="L82" s="182"/>
      <c r="M82" s="129"/>
      <c r="N82" s="182"/>
      <c r="O82" s="129"/>
      <c r="P82" s="182"/>
      <c r="Q82" s="129"/>
      <c r="R82" s="182"/>
      <c r="S82" s="129"/>
      <c r="T82" s="182"/>
      <c r="U82" s="129"/>
      <c r="V82" s="129"/>
      <c r="W82" s="129"/>
      <c r="X82" s="182"/>
      <c r="Y82" s="129"/>
      <c r="Z82" s="129"/>
      <c r="AA82" s="129"/>
      <c r="AB82" s="129"/>
      <c r="AC82" s="129"/>
      <c r="AD82" s="129"/>
      <c r="AE82" s="129"/>
      <c r="AF82" s="129"/>
      <c r="AG82" s="129"/>
      <c r="AH82" s="129"/>
      <c r="AI82" s="129"/>
      <c r="AJ82" s="217" t="s">
        <v>588</v>
      </c>
      <c r="AK82" s="89"/>
    </row>
    <row r="83" spans="2:37" ht="30" x14ac:dyDescent="0.45">
      <c r="B83" s="240" t="str">
        <f>'1.1 Standardsatser'!B284</f>
        <v>Ulykkeskostnader</v>
      </c>
      <c r="C83" s="594" t="s">
        <v>589</v>
      </c>
      <c r="D83" s="166"/>
      <c r="E83" s="592"/>
      <c r="F83" s="594" t="s">
        <v>590</v>
      </c>
      <c r="G83" s="595" t="s">
        <v>591</v>
      </c>
      <c r="H83" s="593" t="s">
        <v>592</v>
      </c>
      <c r="I83" s="595" t="s">
        <v>593</v>
      </c>
      <c r="J83" s="595" t="s">
        <v>594</v>
      </c>
      <c r="K83" s="131"/>
      <c r="L83" s="196"/>
      <c r="M83" s="131"/>
      <c r="N83" s="196"/>
      <c r="O83" s="130"/>
      <c r="P83" s="196"/>
      <c r="Q83" s="131"/>
      <c r="R83" s="196"/>
      <c r="S83" s="130"/>
      <c r="T83" s="188"/>
      <c r="U83" s="130"/>
      <c r="V83" s="130"/>
      <c r="W83" s="130"/>
      <c r="X83" s="188"/>
      <c r="Y83" s="130"/>
      <c r="Z83" s="130"/>
      <c r="AA83" s="130"/>
      <c r="AB83" s="130"/>
      <c r="AC83" s="130"/>
      <c r="AD83" s="130"/>
      <c r="AE83" s="130"/>
      <c r="AF83" s="130"/>
      <c r="AG83" s="130"/>
      <c r="AH83" s="130"/>
      <c r="AI83" s="130"/>
      <c r="AJ83" s="242"/>
      <c r="AK83" s="89" t="str">
        <f>""</f>
        <v/>
      </c>
    </row>
    <row r="84" spans="2:37" ht="18.75" customHeight="1" x14ac:dyDescent="0.45">
      <c r="B84" s="218" t="s">
        <v>595</v>
      </c>
      <c r="C84" s="123">
        <f>J84</f>
        <v>1.1399999999999999</v>
      </c>
      <c r="D84" s="129" t="s">
        <v>567</v>
      </c>
      <c r="E84" s="129">
        <v>2025</v>
      </c>
      <c r="F84" s="125">
        <v>38.799999999999997</v>
      </c>
      <c r="G84" s="1253"/>
      <c r="H84" s="1253"/>
      <c r="I84" s="1253"/>
      <c r="J84" s="123">
        <v>1.1399999999999999</v>
      </c>
      <c r="K84" s="129"/>
      <c r="L84" s="182"/>
      <c r="M84" s="129"/>
      <c r="N84" s="182"/>
      <c r="O84" s="129"/>
      <c r="P84" s="182"/>
      <c r="Q84" s="129"/>
      <c r="R84" s="182"/>
      <c r="S84" s="129"/>
      <c r="T84" s="182"/>
      <c r="U84" s="129"/>
      <c r="V84" s="129"/>
      <c r="W84" s="129"/>
      <c r="X84" s="182"/>
      <c r="Y84" s="129"/>
      <c r="Z84" s="129"/>
      <c r="AA84" s="129"/>
      <c r="AB84" s="129"/>
      <c r="AC84" s="129"/>
      <c r="AD84" s="129"/>
      <c r="AE84" s="129"/>
      <c r="AF84" s="129"/>
      <c r="AG84" s="129"/>
      <c r="AH84" s="129"/>
      <c r="AI84" s="129"/>
      <c r="AJ84" s="217"/>
      <c r="AK84" s="89"/>
    </row>
    <row r="85" spans="2:37" ht="18.5" x14ac:dyDescent="0.45">
      <c r="B85" s="218" t="s">
        <v>596</v>
      </c>
      <c r="C85" s="123">
        <f t="shared" ref="C85:C92" si="8">J85</f>
        <v>0.62</v>
      </c>
      <c r="D85" s="129" t="s">
        <v>567</v>
      </c>
      <c r="E85" s="129">
        <v>2025</v>
      </c>
      <c r="F85" s="125">
        <v>10.1</v>
      </c>
      <c r="G85" s="1253"/>
      <c r="H85" s="1253"/>
      <c r="I85" s="1253"/>
      <c r="J85" s="123">
        <v>0.62</v>
      </c>
      <c r="K85" s="129"/>
      <c r="L85" s="182"/>
      <c r="M85" s="129"/>
      <c r="N85" s="182"/>
      <c r="O85" s="129"/>
      <c r="P85" s="182"/>
      <c r="Q85" s="129"/>
      <c r="R85" s="182"/>
      <c r="S85" s="129"/>
      <c r="T85" s="182"/>
      <c r="U85" s="129"/>
      <c r="V85" s="129"/>
      <c r="W85" s="129"/>
      <c r="X85" s="182"/>
      <c r="Y85" s="129"/>
      <c r="Z85" s="129"/>
      <c r="AA85" s="129"/>
      <c r="AB85" s="129"/>
      <c r="AC85" s="129"/>
      <c r="AD85" s="129"/>
      <c r="AE85" s="129"/>
      <c r="AF85" s="129"/>
      <c r="AG85" s="129"/>
      <c r="AH85" s="129"/>
      <c r="AI85" s="129"/>
      <c r="AJ85" s="217"/>
      <c r="AK85" s="89"/>
    </row>
    <row r="86" spans="2:37" ht="18.5" x14ac:dyDescent="0.45">
      <c r="B86" s="218" t="s">
        <v>595</v>
      </c>
      <c r="C86" s="123">
        <f>J86</f>
        <v>1.4E-2</v>
      </c>
      <c r="D86" s="129" t="s">
        <v>2452</v>
      </c>
      <c r="E86" s="129">
        <v>2025</v>
      </c>
      <c r="F86" s="125"/>
      <c r="G86" s="1220"/>
      <c r="H86" s="1220"/>
      <c r="I86" s="1220"/>
      <c r="J86" s="123">
        <v>1.4E-2</v>
      </c>
      <c r="K86" s="129"/>
      <c r="L86" s="182"/>
      <c r="M86" s="129"/>
      <c r="N86" s="182"/>
      <c r="O86" s="129"/>
      <c r="P86" s="182"/>
      <c r="Q86" s="129"/>
      <c r="R86" s="182"/>
      <c r="S86" s="129"/>
      <c r="T86" s="182"/>
      <c r="U86" s="129"/>
      <c r="V86" s="129"/>
      <c r="W86" s="129"/>
      <c r="X86" s="182"/>
      <c r="Y86" s="129"/>
      <c r="Z86" s="129"/>
      <c r="AA86" s="129"/>
      <c r="AB86" s="129"/>
      <c r="AC86" s="129"/>
      <c r="AD86" s="129"/>
      <c r="AE86" s="129"/>
      <c r="AF86" s="129"/>
      <c r="AG86" s="129"/>
      <c r="AH86" s="129"/>
      <c r="AI86" s="129"/>
      <c r="AJ86" s="217"/>
      <c r="AK86" s="89"/>
    </row>
    <row r="87" spans="2:37" ht="18.5" x14ac:dyDescent="0.45">
      <c r="B87" s="590" t="s">
        <v>597</v>
      </c>
      <c r="C87" s="123">
        <f t="shared" si="8"/>
        <v>0.16750000000000001</v>
      </c>
      <c r="D87" s="129" t="s">
        <v>567</v>
      </c>
      <c r="E87" s="129">
        <v>2019</v>
      </c>
      <c r="F87" s="125">
        <v>6814</v>
      </c>
      <c r="G87" s="123">
        <v>3.9399999999999998E-2</v>
      </c>
      <c r="H87" s="123">
        <v>7.7700000000000005E-2</v>
      </c>
      <c r="I87" s="123">
        <v>5.04E-2</v>
      </c>
      <c r="J87" s="123">
        <f t="shared" ref="J87:J92" si="9">SUM(G87:I87)</f>
        <v>0.16750000000000001</v>
      </c>
      <c r="K87" s="129"/>
      <c r="L87" s="182"/>
      <c r="M87" s="129"/>
      <c r="N87" s="182"/>
      <c r="O87" s="129"/>
      <c r="P87" s="182"/>
      <c r="Q87" s="129"/>
      <c r="R87" s="182"/>
      <c r="S87" s="129"/>
      <c r="T87" s="182"/>
      <c r="U87" s="129"/>
      <c r="V87" s="129"/>
      <c r="W87" s="129"/>
      <c r="X87" s="182"/>
      <c r="Y87" s="129"/>
      <c r="Z87" s="129"/>
      <c r="AA87" s="129"/>
      <c r="AB87" s="129"/>
      <c r="AC87" s="129"/>
      <c r="AD87" s="129"/>
      <c r="AE87" s="129"/>
      <c r="AF87" s="129"/>
      <c r="AG87" s="129"/>
      <c r="AH87" s="129"/>
      <c r="AI87" s="129"/>
      <c r="AJ87" s="217" t="s">
        <v>598</v>
      </c>
      <c r="AK87" s="89"/>
    </row>
    <row r="88" spans="2:37" ht="18.5" x14ac:dyDescent="0.45">
      <c r="B88" s="590" t="s">
        <v>599</v>
      </c>
      <c r="C88" s="123">
        <f t="shared" si="8"/>
        <v>0.11860000000000001</v>
      </c>
      <c r="D88" s="129" t="s">
        <v>567</v>
      </c>
      <c r="E88" s="129">
        <v>2019</v>
      </c>
      <c r="F88" s="125">
        <v>9482</v>
      </c>
      <c r="G88" s="123">
        <v>3.0099999999999998E-2</v>
      </c>
      <c r="H88" s="123">
        <v>5.3900000000000003E-2</v>
      </c>
      <c r="I88" s="123">
        <v>3.4599999999999999E-2</v>
      </c>
      <c r="J88" s="123">
        <f t="shared" si="9"/>
        <v>0.11860000000000001</v>
      </c>
      <c r="K88" s="129"/>
      <c r="L88" s="182"/>
      <c r="M88" s="129"/>
      <c r="N88" s="182"/>
      <c r="O88" s="129"/>
      <c r="P88" s="182"/>
      <c r="Q88" s="129"/>
      <c r="R88" s="182"/>
      <c r="S88" s="129"/>
      <c r="T88" s="182"/>
      <c r="U88" s="129"/>
      <c r="V88" s="129"/>
      <c r="W88" s="129"/>
      <c r="X88" s="182"/>
      <c r="Y88" s="129"/>
      <c r="Z88" s="129"/>
      <c r="AA88" s="129"/>
      <c r="AB88" s="129"/>
      <c r="AC88" s="129"/>
      <c r="AD88" s="129"/>
      <c r="AE88" s="129"/>
      <c r="AF88" s="129"/>
      <c r="AG88" s="129"/>
      <c r="AH88" s="129"/>
      <c r="AI88" s="129"/>
      <c r="AJ88" s="217"/>
      <c r="AK88" s="89"/>
    </row>
    <row r="89" spans="2:37" ht="18.5" x14ac:dyDescent="0.45">
      <c r="B89" s="590" t="s">
        <v>600</v>
      </c>
      <c r="C89" s="123">
        <f t="shared" si="8"/>
        <v>9.06E-2</v>
      </c>
      <c r="D89" s="129" t="s">
        <v>567</v>
      </c>
      <c r="E89" s="129">
        <v>2019</v>
      </c>
      <c r="F89" s="125">
        <v>9535</v>
      </c>
      <c r="G89" s="123">
        <v>2.4199999999999999E-2</v>
      </c>
      <c r="H89" s="123">
        <v>4.0099999999999997E-2</v>
      </c>
      <c r="I89" s="123">
        <v>2.63E-2</v>
      </c>
      <c r="J89" s="123">
        <f t="shared" si="9"/>
        <v>9.06E-2</v>
      </c>
      <c r="K89" s="129"/>
      <c r="L89" s="182"/>
      <c r="M89" s="129"/>
      <c r="N89" s="182"/>
      <c r="O89" s="129"/>
      <c r="P89" s="182"/>
      <c r="Q89" s="129"/>
      <c r="R89" s="182"/>
      <c r="S89" s="129"/>
      <c r="T89" s="182"/>
      <c r="U89" s="129"/>
      <c r="V89" s="129"/>
      <c r="W89" s="129"/>
      <c r="X89" s="182"/>
      <c r="Y89" s="129"/>
      <c r="Z89" s="129"/>
      <c r="AA89" s="129"/>
      <c r="AB89" s="129"/>
      <c r="AC89" s="129"/>
      <c r="AD89" s="129"/>
      <c r="AE89" s="129"/>
      <c r="AF89" s="129"/>
      <c r="AG89" s="129"/>
      <c r="AH89" s="129"/>
      <c r="AI89" s="129"/>
      <c r="AJ89" s="217"/>
      <c r="AK89" s="89"/>
    </row>
    <row r="90" spans="2:37" ht="18.5" x14ac:dyDescent="0.45">
      <c r="B90" s="591" t="s">
        <v>601</v>
      </c>
      <c r="C90" s="123">
        <f t="shared" si="8"/>
        <v>9.6599999999999991E-2</v>
      </c>
      <c r="D90" s="129" t="s">
        <v>567</v>
      </c>
      <c r="E90" s="129">
        <v>2019</v>
      </c>
      <c r="F90" s="125">
        <v>6403</v>
      </c>
      <c r="G90" s="123">
        <v>2.69E-2</v>
      </c>
      <c r="H90" s="123">
        <v>4.2700000000000002E-2</v>
      </c>
      <c r="I90" s="123">
        <v>2.7E-2</v>
      </c>
      <c r="J90" s="123">
        <f t="shared" si="9"/>
        <v>9.6599999999999991E-2</v>
      </c>
      <c r="K90" s="129"/>
      <c r="L90" s="182"/>
      <c r="M90" s="129"/>
      <c r="N90" s="182"/>
      <c r="O90" s="129"/>
      <c r="P90" s="182"/>
      <c r="Q90" s="129"/>
      <c r="R90" s="182"/>
      <c r="S90" s="129"/>
      <c r="T90" s="182"/>
      <c r="U90" s="129"/>
      <c r="V90" s="129"/>
      <c r="W90" s="129"/>
      <c r="X90" s="182"/>
      <c r="Y90" s="129"/>
      <c r="Z90" s="129"/>
      <c r="AA90" s="129"/>
      <c r="AB90" s="129"/>
      <c r="AC90" s="129"/>
      <c r="AD90" s="129"/>
      <c r="AE90" s="129"/>
      <c r="AF90" s="129"/>
      <c r="AG90" s="129"/>
      <c r="AH90" s="129"/>
      <c r="AI90" s="129"/>
      <c r="AJ90" s="217"/>
      <c r="AK90" s="89"/>
    </row>
    <row r="91" spans="2:37" ht="18.5" x14ac:dyDescent="0.45">
      <c r="B91" s="591" t="s">
        <v>602</v>
      </c>
      <c r="C91" s="123">
        <f>(F87*J87+F88*J88+F89*J89+F90*J90)/SUM(F87:F90)</f>
        <v>0.11628438915430912</v>
      </c>
      <c r="D91" s="129" t="s">
        <v>567</v>
      </c>
      <c r="E91" s="129">
        <v>2019</v>
      </c>
      <c r="F91" s="125"/>
      <c r="G91" s="123"/>
      <c r="H91" s="123"/>
      <c r="I91" s="123"/>
      <c r="J91" s="123"/>
      <c r="K91" s="129"/>
      <c r="L91" s="182"/>
      <c r="M91" s="129"/>
      <c r="N91" s="182"/>
      <c r="O91" s="129"/>
      <c r="P91" s="182"/>
      <c r="Q91" s="129"/>
      <c r="R91" s="182"/>
      <c r="S91" s="129"/>
      <c r="T91" s="182"/>
      <c r="U91" s="129"/>
      <c r="V91" s="129"/>
      <c r="W91" s="129"/>
      <c r="X91" s="182"/>
      <c r="Y91" s="129"/>
      <c r="Z91" s="129"/>
      <c r="AA91" s="129"/>
      <c r="AB91" s="129"/>
      <c r="AC91" s="129"/>
      <c r="AD91" s="129"/>
      <c r="AE91" s="129"/>
      <c r="AF91" s="129"/>
      <c r="AG91" s="129"/>
      <c r="AH91" s="129"/>
      <c r="AI91" s="129"/>
      <c r="AJ91" s="217"/>
      <c r="AK91" s="89"/>
    </row>
    <row r="92" spans="2:37" ht="18.5" x14ac:dyDescent="0.45">
      <c r="B92" s="218" t="s">
        <v>603</v>
      </c>
      <c r="C92" s="123">
        <f t="shared" si="8"/>
        <v>0.35619999999999996</v>
      </c>
      <c r="D92" s="129" t="s">
        <v>567</v>
      </c>
      <c r="E92" s="129">
        <v>2019</v>
      </c>
      <c r="F92" s="125">
        <v>507</v>
      </c>
      <c r="G92" s="123">
        <v>0.14879999999999999</v>
      </c>
      <c r="H92" s="123">
        <v>0.1411</v>
      </c>
      <c r="I92" s="123">
        <v>6.6299999999999998E-2</v>
      </c>
      <c r="J92" s="123">
        <f t="shared" si="9"/>
        <v>0.35619999999999996</v>
      </c>
      <c r="K92" s="129"/>
      <c r="L92" s="182"/>
      <c r="M92" s="129"/>
      <c r="N92" s="182"/>
      <c r="O92" s="129"/>
      <c r="P92" s="182"/>
      <c r="Q92" s="129"/>
      <c r="R92" s="182"/>
      <c r="S92" s="129"/>
      <c r="T92" s="182"/>
      <c r="U92" s="129"/>
      <c r="V92" s="129"/>
      <c r="W92" s="129"/>
      <c r="X92" s="182"/>
      <c r="Y92" s="129"/>
      <c r="Z92" s="129"/>
      <c r="AA92" s="129"/>
      <c r="AB92" s="129"/>
      <c r="AC92" s="129"/>
      <c r="AD92" s="129"/>
      <c r="AE92" s="129"/>
      <c r="AF92" s="129"/>
      <c r="AG92" s="129"/>
      <c r="AH92" s="129"/>
      <c r="AI92" s="129"/>
      <c r="AJ92" s="217"/>
      <c r="AK92" s="89"/>
    </row>
    <row r="93" spans="2:37" ht="18.5" x14ac:dyDescent="0.45">
      <c r="B93" s="218" t="s">
        <v>604</v>
      </c>
      <c r="C93" s="123">
        <f>J93</f>
        <v>0.4</v>
      </c>
      <c r="D93" s="129" t="s">
        <v>567</v>
      </c>
      <c r="E93" s="129">
        <v>2022</v>
      </c>
      <c r="F93" s="125"/>
      <c r="G93" s="1253"/>
      <c r="H93" s="1253"/>
      <c r="I93" s="1253"/>
      <c r="J93" s="123">
        <v>0.4</v>
      </c>
      <c r="K93" s="129"/>
      <c r="L93" s="182"/>
      <c r="M93" s="129"/>
      <c r="N93" s="182"/>
      <c r="O93" s="129"/>
      <c r="P93" s="182"/>
      <c r="Q93" s="129"/>
      <c r="R93" s="182"/>
      <c r="S93" s="129"/>
      <c r="T93" s="182"/>
      <c r="U93" s="129"/>
      <c r="V93" s="129"/>
      <c r="W93" s="129"/>
      <c r="X93" s="182"/>
      <c r="Y93" s="129"/>
      <c r="Z93" s="129"/>
      <c r="AA93" s="129"/>
      <c r="AB93" s="129"/>
      <c r="AC93" s="129"/>
      <c r="AD93" s="129"/>
      <c r="AE93" s="129"/>
      <c r="AF93" s="129"/>
      <c r="AG93" s="129"/>
      <c r="AH93" s="129"/>
      <c r="AI93" s="129"/>
      <c r="AJ93" s="217"/>
      <c r="AK93" s="89"/>
    </row>
    <row r="94" spans="2:37" ht="18.5" x14ac:dyDescent="0.45">
      <c r="B94" s="218" t="s">
        <v>605</v>
      </c>
      <c r="C94" s="123">
        <f>J94</f>
        <v>0.65</v>
      </c>
      <c r="D94" s="129" t="s">
        <v>567</v>
      </c>
      <c r="E94" s="129">
        <v>2022</v>
      </c>
      <c r="F94" s="125"/>
      <c r="G94" s="1253"/>
      <c r="H94" s="1253"/>
      <c r="I94" s="1253"/>
      <c r="J94" s="123">
        <v>0.65</v>
      </c>
      <c r="K94" s="129"/>
      <c r="L94" s="182"/>
      <c r="M94" s="129"/>
      <c r="N94" s="182"/>
      <c r="O94" s="129"/>
      <c r="P94" s="182"/>
      <c r="Q94" s="129"/>
      <c r="R94" s="182"/>
      <c r="S94" s="129"/>
      <c r="T94" s="182"/>
      <c r="U94" s="129"/>
      <c r="V94" s="129"/>
      <c r="W94" s="129"/>
      <c r="X94" s="182"/>
      <c r="Y94" s="129"/>
      <c r="Z94" s="129"/>
      <c r="AA94" s="129"/>
      <c r="AB94" s="129"/>
      <c r="AC94" s="129"/>
      <c r="AD94" s="129"/>
      <c r="AE94" s="129"/>
      <c r="AF94" s="129"/>
      <c r="AG94" s="129"/>
      <c r="AH94" s="129"/>
      <c r="AI94" s="129"/>
      <c r="AJ94" s="217"/>
      <c r="AK94" s="89"/>
    </row>
    <row r="95" spans="2:37" ht="18.5" x14ac:dyDescent="0.45">
      <c r="B95" s="218" t="s">
        <v>2467</v>
      </c>
      <c r="C95" s="123">
        <f t="shared" ref="C95:C99" si="10">J95</f>
        <v>0.65</v>
      </c>
      <c r="D95" s="129" t="s">
        <v>567</v>
      </c>
      <c r="E95" s="129">
        <v>2022</v>
      </c>
      <c r="F95" s="125"/>
      <c r="G95" s="1220"/>
      <c r="H95" s="1220"/>
      <c r="I95" s="1220"/>
      <c r="J95" s="123">
        <v>0.65</v>
      </c>
      <c r="K95" s="129"/>
      <c r="L95" s="182"/>
      <c r="M95" s="129"/>
      <c r="N95" s="182"/>
      <c r="O95" s="129"/>
      <c r="P95" s="182"/>
      <c r="Q95" s="129"/>
      <c r="R95" s="182"/>
      <c r="S95" s="129"/>
      <c r="T95" s="182"/>
      <c r="U95" s="129"/>
      <c r="V95" s="129"/>
      <c r="W95" s="129"/>
      <c r="X95" s="182"/>
      <c r="Y95" s="129"/>
      <c r="Z95" s="129"/>
      <c r="AA95" s="129"/>
      <c r="AB95" s="129"/>
      <c r="AC95" s="129"/>
      <c r="AD95" s="129"/>
      <c r="AE95" s="129"/>
      <c r="AF95" s="129"/>
      <c r="AG95" s="129"/>
      <c r="AH95" s="129"/>
      <c r="AI95" s="129"/>
      <c r="AJ95" s="217"/>
      <c r="AK95" s="89"/>
    </row>
    <row r="96" spans="2:37" ht="18.5" x14ac:dyDescent="0.45">
      <c r="B96" s="590" t="s">
        <v>2468</v>
      </c>
      <c r="C96" s="123">
        <f t="shared" si="10"/>
        <v>0.65</v>
      </c>
      <c r="D96" s="129" t="s">
        <v>567</v>
      </c>
      <c r="E96" s="129">
        <v>2022</v>
      </c>
      <c r="F96" s="125"/>
      <c r="G96" s="123"/>
      <c r="H96" s="123"/>
      <c r="I96" s="123"/>
      <c r="J96" s="123">
        <v>0.65</v>
      </c>
      <c r="K96" s="129"/>
      <c r="L96" s="182"/>
      <c r="M96" s="129"/>
      <c r="N96" s="182"/>
      <c r="O96" s="129"/>
      <c r="P96" s="182"/>
      <c r="Q96" s="129"/>
      <c r="R96" s="182"/>
      <c r="S96" s="129"/>
      <c r="T96" s="182"/>
      <c r="U96" s="129"/>
      <c r="V96" s="129"/>
      <c r="W96" s="129"/>
      <c r="X96" s="182"/>
      <c r="Y96" s="129"/>
      <c r="Z96" s="129"/>
      <c r="AA96" s="129"/>
      <c r="AB96" s="129"/>
      <c r="AC96" s="129"/>
      <c r="AD96" s="129"/>
      <c r="AE96" s="129"/>
      <c r="AF96" s="129"/>
      <c r="AG96" s="129"/>
      <c r="AH96" s="129"/>
      <c r="AI96" s="129"/>
      <c r="AJ96" s="217"/>
      <c r="AK96" s="89"/>
    </row>
    <row r="97" spans="1:37" ht="18.5" x14ac:dyDescent="0.45">
      <c r="B97" s="590" t="s">
        <v>2469</v>
      </c>
      <c r="C97" s="123">
        <f t="shared" si="10"/>
        <v>0.65</v>
      </c>
      <c r="D97" s="129" t="s">
        <v>567</v>
      </c>
      <c r="E97" s="129">
        <v>2022</v>
      </c>
      <c r="F97" s="125"/>
      <c r="G97" s="123"/>
      <c r="H97" s="123"/>
      <c r="I97" s="123"/>
      <c r="J97" s="123">
        <v>0.65</v>
      </c>
      <c r="K97" s="129"/>
      <c r="L97" s="182"/>
      <c r="M97" s="129"/>
      <c r="N97" s="182"/>
      <c r="O97" s="129"/>
      <c r="P97" s="182"/>
      <c r="Q97" s="129"/>
      <c r="R97" s="182"/>
      <c r="S97" s="129"/>
      <c r="T97" s="182"/>
      <c r="U97" s="129"/>
      <c r="V97" s="129"/>
      <c r="W97" s="129"/>
      <c r="X97" s="182"/>
      <c r="Y97" s="129"/>
      <c r="Z97" s="129"/>
      <c r="AA97" s="129"/>
      <c r="AB97" s="129"/>
      <c r="AC97" s="129"/>
      <c r="AD97" s="129"/>
      <c r="AE97" s="129"/>
      <c r="AF97" s="129"/>
      <c r="AG97" s="129"/>
      <c r="AH97" s="129"/>
      <c r="AI97" s="129"/>
      <c r="AJ97" s="217"/>
      <c r="AK97" s="89"/>
    </row>
    <row r="98" spans="1:37" ht="18.5" x14ac:dyDescent="0.45">
      <c r="B98" s="590" t="s">
        <v>2470</v>
      </c>
      <c r="C98" s="123">
        <f t="shared" si="10"/>
        <v>0.43</v>
      </c>
      <c r="D98" s="129" t="s">
        <v>567</v>
      </c>
      <c r="E98" s="129">
        <v>2022</v>
      </c>
      <c r="F98" s="125"/>
      <c r="G98" s="123"/>
      <c r="H98" s="123"/>
      <c r="I98" s="123"/>
      <c r="J98" s="123">
        <v>0.43</v>
      </c>
      <c r="K98" s="129"/>
      <c r="L98" s="182"/>
      <c r="M98" s="129"/>
      <c r="N98" s="182"/>
      <c r="O98" s="129"/>
      <c r="P98" s="182"/>
      <c r="Q98" s="129"/>
      <c r="R98" s="182"/>
      <c r="S98" s="129"/>
      <c r="T98" s="182"/>
      <c r="U98" s="129"/>
      <c r="V98" s="129"/>
      <c r="W98" s="129"/>
      <c r="X98" s="182"/>
      <c r="Y98" s="129"/>
      <c r="Z98" s="129"/>
      <c r="AA98" s="129"/>
      <c r="AB98" s="129"/>
      <c r="AC98" s="129"/>
      <c r="AD98" s="129"/>
      <c r="AE98" s="129"/>
      <c r="AF98" s="129"/>
      <c r="AG98" s="129"/>
      <c r="AH98" s="129"/>
      <c r="AI98" s="129"/>
      <c r="AJ98" s="217"/>
      <c r="AK98" s="89"/>
    </row>
    <row r="99" spans="1:37" ht="18.5" x14ac:dyDescent="0.45">
      <c r="B99" s="591" t="s">
        <v>2471</v>
      </c>
      <c r="C99" s="123">
        <f t="shared" si="10"/>
        <v>0.47</v>
      </c>
      <c r="D99" s="129" t="s">
        <v>567</v>
      </c>
      <c r="E99" s="129">
        <v>2022</v>
      </c>
      <c r="F99" s="125"/>
      <c r="G99" s="123"/>
      <c r="H99" s="123"/>
      <c r="I99" s="123"/>
      <c r="J99" s="123">
        <v>0.47</v>
      </c>
      <c r="K99" s="129"/>
      <c r="L99" s="182"/>
      <c r="M99" s="129"/>
      <c r="N99" s="182"/>
      <c r="O99" s="129"/>
      <c r="P99" s="182"/>
      <c r="Q99" s="129"/>
      <c r="R99" s="182"/>
      <c r="S99" s="129"/>
      <c r="T99" s="182"/>
      <c r="U99" s="129"/>
      <c r="V99" s="129"/>
      <c r="W99" s="129"/>
      <c r="X99" s="182"/>
      <c r="Y99" s="129"/>
      <c r="Z99" s="129"/>
      <c r="AA99" s="129"/>
      <c r="AB99" s="129"/>
      <c r="AC99" s="129"/>
      <c r="AD99" s="129"/>
      <c r="AE99" s="129"/>
      <c r="AF99" s="129"/>
      <c r="AG99" s="129"/>
      <c r="AH99" s="129"/>
      <c r="AI99" s="129"/>
      <c r="AJ99" s="217"/>
      <c r="AK99" s="89"/>
    </row>
    <row r="100" spans="1:37" ht="18.5" x14ac:dyDescent="0.45">
      <c r="B100" s="591" t="s">
        <v>1355</v>
      </c>
      <c r="C100" s="123">
        <f>AVERAGE(C95:C99)</f>
        <v>0.57000000000000006</v>
      </c>
      <c r="D100" s="129" t="s">
        <v>567</v>
      </c>
      <c r="E100" s="129">
        <v>2022</v>
      </c>
      <c r="F100" s="125"/>
      <c r="G100" s="123"/>
      <c r="H100" s="123"/>
      <c r="I100" s="123"/>
      <c r="J100" s="123">
        <v>0.47</v>
      </c>
      <c r="K100" s="129"/>
      <c r="L100" s="182"/>
      <c r="M100" s="129"/>
      <c r="N100" s="182"/>
      <c r="O100" s="129"/>
      <c r="P100" s="182"/>
      <c r="Q100" s="129"/>
      <c r="R100" s="182"/>
      <c r="S100" s="129"/>
      <c r="T100" s="182"/>
      <c r="U100" s="129"/>
      <c r="V100" s="129"/>
      <c r="W100" s="129"/>
      <c r="X100" s="182"/>
      <c r="Y100" s="129"/>
      <c r="Z100" s="129"/>
      <c r="AA100" s="129"/>
      <c r="AB100" s="129"/>
      <c r="AC100" s="129"/>
      <c r="AD100" s="129"/>
      <c r="AE100" s="129"/>
      <c r="AF100" s="129"/>
      <c r="AG100" s="129"/>
      <c r="AH100" s="129"/>
      <c r="AI100" s="129"/>
      <c r="AJ100" s="217"/>
      <c r="AK100" s="89"/>
    </row>
    <row r="101" spans="1:37" ht="18.5" x14ac:dyDescent="0.45">
      <c r="B101" s="218" t="s">
        <v>1356</v>
      </c>
      <c r="C101" s="123">
        <f>J101</f>
        <v>0.47</v>
      </c>
      <c r="D101" s="129" t="s">
        <v>549</v>
      </c>
      <c r="E101" s="129">
        <v>2022</v>
      </c>
      <c r="F101" s="125"/>
      <c r="G101" s="123"/>
      <c r="H101" s="123"/>
      <c r="I101" s="123"/>
      <c r="J101" s="123">
        <v>0.47</v>
      </c>
      <c r="K101" s="129"/>
      <c r="L101" s="182"/>
      <c r="M101" s="129"/>
      <c r="N101" s="182"/>
      <c r="O101" s="129"/>
      <c r="P101" s="182"/>
      <c r="Q101" s="129"/>
      <c r="R101" s="182"/>
      <c r="S101" s="129"/>
      <c r="T101" s="182"/>
      <c r="U101" s="129"/>
      <c r="V101" s="129"/>
      <c r="W101" s="129"/>
      <c r="X101" s="182"/>
      <c r="Y101" s="129"/>
      <c r="Z101" s="129"/>
      <c r="AA101" s="129"/>
      <c r="AB101" s="129"/>
      <c r="AC101" s="129"/>
      <c r="AD101" s="129"/>
      <c r="AE101" s="129"/>
      <c r="AF101" s="129"/>
      <c r="AG101" s="129"/>
      <c r="AH101" s="129"/>
      <c r="AI101" s="129"/>
      <c r="AJ101" s="217"/>
      <c r="AK101" s="89"/>
    </row>
    <row r="102" spans="1:37" ht="18.5" x14ac:dyDescent="0.45">
      <c r="B102" s="240" t="str">
        <f>'1.1 Standardsatser'!$B$377</f>
        <v>Lokale utslipp (svevestøv (PM10), NOx, SO2)</v>
      </c>
      <c r="C102" s="122"/>
      <c r="D102" s="166"/>
      <c r="E102" s="130"/>
      <c r="F102" s="188"/>
      <c r="G102" s="130"/>
      <c r="H102" s="188"/>
      <c r="I102" s="130"/>
      <c r="J102" s="188"/>
      <c r="K102" s="131"/>
      <c r="L102" s="196"/>
      <c r="M102" s="131"/>
      <c r="N102" s="196"/>
      <c r="O102" s="130"/>
      <c r="P102" s="196"/>
      <c r="Q102" s="131"/>
      <c r="R102" s="196"/>
      <c r="S102" s="130"/>
      <c r="T102" s="188"/>
      <c r="U102" s="130"/>
      <c r="V102" s="130"/>
      <c r="W102" s="130"/>
      <c r="X102" s="188"/>
      <c r="Y102" s="130"/>
      <c r="Z102" s="130"/>
      <c r="AA102" s="130"/>
      <c r="AB102" s="130"/>
      <c r="AC102" s="130"/>
      <c r="AD102" s="130"/>
      <c r="AE102" s="130"/>
      <c r="AF102" s="130"/>
      <c r="AG102" s="130"/>
      <c r="AH102" s="130"/>
      <c r="AI102" s="130"/>
      <c r="AJ102" s="242"/>
      <c r="AK102" s="89" t="str">
        <f>""</f>
        <v/>
      </c>
    </row>
    <row r="103" spans="1:37" ht="18.5" x14ac:dyDescent="0.45">
      <c r="A103" s="511"/>
      <c r="B103" s="218" t="str">
        <f>CONCATENATE('1.1 Standardsatser'!$B$378," - ",'1.1 Standardsatser'!$B$383)</f>
        <v>Persontog - Diesel - Store tettsteder</v>
      </c>
      <c r="C103" s="146">
        <f>(L103*N103+P103*R103+T103*V103)*J103</f>
        <v>45.364407546413169</v>
      </c>
      <c r="D103" s="34" t="s">
        <v>540</v>
      </c>
      <c r="E103" s="129">
        <v>2025</v>
      </c>
      <c r="F103" s="182">
        <f t="shared" ref="F103:F108" si="11">Massetetthet_Diesel</f>
        <v>0.84</v>
      </c>
      <c r="G103" s="129" t="str">
        <f>'1.2 Forutsetninger'!$D$368</f>
        <v>Kg/l</v>
      </c>
      <c r="H103" s="512">
        <f>Drivstofforbruk_PersontogD</f>
        <v>1.7151968345533488</v>
      </c>
      <c r="I103" s="129" t="str">
        <f>'1.2 Forutsetninger'!$D$374</f>
        <v>l/km</v>
      </c>
      <c r="J103" s="513">
        <f>F103*H103/1000</f>
        <v>1.4407653410248129E-3</v>
      </c>
      <c r="K103" s="129" t="s">
        <v>607</v>
      </c>
      <c r="L103" s="83">
        <f>$C$122</f>
        <v>4647.9971046832497</v>
      </c>
      <c r="M103" s="129" t="str">
        <f>$D$119</f>
        <v>Kr/kg</v>
      </c>
      <c r="N103" s="512">
        <f t="shared" ref="N103:N107" si="12">PM10_KgPerTonn_Dieseltog</f>
        <v>3.8</v>
      </c>
      <c r="O103" s="144" t="str">
        <f>'1.2 Forutsetninger'!$D$366</f>
        <v>Kg/tonn</v>
      </c>
      <c r="P103" s="83">
        <f>$C$128</f>
        <v>572.0325453665605</v>
      </c>
      <c r="Q103" s="129" t="str">
        <f>$D$128</f>
        <v>Kr/kg</v>
      </c>
      <c r="R103" s="125">
        <f t="shared" ref="R103:R107" si="13">NOx_KgPerTonn_Diesel</f>
        <v>24.165591014734513</v>
      </c>
      <c r="S103" s="129" t="str">
        <f>'1.2 Forutsetninger'!$D$365</f>
        <v>Kg/tonn</v>
      </c>
      <c r="T103" s="125">
        <f>$C$131</f>
        <v>27.73669163866294</v>
      </c>
      <c r="U103" s="129" t="str">
        <f>$D$131</f>
        <v>Kr/kg</v>
      </c>
      <c r="V103" s="182">
        <f>SO2_KgPerTonn_Dieseltog</f>
        <v>1.5599999999999999E-2</v>
      </c>
      <c r="W103" s="129" t="str">
        <f>'1.2 Forutsetninger'!$D$367</f>
        <v>Kg/tonn</v>
      </c>
      <c r="AJ103" s="221" t="s">
        <v>608</v>
      </c>
      <c r="AK103" s="89" t="str">
        <f>""</f>
        <v/>
      </c>
    </row>
    <row r="104" spans="1:37" ht="18.5" x14ac:dyDescent="0.45">
      <c r="A104" s="511"/>
      <c r="B104" s="218" t="str">
        <f>CONCATENATE('1.1 Standardsatser'!$B$378," - ",'1.1 Standardsatser'!$B$384)</f>
        <v>Persontog - Diesel - Små tettsteder</v>
      </c>
      <c r="C104" s="146">
        <f>(L104*N104+P104*R104+T104*V104)*J104</f>
        <v>7.398519388210997</v>
      </c>
      <c r="D104" s="34" t="s">
        <v>540</v>
      </c>
      <c r="E104" s="129">
        <v>2025</v>
      </c>
      <c r="F104" s="182">
        <f t="shared" si="11"/>
        <v>0.84</v>
      </c>
      <c r="G104" s="129" t="str">
        <f>'1.2 Forutsetninger'!$D$368</f>
        <v>Kg/l</v>
      </c>
      <c r="H104" s="512">
        <f>Drivstofforbruk_PersontogD</f>
        <v>1.7151968345533488</v>
      </c>
      <c r="I104" s="129" t="str">
        <f>'1.2 Forutsetninger'!$D$374</f>
        <v>l/km</v>
      </c>
      <c r="J104" s="513">
        <f>F104*H104/1000</f>
        <v>1.4407653410248129E-3</v>
      </c>
      <c r="K104" s="129" t="s">
        <v>607</v>
      </c>
      <c r="L104" s="83">
        <f>$C$123</f>
        <v>525.53290949759696</v>
      </c>
      <c r="M104" s="129" t="str">
        <f>$D$120</f>
        <v>Kr/kg</v>
      </c>
      <c r="N104" s="512">
        <f t="shared" si="12"/>
        <v>3.8</v>
      </c>
      <c r="O104" s="144" t="str">
        <f>'1.2 Forutsetninger'!$D$366</f>
        <v>Kg/tonn</v>
      </c>
      <c r="P104" s="83">
        <f>$C$129</f>
        <v>129.84950491670415</v>
      </c>
      <c r="Q104" s="129" t="str">
        <f>$D$129</f>
        <v>Kr/kg</v>
      </c>
      <c r="R104" s="125">
        <f t="shared" si="13"/>
        <v>24.165591014734513</v>
      </c>
      <c r="S104" s="129" t="str">
        <f>'1.2 Forutsetninger'!$D$365</f>
        <v>Kg/tonn</v>
      </c>
      <c r="T104" s="125">
        <f>$C$132</f>
        <v>13.86834581933147</v>
      </c>
      <c r="U104" s="129" t="str">
        <f>$D$132</f>
        <v>Kr/kg</v>
      </c>
      <c r="V104" s="182">
        <f t="shared" ref="V104:V108" si="14">SO2_KgPerTonn_Dieseltog</f>
        <v>1.5599999999999999E-2</v>
      </c>
      <c r="W104" s="129" t="str">
        <f>'1.2 Forutsetninger'!$D$367</f>
        <v>Kg/tonn</v>
      </c>
      <c r="AJ104" s="221" t="s">
        <v>608</v>
      </c>
      <c r="AK104" s="89" t="str">
        <f>""</f>
        <v/>
      </c>
    </row>
    <row r="105" spans="1:37" ht="18.5" x14ac:dyDescent="0.45">
      <c r="A105" s="511"/>
      <c r="B105" s="218" t="str">
        <f>CONCATENATE('1.1 Standardsatser'!$B$378," - ",'1.1 Standardsatser'!$B$385)</f>
        <v>Persontog - Diesel - Spredt bebyggelse</v>
      </c>
      <c r="C105" s="146">
        <f t="shared" ref="C105" si="15">(L105*N105+P105*R105+T105*V105)*J105</f>
        <v>1.0620932786970243</v>
      </c>
      <c r="D105" s="34" t="s">
        <v>540</v>
      </c>
      <c r="E105" s="129">
        <v>2025</v>
      </c>
      <c r="F105" s="182">
        <f t="shared" si="11"/>
        <v>0.84</v>
      </c>
      <c r="G105" s="129" t="str">
        <f>'1.2 Forutsetninger'!$D$368</f>
        <v>Kg/l</v>
      </c>
      <c r="H105" s="512">
        <f>Drivstofforbruk_PersontogD</f>
        <v>1.7151968345533488</v>
      </c>
      <c r="I105" s="129" t="str">
        <f>'1.2 Forutsetninger'!$D$374</f>
        <v>l/km</v>
      </c>
      <c r="J105" s="513">
        <f t="shared" ref="J105:J107" si="16">F105*H105/1000</f>
        <v>1.4407653410248129E-3</v>
      </c>
      <c r="K105" s="129" t="s">
        <v>607</v>
      </c>
      <c r="L105" s="83">
        <f>$C$124</f>
        <v>26.36</v>
      </c>
      <c r="M105" s="129" t="str">
        <f>$D$121</f>
        <v>Kr/kg</v>
      </c>
      <c r="N105" s="512">
        <f t="shared" si="12"/>
        <v>3.8</v>
      </c>
      <c r="O105" s="144" t="str">
        <f>'1.2 Forutsetninger'!$D$366</f>
        <v>Kg/tonn</v>
      </c>
      <c r="P105" s="83">
        <f>$C$130</f>
        <v>26.36</v>
      </c>
      <c r="Q105" s="129" t="str">
        <f>$D$130</f>
        <v>Kr/kg</v>
      </c>
      <c r="R105" s="125">
        <f t="shared" si="13"/>
        <v>24.165591014734513</v>
      </c>
      <c r="S105" s="129" t="str">
        <f>'1.2 Forutsetninger'!$D$365</f>
        <v>Kg/tonn</v>
      </c>
      <c r="T105" s="125">
        <f>$C$133</f>
        <v>0</v>
      </c>
      <c r="U105" s="129" t="str">
        <f>$D$133</f>
        <v>Kr/kg</v>
      </c>
      <c r="V105" s="182">
        <f t="shared" si="14"/>
        <v>1.5599999999999999E-2</v>
      </c>
      <c r="W105" s="129" t="str">
        <f>'1.2 Forutsetninger'!$D$367</f>
        <v>Kg/tonn</v>
      </c>
      <c r="AJ105" s="221" t="s">
        <v>608</v>
      </c>
      <c r="AK105" s="89" t="str">
        <f>""</f>
        <v/>
      </c>
    </row>
    <row r="106" spans="1:37" ht="18.5" x14ac:dyDescent="0.45">
      <c r="A106" s="511"/>
      <c r="B106" s="218" t="str">
        <f>CONCATENATE('1.1 Standardsatser'!$B$387," - ",'1.1 Standardsatser'!$B$392)</f>
        <v>Godstog - Diesel - Store tettsteder</v>
      </c>
      <c r="C106" s="146">
        <f>(L106*N106+P106*R106+T106*V106)*J106</f>
        <v>135.37739895001914</v>
      </c>
      <c r="D106" s="34" t="s">
        <v>540</v>
      </c>
      <c r="E106" s="129">
        <v>2025</v>
      </c>
      <c r="F106" s="182">
        <f t="shared" si="11"/>
        <v>0.84</v>
      </c>
      <c r="G106" s="129" t="str">
        <f>'1.2 Forutsetninger'!$D$368</f>
        <v>Kg/l</v>
      </c>
      <c r="H106" s="1217">
        <f>Drivstofforbruk_GodstogD</f>
        <v>5.1185257056773343</v>
      </c>
      <c r="I106" s="129" t="str">
        <f>'1.2 Forutsetninger'!$D$376</f>
        <v>l/km</v>
      </c>
      <c r="J106" s="513">
        <f t="shared" si="16"/>
        <v>4.299561592768961E-3</v>
      </c>
      <c r="K106" s="129" t="s">
        <v>607</v>
      </c>
      <c r="L106" s="83">
        <f>$C$122</f>
        <v>4647.9971046832497</v>
      </c>
      <c r="M106" s="129" t="str">
        <f>$D$119</f>
        <v>Kr/kg</v>
      </c>
      <c r="N106" s="512">
        <f t="shared" si="12"/>
        <v>3.8</v>
      </c>
      <c r="O106" s="144" t="str">
        <f>'1.2 Forutsetninger'!$D$366</f>
        <v>Kg/tonn</v>
      </c>
      <c r="P106" s="83">
        <f>$C$128</f>
        <v>572.0325453665605</v>
      </c>
      <c r="Q106" s="129" t="str">
        <f>$D$128</f>
        <v>Kr/kg</v>
      </c>
      <c r="R106" s="125">
        <f>NOx_KgPerTonn_Diesel</f>
        <v>24.165591014734513</v>
      </c>
      <c r="S106" s="129" t="str">
        <f>'1.2 Forutsetninger'!$D$365</f>
        <v>Kg/tonn</v>
      </c>
      <c r="T106" s="125">
        <f>$C$131</f>
        <v>27.73669163866294</v>
      </c>
      <c r="U106" s="129" t="str">
        <f>$D$131</f>
        <v>Kr/kg</v>
      </c>
      <c r="V106" s="182">
        <f t="shared" si="14"/>
        <v>1.5599999999999999E-2</v>
      </c>
      <c r="W106" s="129" t="str">
        <f>'1.2 Forutsetninger'!$D$367</f>
        <v>Kg/tonn</v>
      </c>
      <c r="AJ106" s="221" t="s">
        <v>608</v>
      </c>
      <c r="AK106" s="89" t="str">
        <f>""</f>
        <v/>
      </c>
    </row>
    <row r="107" spans="1:37" ht="18.5" x14ac:dyDescent="0.45">
      <c r="A107" s="511"/>
      <c r="B107" s="218" t="str">
        <f>CONCATENATE('1.1 Standardsatser'!$B$387," - ",'1.1 Standardsatser'!$B$393)</f>
        <v>Godstog - Diesel - Små tettsteder</v>
      </c>
      <c r="C107" s="146">
        <f>(L107*N107+P107*R107+T107*V107)*J107</f>
        <v>22.07881387699253</v>
      </c>
      <c r="D107" s="34" t="s">
        <v>540</v>
      </c>
      <c r="E107" s="129">
        <v>2025</v>
      </c>
      <c r="F107" s="182">
        <f t="shared" si="11"/>
        <v>0.84</v>
      </c>
      <c r="G107" s="129" t="str">
        <f>'1.2 Forutsetninger'!$D$368</f>
        <v>Kg/l</v>
      </c>
      <c r="H107" s="512">
        <f>Drivstofforbruk_GodstogD</f>
        <v>5.1185257056773343</v>
      </c>
      <c r="I107" s="129" t="str">
        <f>'1.2 Forutsetninger'!$D$376</f>
        <v>l/km</v>
      </c>
      <c r="J107" s="513">
        <f t="shared" si="16"/>
        <v>4.299561592768961E-3</v>
      </c>
      <c r="K107" s="129" t="s">
        <v>607</v>
      </c>
      <c r="L107" s="83">
        <f>$C$123</f>
        <v>525.53290949759696</v>
      </c>
      <c r="M107" s="129" t="str">
        <f>$D$120</f>
        <v>Kr/kg</v>
      </c>
      <c r="N107" s="512">
        <f t="shared" si="12"/>
        <v>3.8</v>
      </c>
      <c r="O107" s="144" t="str">
        <f>'1.2 Forutsetninger'!$D$366</f>
        <v>Kg/tonn</v>
      </c>
      <c r="P107" s="83">
        <f>$C$129</f>
        <v>129.84950491670415</v>
      </c>
      <c r="Q107" s="129" t="str">
        <f>$D$129</f>
        <v>Kr/kg</v>
      </c>
      <c r="R107" s="125">
        <f t="shared" si="13"/>
        <v>24.165591014734513</v>
      </c>
      <c r="S107" s="129" t="str">
        <f>'1.2 Forutsetninger'!$D$365</f>
        <v>Kg/tonn</v>
      </c>
      <c r="T107" s="125">
        <f>$C$132</f>
        <v>13.86834581933147</v>
      </c>
      <c r="U107" s="129" t="str">
        <f>$D$132</f>
        <v>Kr/kg</v>
      </c>
      <c r="V107" s="182">
        <f t="shared" si="14"/>
        <v>1.5599999999999999E-2</v>
      </c>
      <c r="W107" s="129" t="str">
        <f>'1.2 Forutsetninger'!$D$367</f>
        <v>Kg/tonn</v>
      </c>
      <c r="AJ107" s="221" t="s">
        <v>608</v>
      </c>
      <c r="AK107" s="89" t="str">
        <f>""</f>
        <v/>
      </c>
    </row>
    <row r="108" spans="1:37" ht="18.5" x14ac:dyDescent="0.45">
      <c r="A108" s="511"/>
      <c r="B108" s="218" t="str">
        <f>CONCATENATE('1.1 Standardsatser'!$B$387," - ",'1.1 Standardsatser'!$B$394)</f>
        <v>Godstog - Diesel - Spredt bebyggelse</v>
      </c>
      <c r="C108" s="146">
        <f>(L108*N108+P108*R108+T108*V108)*J108</f>
        <v>3.1695206283735424</v>
      </c>
      <c r="D108" s="34" t="s">
        <v>540</v>
      </c>
      <c r="E108" s="129">
        <v>2025</v>
      </c>
      <c r="F108" s="182">
        <f t="shared" si="11"/>
        <v>0.84</v>
      </c>
      <c r="G108" s="129" t="str">
        <f>'1.2 Forutsetninger'!$D$368</f>
        <v>Kg/l</v>
      </c>
      <c r="H108" s="512">
        <f>Drivstofforbruk_GodstogD</f>
        <v>5.1185257056773343</v>
      </c>
      <c r="I108" s="129" t="str">
        <f>'1.2 Forutsetninger'!$D$376</f>
        <v>l/km</v>
      </c>
      <c r="J108" s="513">
        <f>F108*H108/1000</f>
        <v>4.299561592768961E-3</v>
      </c>
      <c r="K108" s="129" t="s">
        <v>607</v>
      </c>
      <c r="L108" s="83">
        <f>$C$124</f>
        <v>26.36</v>
      </c>
      <c r="M108" s="129" t="str">
        <f>$D$121</f>
        <v>Kr/kg</v>
      </c>
      <c r="N108" s="512">
        <f>PM10_KgPerTonn_Dieseltog</f>
        <v>3.8</v>
      </c>
      <c r="O108" s="144" t="str">
        <f>'1.2 Forutsetninger'!$D$366</f>
        <v>Kg/tonn</v>
      </c>
      <c r="P108" s="83">
        <f>$C$130</f>
        <v>26.36</v>
      </c>
      <c r="Q108" s="129" t="str">
        <f>$D$130</f>
        <v>Kr/kg</v>
      </c>
      <c r="R108" s="125">
        <f>NOx_KgPerTonn_Diesel</f>
        <v>24.165591014734513</v>
      </c>
      <c r="S108" s="129" t="str">
        <f>'1.2 Forutsetninger'!$D$365</f>
        <v>Kg/tonn</v>
      </c>
      <c r="T108" s="125">
        <f>$C$133</f>
        <v>0</v>
      </c>
      <c r="U108" s="129" t="str">
        <f>$D$133</f>
        <v>Kr/kg</v>
      </c>
      <c r="V108" s="182">
        <f t="shared" si="14"/>
        <v>1.5599999999999999E-2</v>
      </c>
      <c r="W108" s="129" t="str">
        <f>'1.2 Forutsetninger'!$D$367</f>
        <v>Kg/tonn</v>
      </c>
      <c r="AJ108" s="221" t="s">
        <v>608</v>
      </c>
      <c r="AK108" s="89" t="str">
        <f>""</f>
        <v/>
      </c>
    </row>
    <row r="109" spans="1:37" ht="18.5" x14ac:dyDescent="0.45">
      <c r="B109" s="212" t="str">
        <f>CONCATENATE('1.1 Standardsatser'!$B$396," - ",'1.1 Standardsatser'!$B$397)</f>
        <v>Personbil - Store tettsteder</v>
      </c>
      <c r="C109" s="104">
        <f>AVERAGE(F109:H109)</f>
        <v>0.41500000000000004</v>
      </c>
      <c r="D109" s="129" t="s">
        <v>549</v>
      </c>
      <c r="E109" s="129">
        <v>2019</v>
      </c>
      <c r="F109" s="182">
        <v>0.3</v>
      </c>
      <c r="G109" s="129" t="s">
        <v>537</v>
      </c>
      <c r="H109" s="512">
        <v>0.53</v>
      </c>
      <c r="I109" s="129" t="s">
        <v>537</v>
      </c>
      <c r="J109" s="513"/>
      <c r="K109" s="129"/>
      <c r="L109" s="83"/>
      <c r="M109" s="129"/>
      <c r="N109" s="81"/>
      <c r="P109" s="26"/>
      <c r="R109" s="182"/>
      <c r="S109" s="129"/>
      <c r="T109" s="182"/>
      <c r="U109" s="129"/>
      <c r="V109" s="182"/>
      <c r="W109" s="129"/>
      <c r="AJ109" s="221" t="s">
        <v>609</v>
      </c>
      <c r="AK109" s="89" t="str">
        <f>""</f>
        <v/>
      </c>
    </row>
    <row r="110" spans="1:37" ht="18.5" x14ac:dyDescent="0.45">
      <c r="B110" s="212" t="str">
        <f>CONCATENATE('1.1 Standardsatser'!$B$396," - ",'1.1 Standardsatser'!$B$398)</f>
        <v>Personbil - Små tettsteder</v>
      </c>
      <c r="C110" s="104">
        <f>AVERAGE(F110:H110)</f>
        <v>6.5000000000000002E-2</v>
      </c>
      <c r="D110" s="129" t="s">
        <v>549</v>
      </c>
      <c r="E110" s="129">
        <v>2019</v>
      </c>
      <c r="F110" s="182">
        <v>0.04</v>
      </c>
      <c r="G110" s="129" t="s">
        <v>537</v>
      </c>
      <c r="H110" s="512">
        <v>0.09</v>
      </c>
      <c r="I110" s="129" t="s">
        <v>537</v>
      </c>
      <c r="J110" s="513"/>
      <c r="K110" s="129"/>
      <c r="L110" s="83"/>
      <c r="M110" s="129"/>
      <c r="N110" s="81"/>
      <c r="P110" s="26"/>
      <c r="R110" s="182"/>
      <c r="S110" s="129"/>
      <c r="T110" s="182"/>
      <c r="U110" s="129"/>
      <c r="V110" s="182"/>
      <c r="W110" s="129"/>
      <c r="AJ110" s="221" t="s">
        <v>609</v>
      </c>
      <c r="AK110" s="89" t="str">
        <f>""</f>
        <v/>
      </c>
    </row>
    <row r="111" spans="1:37" ht="18.5" x14ac:dyDescent="0.45">
      <c r="B111" s="212" t="str">
        <f>CONCATENATE('1.1 Standardsatser'!$B$396," - ",'1.1 Standardsatser'!$B$399)</f>
        <v>Personbil - Spredt bebyggelse</v>
      </c>
      <c r="C111" s="104">
        <f>AVERAGE(F111:H111)</f>
        <v>5.0000000000000001E-3</v>
      </c>
      <c r="D111" s="129" t="s">
        <v>549</v>
      </c>
      <c r="E111" s="129">
        <v>2019</v>
      </c>
      <c r="F111" s="182">
        <v>0</v>
      </c>
      <c r="G111" s="129" t="s">
        <v>537</v>
      </c>
      <c r="H111" s="512">
        <v>0.01</v>
      </c>
      <c r="I111" s="129" t="s">
        <v>537</v>
      </c>
      <c r="J111" s="513"/>
      <c r="K111" s="129"/>
      <c r="L111" s="83"/>
      <c r="M111" s="129"/>
      <c r="N111" s="81"/>
      <c r="P111" s="26"/>
      <c r="R111" s="182"/>
      <c r="S111" s="129"/>
      <c r="T111" s="182"/>
      <c r="U111" s="129"/>
      <c r="V111" s="182"/>
      <c r="W111" s="129"/>
      <c r="AJ111" s="221" t="s">
        <v>609</v>
      </c>
      <c r="AK111" s="89" t="str">
        <f>""</f>
        <v/>
      </c>
    </row>
    <row r="112" spans="1:37" ht="18.5" x14ac:dyDescent="0.45">
      <c r="B112" s="212" t="str">
        <f>CONCATENATE('1.1 Standardsatser'!$B$421," - ",'1.1 Standardsatser'!$B$427)</f>
        <v>Tung lastebil - Store tettsteder</v>
      </c>
      <c r="C112" s="104">
        <f>(F112+H112+J112+L112+N112)/5</f>
        <v>3.306</v>
      </c>
      <c r="D112" s="129" t="s">
        <v>549</v>
      </c>
      <c r="E112" s="129">
        <v>2022</v>
      </c>
      <c r="F112" s="182">
        <v>3.08</v>
      </c>
      <c r="G112" s="129" t="s">
        <v>537</v>
      </c>
      <c r="H112" s="512">
        <v>3.42</v>
      </c>
      <c r="I112" s="129" t="s">
        <v>537</v>
      </c>
      <c r="J112" s="513">
        <v>3.56</v>
      </c>
      <c r="K112" s="129" t="s">
        <v>537</v>
      </c>
      <c r="L112" s="83">
        <v>3.21</v>
      </c>
      <c r="M112" s="129" t="s">
        <v>537</v>
      </c>
      <c r="N112" s="81">
        <v>3.26</v>
      </c>
      <c r="O112" s="34" t="s">
        <v>537</v>
      </c>
      <c r="P112" s="26"/>
      <c r="R112" s="182"/>
      <c r="S112" s="129"/>
      <c r="T112" s="182"/>
      <c r="U112" s="129"/>
      <c r="V112" s="182"/>
      <c r="W112" s="129"/>
      <c r="AJ112" s="217" t="s">
        <v>2520</v>
      </c>
      <c r="AK112" s="1245"/>
    </row>
    <row r="113" spans="1:37" ht="18.5" x14ac:dyDescent="0.45">
      <c r="B113" s="212" t="str">
        <f>CONCATENATE('1.1 Standardsatser'!$B$421," - ",'1.1 Standardsatser'!$B$428)</f>
        <v>Tung lastebil - Små tettsteder</v>
      </c>
      <c r="C113" s="104">
        <f>(F113+H113+J113+L113+N113)/5</f>
        <v>0.50600000000000001</v>
      </c>
      <c r="D113" s="129" t="s">
        <v>549</v>
      </c>
      <c r="E113" s="129">
        <v>2022</v>
      </c>
      <c r="F113" s="182">
        <v>0.45</v>
      </c>
      <c r="G113" s="129" t="s">
        <v>537</v>
      </c>
      <c r="H113" s="512">
        <v>0.53</v>
      </c>
      <c r="I113" s="129" t="s">
        <v>537</v>
      </c>
      <c r="J113" s="513">
        <v>0.56000000000000005</v>
      </c>
      <c r="K113" s="129" t="s">
        <v>537</v>
      </c>
      <c r="L113" s="83">
        <v>0.49</v>
      </c>
      <c r="M113" s="129" t="s">
        <v>537</v>
      </c>
      <c r="N113" s="81">
        <v>0.5</v>
      </c>
      <c r="O113" s="34" t="s">
        <v>537</v>
      </c>
      <c r="P113" s="26"/>
      <c r="R113" s="182"/>
      <c r="S113" s="129"/>
      <c r="T113" s="182"/>
      <c r="U113" s="129"/>
      <c r="V113" s="182"/>
      <c r="W113" s="129"/>
      <c r="AJ113" s="217" t="s">
        <v>2520</v>
      </c>
      <c r="AK113" s="89"/>
    </row>
    <row r="114" spans="1:37" ht="18.5" x14ac:dyDescent="0.45">
      <c r="B114" s="212" t="str">
        <f>CONCATENATE('1.1 Standardsatser'!$B$421," - ",'1.1 Standardsatser'!$B$429)</f>
        <v>Tung lastebil - Spredt bebyggelse</v>
      </c>
      <c r="C114" s="104">
        <f>(F114+H114+J114+L114+N114)/5</f>
        <v>4.6000000000000006E-2</v>
      </c>
      <c r="D114" s="129" t="s">
        <v>549</v>
      </c>
      <c r="E114" s="129">
        <v>2022</v>
      </c>
      <c r="F114" s="182">
        <v>0.04</v>
      </c>
      <c r="G114" s="129" t="s">
        <v>537</v>
      </c>
      <c r="H114" s="512">
        <v>0.05</v>
      </c>
      <c r="I114" s="129" t="s">
        <v>537</v>
      </c>
      <c r="J114" s="513">
        <v>0.05</v>
      </c>
      <c r="K114" s="129" t="s">
        <v>537</v>
      </c>
      <c r="L114" s="83">
        <v>0.04</v>
      </c>
      <c r="M114" s="129" t="s">
        <v>537</v>
      </c>
      <c r="N114" s="81">
        <v>0.05</v>
      </c>
      <c r="O114" s="34" t="s">
        <v>537</v>
      </c>
      <c r="P114" s="26"/>
      <c r="R114" s="182"/>
      <c r="S114" s="129"/>
      <c r="T114" s="182"/>
      <c r="U114" s="129"/>
      <c r="V114" s="182"/>
      <c r="W114" s="129"/>
      <c r="AJ114" s="217" t="s">
        <v>2520</v>
      </c>
      <c r="AK114" s="89"/>
    </row>
    <row r="115" spans="1:37" ht="18.5" x14ac:dyDescent="0.45">
      <c r="A115" s="511"/>
      <c r="B115" s="212" t="s">
        <v>2474</v>
      </c>
      <c r="C115" s="104">
        <v>809.07657628727065</v>
      </c>
      <c r="D115" s="129" t="s">
        <v>551</v>
      </c>
      <c r="E115" s="129">
        <v>2022</v>
      </c>
      <c r="F115" s="182"/>
      <c r="G115" s="129"/>
      <c r="H115" s="512"/>
      <c r="I115" s="129"/>
      <c r="J115" s="513"/>
      <c r="K115" s="129"/>
      <c r="L115" s="83"/>
      <c r="M115" s="129"/>
      <c r="N115" s="81"/>
      <c r="P115" s="26"/>
      <c r="R115" s="182"/>
      <c r="S115" s="129"/>
      <c r="T115" s="182"/>
      <c r="U115" s="129"/>
      <c r="V115" s="182"/>
      <c r="W115" s="129"/>
      <c r="AJ115" s="217" t="s">
        <v>2494</v>
      </c>
      <c r="AK115" s="89"/>
    </row>
    <row r="116" spans="1:37" ht="18.5" x14ac:dyDescent="0.45">
      <c r="A116" s="511"/>
      <c r="B116" s="212" t="s">
        <v>2475</v>
      </c>
      <c r="C116" s="104">
        <v>229.14543982243012</v>
      </c>
      <c r="D116" s="129" t="s">
        <v>551</v>
      </c>
      <c r="E116" s="129">
        <v>2022</v>
      </c>
      <c r="F116" s="182"/>
      <c r="G116" s="129"/>
      <c r="H116" s="512"/>
      <c r="I116" s="129"/>
      <c r="J116" s="513"/>
      <c r="K116" s="129"/>
      <c r="L116" s="83"/>
      <c r="M116" s="129"/>
      <c r="N116" s="81"/>
      <c r="P116" s="26"/>
      <c r="R116" s="182"/>
      <c r="S116" s="129"/>
      <c r="T116" s="182"/>
      <c r="U116" s="129"/>
      <c r="V116" s="182"/>
      <c r="W116" s="129"/>
      <c r="AJ116" s="217" t="s">
        <v>2494</v>
      </c>
      <c r="AK116" s="89"/>
    </row>
    <row r="117" spans="1:37" ht="18.5" x14ac:dyDescent="0.45">
      <c r="A117" s="511"/>
      <c r="B117" s="212" t="s">
        <v>2476</v>
      </c>
      <c r="C117" s="104">
        <v>101.11970121</v>
      </c>
      <c r="D117" s="129" t="s">
        <v>551</v>
      </c>
      <c r="E117" s="129">
        <v>2022</v>
      </c>
      <c r="F117" s="182"/>
      <c r="G117" s="129"/>
      <c r="H117" s="512"/>
      <c r="I117" s="129"/>
      <c r="J117" s="513"/>
      <c r="K117" s="129"/>
      <c r="L117" s="83"/>
      <c r="M117" s="129"/>
      <c r="N117" s="81"/>
      <c r="P117" s="26"/>
      <c r="R117" s="182"/>
      <c r="S117" s="129"/>
      <c r="T117" s="182"/>
      <c r="U117" s="129"/>
      <c r="V117" s="182"/>
      <c r="W117" s="129"/>
      <c r="AJ117" s="217" t="s">
        <v>2494</v>
      </c>
      <c r="AK117" s="89"/>
    </row>
    <row r="118" spans="1:37" ht="18.5" x14ac:dyDescent="0.45">
      <c r="A118" s="511"/>
      <c r="B118" s="220" t="s">
        <v>613</v>
      </c>
      <c r="C118" s="140"/>
      <c r="D118" s="141"/>
      <c r="E118" s="141"/>
      <c r="F118" s="189"/>
      <c r="G118" s="141"/>
      <c r="H118" s="189"/>
      <c r="I118" s="141"/>
      <c r="J118" s="189"/>
      <c r="K118" s="141"/>
      <c r="L118" s="189"/>
      <c r="M118" s="141"/>
      <c r="N118" s="189"/>
      <c r="O118" s="141"/>
      <c r="P118" s="189"/>
      <c r="Q118" s="141"/>
      <c r="R118" s="189"/>
      <c r="S118" s="141"/>
      <c r="T118" s="189"/>
      <c r="U118" s="141"/>
      <c r="V118" s="141"/>
      <c r="W118" s="141"/>
      <c r="X118" s="189"/>
      <c r="Y118" s="141"/>
      <c r="Z118" s="141"/>
      <c r="AA118" s="141"/>
      <c r="AB118" s="141"/>
      <c r="AC118" s="141"/>
      <c r="AD118" s="141"/>
      <c r="AE118" s="141"/>
      <c r="AF118" s="141"/>
      <c r="AG118" s="141"/>
      <c r="AH118" s="141"/>
      <c r="AI118" s="141"/>
      <c r="AJ118" s="245"/>
      <c r="AK118" s="89"/>
    </row>
    <row r="119" spans="1:37" ht="18.5" x14ac:dyDescent="0.45">
      <c r="A119" s="511"/>
      <c r="B119" s="218" t="s">
        <v>614</v>
      </c>
      <c r="C119" s="133">
        <v>7976.6452851880749</v>
      </c>
      <c r="D119" s="129" t="s">
        <v>547</v>
      </c>
      <c r="E119" s="129">
        <v>2025</v>
      </c>
      <c r="F119" s="182"/>
      <c r="G119" s="129"/>
      <c r="H119" s="182"/>
      <c r="I119" s="129"/>
      <c r="J119" s="182"/>
      <c r="K119" s="129"/>
      <c r="L119" s="182"/>
      <c r="M119" s="129"/>
      <c r="N119" s="182"/>
      <c r="O119" s="129"/>
      <c r="P119" s="182"/>
      <c r="Q119" s="129"/>
      <c r="R119" s="182"/>
      <c r="S119" s="129"/>
      <c r="T119" s="182"/>
      <c r="U119" s="129"/>
      <c r="V119" s="129"/>
      <c r="W119" s="129"/>
      <c r="X119" s="182"/>
      <c r="Y119" s="129"/>
      <c r="Z119" s="129"/>
      <c r="AA119" s="129"/>
      <c r="AB119" s="129"/>
      <c r="AC119" s="129"/>
      <c r="AD119" s="129"/>
      <c r="AE119" s="129"/>
      <c r="AF119" s="129"/>
      <c r="AG119" s="129"/>
      <c r="AH119" s="129"/>
      <c r="AI119" s="129"/>
      <c r="AJ119" s="217" t="s">
        <v>615</v>
      </c>
      <c r="AK119" s="89"/>
    </row>
    <row r="120" spans="1:37" ht="18.5" x14ac:dyDescent="0.45">
      <c r="A120" s="511"/>
      <c r="B120" s="218" t="s">
        <v>616</v>
      </c>
      <c r="C120" s="133">
        <v>901.89161274033336</v>
      </c>
      <c r="D120" s="129" t="s">
        <v>547</v>
      </c>
      <c r="E120" s="129">
        <v>2025</v>
      </c>
      <c r="F120" s="182"/>
      <c r="G120" s="129"/>
      <c r="H120" s="182"/>
      <c r="I120" s="129"/>
      <c r="J120" s="182"/>
      <c r="K120" s="129"/>
      <c r="L120" s="182"/>
      <c r="M120" s="129"/>
      <c r="N120" s="182"/>
      <c r="O120" s="129"/>
      <c r="P120" s="182"/>
      <c r="Q120" s="129"/>
      <c r="R120" s="182"/>
      <c r="S120" s="129"/>
      <c r="T120" s="182"/>
      <c r="U120" s="129"/>
      <c r="V120" s="129"/>
      <c r="W120" s="129"/>
      <c r="X120" s="182"/>
      <c r="Y120" s="129"/>
      <c r="Z120" s="129"/>
      <c r="AA120" s="129"/>
      <c r="AB120" s="129"/>
      <c r="AC120" s="129"/>
      <c r="AD120" s="129"/>
      <c r="AE120" s="129"/>
      <c r="AF120" s="129"/>
      <c r="AG120" s="129"/>
      <c r="AH120" s="129"/>
      <c r="AI120" s="129"/>
      <c r="AJ120" s="217" t="s">
        <v>617</v>
      </c>
      <c r="AK120" s="89"/>
    </row>
    <row r="121" spans="1:37" ht="18.5" x14ac:dyDescent="0.45">
      <c r="A121" s="511"/>
      <c r="B121" s="218" t="s">
        <v>618</v>
      </c>
      <c r="C121" s="133">
        <v>26.36</v>
      </c>
      <c r="D121" s="129" t="s">
        <v>547</v>
      </c>
      <c r="E121" s="129">
        <v>2025</v>
      </c>
      <c r="F121" s="182"/>
      <c r="G121" s="129"/>
      <c r="H121" s="182"/>
      <c r="I121" s="129"/>
      <c r="J121" s="182"/>
      <c r="K121" s="129"/>
      <c r="L121" s="182"/>
      <c r="M121" s="129"/>
      <c r="N121" s="182"/>
      <c r="O121" s="129"/>
      <c r="P121" s="182"/>
      <c r="Q121" s="129"/>
      <c r="R121" s="182"/>
      <c r="S121" s="129"/>
      <c r="T121" s="182"/>
      <c r="U121" s="129"/>
      <c r="V121" s="129"/>
      <c r="W121" s="129"/>
      <c r="X121" s="182"/>
      <c r="Y121" s="129"/>
      <c r="Z121" s="129"/>
      <c r="AA121" s="129"/>
      <c r="AB121" s="129"/>
      <c r="AC121" s="129"/>
      <c r="AD121" s="129"/>
      <c r="AE121" s="129"/>
      <c r="AF121" s="129"/>
      <c r="AG121" s="129"/>
      <c r="AH121" s="129"/>
      <c r="AI121" s="129"/>
      <c r="AJ121" s="217" t="s">
        <v>619</v>
      </c>
      <c r="AK121" s="89"/>
    </row>
    <row r="122" spans="1:37" ht="18.5" x14ac:dyDescent="0.45">
      <c r="A122" s="511"/>
      <c r="B122" s="218" t="s">
        <v>620</v>
      </c>
      <c r="C122" s="133">
        <v>4647.9971046832497</v>
      </c>
      <c r="D122" s="129" t="s">
        <v>547</v>
      </c>
      <c r="E122" s="129">
        <v>2025</v>
      </c>
      <c r="F122" s="182"/>
      <c r="G122" s="129"/>
      <c r="H122" s="182"/>
      <c r="I122" s="129"/>
      <c r="J122" s="182"/>
      <c r="K122" s="129"/>
      <c r="L122" s="182"/>
      <c r="M122" s="129"/>
      <c r="N122" s="182"/>
      <c r="O122" s="129"/>
      <c r="P122" s="182"/>
      <c r="Q122" s="129"/>
      <c r="R122" s="182"/>
      <c r="S122" s="129"/>
      <c r="T122" s="182"/>
      <c r="U122" s="129"/>
      <c r="V122" s="129"/>
      <c r="W122" s="129"/>
      <c r="X122" s="182"/>
      <c r="Y122" s="129"/>
      <c r="Z122" s="129"/>
      <c r="AA122" s="129"/>
      <c r="AB122" s="129"/>
      <c r="AC122" s="129"/>
      <c r="AD122" s="129"/>
      <c r="AE122" s="129"/>
      <c r="AF122" s="129"/>
      <c r="AG122" s="129"/>
      <c r="AH122" s="129"/>
      <c r="AI122" s="129"/>
      <c r="AJ122" s="217"/>
      <c r="AK122" s="89"/>
    </row>
    <row r="123" spans="1:37" ht="18.5" x14ac:dyDescent="0.45">
      <c r="A123" s="511"/>
      <c r="B123" s="218" t="s">
        <v>621</v>
      </c>
      <c r="C123" s="133">
        <v>525.53290949759696</v>
      </c>
      <c r="D123" s="129" t="s">
        <v>547</v>
      </c>
      <c r="E123" s="129">
        <v>2025</v>
      </c>
      <c r="F123" s="182"/>
      <c r="G123" s="129"/>
      <c r="H123" s="182"/>
      <c r="I123" s="129"/>
      <c r="J123" s="182"/>
      <c r="K123" s="129"/>
      <c r="L123" s="182"/>
      <c r="M123" s="129"/>
      <c r="N123" s="182"/>
      <c r="O123" s="129"/>
      <c r="P123" s="182"/>
      <c r="Q123" s="129"/>
      <c r="R123" s="182"/>
      <c r="S123" s="129"/>
      <c r="T123" s="182"/>
      <c r="U123" s="129"/>
      <c r="V123" s="129"/>
      <c r="W123" s="129"/>
      <c r="X123" s="182"/>
      <c r="Y123" s="129"/>
      <c r="Z123" s="129"/>
      <c r="AA123" s="129"/>
      <c r="AB123" s="129"/>
      <c r="AC123" s="129"/>
      <c r="AD123" s="129"/>
      <c r="AE123" s="129"/>
      <c r="AF123" s="129"/>
      <c r="AG123" s="129"/>
      <c r="AH123" s="129"/>
      <c r="AI123" s="129"/>
      <c r="AJ123" s="217"/>
      <c r="AK123" s="89"/>
    </row>
    <row r="124" spans="1:37" ht="18.5" x14ac:dyDescent="0.45">
      <c r="A124" s="511"/>
      <c r="B124" s="218" t="s">
        <v>622</v>
      </c>
      <c r="C124" s="133">
        <v>26.36</v>
      </c>
      <c r="D124" s="129" t="s">
        <v>547</v>
      </c>
      <c r="E124" s="129">
        <v>2025</v>
      </c>
      <c r="F124" s="182"/>
      <c r="G124" s="129"/>
      <c r="H124" s="182"/>
      <c r="I124" s="129"/>
      <c r="J124" s="182"/>
      <c r="K124" s="129"/>
      <c r="L124" s="182"/>
      <c r="M124" s="129"/>
      <c r="N124" s="182"/>
      <c r="O124" s="129"/>
      <c r="P124" s="182"/>
      <c r="Q124" s="129"/>
      <c r="R124" s="182"/>
      <c r="S124" s="129"/>
      <c r="T124" s="182"/>
      <c r="U124" s="129"/>
      <c r="V124" s="129"/>
      <c r="W124" s="129"/>
      <c r="X124" s="182"/>
      <c r="Y124" s="129"/>
      <c r="Z124" s="129"/>
      <c r="AA124" s="129"/>
      <c r="AB124" s="129"/>
      <c r="AC124" s="129"/>
      <c r="AD124" s="129"/>
      <c r="AE124" s="129"/>
      <c r="AF124" s="129"/>
      <c r="AG124" s="129"/>
      <c r="AH124" s="129"/>
      <c r="AI124" s="129"/>
      <c r="AJ124" s="217"/>
      <c r="AK124" s="89"/>
    </row>
    <row r="125" spans="1:37" ht="18.5" x14ac:dyDescent="0.45">
      <c r="A125" s="511"/>
      <c r="B125" s="218" t="s">
        <v>623</v>
      </c>
      <c r="C125" s="133">
        <v>11213.440772837612</v>
      </c>
      <c r="D125" s="129" t="s">
        <v>547</v>
      </c>
      <c r="E125" s="129">
        <v>2025</v>
      </c>
      <c r="F125" s="182"/>
      <c r="G125" s="129"/>
      <c r="H125" s="182"/>
      <c r="I125" s="129"/>
      <c r="J125" s="182"/>
      <c r="K125" s="129"/>
      <c r="L125" s="182"/>
      <c r="M125" s="129"/>
      <c r="N125" s="182"/>
      <c r="O125" s="129"/>
      <c r="P125" s="182"/>
      <c r="Q125" s="129"/>
      <c r="R125" s="182"/>
      <c r="S125" s="129"/>
      <c r="T125" s="182"/>
      <c r="U125" s="129"/>
      <c r="V125" s="129"/>
      <c r="W125" s="129"/>
      <c r="X125" s="182"/>
      <c r="Y125" s="129"/>
      <c r="Z125" s="129"/>
      <c r="AA125" s="129"/>
      <c r="AB125" s="129"/>
      <c r="AC125" s="129"/>
      <c r="AD125" s="129"/>
      <c r="AE125" s="129"/>
      <c r="AF125" s="129"/>
      <c r="AG125" s="129"/>
      <c r="AH125" s="129"/>
      <c r="AI125" s="129"/>
      <c r="AJ125" s="217"/>
      <c r="AK125" s="89"/>
    </row>
    <row r="126" spans="1:37" ht="18.5" x14ac:dyDescent="0.45">
      <c r="A126" s="511"/>
      <c r="B126" s="218" t="s">
        <v>624</v>
      </c>
      <c r="C126" s="133">
        <v>1267.8648506236384</v>
      </c>
      <c r="D126" s="129" t="s">
        <v>547</v>
      </c>
      <c r="E126" s="129">
        <v>2025</v>
      </c>
      <c r="F126" s="182"/>
      <c r="G126" s="129"/>
      <c r="H126" s="182"/>
      <c r="I126" s="129"/>
      <c r="J126" s="182"/>
      <c r="K126" s="129"/>
      <c r="L126" s="182"/>
      <c r="M126" s="129"/>
      <c r="N126" s="182"/>
      <c r="O126" s="129"/>
      <c r="P126" s="182"/>
      <c r="Q126" s="129"/>
      <c r="R126" s="182"/>
      <c r="S126" s="129"/>
      <c r="T126" s="182"/>
      <c r="U126" s="129"/>
      <c r="V126" s="129"/>
      <c r="W126" s="129"/>
      <c r="X126" s="182"/>
      <c r="Y126" s="129"/>
      <c r="Z126" s="129"/>
      <c r="AA126" s="129"/>
      <c r="AB126" s="129"/>
      <c r="AC126" s="129"/>
      <c r="AD126" s="129"/>
      <c r="AE126" s="129"/>
      <c r="AF126" s="129"/>
      <c r="AG126" s="129"/>
      <c r="AH126" s="129"/>
      <c r="AI126" s="129"/>
      <c r="AJ126" s="217"/>
      <c r="AK126" s="89"/>
    </row>
    <row r="127" spans="1:37" ht="18.5" x14ac:dyDescent="0.45">
      <c r="A127" s="511"/>
      <c r="B127" s="218" t="s">
        <v>625</v>
      </c>
      <c r="C127" s="133">
        <v>26.36</v>
      </c>
      <c r="D127" s="129" t="s">
        <v>547</v>
      </c>
      <c r="E127" s="129">
        <v>2025</v>
      </c>
      <c r="F127" s="182"/>
      <c r="G127" s="129"/>
      <c r="H127" s="182"/>
      <c r="I127" s="129"/>
      <c r="J127" s="182"/>
      <c r="K127" s="129"/>
      <c r="L127" s="182"/>
      <c r="M127" s="129"/>
      <c r="N127" s="182"/>
      <c r="O127" s="129"/>
      <c r="P127" s="182"/>
      <c r="Q127" s="129"/>
      <c r="R127" s="182"/>
      <c r="S127" s="129"/>
      <c r="T127" s="182"/>
      <c r="U127" s="129"/>
      <c r="V127" s="129"/>
      <c r="W127" s="129"/>
      <c r="X127" s="182"/>
      <c r="Y127" s="129"/>
      <c r="Z127" s="129"/>
      <c r="AA127" s="129"/>
      <c r="AB127" s="129"/>
      <c r="AC127" s="129"/>
      <c r="AD127" s="129"/>
      <c r="AE127" s="129"/>
      <c r="AF127" s="129"/>
      <c r="AG127" s="129"/>
      <c r="AH127" s="129"/>
      <c r="AI127" s="129"/>
      <c r="AJ127" s="217"/>
      <c r="AK127" s="89"/>
    </row>
    <row r="128" spans="1:37" ht="18.5" x14ac:dyDescent="0.45">
      <c r="A128" s="511"/>
      <c r="B128" s="218" t="s">
        <v>626</v>
      </c>
      <c r="C128" s="133">
        <v>572.0325453665605</v>
      </c>
      <c r="D128" s="129" t="s">
        <v>547</v>
      </c>
      <c r="E128" s="129">
        <v>2025</v>
      </c>
      <c r="F128" s="182"/>
      <c r="G128" s="129"/>
      <c r="H128" s="182"/>
      <c r="I128" s="129"/>
      <c r="J128" s="182"/>
      <c r="K128" s="129"/>
      <c r="L128" s="182"/>
      <c r="M128" s="129"/>
      <c r="N128" s="182"/>
      <c r="O128" s="129"/>
      <c r="P128" s="182"/>
      <c r="Q128" s="129"/>
      <c r="R128" s="182"/>
      <c r="S128" s="129"/>
      <c r="T128" s="182"/>
      <c r="U128" s="129"/>
      <c r="V128" s="129"/>
      <c r="W128" s="129"/>
      <c r="X128" s="182"/>
      <c r="Y128" s="129"/>
      <c r="Z128" s="129"/>
      <c r="AA128" s="129"/>
      <c r="AB128" s="129"/>
      <c r="AC128" s="129"/>
      <c r="AD128" s="129"/>
      <c r="AE128" s="129"/>
      <c r="AF128" s="129"/>
      <c r="AG128" s="129"/>
      <c r="AH128" s="129"/>
      <c r="AI128" s="129"/>
      <c r="AJ128" s="217" t="s">
        <v>627</v>
      </c>
      <c r="AK128" s="89"/>
    </row>
    <row r="129" spans="1:37" ht="18.5" x14ac:dyDescent="0.45">
      <c r="A129" s="511"/>
      <c r="B129" s="218" t="s">
        <v>628</v>
      </c>
      <c r="C129" s="133">
        <v>129.84950491670415</v>
      </c>
      <c r="D129" s="129" t="s">
        <v>547</v>
      </c>
      <c r="E129" s="129">
        <v>2025</v>
      </c>
      <c r="F129" s="182"/>
      <c r="G129" s="129"/>
      <c r="H129" s="182"/>
      <c r="I129" s="129"/>
      <c r="J129" s="182"/>
      <c r="K129" s="129"/>
      <c r="L129" s="182"/>
      <c r="M129" s="129"/>
      <c r="N129" s="182"/>
      <c r="O129" s="129"/>
      <c r="P129" s="182"/>
      <c r="Q129" s="129"/>
      <c r="R129" s="182"/>
      <c r="S129" s="129"/>
      <c r="T129" s="182"/>
      <c r="U129" s="129"/>
      <c r="V129" s="129"/>
      <c r="W129" s="129"/>
      <c r="X129" s="182"/>
      <c r="Y129" s="129"/>
      <c r="Z129" s="129"/>
      <c r="AA129" s="129"/>
      <c r="AB129" s="129"/>
      <c r="AC129" s="129"/>
      <c r="AD129" s="129"/>
      <c r="AE129" s="129"/>
      <c r="AF129" s="129"/>
      <c r="AG129" s="129"/>
      <c r="AH129" s="129"/>
      <c r="AI129" s="129"/>
      <c r="AJ129" s="217" t="s">
        <v>629</v>
      </c>
      <c r="AK129" s="89"/>
    </row>
    <row r="130" spans="1:37" ht="18.5" x14ac:dyDescent="0.45">
      <c r="A130" s="511"/>
      <c r="B130" s="218" t="s">
        <v>630</v>
      </c>
      <c r="C130" s="133">
        <v>26.36</v>
      </c>
      <c r="D130" s="129" t="s">
        <v>547</v>
      </c>
      <c r="E130" s="129">
        <v>2025</v>
      </c>
      <c r="F130" s="182"/>
      <c r="G130" s="129"/>
      <c r="H130" s="182"/>
      <c r="I130" s="129"/>
      <c r="J130" s="182"/>
      <c r="K130" s="129"/>
      <c r="L130" s="182"/>
      <c r="M130" s="129"/>
      <c r="N130" s="182"/>
      <c r="O130" s="129"/>
      <c r="P130" s="182"/>
      <c r="Q130" s="129"/>
      <c r="R130" s="182"/>
      <c r="S130" s="129"/>
      <c r="T130" s="182"/>
      <c r="U130" s="129"/>
      <c r="V130" s="129"/>
      <c r="W130" s="129"/>
      <c r="X130" s="182"/>
      <c r="Y130" s="129"/>
      <c r="Z130" s="129"/>
      <c r="AA130" s="129"/>
      <c r="AB130" s="129"/>
      <c r="AC130" s="129"/>
      <c r="AD130" s="129"/>
      <c r="AE130" s="129"/>
      <c r="AF130" s="129"/>
      <c r="AG130" s="129"/>
      <c r="AH130" s="129"/>
      <c r="AI130" s="129"/>
      <c r="AJ130" s="217" t="s">
        <v>631</v>
      </c>
      <c r="AK130" s="89"/>
    </row>
    <row r="131" spans="1:37" ht="18.5" x14ac:dyDescent="0.45">
      <c r="A131" s="511"/>
      <c r="B131" s="218" t="s">
        <v>632</v>
      </c>
      <c r="C131" s="133">
        <v>27.73669163866294</v>
      </c>
      <c r="D131" s="129" t="s">
        <v>547</v>
      </c>
      <c r="E131" s="129">
        <v>2025</v>
      </c>
      <c r="F131" s="182"/>
      <c r="G131" s="129"/>
      <c r="H131" s="182"/>
      <c r="I131" s="129"/>
      <c r="J131" s="182"/>
      <c r="K131" s="129"/>
      <c r="L131" s="182"/>
      <c r="M131" s="129"/>
      <c r="N131" s="182"/>
      <c r="O131" s="129"/>
      <c r="P131" s="182"/>
      <c r="Q131" s="129"/>
      <c r="R131" s="182"/>
      <c r="S131" s="129"/>
      <c r="T131" s="182"/>
      <c r="U131" s="129"/>
      <c r="V131" s="129"/>
      <c r="W131" s="129"/>
      <c r="X131" s="182"/>
      <c r="Y131" s="129"/>
      <c r="Z131" s="129"/>
      <c r="AA131" s="129"/>
      <c r="AB131" s="129"/>
      <c r="AC131" s="129"/>
      <c r="AD131" s="129"/>
      <c r="AE131" s="129"/>
      <c r="AF131" s="129"/>
      <c r="AG131" s="129"/>
      <c r="AH131" s="129"/>
      <c r="AI131" s="129"/>
      <c r="AJ131" s="217" t="s">
        <v>633</v>
      </c>
      <c r="AK131" s="89"/>
    </row>
    <row r="132" spans="1:37" ht="18.5" x14ac:dyDescent="0.45">
      <c r="A132" s="511"/>
      <c r="B132" s="218" t="s">
        <v>634</v>
      </c>
      <c r="C132" s="133">
        <v>13.86834581933147</v>
      </c>
      <c r="D132" s="129" t="s">
        <v>547</v>
      </c>
      <c r="E132" s="129">
        <v>2025</v>
      </c>
      <c r="F132" s="182"/>
      <c r="G132" s="129"/>
      <c r="H132" s="182"/>
      <c r="I132" s="129"/>
      <c r="J132" s="182"/>
      <c r="K132" s="129"/>
      <c r="L132" s="182"/>
      <c r="M132" s="129"/>
      <c r="N132" s="182"/>
      <c r="O132" s="129"/>
      <c r="P132" s="182"/>
      <c r="Q132" s="129"/>
      <c r="R132" s="182"/>
      <c r="S132" s="129"/>
      <c r="T132" s="182"/>
      <c r="U132" s="129"/>
      <c r="V132" s="129"/>
      <c r="W132" s="129"/>
      <c r="X132" s="182"/>
      <c r="Y132" s="129"/>
      <c r="Z132" s="129"/>
      <c r="AA132" s="129"/>
      <c r="AB132" s="129"/>
      <c r="AC132" s="129"/>
      <c r="AD132" s="129"/>
      <c r="AE132" s="129"/>
      <c r="AF132" s="129"/>
      <c r="AG132" s="129"/>
      <c r="AH132" s="129"/>
      <c r="AI132" s="129"/>
      <c r="AJ132" s="217" t="s">
        <v>635</v>
      </c>
      <c r="AK132" s="89"/>
    </row>
    <row r="133" spans="1:37" ht="18.5" x14ac:dyDescent="0.45">
      <c r="A133" s="511"/>
      <c r="B133" s="218" t="s">
        <v>636</v>
      </c>
      <c r="C133" s="133">
        <v>0</v>
      </c>
      <c r="D133" s="129" t="s">
        <v>547</v>
      </c>
      <c r="E133" s="129">
        <v>2025</v>
      </c>
      <c r="F133" s="182"/>
      <c r="G133" s="129"/>
      <c r="H133" s="182"/>
      <c r="I133" s="129"/>
      <c r="J133" s="182"/>
      <c r="K133" s="129"/>
      <c r="L133" s="182"/>
      <c r="M133" s="129"/>
      <c r="N133" s="182"/>
      <c r="O133" s="129"/>
      <c r="P133" s="182"/>
      <c r="Q133" s="129"/>
      <c r="R133" s="182"/>
      <c r="S133" s="129"/>
      <c r="T133" s="182"/>
      <c r="U133" s="129"/>
      <c r="V133" s="129"/>
      <c r="W133" s="129"/>
      <c r="X133" s="182"/>
      <c r="Y133" s="129"/>
      <c r="Z133" s="129"/>
      <c r="AA133" s="129"/>
      <c r="AB133" s="129"/>
      <c r="AC133" s="129"/>
      <c r="AD133" s="129"/>
      <c r="AE133" s="129"/>
      <c r="AF133" s="129"/>
      <c r="AG133" s="129"/>
      <c r="AH133" s="129"/>
      <c r="AI133" s="129"/>
      <c r="AJ133" s="217" t="s">
        <v>637</v>
      </c>
      <c r="AK133" s="89"/>
    </row>
    <row r="134" spans="1:37" ht="21" x14ac:dyDescent="0.5">
      <c r="B134" s="246" t="s">
        <v>638</v>
      </c>
      <c r="C134" s="121" t="s">
        <v>639</v>
      </c>
      <c r="D134" s="74" t="str">
        <f>$D$9</f>
        <v>Benevning</v>
      </c>
      <c r="E134" s="74" t="str">
        <f>$E$9</f>
        <v>Opprinnelig Kroneår</v>
      </c>
      <c r="F134" s="187"/>
      <c r="G134" s="74"/>
      <c r="H134" s="187"/>
      <c r="I134" s="74"/>
      <c r="J134" s="187"/>
      <c r="K134" s="74"/>
      <c r="L134" s="187"/>
      <c r="M134" s="74"/>
      <c r="N134" s="187"/>
      <c r="O134" s="74"/>
      <c r="P134" s="187"/>
      <c r="Q134" s="74"/>
      <c r="R134" s="187"/>
      <c r="S134" s="74"/>
      <c r="T134" s="187"/>
      <c r="U134" s="74"/>
      <c r="V134" s="74"/>
      <c r="W134" s="74"/>
      <c r="X134" s="187"/>
      <c r="Y134" s="74"/>
      <c r="Z134" s="74"/>
      <c r="AA134" s="74"/>
      <c r="AB134" s="74"/>
      <c r="AC134" s="74"/>
      <c r="AD134" s="74"/>
      <c r="AE134" s="74"/>
      <c r="AF134" s="74"/>
      <c r="AG134" s="74"/>
      <c r="AH134" s="74"/>
      <c r="AI134" s="74"/>
      <c r="AJ134" s="241"/>
      <c r="AK134" s="89" t="str">
        <f>""</f>
        <v/>
      </c>
    </row>
    <row r="135" spans="1:37" ht="18.5" x14ac:dyDescent="0.45">
      <c r="B135" s="212" t="str">
        <f>'1.2 Forutsetninger'!$B$21</f>
        <v>Skattesats, overskudd og utbytte operatører</v>
      </c>
      <c r="C135" s="126">
        <f>F135+(H135*J135*L135)</f>
        <v>0.46710399999999996</v>
      </c>
      <c r="D135" s="34" t="s">
        <v>544</v>
      </c>
      <c r="E135" s="34">
        <v>2020</v>
      </c>
      <c r="F135" s="201">
        <v>0.22</v>
      </c>
      <c r="G135" s="34" t="s">
        <v>570</v>
      </c>
      <c r="H135" s="191">
        <f>1-F135</f>
        <v>0.78</v>
      </c>
      <c r="I135" s="34" t="s">
        <v>640</v>
      </c>
      <c r="J135" s="191">
        <v>1.44</v>
      </c>
      <c r="K135" s="34" t="s">
        <v>640</v>
      </c>
      <c r="L135" s="201">
        <f>F135</f>
        <v>0.22</v>
      </c>
      <c r="M135" s="34" t="s">
        <v>570</v>
      </c>
      <c r="AJ135" s="213" t="s">
        <v>641</v>
      </c>
      <c r="AK135" s="89" t="str">
        <f>""</f>
        <v/>
      </c>
    </row>
    <row r="136" spans="1:37" ht="18.5" x14ac:dyDescent="0.45">
      <c r="B136" s="247" t="str">
        <f>'1.2 Forutsetninger'!B133</f>
        <v>Bilbelegg</v>
      </c>
      <c r="C136" s="145"/>
      <c r="D136" s="48"/>
      <c r="E136" s="48"/>
      <c r="F136" s="192"/>
      <c r="G136" s="48"/>
      <c r="H136" s="192"/>
      <c r="I136" s="48"/>
      <c r="J136" s="192"/>
      <c r="K136" s="48"/>
      <c r="L136" s="192"/>
      <c r="M136" s="48"/>
      <c r="N136" s="192"/>
      <c r="O136" s="48"/>
      <c r="P136" s="192"/>
      <c r="Q136" s="48"/>
      <c r="R136" s="192"/>
      <c r="S136" s="48"/>
      <c r="T136" s="192"/>
      <c r="U136" s="48"/>
      <c r="V136" s="48"/>
      <c r="W136" s="48"/>
      <c r="X136" s="192"/>
      <c r="Y136" s="48"/>
      <c r="Z136" s="48"/>
      <c r="AA136" s="48"/>
      <c r="AB136" s="48"/>
      <c r="AC136" s="48"/>
      <c r="AD136" s="48"/>
      <c r="AE136" s="48"/>
      <c r="AF136" s="48"/>
      <c r="AG136" s="48"/>
      <c r="AH136" s="48"/>
      <c r="AI136" s="48"/>
      <c r="AJ136" s="248"/>
      <c r="AK136" s="89"/>
    </row>
    <row r="137" spans="1:37" ht="18.5" x14ac:dyDescent="0.45">
      <c r="B137" s="212" t="str">
        <f>CONCATENATE('1.2 Forutsetninger'!$B$137," - ",'1.2 Forutsetninger'!B$138)</f>
        <v>Reiser ≤  50 km - Arbeidsreiser</v>
      </c>
      <c r="C137" s="146">
        <v>1.0979442189341364</v>
      </c>
      <c r="D137" s="34" t="s">
        <v>642</v>
      </c>
      <c r="E137" s="34">
        <v>2024</v>
      </c>
      <c r="AJ137" s="213" t="s">
        <v>643</v>
      </c>
      <c r="AK137" s="89" t="str">
        <f>""</f>
        <v/>
      </c>
    </row>
    <row r="138" spans="1:37" ht="18.5" x14ac:dyDescent="0.45">
      <c r="B138" s="212" t="str">
        <f>CONCATENATE('1.2 Forutsetninger'!$B$137," - ",'1.2 Forutsetninger'!B$139)</f>
        <v>Reiser ≤  50 km - Fritidsreiser</v>
      </c>
      <c r="C138" s="146">
        <v>1.2268322014714206</v>
      </c>
      <c r="D138" s="34" t="s">
        <v>642</v>
      </c>
      <c r="E138" s="34">
        <v>2024</v>
      </c>
      <c r="AJ138" s="213" t="s">
        <v>643</v>
      </c>
      <c r="AK138" s="89" t="str">
        <f>""</f>
        <v/>
      </c>
    </row>
    <row r="139" spans="1:37" ht="18.5" x14ac:dyDescent="0.45">
      <c r="B139" s="247" t="str">
        <f>CONCATENATE('1.2 Forutsetninger'!$B$151)</f>
        <v>Tidskostnader for reisende</v>
      </c>
      <c r="C139" s="184"/>
      <c r="D139" s="185"/>
      <c r="E139" s="185"/>
      <c r="F139" s="193"/>
      <c r="G139" s="185"/>
      <c r="H139" s="193"/>
      <c r="I139" s="185"/>
      <c r="J139" s="193"/>
      <c r="K139" s="185"/>
      <c r="L139" s="193"/>
      <c r="M139" s="185"/>
      <c r="N139" s="193"/>
      <c r="O139" s="185"/>
      <c r="P139" s="193"/>
      <c r="Q139" s="185"/>
      <c r="R139" s="193"/>
      <c r="S139" s="185"/>
      <c r="T139" s="193"/>
      <c r="U139" s="185"/>
      <c r="V139" s="185"/>
      <c r="W139" s="185"/>
      <c r="X139" s="193"/>
      <c r="Y139" s="185"/>
      <c r="Z139" s="185"/>
      <c r="AA139" s="185"/>
      <c r="AB139" s="185"/>
      <c r="AC139" s="185"/>
      <c r="AD139" s="185"/>
      <c r="AE139" s="185"/>
      <c r="AF139" s="185"/>
      <c r="AG139" s="185"/>
      <c r="AH139" s="185"/>
      <c r="AI139" s="185"/>
      <c r="AJ139" s="249"/>
      <c r="AK139" s="89"/>
    </row>
    <row r="140" spans="1:37" ht="18.5" x14ac:dyDescent="0.45">
      <c r="B140" s="212" t="str">
        <f>CONCATENATE('1.2 Forutsetninger'!$B$159," - ",'1.2 Forutsetninger'!$B$160)</f>
        <v xml:space="preserve">Tid mellom avganger, faktor per intervall - Ventetid 0 - 15 min </v>
      </c>
      <c r="C140" s="110">
        <f>((1/3)*F140+(2/3)*H140)</f>
        <v>2.0199999999999996</v>
      </c>
      <c r="D140" s="34" t="s">
        <v>644</v>
      </c>
      <c r="E140" s="34">
        <v>2010</v>
      </c>
      <c r="F140" s="191">
        <v>2.2999999999999998</v>
      </c>
      <c r="G140" s="34" t="s">
        <v>645</v>
      </c>
      <c r="H140" s="191">
        <v>1.88</v>
      </c>
      <c r="I140" s="34" t="s">
        <v>645</v>
      </c>
      <c r="AJ140" s="213" t="s">
        <v>646</v>
      </c>
      <c r="AK140" s="89" t="str">
        <f>""</f>
        <v/>
      </c>
    </row>
    <row r="141" spans="1:37" ht="18.5" x14ac:dyDescent="0.45">
      <c r="A141" s="511"/>
      <c r="B141" s="240" t="str">
        <f>CONCATENATE('1.2 Forutsetninger'!B180)</f>
        <v>Trafikkvolumer</v>
      </c>
      <c r="C141" s="184"/>
      <c r="D141" s="185"/>
      <c r="E141" s="185"/>
      <c r="F141" s="193"/>
      <c r="G141" s="185"/>
      <c r="H141" s="193"/>
      <c r="I141" s="185"/>
      <c r="J141" s="193"/>
      <c r="K141" s="185"/>
      <c r="L141" s="193"/>
      <c r="M141" s="185"/>
      <c r="N141" s="193"/>
      <c r="O141" s="185"/>
      <c r="P141" s="193"/>
      <c r="Q141" s="185"/>
      <c r="R141" s="193"/>
      <c r="S141" s="185"/>
      <c r="T141" s="193"/>
      <c r="U141" s="185"/>
      <c r="V141" s="185"/>
      <c r="W141" s="185"/>
      <c r="X141" s="193"/>
      <c r="Y141" s="185"/>
      <c r="Z141" s="185"/>
      <c r="AA141" s="185"/>
      <c r="AB141" s="185"/>
      <c r="AC141" s="185"/>
      <c r="AD141" s="185"/>
      <c r="AE141" s="185"/>
      <c r="AF141" s="185"/>
      <c r="AG141" s="185"/>
      <c r="AH141" s="185"/>
      <c r="AI141" s="185"/>
      <c r="AJ141" s="249"/>
      <c r="AK141" s="89"/>
    </row>
    <row r="142" spans="1:37" ht="18.5" x14ac:dyDescent="0.45">
      <c r="B142" s="218" t="str">
        <f>CONCATENATE('1.2 Forutsetninger'!$B$181," , ",'1.2 Forutsetninger'!$B$182)</f>
        <v>Persontog , Elektrisk - Store tettsteder</v>
      </c>
      <c r="C142" s="127">
        <f>H142/F142</f>
        <v>0.12903225806451613</v>
      </c>
      <c r="D142" s="34" t="s">
        <v>544</v>
      </c>
      <c r="E142" s="34">
        <v>2000</v>
      </c>
      <c r="F142" s="109">
        <v>31</v>
      </c>
      <c r="G142" s="34" t="s">
        <v>647</v>
      </c>
      <c r="H142" s="109">
        <v>4</v>
      </c>
      <c r="I142" s="34" t="s">
        <v>647</v>
      </c>
      <c r="J142" s="191" t="str">
        <f>""</f>
        <v/>
      </c>
      <c r="AJ142" s="213" t="s">
        <v>648</v>
      </c>
      <c r="AK142" s="89" t="str">
        <f>""</f>
        <v/>
      </c>
    </row>
    <row r="143" spans="1:37" ht="18.5" x14ac:dyDescent="0.45">
      <c r="B143" s="218" t="str">
        <f>CONCATENATE('1.2 Forutsetninger'!$B$181,", ",'1.2 Forutsetninger'!$B$183)</f>
        <v>Persontog, Elektrisk - Små tettsteder</v>
      </c>
      <c r="C143" s="127">
        <f t="shared" ref="C143:C144" si="17">H143/F143</f>
        <v>0.29032258064516131</v>
      </c>
      <c r="D143" s="34" t="s">
        <v>544</v>
      </c>
      <c r="E143" s="34">
        <v>2000</v>
      </c>
      <c r="F143" s="109">
        <v>31</v>
      </c>
      <c r="G143" s="34" t="s">
        <v>647</v>
      </c>
      <c r="H143" s="109">
        <v>9</v>
      </c>
      <c r="I143" s="34" t="s">
        <v>647</v>
      </c>
      <c r="J143" s="191" t="str">
        <f>""</f>
        <v/>
      </c>
      <c r="AJ143" s="213" t="s">
        <v>649</v>
      </c>
      <c r="AK143" s="89" t="str">
        <f>""</f>
        <v/>
      </c>
    </row>
    <row r="144" spans="1:37" ht="18.5" x14ac:dyDescent="0.45">
      <c r="B144" s="218" t="str">
        <f>CONCATENATE('1.2 Forutsetninger'!$B$181,", ",'1.2 Forutsetninger'!$B$184)</f>
        <v>Persontog, Elektrisk - Spredt bebyggelse</v>
      </c>
      <c r="C144" s="127">
        <f t="shared" si="17"/>
        <v>0.58064516129032262</v>
      </c>
      <c r="D144" s="34" t="s">
        <v>544</v>
      </c>
      <c r="E144" s="34">
        <v>2000</v>
      </c>
      <c r="F144" s="109">
        <v>31</v>
      </c>
      <c r="G144" s="34" t="s">
        <v>647</v>
      </c>
      <c r="H144" s="109">
        <v>18</v>
      </c>
      <c r="I144" s="34" t="s">
        <v>647</v>
      </c>
      <c r="J144" s="191" t="str">
        <f>""</f>
        <v/>
      </c>
      <c r="AJ144" s="213" t="s">
        <v>650</v>
      </c>
      <c r="AK144" s="89" t="str">
        <f>""</f>
        <v/>
      </c>
    </row>
    <row r="145" spans="2:37" ht="18.5" x14ac:dyDescent="0.45">
      <c r="B145" s="218" t="str">
        <f>CONCATENATE('1.2 Forutsetninger'!$B$195, ", ",'1.2 Forutsetninger'!$B$196)</f>
        <v>Personbil, Store tettsteder</v>
      </c>
      <c r="C145" s="127">
        <f>(F145+H145)/(J145+L145)</f>
        <v>0.18604298203011171</v>
      </c>
      <c r="D145" s="34" t="s">
        <v>544</v>
      </c>
      <c r="E145" s="34">
        <v>2011</v>
      </c>
      <c r="F145" s="110">
        <v>3116</v>
      </c>
      <c r="G145" s="34" t="s">
        <v>651</v>
      </c>
      <c r="H145" s="110">
        <v>3013</v>
      </c>
      <c r="I145" s="34" t="s">
        <v>651</v>
      </c>
      <c r="J145" s="109">
        <v>16747</v>
      </c>
      <c r="K145" s="34" t="s">
        <v>651</v>
      </c>
      <c r="L145" s="109">
        <v>16197</v>
      </c>
      <c r="M145" s="34" t="s">
        <v>651</v>
      </c>
      <c r="N145" s="34"/>
      <c r="P145" s="34"/>
      <c r="R145" s="110"/>
      <c r="AJ145" s="213" t="s">
        <v>652</v>
      </c>
      <c r="AK145" s="89" t="str">
        <f>""</f>
        <v/>
      </c>
    </row>
    <row r="146" spans="2:37" ht="18.5" x14ac:dyDescent="0.45">
      <c r="B146" s="218" t="str">
        <f>CONCATENATE('1.2 Forutsetninger'!$B$195, ", ",'1.2 Forutsetninger'!$B$197)</f>
        <v>Personbil, Små tettsteder</v>
      </c>
      <c r="C146" s="127">
        <f>(F146+H146)/(J146+L146)</f>
        <v>0.18604298203011171</v>
      </c>
      <c r="D146" s="34" t="s">
        <v>544</v>
      </c>
      <c r="E146" s="34">
        <v>2011</v>
      </c>
      <c r="F146" s="110">
        <v>3116</v>
      </c>
      <c r="G146" s="34" t="s">
        <v>651</v>
      </c>
      <c r="H146" s="110">
        <v>3013</v>
      </c>
      <c r="I146" s="34" t="s">
        <v>651</v>
      </c>
      <c r="J146" s="109">
        <v>16747</v>
      </c>
      <c r="K146" s="34" t="s">
        <v>651</v>
      </c>
      <c r="L146" s="109">
        <v>16197</v>
      </c>
      <c r="M146" s="34" t="s">
        <v>651</v>
      </c>
      <c r="N146" s="34"/>
      <c r="P146" s="34"/>
      <c r="R146" s="110"/>
      <c r="AJ146" s="213" t="s">
        <v>653</v>
      </c>
      <c r="AK146" s="89" t="str">
        <f>""</f>
        <v/>
      </c>
    </row>
    <row r="147" spans="2:37" ht="18.5" x14ac:dyDescent="0.45">
      <c r="B147" s="218" t="str">
        <f>CONCATENATE('1.2 Forutsetninger'!$B$195, ", ",'1.2 Forutsetninger'!$B$198)</f>
        <v>Personbil, Spredt bebyggelse</v>
      </c>
      <c r="C147" s="127">
        <f>(F147+H147)/(J147+L147)</f>
        <v>0.62791403593977657</v>
      </c>
      <c r="D147" s="34" t="s">
        <v>544</v>
      </c>
      <c r="E147" s="34">
        <v>2011</v>
      </c>
      <c r="F147" s="109">
        <v>10516</v>
      </c>
      <c r="G147" s="34" t="s">
        <v>651</v>
      </c>
      <c r="H147" s="109">
        <v>10170</v>
      </c>
      <c r="I147" s="34" t="s">
        <v>651</v>
      </c>
      <c r="J147" s="109">
        <v>16747</v>
      </c>
      <c r="K147" s="34" t="s">
        <v>651</v>
      </c>
      <c r="L147" s="109">
        <v>16197</v>
      </c>
      <c r="M147" s="34" t="s">
        <v>651</v>
      </c>
      <c r="N147" s="34"/>
      <c r="P147" s="34"/>
      <c r="R147" s="110"/>
      <c r="AJ147" s="213" t="s">
        <v>654</v>
      </c>
      <c r="AK147" s="89" t="str">
        <f>""</f>
        <v/>
      </c>
    </row>
    <row r="148" spans="2:37" ht="18.5" x14ac:dyDescent="0.45">
      <c r="B148" s="218" t="str">
        <f>CONCATENATE('1.2 Forutsetninger'!$B$199, ", ",'1.2 Forutsetninger'!$B$200)</f>
        <v>Buss, Store tettsteder</v>
      </c>
      <c r="C148" s="127">
        <f>F148/H148</f>
        <v>0.27962962962962962</v>
      </c>
      <c r="D148" s="34" t="s">
        <v>544</v>
      </c>
      <c r="E148" s="34">
        <v>2011</v>
      </c>
      <c r="F148" s="109">
        <v>151</v>
      </c>
      <c r="G148" s="34" t="s">
        <v>651</v>
      </c>
      <c r="H148" s="109">
        <v>540</v>
      </c>
      <c r="I148" s="34" t="s">
        <v>651</v>
      </c>
      <c r="AJ148" s="213" t="s">
        <v>655</v>
      </c>
      <c r="AK148" s="89" t="str">
        <f>""</f>
        <v/>
      </c>
    </row>
    <row r="149" spans="2:37" ht="18.5" x14ac:dyDescent="0.45">
      <c r="B149" s="218" t="str">
        <f>CONCATENATE('1.2 Forutsetninger'!$B$199, ", ",'1.2 Forutsetninger'!$B$201)</f>
        <v>Buss, Små tettsteder</v>
      </c>
      <c r="C149" s="127">
        <f t="shared" ref="C149:C150" si="18">F149/H149</f>
        <v>0.27962962962962962</v>
      </c>
      <c r="D149" s="34" t="s">
        <v>544</v>
      </c>
      <c r="E149" s="34">
        <v>2011</v>
      </c>
      <c r="F149" s="109">
        <v>151</v>
      </c>
      <c r="G149" s="34" t="s">
        <v>651</v>
      </c>
      <c r="H149" s="109">
        <v>540</v>
      </c>
      <c r="I149" s="34" t="s">
        <v>651</v>
      </c>
      <c r="AJ149" s="213" t="s">
        <v>656</v>
      </c>
      <c r="AK149" s="89" t="str">
        <f>""</f>
        <v/>
      </c>
    </row>
    <row r="150" spans="2:37" ht="18.5" x14ac:dyDescent="0.45">
      <c r="B150" s="218" t="str">
        <f>CONCATENATE('1.2 Forutsetninger'!$B$199, ", ",'1.2 Forutsetninger'!$B$202)</f>
        <v>Buss, Spredt bebyggelse</v>
      </c>
      <c r="C150" s="127">
        <f t="shared" si="18"/>
        <v>0.44074074074074077</v>
      </c>
      <c r="D150" s="34" t="s">
        <v>544</v>
      </c>
      <c r="E150" s="34">
        <v>2011</v>
      </c>
      <c r="F150" s="109">
        <v>238</v>
      </c>
      <c r="G150" s="34" t="s">
        <v>651</v>
      </c>
      <c r="H150" s="109">
        <v>540</v>
      </c>
      <c r="I150" s="34" t="s">
        <v>651</v>
      </c>
      <c r="AJ150" s="213" t="s">
        <v>657</v>
      </c>
      <c r="AK150" s="89" t="str">
        <f>""</f>
        <v/>
      </c>
    </row>
    <row r="151" spans="2:37" ht="18.5" x14ac:dyDescent="0.45">
      <c r="B151" s="212" t="str">
        <f>CONCATENATE('1.2 Forutsetninger'!$B$207,", ",'1.2 Forutsetninger'!$B$208)</f>
        <v>Vei (gods) - Lett lastebil, Store tettsteder</v>
      </c>
      <c r="C151" s="127">
        <f>F151/H151</f>
        <v>0.12987012987012986</v>
      </c>
      <c r="D151" s="34" t="s">
        <v>544</v>
      </c>
      <c r="E151" s="34">
        <v>2011</v>
      </c>
      <c r="F151" s="109">
        <v>10</v>
      </c>
      <c r="G151" s="34" t="s">
        <v>651</v>
      </c>
      <c r="H151" s="109">
        <v>77</v>
      </c>
      <c r="I151" s="34" t="s">
        <v>651</v>
      </c>
      <c r="AJ151" s="213" t="s">
        <v>658</v>
      </c>
      <c r="AK151" s="89" t="str">
        <f>""</f>
        <v/>
      </c>
    </row>
    <row r="152" spans="2:37" ht="18.5" x14ac:dyDescent="0.45">
      <c r="B152" s="212" t="str">
        <f>CONCATENATE('1.2 Forutsetninger'!$B$207,", ",'1.2 Forutsetninger'!$B$209)</f>
        <v>Vei (gods) - Lett lastebil, Små tettsteder</v>
      </c>
      <c r="C152" s="127">
        <f t="shared" ref="C152:C159" si="19">F152/H152</f>
        <v>0.12987012987012986</v>
      </c>
      <c r="D152" s="34" t="s">
        <v>544</v>
      </c>
      <c r="E152" s="34">
        <v>2011</v>
      </c>
      <c r="F152" s="109">
        <v>10</v>
      </c>
      <c r="G152" s="34" t="s">
        <v>651</v>
      </c>
      <c r="H152" s="109">
        <v>77</v>
      </c>
      <c r="I152" s="34" t="s">
        <v>651</v>
      </c>
      <c r="AJ152" s="213" t="s">
        <v>659</v>
      </c>
      <c r="AK152" s="89" t="str">
        <f>""</f>
        <v/>
      </c>
    </row>
    <row r="153" spans="2:37" ht="18.5" x14ac:dyDescent="0.45">
      <c r="B153" s="212" t="str">
        <f>CONCATENATE('1.2 Forutsetninger'!$B$207,", ",'1.2 Forutsetninger'!$B$210)</f>
        <v>Vei (gods) - Lett lastebil, Spredt bebyggelse</v>
      </c>
      <c r="C153" s="127">
        <f t="shared" si="19"/>
        <v>0.74025974025974028</v>
      </c>
      <c r="D153" s="34" t="s">
        <v>544</v>
      </c>
      <c r="E153" s="34">
        <v>2011</v>
      </c>
      <c r="F153" s="109">
        <v>57</v>
      </c>
      <c r="G153" s="34" t="s">
        <v>651</v>
      </c>
      <c r="H153" s="109">
        <v>77</v>
      </c>
      <c r="I153" s="34" t="s">
        <v>651</v>
      </c>
      <c r="AJ153" s="213" t="s">
        <v>660</v>
      </c>
      <c r="AK153" s="89" t="str">
        <f>""</f>
        <v/>
      </c>
    </row>
    <row r="154" spans="2:37" ht="18.5" x14ac:dyDescent="0.45">
      <c r="B154" s="212" t="str">
        <f>CONCATENATE('1.2 Forutsetninger'!$B$211,", ",'1.2 Forutsetninger'!$B$212)</f>
        <v>Vei (gods) - Tung lastebil, Store tettsteder</v>
      </c>
      <c r="C154" s="127">
        <f t="shared" si="19"/>
        <v>0.12755102040816327</v>
      </c>
      <c r="D154" s="34" t="s">
        <v>544</v>
      </c>
      <c r="E154" s="34">
        <v>2011</v>
      </c>
      <c r="F154" s="109">
        <v>25</v>
      </c>
      <c r="G154" s="34" t="s">
        <v>651</v>
      </c>
      <c r="H154" s="109">
        <v>196</v>
      </c>
      <c r="I154" s="34" t="s">
        <v>651</v>
      </c>
      <c r="AJ154" s="250" t="s">
        <v>661</v>
      </c>
      <c r="AK154" s="89"/>
    </row>
    <row r="155" spans="2:37" ht="18.5" x14ac:dyDescent="0.45">
      <c r="B155" s="212" t="str">
        <f>CONCATENATE('1.2 Forutsetninger'!$B$211,", ",'1.2 Forutsetninger'!$B$213)</f>
        <v>Vei (gods) - Tung lastebil, Små tettsteder</v>
      </c>
      <c r="C155" s="127">
        <f t="shared" si="19"/>
        <v>0.12755102040816327</v>
      </c>
      <c r="D155" s="34" t="s">
        <v>544</v>
      </c>
      <c r="E155" s="34">
        <v>2011</v>
      </c>
      <c r="F155" s="109">
        <v>25</v>
      </c>
      <c r="G155" s="34" t="s">
        <v>651</v>
      </c>
      <c r="H155" s="109">
        <v>196</v>
      </c>
      <c r="I155" s="34" t="s">
        <v>651</v>
      </c>
      <c r="AJ155" s="250" t="s">
        <v>662</v>
      </c>
      <c r="AK155" s="89"/>
    </row>
    <row r="156" spans="2:37" ht="18.5" x14ac:dyDescent="0.45">
      <c r="B156" s="212" t="str">
        <f>CONCATENATE('1.2 Forutsetninger'!$B$211,", ",'1.2 Forutsetninger'!$B$214)</f>
        <v>Vei (gods) - Tung lastebil, Spredt bebyggelse</v>
      </c>
      <c r="C156" s="127">
        <f t="shared" si="19"/>
        <v>0.74489795918367352</v>
      </c>
      <c r="D156" s="34" t="s">
        <v>544</v>
      </c>
      <c r="E156" s="34">
        <v>2011</v>
      </c>
      <c r="F156" s="109">
        <v>146</v>
      </c>
      <c r="G156" s="34" t="s">
        <v>651</v>
      </c>
      <c r="H156" s="109">
        <v>196</v>
      </c>
      <c r="I156" s="34" t="s">
        <v>651</v>
      </c>
      <c r="AJ156" s="250" t="s">
        <v>663</v>
      </c>
      <c r="AK156" s="89"/>
    </row>
    <row r="157" spans="2:37" ht="18.5" x14ac:dyDescent="0.45">
      <c r="B157" s="212" t="str">
        <f>CONCATENATE('1.2 Forutsetninger'!$B$215,", ",'1.2 Forutsetninger'!$B$216)</f>
        <v>Vei (gods) - Modulvogntog, Store tettsteder</v>
      </c>
      <c r="C157" s="127">
        <f t="shared" si="19"/>
        <v>0.12755102040816327</v>
      </c>
      <c r="D157" s="34" t="s">
        <v>544</v>
      </c>
      <c r="E157" s="34">
        <v>2011</v>
      </c>
      <c r="F157" s="109">
        <v>25</v>
      </c>
      <c r="G157" s="34" t="s">
        <v>651</v>
      </c>
      <c r="H157" s="109">
        <v>196</v>
      </c>
      <c r="I157" s="34" t="s">
        <v>651</v>
      </c>
      <c r="AJ157" s="250" t="s">
        <v>664</v>
      </c>
      <c r="AK157" s="89"/>
    </row>
    <row r="158" spans="2:37" ht="18.5" x14ac:dyDescent="0.45">
      <c r="B158" s="212" t="str">
        <f>CONCATENATE('1.2 Forutsetninger'!$B$215,", ",'1.2 Forutsetninger'!$B$217)</f>
        <v>Vei (gods) - Modulvogntog, Små tettsteder</v>
      </c>
      <c r="C158" s="127">
        <f t="shared" si="19"/>
        <v>0.12755102040816327</v>
      </c>
      <c r="D158" s="34" t="s">
        <v>544</v>
      </c>
      <c r="E158" s="34">
        <v>2011</v>
      </c>
      <c r="F158" s="109">
        <v>25</v>
      </c>
      <c r="G158" s="34" t="s">
        <v>651</v>
      </c>
      <c r="H158" s="109">
        <v>196</v>
      </c>
      <c r="I158" s="34" t="s">
        <v>651</v>
      </c>
      <c r="AJ158" s="250" t="s">
        <v>664</v>
      </c>
      <c r="AK158" s="89"/>
    </row>
    <row r="159" spans="2:37" ht="18.5" x14ac:dyDescent="0.45">
      <c r="B159" s="212" t="str">
        <f>CONCATENATE('1.2 Forutsetninger'!$B$215,", ",'1.2 Forutsetninger'!$B$218)</f>
        <v>Vei (gods) - Modulvogntog, Spredt bebyggelse</v>
      </c>
      <c r="C159" s="127">
        <f t="shared" si="19"/>
        <v>0.74489795918367352</v>
      </c>
      <c r="D159" s="34" t="s">
        <v>544</v>
      </c>
      <c r="E159" s="34">
        <v>2011</v>
      </c>
      <c r="F159" s="109">
        <v>146</v>
      </c>
      <c r="G159" s="34" t="s">
        <v>651</v>
      </c>
      <c r="H159" s="109">
        <v>196</v>
      </c>
      <c r="I159" s="34" t="s">
        <v>651</v>
      </c>
      <c r="AJ159" s="250" t="s">
        <v>664</v>
      </c>
      <c r="AK159" s="89"/>
    </row>
    <row r="160" spans="2:37" ht="44.5" x14ac:dyDescent="0.45">
      <c r="B160" s="550" t="str">
        <f>'1.2 Forutsetninger'!B285</f>
        <v>Ulykkesfrekvens</v>
      </c>
      <c r="C160" s="616" t="s">
        <v>665</v>
      </c>
      <c r="D160" s="615" t="s">
        <v>666</v>
      </c>
      <c r="E160" s="611" t="s">
        <v>594</v>
      </c>
      <c r="F160" s="548" t="s">
        <v>667</v>
      </c>
      <c r="G160" s="615" t="s">
        <v>668</v>
      </c>
      <c r="H160" s="617" t="s">
        <v>669</v>
      </c>
      <c r="I160" s="615" t="s">
        <v>670</v>
      </c>
      <c r="J160" s="617" t="s">
        <v>671</v>
      </c>
      <c r="K160" s="615" t="s">
        <v>672</v>
      </c>
      <c r="L160" s="617" t="s">
        <v>673</v>
      </c>
      <c r="M160" s="615" t="s">
        <v>674</v>
      </c>
      <c r="N160" s="617" t="s">
        <v>675</v>
      </c>
      <c r="O160" s="615" t="s">
        <v>603</v>
      </c>
      <c r="P160" s="617" t="s">
        <v>676</v>
      </c>
      <c r="Q160" s="615" t="s">
        <v>677</v>
      </c>
      <c r="R160" s="617" t="s">
        <v>678</v>
      </c>
      <c r="S160" s="615" t="s">
        <v>679</v>
      </c>
      <c r="T160" s="615" t="s">
        <v>680</v>
      </c>
      <c r="U160" s="615" t="s">
        <v>681</v>
      </c>
      <c r="V160" s="617" t="s">
        <v>682</v>
      </c>
      <c r="W160" s="615" t="s">
        <v>595</v>
      </c>
      <c r="X160" s="615" t="s">
        <v>596</v>
      </c>
      <c r="Y160" s="615" t="s">
        <v>683</v>
      </c>
      <c r="Z160" s="615" t="s">
        <v>684</v>
      </c>
      <c r="AA160" s="611"/>
      <c r="AB160" s="611"/>
      <c r="AC160" s="611"/>
      <c r="AD160" s="611"/>
      <c r="AE160" s="611"/>
      <c r="AF160" s="611"/>
      <c r="AG160" s="611"/>
      <c r="AH160" s="611"/>
      <c r="AI160" s="547"/>
      <c r="AJ160" s="549"/>
      <c r="AK160" s="89"/>
    </row>
    <row r="161" spans="1:39" s="59" customFormat="1" ht="18.5" x14ac:dyDescent="0.45">
      <c r="A161" s="510"/>
      <c r="B161" s="264" t="s">
        <v>595</v>
      </c>
      <c r="C161" s="612"/>
      <c r="D161" s="31">
        <v>38.799999999999997</v>
      </c>
      <c r="E161" s="596"/>
      <c r="F161" s="596"/>
      <c r="G161" s="596"/>
      <c r="H161" s="596"/>
      <c r="I161" s="596"/>
      <c r="J161" s="596"/>
      <c r="K161" s="596"/>
      <c r="L161" s="596"/>
      <c r="M161" s="596"/>
      <c r="N161" s="596"/>
      <c r="O161" s="596"/>
      <c r="P161" s="189"/>
      <c r="Q161" s="140"/>
      <c r="R161" s="189"/>
      <c r="S161" s="140"/>
      <c r="T161" s="140"/>
      <c r="U161" s="140"/>
      <c r="V161" s="189"/>
      <c r="W161" s="140"/>
      <c r="X161" s="140"/>
      <c r="Y161" s="140"/>
      <c r="Z161" s="140"/>
      <c r="AA161" s="140"/>
      <c r="AB161" s="140"/>
      <c r="AC161" s="140"/>
      <c r="AD161" s="140"/>
      <c r="AE161" s="140"/>
      <c r="AF161" s="140"/>
      <c r="AG161" s="140"/>
      <c r="AH161" s="140"/>
      <c r="AI161" s="140"/>
      <c r="AJ161" s="243"/>
      <c r="AK161" s="152" t="str">
        <f>""</f>
        <v/>
      </c>
    </row>
    <row r="162" spans="1:39" s="59" customFormat="1" ht="18.5" x14ac:dyDescent="0.45">
      <c r="A162" s="1214"/>
      <c r="B162" s="218" t="s">
        <v>685</v>
      </c>
      <c r="C162" s="564">
        <v>0.18240000000000001</v>
      </c>
      <c r="D162" s="65"/>
      <c r="E162" s="111"/>
      <c r="F162" s="111"/>
      <c r="G162" s="111"/>
      <c r="H162" s="111"/>
      <c r="I162" s="111"/>
      <c r="J162" s="111"/>
      <c r="K162" s="111"/>
      <c r="L162" s="111"/>
      <c r="M162" s="111"/>
      <c r="N162" s="111"/>
      <c r="O162" s="111"/>
      <c r="P162" s="111"/>
      <c r="Q162" s="111"/>
      <c r="R162" s="111"/>
      <c r="S162" s="111"/>
      <c r="T162" s="111"/>
      <c r="U162" s="111"/>
      <c r="V162" s="111"/>
      <c r="W162" s="111"/>
      <c r="X162" s="111"/>
      <c r="Y162" s="111"/>
      <c r="Z162" s="111"/>
      <c r="AA162" s="111"/>
      <c r="AB162" s="111"/>
      <c r="AC162" s="111"/>
      <c r="AD162" s="111"/>
      <c r="AE162" s="111"/>
      <c r="AF162" s="111"/>
      <c r="AG162" s="111"/>
      <c r="AH162" s="111"/>
      <c r="AI162" s="111"/>
      <c r="AJ162" s="217" t="s">
        <v>686</v>
      </c>
      <c r="AK162" s="152" t="str">
        <f>""</f>
        <v/>
      </c>
    </row>
    <row r="163" spans="1:39" s="59" customFormat="1" ht="18.5" x14ac:dyDescent="0.45">
      <c r="A163" s="1214"/>
      <c r="B163" s="218" t="s">
        <v>687</v>
      </c>
      <c r="C163" s="564">
        <v>1.5900000000000001E-2</v>
      </c>
      <c r="D163" s="65"/>
      <c r="E163" s="111"/>
      <c r="F163" s="111"/>
      <c r="G163" s="111"/>
      <c r="H163" s="111"/>
      <c r="I163" s="111"/>
      <c r="J163" s="111"/>
      <c r="K163" s="111"/>
      <c r="L163" s="111"/>
      <c r="M163" s="111"/>
      <c r="N163" s="111"/>
      <c r="O163" s="111"/>
      <c r="P163" s="111"/>
      <c r="Q163" s="111"/>
      <c r="R163" s="111"/>
      <c r="S163" s="111"/>
      <c r="T163" s="111"/>
      <c r="U163" s="111"/>
      <c r="V163" s="111"/>
      <c r="W163" s="111"/>
      <c r="X163" s="111"/>
      <c r="Y163" s="111"/>
      <c r="Z163" s="111"/>
      <c r="AA163" s="111"/>
      <c r="AB163" s="111"/>
      <c r="AC163" s="111"/>
      <c r="AD163" s="111"/>
      <c r="AE163" s="111"/>
      <c r="AF163" s="111"/>
      <c r="AG163" s="111"/>
      <c r="AH163" s="111"/>
      <c r="AI163" s="111"/>
      <c r="AJ163" s="217" t="s">
        <v>686</v>
      </c>
      <c r="AK163" s="152"/>
    </row>
    <row r="164" spans="1:39" s="59" customFormat="1" ht="18.5" x14ac:dyDescent="0.45">
      <c r="A164" s="1214"/>
      <c r="B164" s="218" t="s">
        <v>591</v>
      </c>
      <c r="C164" s="564">
        <v>1.9199999999999998E-2</v>
      </c>
      <c r="D164" s="65"/>
      <c r="E164" s="111"/>
      <c r="F164" s="111"/>
      <c r="G164" s="111"/>
      <c r="H164" s="111"/>
      <c r="I164" s="111"/>
      <c r="J164" s="111"/>
      <c r="K164" s="111"/>
      <c r="L164" s="111"/>
      <c r="M164" s="111"/>
      <c r="N164" s="111"/>
      <c r="O164" s="111"/>
      <c r="P164" s="111"/>
      <c r="Q164" s="111"/>
      <c r="R164" s="111"/>
      <c r="S164" s="111"/>
      <c r="T164" s="111"/>
      <c r="U164" s="111"/>
      <c r="V164" s="111"/>
      <c r="W164" s="111"/>
      <c r="X164" s="111"/>
      <c r="Y164" s="111"/>
      <c r="Z164" s="111"/>
      <c r="AA164" s="111"/>
      <c r="AB164" s="111"/>
      <c r="AC164" s="111"/>
      <c r="AD164" s="111"/>
      <c r="AE164" s="111"/>
      <c r="AF164" s="111"/>
      <c r="AG164" s="111"/>
      <c r="AH164" s="111"/>
      <c r="AI164" s="111"/>
      <c r="AJ164" s="217" t="s">
        <v>686</v>
      </c>
      <c r="AK164" s="152"/>
    </row>
    <row r="165" spans="1:39" s="59" customFormat="1" ht="18.5" x14ac:dyDescent="0.45">
      <c r="A165" s="1214"/>
      <c r="B165" s="264" t="s">
        <v>596</v>
      </c>
      <c r="C165" s="599"/>
      <c r="D165" s="31">
        <v>10.1</v>
      </c>
      <c r="E165" s="140"/>
      <c r="F165" s="140"/>
      <c r="G165" s="140"/>
      <c r="H165" s="140"/>
      <c r="I165" s="140"/>
      <c r="J165" s="140"/>
      <c r="K165" s="140"/>
      <c r="L165" s="140"/>
      <c r="M165" s="140"/>
      <c r="N165" s="140"/>
      <c r="O165" s="140"/>
      <c r="P165" s="140"/>
      <c r="Q165" s="140"/>
      <c r="R165" s="140"/>
      <c r="S165" s="140"/>
      <c r="T165" s="140"/>
      <c r="U165" s="140"/>
      <c r="V165" s="140"/>
      <c r="W165" s="140"/>
      <c r="X165" s="140"/>
      <c r="Y165" s="140"/>
      <c r="Z165" s="140"/>
      <c r="AA165" s="140"/>
      <c r="AB165" s="140"/>
      <c r="AC165" s="140"/>
      <c r="AD165" s="140"/>
      <c r="AE165" s="140"/>
      <c r="AF165" s="140"/>
      <c r="AG165" s="140"/>
      <c r="AH165" s="140"/>
      <c r="AI165" s="140"/>
      <c r="AJ165" s="243"/>
      <c r="AK165" s="152"/>
    </row>
    <row r="166" spans="1:39" s="59" customFormat="1" ht="18.5" x14ac:dyDescent="0.45">
      <c r="A166" s="1214"/>
      <c r="B166" s="218" t="s">
        <v>685</v>
      </c>
      <c r="C166" s="564">
        <v>0.10829999999999999</v>
      </c>
      <c r="D166" s="65"/>
      <c r="E166" s="111"/>
      <c r="F166" s="111"/>
      <c r="G166" s="111"/>
      <c r="H166" s="111"/>
      <c r="I166" s="111"/>
      <c r="J166" s="111"/>
      <c r="K166" s="111"/>
      <c r="L166" s="111"/>
      <c r="M166" s="111"/>
      <c r="N166" s="111"/>
      <c r="O166" s="111"/>
      <c r="P166" s="111"/>
      <c r="Q166" s="111"/>
      <c r="R166" s="111"/>
      <c r="S166" s="111"/>
      <c r="T166" s="111"/>
      <c r="U166" s="111"/>
      <c r="V166" s="111"/>
      <c r="W166" s="111"/>
      <c r="X166" s="111"/>
      <c r="Y166" s="111"/>
      <c r="Z166" s="111"/>
      <c r="AA166" s="111"/>
      <c r="AB166" s="111"/>
      <c r="AC166" s="111"/>
      <c r="AD166" s="111"/>
      <c r="AE166" s="111"/>
      <c r="AF166" s="111"/>
      <c r="AG166" s="111"/>
      <c r="AH166" s="111"/>
      <c r="AI166" s="111"/>
      <c r="AJ166" s="217" t="s">
        <v>686</v>
      </c>
      <c r="AK166" s="152"/>
    </row>
    <row r="167" spans="1:39" s="59" customFormat="1" ht="18.5" x14ac:dyDescent="0.45">
      <c r="A167" s="1214"/>
      <c r="B167" s="218" t="s">
        <v>687</v>
      </c>
      <c r="C167" s="564">
        <v>9.2999999999999992E-3</v>
      </c>
      <c r="D167" s="65"/>
      <c r="E167" s="111"/>
      <c r="F167" s="111"/>
      <c r="G167" s="111"/>
      <c r="H167" s="111"/>
      <c r="I167" s="111"/>
      <c r="J167" s="111"/>
      <c r="K167" s="111"/>
      <c r="L167" s="111"/>
      <c r="M167" s="111"/>
      <c r="N167" s="111"/>
      <c r="O167" s="111"/>
      <c r="P167" s="111"/>
      <c r="Q167" s="111"/>
      <c r="R167" s="111"/>
      <c r="S167" s="111"/>
      <c r="T167" s="111"/>
      <c r="U167" s="111"/>
      <c r="V167" s="111"/>
      <c r="W167" s="111"/>
      <c r="X167" s="111"/>
      <c r="Y167" s="111"/>
      <c r="Z167" s="111"/>
      <c r="AA167" s="111"/>
      <c r="AB167" s="111"/>
      <c r="AC167" s="111"/>
      <c r="AD167" s="111"/>
      <c r="AE167" s="111"/>
      <c r="AF167" s="111"/>
      <c r="AG167" s="111"/>
      <c r="AH167" s="111"/>
      <c r="AI167" s="111"/>
      <c r="AJ167" s="217" t="s">
        <v>686</v>
      </c>
      <c r="AK167" s="152"/>
    </row>
    <row r="168" spans="1:39" s="59" customFormat="1" ht="18.5" x14ac:dyDescent="0.45">
      <c r="A168" s="1214"/>
      <c r="B168" s="218" t="s">
        <v>591</v>
      </c>
      <c r="C168" s="564">
        <v>1.0500000000000001E-2</v>
      </c>
      <c r="D168" s="65"/>
      <c r="E168" s="111"/>
      <c r="F168" s="111"/>
      <c r="G168" s="111"/>
      <c r="H168" s="111"/>
      <c r="I168" s="111"/>
      <c r="J168" s="111"/>
      <c r="K168" s="111"/>
      <c r="L168" s="111"/>
      <c r="M168" s="111"/>
      <c r="N168" s="111"/>
      <c r="O168" s="111"/>
      <c r="P168" s="111"/>
      <c r="Q168" s="111"/>
      <c r="R168" s="111"/>
      <c r="S168" s="111"/>
      <c r="T168" s="111"/>
      <c r="U168" s="111"/>
      <c r="V168" s="111"/>
      <c r="W168" s="111"/>
      <c r="X168" s="111"/>
      <c r="Y168" s="111"/>
      <c r="Z168" s="111"/>
      <c r="AA168" s="111"/>
      <c r="AB168" s="111"/>
      <c r="AC168" s="111"/>
      <c r="AD168" s="111"/>
      <c r="AE168" s="111"/>
      <c r="AF168" s="111"/>
      <c r="AG168" s="111"/>
      <c r="AH168" s="111"/>
      <c r="AI168" s="111"/>
      <c r="AJ168" s="217" t="s">
        <v>686</v>
      </c>
      <c r="AK168" s="604"/>
      <c r="AL168" s="602"/>
      <c r="AM168" s="602"/>
    </row>
    <row r="169" spans="1:39" ht="18.5" hidden="1" x14ac:dyDescent="0.45">
      <c r="B169" s="597" t="s">
        <v>672</v>
      </c>
      <c r="C169" s="601"/>
      <c r="D169" s="613">
        <v>6814</v>
      </c>
      <c r="E169" s="605"/>
      <c r="F169" s="605"/>
      <c r="G169" s="605"/>
      <c r="H169" s="605"/>
      <c r="I169" s="605"/>
      <c r="J169" s="605"/>
      <c r="K169" s="605"/>
      <c r="L169" s="605"/>
      <c r="M169" s="605"/>
      <c r="N169" s="605"/>
      <c r="O169" s="605"/>
      <c r="P169" s="605"/>
      <c r="Q169" s="605"/>
      <c r="R169" s="605"/>
      <c r="S169" s="605"/>
      <c r="T169" s="605"/>
      <c r="U169" s="605"/>
      <c r="V169" s="605"/>
      <c r="W169" s="605"/>
      <c r="X169" s="605"/>
      <c r="Y169" s="605"/>
      <c r="Z169" s="605"/>
      <c r="AA169" s="605"/>
      <c r="AB169" s="605"/>
      <c r="AC169" s="605"/>
      <c r="AD169" s="605"/>
      <c r="AE169" s="605"/>
      <c r="AF169" s="605"/>
      <c r="AG169" s="605"/>
      <c r="AH169" s="605"/>
      <c r="AI169" s="605"/>
      <c r="AJ169" s="606"/>
      <c r="AK169" s="607"/>
      <c r="AL169" s="1"/>
      <c r="AM169" s="1"/>
    </row>
    <row r="170" spans="1:39" ht="18.5" hidden="1" x14ac:dyDescent="0.45">
      <c r="B170" s="598" t="s">
        <v>685</v>
      </c>
      <c r="C170" s="600"/>
      <c r="D170" s="614"/>
      <c r="E170" s="608">
        <f>SUM(F170:Z170)</f>
        <v>0.2702</v>
      </c>
      <c r="F170" s="608">
        <v>1.0200000000000001E-2</v>
      </c>
      <c r="G170" s="608">
        <v>9.4000000000000004E-3</v>
      </c>
      <c r="H170" s="608">
        <v>5.0000000000000001E-3</v>
      </c>
      <c r="I170" s="608">
        <v>1.6000000000000001E-3</v>
      </c>
      <c r="J170" s="608">
        <v>3.8999999999999998E-3</v>
      </c>
      <c r="K170" s="609">
        <v>4.0599999999999997E-2</v>
      </c>
      <c r="L170" s="609">
        <v>4.3400000000000001E-2</v>
      </c>
      <c r="M170" s="609">
        <v>2.98E-2</v>
      </c>
      <c r="N170" s="609">
        <v>1.7299999999999999E-2</v>
      </c>
      <c r="O170" s="609">
        <v>2.5000000000000001E-3</v>
      </c>
      <c r="P170" s="609">
        <v>1.1000000000000001E-3</v>
      </c>
      <c r="Q170" s="608">
        <v>7.4000000000000003E-3</v>
      </c>
      <c r="R170" s="608">
        <v>5.4000000000000003E-3</v>
      </c>
      <c r="S170" s="608">
        <v>2.0000000000000001E-4</v>
      </c>
      <c r="T170" s="608">
        <v>1.6000000000000001E-3</v>
      </c>
      <c r="U170" s="608">
        <v>1.4E-3</v>
      </c>
      <c r="V170" s="608">
        <v>2.0000000000000001E-4</v>
      </c>
      <c r="W170" s="608"/>
      <c r="X170" s="608"/>
      <c r="Y170" s="608">
        <v>4.1999999999999997E-3</v>
      </c>
      <c r="Z170" s="608">
        <v>8.5000000000000006E-2</v>
      </c>
      <c r="AA170" s="608"/>
      <c r="AB170" s="608"/>
      <c r="AC170" s="608"/>
      <c r="AD170" s="608"/>
      <c r="AE170" s="608"/>
      <c r="AF170" s="608"/>
      <c r="AG170" s="608"/>
      <c r="AH170" s="608"/>
      <c r="AI170" s="608"/>
      <c r="AJ170" s="610"/>
      <c r="AK170" s="607"/>
      <c r="AL170" s="1"/>
      <c r="AM170" s="1"/>
    </row>
    <row r="171" spans="1:39" ht="18.5" hidden="1" x14ac:dyDescent="0.45">
      <c r="B171" s="598" t="s">
        <v>687</v>
      </c>
      <c r="C171" s="600"/>
      <c r="D171" s="614"/>
      <c r="E171" s="608">
        <f t="shared" ref="E171:E172" si="20">SUM(F171:Z171)</f>
        <v>2.1100000000000001E-2</v>
      </c>
      <c r="F171" s="608">
        <v>1.6000000000000001E-3</v>
      </c>
      <c r="G171" s="608">
        <v>1E-3</v>
      </c>
      <c r="H171" s="608">
        <v>4.0000000000000002E-4</v>
      </c>
      <c r="I171" s="608">
        <v>2.0000000000000001E-4</v>
      </c>
      <c r="J171" s="608">
        <v>8.0000000000000004E-4</v>
      </c>
      <c r="K171" s="609">
        <v>2E-3</v>
      </c>
      <c r="L171" s="609">
        <v>2.2000000000000001E-3</v>
      </c>
      <c r="M171" s="609">
        <v>1.5E-3</v>
      </c>
      <c r="N171" s="609">
        <v>1E-3</v>
      </c>
      <c r="O171" s="609">
        <v>2.0000000000000001E-4</v>
      </c>
      <c r="P171" s="609">
        <v>1E-4</v>
      </c>
      <c r="Q171" s="608">
        <v>5.0000000000000001E-4</v>
      </c>
      <c r="R171" s="608">
        <v>5.0000000000000001E-4</v>
      </c>
      <c r="S171" s="608"/>
      <c r="T171" s="608">
        <v>2.9999999999999997E-4</v>
      </c>
      <c r="U171" s="608">
        <v>2.0000000000000001E-4</v>
      </c>
      <c r="V171" s="608"/>
      <c r="W171" s="608"/>
      <c r="X171" s="608"/>
      <c r="Y171" s="608">
        <v>4.0000000000000002E-4</v>
      </c>
      <c r="Z171" s="608">
        <v>8.2000000000000007E-3</v>
      </c>
      <c r="AA171" s="608"/>
      <c r="AB171" s="608"/>
      <c r="AC171" s="608"/>
      <c r="AD171" s="608"/>
      <c r="AE171" s="608"/>
      <c r="AF171" s="608"/>
      <c r="AG171" s="608"/>
      <c r="AH171" s="608"/>
      <c r="AI171" s="608"/>
      <c r="AJ171" s="610"/>
      <c r="AK171" s="607"/>
      <c r="AL171" s="1"/>
      <c r="AM171" s="1"/>
    </row>
    <row r="172" spans="1:39" ht="18.5" hidden="1" x14ac:dyDescent="0.45">
      <c r="B172" s="598" t="s">
        <v>591</v>
      </c>
      <c r="C172" s="600"/>
      <c r="D172" s="614"/>
      <c r="E172" s="608">
        <f t="shared" si="20"/>
        <v>4.5999999999999999E-3</v>
      </c>
      <c r="F172" s="608">
        <v>2.9999999999999997E-4</v>
      </c>
      <c r="G172" s="608">
        <v>1E-4</v>
      </c>
      <c r="H172" s="608"/>
      <c r="I172" s="608"/>
      <c r="J172" s="608">
        <v>2.0000000000000001E-4</v>
      </c>
      <c r="K172" s="609">
        <v>2.9999999999999997E-4</v>
      </c>
      <c r="L172" s="609">
        <v>4.0000000000000002E-4</v>
      </c>
      <c r="M172" s="609">
        <v>2.9999999999999997E-4</v>
      </c>
      <c r="N172" s="609">
        <v>2.0000000000000001E-4</v>
      </c>
      <c r="O172" s="609">
        <v>1E-4</v>
      </c>
      <c r="P172" s="609"/>
      <c r="Q172" s="608">
        <v>1E-4</v>
      </c>
      <c r="R172" s="608">
        <v>2.9999999999999997E-4</v>
      </c>
      <c r="S172" s="608"/>
      <c r="T172" s="608">
        <v>2.0000000000000001E-4</v>
      </c>
      <c r="U172" s="608">
        <v>2.0000000000000001E-4</v>
      </c>
      <c r="V172" s="608"/>
      <c r="W172" s="608"/>
      <c r="X172" s="608"/>
      <c r="Y172" s="608">
        <v>1E-4</v>
      </c>
      <c r="Z172" s="608">
        <v>1.8E-3</v>
      </c>
      <c r="AA172" s="608"/>
      <c r="AB172" s="608"/>
      <c r="AC172" s="608"/>
      <c r="AD172" s="608"/>
      <c r="AE172" s="608"/>
      <c r="AF172" s="608"/>
      <c r="AG172" s="608"/>
      <c r="AH172" s="608"/>
      <c r="AI172" s="608"/>
      <c r="AJ172" s="610"/>
      <c r="AK172" s="607"/>
      <c r="AL172" s="1"/>
      <c r="AM172" s="1"/>
    </row>
    <row r="173" spans="1:39" ht="18.5" hidden="1" x14ac:dyDescent="0.45">
      <c r="B173" s="597" t="s">
        <v>673</v>
      </c>
      <c r="C173" s="601"/>
      <c r="D173" s="613">
        <v>9482</v>
      </c>
      <c r="E173" s="605"/>
      <c r="F173" s="605"/>
      <c r="G173" s="605"/>
      <c r="H173" s="605"/>
      <c r="I173" s="605"/>
      <c r="J173" s="605"/>
      <c r="K173" s="605"/>
      <c r="L173" s="605"/>
      <c r="M173" s="605"/>
      <c r="N173" s="605"/>
      <c r="O173" s="605"/>
      <c r="P173" s="605"/>
      <c r="Q173" s="605"/>
      <c r="R173" s="605"/>
      <c r="S173" s="605"/>
      <c r="T173" s="605"/>
      <c r="U173" s="605"/>
      <c r="V173" s="605"/>
      <c r="W173" s="605"/>
      <c r="X173" s="605"/>
      <c r="Y173" s="605"/>
      <c r="Z173" s="605"/>
      <c r="AA173" s="605"/>
      <c r="AB173" s="605"/>
      <c r="AC173" s="605"/>
      <c r="AD173" s="605"/>
      <c r="AE173" s="605"/>
      <c r="AF173" s="605"/>
      <c r="AG173" s="605"/>
      <c r="AH173" s="605"/>
      <c r="AI173" s="605"/>
      <c r="AJ173" s="606"/>
      <c r="AK173" s="607"/>
      <c r="AL173" s="1"/>
      <c r="AM173" s="1"/>
    </row>
    <row r="174" spans="1:39" ht="18.5" hidden="1" x14ac:dyDescent="0.45">
      <c r="B174" s="598" t="s">
        <v>685</v>
      </c>
      <c r="C174" s="600"/>
      <c r="D174" s="614"/>
      <c r="E174" s="608">
        <f>SUM(F174:Z174)</f>
        <v>0.16830000000000001</v>
      </c>
      <c r="F174" s="608">
        <v>6.6E-3</v>
      </c>
      <c r="G174" s="608">
        <v>6.0000000000000001E-3</v>
      </c>
      <c r="H174" s="608">
        <v>3.2000000000000002E-3</v>
      </c>
      <c r="I174" s="608">
        <v>8.9999999999999998E-4</v>
      </c>
      <c r="J174" s="608">
        <v>2.8E-3</v>
      </c>
      <c r="K174" s="609">
        <v>3.1199999999999999E-2</v>
      </c>
      <c r="L174" s="609">
        <v>0.02</v>
      </c>
      <c r="M174" s="609">
        <v>1.9199999999999998E-2</v>
      </c>
      <c r="N174" s="609">
        <v>1.1900000000000001E-2</v>
      </c>
      <c r="O174" s="609">
        <v>1.4E-3</v>
      </c>
      <c r="P174" s="609">
        <v>5.0000000000000001E-4</v>
      </c>
      <c r="Q174" s="608">
        <v>4.8999999999999998E-3</v>
      </c>
      <c r="R174" s="608">
        <v>3.2000000000000002E-3</v>
      </c>
      <c r="S174" s="608">
        <v>1E-4</v>
      </c>
      <c r="T174" s="608">
        <v>1.1999999999999999E-3</v>
      </c>
      <c r="U174" s="608">
        <v>8.0000000000000004E-4</v>
      </c>
      <c r="V174" s="608">
        <v>2.0000000000000001E-4</v>
      </c>
      <c r="W174" s="608"/>
      <c r="X174" s="608"/>
      <c r="Y174" s="608">
        <v>3.0000000000000001E-3</v>
      </c>
      <c r="Z174" s="608">
        <v>5.1200000000000002E-2</v>
      </c>
      <c r="AA174" s="608"/>
      <c r="AB174" s="608"/>
      <c r="AC174" s="608"/>
      <c r="AD174" s="608"/>
      <c r="AE174" s="608"/>
      <c r="AF174" s="608"/>
      <c r="AG174" s="608"/>
      <c r="AH174" s="608"/>
      <c r="AI174" s="608"/>
      <c r="AJ174" s="610"/>
      <c r="AK174" s="607"/>
      <c r="AL174" s="1"/>
      <c r="AM174" s="1"/>
    </row>
    <row r="175" spans="1:39" ht="18.5" hidden="1" x14ac:dyDescent="0.45">
      <c r="B175" s="598" t="s">
        <v>687</v>
      </c>
      <c r="C175" s="600"/>
      <c r="D175" s="614"/>
      <c r="E175" s="608">
        <f t="shared" ref="E175:E176" si="21">SUM(F175:Z175)</f>
        <v>1.32E-2</v>
      </c>
      <c r="F175" s="608">
        <v>1E-3</v>
      </c>
      <c r="G175" s="608">
        <v>5.9999999999999995E-4</v>
      </c>
      <c r="H175" s="608">
        <v>2.0000000000000001E-4</v>
      </c>
      <c r="I175" s="608">
        <v>1E-4</v>
      </c>
      <c r="J175" s="608">
        <v>5.0000000000000001E-4</v>
      </c>
      <c r="K175" s="609">
        <v>1.6000000000000001E-3</v>
      </c>
      <c r="L175" s="609">
        <v>1.2999999999999999E-3</v>
      </c>
      <c r="M175" s="609">
        <v>1.1000000000000001E-3</v>
      </c>
      <c r="N175" s="609">
        <v>6.9999999999999999E-4</v>
      </c>
      <c r="O175" s="609">
        <v>2.0000000000000001E-4</v>
      </c>
      <c r="P175" s="609"/>
      <c r="Q175" s="608">
        <v>2.9999999999999997E-4</v>
      </c>
      <c r="R175" s="608">
        <v>2.9999999999999997E-4</v>
      </c>
      <c r="S175" s="608"/>
      <c r="T175" s="608">
        <v>1E-4</v>
      </c>
      <c r="U175" s="608">
        <v>1E-4</v>
      </c>
      <c r="V175" s="608"/>
      <c r="W175" s="608"/>
      <c r="X175" s="608"/>
      <c r="Y175" s="608">
        <v>2.0000000000000001E-4</v>
      </c>
      <c r="Z175" s="608">
        <v>4.8999999999999998E-3</v>
      </c>
      <c r="AA175" s="608"/>
      <c r="AB175" s="608"/>
      <c r="AC175" s="608"/>
      <c r="AD175" s="608"/>
      <c r="AE175" s="608"/>
      <c r="AF175" s="608"/>
      <c r="AG175" s="608"/>
      <c r="AH175" s="608"/>
      <c r="AI175" s="608"/>
      <c r="AJ175" s="610"/>
      <c r="AK175" s="607"/>
      <c r="AL175" s="1"/>
      <c r="AM175" s="1"/>
    </row>
    <row r="176" spans="1:39" ht="18.5" hidden="1" x14ac:dyDescent="0.45">
      <c r="B176" s="598" t="s">
        <v>591</v>
      </c>
      <c r="C176" s="600"/>
      <c r="D176" s="614"/>
      <c r="E176" s="608">
        <f t="shared" si="21"/>
        <v>3.4000000000000002E-3</v>
      </c>
      <c r="F176" s="608">
        <v>2.0000000000000001E-4</v>
      </c>
      <c r="G176" s="608"/>
      <c r="H176" s="608"/>
      <c r="I176" s="608"/>
      <c r="J176" s="608">
        <v>1E-4</v>
      </c>
      <c r="K176" s="609">
        <v>2.9999999999999997E-4</v>
      </c>
      <c r="L176" s="609">
        <v>2.9999999999999997E-4</v>
      </c>
      <c r="M176" s="609">
        <v>2.0000000000000001E-4</v>
      </c>
      <c r="N176" s="609">
        <v>1E-4</v>
      </c>
      <c r="O176" s="609">
        <v>1E-4</v>
      </c>
      <c r="P176" s="609"/>
      <c r="Q176" s="608">
        <v>1E-4</v>
      </c>
      <c r="R176" s="608">
        <v>2.9999999999999997E-4</v>
      </c>
      <c r="S176" s="608"/>
      <c r="T176" s="608">
        <v>1E-4</v>
      </c>
      <c r="U176" s="608">
        <v>1E-4</v>
      </c>
      <c r="V176" s="608"/>
      <c r="W176" s="608"/>
      <c r="X176" s="608"/>
      <c r="Y176" s="608">
        <v>1E-4</v>
      </c>
      <c r="Z176" s="608">
        <v>1.4E-3</v>
      </c>
      <c r="AA176" s="608"/>
      <c r="AB176" s="608"/>
      <c r="AC176" s="608"/>
      <c r="AD176" s="608"/>
      <c r="AE176" s="608"/>
      <c r="AF176" s="608"/>
      <c r="AG176" s="608"/>
      <c r="AH176" s="608"/>
      <c r="AI176" s="608"/>
      <c r="AJ176" s="610"/>
      <c r="AK176" s="607"/>
      <c r="AL176" s="1"/>
      <c r="AM176" s="1"/>
    </row>
    <row r="177" spans="2:39" ht="18.5" hidden="1" x14ac:dyDescent="0.45">
      <c r="B177" s="597" t="s">
        <v>674</v>
      </c>
      <c r="C177" s="601"/>
      <c r="D177" s="613">
        <v>9535</v>
      </c>
      <c r="E177" s="605"/>
      <c r="F177" s="605"/>
      <c r="G177" s="605"/>
      <c r="H177" s="605"/>
      <c r="I177" s="605"/>
      <c r="J177" s="605"/>
      <c r="K177" s="605"/>
      <c r="L177" s="605"/>
      <c r="M177" s="605"/>
      <c r="N177" s="605"/>
      <c r="O177" s="605"/>
      <c r="P177" s="605"/>
      <c r="Q177" s="605"/>
      <c r="R177" s="605"/>
      <c r="S177" s="605"/>
      <c r="T177" s="605"/>
      <c r="U177" s="605"/>
      <c r="V177" s="605"/>
      <c r="W177" s="605"/>
      <c r="X177" s="605"/>
      <c r="Y177" s="605"/>
      <c r="Z177" s="605"/>
      <c r="AA177" s="605"/>
      <c r="AB177" s="605"/>
      <c r="AC177" s="605"/>
      <c r="AD177" s="605"/>
      <c r="AE177" s="605"/>
      <c r="AF177" s="605"/>
      <c r="AG177" s="605"/>
      <c r="AH177" s="605"/>
      <c r="AI177" s="605"/>
      <c r="AJ177" s="606"/>
      <c r="AK177" s="607"/>
      <c r="AL177" s="1"/>
      <c r="AM177" s="1"/>
    </row>
    <row r="178" spans="2:39" ht="18.5" hidden="1" x14ac:dyDescent="0.45">
      <c r="B178" s="598" t="s">
        <v>685</v>
      </c>
      <c r="C178" s="600"/>
      <c r="D178" s="614"/>
      <c r="E178" s="608">
        <f>SUM(F178:Z178)</f>
        <v>0.11369999999999998</v>
      </c>
      <c r="F178" s="608">
        <v>4.7999999999999996E-3</v>
      </c>
      <c r="G178" s="608">
        <v>4.1999999999999997E-3</v>
      </c>
      <c r="H178" s="608">
        <v>2.5000000000000001E-3</v>
      </c>
      <c r="I178" s="608">
        <v>8.0000000000000004E-4</v>
      </c>
      <c r="J178" s="608">
        <v>2.0999999999999999E-3</v>
      </c>
      <c r="K178" s="609">
        <v>2.1299999999999999E-2</v>
      </c>
      <c r="L178" s="609">
        <v>1.9099999999999999E-2</v>
      </c>
      <c r="M178" s="609">
        <v>1.03E-2</v>
      </c>
      <c r="N178" s="609">
        <v>9.1000000000000004E-3</v>
      </c>
      <c r="O178" s="609">
        <v>1E-3</v>
      </c>
      <c r="P178" s="609">
        <v>4.0000000000000002E-4</v>
      </c>
      <c r="Q178" s="608">
        <v>3.3999999999999998E-3</v>
      </c>
      <c r="R178" s="608">
        <v>2.3E-3</v>
      </c>
      <c r="S178" s="608">
        <v>1E-4</v>
      </c>
      <c r="T178" s="608">
        <v>8.0000000000000004E-4</v>
      </c>
      <c r="U178" s="608">
        <v>5.9999999999999995E-4</v>
      </c>
      <c r="V178" s="608">
        <v>1E-4</v>
      </c>
      <c r="W178" s="608"/>
      <c r="X178" s="608"/>
      <c r="Y178" s="608">
        <v>2.3E-3</v>
      </c>
      <c r="Z178" s="608">
        <v>2.8500000000000001E-2</v>
      </c>
      <c r="AA178" s="608"/>
      <c r="AB178" s="608"/>
      <c r="AC178" s="608"/>
      <c r="AD178" s="608"/>
      <c r="AE178" s="608"/>
      <c r="AF178" s="608"/>
      <c r="AG178" s="608"/>
      <c r="AH178" s="608"/>
      <c r="AI178" s="608"/>
      <c r="AJ178" s="610"/>
      <c r="AK178" s="607"/>
      <c r="AL178" s="1"/>
      <c r="AM178" s="1"/>
    </row>
    <row r="179" spans="2:39" ht="18.5" hidden="1" x14ac:dyDescent="0.45">
      <c r="B179" s="598" t="s">
        <v>687</v>
      </c>
      <c r="C179" s="600"/>
      <c r="D179" s="614"/>
      <c r="E179" s="608">
        <f t="shared" ref="E179:E180" si="22">SUM(F179:Z179)</f>
        <v>9.2999999999999992E-3</v>
      </c>
      <c r="F179" s="608">
        <v>8.0000000000000004E-4</v>
      </c>
      <c r="G179" s="608">
        <v>4.0000000000000002E-4</v>
      </c>
      <c r="H179" s="608">
        <v>2.0000000000000001E-4</v>
      </c>
      <c r="I179" s="608">
        <v>1E-4</v>
      </c>
      <c r="J179" s="608">
        <v>4.0000000000000002E-4</v>
      </c>
      <c r="K179" s="609">
        <v>1.1000000000000001E-3</v>
      </c>
      <c r="L179" s="609">
        <v>1.1000000000000001E-3</v>
      </c>
      <c r="M179" s="609">
        <v>8.9999999999999998E-4</v>
      </c>
      <c r="N179" s="609">
        <v>5.0000000000000001E-4</v>
      </c>
      <c r="O179" s="609">
        <v>1E-4</v>
      </c>
      <c r="P179" s="609"/>
      <c r="Q179" s="608">
        <v>2.0000000000000001E-4</v>
      </c>
      <c r="R179" s="608">
        <v>2.0000000000000001E-4</v>
      </c>
      <c r="S179" s="608"/>
      <c r="T179" s="608">
        <v>1E-4</v>
      </c>
      <c r="U179" s="608">
        <v>1E-4</v>
      </c>
      <c r="V179" s="608"/>
      <c r="W179" s="608"/>
      <c r="X179" s="608"/>
      <c r="Y179" s="608">
        <v>2.0000000000000001E-4</v>
      </c>
      <c r="Z179" s="608">
        <v>2.8999999999999998E-3</v>
      </c>
      <c r="AA179" s="608"/>
      <c r="AB179" s="608"/>
      <c r="AC179" s="608"/>
      <c r="AD179" s="608"/>
      <c r="AE179" s="608"/>
      <c r="AF179" s="608"/>
      <c r="AG179" s="608"/>
      <c r="AH179" s="608"/>
      <c r="AI179" s="608"/>
      <c r="AJ179" s="610"/>
      <c r="AK179" s="607"/>
      <c r="AL179" s="1"/>
      <c r="AM179" s="1"/>
    </row>
    <row r="180" spans="2:39" ht="18.5" hidden="1" x14ac:dyDescent="0.45">
      <c r="B180" s="598" t="s">
        <v>591</v>
      </c>
      <c r="C180" s="600"/>
      <c r="D180" s="614"/>
      <c r="E180" s="608">
        <f t="shared" si="22"/>
        <v>1.9000000000000002E-3</v>
      </c>
      <c r="F180" s="608">
        <v>2.0000000000000001E-4</v>
      </c>
      <c r="G180" s="608"/>
      <c r="H180" s="608"/>
      <c r="I180" s="608"/>
      <c r="J180" s="608">
        <v>1E-4</v>
      </c>
      <c r="K180" s="609">
        <v>2.0000000000000001E-4</v>
      </c>
      <c r="L180" s="609">
        <v>2.0000000000000001E-4</v>
      </c>
      <c r="M180" s="609">
        <v>1E-4</v>
      </c>
      <c r="N180" s="609"/>
      <c r="O180" s="609"/>
      <c r="P180" s="609"/>
      <c r="Q180" s="608"/>
      <c r="R180" s="608">
        <v>1E-4</v>
      </c>
      <c r="S180" s="608"/>
      <c r="T180" s="608">
        <v>1E-4</v>
      </c>
      <c r="U180" s="608">
        <v>1E-4</v>
      </c>
      <c r="V180" s="608"/>
      <c r="W180" s="608"/>
      <c r="X180" s="608"/>
      <c r="Y180" s="608">
        <v>1E-4</v>
      </c>
      <c r="Z180" s="608">
        <v>6.9999999999999999E-4</v>
      </c>
      <c r="AA180" s="608"/>
      <c r="AB180" s="608"/>
      <c r="AC180" s="608"/>
      <c r="AD180" s="608"/>
      <c r="AE180" s="608"/>
      <c r="AF180" s="608"/>
      <c r="AG180" s="608"/>
      <c r="AH180" s="608"/>
      <c r="AI180" s="608"/>
      <c r="AJ180" s="610"/>
      <c r="AK180" s="607"/>
      <c r="AL180" s="1"/>
      <c r="AM180" s="1"/>
    </row>
    <row r="181" spans="2:39" ht="18.5" hidden="1" x14ac:dyDescent="0.45">
      <c r="B181" s="597" t="s">
        <v>675</v>
      </c>
      <c r="C181" s="601"/>
      <c r="D181" s="613">
        <v>6403</v>
      </c>
      <c r="E181" s="605"/>
      <c r="F181" s="605"/>
      <c r="G181" s="605"/>
      <c r="H181" s="605"/>
      <c r="I181" s="605"/>
      <c r="J181" s="605"/>
      <c r="K181" s="605"/>
      <c r="L181" s="605"/>
      <c r="M181" s="605"/>
      <c r="N181" s="605"/>
      <c r="O181" s="605"/>
      <c r="P181" s="605"/>
      <c r="Q181" s="605"/>
      <c r="R181" s="605"/>
      <c r="S181" s="605"/>
      <c r="T181" s="605"/>
      <c r="U181" s="605"/>
      <c r="V181" s="605"/>
      <c r="W181" s="605"/>
      <c r="X181" s="605"/>
      <c r="Y181" s="605"/>
      <c r="Z181" s="605"/>
      <c r="AA181" s="605"/>
      <c r="AB181" s="605"/>
      <c r="AC181" s="605"/>
      <c r="AD181" s="605"/>
      <c r="AE181" s="605"/>
      <c r="AF181" s="605"/>
      <c r="AG181" s="605"/>
      <c r="AH181" s="605"/>
      <c r="AI181" s="605"/>
      <c r="AJ181" s="606"/>
      <c r="AK181" s="607"/>
      <c r="AL181" s="1"/>
      <c r="AM181" s="1"/>
    </row>
    <row r="182" spans="2:39" ht="18.5" hidden="1" x14ac:dyDescent="0.45">
      <c r="B182" s="598" t="s">
        <v>685</v>
      </c>
      <c r="C182" s="600"/>
      <c r="D182" s="614"/>
      <c r="E182" s="608">
        <f>SUM(F182:Z182)</f>
        <v>0.10680000000000001</v>
      </c>
      <c r="F182" s="608">
        <v>5.1999999999999998E-3</v>
      </c>
      <c r="G182" s="608">
        <v>4.4000000000000003E-3</v>
      </c>
      <c r="H182" s="608">
        <v>2.0999999999999999E-3</v>
      </c>
      <c r="I182" s="608">
        <v>6.9999999999999999E-4</v>
      </c>
      <c r="J182" s="608">
        <v>1.9E-3</v>
      </c>
      <c r="K182" s="609">
        <v>1.84E-2</v>
      </c>
      <c r="L182" s="609">
        <v>1.7600000000000001E-2</v>
      </c>
      <c r="M182" s="609">
        <v>1.35E-2</v>
      </c>
      <c r="N182" s="609">
        <v>6.4000000000000003E-3</v>
      </c>
      <c r="O182" s="609">
        <v>1E-3</v>
      </c>
      <c r="P182" s="609">
        <v>4.0000000000000002E-4</v>
      </c>
      <c r="Q182" s="608">
        <v>3.0999999999999999E-3</v>
      </c>
      <c r="R182" s="608">
        <v>1.9E-3</v>
      </c>
      <c r="S182" s="608"/>
      <c r="T182" s="608">
        <v>6.9999999999999999E-4</v>
      </c>
      <c r="U182" s="608">
        <v>4.0000000000000002E-4</v>
      </c>
      <c r="V182" s="608">
        <v>1E-4</v>
      </c>
      <c r="W182" s="608"/>
      <c r="X182" s="608"/>
      <c r="Y182" s="608">
        <v>1.9E-3</v>
      </c>
      <c r="Z182" s="608">
        <v>2.7099999999999999E-2</v>
      </c>
      <c r="AA182" s="608"/>
      <c r="AB182" s="608"/>
      <c r="AC182" s="608"/>
      <c r="AD182" s="608"/>
      <c r="AE182" s="608"/>
      <c r="AF182" s="608"/>
      <c r="AG182" s="608"/>
      <c r="AH182" s="608"/>
      <c r="AI182" s="608"/>
      <c r="AJ182" s="610"/>
      <c r="AK182" s="607"/>
      <c r="AL182" s="1"/>
      <c r="AM182" s="1"/>
    </row>
    <row r="183" spans="2:39" ht="18.5" hidden="1" x14ac:dyDescent="0.45">
      <c r="B183" s="598" t="s">
        <v>687</v>
      </c>
      <c r="C183" s="600"/>
      <c r="D183" s="614"/>
      <c r="E183" s="608">
        <f t="shared" ref="E183:E184" si="23">SUM(F183:Z183)</f>
        <v>9.1000000000000004E-3</v>
      </c>
      <c r="F183" s="608">
        <v>8.0000000000000004E-4</v>
      </c>
      <c r="G183" s="608">
        <v>5.9999999999999995E-4</v>
      </c>
      <c r="H183" s="608">
        <v>2.9999999999999997E-4</v>
      </c>
      <c r="I183" s="608">
        <v>2.0000000000000001E-4</v>
      </c>
      <c r="J183" s="608">
        <v>5.0000000000000001E-4</v>
      </c>
      <c r="K183" s="609">
        <v>1E-3</v>
      </c>
      <c r="L183" s="609">
        <v>1E-3</v>
      </c>
      <c r="M183" s="609">
        <v>8.0000000000000004E-4</v>
      </c>
      <c r="N183" s="609">
        <v>4.0000000000000002E-4</v>
      </c>
      <c r="O183" s="609">
        <v>1E-4</v>
      </c>
      <c r="P183" s="609"/>
      <c r="Q183" s="608">
        <v>1E-4</v>
      </c>
      <c r="R183" s="608">
        <v>2.0000000000000001E-4</v>
      </c>
      <c r="S183" s="608"/>
      <c r="T183" s="608">
        <v>1E-4</v>
      </c>
      <c r="U183" s="608">
        <v>1E-4</v>
      </c>
      <c r="V183" s="608"/>
      <c r="W183" s="608"/>
      <c r="X183" s="608"/>
      <c r="Y183" s="608">
        <v>2.0000000000000001E-4</v>
      </c>
      <c r="Z183" s="608">
        <v>2.7000000000000001E-3</v>
      </c>
      <c r="AA183" s="608"/>
      <c r="AB183" s="608"/>
      <c r="AC183" s="608"/>
      <c r="AD183" s="608"/>
      <c r="AE183" s="608"/>
      <c r="AF183" s="608"/>
      <c r="AG183" s="608"/>
      <c r="AH183" s="608"/>
      <c r="AI183" s="608"/>
      <c r="AJ183" s="610"/>
      <c r="AK183" s="607"/>
      <c r="AL183" s="1"/>
      <c r="AM183" s="1"/>
    </row>
    <row r="184" spans="2:39" ht="18.5" hidden="1" x14ac:dyDescent="0.45">
      <c r="B184" s="598" t="s">
        <v>591</v>
      </c>
      <c r="C184" s="600"/>
      <c r="D184" s="614"/>
      <c r="E184" s="608">
        <f t="shared" si="23"/>
        <v>2.1000000000000003E-3</v>
      </c>
      <c r="F184" s="608">
        <v>2.0000000000000001E-4</v>
      </c>
      <c r="G184" s="608">
        <v>1E-4</v>
      </c>
      <c r="H184" s="608"/>
      <c r="I184" s="608"/>
      <c r="J184" s="608">
        <v>1E-4</v>
      </c>
      <c r="K184" s="609">
        <v>2.0000000000000001E-4</v>
      </c>
      <c r="L184" s="609">
        <v>2.0000000000000001E-4</v>
      </c>
      <c r="M184" s="609">
        <v>1E-4</v>
      </c>
      <c r="N184" s="609">
        <v>1E-4</v>
      </c>
      <c r="O184" s="609"/>
      <c r="P184" s="609"/>
      <c r="Q184" s="608"/>
      <c r="R184" s="608">
        <v>1E-4</v>
      </c>
      <c r="S184" s="608"/>
      <c r="T184" s="608">
        <v>1E-4</v>
      </c>
      <c r="U184" s="608">
        <v>1E-4</v>
      </c>
      <c r="V184" s="608"/>
      <c r="W184" s="608"/>
      <c r="X184" s="608"/>
      <c r="Y184" s="608">
        <v>1E-4</v>
      </c>
      <c r="Z184" s="608">
        <v>6.9999999999999999E-4</v>
      </c>
      <c r="AA184" s="608"/>
      <c r="AB184" s="608"/>
      <c r="AC184" s="608"/>
      <c r="AD184" s="608"/>
      <c r="AE184" s="608"/>
      <c r="AF184" s="608"/>
      <c r="AG184" s="608"/>
      <c r="AH184" s="608"/>
      <c r="AI184" s="608"/>
      <c r="AJ184" s="610"/>
      <c r="AK184" s="607"/>
      <c r="AL184" s="1"/>
      <c r="AM184" s="1"/>
    </row>
    <row r="185" spans="2:39" ht="18.5" x14ac:dyDescent="0.45">
      <c r="B185" s="264" t="s">
        <v>602</v>
      </c>
      <c r="C185" s="599"/>
      <c r="D185" s="31"/>
      <c r="E185" s="140"/>
      <c r="F185" s="140"/>
      <c r="G185" s="140"/>
      <c r="H185" s="140"/>
      <c r="I185" s="140"/>
      <c r="J185" s="140"/>
      <c r="K185" s="140"/>
      <c r="L185" s="140"/>
      <c r="M185" s="140"/>
      <c r="N185" s="140"/>
      <c r="O185" s="140"/>
      <c r="P185" s="140"/>
      <c r="Q185" s="140"/>
      <c r="R185" s="140"/>
      <c r="S185" s="140"/>
      <c r="T185" s="140"/>
      <c r="U185" s="140"/>
      <c r="V185" s="140"/>
      <c r="W185" s="140"/>
      <c r="X185" s="140"/>
      <c r="Y185" s="140"/>
      <c r="Z185" s="140"/>
      <c r="AA185" s="140"/>
      <c r="AB185" s="140"/>
      <c r="AC185" s="140"/>
      <c r="AD185" s="140"/>
      <c r="AE185" s="140"/>
      <c r="AF185" s="140"/>
      <c r="AG185" s="140"/>
      <c r="AH185" s="140"/>
      <c r="AI185" s="140"/>
      <c r="AJ185" s="243"/>
      <c r="AK185" s="607"/>
      <c r="AL185" s="1"/>
      <c r="AM185" s="1"/>
    </row>
    <row r="186" spans="2:39" ht="18.5" x14ac:dyDescent="0.45">
      <c r="B186" s="218" t="s">
        <v>685</v>
      </c>
      <c r="C186" s="564">
        <f>($D$169*E170+$D$173*E174+$D$177*E178+$D$181*E182)/($D$169+$D$173+$D$177+$D$181)</f>
        <v>0.16147339145002171</v>
      </c>
      <c r="D186" s="65"/>
      <c r="E186" s="111"/>
      <c r="F186" s="111"/>
      <c r="G186" s="111"/>
      <c r="H186" s="111"/>
      <c r="I186" s="111"/>
      <c r="J186" s="111"/>
      <c r="K186" s="603"/>
      <c r="L186" s="603"/>
      <c r="M186" s="603"/>
      <c r="N186" s="603"/>
      <c r="O186" s="603"/>
      <c r="P186" s="603"/>
      <c r="Q186" s="111"/>
      <c r="R186" s="111"/>
      <c r="S186" s="111"/>
      <c r="T186" s="111"/>
      <c r="U186" s="111"/>
      <c r="V186" s="111"/>
      <c r="W186" s="111"/>
      <c r="X186" s="111"/>
      <c r="Y186" s="111"/>
      <c r="Z186" s="111"/>
      <c r="AA186" s="111"/>
      <c r="AB186" s="111"/>
      <c r="AC186" s="111"/>
      <c r="AD186" s="111"/>
      <c r="AE186" s="111"/>
      <c r="AF186" s="111"/>
      <c r="AG186" s="111"/>
      <c r="AH186" s="111"/>
      <c r="AI186" s="111"/>
      <c r="AJ186" s="217" t="s">
        <v>686</v>
      </c>
      <c r="AK186" s="607"/>
      <c r="AL186" s="1"/>
      <c r="AM186" s="1"/>
    </row>
    <row r="187" spans="2:39" ht="18.5" x14ac:dyDescent="0.45">
      <c r="B187" s="218" t="s">
        <v>687</v>
      </c>
      <c r="C187" s="564">
        <f t="shared" ref="C187:C188" si="24">($D$169*E171+$D$173*E175+$D$177*E179+$D$181*E183)/($D$169+$D$173+$D$177+$D$181)</f>
        <v>1.2901923434882424E-2</v>
      </c>
      <c r="D187" s="65"/>
      <c r="E187" s="111"/>
      <c r="F187" s="111"/>
      <c r="G187" s="111"/>
      <c r="H187" s="111"/>
      <c r="I187" s="111"/>
      <c r="J187" s="111"/>
      <c r="K187" s="603"/>
      <c r="L187" s="603"/>
      <c r="M187" s="603"/>
      <c r="N187" s="603"/>
      <c r="O187" s="603"/>
      <c r="P187" s="603"/>
      <c r="Q187" s="111"/>
      <c r="R187" s="111"/>
      <c r="S187" s="111"/>
      <c r="T187" s="111"/>
      <c r="U187" s="111"/>
      <c r="V187" s="111"/>
      <c r="W187" s="111"/>
      <c r="X187" s="111"/>
      <c r="Y187" s="111"/>
      <c r="Z187" s="111"/>
      <c r="AA187" s="111"/>
      <c r="AB187" s="111"/>
      <c r="AC187" s="111"/>
      <c r="AD187" s="111"/>
      <c r="AE187" s="111"/>
      <c r="AF187" s="111"/>
      <c r="AG187" s="111"/>
      <c r="AH187" s="111"/>
      <c r="AI187" s="111"/>
      <c r="AJ187" s="217" t="s">
        <v>686</v>
      </c>
      <c r="AK187" s="607"/>
      <c r="AL187" s="1"/>
      <c r="AM187" s="1"/>
    </row>
    <row r="188" spans="2:39" ht="18.5" x14ac:dyDescent="0.45">
      <c r="B188" s="218" t="s">
        <v>591</v>
      </c>
      <c r="C188" s="564">
        <f t="shared" si="24"/>
        <v>2.951727989079854E-3</v>
      </c>
      <c r="D188" s="65"/>
      <c r="E188" s="111"/>
      <c r="F188" s="111"/>
      <c r="G188" s="111"/>
      <c r="H188" s="111"/>
      <c r="I188" s="111"/>
      <c r="J188" s="111"/>
      <c r="K188" s="603"/>
      <c r="L188" s="603"/>
      <c r="M188" s="603"/>
      <c r="N188" s="603"/>
      <c r="O188" s="603"/>
      <c r="P188" s="603"/>
      <c r="Q188" s="111"/>
      <c r="R188" s="111"/>
      <c r="S188" s="111"/>
      <c r="T188" s="111"/>
      <c r="U188" s="111"/>
      <c r="V188" s="111"/>
      <c r="W188" s="111"/>
      <c r="X188" s="111"/>
      <c r="Y188" s="111"/>
      <c r="Z188" s="111"/>
      <c r="AA188" s="111"/>
      <c r="AB188" s="111"/>
      <c r="AC188" s="111"/>
      <c r="AD188" s="111"/>
      <c r="AE188" s="111"/>
      <c r="AF188" s="111"/>
      <c r="AG188" s="111"/>
      <c r="AH188" s="111"/>
      <c r="AI188" s="111"/>
      <c r="AJ188" s="217" t="s">
        <v>686</v>
      </c>
      <c r="AK188" s="607"/>
      <c r="AL188" s="1"/>
      <c r="AM188" s="1"/>
    </row>
    <row r="189" spans="2:39" ht="18.5" x14ac:dyDescent="0.45">
      <c r="B189" s="264" t="s">
        <v>603</v>
      </c>
      <c r="C189" s="599"/>
      <c r="D189" s="31">
        <v>507</v>
      </c>
      <c r="E189" s="140"/>
      <c r="F189" s="140"/>
      <c r="G189" s="140"/>
      <c r="H189" s="140"/>
      <c r="I189" s="140"/>
      <c r="J189" s="140"/>
      <c r="K189" s="140"/>
      <c r="L189" s="140"/>
      <c r="M189" s="140"/>
      <c r="N189" s="140"/>
      <c r="O189" s="140"/>
      <c r="P189" s="140"/>
      <c r="Q189" s="140"/>
      <c r="R189" s="140"/>
      <c r="S189" s="140"/>
      <c r="T189" s="140"/>
      <c r="U189" s="140"/>
      <c r="V189" s="140"/>
      <c r="W189" s="140"/>
      <c r="X189" s="140"/>
      <c r="Y189" s="140"/>
      <c r="Z189" s="140"/>
      <c r="AA189" s="140"/>
      <c r="AB189" s="140"/>
      <c r="AC189" s="140"/>
      <c r="AD189" s="140"/>
      <c r="AE189" s="140"/>
      <c r="AF189" s="140"/>
      <c r="AG189" s="140"/>
      <c r="AH189" s="140"/>
      <c r="AI189" s="140"/>
      <c r="AJ189" s="243"/>
      <c r="AK189" s="607"/>
      <c r="AL189" s="1"/>
      <c r="AM189" s="1"/>
    </row>
    <row r="190" spans="2:39" ht="18.5" x14ac:dyDescent="0.45">
      <c r="B190" s="218" t="s">
        <v>685</v>
      </c>
      <c r="C190" s="564">
        <f>E190</f>
        <v>0.26120000000000004</v>
      </c>
      <c r="D190" s="65"/>
      <c r="E190" s="111">
        <f>SUM(F190:Z190)</f>
        <v>0.26120000000000004</v>
      </c>
      <c r="F190" s="111">
        <v>2.1999999999999999E-2</v>
      </c>
      <c r="G190" s="111">
        <v>8.9999999999999993E-3</v>
      </c>
      <c r="H190" s="111">
        <v>3.0999999999999999E-3</v>
      </c>
      <c r="I190" s="111">
        <v>6.9999999999999999E-4</v>
      </c>
      <c r="J190" s="111">
        <v>2.8999999999999998E-3</v>
      </c>
      <c r="K190" s="603">
        <v>3.4299999999999997E-2</v>
      </c>
      <c r="L190" s="603">
        <v>2.69E-2</v>
      </c>
      <c r="M190" s="603">
        <v>1.9699999999999999E-2</v>
      </c>
      <c r="N190" s="603">
        <v>1.2999999999999999E-2</v>
      </c>
      <c r="O190" s="603">
        <v>2.9000000000000001E-2</v>
      </c>
      <c r="P190" s="603">
        <v>1.1999999999999999E-3</v>
      </c>
      <c r="Q190" s="111">
        <v>6.1999999999999998E-3</v>
      </c>
      <c r="R190" s="111">
        <v>8.0999999999999996E-3</v>
      </c>
      <c r="S190" s="111">
        <v>1.4E-3</v>
      </c>
      <c r="T190" s="111">
        <v>1.4E-3</v>
      </c>
      <c r="U190" s="111">
        <v>2.7000000000000001E-3</v>
      </c>
      <c r="V190" s="111">
        <v>1.8E-3</v>
      </c>
      <c r="W190" s="111"/>
      <c r="X190" s="111"/>
      <c r="Y190" s="111">
        <v>4.1999999999999997E-3</v>
      </c>
      <c r="Z190" s="111">
        <v>7.3599999999999999E-2</v>
      </c>
      <c r="AA190" s="111"/>
      <c r="AB190" s="111"/>
      <c r="AC190" s="111"/>
      <c r="AD190" s="111"/>
      <c r="AE190" s="111"/>
      <c r="AF190" s="111"/>
      <c r="AG190" s="111"/>
      <c r="AH190" s="111"/>
      <c r="AI190" s="111"/>
      <c r="AJ190" s="217" t="s">
        <v>686</v>
      </c>
      <c r="AK190" s="607"/>
      <c r="AL190" s="1"/>
      <c r="AM190" s="1"/>
    </row>
    <row r="191" spans="2:39" ht="18.5" x14ac:dyDescent="0.45">
      <c r="B191" s="218" t="s">
        <v>687</v>
      </c>
      <c r="C191" s="564">
        <f t="shared" ref="C191:C192" si="25">E191</f>
        <v>2.6200000000000001E-2</v>
      </c>
      <c r="D191" s="65"/>
      <c r="E191" s="111">
        <f t="shared" ref="E191:E192" si="26">SUM(F191:Z191)</f>
        <v>2.6200000000000001E-2</v>
      </c>
      <c r="F191" s="111">
        <v>6.1000000000000004E-3</v>
      </c>
      <c r="G191" s="111">
        <v>1E-3</v>
      </c>
      <c r="H191" s="111">
        <v>2.9999999999999997E-4</v>
      </c>
      <c r="I191" s="111">
        <v>5.0000000000000001E-4</v>
      </c>
      <c r="J191" s="111">
        <v>8.0000000000000004E-4</v>
      </c>
      <c r="K191" s="603">
        <v>2.3999999999999998E-3</v>
      </c>
      <c r="L191" s="603">
        <v>3.0999999999999999E-3</v>
      </c>
      <c r="M191" s="603">
        <v>1.4E-3</v>
      </c>
      <c r="N191" s="603">
        <v>1.1000000000000001E-3</v>
      </c>
      <c r="O191" s="603">
        <v>2.0999999999999999E-3</v>
      </c>
      <c r="P191" s="603">
        <v>1E-4</v>
      </c>
      <c r="Q191" s="111">
        <v>4.0000000000000002E-4</v>
      </c>
      <c r="R191" s="111">
        <v>6.9999999999999999E-4</v>
      </c>
      <c r="S191" s="111">
        <v>2.9999999999999997E-4</v>
      </c>
      <c r="T191" s="111">
        <v>1E-4</v>
      </c>
      <c r="U191" s="111">
        <v>2.9999999999999997E-4</v>
      </c>
      <c r="V191" s="111"/>
      <c r="W191" s="111"/>
      <c r="X191" s="111"/>
      <c r="Y191" s="111">
        <v>5.9999999999999995E-4</v>
      </c>
      <c r="Z191" s="111">
        <v>4.8999999999999998E-3</v>
      </c>
      <c r="AA191" s="111"/>
      <c r="AB191" s="111"/>
      <c r="AC191" s="111"/>
      <c r="AD191" s="111"/>
      <c r="AE191" s="111"/>
      <c r="AF191" s="111"/>
      <c r="AG191" s="111"/>
      <c r="AH191" s="111"/>
      <c r="AI191" s="111"/>
      <c r="AJ191" s="217" t="s">
        <v>686</v>
      </c>
      <c r="AK191" s="607"/>
      <c r="AL191" s="1"/>
      <c r="AM191" s="1"/>
    </row>
    <row r="192" spans="2:39" ht="18.5" x14ac:dyDescent="0.45">
      <c r="B192" s="218" t="s">
        <v>591</v>
      </c>
      <c r="C192" s="564">
        <f t="shared" si="25"/>
        <v>8.6E-3</v>
      </c>
      <c r="D192" s="65"/>
      <c r="E192" s="111">
        <f t="shared" si="26"/>
        <v>8.6E-3</v>
      </c>
      <c r="F192" s="111">
        <v>1.5E-3</v>
      </c>
      <c r="G192" s="111">
        <v>2.0000000000000001E-4</v>
      </c>
      <c r="H192" s="111">
        <v>1E-4</v>
      </c>
      <c r="I192" s="111"/>
      <c r="J192" s="111">
        <v>1E-4</v>
      </c>
      <c r="K192" s="603">
        <v>6.9999999999999999E-4</v>
      </c>
      <c r="L192" s="603">
        <v>1E-3</v>
      </c>
      <c r="M192" s="603">
        <v>2.9999999999999997E-4</v>
      </c>
      <c r="N192" s="603">
        <v>4.0000000000000002E-4</v>
      </c>
      <c r="O192" s="603">
        <v>8.0000000000000004E-4</v>
      </c>
      <c r="P192" s="603"/>
      <c r="Q192" s="111">
        <v>2.9999999999999997E-4</v>
      </c>
      <c r="R192" s="111">
        <v>2.0000000000000001E-4</v>
      </c>
      <c r="S192" s="111"/>
      <c r="T192" s="111"/>
      <c r="U192" s="111">
        <v>2.9999999999999997E-4</v>
      </c>
      <c r="V192" s="111"/>
      <c r="W192" s="111"/>
      <c r="X192" s="111"/>
      <c r="Y192" s="111">
        <v>2.0000000000000001E-4</v>
      </c>
      <c r="Z192" s="111">
        <v>2.5000000000000001E-3</v>
      </c>
      <c r="AA192" s="111"/>
      <c r="AB192" s="111"/>
      <c r="AC192" s="111"/>
      <c r="AD192" s="111"/>
      <c r="AE192" s="111"/>
      <c r="AF192" s="111"/>
      <c r="AG192" s="111"/>
      <c r="AH192" s="111"/>
      <c r="AI192" s="111"/>
      <c r="AJ192" s="217" t="s">
        <v>686</v>
      </c>
      <c r="AK192" s="607"/>
      <c r="AL192" s="1"/>
      <c r="AM192" s="1"/>
    </row>
    <row r="193" spans="2:39" ht="18.5" x14ac:dyDescent="0.45">
      <c r="B193" s="264" t="s">
        <v>604</v>
      </c>
      <c r="C193" s="599"/>
      <c r="D193" s="31">
        <v>40</v>
      </c>
      <c r="E193" s="140"/>
      <c r="F193" s="140"/>
      <c r="G193" s="140"/>
      <c r="H193" s="140"/>
      <c r="I193" s="140"/>
      <c r="J193" s="140"/>
      <c r="K193" s="140"/>
      <c r="L193" s="140"/>
      <c r="M193" s="140"/>
      <c r="N193" s="140"/>
      <c r="O193" s="140"/>
      <c r="P193" s="140"/>
      <c r="Q193" s="140"/>
      <c r="R193" s="140"/>
      <c r="S193" s="140"/>
      <c r="T193" s="140"/>
      <c r="U193" s="140"/>
      <c r="V193" s="140"/>
      <c r="W193" s="140"/>
      <c r="X193" s="140"/>
      <c r="Y193" s="140"/>
      <c r="Z193" s="140"/>
      <c r="AA193" s="140"/>
      <c r="AB193" s="140"/>
      <c r="AC193" s="140"/>
      <c r="AD193" s="140"/>
      <c r="AE193" s="140"/>
      <c r="AF193" s="140"/>
      <c r="AG193" s="140"/>
      <c r="AH193" s="140"/>
      <c r="AI193" s="140"/>
      <c r="AJ193" s="243"/>
      <c r="AK193" s="607"/>
      <c r="AL193" s="1"/>
      <c r="AM193" s="1"/>
    </row>
    <row r="194" spans="2:39" ht="18.5" x14ac:dyDescent="0.45">
      <c r="B194" s="218" t="s">
        <v>685</v>
      </c>
      <c r="C194" s="564">
        <f>E194</f>
        <v>8.1500000000000003E-2</v>
      </c>
      <c r="D194" s="65"/>
      <c r="E194" s="111">
        <f>SUM(F194:Z194)</f>
        <v>8.1500000000000003E-2</v>
      </c>
      <c r="F194" s="111"/>
      <c r="G194" s="111"/>
      <c r="H194" s="111"/>
      <c r="I194" s="111"/>
      <c r="J194" s="111"/>
      <c r="K194" s="111"/>
      <c r="L194" s="111"/>
      <c r="M194" s="111"/>
      <c r="N194" s="111"/>
      <c r="O194" s="111"/>
      <c r="P194" s="111"/>
      <c r="Q194" s="111"/>
      <c r="R194" s="111"/>
      <c r="S194" s="111"/>
      <c r="T194" s="111"/>
      <c r="U194" s="111"/>
      <c r="V194" s="111"/>
      <c r="W194" s="111"/>
      <c r="X194" s="111"/>
      <c r="Y194" s="111"/>
      <c r="Z194" s="111">
        <v>8.1500000000000003E-2</v>
      </c>
      <c r="AA194" s="111"/>
      <c r="AB194" s="111"/>
      <c r="AC194" s="111"/>
      <c r="AD194" s="111"/>
      <c r="AE194" s="111"/>
      <c r="AF194" s="111"/>
      <c r="AG194" s="111"/>
      <c r="AH194" s="111"/>
      <c r="AI194" s="111"/>
      <c r="AJ194" s="217" t="s">
        <v>686</v>
      </c>
      <c r="AK194" s="607"/>
      <c r="AL194" s="1"/>
      <c r="AM194" s="1"/>
    </row>
    <row r="195" spans="2:39" ht="18.5" x14ac:dyDescent="0.45">
      <c r="B195" s="218" t="s">
        <v>687</v>
      </c>
      <c r="C195" s="564">
        <f t="shared" ref="C195:C196" si="27">E195</f>
        <v>8.1500000000000003E-2</v>
      </c>
      <c r="D195" s="65"/>
      <c r="E195" s="111">
        <f t="shared" ref="E195:E196" si="28">SUM(F195:Z195)</f>
        <v>8.1500000000000003E-2</v>
      </c>
      <c r="F195" s="111"/>
      <c r="G195" s="111"/>
      <c r="H195" s="111"/>
      <c r="I195" s="111"/>
      <c r="J195" s="111"/>
      <c r="K195" s="111"/>
      <c r="L195" s="111"/>
      <c r="M195" s="111"/>
      <c r="N195" s="111"/>
      <c r="O195" s="111"/>
      <c r="P195" s="111"/>
      <c r="Q195" s="111"/>
      <c r="R195" s="111"/>
      <c r="S195" s="111"/>
      <c r="T195" s="111"/>
      <c r="U195" s="111"/>
      <c r="V195" s="111"/>
      <c r="W195" s="111"/>
      <c r="X195" s="111"/>
      <c r="Y195" s="111"/>
      <c r="Z195" s="111">
        <v>8.1500000000000003E-2</v>
      </c>
      <c r="AA195" s="111"/>
      <c r="AB195" s="111"/>
      <c r="AC195" s="111"/>
      <c r="AD195" s="111"/>
      <c r="AE195" s="111"/>
      <c r="AF195" s="111"/>
      <c r="AG195" s="111"/>
      <c r="AH195" s="111"/>
      <c r="AI195" s="111"/>
      <c r="AJ195" s="217" t="s">
        <v>686</v>
      </c>
      <c r="AK195" s="607"/>
      <c r="AL195" s="1"/>
      <c r="AM195" s="1"/>
    </row>
    <row r="196" spans="2:39" ht="18.5" x14ac:dyDescent="0.45">
      <c r="B196" s="218" t="s">
        <v>591</v>
      </c>
      <c r="C196" s="564">
        <f t="shared" si="27"/>
        <v>6.3E-3</v>
      </c>
      <c r="D196" s="65"/>
      <c r="E196" s="111">
        <f t="shared" si="28"/>
        <v>6.3E-3</v>
      </c>
      <c r="F196" s="111"/>
      <c r="G196" s="111"/>
      <c r="H196" s="111"/>
      <c r="I196" s="111"/>
      <c r="J196" s="111"/>
      <c r="K196" s="111"/>
      <c r="L196" s="111"/>
      <c r="M196" s="111"/>
      <c r="N196" s="111"/>
      <c r="O196" s="111"/>
      <c r="P196" s="111"/>
      <c r="Q196" s="111"/>
      <c r="R196" s="111"/>
      <c r="S196" s="111"/>
      <c r="T196" s="111"/>
      <c r="U196" s="111"/>
      <c r="V196" s="111"/>
      <c r="W196" s="111"/>
      <c r="X196" s="111"/>
      <c r="Y196" s="111"/>
      <c r="Z196" s="111">
        <v>6.3E-3</v>
      </c>
      <c r="AA196" s="111"/>
      <c r="AB196" s="111"/>
      <c r="AC196" s="111"/>
      <c r="AD196" s="111"/>
      <c r="AE196" s="111"/>
      <c r="AF196" s="111"/>
      <c r="AG196" s="111"/>
      <c r="AH196" s="111"/>
      <c r="AI196" s="111"/>
      <c r="AJ196" s="217" t="s">
        <v>686</v>
      </c>
      <c r="AK196" s="607"/>
      <c r="AL196" s="1"/>
      <c r="AM196" s="1"/>
    </row>
    <row r="197" spans="2:39" ht="18.5" hidden="1" x14ac:dyDescent="0.45">
      <c r="B197" s="597" t="s">
        <v>676</v>
      </c>
      <c r="C197" s="601"/>
      <c r="D197" s="613">
        <v>599</v>
      </c>
      <c r="E197" s="605"/>
      <c r="F197" s="605"/>
      <c r="G197" s="605"/>
      <c r="H197" s="605"/>
      <c r="I197" s="605"/>
      <c r="J197" s="605"/>
      <c r="K197" s="605"/>
      <c r="L197" s="605"/>
      <c r="M197" s="605"/>
      <c r="N197" s="605"/>
      <c r="O197" s="605"/>
      <c r="P197" s="605"/>
      <c r="Q197" s="605"/>
      <c r="R197" s="605"/>
      <c r="S197" s="605"/>
      <c r="T197" s="605"/>
      <c r="U197" s="605"/>
      <c r="V197" s="605"/>
      <c r="W197" s="605"/>
      <c r="X197" s="605"/>
      <c r="Y197" s="605"/>
      <c r="Z197" s="605"/>
      <c r="AA197" s="605"/>
      <c r="AB197" s="605"/>
      <c r="AC197" s="605"/>
      <c r="AD197" s="605"/>
      <c r="AE197" s="605"/>
      <c r="AF197" s="605"/>
      <c r="AG197" s="605"/>
      <c r="AH197" s="605"/>
      <c r="AI197" s="605"/>
      <c r="AJ197" s="606"/>
      <c r="AK197" s="607"/>
      <c r="AL197" s="1"/>
      <c r="AM197" s="1"/>
    </row>
    <row r="198" spans="2:39" ht="18.5" hidden="1" x14ac:dyDescent="0.45">
      <c r="B198" s="598" t="s">
        <v>685</v>
      </c>
      <c r="C198" s="600"/>
      <c r="D198" s="614"/>
      <c r="E198" s="608">
        <f>SUM(F198:Z198)</f>
        <v>7.1300000000000002E-2</v>
      </c>
      <c r="F198" s="608">
        <v>3.0000000000000001E-3</v>
      </c>
      <c r="G198" s="608">
        <v>2.5999999999999999E-3</v>
      </c>
      <c r="H198" s="608">
        <v>1E-3</v>
      </c>
      <c r="I198" s="608">
        <v>5.0000000000000001E-4</v>
      </c>
      <c r="J198" s="608">
        <v>1.9E-3</v>
      </c>
      <c r="K198" s="609">
        <v>1.24E-2</v>
      </c>
      <c r="L198" s="609">
        <v>8.3000000000000001E-3</v>
      </c>
      <c r="M198" s="609">
        <v>5.7999999999999996E-3</v>
      </c>
      <c r="N198" s="609">
        <v>4.5999999999999999E-3</v>
      </c>
      <c r="O198" s="609">
        <v>1E-3</v>
      </c>
      <c r="P198" s="609">
        <v>1.8E-3</v>
      </c>
      <c r="Q198" s="608">
        <v>4.0000000000000001E-3</v>
      </c>
      <c r="R198" s="608">
        <v>1.6000000000000001E-3</v>
      </c>
      <c r="S198" s="608">
        <v>1E-4</v>
      </c>
      <c r="T198" s="608">
        <v>8.0000000000000004E-4</v>
      </c>
      <c r="U198" s="608">
        <v>4.0000000000000002E-4</v>
      </c>
      <c r="V198" s="608"/>
      <c r="W198" s="608"/>
      <c r="X198" s="608"/>
      <c r="Y198" s="608">
        <v>1.1999999999999999E-3</v>
      </c>
      <c r="Z198" s="608">
        <v>2.0299999999999999E-2</v>
      </c>
      <c r="AA198" s="608"/>
      <c r="AB198" s="608"/>
      <c r="AC198" s="608"/>
      <c r="AD198" s="608"/>
      <c r="AE198" s="608"/>
      <c r="AF198" s="608"/>
      <c r="AG198" s="608"/>
      <c r="AH198" s="608"/>
      <c r="AI198" s="608"/>
      <c r="AJ198" s="610"/>
      <c r="AK198" s="607"/>
      <c r="AL198" s="1"/>
      <c r="AM198" s="1"/>
    </row>
    <row r="199" spans="2:39" ht="18.5" hidden="1" x14ac:dyDescent="0.45">
      <c r="B199" s="598" t="s">
        <v>687</v>
      </c>
      <c r="C199" s="600"/>
      <c r="D199" s="614"/>
      <c r="E199" s="608">
        <f t="shared" ref="E199:E200" si="29">SUM(F199:Z199)</f>
        <v>6.8999999999999999E-3</v>
      </c>
      <c r="F199" s="608">
        <v>8.9999999999999998E-4</v>
      </c>
      <c r="G199" s="608">
        <v>2.0000000000000001E-4</v>
      </c>
      <c r="H199" s="608"/>
      <c r="I199" s="608">
        <v>1E-4</v>
      </c>
      <c r="J199" s="608">
        <v>2.0000000000000001E-4</v>
      </c>
      <c r="K199" s="609">
        <v>1E-3</v>
      </c>
      <c r="L199" s="609">
        <v>6.9999999999999999E-4</v>
      </c>
      <c r="M199" s="609">
        <v>2.9999999999999997E-4</v>
      </c>
      <c r="N199" s="609">
        <v>2.9999999999999997E-4</v>
      </c>
      <c r="O199" s="609">
        <v>1E-4</v>
      </c>
      <c r="P199" s="609">
        <v>1E-4</v>
      </c>
      <c r="Q199" s="608">
        <v>2.0000000000000001E-4</v>
      </c>
      <c r="R199" s="608">
        <v>2.9999999999999997E-4</v>
      </c>
      <c r="S199" s="608">
        <v>1E-4</v>
      </c>
      <c r="T199" s="608">
        <v>2.0000000000000001E-4</v>
      </c>
      <c r="U199" s="608">
        <v>1E-4</v>
      </c>
      <c r="V199" s="608"/>
      <c r="W199" s="608"/>
      <c r="X199" s="608"/>
      <c r="Y199" s="608">
        <v>2.9999999999999997E-4</v>
      </c>
      <c r="Z199" s="608">
        <v>1.8E-3</v>
      </c>
      <c r="AA199" s="608"/>
      <c r="AB199" s="608"/>
      <c r="AC199" s="608"/>
      <c r="AD199" s="608"/>
      <c r="AE199" s="608"/>
      <c r="AF199" s="608"/>
      <c r="AG199" s="608"/>
      <c r="AH199" s="608"/>
      <c r="AI199" s="608"/>
      <c r="AJ199" s="610"/>
      <c r="AK199" s="607"/>
      <c r="AL199" s="1"/>
      <c r="AM199" s="1"/>
    </row>
    <row r="200" spans="2:39" ht="18.5" hidden="1" x14ac:dyDescent="0.45">
      <c r="B200" s="598" t="s">
        <v>591</v>
      </c>
      <c r="C200" s="600"/>
      <c r="D200" s="614"/>
      <c r="E200" s="608">
        <f t="shared" si="29"/>
        <v>1.6000000000000001E-3</v>
      </c>
      <c r="F200" s="608"/>
      <c r="G200" s="608"/>
      <c r="H200" s="608"/>
      <c r="I200" s="608"/>
      <c r="J200" s="608"/>
      <c r="K200" s="609">
        <v>5.0000000000000001E-4</v>
      </c>
      <c r="L200" s="609">
        <v>2.9999999999999997E-4</v>
      </c>
      <c r="M200" s="609">
        <v>1E-4</v>
      </c>
      <c r="N200" s="609">
        <v>1E-4</v>
      </c>
      <c r="O200" s="609"/>
      <c r="P200" s="609"/>
      <c r="Q200" s="608">
        <v>1E-4</v>
      </c>
      <c r="R200" s="608"/>
      <c r="S200" s="608"/>
      <c r="T200" s="608">
        <v>1E-4</v>
      </c>
      <c r="U200" s="608"/>
      <c r="V200" s="608"/>
      <c r="W200" s="608"/>
      <c r="X200" s="608"/>
      <c r="Y200" s="608">
        <v>1E-4</v>
      </c>
      <c r="Z200" s="608">
        <v>2.9999999999999997E-4</v>
      </c>
      <c r="AA200" s="608"/>
      <c r="AB200" s="608"/>
      <c r="AC200" s="608"/>
      <c r="AD200" s="608"/>
      <c r="AE200" s="608"/>
      <c r="AF200" s="608"/>
      <c r="AG200" s="608"/>
      <c r="AH200" s="608"/>
      <c r="AI200" s="608"/>
      <c r="AJ200" s="610"/>
      <c r="AK200" s="607"/>
      <c r="AL200" s="1"/>
      <c r="AM200" s="1"/>
    </row>
    <row r="201" spans="2:39" ht="18.5" hidden="1" x14ac:dyDescent="0.45">
      <c r="B201" s="597" t="s">
        <v>677</v>
      </c>
      <c r="C201" s="601"/>
      <c r="D201" s="613">
        <v>6419</v>
      </c>
      <c r="E201" s="605"/>
      <c r="F201" s="605"/>
      <c r="G201" s="605"/>
      <c r="H201" s="605"/>
      <c r="I201" s="605"/>
      <c r="J201" s="605"/>
      <c r="K201" s="605"/>
      <c r="L201" s="605"/>
      <c r="M201" s="605"/>
      <c r="N201" s="605"/>
      <c r="O201" s="605"/>
      <c r="P201" s="605"/>
      <c r="Q201" s="605"/>
      <c r="R201" s="605"/>
      <c r="S201" s="605"/>
      <c r="T201" s="605"/>
      <c r="U201" s="605"/>
      <c r="V201" s="605"/>
      <c r="W201" s="605"/>
      <c r="X201" s="605"/>
      <c r="Y201" s="605"/>
      <c r="Z201" s="605"/>
      <c r="AA201" s="605"/>
      <c r="AB201" s="605"/>
      <c r="AC201" s="605"/>
      <c r="AD201" s="605"/>
      <c r="AE201" s="605"/>
      <c r="AF201" s="605"/>
      <c r="AG201" s="605"/>
      <c r="AH201" s="605"/>
      <c r="AI201" s="605"/>
      <c r="AJ201" s="606"/>
      <c r="AK201" s="607"/>
      <c r="AL201" s="1"/>
      <c r="AM201" s="1"/>
    </row>
    <row r="202" spans="2:39" ht="18.5" hidden="1" x14ac:dyDescent="0.45">
      <c r="B202" s="598" t="s">
        <v>685</v>
      </c>
      <c r="C202" s="600"/>
      <c r="D202" s="614"/>
      <c r="E202" s="608">
        <f>SUM(F202:Z202)</f>
        <v>4.8899999999999999E-2</v>
      </c>
      <c r="F202" s="608">
        <v>2.0999999999999999E-3</v>
      </c>
      <c r="G202" s="608">
        <v>2E-3</v>
      </c>
      <c r="H202" s="608">
        <v>1.1000000000000001E-3</v>
      </c>
      <c r="I202" s="608">
        <v>2.0000000000000001E-4</v>
      </c>
      <c r="J202" s="608">
        <v>6.9999999999999999E-4</v>
      </c>
      <c r="K202" s="609">
        <v>7.7999999999999996E-3</v>
      </c>
      <c r="L202" s="609">
        <v>7.3000000000000001E-3</v>
      </c>
      <c r="M202" s="609">
        <v>5.0000000000000001E-3</v>
      </c>
      <c r="N202" s="609">
        <v>3.0999999999999999E-3</v>
      </c>
      <c r="O202" s="609">
        <v>5.0000000000000001E-4</v>
      </c>
      <c r="P202" s="609">
        <v>4.0000000000000002E-4</v>
      </c>
      <c r="Q202" s="608">
        <v>3.0999999999999999E-3</v>
      </c>
      <c r="R202" s="608">
        <v>1.2999999999999999E-3</v>
      </c>
      <c r="S202" s="608"/>
      <c r="T202" s="608">
        <v>4.0000000000000002E-4</v>
      </c>
      <c r="U202" s="608">
        <v>2.9999999999999997E-4</v>
      </c>
      <c r="V202" s="608"/>
      <c r="W202" s="608"/>
      <c r="X202" s="608"/>
      <c r="Y202" s="608">
        <v>1.1000000000000001E-3</v>
      </c>
      <c r="Z202" s="608">
        <v>1.2500000000000001E-2</v>
      </c>
      <c r="AA202" s="608"/>
      <c r="AB202" s="608"/>
      <c r="AC202" s="608"/>
      <c r="AD202" s="608"/>
      <c r="AE202" s="608"/>
      <c r="AF202" s="608"/>
      <c r="AG202" s="608"/>
      <c r="AH202" s="608"/>
      <c r="AI202" s="608"/>
      <c r="AJ202" s="610"/>
      <c r="AK202" s="607"/>
      <c r="AL202" s="1"/>
      <c r="AM202" s="1"/>
    </row>
    <row r="203" spans="2:39" ht="18.5" hidden="1" x14ac:dyDescent="0.45">
      <c r="B203" s="598" t="s">
        <v>687</v>
      </c>
      <c r="C203" s="600"/>
      <c r="D203" s="614"/>
      <c r="E203" s="608">
        <f t="shared" ref="E203:E204" si="30">SUM(F203:Z203)</f>
        <v>4.4999999999999997E-3</v>
      </c>
      <c r="F203" s="608">
        <v>4.0000000000000002E-4</v>
      </c>
      <c r="G203" s="608">
        <v>2.9999999999999997E-4</v>
      </c>
      <c r="H203" s="608">
        <v>1E-4</v>
      </c>
      <c r="I203" s="608">
        <v>1E-4</v>
      </c>
      <c r="J203" s="608">
        <v>2.9999999999999997E-4</v>
      </c>
      <c r="K203" s="609">
        <v>5.9999999999999995E-4</v>
      </c>
      <c r="L203" s="609">
        <v>5.0000000000000001E-4</v>
      </c>
      <c r="M203" s="609">
        <v>4.0000000000000002E-4</v>
      </c>
      <c r="N203" s="609">
        <v>1E-4</v>
      </c>
      <c r="O203" s="609"/>
      <c r="P203" s="609"/>
      <c r="Q203" s="608">
        <v>2.0000000000000001E-4</v>
      </c>
      <c r="R203" s="608">
        <v>2.0000000000000001E-4</v>
      </c>
      <c r="S203" s="608"/>
      <c r="T203" s="608">
        <v>1E-4</v>
      </c>
      <c r="U203" s="608"/>
      <c r="V203" s="608"/>
      <c r="W203" s="608"/>
      <c r="X203" s="608"/>
      <c r="Y203" s="608">
        <v>1E-4</v>
      </c>
      <c r="Z203" s="608">
        <v>1.1000000000000001E-3</v>
      </c>
      <c r="AA203" s="608"/>
      <c r="AB203" s="608"/>
      <c r="AC203" s="608"/>
      <c r="AD203" s="608"/>
      <c r="AE203" s="608"/>
      <c r="AF203" s="608"/>
      <c r="AG203" s="608"/>
      <c r="AH203" s="608"/>
      <c r="AI203" s="608"/>
      <c r="AJ203" s="610"/>
      <c r="AK203" s="607"/>
      <c r="AL203" s="1"/>
      <c r="AM203" s="1"/>
    </row>
    <row r="204" spans="2:39" ht="18.5" hidden="1" x14ac:dyDescent="0.45">
      <c r="B204" s="598" t="s">
        <v>591</v>
      </c>
      <c r="C204" s="600"/>
      <c r="D204" s="614"/>
      <c r="E204" s="608">
        <f t="shared" si="30"/>
        <v>8.0000000000000004E-4</v>
      </c>
      <c r="F204" s="608"/>
      <c r="G204" s="608"/>
      <c r="H204" s="608"/>
      <c r="I204" s="608"/>
      <c r="J204" s="608">
        <v>1E-4</v>
      </c>
      <c r="K204" s="609">
        <v>1E-4</v>
      </c>
      <c r="L204" s="609">
        <v>1E-4</v>
      </c>
      <c r="M204" s="609">
        <v>1E-4</v>
      </c>
      <c r="N204" s="609"/>
      <c r="O204" s="609"/>
      <c r="P204" s="609"/>
      <c r="Q204" s="608"/>
      <c r="R204" s="608">
        <v>1E-4</v>
      </c>
      <c r="S204" s="608"/>
      <c r="T204" s="608"/>
      <c r="U204" s="608"/>
      <c r="V204" s="608"/>
      <c r="W204" s="608"/>
      <c r="X204" s="608"/>
      <c r="Y204" s="608">
        <v>1E-4</v>
      </c>
      <c r="Z204" s="608">
        <v>2.0000000000000001E-4</v>
      </c>
      <c r="AA204" s="608"/>
      <c r="AB204" s="608"/>
      <c r="AC204" s="608"/>
      <c r="AD204" s="608"/>
      <c r="AE204" s="608"/>
      <c r="AF204" s="608"/>
      <c r="AG204" s="608"/>
      <c r="AH204" s="608"/>
      <c r="AI204" s="608"/>
      <c r="AJ204" s="610"/>
      <c r="AK204" s="607"/>
      <c r="AL204" s="1"/>
      <c r="AM204" s="1"/>
    </row>
    <row r="205" spans="2:39" ht="18.5" hidden="1" x14ac:dyDescent="0.45">
      <c r="B205" s="597" t="s">
        <v>678</v>
      </c>
      <c r="C205" s="601"/>
      <c r="D205" s="613">
        <v>803</v>
      </c>
      <c r="E205" s="605"/>
      <c r="F205" s="605"/>
      <c r="G205" s="605"/>
      <c r="H205" s="605"/>
      <c r="I205" s="605"/>
      <c r="J205" s="605"/>
      <c r="K205" s="605"/>
      <c r="L205" s="605"/>
      <c r="M205" s="605"/>
      <c r="N205" s="605"/>
      <c r="O205" s="605"/>
      <c r="P205" s="605"/>
      <c r="Q205" s="605"/>
      <c r="R205" s="605"/>
      <c r="S205" s="605"/>
      <c r="T205" s="605"/>
      <c r="U205" s="605"/>
      <c r="V205" s="605"/>
      <c r="W205" s="605"/>
      <c r="X205" s="605"/>
      <c r="Y205" s="605"/>
      <c r="Z205" s="605"/>
      <c r="AA205" s="605"/>
      <c r="AB205" s="605"/>
      <c r="AC205" s="605"/>
      <c r="AD205" s="605"/>
      <c r="AE205" s="605"/>
      <c r="AF205" s="605"/>
      <c r="AG205" s="605"/>
      <c r="AH205" s="605"/>
      <c r="AI205" s="605"/>
      <c r="AJ205" s="606"/>
      <c r="AK205" s="607"/>
      <c r="AL205" s="1"/>
      <c r="AM205" s="1"/>
    </row>
    <row r="206" spans="2:39" ht="18.5" hidden="1" x14ac:dyDescent="0.45">
      <c r="B206" s="598" t="s">
        <v>685</v>
      </c>
      <c r="C206" s="600"/>
      <c r="D206" s="614"/>
      <c r="E206" s="608">
        <f>SUM(F206:Z206)</f>
        <v>0.22389999999999999</v>
      </c>
      <c r="F206" s="608">
        <v>5.4000000000000003E-3</v>
      </c>
      <c r="G206" s="608">
        <v>5.0000000000000001E-3</v>
      </c>
      <c r="H206" s="608">
        <v>2.7000000000000001E-3</v>
      </c>
      <c r="I206" s="608">
        <v>1.1999999999999999E-3</v>
      </c>
      <c r="J206" s="608">
        <v>3.5000000000000001E-3</v>
      </c>
      <c r="K206" s="609">
        <v>4.5600000000000002E-2</v>
      </c>
      <c r="L206" s="609">
        <v>3.7499999999999999E-2</v>
      </c>
      <c r="M206" s="609">
        <v>2.6800000000000001E-2</v>
      </c>
      <c r="N206" s="609">
        <v>1.54E-2</v>
      </c>
      <c r="O206" s="609">
        <v>5.1000000000000004E-3</v>
      </c>
      <c r="P206" s="609">
        <v>1.1999999999999999E-3</v>
      </c>
      <c r="Q206" s="608">
        <v>1.03E-2</v>
      </c>
      <c r="R206" s="608">
        <v>1.03E-2</v>
      </c>
      <c r="S206" s="608"/>
      <c r="T206" s="608">
        <v>2.3999999999999998E-3</v>
      </c>
      <c r="U206" s="608">
        <v>1.6999999999999999E-3</v>
      </c>
      <c r="V206" s="608">
        <v>2.9999999999999997E-4</v>
      </c>
      <c r="W206" s="608">
        <v>1E-4</v>
      </c>
      <c r="X206" s="608">
        <v>1E-4</v>
      </c>
      <c r="Y206" s="608">
        <v>6.0000000000000001E-3</v>
      </c>
      <c r="Z206" s="608">
        <v>4.3299999999999998E-2</v>
      </c>
      <c r="AA206" s="608"/>
      <c r="AB206" s="608"/>
      <c r="AC206" s="608"/>
      <c r="AD206" s="608"/>
      <c r="AE206" s="608"/>
      <c r="AF206" s="608"/>
      <c r="AG206" s="608"/>
      <c r="AH206" s="608"/>
      <c r="AI206" s="608"/>
      <c r="AJ206" s="610"/>
      <c r="AK206" s="607"/>
      <c r="AL206" s="1"/>
      <c r="AM206" s="1"/>
    </row>
    <row r="207" spans="2:39" ht="18.5" hidden="1" x14ac:dyDescent="0.45">
      <c r="B207" s="598" t="s">
        <v>687</v>
      </c>
      <c r="C207" s="600"/>
      <c r="D207" s="614"/>
      <c r="E207" s="608">
        <f t="shared" ref="E207:E208" si="31">SUM(F207:Z207)</f>
        <v>2.6300000000000004E-2</v>
      </c>
      <c r="F207" s="608">
        <v>2E-3</v>
      </c>
      <c r="G207" s="608">
        <v>1.9E-3</v>
      </c>
      <c r="H207" s="608">
        <v>5.0000000000000001E-4</v>
      </c>
      <c r="I207" s="608">
        <v>1E-4</v>
      </c>
      <c r="J207" s="608">
        <v>1.1000000000000001E-3</v>
      </c>
      <c r="K207" s="609">
        <v>4.0000000000000001E-3</v>
      </c>
      <c r="L207" s="609">
        <v>4.0000000000000001E-3</v>
      </c>
      <c r="M207" s="609">
        <v>2.0999999999999999E-3</v>
      </c>
      <c r="N207" s="609">
        <v>1.5E-3</v>
      </c>
      <c r="O207" s="609">
        <v>4.0000000000000002E-4</v>
      </c>
      <c r="P207" s="609">
        <v>2.0000000000000001E-4</v>
      </c>
      <c r="Q207" s="608">
        <v>1.4E-3</v>
      </c>
      <c r="R207" s="608">
        <v>1.6000000000000001E-3</v>
      </c>
      <c r="S207" s="608"/>
      <c r="T207" s="608">
        <v>4.0000000000000002E-4</v>
      </c>
      <c r="U207" s="608">
        <v>5.0000000000000001E-4</v>
      </c>
      <c r="V207" s="608"/>
      <c r="W207" s="608"/>
      <c r="X207" s="608"/>
      <c r="Y207" s="608">
        <v>4.0000000000000002E-4</v>
      </c>
      <c r="Z207" s="608">
        <v>4.1999999999999997E-3</v>
      </c>
      <c r="AA207" s="608"/>
      <c r="AB207" s="608"/>
      <c r="AC207" s="608"/>
      <c r="AD207" s="608"/>
      <c r="AE207" s="608"/>
      <c r="AF207" s="608"/>
      <c r="AG207" s="608"/>
      <c r="AH207" s="608"/>
      <c r="AI207" s="608"/>
      <c r="AJ207" s="610"/>
      <c r="AK207" s="607"/>
      <c r="AL207" s="1"/>
      <c r="AM207" s="1"/>
    </row>
    <row r="208" spans="2:39" ht="18.5" hidden="1" x14ac:dyDescent="0.45">
      <c r="B208" s="598" t="s">
        <v>591</v>
      </c>
      <c r="C208" s="600"/>
      <c r="D208" s="614"/>
      <c r="E208" s="608">
        <f t="shared" si="31"/>
        <v>1.4699999999999998E-2</v>
      </c>
      <c r="F208" s="608">
        <v>1.6999999999999999E-3</v>
      </c>
      <c r="G208" s="608">
        <v>8.0000000000000004E-4</v>
      </c>
      <c r="H208" s="608">
        <v>1E-4</v>
      </c>
      <c r="I208" s="608">
        <v>1E-4</v>
      </c>
      <c r="J208" s="608">
        <v>4.0000000000000002E-4</v>
      </c>
      <c r="K208" s="609">
        <v>2.5000000000000001E-3</v>
      </c>
      <c r="L208" s="609">
        <v>3.0000000000000001E-3</v>
      </c>
      <c r="M208" s="609">
        <v>1.1999999999999999E-3</v>
      </c>
      <c r="N208" s="609">
        <v>8.0000000000000004E-4</v>
      </c>
      <c r="O208" s="609">
        <v>1E-4</v>
      </c>
      <c r="P208" s="609"/>
      <c r="Q208" s="608">
        <v>6.9999999999999999E-4</v>
      </c>
      <c r="R208" s="608">
        <v>1E-4</v>
      </c>
      <c r="S208" s="608"/>
      <c r="T208" s="608">
        <v>2.0000000000000001E-4</v>
      </c>
      <c r="U208" s="608"/>
      <c r="V208" s="608"/>
      <c r="W208" s="608"/>
      <c r="X208" s="608"/>
      <c r="Y208" s="608">
        <v>2.9999999999999997E-4</v>
      </c>
      <c r="Z208" s="608">
        <v>2.7000000000000001E-3</v>
      </c>
      <c r="AA208" s="608"/>
      <c r="AB208" s="608"/>
      <c r="AC208" s="608"/>
      <c r="AD208" s="608"/>
      <c r="AE208" s="608"/>
      <c r="AF208" s="608"/>
      <c r="AG208" s="608"/>
      <c r="AH208" s="608"/>
      <c r="AI208" s="608"/>
      <c r="AJ208" s="610"/>
      <c r="AK208" s="607"/>
      <c r="AL208" s="1"/>
      <c r="AM208" s="1"/>
    </row>
    <row r="209" spans="2:39" ht="18.5" x14ac:dyDescent="0.45">
      <c r="B209" s="264" t="s">
        <v>605</v>
      </c>
      <c r="C209" s="601"/>
      <c r="D209" s="613"/>
      <c r="E209" s="605"/>
      <c r="F209" s="605"/>
      <c r="G209" s="605"/>
      <c r="H209" s="605"/>
      <c r="I209" s="605"/>
      <c r="J209" s="605"/>
      <c r="K209" s="605"/>
      <c r="L209" s="605"/>
      <c r="M209" s="605"/>
      <c r="N209" s="605"/>
      <c r="O209" s="605"/>
      <c r="P209" s="605"/>
      <c r="Q209" s="605"/>
      <c r="R209" s="605"/>
      <c r="S209" s="605"/>
      <c r="T209" s="605"/>
      <c r="U209" s="605"/>
      <c r="V209" s="605"/>
      <c r="W209" s="605"/>
      <c r="X209" s="605"/>
      <c r="Y209" s="605"/>
      <c r="Z209" s="605"/>
      <c r="AA209" s="605"/>
      <c r="AB209" s="605"/>
      <c r="AC209" s="605"/>
      <c r="AD209" s="605"/>
      <c r="AE209" s="605"/>
      <c r="AF209" s="605"/>
      <c r="AG209" s="605"/>
      <c r="AH209" s="605"/>
      <c r="AI209" s="605"/>
      <c r="AJ209" s="606"/>
      <c r="AK209" s="607"/>
      <c r="AL209" s="1"/>
      <c r="AM209" s="1"/>
    </row>
    <row r="210" spans="2:39" ht="18.5" x14ac:dyDescent="0.45">
      <c r="B210" s="218" t="s">
        <v>685</v>
      </c>
      <c r="C210" s="564">
        <f>($D$197*E198+$D$201*E202+$D$205*E206)/($D$197+$D$201+$D$205)</f>
        <v>6.8583237437667824E-2</v>
      </c>
      <c r="D210" s="65"/>
      <c r="E210" s="111"/>
      <c r="F210" s="111"/>
      <c r="G210" s="111"/>
      <c r="H210" s="111"/>
      <c r="I210" s="111"/>
      <c r="J210" s="111"/>
      <c r="K210" s="111"/>
      <c r="L210" s="111"/>
      <c r="M210" s="111"/>
      <c r="N210" s="111"/>
      <c r="O210" s="111"/>
      <c r="P210" s="111"/>
      <c r="Q210" s="111"/>
      <c r="R210" s="111"/>
      <c r="S210" s="111"/>
      <c r="T210" s="111"/>
      <c r="U210" s="111"/>
      <c r="V210" s="111"/>
      <c r="W210" s="111"/>
      <c r="X210" s="111"/>
      <c r="Y210" s="111"/>
      <c r="Z210" s="111"/>
      <c r="AA210" s="111"/>
      <c r="AB210" s="111"/>
      <c r="AC210" s="111"/>
      <c r="AD210" s="111"/>
      <c r="AE210" s="111"/>
      <c r="AF210" s="111"/>
      <c r="AG210" s="111"/>
      <c r="AH210" s="111"/>
      <c r="AI210" s="111"/>
      <c r="AJ210" s="217" t="s">
        <v>686</v>
      </c>
      <c r="AK210" s="607"/>
      <c r="AL210" s="1"/>
      <c r="AM210" s="1"/>
    </row>
    <row r="211" spans="2:39" ht="18.5" x14ac:dyDescent="0.45">
      <c r="B211" s="218" t="s">
        <v>687</v>
      </c>
      <c r="C211" s="564">
        <f>($D$197*E199+$D$201*E203+$D$205*E207)/($D$197+$D$201+$D$205)</f>
        <v>6.9220687891573974E-3</v>
      </c>
      <c r="D211" s="65"/>
      <c r="E211" s="111"/>
      <c r="F211" s="111"/>
      <c r="G211" s="111"/>
      <c r="H211" s="111"/>
      <c r="I211" s="111"/>
      <c r="J211" s="111"/>
      <c r="K211" s="111"/>
      <c r="L211" s="111"/>
      <c r="M211" s="111"/>
      <c r="N211" s="111"/>
      <c r="O211" s="111"/>
      <c r="P211" s="111"/>
      <c r="Q211" s="111"/>
      <c r="R211" s="111"/>
      <c r="S211" s="111"/>
      <c r="T211" s="111"/>
      <c r="U211" s="111"/>
      <c r="V211" s="111"/>
      <c r="W211" s="111"/>
      <c r="X211" s="111"/>
      <c r="Y211" s="111"/>
      <c r="Z211" s="111"/>
      <c r="AA211" s="111"/>
      <c r="AB211" s="111"/>
      <c r="AC211" s="111"/>
      <c r="AD211" s="111"/>
      <c r="AE211" s="111"/>
      <c r="AF211" s="111"/>
      <c r="AG211" s="111"/>
      <c r="AH211" s="111"/>
      <c r="AI211" s="111"/>
      <c r="AJ211" s="217" t="s">
        <v>686</v>
      </c>
      <c r="AK211" s="607"/>
      <c r="AL211" s="1"/>
      <c r="AM211" s="1"/>
    </row>
    <row r="212" spans="2:39" ht="18.5" x14ac:dyDescent="0.45">
      <c r="B212" s="218" t="s">
        <v>591</v>
      </c>
      <c r="C212" s="564">
        <f t="shared" ref="C212" si="32">($D$197*E200+$D$201*E204+$D$205*E208)/($D$197+$D$201+$D$205)</f>
        <v>2.288415803605677E-3</v>
      </c>
      <c r="D212" s="65"/>
      <c r="E212" s="111"/>
      <c r="F212" s="111"/>
      <c r="G212" s="111"/>
      <c r="H212" s="111"/>
      <c r="I212" s="111"/>
      <c r="J212" s="111"/>
      <c r="K212" s="111"/>
      <c r="L212" s="111"/>
      <c r="M212" s="111"/>
      <c r="N212" s="111"/>
      <c r="O212" s="111"/>
      <c r="P212" s="111"/>
      <c r="Q212" s="111"/>
      <c r="R212" s="111"/>
      <c r="S212" s="111"/>
      <c r="T212" s="111"/>
      <c r="U212" s="111"/>
      <c r="V212" s="111"/>
      <c r="W212" s="111"/>
      <c r="X212" s="111"/>
      <c r="Y212" s="111"/>
      <c r="Z212" s="111"/>
      <c r="AA212" s="111"/>
      <c r="AB212" s="111"/>
      <c r="AC212" s="111"/>
      <c r="AD212" s="111"/>
      <c r="AE212" s="111"/>
      <c r="AF212" s="111"/>
      <c r="AG212" s="111"/>
      <c r="AH212" s="111"/>
      <c r="AI212" s="111"/>
      <c r="AJ212" s="217" t="s">
        <v>686</v>
      </c>
      <c r="AK212" s="607"/>
      <c r="AL212" s="1"/>
      <c r="AM212" s="1"/>
    </row>
    <row r="213" spans="2:39" ht="18.5" hidden="1" x14ac:dyDescent="0.45">
      <c r="B213" s="264" t="s">
        <v>679</v>
      </c>
      <c r="C213" s="599"/>
      <c r="D213" s="31">
        <v>42</v>
      </c>
      <c r="E213" s="140"/>
      <c r="F213" s="140"/>
      <c r="G213" s="140"/>
      <c r="H213" s="140"/>
      <c r="I213" s="140"/>
      <c r="J213" s="140"/>
      <c r="K213" s="140"/>
      <c r="L213" s="140"/>
      <c r="M213" s="140"/>
      <c r="N213" s="140"/>
      <c r="O213" s="140"/>
      <c r="P213" s="140"/>
      <c r="Q213" s="140"/>
      <c r="R213" s="140"/>
      <c r="S213" s="140"/>
      <c r="T213" s="140"/>
      <c r="U213" s="140"/>
      <c r="V213" s="140"/>
      <c r="W213" s="140"/>
      <c r="X213" s="140"/>
      <c r="Y213" s="140"/>
      <c r="Z213" s="140"/>
      <c r="AA213" s="140"/>
      <c r="AB213" s="140"/>
      <c r="AC213" s="140"/>
      <c r="AD213" s="140"/>
      <c r="AE213" s="140"/>
      <c r="AF213" s="140"/>
      <c r="AG213" s="140"/>
      <c r="AH213" s="140"/>
      <c r="AI213" s="140"/>
      <c r="AJ213" s="243"/>
      <c r="AK213" s="607"/>
      <c r="AL213" s="1"/>
      <c r="AM213" s="1"/>
    </row>
    <row r="214" spans="2:39" ht="18.5" hidden="1" x14ac:dyDescent="0.45">
      <c r="B214" s="218" t="s">
        <v>685</v>
      </c>
      <c r="C214" s="564"/>
      <c r="D214" s="65"/>
      <c r="E214" s="111">
        <f>SUM(F214:Z214)</f>
        <v>0.21629999999999996</v>
      </c>
      <c r="F214" s="111">
        <v>1E-3</v>
      </c>
      <c r="G214" s="111">
        <v>1E-3</v>
      </c>
      <c r="H214" s="111">
        <v>1.9E-3</v>
      </c>
      <c r="I214" s="111"/>
      <c r="J214" s="111">
        <v>6.6E-3</v>
      </c>
      <c r="K214" s="603">
        <v>2.9000000000000001E-2</v>
      </c>
      <c r="L214" s="603">
        <v>2.4299999999999999E-2</v>
      </c>
      <c r="M214" s="603">
        <v>1.67E-2</v>
      </c>
      <c r="N214" s="603">
        <v>6.1999999999999998E-3</v>
      </c>
      <c r="O214" s="603">
        <v>1.7000000000000001E-2</v>
      </c>
      <c r="P214" s="603">
        <v>8.0000000000000004E-4</v>
      </c>
      <c r="Q214" s="111">
        <v>4.4000000000000003E-3</v>
      </c>
      <c r="R214" s="111">
        <v>8.9999999999999998E-4</v>
      </c>
      <c r="S214" s="111">
        <v>4.8999999999999998E-3</v>
      </c>
      <c r="T214" s="111">
        <v>3.3999999999999998E-3</v>
      </c>
      <c r="U214" s="111">
        <v>8.0000000000000004E-4</v>
      </c>
      <c r="V214" s="111"/>
      <c r="W214" s="111">
        <v>4.0000000000000002E-4</v>
      </c>
      <c r="X214" s="111">
        <v>4.0000000000000002E-4</v>
      </c>
      <c r="Y214" s="111">
        <v>1.6999999999999999E-3</v>
      </c>
      <c r="Z214" s="111">
        <v>9.4899999999999998E-2</v>
      </c>
      <c r="AA214" s="111"/>
      <c r="AB214" s="111"/>
      <c r="AC214" s="111"/>
      <c r="AD214" s="111"/>
      <c r="AE214" s="111"/>
      <c r="AF214" s="111"/>
      <c r="AG214" s="111"/>
      <c r="AH214" s="111"/>
      <c r="AI214" s="111"/>
      <c r="AJ214" s="217"/>
      <c r="AK214" s="607"/>
      <c r="AL214" s="1"/>
      <c r="AM214" s="1"/>
    </row>
    <row r="215" spans="2:39" ht="18.5" hidden="1" x14ac:dyDescent="0.45">
      <c r="B215" s="218" t="s">
        <v>687</v>
      </c>
      <c r="C215" s="564"/>
      <c r="D215" s="65"/>
      <c r="E215" s="111">
        <f t="shared" ref="E215:E216" si="33">SUM(F215:Z215)</f>
        <v>4.3200000000000002E-2</v>
      </c>
      <c r="F215" s="111">
        <v>2.8999999999999998E-3</v>
      </c>
      <c r="G215" s="111">
        <v>2.8999999999999998E-3</v>
      </c>
      <c r="H215" s="111">
        <v>1E-3</v>
      </c>
      <c r="I215" s="111"/>
      <c r="J215" s="111">
        <v>8.9999999999999998E-4</v>
      </c>
      <c r="K215" s="603">
        <v>7.6E-3</v>
      </c>
      <c r="L215" s="603">
        <v>2.3999999999999998E-3</v>
      </c>
      <c r="M215" s="603">
        <v>9.2999999999999992E-3</v>
      </c>
      <c r="N215" s="603">
        <v>1.5E-3</v>
      </c>
      <c r="O215" s="603">
        <v>3.0999999999999999E-3</v>
      </c>
      <c r="P215" s="603">
        <v>8.0000000000000004E-4</v>
      </c>
      <c r="Q215" s="111"/>
      <c r="R215" s="111">
        <v>8.9999999999999998E-4</v>
      </c>
      <c r="S215" s="111">
        <v>2E-3</v>
      </c>
      <c r="T215" s="111"/>
      <c r="U215" s="111"/>
      <c r="V215" s="111"/>
      <c r="W215" s="111"/>
      <c r="X215" s="111"/>
      <c r="Y215" s="111"/>
      <c r="Z215" s="111">
        <v>7.9000000000000008E-3</v>
      </c>
      <c r="AA215" s="111"/>
      <c r="AB215" s="111"/>
      <c r="AC215" s="111"/>
      <c r="AD215" s="111"/>
      <c r="AE215" s="111"/>
      <c r="AF215" s="111"/>
      <c r="AG215" s="111"/>
      <c r="AH215" s="111"/>
      <c r="AI215" s="111"/>
      <c r="AJ215" s="217"/>
      <c r="AK215" s="607"/>
      <c r="AL215" s="1"/>
      <c r="AM215" s="1"/>
    </row>
    <row r="216" spans="2:39" ht="18.5" hidden="1" x14ac:dyDescent="0.45">
      <c r="B216" s="218" t="s">
        <v>591</v>
      </c>
      <c r="C216" s="564"/>
      <c r="D216" s="65"/>
      <c r="E216" s="111">
        <f t="shared" si="33"/>
        <v>2.1999999999999999E-2</v>
      </c>
      <c r="F216" s="111">
        <v>2.8999999999999998E-3</v>
      </c>
      <c r="G216" s="111"/>
      <c r="H216" s="111"/>
      <c r="I216" s="111"/>
      <c r="J216" s="111"/>
      <c r="K216" s="603">
        <v>4.1000000000000003E-3</v>
      </c>
      <c r="L216" s="603">
        <v>4.8999999999999998E-3</v>
      </c>
      <c r="M216" s="603">
        <v>3.0999999999999999E-3</v>
      </c>
      <c r="N216" s="603">
        <v>1.5E-3</v>
      </c>
      <c r="O216" s="603"/>
      <c r="P216" s="603"/>
      <c r="Q216" s="111">
        <v>3.5000000000000001E-3</v>
      </c>
      <c r="R216" s="111"/>
      <c r="S216" s="111"/>
      <c r="T216" s="111"/>
      <c r="U216" s="111"/>
      <c r="V216" s="111"/>
      <c r="W216" s="111"/>
      <c r="X216" s="111"/>
      <c r="Y216" s="111"/>
      <c r="Z216" s="111">
        <v>2E-3</v>
      </c>
      <c r="AA216" s="111"/>
      <c r="AB216" s="111"/>
      <c r="AC216" s="111"/>
      <c r="AD216" s="111"/>
      <c r="AE216" s="111"/>
      <c r="AF216" s="111"/>
      <c r="AG216" s="111"/>
      <c r="AH216" s="111"/>
      <c r="AI216" s="111"/>
      <c r="AJ216" s="217"/>
      <c r="AK216" s="607"/>
      <c r="AL216" s="1"/>
      <c r="AM216" s="1"/>
    </row>
    <row r="217" spans="2:39" ht="18.5" hidden="1" x14ac:dyDescent="0.45">
      <c r="B217" s="264" t="s">
        <v>680</v>
      </c>
      <c r="C217" s="599"/>
      <c r="D217" s="31">
        <v>553</v>
      </c>
      <c r="E217" s="140"/>
      <c r="F217" s="140"/>
      <c r="G217" s="140"/>
      <c r="H217" s="140"/>
      <c r="I217" s="140"/>
      <c r="J217" s="140"/>
      <c r="K217" s="140"/>
      <c r="L217" s="140"/>
      <c r="M217" s="140"/>
      <c r="N217" s="140"/>
      <c r="O217" s="140"/>
      <c r="P217" s="140"/>
      <c r="Q217" s="140"/>
      <c r="R217" s="140"/>
      <c r="S217" s="140"/>
      <c r="T217" s="140"/>
      <c r="U217" s="140"/>
      <c r="V217" s="140"/>
      <c r="W217" s="140"/>
      <c r="X217" s="140"/>
      <c r="Y217" s="140"/>
      <c r="Z217" s="140"/>
      <c r="AA217" s="140"/>
      <c r="AB217" s="140"/>
      <c r="AC217" s="140"/>
      <c r="AD217" s="140"/>
      <c r="AE217" s="140"/>
      <c r="AF217" s="140"/>
      <c r="AG217" s="140"/>
      <c r="AH217" s="140"/>
      <c r="AI217" s="140"/>
      <c r="AJ217" s="243"/>
      <c r="AK217" s="607"/>
      <c r="AL217" s="1"/>
      <c r="AM217" s="1"/>
    </row>
    <row r="218" spans="2:39" ht="18.5" hidden="1" x14ac:dyDescent="0.45">
      <c r="B218" s="218" t="s">
        <v>685</v>
      </c>
      <c r="C218" s="564"/>
      <c r="D218" s="65"/>
      <c r="E218" s="111">
        <f>SUM(F218:Z218)</f>
        <v>0.1323</v>
      </c>
      <c r="F218" s="111">
        <v>8.0000000000000004E-4</v>
      </c>
      <c r="G218" s="111">
        <v>1.1999999999999999E-3</v>
      </c>
      <c r="H218" s="111">
        <v>1E-3</v>
      </c>
      <c r="I218" s="111">
        <v>1E-4</v>
      </c>
      <c r="J218" s="111">
        <v>5.9999999999999995E-4</v>
      </c>
      <c r="K218" s="603">
        <v>1.9199999999999998E-2</v>
      </c>
      <c r="L218" s="603">
        <v>1.9900000000000001E-2</v>
      </c>
      <c r="M218" s="603">
        <v>1.38E-2</v>
      </c>
      <c r="N218" s="603">
        <v>8.2000000000000007E-3</v>
      </c>
      <c r="O218" s="603">
        <v>1.1999999999999999E-3</v>
      </c>
      <c r="P218" s="603">
        <v>8.9999999999999998E-4</v>
      </c>
      <c r="Q218" s="111">
        <v>4.4999999999999997E-3</v>
      </c>
      <c r="R218" s="111">
        <v>3.3999999999999998E-3</v>
      </c>
      <c r="S218" s="111">
        <v>2.9999999999999997E-4</v>
      </c>
      <c r="T218" s="111">
        <v>4.8999999999999998E-3</v>
      </c>
      <c r="U218" s="111">
        <v>8.0000000000000004E-4</v>
      </c>
      <c r="V218" s="111"/>
      <c r="W218" s="111"/>
      <c r="X218" s="111"/>
      <c r="Y218" s="111">
        <v>2.7000000000000001E-3</v>
      </c>
      <c r="Z218" s="111">
        <v>4.8800000000000003E-2</v>
      </c>
      <c r="AA218" s="111"/>
      <c r="AB218" s="111"/>
      <c r="AC218" s="111"/>
      <c r="AD218" s="111"/>
      <c r="AE218" s="111"/>
      <c r="AF218" s="111"/>
      <c r="AG218" s="111"/>
      <c r="AH218" s="111"/>
      <c r="AI218" s="111"/>
      <c r="AJ218" s="217"/>
      <c r="AK218" s="607"/>
      <c r="AL218" s="1"/>
      <c r="AM218" s="1"/>
    </row>
    <row r="219" spans="2:39" ht="18.5" hidden="1" x14ac:dyDescent="0.45">
      <c r="B219" s="218" t="s">
        <v>687</v>
      </c>
      <c r="C219" s="564"/>
      <c r="D219" s="65"/>
      <c r="E219" s="111">
        <f t="shared" ref="E219:E220" si="34">SUM(F219:Z219)</f>
        <v>1.9599999999999999E-2</v>
      </c>
      <c r="F219" s="111">
        <v>6.9999999999999999E-4</v>
      </c>
      <c r="G219" s="111">
        <v>2.9999999999999997E-4</v>
      </c>
      <c r="H219" s="111">
        <v>1E-4</v>
      </c>
      <c r="I219" s="111">
        <v>1E-4</v>
      </c>
      <c r="J219" s="111">
        <v>5.9999999999999995E-4</v>
      </c>
      <c r="K219" s="603">
        <v>3.5999999999999999E-3</v>
      </c>
      <c r="L219" s="603">
        <v>2E-3</v>
      </c>
      <c r="M219" s="603">
        <v>1.6999999999999999E-3</v>
      </c>
      <c r="N219" s="603">
        <v>5.9999999999999995E-4</v>
      </c>
      <c r="O219" s="603">
        <v>1E-4</v>
      </c>
      <c r="P219" s="603">
        <v>2.0000000000000001E-4</v>
      </c>
      <c r="Q219" s="111">
        <v>8.9999999999999998E-4</v>
      </c>
      <c r="R219" s="111">
        <v>5.9999999999999995E-4</v>
      </c>
      <c r="S219" s="111"/>
      <c r="T219" s="111">
        <v>8.9999999999999998E-4</v>
      </c>
      <c r="U219" s="111">
        <v>4.0000000000000002E-4</v>
      </c>
      <c r="V219" s="111"/>
      <c r="W219" s="111"/>
      <c r="X219" s="111"/>
      <c r="Y219" s="111">
        <v>8.9999999999999998E-4</v>
      </c>
      <c r="Z219" s="111">
        <v>5.8999999999999999E-3</v>
      </c>
      <c r="AA219" s="111"/>
      <c r="AB219" s="111"/>
      <c r="AC219" s="111"/>
      <c r="AD219" s="111"/>
      <c r="AE219" s="111"/>
      <c r="AF219" s="111"/>
      <c r="AG219" s="111"/>
      <c r="AH219" s="111"/>
      <c r="AI219" s="111"/>
      <c r="AJ219" s="217"/>
      <c r="AK219" s="607"/>
      <c r="AL219" s="1"/>
      <c r="AM219" s="1"/>
    </row>
    <row r="220" spans="2:39" ht="18.5" hidden="1" x14ac:dyDescent="0.45">
      <c r="B220" s="218" t="s">
        <v>591</v>
      </c>
      <c r="C220" s="564"/>
      <c r="D220" s="65"/>
      <c r="E220" s="111">
        <f t="shared" si="34"/>
        <v>1.1099999999999999E-2</v>
      </c>
      <c r="F220" s="111">
        <v>4.0000000000000002E-4</v>
      </c>
      <c r="G220" s="111">
        <v>2.0000000000000001E-4</v>
      </c>
      <c r="H220" s="111">
        <v>1E-4</v>
      </c>
      <c r="I220" s="111">
        <v>1E-4</v>
      </c>
      <c r="J220" s="111">
        <v>2.9999999999999997E-4</v>
      </c>
      <c r="K220" s="603">
        <v>2.3E-3</v>
      </c>
      <c r="L220" s="603">
        <v>1.5E-3</v>
      </c>
      <c r="M220" s="603">
        <v>1.2999999999999999E-3</v>
      </c>
      <c r="N220" s="603">
        <v>6.9999999999999999E-4</v>
      </c>
      <c r="O220" s="603"/>
      <c r="P220" s="603">
        <v>1E-4</v>
      </c>
      <c r="Q220" s="111">
        <v>5.0000000000000001E-4</v>
      </c>
      <c r="R220" s="111">
        <v>2.9999999999999997E-4</v>
      </c>
      <c r="S220" s="111"/>
      <c r="T220" s="111"/>
      <c r="U220" s="111">
        <v>1E-4</v>
      </c>
      <c r="V220" s="111"/>
      <c r="W220" s="111"/>
      <c r="X220" s="111"/>
      <c r="Y220" s="111">
        <v>5.0000000000000001E-4</v>
      </c>
      <c r="Z220" s="111">
        <v>2.7000000000000001E-3</v>
      </c>
      <c r="AA220" s="111"/>
      <c r="AB220" s="111"/>
      <c r="AC220" s="111"/>
      <c r="AD220" s="111"/>
      <c r="AE220" s="111"/>
      <c r="AF220" s="111"/>
      <c r="AG220" s="111"/>
      <c r="AH220" s="111"/>
      <c r="AI220" s="111"/>
      <c r="AJ220" s="217"/>
      <c r="AK220" s="607"/>
      <c r="AL220" s="1"/>
      <c r="AM220" s="1"/>
    </row>
    <row r="221" spans="2:39" ht="18.5" hidden="1" x14ac:dyDescent="0.45">
      <c r="B221" s="1228" t="s">
        <v>681</v>
      </c>
      <c r="C221" s="1229"/>
      <c r="D221" s="1230">
        <v>464</v>
      </c>
      <c r="E221" s="1231"/>
      <c r="F221" s="1231"/>
      <c r="G221" s="1231"/>
      <c r="H221" s="1231"/>
      <c r="I221" s="1231"/>
      <c r="J221" s="1231"/>
      <c r="K221" s="1231"/>
      <c r="L221" s="1231"/>
      <c r="M221" s="1231"/>
      <c r="N221" s="1231"/>
      <c r="O221" s="1231"/>
      <c r="P221" s="1231"/>
      <c r="Q221" s="1231"/>
      <c r="R221" s="1231"/>
      <c r="S221" s="1231"/>
      <c r="T221" s="1231"/>
      <c r="U221" s="1231"/>
      <c r="V221" s="1231"/>
      <c r="W221" s="1231"/>
      <c r="X221" s="1231"/>
      <c r="Y221" s="1231"/>
      <c r="Z221" s="1231"/>
      <c r="AA221" s="1231"/>
      <c r="AB221" s="1231"/>
      <c r="AC221" s="1231"/>
      <c r="AD221" s="1231"/>
      <c r="AE221" s="1231"/>
      <c r="AF221" s="1231"/>
      <c r="AG221" s="1231"/>
      <c r="AH221" s="1231"/>
      <c r="AI221" s="1231"/>
      <c r="AJ221" s="1232"/>
      <c r="AK221" s="607"/>
      <c r="AL221" s="1"/>
      <c r="AM221" s="1"/>
    </row>
    <row r="222" spans="2:39" ht="18.5" hidden="1" x14ac:dyDescent="0.45">
      <c r="B222" s="1228" t="s">
        <v>685</v>
      </c>
      <c r="C222" s="1229"/>
      <c r="D222" s="1230"/>
      <c r="E222" s="1231">
        <f>SUM(F222:Z222)</f>
        <v>0.1003</v>
      </c>
      <c r="F222" s="1231">
        <v>2.2000000000000001E-3</v>
      </c>
      <c r="G222" s="1231">
        <v>1.6999999999999999E-3</v>
      </c>
      <c r="H222" s="1231">
        <v>8.9999999999999998E-4</v>
      </c>
      <c r="I222" s="1231">
        <v>1E-4</v>
      </c>
      <c r="J222" s="1231">
        <v>6.9999999999999999E-4</v>
      </c>
      <c r="K222" s="1231">
        <v>1.9900000000000001E-2</v>
      </c>
      <c r="L222" s="1231">
        <v>1.6899999999999998E-2</v>
      </c>
      <c r="M222" s="1231">
        <v>1.21E-2</v>
      </c>
      <c r="N222" s="1231">
        <v>5.4000000000000003E-3</v>
      </c>
      <c r="O222" s="1231">
        <v>2.8999999999999998E-3</v>
      </c>
      <c r="P222" s="1231">
        <v>5.0000000000000001E-4</v>
      </c>
      <c r="Q222" s="1231">
        <v>4.0000000000000001E-3</v>
      </c>
      <c r="R222" s="1231">
        <v>3.0000000000000001E-3</v>
      </c>
      <c r="S222" s="1231">
        <v>1E-4</v>
      </c>
      <c r="T222" s="1231">
        <v>1E-3</v>
      </c>
      <c r="U222" s="1231">
        <v>2E-3</v>
      </c>
      <c r="V222" s="1231"/>
      <c r="W222" s="1231"/>
      <c r="X222" s="1231"/>
      <c r="Y222" s="1231">
        <v>2.8E-3</v>
      </c>
      <c r="Z222" s="1231">
        <v>2.41E-2</v>
      </c>
      <c r="AA222" s="1231"/>
      <c r="AB222" s="1231"/>
      <c r="AC222" s="1231"/>
      <c r="AD222" s="1231"/>
      <c r="AE222" s="1231"/>
      <c r="AF222" s="1231"/>
      <c r="AG222" s="1231"/>
      <c r="AH222" s="1231"/>
      <c r="AI222" s="1231"/>
      <c r="AJ222" s="1232"/>
      <c r="AK222" s="607"/>
      <c r="AL222" s="1"/>
      <c r="AM222" s="1"/>
    </row>
    <row r="223" spans="2:39" ht="18.5" hidden="1" x14ac:dyDescent="0.45">
      <c r="B223" s="1228" t="s">
        <v>687</v>
      </c>
      <c r="C223" s="1229"/>
      <c r="D223" s="1230"/>
      <c r="E223" s="1231">
        <f t="shared" ref="E223:E224" si="35">SUM(F223:Z223)</f>
        <v>1.6499999999999997E-2</v>
      </c>
      <c r="F223" s="1231">
        <v>4.0000000000000002E-4</v>
      </c>
      <c r="G223" s="1231">
        <v>2.9999999999999997E-4</v>
      </c>
      <c r="H223" s="1231">
        <v>2.0000000000000001E-4</v>
      </c>
      <c r="I223" s="1231">
        <v>1E-4</v>
      </c>
      <c r="J223" s="1231">
        <v>8.0000000000000004E-4</v>
      </c>
      <c r="K223" s="1231">
        <v>3.0999999999999999E-3</v>
      </c>
      <c r="L223" s="1231">
        <v>2.7000000000000001E-3</v>
      </c>
      <c r="M223" s="1231">
        <v>1.9E-3</v>
      </c>
      <c r="N223" s="1231">
        <v>1.2999999999999999E-3</v>
      </c>
      <c r="O223" s="1231">
        <v>4.0000000000000002E-4</v>
      </c>
      <c r="P223" s="1231">
        <v>1E-4</v>
      </c>
      <c r="Q223" s="1231">
        <v>4.0000000000000002E-4</v>
      </c>
      <c r="R223" s="1231">
        <v>8.9999999999999998E-4</v>
      </c>
      <c r="S223" s="1231"/>
      <c r="T223" s="1231">
        <v>5.0000000000000001E-4</v>
      </c>
      <c r="U223" s="1231">
        <v>1E-4</v>
      </c>
      <c r="V223" s="1231"/>
      <c r="W223" s="1231"/>
      <c r="X223" s="1231"/>
      <c r="Y223" s="1231">
        <v>5.9999999999999995E-4</v>
      </c>
      <c r="Z223" s="1231">
        <v>2.7000000000000001E-3</v>
      </c>
      <c r="AA223" s="1231"/>
      <c r="AB223" s="1231"/>
      <c r="AC223" s="1231"/>
      <c r="AD223" s="1231"/>
      <c r="AE223" s="1231"/>
      <c r="AF223" s="1231"/>
      <c r="AG223" s="1231"/>
      <c r="AH223" s="1231"/>
      <c r="AI223" s="1231"/>
      <c r="AJ223" s="1232"/>
      <c r="AK223" s="607"/>
      <c r="AL223" s="1"/>
      <c r="AM223" s="1"/>
    </row>
    <row r="224" spans="2:39" ht="18.5" hidden="1" x14ac:dyDescent="0.45">
      <c r="B224" s="1228" t="s">
        <v>591</v>
      </c>
      <c r="C224" s="1229"/>
      <c r="D224" s="1230"/>
      <c r="E224" s="1231">
        <f t="shared" si="35"/>
        <v>1.1499999999999998E-2</v>
      </c>
      <c r="F224" s="1231">
        <v>2.9999999999999997E-4</v>
      </c>
      <c r="G224" s="1231">
        <v>2.9999999999999997E-4</v>
      </c>
      <c r="H224" s="1231">
        <v>1E-4</v>
      </c>
      <c r="I224" s="1231"/>
      <c r="J224" s="1231">
        <v>4.0000000000000002E-4</v>
      </c>
      <c r="K224" s="1231">
        <v>2.5000000000000001E-3</v>
      </c>
      <c r="L224" s="1231">
        <v>2.0999999999999999E-3</v>
      </c>
      <c r="M224" s="1231">
        <v>1.5E-3</v>
      </c>
      <c r="N224" s="1231">
        <v>1.2999999999999999E-3</v>
      </c>
      <c r="O224" s="1231">
        <v>4.0000000000000002E-4</v>
      </c>
      <c r="P224" s="1231"/>
      <c r="Q224" s="1231">
        <v>4.0000000000000002E-4</v>
      </c>
      <c r="R224" s="1231">
        <v>1E-4</v>
      </c>
      <c r="S224" s="1231"/>
      <c r="T224" s="1231">
        <v>1E-4</v>
      </c>
      <c r="U224" s="1231">
        <v>4.0000000000000002E-4</v>
      </c>
      <c r="V224" s="1231"/>
      <c r="W224" s="1231"/>
      <c r="X224" s="1231"/>
      <c r="Y224" s="1231">
        <v>2.0000000000000001E-4</v>
      </c>
      <c r="Z224" s="1231">
        <v>1.4E-3</v>
      </c>
      <c r="AA224" s="1231"/>
      <c r="AB224" s="1231"/>
      <c r="AC224" s="1231"/>
      <c r="AD224" s="1231"/>
      <c r="AE224" s="1231"/>
      <c r="AF224" s="1231"/>
      <c r="AG224" s="1231"/>
      <c r="AH224" s="1231"/>
      <c r="AI224" s="1231"/>
      <c r="AJ224" s="1232"/>
      <c r="AK224" s="607"/>
      <c r="AL224" s="1"/>
      <c r="AM224" s="1"/>
    </row>
    <row r="225" spans="1:39" ht="18.5" x14ac:dyDescent="0.45">
      <c r="B225" s="264" t="s">
        <v>606</v>
      </c>
      <c r="C225" s="601"/>
      <c r="D225" s="613"/>
      <c r="E225" s="605"/>
      <c r="F225" s="605"/>
      <c r="G225" s="605"/>
      <c r="H225" s="605"/>
      <c r="I225" s="605"/>
      <c r="J225" s="605"/>
      <c r="K225" s="605"/>
      <c r="L225" s="605"/>
      <c r="M225" s="605"/>
      <c r="N225" s="605"/>
      <c r="O225" s="605"/>
      <c r="P225" s="605"/>
      <c r="Q225" s="605"/>
      <c r="R225" s="605"/>
      <c r="S225" s="605"/>
      <c r="T225" s="605"/>
      <c r="U225" s="605"/>
      <c r="V225" s="605"/>
      <c r="W225" s="605"/>
      <c r="X225" s="605"/>
      <c r="Y225" s="605"/>
      <c r="Z225" s="605"/>
      <c r="AA225" s="605"/>
      <c r="AB225" s="605"/>
      <c r="AC225" s="605"/>
      <c r="AD225" s="605"/>
      <c r="AE225" s="605"/>
      <c r="AF225" s="605"/>
      <c r="AG225" s="605"/>
      <c r="AH225" s="605"/>
      <c r="AI225" s="605"/>
      <c r="AJ225" s="606"/>
      <c r="AK225" s="607"/>
      <c r="AL225" s="1"/>
      <c r="AM225" s="1"/>
    </row>
    <row r="226" spans="1:39" ht="18.5" x14ac:dyDescent="0.45">
      <c r="B226" s="218" t="s">
        <v>685</v>
      </c>
      <c r="C226" s="564">
        <f>($D$213*E214+$D$217*E218+$D$221*E222)/($D$213+$D$217+$D$221)</f>
        <v>0.12161067044381491</v>
      </c>
      <c r="D226" s="65"/>
      <c r="E226" s="111"/>
      <c r="F226" s="111"/>
      <c r="G226" s="111"/>
      <c r="H226" s="111"/>
      <c r="I226" s="111"/>
      <c r="J226" s="111"/>
      <c r="K226" s="111"/>
      <c r="L226" s="111"/>
      <c r="M226" s="111"/>
      <c r="N226" s="111"/>
      <c r="O226" s="111"/>
      <c r="P226" s="111"/>
      <c r="Q226" s="111"/>
      <c r="R226" s="111"/>
      <c r="S226" s="111"/>
      <c r="T226" s="111"/>
      <c r="U226" s="111"/>
      <c r="V226" s="111"/>
      <c r="W226" s="111"/>
      <c r="X226" s="111"/>
      <c r="Y226" s="111"/>
      <c r="Z226" s="111"/>
      <c r="AA226" s="111"/>
      <c r="AB226" s="111"/>
      <c r="AC226" s="111"/>
      <c r="AD226" s="111"/>
      <c r="AE226" s="111"/>
      <c r="AF226" s="111"/>
      <c r="AG226" s="111"/>
      <c r="AH226" s="111"/>
      <c r="AI226" s="111"/>
      <c r="AJ226" s="217" t="s">
        <v>686</v>
      </c>
      <c r="AK226" s="607"/>
      <c r="AL226" s="1"/>
      <c r="AM226" s="1"/>
    </row>
    <row r="227" spans="1:39" ht="18.5" x14ac:dyDescent="0.45">
      <c r="B227" s="218" t="s">
        <v>687</v>
      </c>
      <c r="C227" s="564">
        <f>($D$213*E215+$D$217*E219+$D$221*E223)/($D$213+$D$217+$D$221)</f>
        <v>1.9177714825306891E-2</v>
      </c>
      <c r="D227" s="65"/>
      <c r="E227" s="111"/>
      <c r="F227" s="111"/>
      <c r="G227" s="111"/>
      <c r="H227" s="111"/>
      <c r="I227" s="111"/>
      <c r="J227" s="111"/>
      <c r="K227" s="111"/>
      <c r="L227" s="111"/>
      <c r="M227" s="111"/>
      <c r="N227" s="111"/>
      <c r="O227" s="111"/>
      <c r="P227" s="111"/>
      <c r="Q227" s="111"/>
      <c r="R227" s="111"/>
      <c r="S227" s="111"/>
      <c r="T227" s="111"/>
      <c r="U227" s="111"/>
      <c r="V227" s="111"/>
      <c r="W227" s="111"/>
      <c r="X227" s="111"/>
      <c r="Y227" s="111"/>
      <c r="Z227" s="111"/>
      <c r="AA227" s="111"/>
      <c r="AB227" s="111"/>
      <c r="AC227" s="111"/>
      <c r="AD227" s="111"/>
      <c r="AE227" s="111"/>
      <c r="AF227" s="111"/>
      <c r="AG227" s="111"/>
      <c r="AH227" s="111"/>
      <c r="AI227" s="111"/>
      <c r="AJ227" s="217" t="s">
        <v>686</v>
      </c>
      <c r="AK227" s="607"/>
      <c r="AL227" s="1"/>
      <c r="AM227" s="1"/>
    </row>
    <row r="228" spans="1:39" ht="18.5" x14ac:dyDescent="0.45">
      <c r="B228" s="218" t="s">
        <v>591</v>
      </c>
      <c r="C228" s="564">
        <f t="shared" ref="C228" si="36">($D$213*E216+$D$217*E220+$D$221*E224)/($D$213+$D$217+$D$221)</f>
        <v>1.1707554296506138E-2</v>
      </c>
      <c r="D228" s="65"/>
      <c r="E228" s="111"/>
      <c r="F228" s="111"/>
      <c r="G228" s="111"/>
      <c r="H228" s="111"/>
      <c r="I228" s="111"/>
      <c r="J228" s="111"/>
      <c r="K228" s="111"/>
      <c r="L228" s="111"/>
      <c r="M228" s="111"/>
      <c r="N228" s="111"/>
      <c r="O228" s="111"/>
      <c r="P228" s="111"/>
      <c r="Q228" s="111"/>
      <c r="R228" s="111"/>
      <c r="S228" s="111"/>
      <c r="T228" s="111"/>
      <c r="U228" s="111"/>
      <c r="V228" s="111"/>
      <c r="W228" s="111"/>
      <c r="X228" s="111"/>
      <c r="Y228" s="111"/>
      <c r="Z228" s="111"/>
      <c r="AA228" s="111"/>
      <c r="AB228" s="111"/>
      <c r="AC228" s="111"/>
      <c r="AD228" s="111"/>
      <c r="AE228" s="111"/>
      <c r="AF228" s="111"/>
      <c r="AG228" s="111"/>
      <c r="AH228" s="111"/>
      <c r="AI228" s="111"/>
      <c r="AJ228" s="217" t="s">
        <v>686</v>
      </c>
      <c r="AK228" s="607"/>
      <c r="AL228" s="1"/>
      <c r="AM228" s="1"/>
    </row>
    <row r="229" spans="1:39" s="6" customFormat="1" ht="18.5" x14ac:dyDescent="0.45">
      <c r="A229" s="60"/>
      <c r="B229" s="247" t="str">
        <f>'1.2 Forutsetninger'!B314</f>
        <v>NOx-utslipp</v>
      </c>
      <c r="C229" s="145"/>
      <c r="D229" s="48"/>
      <c r="E229" s="48"/>
      <c r="F229" s="192"/>
      <c r="G229" s="48"/>
      <c r="H229" s="192"/>
      <c r="I229" s="48"/>
      <c r="J229" s="192"/>
      <c r="K229" s="48"/>
      <c r="L229" s="192"/>
      <c r="M229" s="48"/>
      <c r="N229" s="192"/>
      <c r="O229" s="48"/>
      <c r="P229" s="192"/>
      <c r="Q229" s="48"/>
      <c r="R229" s="192"/>
      <c r="S229" s="48"/>
      <c r="T229" s="192"/>
      <c r="U229" s="48"/>
      <c r="V229" s="48"/>
      <c r="W229" s="48"/>
      <c r="X229" s="192"/>
      <c r="Y229" s="48"/>
      <c r="Z229" s="48"/>
      <c r="AA229" s="48"/>
      <c r="AB229" s="48"/>
      <c r="AC229" s="48"/>
      <c r="AD229" s="48"/>
      <c r="AE229" s="48"/>
      <c r="AF229" s="48"/>
      <c r="AG229" s="48"/>
      <c r="AH229" s="48"/>
      <c r="AI229" s="48"/>
      <c r="AJ229" s="248"/>
      <c r="AK229" s="555"/>
      <c r="AL229" s="2"/>
      <c r="AM229" s="59"/>
    </row>
    <row r="230" spans="1:39" s="6" customFormat="1" ht="18.5" x14ac:dyDescent="0.45">
      <c r="A230" s="1213"/>
      <c r="B230" s="212" t="str">
        <f>CONCATENATE('1.2 Forutsetninger'!$B$315," - ",'1.2 Forutsetninger'!$B$317)</f>
        <v xml:space="preserve">Persontog - Diesel </v>
      </c>
      <c r="C230" s="104">
        <f>N230</f>
        <v>34.816945979410121</v>
      </c>
      <c r="D230" s="34" t="s">
        <v>688</v>
      </c>
      <c r="E230" s="34">
        <v>2025</v>
      </c>
      <c r="F230" s="182">
        <f>Drivstofforbruk_PersontogD</f>
        <v>1.7151968345533488</v>
      </c>
      <c r="G230" s="129" t="str">
        <f>'1.2 Forutsetninger'!D374</f>
        <v>l/km</v>
      </c>
      <c r="H230" s="182">
        <f>NOx_KgPerTonn_Diesel</f>
        <v>24.165591014734513</v>
      </c>
      <c r="I230" s="129" t="str">
        <f>'1.2 Forutsetninger'!$D$365</f>
        <v>Kg/tonn</v>
      </c>
      <c r="J230" s="182">
        <f>Massetetthet_Diesel</f>
        <v>0.84</v>
      </c>
      <c r="K230" s="129" t="str">
        <f>'1.2 Forutsetninger'!$D$368</f>
        <v>Kg/l</v>
      </c>
      <c r="L230" s="182">
        <f>H230*J230/1000</f>
        <v>2.0299096452376989E-2</v>
      </c>
      <c r="M230" s="129" t="s">
        <v>541</v>
      </c>
      <c r="N230" s="191">
        <f>L230*F230*1000</f>
        <v>34.816945979410121</v>
      </c>
      <c r="O230" s="34" t="s">
        <v>688</v>
      </c>
      <c r="P230" s="191"/>
      <c r="Q230" s="34"/>
      <c r="R230" s="191"/>
      <c r="S230" s="34"/>
      <c r="T230" s="191" t="str">
        <f>""</f>
        <v/>
      </c>
      <c r="U230" s="34"/>
      <c r="V230" s="34"/>
      <c r="W230" s="34"/>
      <c r="X230" s="191"/>
      <c r="Y230" s="34"/>
      <c r="Z230" s="34"/>
      <c r="AA230" s="34"/>
      <c r="AB230" s="34"/>
      <c r="AC230" s="34"/>
      <c r="AD230" s="34"/>
      <c r="AE230" s="34"/>
      <c r="AF230" s="34"/>
      <c r="AG230" s="34"/>
      <c r="AH230" s="34"/>
      <c r="AI230" s="34"/>
      <c r="AJ230" s="251" t="s">
        <v>689</v>
      </c>
      <c r="AK230" s="539"/>
    </row>
    <row r="231" spans="1:39" s="6" customFormat="1" ht="18.5" x14ac:dyDescent="0.45">
      <c r="A231" s="1213"/>
      <c r="B231" s="212" t="str">
        <f>CONCATENATE('1.2 Forutsetninger'!$B$318," - ",'1.2 Forutsetninger'!$B$320)</f>
        <v xml:space="preserve">Godstog - Diesel </v>
      </c>
      <c r="C231" s="104">
        <f>N231</f>
        <v>103.90144699351521</v>
      </c>
      <c r="D231" s="34" t="s">
        <v>688</v>
      </c>
      <c r="E231" s="34">
        <v>2025</v>
      </c>
      <c r="F231" s="182">
        <f>Drivstofforbruk_GodstogD</f>
        <v>5.1185257056773343</v>
      </c>
      <c r="G231" s="129" t="str">
        <f>'1.2 Forutsetninger'!D376</f>
        <v>l/km</v>
      </c>
      <c r="H231" s="182">
        <f>NOx_KgPerTonn_Diesel</f>
        <v>24.165591014734513</v>
      </c>
      <c r="I231" s="129" t="str">
        <f>'1.2 Forutsetninger'!$D$365</f>
        <v>Kg/tonn</v>
      </c>
      <c r="J231" s="182">
        <f>Massetetthet_Diesel</f>
        <v>0.84</v>
      </c>
      <c r="K231" s="129" t="str">
        <f>'1.2 Forutsetninger'!$D$368</f>
        <v>Kg/l</v>
      </c>
      <c r="L231" s="182">
        <f>H231*J231/1000</f>
        <v>2.0299096452376989E-2</v>
      </c>
      <c r="M231" s="129" t="s">
        <v>541</v>
      </c>
      <c r="N231" s="191">
        <f>L231*F231*1000</f>
        <v>103.90144699351521</v>
      </c>
      <c r="O231" s="34" t="s">
        <v>688</v>
      </c>
      <c r="P231" s="191"/>
      <c r="Q231" s="34"/>
      <c r="R231" s="191"/>
      <c r="S231" s="34"/>
      <c r="T231" s="191" t="str">
        <f>""</f>
        <v/>
      </c>
      <c r="U231" s="34"/>
      <c r="V231" s="34"/>
      <c r="W231" s="34"/>
      <c r="X231" s="191"/>
      <c r="Y231" s="34"/>
      <c r="Z231" s="34"/>
      <c r="AA231" s="34"/>
      <c r="AB231" s="34"/>
      <c r="AC231" s="34"/>
      <c r="AD231" s="34"/>
      <c r="AE231" s="34"/>
      <c r="AF231" s="34"/>
      <c r="AG231" s="34"/>
      <c r="AH231" s="34"/>
      <c r="AI231" s="34"/>
      <c r="AJ231" s="251" t="s">
        <v>689</v>
      </c>
      <c r="AK231" s="539"/>
    </row>
    <row r="232" spans="1:39" ht="18.5" x14ac:dyDescent="0.45">
      <c r="A232" s="511"/>
      <c r="B232" s="212" t="str">
        <f>CONCATENATE('1.2 Forutsetninger'!$B$321," - ",'1.2 Forutsetninger'!$B$322)</f>
        <v xml:space="preserve">Andre transportmidler - Personbil </v>
      </c>
      <c r="C232" s="104">
        <f>(F232*J232)+(H232*L232)</f>
        <v>0.24010020648981617</v>
      </c>
      <c r="D232" s="129" t="s">
        <v>690</v>
      </c>
      <c r="E232" s="34">
        <v>2019</v>
      </c>
      <c r="F232" s="182">
        <v>0.15</v>
      </c>
      <c r="G232" s="129" t="s">
        <v>690</v>
      </c>
      <c r="H232" s="182">
        <v>0.64</v>
      </c>
      <c r="I232" s="129" t="s">
        <v>690</v>
      </c>
      <c r="J232" s="182">
        <f>Bilparken_Bil_Bensin</f>
        <v>0.23047492657723542</v>
      </c>
      <c r="K232" s="129" t="str">
        <f>'1.2 Forutsetninger'!$D$389</f>
        <v>Prosent</v>
      </c>
      <c r="L232" s="182">
        <f>Bilparken_Bil_Diesel</f>
        <v>0.32113901172379822</v>
      </c>
      <c r="M232" s="129" t="str">
        <f>'1.2 Forutsetninger'!$D$389</f>
        <v>Prosent</v>
      </c>
      <c r="N232" s="182"/>
      <c r="O232" s="129"/>
      <c r="P232" s="182"/>
      <c r="Q232" s="129"/>
      <c r="R232" s="182"/>
      <c r="S232" s="129"/>
      <c r="T232" s="182"/>
      <c r="U232" s="129"/>
      <c r="V232" s="129"/>
      <c r="W232" s="129"/>
      <c r="X232" s="182"/>
      <c r="Y232" s="129"/>
      <c r="Z232" s="129"/>
      <c r="AA232" s="129"/>
      <c r="AB232" s="129"/>
      <c r="AC232" s="129"/>
      <c r="AD232" s="129"/>
      <c r="AE232" s="129"/>
      <c r="AF232" s="129"/>
      <c r="AG232" s="129"/>
      <c r="AH232" s="129"/>
      <c r="AI232" s="129"/>
      <c r="AJ232" s="251" t="s">
        <v>691</v>
      </c>
      <c r="AK232" s="89"/>
    </row>
    <row r="233" spans="1:39" ht="18.5" x14ac:dyDescent="0.45">
      <c r="A233" s="511"/>
      <c r="B233" s="212" t="str">
        <f>CONCATENATE('1.2 Forutsetninger'!$B$321," - ",'1.2 Forutsetninger'!$B$323)</f>
        <v>Andre transportmidler - Buss</v>
      </c>
      <c r="C233" s="123">
        <f>(F233+H233+J233)/3</f>
        <v>4.0666666666666664</v>
      </c>
      <c r="D233" s="129" t="s">
        <v>690</v>
      </c>
      <c r="E233" s="34">
        <v>2019</v>
      </c>
      <c r="F233" s="182">
        <v>4.68</v>
      </c>
      <c r="G233" s="129" t="s">
        <v>690</v>
      </c>
      <c r="H233" s="182">
        <v>4.68</v>
      </c>
      <c r="I233" s="129" t="s">
        <v>690</v>
      </c>
      <c r="J233" s="182">
        <v>2.84</v>
      </c>
      <c r="K233" s="129" t="s">
        <v>690</v>
      </c>
      <c r="L233" s="182"/>
      <c r="M233" s="129"/>
      <c r="N233" s="182"/>
      <c r="O233" s="129"/>
      <c r="P233" s="182"/>
      <c r="Q233" s="129"/>
      <c r="R233" s="182"/>
      <c r="S233" s="129"/>
      <c r="T233" s="182"/>
      <c r="U233" s="129"/>
      <c r="V233" s="129"/>
      <c r="W233" s="129"/>
      <c r="X233" s="182"/>
      <c r="Y233" s="129"/>
      <c r="Z233" s="129"/>
      <c r="AA233" s="129"/>
      <c r="AB233" s="129"/>
      <c r="AC233" s="129"/>
      <c r="AD233" s="129"/>
      <c r="AE233" s="129"/>
      <c r="AF233" s="129"/>
      <c r="AG233" s="129"/>
      <c r="AH233" s="129"/>
      <c r="AI233" s="129"/>
      <c r="AJ233" s="251" t="s">
        <v>692</v>
      </c>
      <c r="AK233" s="89"/>
    </row>
    <row r="234" spans="1:39" ht="18.5" x14ac:dyDescent="0.45">
      <c r="A234" s="511"/>
      <c r="B234" s="212" t="str">
        <f>CONCATENATE('1.2 Forutsetninger'!$B$321," - ",'1.2 Forutsetninger'!$B$325)</f>
        <v>Andre transportmidler - Lett lastebil</v>
      </c>
      <c r="C234" s="104">
        <f>(F234+H234+J234)/3</f>
        <v>1.4866666666666666</v>
      </c>
      <c r="D234" s="34" t="s">
        <v>690</v>
      </c>
      <c r="E234" s="34">
        <v>2022</v>
      </c>
      <c r="F234" s="182">
        <v>1.52</v>
      </c>
      <c r="G234" s="129" t="s">
        <v>690</v>
      </c>
      <c r="H234" s="182">
        <v>1.52</v>
      </c>
      <c r="I234" s="129" t="s">
        <v>690</v>
      </c>
      <c r="J234" s="182">
        <v>1.42</v>
      </c>
      <c r="K234" s="129" t="s">
        <v>690</v>
      </c>
      <c r="L234" s="182"/>
      <c r="M234" s="129"/>
      <c r="AJ234" s="251" t="s">
        <v>2479</v>
      </c>
      <c r="AK234" s="89"/>
    </row>
    <row r="235" spans="1:39" ht="18.5" x14ac:dyDescent="0.45">
      <c r="A235" s="511"/>
      <c r="B235" s="212" t="s">
        <v>2477</v>
      </c>
      <c r="C235" s="104">
        <f>(F235+H235+J235+L235+N235+P235+R235+T235+V235+X235+Z235+AB235+AD235+AF235+AH235)/15</f>
        <v>2.2146666666666666</v>
      </c>
      <c r="D235" s="34" t="s">
        <v>690</v>
      </c>
      <c r="E235" s="34">
        <v>2022</v>
      </c>
      <c r="F235" s="182">
        <v>1.97</v>
      </c>
      <c r="G235" s="129" t="s">
        <v>690</v>
      </c>
      <c r="H235" s="182">
        <v>1.97</v>
      </c>
      <c r="I235" s="129" t="s">
        <v>690</v>
      </c>
      <c r="J235" s="182">
        <v>1.62</v>
      </c>
      <c r="K235" s="129" t="s">
        <v>690</v>
      </c>
      <c r="L235" s="182">
        <v>2.64</v>
      </c>
      <c r="M235" s="129" t="s">
        <v>690</v>
      </c>
      <c r="N235" s="191">
        <v>2.64</v>
      </c>
      <c r="O235" s="34" t="s">
        <v>690</v>
      </c>
      <c r="P235" s="191">
        <v>1.86</v>
      </c>
      <c r="Q235" s="34" t="s">
        <v>690</v>
      </c>
      <c r="R235" s="191">
        <v>2.89</v>
      </c>
      <c r="S235" s="34" t="s">
        <v>690</v>
      </c>
      <c r="T235" s="191">
        <v>2.89</v>
      </c>
      <c r="U235" s="34" t="s">
        <v>690</v>
      </c>
      <c r="V235" s="191">
        <v>2.0299999999999998</v>
      </c>
      <c r="W235" s="34" t="s">
        <v>690</v>
      </c>
      <c r="X235" s="191">
        <v>2.29</v>
      </c>
      <c r="Y235" s="34" t="s">
        <v>690</v>
      </c>
      <c r="Z235" s="191">
        <v>2.29</v>
      </c>
      <c r="AA235" s="34" t="s">
        <v>690</v>
      </c>
      <c r="AB235" s="191">
        <v>1.64</v>
      </c>
      <c r="AC235" s="34" t="s">
        <v>690</v>
      </c>
      <c r="AD235" s="191">
        <v>2.41</v>
      </c>
      <c r="AE235" s="34" t="s">
        <v>690</v>
      </c>
      <c r="AF235" s="191">
        <v>2.41</v>
      </c>
      <c r="AG235" s="191" t="s">
        <v>690</v>
      </c>
      <c r="AH235" s="191">
        <v>1.67</v>
      </c>
      <c r="AI235" s="34" t="s">
        <v>690</v>
      </c>
      <c r="AJ235" s="251" t="s">
        <v>2481</v>
      </c>
      <c r="AK235" s="89"/>
    </row>
    <row r="236" spans="1:39" ht="18.5" x14ac:dyDescent="0.45">
      <c r="A236" s="511"/>
      <c r="B236" s="212" t="s">
        <v>2478</v>
      </c>
      <c r="C236" s="104">
        <f>(F236+H236+J236)/3</f>
        <v>3.206666666666667</v>
      </c>
      <c r="D236" s="129" t="s">
        <v>690</v>
      </c>
      <c r="E236" s="34">
        <v>2022</v>
      </c>
      <c r="F236" s="182">
        <v>3.47</v>
      </c>
      <c r="G236" s="129" t="s">
        <v>690</v>
      </c>
      <c r="H236" s="182">
        <v>3.47</v>
      </c>
      <c r="I236" s="129" t="s">
        <v>690</v>
      </c>
      <c r="J236" s="182">
        <v>2.68</v>
      </c>
      <c r="K236" s="129" t="s">
        <v>690</v>
      </c>
      <c r="L236" s="182"/>
      <c r="M236" s="129"/>
      <c r="N236" s="182"/>
      <c r="O236" s="129"/>
      <c r="P236" s="182"/>
      <c r="Q236" s="129"/>
      <c r="R236" s="182"/>
      <c r="S236" s="129"/>
      <c r="T236" s="182"/>
      <c r="U236" s="129"/>
      <c r="V236" s="129"/>
      <c r="W236" s="129"/>
      <c r="X236" s="182"/>
      <c r="Y236" s="129"/>
      <c r="Z236" s="129"/>
      <c r="AA236" s="129"/>
      <c r="AB236" s="129"/>
      <c r="AC236" s="129"/>
      <c r="AD236" s="129"/>
      <c r="AE236" s="129"/>
      <c r="AF236" s="129"/>
      <c r="AG236" s="129"/>
      <c r="AH236" s="129"/>
      <c r="AI236" s="129"/>
      <c r="AJ236" s="251" t="s">
        <v>2480</v>
      </c>
      <c r="AK236" s="89"/>
    </row>
    <row r="237" spans="1:39" s="6" customFormat="1" ht="18.5" x14ac:dyDescent="0.45">
      <c r="A237" s="511"/>
      <c r="B237" s="212" t="str">
        <f>CONCATENATE('1.2 Forutsetninger'!$B$321," - ",'1.2 Forutsetninger'!$B$328)</f>
        <v>Andre transportmidler - Skip</v>
      </c>
      <c r="C237" s="582">
        <f>F237*C269+H237*C270+J237*C271+L237*C272+N237*C273+P237*C274+R237*C275+T237*C276</f>
        <v>912.96965919115291</v>
      </c>
      <c r="D237" s="34" t="s">
        <v>693</v>
      </c>
      <c r="E237" s="34">
        <v>2019</v>
      </c>
      <c r="F237" s="109">
        <v>1810</v>
      </c>
      <c r="G237" s="34" t="s">
        <v>690</v>
      </c>
      <c r="H237" s="109">
        <v>1810</v>
      </c>
      <c r="I237" s="34" t="s">
        <v>690</v>
      </c>
      <c r="J237" s="109">
        <v>2710</v>
      </c>
      <c r="K237" s="34" t="s">
        <v>690</v>
      </c>
      <c r="L237" s="109">
        <v>690</v>
      </c>
      <c r="M237" s="34" t="s">
        <v>690</v>
      </c>
      <c r="N237" s="109">
        <v>2330</v>
      </c>
      <c r="O237" s="34" t="s">
        <v>690</v>
      </c>
      <c r="P237" s="109">
        <v>840</v>
      </c>
      <c r="Q237" s="34" t="s">
        <v>690</v>
      </c>
      <c r="R237" s="109">
        <v>510</v>
      </c>
      <c r="S237" s="34" t="s">
        <v>690</v>
      </c>
      <c r="T237" s="109">
        <v>510</v>
      </c>
      <c r="U237" s="34" t="s">
        <v>690</v>
      </c>
      <c r="V237" s="34"/>
      <c r="W237" s="34"/>
      <c r="X237" s="191"/>
      <c r="Y237" s="34"/>
      <c r="Z237" s="34"/>
      <c r="AA237" s="34"/>
      <c r="AB237" s="34"/>
      <c r="AC237" s="34"/>
      <c r="AD237" s="34"/>
      <c r="AE237" s="34"/>
      <c r="AF237" s="34"/>
      <c r="AG237" s="34"/>
      <c r="AH237" s="34"/>
      <c r="AI237" s="34"/>
      <c r="AJ237" s="251" t="s">
        <v>694</v>
      </c>
      <c r="AK237" s="539"/>
    </row>
    <row r="238" spans="1:39" ht="18.5" x14ac:dyDescent="0.45">
      <c r="B238" s="247" t="str">
        <f>'1.2 Forutsetninger'!B329</f>
        <v>PM10-utslipp</v>
      </c>
      <c r="C238" s="145"/>
      <c r="D238" s="48"/>
      <c r="E238" s="48"/>
      <c r="F238" s="192"/>
      <c r="G238" s="48"/>
      <c r="H238" s="192"/>
      <c r="I238" s="48"/>
      <c r="J238" s="192"/>
      <c r="K238" s="48"/>
      <c r="L238" s="192"/>
      <c r="M238" s="48"/>
      <c r="N238" s="192"/>
      <c r="O238" s="48"/>
      <c r="P238" s="192"/>
      <c r="Q238" s="48"/>
      <c r="R238" s="192"/>
      <c r="S238" s="48"/>
      <c r="T238" s="192"/>
      <c r="U238" s="48"/>
      <c r="V238" s="48"/>
      <c r="W238" s="48"/>
      <c r="X238" s="192"/>
      <c r="Y238" s="48"/>
      <c r="Z238" s="48"/>
      <c r="AA238" s="48"/>
      <c r="AB238" s="48"/>
      <c r="AC238" s="48"/>
      <c r="AD238" s="48"/>
      <c r="AE238" s="48"/>
      <c r="AF238" s="48"/>
      <c r="AG238" s="48"/>
      <c r="AH238" s="48"/>
      <c r="AI238" s="48"/>
      <c r="AJ238" s="248"/>
      <c r="AK238" s="89"/>
    </row>
    <row r="239" spans="1:39" ht="18.5" x14ac:dyDescent="0.45">
      <c r="A239" s="1254"/>
      <c r="B239" s="218" t="str">
        <f>_xlfn.CONCAT('1.2 Forutsetninger'!B330," - ",'1.2 Forutsetninger'!B332)</f>
        <v xml:space="preserve">Persontog - Diesel </v>
      </c>
      <c r="C239" s="123">
        <f>N239</f>
        <v>5.4749082958942887</v>
      </c>
      <c r="D239" s="34" t="s">
        <v>688</v>
      </c>
      <c r="E239" s="129">
        <v>2025</v>
      </c>
      <c r="F239" s="182">
        <f>Drivstofforbruk_PersontogD</f>
        <v>1.7151968345533488</v>
      </c>
      <c r="G239" s="129" t="str">
        <f>'1.2 Forutsetninger'!D374</f>
        <v>l/km</v>
      </c>
      <c r="H239" s="182">
        <f>PM10_KgPerTonn_Dieseltog</f>
        <v>3.8</v>
      </c>
      <c r="I239" s="129" t="str">
        <f>'1.2 Forutsetninger'!D366</f>
        <v>Kg/tonn</v>
      </c>
      <c r="J239" s="182">
        <f>Massetetthet_Diesel</f>
        <v>0.84</v>
      </c>
      <c r="K239" s="129" t="str">
        <f>'1.2 Forutsetninger'!$D$368</f>
        <v>Kg/l</v>
      </c>
      <c r="L239" s="197">
        <f>H239*J239/1000</f>
        <v>3.1919999999999995E-3</v>
      </c>
      <c r="M239" s="129" t="s">
        <v>541</v>
      </c>
      <c r="N239" s="191">
        <f>L239*F239*1000</f>
        <v>5.4749082958942887</v>
      </c>
      <c r="O239" s="34" t="s">
        <v>688</v>
      </c>
      <c r="P239" s="182"/>
      <c r="S239" s="129"/>
      <c r="T239" s="182"/>
      <c r="U239" s="129"/>
      <c r="V239" s="129"/>
      <c r="W239" s="129"/>
      <c r="X239" s="182"/>
      <c r="Y239" s="129"/>
      <c r="Z239" s="129"/>
      <c r="AA239" s="129"/>
      <c r="AB239" s="129"/>
      <c r="AC239" s="129"/>
      <c r="AD239" s="129"/>
      <c r="AE239" s="129"/>
      <c r="AF239" s="129"/>
      <c r="AG239" s="129"/>
      <c r="AH239" s="129"/>
      <c r="AI239" s="129"/>
      <c r="AJ239" s="251"/>
      <c r="AK239" s="89"/>
    </row>
    <row r="240" spans="1:39" ht="18.5" x14ac:dyDescent="0.45">
      <c r="A240" s="1254"/>
      <c r="B240" s="218" t="str">
        <f>_xlfn.CONCAT('1.2 Forutsetninger'!B333," - ",'1.2 Forutsetninger'!B335)</f>
        <v xml:space="preserve">Godstog - Diesel </v>
      </c>
      <c r="C240" s="123">
        <f>N240</f>
        <v>16.33833405252205</v>
      </c>
      <c r="D240" s="34" t="s">
        <v>688</v>
      </c>
      <c r="E240" s="129">
        <v>2025</v>
      </c>
      <c r="F240" s="182">
        <f>Drivstofforbruk_GodstogD</f>
        <v>5.1185257056773343</v>
      </c>
      <c r="G240" s="129" t="str">
        <f>'1.2 Forutsetninger'!D376</f>
        <v>l/km</v>
      </c>
      <c r="H240" s="182">
        <f>PM10_KgPerTonn_Dieseltog</f>
        <v>3.8</v>
      </c>
      <c r="I240" s="129" t="str">
        <f>'1.2 Forutsetninger'!D366</f>
        <v>Kg/tonn</v>
      </c>
      <c r="J240" s="182">
        <f>Massetetthet_Diesel</f>
        <v>0.84</v>
      </c>
      <c r="K240" s="129" t="str">
        <f>'1.2 Forutsetninger'!$D$368</f>
        <v>Kg/l</v>
      </c>
      <c r="L240" s="197">
        <f>H240*J240/1000</f>
        <v>3.1919999999999995E-3</v>
      </c>
      <c r="M240" s="129" t="s">
        <v>541</v>
      </c>
      <c r="N240" s="191">
        <f>L240*F240*1000</f>
        <v>16.33833405252205</v>
      </c>
      <c r="O240" s="34" t="s">
        <v>688</v>
      </c>
      <c r="P240" s="182"/>
      <c r="S240" s="129"/>
      <c r="T240" s="182"/>
      <c r="U240" s="129"/>
      <c r="V240" s="129"/>
      <c r="W240" s="129"/>
      <c r="X240" s="182"/>
      <c r="Y240" s="129"/>
      <c r="Z240" s="129"/>
      <c r="AA240" s="129"/>
      <c r="AB240" s="129"/>
      <c r="AC240" s="129"/>
      <c r="AD240" s="129"/>
      <c r="AE240" s="129"/>
      <c r="AF240" s="129"/>
      <c r="AG240" s="129"/>
      <c r="AH240" s="129"/>
      <c r="AI240" s="129"/>
      <c r="AJ240" s="251"/>
      <c r="AK240" s="89"/>
    </row>
    <row r="241" spans="1:37" ht="18.5" x14ac:dyDescent="0.45">
      <c r="B241" s="247" t="str">
        <f>'1.2 Forutsetninger'!B336</f>
        <v>SO2-utslipp</v>
      </c>
      <c r="C241" s="145"/>
      <c r="D241" s="48"/>
      <c r="E241" s="48"/>
      <c r="F241" s="192"/>
      <c r="G241" s="48"/>
      <c r="H241" s="192"/>
      <c r="I241" s="48"/>
      <c r="J241" s="192"/>
      <c r="K241" s="48"/>
      <c r="L241" s="192"/>
      <c r="M241" s="48"/>
      <c r="N241" s="192"/>
      <c r="O241" s="48"/>
      <c r="P241" s="192"/>
      <c r="Q241" s="48"/>
      <c r="R241" s="192"/>
      <c r="S241" s="48"/>
      <c r="T241" s="192"/>
      <c r="U241" s="48"/>
      <c r="V241" s="48"/>
      <c r="W241" s="48"/>
      <c r="X241" s="192"/>
      <c r="Y241" s="48"/>
      <c r="Z241" s="48"/>
      <c r="AA241" s="48"/>
      <c r="AB241" s="48"/>
      <c r="AC241" s="48"/>
      <c r="AD241" s="48"/>
      <c r="AE241" s="48"/>
      <c r="AF241" s="48"/>
      <c r="AG241" s="48"/>
      <c r="AH241" s="48"/>
      <c r="AI241" s="48"/>
      <c r="AJ241" s="248"/>
      <c r="AK241" s="89"/>
    </row>
    <row r="242" spans="1:37" ht="18.5" x14ac:dyDescent="0.45">
      <c r="A242" s="1213"/>
      <c r="B242" s="218" t="str">
        <f>_xlfn.CONCAT('1.2 Forutsetninger'!B337," - ",'1.2 Forutsetninger'!B339)</f>
        <v xml:space="preserve">Persontog - Diesel </v>
      </c>
      <c r="C242" s="123">
        <f>L242</f>
        <v>2.2475939319987082E-2</v>
      </c>
      <c r="D242" s="34" t="s">
        <v>688</v>
      </c>
      <c r="E242" s="129">
        <v>2025</v>
      </c>
      <c r="F242" s="182">
        <f>Drivstofforbruk_PersontogD</f>
        <v>1.7151968345533488</v>
      </c>
      <c r="G242" s="129" t="str">
        <f>'1.2 Forutsetninger'!D374</f>
        <v>l/km</v>
      </c>
      <c r="H242" s="182">
        <f>SO2_KgPerTonn_Dieseltog</f>
        <v>1.5599999999999999E-2</v>
      </c>
      <c r="I242" s="129" t="str">
        <f>'1.2 Forutsetninger'!D367</f>
        <v>Kg/tonn</v>
      </c>
      <c r="J242" s="182">
        <f>Massetetthet_Diesel</f>
        <v>0.84</v>
      </c>
      <c r="K242" s="129" t="str">
        <f>'1.2 Forutsetninger'!$D$368</f>
        <v>Kg/l</v>
      </c>
      <c r="L242" s="191">
        <f>(H242*J242)*F242</f>
        <v>2.2475939319987082E-2</v>
      </c>
      <c r="M242" s="34" t="s">
        <v>688</v>
      </c>
      <c r="P242" s="182"/>
      <c r="S242" s="129"/>
      <c r="T242" s="182"/>
      <c r="U242" s="129"/>
      <c r="V242" s="129"/>
      <c r="W242" s="129"/>
      <c r="X242" s="182"/>
      <c r="Y242" s="129"/>
      <c r="Z242" s="129"/>
      <c r="AA242" s="129"/>
      <c r="AB242" s="129"/>
      <c r="AC242" s="129"/>
      <c r="AD242" s="129"/>
      <c r="AE242" s="129"/>
      <c r="AF242" s="129"/>
      <c r="AG242" s="129"/>
      <c r="AH242" s="129"/>
      <c r="AI242" s="129"/>
      <c r="AJ242" s="251"/>
      <c r="AK242" s="89" t="str">
        <f>""</f>
        <v/>
      </c>
    </row>
    <row r="243" spans="1:37" ht="18.5" x14ac:dyDescent="0.45">
      <c r="A243" s="1213"/>
      <c r="B243" s="218" t="str">
        <f>_xlfn.CONCAT('1.2 Forutsetninger'!B340," - ",'1.2 Forutsetninger'!B342)</f>
        <v xml:space="preserve">Godstog - Diesel </v>
      </c>
      <c r="C243" s="123">
        <f>L243</f>
        <v>6.7073160847195792E-2</v>
      </c>
      <c r="D243" s="34" t="s">
        <v>688</v>
      </c>
      <c r="E243" s="129">
        <v>2025</v>
      </c>
      <c r="F243" s="182">
        <f>Drivstofforbruk_GodstogD</f>
        <v>5.1185257056773343</v>
      </c>
      <c r="G243" s="129" t="str">
        <f>'1.2 Forutsetninger'!D376</f>
        <v>l/km</v>
      </c>
      <c r="H243" s="182">
        <f>SO2_KgPerTonn_Dieseltog</f>
        <v>1.5599999999999999E-2</v>
      </c>
      <c r="I243" s="129" t="str">
        <f>'1.2 Forutsetninger'!D367</f>
        <v>Kg/tonn</v>
      </c>
      <c r="J243" s="182">
        <f>Massetetthet_Diesel</f>
        <v>0.84</v>
      </c>
      <c r="K243" s="129" t="str">
        <f>'1.2 Forutsetninger'!$D$368</f>
        <v>Kg/l</v>
      </c>
      <c r="L243" s="191">
        <f>(H243*J243)*F243</f>
        <v>6.7073160847195792E-2</v>
      </c>
      <c r="M243" s="34" t="s">
        <v>688</v>
      </c>
      <c r="P243" s="182"/>
      <c r="S243" s="129"/>
      <c r="T243" s="182"/>
      <c r="U243" s="129"/>
      <c r="V243" s="129"/>
      <c r="W243" s="129"/>
      <c r="X243" s="182"/>
      <c r="Y243" s="129"/>
      <c r="Z243" s="129"/>
      <c r="AA243" s="129"/>
      <c r="AB243" s="129"/>
      <c r="AC243" s="129"/>
      <c r="AD243" s="129"/>
      <c r="AE243" s="129"/>
      <c r="AF243" s="129"/>
      <c r="AG243" s="129"/>
      <c r="AH243" s="129"/>
      <c r="AI243" s="129"/>
      <c r="AJ243" s="251"/>
      <c r="AK243" s="89"/>
    </row>
    <row r="244" spans="1:37" ht="18.5" x14ac:dyDescent="0.45">
      <c r="B244" s="247" t="str">
        <f>'1.2 Forutsetninger'!B343</f>
        <v>CO2-utslipp</v>
      </c>
      <c r="C244" s="145"/>
      <c r="D244" s="48"/>
      <c r="E244" s="48"/>
      <c r="F244" s="192"/>
      <c r="G244" s="48"/>
      <c r="H244" s="192"/>
      <c r="I244" s="48"/>
      <c r="J244" s="192"/>
      <c r="K244" s="48"/>
      <c r="L244" s="192"/>
      <c r="M244" s="48"/>
      <c r="N244" s="192"/>
      <c r="O244" s="48"/>
      <c r="P244" s="192"/>
      <c r="Q244" s="48"/>
      <c r="R244" s="192"/>
      <c r="S244" s="48"/>
      <c r="T244" s="192"/>
      <c r="U244" s="48"/>
      <c r="V244" s="48"/>
      <c r="W244" s="48"/>
      <c r="X244" s="192"/>
      <c r="Y244" s="48"/>
      <c r="Z244" s="48"/>
      <c r="AA244" s="48"/>
      <c r="AB244" s="48"/>
      <c r="AC244" s="48"/>
      <c r="AD244" s="48"/>
      <c r="AE244" s="48"/>
      <c r="AF244" s="48"/>
      <c r="AG244" s="48"/>
      <c r="AH244" s="48"/>
      <c r="AI244" s="48"/>
      <c r="AJ244" s="248"/>
      <c r="AK244" s="89" t="str">
        <f>""</f>
        <v/>
      </c>
    </row>
    <row r="245" spans="1:37" ht="18.5" x14ac:dyDescent="0.45">
      <c r="A245" s="1213"/>
      <c r="B245" s="212" t="str">
        <f>CONCATENATE('1.2 Forutsetninger'!$B$344," - ",'1.2 Forutsetninger'!$B$346)</f>
        <v xml:space="preserve">Persontog - Diesel </v>
      </c>
      <c r="C245" s="104">
        <f>F245*L245</f>
        <v>4.567226131048657</v>
      </c>
      <c r="D245" s="34" t="s">
        <v>695</v>
      </c>
      <c r="E245" s="34">
        <v>2025</v>
      </c>
      <c r="F245" s="182">
        <f>Drivstofforbruk_PersontogD</f>
        <v>1.7151968345533488</v>
      </c>
      <c r="G245" s="129" t="str">
        <f>'1.2 Forutsetninger'!D374</f>
        <v>l/km</v>
      </c>
      <c r="H245" s="182">
        <f>CO2_KgPerTonn_Dieseltog</f>
        <v>3.17</v>
      </c>
      <c r="I245" s="129" t="str">
        <f>'1.2 Forutsetninger'!$D$363</f>
        <v>tonn/tonn</v>
      </c>
      <c r="J245" s="182">
        <f>Massetetthet_Diesel</f>
        <v>0.84</v>
      </c>
      <c r="K245" s="129" t="str">
        <f>'1.2 Forutsetninger'!$D$368</f>
        <v>Kg/l</v>
      </c>
      <c r="L245" s="182">
        <f>H245*J245</f>
        <v>2.6627999999999998</v>
      </c>
      <c r="M245" s="129" t="s">
        <v>541</v>
      </c>
      <c r="AJ245" s="221" t="s">
        <v>696</v>
      </c>
      <c r="AK245" s="89" t="str">
        <f>""</f>
        <v/>
      </c>
    </row>
    <row r="246" spans="1:37" ht="18.5" x14ac:dyDescent="0.45">
      <c r="A246" s="1213"/>
      <c r="B246" s="212" t="str">
        <f>CONCATENATE('1.2 Forutsetninger'!$B$347," - ",'1.2 Forutsetninger'!$B$349)</f>
        <v xml:space="preserve">Godstog - Diesel </v>
      </c>
      <c r="C246" s="104">
        <f>F246*L246</f>
        <v>13.629610249077604</v>
      </c>
      <c r="D246" s="34" t="s">
        <v>695</v>
      </c>
      <c r="E246" s="34">
        <v>2025</v>
      </c>
      <c r="F246" s="182">
        <f>Drivstofforbruk_GodstogD</f>
        <v>5.1185257056773343</v>
      </c>
      <c r="G246" s="129" t="str">
        <f>'1.2 Forutsetninger'!D376</f>
        <v>l/km</v>
      </c>
      <c r="H246" s="182">
        <f>CO2_KgPerTonn_Dieseltog</f>
        <v>3.17</v>
      </c>
      <c r="I246" s="129" t="str">
        <f>'1.2 Forutsetninger'!$D$363</f>
        <v>tonn/tonn</v>
      </c>
      <c r="J246" s="182">
        <f>Massetetthet_Diesel</f>
        <v>0.84</v>
      </c>
      <c r="K246" s="129" t="str">
        <f>'1.2 Forutsetninger'!$D$368</f>
        <v>Kg/l</v>
      </c>
      <c r="L246" s="182">
        <f>H246*J246</f>
        <v>2.6627999999999998</v>
      </c>
      <c r="M246" s="129" t="s">
        <v>541</v>
      </c>
      <c r="AJ246" s="217" t="s">
        <v>696</v>
      </c>
      <c r="AK246" s="89" t="str">
        <f>""</f>
        <v/>
      </c>
    </row>
    <row r="247" spans="1:37" ht="18.5" x14ac:dyDescent="0.45">
      <c r="B247" s="212" t="str">
        <f>CONCATENATE('1.2 Forutsetninger'!$B$350," - ",'1.2 Forutsetninger'!$B$352)</f>
        <v>Andre transportmidler - Buss</v>
      </c>
      <c r="C247" s="146">
        <f>F247*H247</f>
        <v>1.0717317996306683</v>
      </c>
      <c r="D247" s="34" t="s">
        <v>697</v>
      </c>
      <c r="E247" s="34">
        <v>2015</v>
      </c>
      <c r="F247" s="182">
        <f>Drivstofforbruk_Buss</f>
        <v>0.39547298879360454</v>
      </c>
      <c r="G247" s="129" t="str">
        <f>'1.2 Forutsetninger'!D380</f>
        <v>l/km</v>
      </c>
      <c r="H247" s="182">
        <f>CO2_KgPerLiterDiesel</f>
        <v>2.71</v>
      </c>
      <c r="I247" s="129" t="str">
        <f>'1.2 Forutsetninger'!$D$361</f>
        <v>Kg/l</v>
      </c>
      <c r="J247" s="182"/>
      <c r="K247" s="129"/>
      <c r="L247" s="182"/>
      <c r="M247" s="129"/>
      <c r="AJ247" s="217" t="s">
        <v>696</v>
      </c>
      <c r="AK247" s="89" t="str">
        <f>""</f>
        <v/>
      </c>
    </row>
    <row r="248" spans="1:37" ht="18.5" x14ac:dyDescent="0.45">
      <c r="B248" s="212" t="str">
        <f>CONCATENATE('1.2 Forutsetninger'!$B$350," - ",'1.2 Forutsetninger'!$B$353)</f>
        <v>Andre transportmidler - Fly</v>
      </c>
      <c r="C248" s="146">
        <f>F248*H248</f>
        <v>14.026154999999999</v>
      </c>
      <c r="D248" s="34" t="s">
        <v>698</v>
      </c>
      <c r="E248" s="34">
        <v>2014</v>
      </c>
      <c r="F248" s="182">
        <f>Drivstofforbruk_Fly</f>
        <v>4.9042500000000002</v>
      </c>
      <c r="G248" s="129" t="str">
        <f>'1.2 Forutsetninger'!D385</f>
        <v>l/km</v>
      </c>
      <c r="H248" s="182">
        <f>CO2_KgPerLiter_Flydrivstoff</f>
        <v>2.86</v>
      </c>
      <c r="I248" s="1079" t="str">
        <f>'1.2 Forutsetninger'!$D$362</f>
        <v>Kg/l</v>
      </c>
      <c r="J248" s="182"/>
      <c r="K248" s="129"/>
      <c r="L248" s="182"/>
      <c r="M248" s="129"/>
      <c r="AJ248" s="217" t="s">
        <v>699</v>
      </c>
      <c r="AK248" s="89" t="str">
        <f>""</f>
        <v/>
      </c>
    </row>
    <row r="249" spans="1:37" ht="18.5" x14ac:dyDescent="0.45">
      <c r="B249" s="212" t="str">
        <f>CONCATENATE('1.2 Forutsetninger'!$B$350," - ",'1.2 Forutsetninger'!$B$354)</f>
        <v>Andre transportmidler - Lett lastebil</v>
      </c>
      <c r="C249" s="104">
        <f>F249*H249</f>
        <v>0.32249</v>
      </c>
      <c r="D249" s="34" t="s">
        <v>697</v>
      </c>
      <c r="E249" s="34">
        <v>2022</v>
      </c>
      <c r="F249" s="182">
        <f>Drivstofforbruk_LettLastebil</f>
        <v>0.11899999999999999</v>
      </c>
      <c r="G249" s="129" t="str">
        <f>'1.2 Forutsetninger'!D381</f>
        <v>l/km</v>
      </c>
      <c r="H249" s="182">
        <f>CO2_KgPerLiterDiesel</f>
        <v>2.71</v>
      </c>
      <c r="I249" s="129" t="str">
        <f>'1.2 Forutsetninger'!$D$361</f>
        <v>Kg/l</v>
      </c>
      <c r="J249" s="182"/>
      <c r="K249" s="129"/>
      <c r="L249" s="182"/>
      <c r="M249" s="129"/>
      <c r="AJ249" s="221" t="s">
        <v>696</v>
      </c>
      <c r="AK249" s="89" t="str">
        <f>""</f>
        <v/>
      </c>
    </row>
    <row r="250" spans="1:37" ht="18.5" x14ac:dyDescent="0.45">
      <c r="B250" s="212" t="str">
        <f>CONCATENATE('1.2 Forutsetninger'!$B$350," - ",'1.2 Forutsetninger'!$B$355)</f>
        <v>Andre transportmidler - Tung lastebil</v>
      </c>
      <c r="C250" s="104">
        <f>F250*H250</f>
        <v>0.79999200000000004</v>
      </c>
      <c r="D250" s="34" t="s">
        <v>697</v>
      </c>
      <c r="E250" s="34">
        <v>2022</v>
      </c>
      <c r="F250" s="182">
        <f>C257</f>
        <v>0.29520000000000002</v>
      </c>
      <c r="G250" s="129" t="s">
        <v>546</v>
      </c>
      <c r="H250" s="182">
        <f>CO2_KgPerLiterDiesel</f>
        <v>2.71</v>
      </c>
      <c r="I250" s="129" t="s">
        <v>541</v>
      </c>
      <c r="J250" s="182"/>
      <c r="K250" s="129"/>
      <c r="L250" s="182"/>
      <c r="M250" s="129"/>
      <c r="AJ250" s="217" t="s">
        <v>2487</v>
      </c>
      <c r="AK250" s="89"/>
    </row>
    <row r="251" spans="1:37" ht="18.5" x14ac:dyDescent="0.45">
      <c r="B251" s="212" t="str">
        <f>CONCATENATE('1.2 Forutsetninger'!$B$350," - ",'1.2 Forutsetninger'!$B$356)</f>
        <v>Andre transportmidler - Modulvogntog</v>
      </c>
      <c r="C251" s="146">
        <f>F251*H251</f>
        <v>1.3143499999999999</v>
      </c>
      <c r="D251" s="34" t="s">
        <v>697</v>
      </c>
      <c r="E251" s="34">
        <v>2022</v>
      </c>
      <c r="F251" s="182">
        <v>0.48499999999999999</v>
      </c>
      <c r="G251" s="129" t="str">
        <f>'1.2 Forutsetninger'!D382</f>
        <v>l/km</v>
      </c>
      <c r="H251" s="182">
        <f>CO2_KgPerLiterDiesel</f>
        <v>2.71</v>
      </c>
      <c r="I251" s="129" t="str">
        <f>'1.2 Forutsetninger'!$D$361</f>
        <v>Kg/l</v>
      </c>
      <c r="J251" s="182"/>
      <c r="K251" s="129"/>
      <c r="L251" s="182"/>
      <c r="M251" s="129"/>
      <c r="AJ251" s="217" t="s">
        <v>2486</v>
      </c>
      <c r="AK251" s="89" t="str">
        <f>""</f>
        <v/>
      </c>
    </row>
    <row r="252" spans="1:37" ht="18.5" x14ac:dyDescent="0.45">
      <c r="A252" s="511"/>
      <c r="B252" s="218" t="str">
        <f>CONCATENATE('1.2 Forutsetninger'!$B$350," - ",'1.2 Forutsetninger'!$B$357)</f>
        <v>Andre transportmidler - Skip - 2018</v>
      </c>
      <c r="C252" s="123">
        <f>F252*$C$269+H252*$C$270+J252*$C$271+L252*$C$272+N252*$C$273+P252*$C$274+R252*$C$275+T252*$C$276</f>
        <v>85.993501384440279</v>
      </c>
      <c r="D252" s="129" t="s">
        <v>698</v>
      </c>
      <c r="E252" s="129">
        <v>2019</v>
      </c>
      <c r="F252" s="182">
        <v>109.107</v>
      </c>
      <c r="G252" s="129" t="s">
        <v>700</v>
      </c>
      <c r="H252" s="182">
        <v>109.107</v>
      </c>
      <c r="I252" s="129" t="s">
        <v>700</v>
      </c>
      <c r="J252" s="182">
        <v>120.22799999999999</v>
      </c>
      <c r="K252" s="129" t="s">
        <v>700</v>
      </c>
      <c r="L252" s="182">
        <v>48.491999999999997</v>
      </c>
      <c r="M252" s="129" t="s">
        <v>700</v>
      </c>
      <c r="N252" s="182">
        <v>113.471</v>
      </c>
      <c r="O252" s="129" t="s">
        <v>700</v>
      </c>
      <c r="P252" s="182">
        <v>59.642000000000003</v>
      </c>
      <c r="Q252" s="129" t="s">
        <v>700</v>
      </c>
      <c r="R252" s="182">
        <v>79.183999999999997</v>
      </c>
      <c r="S252" s="129" t="s">
        <v>700</v>
      </c>
      <c r="T252" s="123">
        <v>79.183999999999997</v>
      </c>
      <c r="U252" s="129" t="s">
        <v>700</v>
      </c>
      <c r="V252" s="138"/>
      <c r="W252" s="138"/>
      <c r="X252" s="194"/>
      <c r="Y252" s="138"/>
      <c r="Z252" s="138"/>
      <c r="AA252" s="138"/>
      <c r="AB252" s="138"/>
      <c r="AC252" s="138"/>
      <c r="AD252" s="138"/>
      <c r="AE252" s="138"/>
      <c r="AF252" s="138"/>
      <c r="AG252" s="138"/>
      <c r="AH252" s="138"/>
      <c r="AI252" s="138"/>
      <c r="AJ252" s="221" t="s">
        <v>701</v>
      </c>
      <c r="AK252" s="89" t="str">
        <f>""</f>
        <v/>
      </c>
    </row>
    <row r="253" spans="1:37" ht="18.5" x14ac:dyDescent="0.45">
      <c r="A253" s="511"/>
      <c r="B253" s="218" t="str">
        <f>CONCATENATE('1.2 Forutsetninger'!$B$350," - ",'1.2 Forutsetninger'!$B$358)</f>
        <v>Andre transportmidler - Skip - 2030</v>
      </c>
      <c r="C253" s="123">
        <f>F253*$C$269+H253*$C$270+J253*$C$271+L253*$C$272+N253*$C$273+P253*$C$274+R253*$C$275+T253*$C$276</f>
        <v>77.394151245996269</v>
      </c>
      <c r="D253" s="129" t="s">
        <v>698</v>
      </c>
      <c r="E253" s="129">
        <v>2019</v>
      </c>
      <c r="F253" s="182">
        <v>98.196300000000008</v>
      </c>
      <c r="G253" s="129" t="s">
        <v>700</v>
      </c>
      <c r="H253" s="182">
        <v>98.196300000000008</v>
      </c>
      <c r="I253" s="129" t="s">
        <v>700</v>
      </c>
      <c r="J253" s="182">
        <v>108.20519999999999</v>
      </c>
      <c r="K253" s="129" t="s">
        <v>700</v>
      </c>
      <c r="L253" s="182">
        <v>43.642800000000001</v>
      </c>
      <c r="M253" s="129" t="s">
        <v>700</v>
      </c>
      <c r="N253" s="182">
        <v>102.12390000000001</v>
      </c>
      <c r="O253" s="129" t="s">
        <v>700</v>
      </c>
      <c r="P253" s="182">
        <v>53.677800000000005</v>
      </c>
      <c r="Q253" s="129" t="s">
        <v>700</v>
      </c>
      <c r="R253" s="182">
        <v>71.265600000000006</v>
      </c>
      <c r="S253" s="129" t="s">
        <v>700</v>
      </c>
      <c r="T253" s="123">
        <v>71.265600000000006</v>
      </c>
      <c r="U253" s="129" t="s">
        <v>700</v>
      </c>
      <c r="V253" s="138"/>
      <c r="W253" s="138"/>
      <c r="X253" s="194"/>
      <c r="Y253" s="138"/>
      <c r="Z253" s="138"/>
      <c r="AA253" s="138"/>
      <c r="AB253" s="138"/>
      <c r="AC253" s="138"/>
      <c r="AD253" s="138"/>
      <c r="AE253" s="138"/>
      <c r="AF253" s="138"/>
      <c r="AG253" s="138"/>
      <c r="AH253" s="138"/>
      <c r="AI253" s="138"/>
      <c r="AJ253" s="221" t="s">
        <v>701</v>
      </c>
      <c r="AK253" s="89" t="str">
        <f>""</f>
        <v/>
      </c>
    </row>
    <row r="254" spans="1:37" ht="18.5" x14ac:dyDescent="0.45">
      <c r="A254" s="511"/>
      <c r="B254" s="218" t="str">
        <f>CONCATENATE('1.2 Forutsetninger'!$B$350," - ",'1.2 Forutsetninger'!$B$359)</f>
        <v>Andre transportmidler - Skip - 2050</v>
      </c>
      <c r="C254" s="123">
        <f>F254*$C$269+H254*$C$270+J254*$C$271+L254*$C$272+N254*$C$273+P254*$C$274+R254*$C$275+T254*$C$276</f>
        <v>60.195450969108201</v>
      </c>
      <c r="D254" s="129" t="s">
        <v>698</v>
      </c>
      <c r="E254" s="129">
        <v>2019</v>
      </c>
      <c r="F254" s="182">
        <v>76.374899999999997</v>
      </c>
      <c r="G254" s="129" t="s">
        <v>700</v>
      </c>
      <c r="H254" s="182">
        <v>76.374899999999997</v>
      </c>
      <c r="I254" s="129" t="s">
        <v>700</v>
      </c>
      <c r="J254" s="182">
        <v>84.159599999999998</v>
      </c>
      <c r="K254" s="129" t="s">
        <v>700</v>
      </c>
      <c r="L254" s="182">
        <v>33.944399999999995</v>
      </c>
      <c r="M254" s="129" t="s">
        <v>700</v>
      </c>
      <c r="N254" s="182">
        <v>79.429699999999997</v>
      </c>
      <c r="O254" s="129" t="s">
        <v>700</v>
      </c>
      <c r="P254" s="182">
        <v>41.749400000000001</v>
      </c>
      <c r="Q254" s="129" t="s">
        <v>700</v>
      </c>
      <c r="R254" s="182">
        <v>55.428799999999995</v>
      </c>
      <c r="S254" s="129" t="s">
        <v>700</v>
      </c>
      <c r="T254" s="123">
        <v>55.428799999999995</v>
      </c>
      <c r="U254" s="129" t="s">
        <v>700</v>
      </c>
      <c r="V254" s="138"/>
      <c r="W254" s="138"/>
      <c r="X254" s="194"/>
      <c r="Y254" s="138"/>
      <c r="Z254" s="138"/>
      <c r="AA254" s="138"/>
      <c r="AB254" s="138"/>
      <c r="AC254" s="138"/>
      <c r="AD254" s="138"/>
      <c r="AE254" s="138"/>
      <c r="AF254" s="138"/>
      <c r="AG254" s="138"/>
      <c r="AH254" s="138"/>
      <c r="AI254" s="138"/>
      <c r="AJ254" s="221" t="s">
        <v>701</v>
      </c>
      <c r="AK254" s="89" t="str">
        <f>""</f>
        <v/>
      </c>
    </row>
    <row r="255" spans="1:37" ht="18.5" x14ac:dyDescent="0.45">
      <c r="B255" s="247" t="str">
        <f>'1.2 Forutsetninger'!B369</f>
        <v>Drivstofforbruk</v>
      </c>
      <c r="C255" s="145"/>
      <c r="D255" s="48"/>
      <c r="E255" s="48"/>
      <c r="F255" s="192"/>
      <c r="G255" s="48"/>
      <c r="H255" s="192"/>
      <c r="I255" s="48"/>
      <c r="J255" s="192"/>
      <c r="K255" s="48"/>
      <c r="L255" s="192"/>
      <c r="M255" s="48"/>
      <c r="N255" s="192"/>
      <c r="O255" s="48"/>
      <c r="P255" s="192"/>
      <c r="Q255" s="48"/>
      <c r="R255" s="192"/>
      <c r="S255" s="48"/>
      <c r="T255" s="192"/>
      <c r="U255" s="48"/>
      <c r="V255" s="48"/>
      <c r="W255" s="48"/>
      <c r="X255" s="192"/>
      <c r="Y255" s="48"/>
      <c r="Z255" s="48"/>
      <c r="AA255" s="48"/>
      <c r="AB255" s="48"/>
      <c r="AC255" s="48"/>
      <c r="AD255" s="48"/>
      <c r="AE255" s="48"/>
      <c r="AF255" s="48"/>
      <c r="AG255" s="48"/>
      <c r="AH255" s="48"/>
      <c r="AI255" s="48"/>
      <c r="AJ255" s="248"/>
      <c r="AK255" s="89" t="str">
        <f>""</f>
        <v/>
      </c>
    </row>
    <row r="256" spans="1:37" ht="18.5" x14ac:dyDescent="0.45">
      <c r="B256" s="215" t="str">
        <f>'1.2 Forutsetninger'!B377</f>
        <v>Andre transportmidler</v>
      </c>
      <c r="C256" s="76"/>
      <c r="D256" s="35"/>
      <c r="E256" s="35"/>
      <c r="F256" s="544"/>
      <c r="G256" s="35"/>
      <c r="H256" s="544"/>
      <c r="I256" s="35"/>
      <c r="J256" s="544"/>
      <c r="K256" s="35"/>
      <c r="L256" s="544"/>
      <c r="M256" s="35"/>
      <c r="N256" s="544"/>
      <c r="O256" s="35"/>
      <c r="P256" s="544"/>
      <c r="Q256" s="35"/>
      <c r="R256" s="544"/>
      <c r="S256" s="35"/>
      <c r="T256" s="544"/>
      <c r="U256" s="35"/>
      <c r="V256" s="35"/>
      <c r="W256" s="35"/>
      <c r="X256" s="544"/>
      <c r="Y256" s="35"/>
      <c r="Z256" s="35"/>
      <c r="AA256" s="35"/>
      <c r="AB256" s="35"/>
      <c r="AC256" s="35"/>
      <c r="AD256" s="35"/>
      <c r="AE256" s="35"/>
      <c r="AF256" s="35"/>
      <c r="AG256" s="35"/>
      <c r="AH256" s="35"/>
      <c r="AI256" s="35"/>
      <c r="AJ256" s="259"/>
      <c r="AK256" s="89"/>
    </row>
    <row r="257" spans="1:37" ht="18.5" x14ac:dyDescent="0.45">
      <c r="B257" s="212" t="s">
        <v>1355</v>
      </c>
      <c r="C257" s="146">
        <f>AVERAGE(F257,H257,J257,L257,N257)</f>
        <v>0.29520000000000002</v>
      </c>
      <c r="D257" s="34" t="s">
        <v>546</v>
      </c>
      <c r="E257" s="34">
        <v>2022</v>
      </c>
      <c r="F257" s="199">
        <v>0.18</v>
      </c>
      <c r="G257" s="200" t="s">
        <v>546</v>
      </c>
      <c r="H257" s="191">
        <v>0.22800000000000001</v>
      </c>
      <c r="I257" s="200" t="s">
        <v>546</v>
      </c>
      <c r="J257" s="199">
        <v>0.30499999999999999</v>
      </c>
      <c r="K257" s="200" t="s">
        <v>546</v>
      </c>
      <c r="L257" s="1252">
        <v>0.36599999999999999</v>
      </c>
      <c r="M257" s="200" t="s">
        <v>546</v>
      </c>
      <c r="N257" s="199">
        <v>0.39700000000000002</v>
      </c>
      <c r="O257" s="200" t="s">
        <v>546</v>
      </c>
      <c r="P257" s="199"/>
      <c r="Q257" s="200"/>
      <c r="R257" s="199"/>
      <c r="S257" s="200"/>
      <c r="T257" s="199"/>
      <c r="U257" s="200"/>
      <c r="V257" s="200"/>
      <c r="W257" s="200"/>
      <c r="X257" s="199"/>
      <c r="Y257" s="200"/>
      <c r="Z257" s="200"/>
      <c r="AA257" s="200"/>
      <c r="AB257" s="200"/>
      <c r="AC257" s="200"/>
      <c r="AD257" s="200"/>
      <c r="AE257" s="200"/>
      <c r="AF257" s="200"/>
      <c r="AG257" s="200"/>
      <c r="AH257" s="200"/>
      <c r="AI257" s="200"/>
      <c r="AJ257" s="250" t="s">
        <v>2490</v>
      </c>
      <c r="AK257" s="89"/>
    </row>
    <row r="258" spans="1:37" ht="18.5" x14ac:dyDescent="0.45">
      <c r="B258" s="212" t="s">
        <v>1356</v>
      </c>
      <c r="C258" s="110">
        <f>F251</f>
        <v>0.48499999999999999</v>
      </c>
      <c r="D258" s="34" t="s">
        <v>546</v>
      </c>
      <c r="E258" s="34">
        <v>2022</v>
      </c>
      <c r="F258" s="199"/>
      <c r="G258" s="200"/>
      <c r="I258" s="200"/>
      <c r="J258" s="199"/>
      <c r="K258" s="200"/>
      <c r="L258" s="201"/>
      <c r="M258" s="200"/>
      <c r="N258" s="199"/>
      <c r="O258" s="200"/>
      <c r="P258" s="199"/>
      <c r="Q258" s="200"/>
      <c r="R258" s="199"/>
      <c r="S258" s="200"/>
      <c r="T258" s="199"/>
      <c r="U258" s="200"/>
      <c r="V258" s="200"/>
      <c r="W258" s="200"/>
      <c r="X258" s="199"/>
      <c r="Y258" s="200"/>
      <c r="Z258" s="200"/>
      <c r="AA258" s="200"/>
      <c r="AB258" s="200"/>
      <c r="AC258" s="200"/>
      <c r="AD258" s="200"/>
      <c r="AE258" s="200"/>
      <c r="AF258" s="200"/>
      <c r="AG258" s="200"/>
      <c r="AH258" s="200"/>
      <c r="AI258" s="200"/>
      <c r="AJ258" s="250" t="s">
        <v>2491</v>
      </c>
      <c r="AK258" s="89"/>
    </row>
    <row r="259" spans="1:37" ht="18.5" x14ac:dyDescent="0.45">
      <c r="A259" s="511"/>
      <c r="B259" s="212" t="str">
        <f>'1.2 Forutsetninger'!B384</f>
        <v>Skip</v>
      </c>
      <c r="C259" s="146">
        <f>((J259*L259)+(J260*L260)+(J261*L261)+(J262*L262)+(J263*L263)+(J264*L264)+(J265*L265)+(J266*L266))/SUM(L259:L266)</f>
        <v>32.24660295068616</v>
      </c>
      <c r="D259" s="34" t="s">
        <v>546</v>
      </c>
      <c r="E259" s="34">
        <v>2015</v>
      </c>
      <c r="F259" s="199">
        <f>$F$252/CO2_KgPerLiter_Skip/1000</f>
        <v>3.3989719626168223E-2</v>
      </c>
      <c r="G259" s="200" t="s">
        <v>702</v>
      </c>
      <c r="H259" s="191">
        <f t="shared" ref="H259:H266" si="37">Massetetthet_Diesel</f>
        <v>0.84</v>
      </c>
      <c r="I259" s="200" t="str">
        <f>'1.2 Forutsetninger'!$D$368</f>
        <v>Kg/l</v>
      </c>
      <c r="J259" s="199">
        <f>F259*1000/H259</f>
        <v>40.463951935914551</v>
      </c>
      <c r="K259" s="200" t="s">
        <v>546</v>
      </c>
      <c r="L259" s="201">
        <f>C269</f>
        <v>0.18318023325383817</v>
      </c>
      <c r="M259" s="200" t="s">
        <v>544</v>
      </c>
      <c r="N259" s="199"/>
      <c r="O259" s="200"/>
      <c r="P259" s="199"/>
      <c r="Q259" s="200"/>
      <c r="R259" s="199"/>
      <c r="S259" s="200"/>
      <c r="T259" s="199"/>
      <c r="U259" s="200"/>
      <c r="V259" s="200"/>
      <c r="W259" s="200"/>
      <c r="X259" s="199"/>
      <c r="Y259" s="200"/>
      <c r="Z259" s="200"/>
      <c r="AA259" s="200"/>
      <c r="AB259" s="200"/>
      <c r="AC259" s="200"/>
      <c r="AD259" s="200"/>
      <c r="AE259" s="200"/>
      <c r="AF259" s="200"/>
      <c r="AG259" s="200"/>
      <c r="AH259" s="200"/>
      <c r="AI259" s="200"/>
      <c r="AJ259" s="250" t="s">
        <v>703</v>
      </c>
      <c r="AK259" s="89" t="str">
        <f>""</f>
        <v/>
      </c>
    </row>
    <row r="260" spans="1:37" ht="18.5" x14ac:dyDescent="0.45">
      <c r="A260" s="511"/>
      <c r="F260" s="199">
        <f>$H$252/CO2_KgPerLiter_Skip/1000</f>
        <v>3.3989719626168223E-2</v>
      </c>
      <c r="G260" s="200" t="s">
        <v>702</v>
      </c>
      <c r="H260" s="191">
        <f>Massetetthet_Diesel</f>
        <v>0.84</v>
      </c>
      <c r="I260" s="200" t="str">
        <f>'1.2 Forutsetninger'!$D$368</f>
        <v>Kg/l</v>
      </c>
      <c r="J260" s="199">
        <f>F260*1000/H260</f>
        <v>40.463951935914551</v>
      </c>
      <c r="K260" s="200" t="s">
        <v>546</v>
      </c>
      <c r="L260" s="201">
        <f t="shared" ref="L260:L266" si="38">C270</f>
        <v>6.8195162946534174E-2</v>
      </c>
      <c r="M260" s="200" t="s">
        <v>544</v>
      </c>
      <c r="N260" s="199"/>
      <c r="O260" s="200"/>
      <c r="P260" s="199"/>
      <c r="Q260" s="200"/>
      <c r="R260" s="199"/>
      <c r="S260" s="200"/>
      <c r="T260" s="199"/>
      <c r="U260" s="200"/>
      <c r="V260" s="200"/>
      <c r="W260" s="200"/>
      <c r="X260" s="199"/>
      <c r="Y260" s="200"/>
      <c r="Z260" s="200"/>
      <c r="AA260" s="200"/>
      <c r="AB260" s="200"/>
      <c r="AC260" s="200"/>
      <c r="AD260" s="200"/>
      <c r="AE260" s="200"/>
      <c r="AF260" s="200"/>
      <c r="AG260" s="200"/>
      <c r="AH260" s="200"/>
      <c r="AI260" s="200"/>
      <c r="AJ260" s="250"/>
      <c r="AK260" s="89" t="str">
        <f>""</f>
        <v/>
      </c>
    </row>
    <row r="261" spans="1:37" ht="18.5" x14ac:dyDescent="0.45">
      <c r="A261" s="511"/>
      <c r="F261" s="199">
        <f>$J$252/CO2_KgPerLiter_Skip/1000</f>
        <v>3.7454205607476629E-2</v>
      </c>
      <c r="G261" s="200" t="s">
        <v>702</v>
      </c>
      <c r="H261" s="191">
        <f t="shared" si="37"/>
        <v>0.84</v>
      </c>
      <c r="I261" s="200" t="str">
        <f>'1.2 Forutsetninger'!$D$368</f>
        <v>Kg/l</v>
      </c>
      <c r="J261" s="199">
        <f t="shared" ref="J261:J266" si="39">F261*1000/H261</f>
        <v>44.588340008900751</v>
      </c>
      <c r="K261" s="200" t="s">
        <v>546</v>
      </c>
      <c r="L261" s="201">
        <f t="shared" si="38"/>
        <v>9.1080865226477736E-3</v>
      </c>
      <c r="M261" s="200" t="s">
        <v>544</v>
      </c>
      <c r="N261" s="199"/>
      <c r="O261" s="200"/>
      <c r="P261" s="199"/>
      <c r="Q261" s="200"/>
      <c r="R261" s="199"/>
      <c r="S261" s="200"/>
      <c r="T261" s="199"/>
      <c r="U261" s="200"/>
      <c r="V261" s="200"/>
      <c r="W261" s="200"/>
      <c r="X261" s="199"/>
      <c r="Y261" s="200"/>
      <c r="Z261" s="200"/>
      <c r="AA261" s="200"/>
      <c r="AB261" s="200"/>
      <c r="AC261" s="200"/>
      <c r="AD261" s="200"/>
      <c r="AE261" s="200"/>
      <c r="AF261" s="200"/>
      <c r="AG261" s="200"/>
      <c r="AH261" s="200"/>
      <c r="AI261" s="200"/>
      <c r="AJ261" s="250"/>
      <c r="AK261" s="89" t="str">
        <f>""</f>
        <v/>
      </c>
    </row>
    <row r="262" spans="1:37" ht="18.5" x14ac:dyDescent="0.45">
      <c r="A262" s="511"/>
      <c r="F262" s="199">
        <f>$L$252/CO2_KgPerLiter_Skip/1000</f>
        <v>1.5106542056074765E-2</v>
      </c>
      <c r="G262" s="200" t="s">
        <v>702</v>
      </c>
      <c r="H262" s="191">
        <f t="shared" si="37"/>
        <v>0.84</v>
      </c>
      <c r="I262" s="200" t="str">
        <f>'1.2 Forutsetninger'!$D$368</f>
        <v>Kg/l</v>
      </c>
      <c r="J262" s="199">
        <f t="shared" si="39"/>
        <v>17.983978638184244</v>
      </c>
      <c r="K262" s="200" t="s">
        <v>546</v>
      </c>
      <c r="L262" s="201">
        <f t="shared" si="38"/>
        <v>1.9276417764247211E-2</v>
      </c>
      <c r="M262" s="200" t="s">
        <v>544</v>
      </c>
      <c r="N262" s="199"/>
      <c r="O262" s="200"/>
      <c r="P262" s="199"/>
      <c r="Q262" s="200"/>
      <c r="R262" s="199"/>
      <c r="S262" s="200"/>
      <c r="T262" s="199"/>
      <c r="U262" s="200"/>
      <c r="V262" s="200"/>
      <c r="W262" s="200"/>
      <c r="X262" s="199"/>
      <c r="Y262" s="200"/>
      <c r="Z262" s="200"/>
      <c r="AA262" s="200"/>
      <c r="AB262" s="200"/>
      <c r="AC262" s="200"/>
      <c r="AD262" s="200"/>
      <c r="AE262" s="200"/>
      <c r="AF262" s="200"/>
      <c r="AG262" s="200"/>
      <c r="AH262" s="200"/>
      <c r="AI262" s="200"/>
      <c r="AJ262" s="250"/>
      <c r="AK262" s="89" t="str">
        <f>""</f>
        <v/>
      </c>
    </row>
    <row r="263" spans="1:37" ht="18.5" x14ac:dyDescent="0.45">
      <c r="A263" s="511"/>
      <c r="F263" s="199">
        <f>$N$252/CO2_KgPerLiter_Skip/1000</f>
        <v>3.5349221183800621E-2</v>
      </c>
      <c r="G263" s="200" t="s">
        <v>702</v>
      </c>
      <c r="H263" s="191">
        <f t="shared" si="37"/>
        <v>0.84</v>
      </c>
      <c r="I263" s="200" t="str">
        <f>'1.2 Forutsetninger'!$D$368</f>
        <v>Kg/l</v>
      </c>
      <c r="J263" s="199">
        <f t="shared" si="39"/>
        <v>42.082406171191217</v>
      </c>
      <c r="K263" s="200" t="s">
        <v>546</v>
      </c>
      <c r="L263" s="201">
        <f t="shared" si="38"/>
        <v>2.6943016716246788E-2</v>
      </c>
      <c r="M263" s="200" t="s">
        <v>544</v>
      </c>
      <c r="N263" s="199"/>
      <c r="O263" s="200"/>
      <c r="P263" s="199"/>
      <c r="Q263" s="200"/>
      <c r="R263" s="199"/>
      <c r="S263" s="200"/>
      <c r="T263" s="199"/>
      <c r="U263" s="200"/>
      <c r="V263" s="200"/>
      <c r="W263" s="200"/>
      <c r="X263" s="199"/>
      <c r="Y263" s="200"/>
      <c r="Z263" s="200"/>
      <c r="AA263" s="200"/>
      <c r="AB263" s="200"/>
      <c r="AC263" s="200"/>
      <c r="AD263" s="200"/>
      <c r="AE263" s="200"/>
      <c r="AF263" s="200"/>
      <c r="AG263" s="200"/>
      <c r="AH263" s="200"/>
      <c r="AI263" s="200"/>
      <c r="AJ263" s="250"/>
      <c r="AK263" s="89" t="str">
        <f>""</f>
        <v/>
      </c>
    </row>
    <row r="264" spans="1:37" ht="18.5" x14ac:dyDescent="0.45">
      <c r="A264" s="511"/>
      <c r="F264" s="199">
        <f>$P$252/CO2_KgPerLiter_Skip/1000</f>
        <v>1.858006230529595E-2</v>
      </c>
      <c r="G264" s="200" t="s">
        <v>702</v>
      </c>
      <c r="H264" s="191">
        <f t="shared" si="37"/>
        <v>0.84</v>
      </c>
      <c r="I264" s="200" t="str">
        <f>'1.2 Forutsetninger'!$D$368</f>
        <v>Kg/l</v>
      </c>
      <c r="J264" s="199">
        <f t="shared" si="39"/>
        <v>22.119121792018991</v>
      </c>
      <c r="K264" s="200" t="s">
        <v>546</v>
      </c>
      <c r="L264" s="201">
        <f t="shared" si="38"/>
        <v>2.8019958202426039E-2</v>
      </c>
      <c r="M264" s="200" t="s">
        <v>544</v>
      </c>
      <c r="N264" s="199"/>
      <c r="O264" s="200"/>
      <c r="P264" s="199"/>
      <c r="Q264" s="200"/>
      <c r="R264" s="199"/>
      <c r="S264" s="200"/>
      <c r="T264" s="199"/>
      <c r="U264" s="200"/>
      <c r="V264" s="200"/>
      <c r="W264" s="200"/>
      <c r="X264" s="199"/>
      <c r="Y264" s="200"/>
      <c r="Z264" s="200"/>
      <c r="AA264" s="200"/>
      <c r="AB264" s="200"/>
      <c r="AC264" s="200"/>
      <c r="AD264" s="200"/>
      <c r="AE264" s="200"/>
      <c r="AF264" s="200"/>
      <c r="AG264" s="200"/>
      <c r="AH264" s="200"/>
      <c r="AI264" s="200"/>
      <c r="AJ264" s="250"/>
      <c r="AK264" s="89" t="str">
        <f>""</f>
        <v/>
      </c>
    </row>
    <row r="265" spans="1:37" ht="18.5" x14ac:dyDescent="0.45">
      <c r="A265" s="511"/>
      <c r="F265" s="199">
        <f>$R$252/CO2_KgPerLiter_Skip/1000</f>
        <v>2.4667912772585669E-2</v>
      </c>
      <c r="G265" s="200" t="s">
        <v>702</v>
      </c>
      <c r="H265" s="191">
        <f t="shared" si="37"/>
        <v>0.84</v>
      </c>
      <c r="I265" s="200" t="str">
        <f>'1.2 Forutsetninger'!$D$368</f>
        <v>Kg/l</v>
      </c>
      <c r="J265" s="199">
        <f t="shared" si="39"/>
        <v>29.366562824506751</v>
      </c>
      <c r="K265" s="200" t="s">
        <v>546</v>
      </c>
      <c r="L265" s="201">
        <f t="shared" si="38"/>
        <v>4.3358721695501055E-2</v>
      </c>
      <c r="M265" s="200" t="s">
        <v>544</v>
      </c>
      <c r="N265" s="199"/>
      <c r="O265" s="200"/>
      <c r="P265" s="199"/>
      <c r="Q265" s="200"/>
      <c r="R265" s="199"/>
      <c r="S265" s="200"/>
      <c r="T265" s="199"/>
      <c r="U265" s="200"/>
      <c r="V265" s="200"/>
      <c r="W265" s="200"/>
      <c r="X265" s="199"/>
      <c r="Y265" s="200"/>
      <c r="Z265" s="200"/>
      <c r="AA265" s="200"/>
      <c r="AB265" s="200"/>
      <c r="AC265" s="200"/>
      <c r="AD265" s="200"/>
      <c r="AE265" s="200"/>
      <c r="AF265" s="200"/>
      <c r="AG265" s="200"/>
      <c r="AH265" s="200"/>
      <c r="AI265" s="200"/>
      <c r="AJ265" s="250"/>
      <c r="AK265" s="89" t="str">
        <f>""</f>
        <v/>
      </c>
    </row>
    <row r="266" spans="1:37" ht="18.5" x14ac:dyDescent="0.45">
      <c r="A266" s="511"/>
      <c r="F266" s="199">
        <f>$T$252/CO2_KgPerLiter_Skip/1000</f>
        <v>2.4667912772585669E-2</v>
      </c>
      <c r="G266" s="200" t="s">
        <v>702</v>
      </c>
      <c r="H266" s="191">
        <f t="shared" si="37"/>
        <v>0.84</v>
      </c>
      <c r="I266" s="200" t="str">
        <f>'1.2 Forutsetninger'!$D$368</f>
        <v>Kg/l</v>
      </c>
      <c r="J266" s="199">
        <f t="shared" si="39"/>
        <v>29.366562824506751</v>
      </c>
      <c r="K266" s="200" t="s">
        <v>546</v>
      </c>
      <c r="L266" s="201">
        <f t="shared" si="38"/>
        <v>0.610920798884656</v>
      </c>
      <c r="M266" s="200" t="s">
        <v>544</v>
      </c>
      <c r="N266" s="199"/>
      <c r="O266" s="200"/>
      <c r="P266" s="199"/>
      <c r="Q266" s="200"/>
      <c r="R266" s="199"/>
      <c r="S266" s="200"/>
      <c r="T266" s="199"/>
      <c r="U266" s="200"/>
      <c r="V266" s="200"/>
      <c r="W266" s="200"/>
      <c r="X266" s="199"/>
      <c r="Y266" s="200"/>
      <c r="Z266" s="200"/>
      <c r="AA266" s="200"/>
      <c r="AB266" s="200"/>
      <c r="AC266" s="200"/>
      <c r="AD266" s="200"/>
      <c r="AE266" s="200"/>
      <c r="AF266" s="200"/>
      <c r="AG266" s="200"/>
      <c r="AH266" s="200"/>
      <c r="AI266" s="200"/>
      <c r="AJ266" s="250"/>
      <c r="AK266" s="89" t="str">
        <f>""</f>
        <v/>
      </c>
    </row>
    <row r="267" spans="1:37" ht="18.5" x14ac:dyDescent="0.45">
      <c r="B267" s="212" t="str">
        <f>'1.2 Forutsetninger'!B385</f>
        <v>Fly</v>
      </c>
      <c r="C267" s="146">
        <f>((F267*H267)+(J267*L267)+(N267*P267)+(R267*T267))/4</f>
        <v>4.9042500000000002</v>
      </c>
      <c r="D267" s="34" t="s">
        <v>546</v>
      </c>
      <c r="E267" s="34">
        <v>2017</v>
      </c>
      <c r="F267" s="191">
        <v>141</v>
      </c>
      <c r="G267" s="34" t="s">
        <v>704</v>
      </c>
      <c r="H267" s="191">
        <v>3.3000000000000002E-2</v>
      </c>
      <c r="I267" s="34" t="s">
        <v>705</v>
      </c>
      <c r="J267" s="191">
        <v>168</v>
      </c>
      <c r="K267" s="34" t="s">
        <v>704</v>
      </c>
      <c r="L267" s="191">
        <v>2.9000000000000001E-2</v>
      </c>
      <c r="M267" s="34" t="s">
        <v>705</v>
      </c>
      <c r="N267" s="191">
        <v>174</v>
      </c>
      <c r="O267" s="34" t="s">
        <v>704</v>
      </c>
      <c r="P267" s="191">
        <v>2.5000000000000001E-2</v>
      </c>
      <c r="Q267" s="34" t="s">
        <v>705</v>
      </c>
      <c r="R267" s="191">
        <v>198</v>
      </c>
      <c r="S267" s="34" t="s">
        <v>704</v>
      </c>
      <c r="T267" s="191">
        <v>2.9000000000000001E-2</v>
      </c>
      <c r="U267" s="34" t="s">
        <v>705</v>
      </c>
      <c r="AJ267" s="213" t="s">
        <v>706</v>
      </c>
      <c r="AK267" s="89" t="str">
        <f>""</f>
        <v/>
      </c>
    </row>
    <row r="268" spans="1:37" ht="18.5" x14ac:dyDescent="0.45">
      <c r="B268" s="247" t="s">
        <v>707</v>
      </c>
      <c r="C268" s="145"/>
      <c r="D268" s="48"/>
      <c r="E268" s="48"/>
      <c r="F268" s="192"/>
      <c r="G268" s="48"/>
      <c r="H268" s="192"/>
      <c r="I268" s="48"/>
      <c r="J268" s="192"/>
      <c r="K268" s="48"/>
      <c r="L268" s="192"/>
      <c r="M268" s="48"/>
      <c r="N268" s="192"/>
      <c r="O268" s="48"/>
      <c r="P268" s="192"/>
      <c r="Q268" s="48"/>
      <c r="R268" s="192"/>
      <c r="S268" s="48"/>
      <c r="T268" s="192"/>
      <c r="U268" s="48"/>
      <c r="V268" s="48"/>
      <c r="W268" s="48"/>
      <c r="X268" s="192"/>
      <c r="Y268" s="48"/>
      <c r="Z268" s="48"/>
      <c r="AA268" s="48"/>
      <c r="AB268" s="48"/>
      <c r="AC268" s="48"/>
      <c r="AD268" s="48"/>
      <c r="AE268" s="48"/>
      <c r="AF268" s="48"/>
      <c r="AG268" s="48"/>
      <c r="AH268" s="48"/>
      <c r="AI268" s="48"/>
      <c r="AJ268" s="248"/>
      <c r="AK268" s="89" t="str">
        <f>""</f>
        <v/>
      </c>
    </row>
    <row r="269" spans="1:37" ht="18.5" x14ac:dyDescent="0.45">
      <c r="B269" s="212" t="s">
        <v>708</v>
      </c>
      <c r="C269" s="201">
        <v>0.18318023325383817</v>
      </c>
      <c r="D269" s="200" t="s">
        <v>544</v>
      </c>
      <c r="AJ269" s="250" t="s">
        <v>709</v>
      </c>
      <c r="AK269" s="89" t="str">
        <f>""</f>
        <v/>
      </c>
    </row>
    <row r="270" spans="1:37" ht="18.5" x14ac:dyDescent="0.45">
      <c r="B270" s="212" t="s">
        <v>710</v>
      </c>
      <c r="C270" s="201">
        <v>6.8195162946534174E-2</v>
      </c>
      <c r="D270" s="200" t="s">
        <v>544</v>
      </c>
      <c r="AJ270" s="250" t="s">
        <v>709</v>
      </c>
      <c r="AK270" s="89" t="str">
        <f>""</f>
        <v/>
      </c>
    </row>
    <row r="271" spans="1:37" ht="18.5" x14ac:dyDescent="0.45">
      <c r="B271" s="212" t="s">
        <v>711</v>
      </c>
      <c r="C271" s="201">
        <v>9.1080865226477736E-3</v>
      </c>
      <c r="D271" s="200" t="s">
        <v>544</v>
      </c>
      <c r="H271" s="34"/>
      <c r="J271" s="34"/>
      <c r="L271" s="34"/>
      <c r="N271" s="34"/>
      <c r="P271" s="34"/>
      <c r="R271" s="34"/>
      <c r="T271" s="34"/>
      <c r="AJ271" s="250" t="s">
        <v>709</v>
      </c>
      <c r="AK271" s="89" t="str">
        <f>""</f>
        <v/>
      </c>
    </row>
    <row r="272" spans="1:37" ht="18.5" x14ac:dyDescent="0.45">
      <c r="B272" s="212" t="s">
        <v>712</v>
      </c>
      <c r="C272" s="201">
        <v>1.9276417764247211E-2</v>
      </c>
      <c r="D272" s="200" t="s">
        <v>544</v>
      </c>
      <c r="AJ272" s="250" t="s">
        <v>709</v>
      </c>
      <c r="AK272" s="89" t="str">
        <f>""</f>
        <v/>
      </c>
    </row>
    <row r="273" spans="2:37" ht="18.5" x14ac:dyDescent="0.45">
      <c r="B273" s="212" t="s">
        <v>713</v>
      </c>
      <c r="C273" s="201">
        <v>2.6943016716246788E-2</v>
      </c>
      <c r="D273" s="200" t="s">
        <v>544</v>
      </c>
      <c r="AJ273" s="250" t="s">
        <v>709</v>
      </c>
      <c r="AK273" s="89" t="str">
        <f>""</f>
        <v/>
      </c>
    </row>
    <row r="274" spans="2:37" ht="18.5" x14ac:dyDescent="0.45">
      <c r="B274" s="212" t="s">
        <v>714</v>
      </c>
      <c r="C274" s="201">
        <v>2.8019958202426039E-2</v>
      </c>
      <c r="D274" s="200" t="s">
        <v>544</v>
      </c>
      <c r="AJ274" s="250" t="s">
        <v>709</v>
      </c>
      <c r="AK274" s="89" t="str">
        <f>""</f>
        <v/>
      </c>
    </row>
    <row r="275" spans="2:37" ht="18.5" x14ac:dyDescent="0.45">
      <c r="B275" s="212" t="s">
        <v>715</v>
      </c>
      <c r="C275" s="201">
        <v>4.3358721695501055E-2</v>
      </c>
      <c r="D275" s="200" t="s">
        <v>544</v>
      </c>
      <c r="AJ275" s="250" t="s">
        <v>709</v>
      </c>
      <c r="AK275" s="89" t="str">
        <f>""</f>
        <v/>
      </c>
    </row>
    <row r="276" spans="2:37" ht="18.5" x14ac:dyDescent="0.45">
      <c r="B276" s="212" t="s">
        <v>716</v>
      </c>
      <c r="C276" s="201">
        <v>0.610920798884656</v>
      </c>
      <c r="D276" s="200" t="s">
        <v>544</v>
      </c>
      <c r="AJ276" s="250" t="s">
        <v>709</v>
      </c>
      <c r="AK276" s="89" t="str">
        <f>""</f>
        <v/>
      </c>
    </row>
    <row r="277" spans="2:37" ht="18.5" x14ac:dyDescent="0.45">
      <c r="AJ277" s="213"/>
      <c r="AK277" s="89" t="str">
        <f>""</f>
        <v/>
      </c>
    </row>
    <row r="278" spans="2:37" x14ac:dyDescent="0.35">
      <c r="AJ278" s="213"/>
    </row>
    <row r="279" spans="2:37" x14ac:dyDescent="0.35">
      <c r="AJ279" s="213"/>
    </row>
    <row r="280" spans="2:37" x14ac:dyDescent="0.35">
      <c r="AJ280" s="213"/>
    </row>
    <row r="281" spans="2:37" x14ac:dyDescent="0.35">
      <c r="AJ281" s="213"/>
    </row>
    <row r="282" spans="2:37" x14ac:dyDescent="0.35">
      <c r="AJ282" s="213"/>
    </row>
    <row r="283" spans="2:37" x14ac:dyDescent="0.35">
      <c r="AJ283" s="213"/>
    </row>
    <row r="284" spans="2:37" x14ac:dyDescent="0.35">
      <c r="AJ284" s="213"/>
    </row>
    <row r="285" spans="2:37" x14ac:dyDescent="0.35">
      <c r="AJ285" s="213"/>
    </row>
    <row r="286" spans="2:37" x14ac:dyDescent="0.35">
      <c r="AJ286" s="213"/>
    </row>
    <row r="287" spans="2:37" x14ac:dyDescent="0.35">
      <c r="AJ287" s="213"/>
    </row>
    <row r="288" spans="2:37" x14ac:dyDescent="0.35">
      <c r="AJ288" s="213"/>
    </row>
    <row r="289" spans="36:36" x14ac:dyDescent="0.35">
      <c r="AJ289" s="213"/>
    </row>
    <row r="290" spans="36:36" x14ac:dyDescent="0.35">
      <c r="AJ290" s="213"/>
    </row>
    <row r="291" spans="36:36" x14ac:dyDescent="0.35">
      <c r="AJ291" s="213"/>
    </row>
    <row r="292" spans="36:36" x14ac:dyDescent="0.35">
      <c r="AJ292" s="213"/>
    </row>
    <row r="293" spans="36:36" x14ac:dyDescent="0.35">
      <c r="AJ293" s="213"/>
    </row>
    <row r="294" spans="36:36" x14ac:dyDescent="0.35">
      <c r="AJ294" s="213"/>
    </row>
    <row r="295" spans="36:36" x14ac:dyDescent="0.35">
      <c r="AJ295" s="213"/>
    </row>
    <row r="296" spans="36:36" x14ac:dyDescent="0.35">
      <c r="AJ296" s="213"/>
    </row>
    <row r="297" spans="36:36" x14ac:dyDescent="0.35">
      <c r="AJ297" s="213"/>
    </row>
    <row r="298" spans="36:36" x14ac:dyDescent="0.35">
      <c r="AJ298" s="213"/>
    </row>
    <row r="299" spans="36:36" x14ac:dyDescent="0.35">
      <c r="AJ299" s="213"/>
    </row>
    <row r="300" spans="36:36" x14ac:dyDescent="0.35">
      <c r="AJ300" s="213"/>
    </row>
    <row r="301" spans="36:36" x14ac:dyDescent="0.35">
      <c r="AJ301" s="213"/>
    </row>
    <row r="302" spans="36:36" x14ac:dyDescent="0.35">
      <c r="AJ302" s="213"/>
    </row>
    <row r="303" spans="36:36" x14ac:dyDescent="0.35">
      <c r="AJ303" s="213"/>
    </row>
    <row r="304" spans="36:36" x14ac:dyDescent="0.35">
      <c r="AJ304" s="213"/>
    </row>
    <row r="305" spans="36:36" x14ac:dyDescent="0.35">
      <c r="AJ305" s="213"/>
    </row>
    <row r="306" spans="36:36" x14ac:dyDescent="0.35">
      <c r="AJ306" s="213"/>
    </row>
    <row r="307" spans="36:36" x14ac:dyDescent="0.35">
      <c r="AJ307" s="213"/>
    </row>
    <row r="308" spans="36:36" x14ac:dyDescent="0.35">
      <c r="AJ308" s="213"/>
    </row>
    <row r="309" spans="36:36" x14ac:dyDescent="0.35">
      <c r="AJ309" s="213"/>
    </row>
    <row r="310" spans="36:36" x14ac:dyDescent="0.35">
      <c r="AJ310" s="213"/>
    </row>
    <row r="311" spans="36:36" x14ac:dyDescent="0.35">
      <c r="AJ311" s="213"/>
    </row>
    <row r="312" spans="36:36" x14ac:dyDescent="0.35">
      <c r="AJ312" s="213"/>
    </row>
    <row r="313" spans="36:36" x14ac:dyDescent="0.35">
      <c r="AJ313" s="213"/>
    </row>
    <row r="314" spans="36:36" x14ac:dyDescent="0.35">
      <c r="AJ314" s="213"/>
    </row>
    <row r="315" spans="36:36" x14ac:dyDescent="0.35">
      <c r="AJ315" s="213"/>
    </row>
    <row r="316" spans="36:36" x14ac:dyDescent="0.35">
      <c r="AJ316" s="213"/>
    </row>
    <row r="317" spans="36:36" x14ac:dyDescent="0.35">
      <c r="AJ317" s="213"/>
    </row>
    <row r="318" spans="36:36" x14ac:dyDescent="0.35">
      <c r="AJ318" s="213"/>
    </row>
    <row r="319" spans="36:36" x14ac:dyDescent="0.35">
      <c r="AJ319" s="213"/>
    </row>
    <row r="320" spans="36:36" x14ac:dyDescent="0.35">
      <c r="AJ320" s="213"/>
    </row>
    <row r="321" spans="36:36" x14ac:dyDescent="0.35">
      <c r="AJ321" s="213"/>
    </row>
    <row r="322" spans="36:36" x14ac:dyDescent="0.35">
      <c r="AJ322" s="213"/>
    </row>
    <row r="323" spans="36:36" x14ac:dyDescent="0.35">
      <c r="AJ323" s="213"/>
    </row>
    <row r="324" spans="36:36" x14ac:dyDescent="0.35">
      <c r="AJ324" s="213"/>
    </row>
    <row r="325" spans="36:36" x14ac:dyDescent="0.35">
      <c r="AJ325" s="213"/>
    </row>
    <row r="326" spans="36:36" x14ac:dyDescent="0.35">
      <c r="AJ326" s="213"/>
    </row>
    <row r="327" spans="36:36" x14ac:dyDescent="0.35">
      <c r="AJ327" s="213"/>
    </row>
    <row r="328" spans="36:36" x14ac:dyDescent="0.35">
      <c r="AJ328" s="213"/>
    </row>
    <row r="329" spans="36:36" x14ac:dyDescent="0.35">
      <c r="AJ329" s="213"/>
    </row>
    <row r="330" spans="36:36" x14ac:dyDescent="0.35">
      <c r="AJ330" s="213"/>
    </row>
    <row r="331" spans="36:36" x14ac:dyDescent="0.35">
      <c r="AJ331" s="213"/>
    </row>
    <row r="332" spans="36:36" x14ac:dyDescent="0.35">
      <c r="AJ332" s="213"/>
    </row>
    <row r="333" spans="36:36" x14ac:dyDescent="0.35">
      <c r="AJ333" s="213"/>
    </row>
    <row r="334" spans="36:36" x14ac:dyDescent="0.35">
      <c r="AJ334" s="213"/>
    </row>
    <row r="335" spans="36:36" x14ac:dyDescent="0.35">
      <c r="AJ335" s="213"/>
    </row>
    <row r="336" spans="36:36" x14ac:dyDescent="0.35">
      <c r="AJ336" s="213"/>
    </row>
    <row r="337" spans="36:36" x14ac:dyDescent="0.35">
      <c r="AJ337" s="213"/>
    </row>
    <row r="338" spans="36:36" x14ac:dyDescent="0.35">
      <c r="AJ338" s="213"/>
    </row>
    <row r="339" spans="36:36" x14ac:dyDescent="0.35">
      <c r="AJ339" s="213"/>
    </row>
    <row r="340" spans="36:36" x14ac:dyDescent="0.35">
      <c r="AJ340" s="213"/>
    </row>
    <row r="341" spans="36:36" x14ac:dyDescent="0.35">
      <c r="AJ341" s="213"/>
    </row>
    <row r="342" spans="36:36" x14ac:dyDescent="0.35">
      <c r="AJ342" s="213"/>
    </row>
    <row r="343" spans="36:36" x14ac:dyDescent="0.35">
      <c r="AJ343" s="213"/>
    </row>
    <row r="344" spans="36:36" x14ac:dyDescent="0.35">
      <c r="AJ344" s="213"/>
    </row>
    <row r="345" spans="36:36" x14ac:dyDescent="0.35">
      <c r="AJ345" s="213"/>
    </row>
    <row r="346" spans="36:36" x14ac:dyDescent="0.35">
      <c r="AJ346" s="213"/>
    </row>
    <row r="347" spans="36:36" x14ac:dyDescent="0.35">
      <c r="AJ347" s="213"/>
    </row>
    <row r="348" spans="36:36" x14ac:dyDescent="0.35">
      <c r="AJ348" s="213"/>
    </row>
    <row r="349" spans="36:36" x14ac:dyDescent="0.35">
      <c r="AJ349" s="213"/>
    </row>
    <row r="350" spans="36:36" x14ac:dyDescent="0.35">
      <c r="AJ350" s="213"/>
    </row>
    <row r="351" spans="36:36" x14ac:dyDescent="0.35">
      <c r="AJ351" s="213"/>
    </row>
    <row r="352" spans="36:36" x14ac:dyDescent="0.35">
      <c r="AJ352" s="213"/>
    </row>
    <row r="353" spans="36:36" x14ac:dyDescent="0.35">
      <c r="AJ353" s="213"/>
    </row>
    <row r="354" spans="36:36" x14ac:dyDescent="0.35">
      <c r="AJ354" s="213"/>
    </row>
    <row r="355" spans="36:36" x14ac:dyDescent="0.35">
      <c r="AJ355" s="213"/>
    </row>
    <row r="356" spans="36:36" x14ac:dyDescent="0.35">
      <c r="AJ356" s="213"/>
    </row>
    <row r="357" spans="36:36" x14ac:dyDescent="0.35">
      <c r="AJ357" s="213"/>
    </row>
    <row r="358" spans="36:36" x14ac:dyDescent="0.35">
      <c r="AJ358" s="213"/>
    </row>
    <row r="359" spans="36:36" x14ac:dyDescent="0.35">
      <c r="AJ359" s="213"/>
    </row>
    <row r="360" spans="36:36" x14ac:dyDescent="0.35">
      <c r="AJ360" s="213"/>
    </row>
    <row r="361" spans="36:36" x14ac:dyDescent="0.35">
      <c r="AJ361" s="213"/>
    </row>
    <row r="362" spans="36:36" x14ac:dyDescent="0.35">
      <c r="AJ362" s="213"/>
    </row>
    <row r="363" spans="36:36" x14ac:dyDescent="0.35">
      <c r="AJ363" s="213"/>
    </row>
    <row r="364" spans="36:36" x14ac:dyDescent="0.35">
      <c r="AJ364" s="213"/>
    </row>
    <row r="365" spans="36:36" x14ac:dyDescent="0.35">
      <c r="AJ365" s="213"/>
    </row>
    <row r="366" spans="36:36" x14ac:dyDescent="0.35">
      <c r="AJ366" s="213"/>
    </row>
    <row r="367" spans="36:36" x14ac:dyDescent="0.35">
      <c r="AJ367" s="213"/>
    </row>
    <row r="368" spans="36:36" x14ac:dyDescent="0.35">
      <c r="AJ368" s="213"/>
    </row>
    <row r="369" spans="36:36" x14ac:dyDescent="0.35">
      <c r="AJ369" s="213"/>
    </row>
    <row r="370" spans="36:36" x14ac:dyDescent="0.35">
      <c r="AJ370" s="213"/>
    </row>
    <row r="371" spans="36:36" x14ac:dyDescent="0.35">
      <c r="AJ371" s="213"/>
    </row>
    <row r="372" spans="36:36" x14ac:dyDescent="0.35">
      <c r="AJ372" s="213"/>
    </row>
    <row r="373" spans="36:36" x14ac:dyDescent="0.35">
      <c r="AJ373" s="213"/>
    </row>
    <row r="374" spans="36:36" x14ac:dyDescent="0.35">
      <c r="AJ374" s="213"/>
    </row>
    <row r="375" spans="36:36" x14ac:dyDescent="0.35">
      <c r="AJ375" s="213"/>
    </row>
    <row r="376" spans="36:36" x14ac:dyDescent="0.35">
      <c r="AJ376" s="213"/>
    </row>
    <row r="377" spans="36:36" x14ac:dyDescent="0.35">
      <c r="AJ377" s="213"/>
    </row>
    <row r="378" spans="36:36" x14ac:dyDescent="0.35">
      <c r="AJ378" s="213"/>
    </row>
    <row r="379" spans="36:36" x14ac:dyDescent="0.35">
      <c r="AJ379" s="213"/>
    </row>
    <row r="380" spans="36:36" x14ac:dyDescent="0.35">
      <c r="AJ380" s="213"/>
    </row>
    <row r="381" spans="36:36" x14ac:dyDescent="0.35">
      <c r="AJ381" s="213"/>
    </row>
    <row r="382" spans="36:36" x14ac:dyDescent="0.35">
      <c r="AJ382" s="213"/>
    </row>
    <row r="383" spans="36:36" x14ac:dyDescent="0.35">
      <c r="AJ383" s="213"/>
    </row>
    <row r="384" spans="36:36" x14ac:dyDescent="0.35">
      <c r="AJ384" s="213"/>
    </row>
    <row r="385" spans="36:36" x14ac:dyDescent="0.35">
      <c r="AJ385" s="213"/>
    </row>
    <row r="386" spans="36:36" x14ac:dyDescent="0.35">
      <c r="AJ386" s="213"/>
    </row>
    <row r="387" spans="36:36" x14ac:dyDescent="0.35">
      <c r="AJ387" s="213"/>
    </row>
    <row r="388" spans="36:36" x14ac:dyDescent="0.35">
      <c r="AJ388" s="213"/>
    </row>
    <row r="389" spans="36:36" x14ac:dyDescent="0.35">
      <c r="AJ389" s="213"/>
    </row>
    <row r="390" spans="36:36" x14ac:dyDescent="0.35">
      <c r="AJ390" s="213"/>
    </row>
    <row r="391" spans="36:36" x14ac:dyDescent="0.35">
      <c r="AJ391" s="213"/>
    </row>
    <row r="392" spans="36:36" x14ac:dyDescent="0.35">
      <c r="AJ392" s="213"/>
    </row>
    <row r="393" spans="36:36" x14ac:dyDescent="0.35">
      <c r="AJ393" s="213"/>
    </row>
    <row r="394" spans="36:36" x14ac:dyDescent="0.35">
      <c r="AJ394" s="213"/>
    </row>
    <row r="395" spans="36:36" x14ac:dyDescent="0.35">
      <c r="AJ395" s="213"/>
    </row>
    <row r="396" spans="36:36" x14ac:dyDescent="0.35">
      <c r="AJ396" s="213"/>
    </row>
    <row r="397" spans="36:36" x14ac:dyDescent="0.35">
      <c r="AJ397" s="213"/>
    </row>
    <row r="398" spans="36:36" x14ac:dyDescent="0.35">
      <c r="AJ398" s="213"/>
    </row>
    <row r="399" spans="36:36" x14ac:dyDescent="0.35">
      <c r="AJ399" s="213"/>
    </row>
    <row r="400" spans="36:36" x14ac:dyDescent="0.35">
      <c r="AJ400" s="213"/>
    </row>
    <row r="401" spans="36:36" x14ac:dyDescent="0.35">
      <c r="AJ401" s="213"/>
    </row>
    <row r="402" spans="36:36" x14ac:dyDescent="0.35">
      <c r="AJ402" s="213"/>
    </row>
    <row r="403" spans="36:36" x14ac:dyDescent="0.35">
      <c r="AJ403" s="213"/>
    </row>
    <row r="404" spans="36:36" x14ac:dyDescent="0.35">
      <c r="AJ404" s="213"/>
    </row>
    <row r="405" spans="36:36" x14ac:dyDescent="0.35">
      <c r="AJ405" s="213"/>
    </row>
    <row r="406" spans="36:36" x14ac:dyDescent="0.35">
      <c r="AJ406" s="213"/>
    </row>
    <row r="407" spans="36:36" x14ac:dyDescent="0.35">
      <c r="AJ407" s="213"/>
    </row>
    <row r="408" spans="36:36" x14ac:dyDescent="0.35">
      <c r="AJ408" s="213"/>
    </row>
    <row r="409" spans="36:36" x14ac:dyDescent="0.35">
      <c r="AJ409" s="213"/>
    </row>
    <row r="410" spans="36:36" x14ac:dyDescent="0.35">
      <c r="AJ410" s="213"/>
    </row>
    <row r="411" spans="36:36" x14ac:dyDescent="0.35">
      <c r="AJ411" s="213"/>
    </row>
    <row r="412" spans="36:36" x14ac:dyDescent="0.35">
      <c r="AJ412" s="213"/>
    </row>
    <row r="413" spans="36:36" x14ac:dyDescent="0.35">
      <c r="AJ413" s="213"/>
    </row>
    <row r="414" spans="36:36" x14ac:dyDescent="0.35">
      <c r="AJ414" s="213"/>
    </row>
    <row r="415" spans="36:36" x14ac:dyDescent="0.35">
      <c r="AJ415" s="213"/>
    </row>
    <row r="416" spans="36:36" x14ac:dyDescent="0.35">
      <c r="AJ416" s="213"/>
    </row>
    <row r="417" spans="36:36" x14ac:dyDescent="0.35">
      <c r="AJ417" s="213"/>
    </row>
    <row r="418" spans="36:36" x14ac:dyDescent="0.35">
      <c r="AJ418" s="213"/>
    </row>
    <row r="419" spans="36:36" x14ac:dyDescent="0.35">
      <c r="AJ419" s="213"/>
    </row>
    <row r="420" spans="36:36" x14ac:dyDescent="0.35">
      <c r="AJ420" s="213"/>
    </row>
    <row r="421" spans="36:36" x14ac:dyDescent="0.35">
      <c r="AJ421" s="213"/>
    </row>
    <row r="422" spans="36:36" x14ac:dyDescent="0.35">
      <c r="AJ422" s="213"/>
    </row>
    <row r="423" spans="36:36" x14ac:dyDescent="0.35">
      <c r="AJ423" s="213"/>
    </row>
    <row r="424" spans="36:36" x14ac:dyDescent="0.35">
      <c r="AJ424" s="213"/>
    </row>
    <row r="425" spans="36:36" x14ac:dyDescent="0.35">
      <c r="AJ425" s="213"/>
    </row>
    <row r="426" spans="36:36" x14ac:dyDescent="0.35">
      <c r="AJ426" s="213"/>
    </row>
    <row r="427" spans="36:36" x14ac:dyDescent="0.35">
      <c r="AJ427" s="213"/>
    </row>
    <row r="428" spans="36:36" x14ac:dyDescent="0.35">
      <c r="AJ428" s="213"/>
    </row>
    <row r="429" spans="36:36" x14ac:dyDescent="0.35">
      <c r="AJ429" s="213"/>
    </row>
    <row r="430" spans="36:36" x14ac:dyDescent="0.35">
      <c r="AJ430" s="213"/>
    </row>
    <row r="431" spans="36:36" x14ac:dyDescent="0.35">
      <c r="AJ431" s="213"/>
    </row>
    <row r="432" spans="36:36" x14ac:dyDescent="0.35">
      <c r="AJ432" s="213"/>
    </row>
    <row r="433" spans="36:36" x14ac:dyDescent="0.35">
      <c r="AJ433" s="213"/>
    </row>
    <row r="434" spans="36:36" x14ac:dyDescent="0.35">
      <c r="AJ434" s="213"/>
    </row>
    <row r="435" spans="36:36" x14ac:dyDescent="0.35">
      <c r="AJ435" s="213"/>
    </row>
    <row r="436" spans="36:36" x14ac:dyDescent="0.35">
      <c r="AJ436" s="213"/>
    </row>
    <row r="437" spans="36:36" x14ac:dyDescent="0.35">
      <c r="AJ437" s="213"/>
    </row>
    <row r="438" spans="36:36" x14ac:dyDescent="0.35">
      <c r="AJ438" s="213"/>
    </row>
    <row r="439" spans="36:36" x14ac:dyDescent="0.35">
      <c r="AJ439" s="213"/>
    </row>
    <row r="440" spans="36:36" x14ac:dyDescent="0.35">
      <c r="AJ440" s="213"/>
    </row>
    <row r="441" spans="36:36" x14ac:dyDescent="0.35">
      <c r="AJ441" s="213"/>
    </row>
    <row r="442" spans="36:36" x14ac:dyDescent="0.35">
      <c r="AJ442" s="213"/>
    </row>
    <row r="443" spans="36:36" x14ac:dyDescent="0.35">
      <c r="AJ443" s="213"/>
    </row>
    <row r="444" spans="36:36" x14ac:dyDescent="0.35">
      <c r="AJ444" s="213"/>
    </row>
    <row r="445" spans="36:36" x14ac:dyDescent="0.35">
      <c r="AJ445" s="213"/>
    </row>
    <row r="446" spans="36:36" x14ac:dyDescent="0.35">
      <c r="AJ446" s="213"/>
    </row>
    <row r="447" spans="36:36" x14ac:dyDescent="0.35">
      <c r="AJ447" s="213"/>
    </row>
    <row r="448" spans="36:36" x14ac:dyDescent="0.35">
      <c r="AJ448" s="213"/>
    </row>
    <row r="449" spans="36:36" x14ac:dyDescent="0.35">
      <c r="AJ449" s="213"/>
    </row>
    <row r="450" spans="36:36" x14ac:dyDescent="0.35">
      <c r="AJ450" s="213"/>
    </row>
    <row r="451" spans="36:36" x14ac:dyDescent="0.35">
      <c r="AJ451" s="213"/>
    </row>
    <row r="452" spans="36:36" x14ac:dyDescent="0.35">
      <c r="AJ452" s="213"/>
    </row>
    <row r="453" spans="36:36" x14ac:dyDescent="0.35">
      <c r="AJ453" s="213"/>
    </row>
    <row r="454" spans="36:36" x14ac:dyDescent="0.35">
      <c r="AJ454" s="213"/>
    </row>
    <row r="455" spans="36:36" x14ac:dyDescent="0.35">
      <c r="AJ455" s="213"/>
    </row>
    <row r="456" spans="36:36" x14ac:dyDescent="0.35">
      <c r="AJ456" s="213"/>
    </row>
    <row r="457" spans="36:36" x14ac:dyDescent="0.35">
      <c r="AJ457" s="213"/>
    </row>
    <row r="458" spans="36:36" x14ac:dyDescent="0.35">
      <c r="AJ458" s="213"/>
    </row>
    <row r="459" spans="36:36" x14ac:dyDescent="0.35">
      <c r="AJ459" s="213"/>
    </row>
    <row r="460" spans="36:36" x14ac:dyDescent="0.35">
      <c r="AJ460" s="213"/>
    </row>
    <row r="461" spans="36:36" x14ac:dyDescent="0.35">
      <c r="AJ461" s="213"/>
    </row>
    <row r="462" spans="36:36" x14ac:dyDescent="0.35">
      <c r="AJ462" s="213"/>
    </row>
    <row r="463" spans="36:36" x14ac:dyDescent="0.35">
      <c r="AJ463" s="213"/>
    </row>
    <row r="464" spans="36:36" x14ac:dyDescent="0.35">
      <c r="AJ464" s="213"/>
    </row>
    <row r="465" spans="36:36" x14ac:dyDescent="0.35">
      <c r="AJ465" s="213"/>
    </row>
    <row r="466" spans="36:36" x14ac:dyDescent="0.35">
      <c r="AJ466" s="213"/>
    </row>
    <row r="467" spans="36:36" x14ac:dyDescent="0.35">
      <c r="AJ467" s="213"/>
    </row>
    <row r="468" spans="36:36" x14ac:dyDescent="0.35">
      <c r="AJ468" s="213"/>
    </row>
    <row r="469" spans="36:36" x14ac:dyDescent="0.35">
      <c r="AJ469" s="213"/>
    </row>
    <row r="470" spans="36:36" x14ac:dyDescent="0.35">
      <c r="AJ470" s="213"/>
    </row>
    <row r="471" spans="36:36" x14ac:dyDescent="0.35">
      <c r="AJ471" s="213"/>
    </row>
    <row r="472" spans="36:36" x14ac:dyDescent="0.35">
      <c r="AJ472" s="213"/>
    </row>
    <row r="473" spans="36:36" x14ac:dyDescent="0.35">
      <c r="AJ473" s="213"/>
    </row>
    <row r="474" spans="36:36" x14ac:dyDescent="0.35">
      <c r="AJ474" s="213"/>
    </row>
    <row r="475" spans="36:36" x14ac:dyDescent="0.35">
      <c r="AJ475" s="213"/>
    </row>
    <row r="476" spans="36:36" x14ac:dyDescent="0.35">
      <c r="AJ476" s="213"/>
    </row>
    <row r="477" spans="36:36" x14ac:dyDescent="0.35">
      <c r="AJ477" s="213"/>
    </row>
    <row r="478" spans="36:36" x14ac:dyDescent="0.35">
      <c r="AJ478" s="213"/>
    </row>
    <row r="479" spans="36:36" x14ac:dyDescent="0.35">
      <c r="AJ479" s="213"/>
    </row>
    <row r="480" spans="36:36" x14ac:dyDescent="0.35">
      <c r="AJ480" s="213"/>
    </row>
    <row r="481" spans="36:36" x14ac:dyDescent="0.35">
      <c r="AJ481" s="213"/>
    </row>
    <row r="482" spans="36:36" x14ac:dyDescent="0.35">
      <c r="AJ482" s="213"/>
    </row>
    <row r="483" spans="36:36" x14ac:dyDescent="0.35">
      <c r="AJ483" s="213"/>
    </row>
    <row r="484" spans="36:36" x14ac:dyDescent="0.35">
      <c r="AJ484" s="213"/>
    </row>
    <row r="485" spans="36:36" x14ac:dyDescent="0.35">
      <c r="AJ485" s="213"/>
    </row>
    <row r="486" spans="36:36" x14ac:dyDescent="0.35">
      <c r="AJ486" s="213"/>
    </row>
    <row r="487" spans="36:36" x14ac:dyDescent="0.35">
      <c r="AJ487" s="213"/>
    </row>
    <row r="488" spans="36:36" x14ac:dyDescent="0.35">
      <c r="AJ488" s="213"/>
    </row>
    <row r="489" spans="36:36" x14ac:dyDescent="0.35">
      <c r="AJ489" s="213"/>
    </row>
    <row r="490" spans="36:36" x14ac:dyDescent="0.35">
      <c r="AJ490" s="213"/>
    </row>
    <row r="491" spans="36:36" x14ac:dyDescent="0.35">
      <c r="AJ491" s="213"/>
    </row>
    <row r="492" spans="36:36" x14ac:dyDescent="0.35">
      <c r="AJ492" s="213"/>
    </row>
    <row r="493" spans="36:36" x14ac:dyDescent="0.35">
      <c r="AJ493" s="213"/>
    </row>
    <row r="494" spans="36:36" x14ac:dyDescent="0.35">
      <c r="AJ494" s="213"/>
    </row>
    <row r="495" spans="36:36" x14ac:dyDescent="0.35">
      <c r="AJ495" s="213"/>
    </row>
    <row r="496" spans="36:36" x14ac:dyDescent="0.35">
      <c r="AJ496" s="213"/>
    </row>
    <row r="497" spans="36:36" x14ac:dyDescent="0.35">
      <c r="AJ497" s="213"/>
    </row>
    <row r="498" spans="36:36" x14ac:dyDescent="0.35">
      <c r="AJ498" s="213"/>
    </row>
    <row r="499" spans="36:36" x14ac:dyDescent="0.35">
      <c r="AJ499" s="213"/>
    </row>
    <row r="500" spans="36:36" x14ac:dyDescent="0.35">
      <c r="AJ500" s="213"/>
    </row>
    <row r="501" spans="36:36" x14ac:dyDescent="0.35">
      <c r="AJ501" s="213"/>
    </row>
    <row r="502" spans="36:36" x14ac:dyDescent="0.35">
      <c r="AJ502" s="213"/>
    </row>
    <row r="503" spans="36:36" x14ac:dyDescent="0.35">
      <c r="AJ503" s="213"/>
    </row>
    <row r="504" spans="36:36" x14ac:dyDescent="0.35">
      <c r="AJ504" s="213"/>
    </row>
    <row r="505" spans="36:36" x14ac:dyDescent="0.35">
      <c r="AJ505" s="213"/>
    </row>
    <row r="506" spans="36:36" x14ac:dyDescent="0.35">
      <c r="AJ506" s="213"/>
    </row>
    <row r="507" spans="36:36" x14ac:dyDescent="0.35">
      <c r="AJ507" s="213"/>
    </row>
    <row r="508" spans="36:36" x14ac:dyDescent="0.35">
      <c r="AJ508" s="213"/>
    </row>
    <row r="509" spans="36:36" x14ac:dyDescent="0.35">
      <c r="AJ509" s="213"/>
    </row>
    <row r="510" spans="36:36" x14ac:dyDescent="0.35">
      <c r="AJ510" s="213"/>
    </row>
    <row r="511" spans="36:36" x14ac:dyDescent="0.35">
      <c r="AJ511" s="213"/>
    </row>
    <row r="512" spans="36:36" x14ac:dyDescent="0.35">
      <c r="AJ512" s="213"/>
    </row>
    <row r="513" spans="36:36" x14ac:dyDescent="0.35">
      <c r="AJ513" s="213"/>
    </row>
    <row r="514" spans="36:36" x14ac:dyDescent="0.35">
      <c r="AJ514" s="213"/>
    </row>
    <row r="515" spans="36:36" x14ac:dyDescent="0.35">
      <c r="AJ515" s="213"/>
    </row>
    <row r="516" spans="36:36" x14ac:dyDescent="0.35">
      <c r="AJ516" s="213"/>
    </row>
    <row r="517" spans="36:36" x14ac:dyDescent="0.35">
      <c r="AJ517" s="213"/>
    </row>
    <row r="518" spans="36:36" x14ac:dyDescent="0.35">
      <c r="AJ518" s="213"/>
    </row>
    <row r="519" spans="36:36" x14ac:dyDescent="0.35">
      <c r="AJ519" s="213"/>
    </row>
    <row r="520" spans="36:36" x14ac:dyDescent="0.35">
      <c r="AJ520" s="213"/>
    </row>
    <row r="521" spans="36:36" x14ac:dyDescent="0.35">
      <c r="AJ521" s="213"/>
    </row>
    <row r="522" spans="36:36" x14ac:dyDescent="0.35">
      <c r="AJ522" s="213"/>
    </row>
    <row r="523" spans="36:36" x14ac:dyDescent="0.35">
      <c r="AJ523" s="213"/>
    </row>
    <row r="524" spans="36:36" x14ac:dyDescent="0.35">
      <c r="AJ524" s="213"/>
    </row>
    <row r="525" spans="36:36" x14ac:dyDescent="0.35">
      <c r="AJ525" s="213"/>
    </row>
    <row r="526" spans="36:36" x14ac:dyDescent="0.35">
      <c r="AJ526" s="213"/>
    </row>
    <row r="527" spans="36:36" x14ac:dyDescent="0.35">
      <c r="AJ527" s="213"/>
    </row>
    <row r="528" spans="36:36" x14ac:dyDescent="0.35">
      <c r="AJ528" s="213"/>
    </row>
    <row r="529" spans="36:36" x14ac:dyDescent="0.35">
      <c r="AJ529" s="213"/>
    </row>
    <row r="530" spans="36:36" x14ac:dyDescent="0.35">
      <c r="AJ530" s="213"/>
    </row>
    <row r="531" spans="36:36" x14ac:dyDescent="0.35">
      <c r="AJ531" s="213"/>
    </row>
    <row r="532" spans="36:36" x14ac:dyDescent="0.35">
      <c r="AJ532" s="213"/>
    </row>
    <row r="533" spans="36:36" x14ac:dyDescent="0.35">
      <c r="AJ533" s="213"/>
    </row>
    <row r="534" spans="36:36" x14ac:dyDescent="0.35">
      <c r="AJ534" s="213"/>
    </row>
    <row r="535" spans="36:36" x14ac:dyDescent="0.35">
      <c r="AJ535" s="213"/>
    </row>
    <row r="536" spans="36:36" x14ac:dyDescent="0.35">
      <c r="AJ536" s="213"/>
    </row>
    <row r="537" spans="36:36" x14ac:dyDescent="0.35">
      <c r="AJ537" s="213"/>
    </row>
    <row r="538" spans="36:36" x14ac:dyDescent="0.35">
      <c r="AJ538" s="213"/>
    </row>
    <row r="539" spans="36:36" x14ac:dyDescent="0.35">
      <c r="AJ539" s="213"/>
    </row>
    <row r="540" spans="36:36" x14ac:dyDescent="0.35">
      <c r="AJ540" s="213"/>
    </row>
    <row r="541" spans="36:36" x14ac:dyDescent="0.35">
      <c r="AJ541" s="213"/>
    </row>
    <row r="542" spans="36:36" x14ac:dyDescent="0.35">
      <c r="AJ542" s="213"/>
    </row>
    <row r="543" spans="36:36" x14ac:dyDescent="0.35">
      <c r="AJ543" s="213"/>
    </row>
    <row r="544" spans="36:36" x14ac:dyDescent="0.35">
      <c r="AJ544" s="213"/>
    </row>
    <row r="545" spans="36:36" x14ac:dyDescent="0.35">
      <c r="AJ545" s="213"/>
    </row>
    <row r="546" spans="36:36" x14ac:dyDescent="0.35">
      <c r="AJ546" s="213"/>
    </row>
    <row r="547" spans="36:36" x14ac:dyDescent="0.35">
      <c r="AJ547" s="213"/>
    </row>
    <row r="548" spans="36:36" x14ac:dyDescent="0.35">
      <c r="AJ548" s="213"/>
    </row>
    <row r="549" spans="36:36" x14ac:dyDescent="0.35">
      <c r="AJ549" s="213"/>
    </row>
    <row r="550" spans="36:36" x14ac:dyDescent="0.35">
      <c r="AJ550" s="213"/>
    </row>
    <row r="551" spans="36:36" x14ac:dyDescent="0.35">
      <c r="AJ551" s="213"/>
    </row>
    <row r="552" spans="36:36" x14ac:dyDescent="0.35">
      <c r="AJ552" s="213"/>
    </row>
    <row r="553" spans="36:36" x14ac:dyDescent="0.35">
      <c r="AJ553" s="213"/>
    </row>
    <row r="554" spans="36:36" x14ac:dyDescent="0.35">
      <c r="AJ554" s="213"/>
    </row>
    <row r="555" spans="36:36" x14ac:dyDescent="0.35">
      <c r="AJ555" s="213"/>
    </row>
    <row r="556" spans="36:36" x14ac:dyDescent="0.35">
      <c r="AJ556" s="213"/>
    </row>
    <row r="557" spans="36:36" x14ac:dyDescent="0.35">
      <c r="AJ557" s="213"/>
    </row>
    <row r="558" spans="36:36" x14ac:dyDescent="0.35">
      <c r="AJ558" s="213"/>
    </row>
    <row r="559" spans="36:36" x14ac:dyDescent="0.35">
      <c r="AJ559" s="213"/>
    </row>
    <row r="560" spans="36:36" x14ac:dyDescent="0.35">
      <c r="AJ560" s="213"/>
    </row>
    <row r="561" spans="36:36" x14ac:dyDescent="0.35">
      <c r="AJ561" s="213"/>
    </row>
    <row r="562" spans="36:36" x14ac:dyDescent="0.35">
      <c r="AJ562" s="213"/>
    </row>
    <row r="563" spans="36:36" x14ac:dyDescent="0.35">
      <c r="AJ563" s="213"/>
    </row>
    <row r="564" spans="36:36" x14ac:dyDescent="0.35">
      <c r="AJ564" s="213"/>
    </row>
    <row r="565" spans="36:36" x14ac:dyDescent="0.35">
      <c r="AJ565" s="213"/>
    </row>
    <row r="566" spans="36:36" x14ac:dyDescent="0.35">
      <c r="AJ566" s="213"/>
    </row>
    <row r="567" spans="36:36" x14ac:dyDescent="0.35">
      <c r="AJ567" s="213"/>
    </row>
    <row r="568" spans="36:36" x14ac:dyDescent="0.35">
      <c r="AJ568" s="213"/>
    </row>
    <row r="569" spans="36:36" x14ac:dyDescent="0.35">
      <c r="AJ569" s="213"/>
    </row>
    <row r="570" spans="36:36" x14ac:dyDescent="0.35">
      <c r="AJ570" s="213"/>
    </row>
    <row r="571" spans="36:36" x14ac:dyDescent="0.35">
      <c r="AJ571" s="213"/>
    </row>
    <row r="572" spans="36:36" x14ac:dyDescent="0.35">
      <c r="AJ572" s="213"/>
    </row>
    <row r="573" spans="36:36" x14ac:dyDescent="0.35">
      <c r="AJ573" s="213"/>
    </row>
    <row r="574" spans="36:36" x14ac:dyDescent="0.35">
      <c r="AJ574" s="213"/>
    </row>
    <row r="575" spans="36:36" x14ac:dyDescent="0.35">
      <c r="AJ575" s="213"/>
    </row>
    <row r="576" spans="36:36" x14ac:dyDescent="0.35">
      <c r="AJ576" s="213"/>
    </row>
    <row r="577" spans="36:36" x14ac:dyDescent="0.35">
      <c r="AJ577" s="213"/>
    </row>
    <row r="578" spans="36:36" x14ac:dyDescent="0.35">
      <c r="AJ578" s="213"/>
    </row>
    <row r="579" spans="36:36" x14ac:dyDescent="0.35">
      <c r="AJ579" s="213"/>
    </row>
    <row r="580" spans="36:36" x14ac:dyDescent="0.35">
      <c r="AJ580" s="213"/>
    </row>
    <row r="581" spans="36:36" x14ac:dyDescent="0.35">
      <c r="AJ581" s="213"/>
    </row>
    <row r="582" spans="36:36" x14ac:dyDescent="0.35">
      <c r="AJ582" s="213"/>
    </row>
    <row r="583" spans="36:36" x14ac:dyDescent="0.35">
      <c r="AJ583" s="213"/>
    </row>
    <row r="584" spans="36:36" x14ac:dyDescent="0.35">
      <c r="AJ584" s="213"/>
    </row>
    <row r="585" spans="36:36" x14ac:dyDescent="0.35">
      <c r="AJ585" s="213"/>
    </row>
    <row r="586" spans="36:36" x14ac:dyDescent="0.35">
      <c r="AJ586" s="213"/>
    </row>
    <row r="587" spans="36:36" x14ac:dyDescent="0.35">
      <c r="AJ587" s="213"/>
    </row>
    <row r="588" spans="36:36" x14ac:dyDescent="0.35">
      <c r="AJ588" s="213"/>
    </row>
    <row r="589" spans="36:36" x14ac:dyDescent="0.35">
      <c r="AJ589" s="213"/>
    </row>
    <row r="590" spans="36:36" x14ac:dyDescent="0.35">
      <c r="AJ590" s="213"/>
    </row>
    <row r="591" spans="36:36" x14ac:dyDescent="0.35">
      <c r="AJ591" s="213"/>
    </row>
    <row r="592" spans="36:36" x14ac:dyDescent="0.35">
      <c r="AJ592" s="213"/>
    </row>
    <row r="593" spans="36:36" x14ac:dyDescent="0.35">
      <c r="AJ593" s="213"/>
    </row>
    <row r="594" spans="36:36" x14ac:dyDescent="0.35">
      <c r="AJ594" s="213"/>
    </row>
    <row r="595" spans="36:36" x14ac:dyDescent="0.35">
      <c r="AJ595" s="213"/>
    </row>
    <row r="596" spans="36:36" x14ac:dyDescent="0.35">
      <c r="AJ596" s="213"/>
    </row>
    <row r="597" spans="36:36" x14ac:dyDescent="0.35">
      <c r="AJ597" s="213"/>
    </row>
    <row r="598" spans="36:36" x14ac:dyDescent="0.35">
      <c r="AJ598" s="213"/>
    </row>
    <row r="599" spans="36:36" x14ac:dyDescent="0.35">
      <c r="AJ599" s="213"/>
    </row>
    <row r="600" spans="36:36" x14ac:dyDescent="0.35">
      <c r="AJ600" s="213"/>
    </row>
    <row r="601" spans="36:36" x14ac:dyDescent="0.35">
      <c r="AJ601" s="213"/>
    </row>
    <row r="602" spans="36:36" x14ac:dyDescent="0.35">
      <c r="AJ602" s="213"/>
    </row>
    <row r="603" spans="36:36" x14ac:dyDescent="0.35">
      <c r="AJ603" s="213"/>
    </row>
    <row r="604" spans="36:36" x14ac:dyDescent="0.35">
      <c r="AJ604" s="213"/>
    </row>
    <row r="605" spans="36:36" x14ac:dyDescent="0.35">
      <c r="AJ605" s="213"/>
    </row>
    <row r="606" spans="36:36" x14ac:dyDescent="0.35">
      <c r="AJ606" s="213"/>
    </row>
    <row r="607" spans="36:36" x14ac:dyDescent="0.35">
      <c r="AJ607" s="213"/>
    </row>
    <row r="608" spans="36:36" x14ac:dyDescent="0.35">
      <c r="AJ608" s="213"/>
    </row>
    <row r="609" spans="36:36" x14ac:dyDescent="0.35">
      <c r="AJ609" s="213"/>
    </row>
    <row r="610" spans="36:36" x14ac:dyDescent="0.35">
      <c r="AJ610" s="213"/>
    </row>
    <row r="611" spans="36:36" x14ac:dyDescent="0.35">
      <c r="AJ611" s="213"/>
    </row>
    <row r="612" spans="36:36" x14ac:dyDescent="0.35">
      <c r="AJ612" s="213"/>
    </row>
    <row r="613" spans="36:36" x14ac:dyDescent="0.35">
      <c r="AJ613" s="213"/>
    </row>
    <row r="614" spans="36:36" x14ac:dyDescent="0.35">
      <c r="AJ614" s="213"/>
    </row>
    <row r="615" spans="36:36" x14ac:dyDescent="0.35">
      <c r="AJ615" s="213"/>
    </row>
    <row r="616" spans="36:36" x14ac:dyDescent="0.35">
      <c r="AJ616" s="213"/>
    </row>
    <row r="617" spans="36:36" x14ac:dyDescent="0.35">
      <c r="AJ617" s="213"/>
    </row>
    <row r="618" spans="36:36" x14ac:dyDescent="0.35">
      <c r="AJ618" s="213"/>
    </row>
    <row r="619" spans="36:36" x14ac:dyDescent="0.35">
      <c r="AJ619" s="213"/>
    </row>
    <row r="620" spans="36:36" x14ac:dyDescent="0.35">
      <c r="AJ620" s="213"/>
    </row>
    <row r="621" spans="36:36" x14ac:dyDescent="0.35">
      <c r="AJ621" s="213"/>
    </row>
    <row r="622" spans="36:36" x14ac:dyDescent="0.35">
      <c r="AJ622" s="213"/>
    </row>
    <row r="623" spans="36:36" x14ac:dyDescent="0.35">
      <c r="AJ623" s="213"/>
    </row>
    <row r="624" spans="36:36" x14ac:dyDescent="0.35">
      <c r="AJ624" s="213"/>
    </row>
    <row r="625" spans="36:36" x14ac:dyDescent="0.35">
      <c r="AJ625" s="213"/>
    </row>
    <row r="626" spans="36:36" x14ac:dyDescent="0.35">
      <c r="AJ626" s="213"/>
    </row>
    <row r="627" spans="36:36" x14ac:dyDescent="0.35">
      <c r="AJ627" s="213"/>
    </row>
    <row r="628" spans="36:36" x14ac:dyDescent="0.35">
      <c r="AJ628" s="213"/>
    </row>
    <row r="629" spans="36:36" x14ac:dyDescent="0.35">
      <c r="AJ629" s="213"/>
    </row>
    <row r="630" spans="36:36" x14ac:dyDescent="0.35">
      <c r="AJ630" s="213"/>
    </row>
    <row r="631" spans="36:36" x14ac:dyDescent="0.35">
      <c r="AJ631" s="213"/>
    </row>
    <row r="632" spans="36:36" x14ac:dyDescent="0.35">
      <c r="AJ632" s="213"/>
    </row>
    <row r="633" spans="36:36" x14ac:dyDescent="0.35">
      <c r="AJ633" s="213"/>
    </row>
    <row r="634" spans="36:36" x14ac:dyDescent="0.35">
      <c r="AJ634" s="213"/>
    </row>
    <row r="635" spans="36:36" x14ac:dyDescent="0.35">
      <c r="AJ635" s="213"/>
    </row>
    <row r="636" spans="36:36" x14ac:dyDescent="0.35">
      <c r="AJ636" s="213"/>
    </row>
    <row r="637" spans="36:36" x14ac:dyDescent="0.35">
      <c r="AJ637" s="213"/>
    </row>
    <row r="638" spans="36:36" x14ac:dyDescent="0.35">
      <c r="AJ638" s="213"/>
    </row>
    <row r="639" spans="36:36" x14ac:dyDescent="0.35">
      <c r="AJ639" s="213"/>
    </row>
    <row r="640" spans="36:36" x14ac:dyDescent="0.35">
      <c r="AJ640" s="213"/>
    </row>
    <row r="641" spans="36:36" x14ac:dyDescent="0.35">
      <c r="AJ641" s="213"/>
    </row>
    <row r="642" spans="36:36" x14ac:dyDescent="0.35">
      <c r="AJ642" s="213"/>
    </row>
    <row r="643" spans="36:36" x14ac:dyDescent="0.35">
      <c r="AJ643" s="213"/>
    </row>
    <row r="644" spans="36:36" x14ac:dyDescent="0.35">
      <c r="AJ644" s="213"/>
    </row>
    <row r="645" spans="36:36" x14ac:dyDescent="0.35">
      <c r="AJ645" s="213"/>
    </row>
    <row r="646" spans="36:36" x14ac:dyDescent="0.35">
      <c r="AJ646" s="213"/>
    </row>
    <row r="647" spans="36:36" x14ac:dyDescent="0.35">
      <c r="AJ647" s="213"/>
    </row>
    <row r="648" spans="36:36" x14ac:dyDescent="0.35">
      <c r="AJ648" s="213"/>
    </row>
    <row r="649" spans="36:36" x14ac:dyDescent="0.35">
      <c r="AJ649" s="213"/>
    </row>
    <row r="650" spans="36:36" x14ac:dyDescent="0.35">
      <c r="AJ650" s="213"/>
    </row>
    <row r="651" spans="36:36" x14ac:dyDescent="0.35">
      <c r="AJ651" s="213"/>
    </row>
    <row r="652" spans="36:36" x14ac:dyDescent="0.35">
      <c r="AJ652" s="213"/>
    </row>
    <row r="653" spans="36:36" x14ac:dyDescent="0.35">
      <c r="AJ653" s="213"/>
    </row>
    <row r="654" spans="36:36" x14ac:dyDescent="0.35">
      <c r="AJ654" s="213"/>
    </row>
    <row r="655" spans="36:36" x14ac:dyDescent="0.35">
      <c r="AJ655" s="213"/>
    </row>
    <row r="656" spans="36:36" x14ac:dyDescent="0.35">
      <c r="AJ656" s="213"/>
    </row>
    <row r="657" spans="36:36" x14ac:dyDescent="0.35">
      <c r="AJ657" s="213"/>
    </row>
    <row r="658" spans="36:36" x14ac:dyDescent="0.35">
      <c r="AJ658" s="213"/>
    </row>
    <row r="659" spans="36:36" x14ac:dyDescent="0.35">
      <c r="AJ659" s="213"/>
    </row>
    <row r="660" spans="36:36" x14ac:dyDescent="0.35">
      <c r="AJ660" s="213"/>
    </row>
    <row r="661" spans="36:36" x14ac:dyDescent="0.35">
      <c r="AJ661" s="213"/>
    </row>
    <row r="662" spans="36:36" x14ac:dyDescent="0.35">
      <c r="AJ662" s="213"/>
    </row>
    <row r="663" spans="36:36" x14ac:dyDescent="0.35">
      <c r="AJ663" s="213"/>
    </row>
    <row r="664" spans="36:36" x14ac:dyDescent="0.35">
      <c r="AJ664" s="213"/>
    </row>
    <row r="665" spans="36:36" x14ac:dyDescent="0.35">
      <c r="AJ665" s="213"/>
    </row>
    <row r="666" spans="36:36" x14ac:dyDescent="0.35">
      <c r="AJ666" s="213"/>
    </row>
    <row r="667" spans="36:36" x14ac:dyDescent="0.35">
      <c r="AJ667" s="213"/>
    </row>
    <row r="668" spans="36:36" x14ac:dyDescent="0.35">
      <c r="AJ668" s="213"/>
    </row>
    <row r="669" spans="36:36" x14ac:dyDescent="0.35">
      <c r="AJ669" s="213"/>
    </row>
    <row r="670" spans="36:36" x14ac:dyDescent="0.35">
      <c r="AJ670" s="213"/>
    </row>
    <row r="671" spans="36:36" x14ac:dyDescent="0.35">
      <c r="AJ671" s="213"/>
    </row>
    <row r="672" spans="36:36" x14ac:dyDescent="0.35">
      <c r="AJ672" s="213"/>
    </row>
    <row r="673" spans="36:36" x14ac:dyDescent="0.35">
      <c r="AJ673" s="213"/>
    </row>
    <row r="674" spans="36:36" x14ac:dyDescent="0.35">
      <c r="AJ674" s="213"/>
    </row>
    <row r="675" spans="36:36" x14ac:dyDescent="0.35">
      <c r="AJ675" s="213"/>
    </row>
    <row r="676" spans="36:36" x14ac:dyDescent="0.35">
      <c r="AJ676" s="213"/>
    </row>
    <row r="677" spans="36:36" x14ac:dyDescent="0.35">
      <c r="AJ677" s="213"/>
    </row>
    <row r="678" spans="36:36" x14ac:dyDescent="0.35">
      <c r="AJ678" s="213"/>
    </row>
    <row r="679" spans="36:36" x14ac:dyDescent="0.35">
      <c r="AJ679" s="213"/>
    </row>
    <row r="680" spans="36:36" x14ac:dyDescent="0.35">
      <c r="AJ680" s="213"/>
    </row>
    <row r="681" spans="36:36" x14ac:dyDescent="0.35">
      <c r="AJ681" s="213"/>
    </row>
    <row r="682" spans="36:36" x14ac:dyDescent="0.35">
      <c r="AJ682" s="213"/>
    </row>
    <row r="683" spans="36:36" x14ac:dyDescent="0.35">
      <c r="AJ683" s="213"/>
    </row>
    <row r="684" spans="36:36" x14ac:dyDescent="0.35">
      <c r="AJ684" s="213"/>
    </row>
    <row r="685" spans="36:36" x14ac:dyDescent="0.35">
      <c r="AJ685" s="213"/>
    </row>
    <row r="686" spans="36:36" x14ac:dyDescent="0.35">
      <c r="AJ686" s="213"/>
    </row>
    <row r="687" spans="36:36" x14ac:dyDescent="0.35">
      <c r="AJ687" s="213"/>
    </row>
    <row r="688" spans="36:36" x14ac:dyDescent="0.35">
      <c r="AJ688" s="213"/>
    </row>
    <row r="689" spans="36:36" x14ac:dyDescent="0.35">
      <c r="AJ689" s="213"/>
    </row>
    <row r="690" spans="36:36" x14ac:dyDescent="0.35">
      <c r="AJ690" s="213"/>
    </row>
    <row r="691" spans="36:36" x14ac:dyDescent="0.35">
      <c r="AJ691" s="213"/>
    </row>
    <row r="692" spans="36:36" x14ac:dyDescent="0.35">
      <c r="AJ692" s="213"/>
    </row>
    <row r="693" spans="36:36" x14ac:dyDescent="0.35">
      <c r="AJ693" s="213"/>
    </row>
    <row r="694" spans="36:36" x14ac:dyDescent="0.35">
      <c r="AJ694" s="213"/>
    </row>
    <row r="695" spans="36:36" x14ac:dyDescent="0.35">
      <c r="AJ695" s="213"/>
    </row>
    <row r="696" spans="36:36" x14ac:dyDescent="0.35">
      <c r="AJ696" s="213"/>
    </row>
    <row r="697" spans="36:36" x14ac:dyDescent="0.35">
      <c r="AJ697" s="213"/>
    </row>
    <row r="698" spans="36:36" x14ac:dyDescent="0.35">
      <c r="AJ698" s="213"/>
    </row>
    <row r="699" spans="36:36" x14ac:dyDescent="0.35">
      <c r="AJ699" s="213"/>
    </row>
    <row r="700" spans="36:36" x14ac:dyDescent="0.35">
      <c r="AJ700" s="213"/>
    </row>
    <row r="701" spans="36:36" x14ac:dyDescent="0.35">
      <c r="AJ701" s="213"/>
    </row>
    <row r="702" spans="36:36" x14ac:dyDescent="0.35">
      <c r="AJ702" s="213"/>
    </row>
    <row r="703" spans="36:36" x14ac:dyDescent="0.35">
      <c r="AJ703" s="213"/>
    </row>
    <row r="704" spans="36:36" x14ac:dyDescent="0.35">
      <c r="AJ704" s="213"/>
    </row>
    <row r="705" spans="36:36" x14ac:dyDescent="0.35">
      <c r="AJ705" s="213"/>
    </row>
    <row r="706" spans="36:36" x14ac:dyDescent="0.35">
      <c r="AJ706" s="213"/>
    </row>
    <row r="707" spans="36:36" x14ac:dyDescent="0.35">
      <c r="AJ707" s="213"/>
    </row>
    <row r="708" spans="36:36" x14ac:dyDescent="0.35">
      <c r="AJ708" s="213"/>
    </row>
    <row r="709" spans="36:36" x14ac:dyDescent="0.35">
      <c r="AJ709" s="213"/>
    </row>
    <row r="710" spans="36:36" x14ac:dyDescent="0.35">
      <c r="AJ710" s="213"/>
    </row>
    <row r="711" spans="36:36" x14ac:dyDescent="0.35">
      <c r="AJ711" s="213"/>
    </row>
    <row r="712" spans="36:36" x14ac:dyDescent="0.35">
      <c r="AJ712" s="213"/>
    </row>
    <row r="713" spans="36:36" x14ac:dyDescent="0.35">
      <c r="AJ713" s="213"/>
    </row>
    <row r="714" spans="36:36" x14ac:dyDescent="0.35">
      <c r="AJ714" s="213"/>
    </row>
    <row r="715" spans="36:36" x14ac:dyDescent="0.35">
      <c r="AJ715" s="213"/>
    </row>
    <row r="716" spans="36:36" x14ac:dyDescent="0.35">
      <c r="AJ716" s="213"/>
    </row>
    <row r="717" spans="36:36" x14ac:dyDescent="0.35">
      <c r="AJ717" s="213"/>
    </row>
    <row r="718" spans="36:36" x14ac:dyDescent="0.35">
      <c r="AJ718" s="213"/>
    </row>
    <row r="719" spans="36:36" x14ac:dyDescent="0.35">
      <c r="AJ719" s="213"/>
    </row>
    <row r="720" spans="36:36" x14ac:dyDescent="0.35">
      <c r="AJ720" s="213"/>
    </row>
    <row r="721" spans="36:36" x14ac:dyDescent="0.35">
      <c r="AJ721" s="213"/>
    </row>
    <row r="722" spans="36:36" x14ac:dyDescent="0.35">
      <c r="AJ722" s="213"/>
    </row>
    <row r="723" spans="36:36" x14ac:dyDescent="0.35">
      <c r="AJ723" s="213"/>
    </row>
    <row r="724" spans="36:36" x14ac:dyDescent="0.35">
      <c r="AJ724" s="213"/>
    </row>
    <row r="725" spans="36:36" x14ac:dyDescent="0.35">
      <c r="AJ725" s="213"/>
    </row>
    <row r="726" spans="36:36" x14ac:dyDescent="0.35">
      <c r="AJ726" s="213"/>
    </row>
    <row r="727" spans="36:36" x14ac:dyDescent="0.35">
      <c r="AJ727" s="213"/>
    </row>
    <row r="728" spans="36:36" x14ac:dyDescent="0.35">
      <c r="AJ728" s="213"/>
    </row>
    <row r="729" spans="36:36" x14ac:dyDescent="0.35">
      <c r="AJ729" s="213"/>
    </row>
    <row r="730" spans="36:36" x14ac:dyDescent="0.35">
      <c r="AJ730" s="213"/>
    </row>
    <row r="731" spans="36:36" x14ac:dyDescent="0.35">
      <c r="AJ731" s="213"/>
    </row>
    <row r="732" spans="36:36" x14ac:dyDescent="0.35">
      <c r="AJ732" s="213"/>
    </row>
    <row r="733" spans="36:36" x14ac:dyDescent="0.35">
      <c r="AJ733" s="213"/>
    </row>
    <row r="734" spans="36:36" x14ac:dyDescent="0.35">
      <c r="AJ734" s="213"/>
    </row>
    <row r="735" spans="36:36" x14ac:dyDescent="0.35">
      <c r="AJ735" s="213"/>
    </row>
    <row r="736" spans="36:36" x14ac:dyDescent="0.35">
      <c r="AJ736" s="213"/>
    </row>
    <row r="737" spans="36:36" x14ac:dyDescent="0.35">
      <c r="AJ737" s="213"/>
    </row>
    <row r="738" spans="36:36" x14ac:dyDescent="0.35">
      <c r="AJ738" s="213"/>
    </row>
    <row r="739" spans="36:36" x14ac:dyDescent="0.35">
      <c r="AJ739" s="213"/>
    </row>
    <row r="740" spans="36:36" x14ac:dyDescent="0.35">
      <c r="AJ740" s="213"/>
    </row>
    <row r="741" spans="36:36" x14ac:dyDescent="0.35">
      <c r="AJ741" s="213"/>
    </row>
    <row r="742" spans="36:36" x14ac:dyDescent="0.35">
      <c r="AJ742" s="213"/>
    </row>
    <row r="743" spans="36:36" x14ac:dyDescent="0.35">
      <c r="AJ743" s="213"/>
    </row>
    <row r="744" spans="36:36" x14ac:dyDescent="0.35">
      <c r="AJ744" s="213"/>
    </row>
    <row r="745" spans="36:36" x14ac:dyDescent="0.35">
      <c r="AJ745" s="213"/>
    </row>
    <row r="746" spans="36:36" x14ac:dyDescent="0.35">
      <c r="AJ746" s="213"/>
    </row>
    <row r="747" spans="36:36" x14ac:dyDescent="0.35">
      <c r="AJ747" s="213"/>
    </row>
    <row r="748" spans="36:36" x14ac:dyDescent="0.35">
      <c r="AJ748" s="213"/>
    </row>
    <row r="749" spans="36:36" x14ac:dyDescent="0.35">
      <c r="AJ749" s="213"/>
    </row>
    <row r="750" spans="36:36" x14ac:dyDescent="0.35">
      <c r="AJ750" s="213"/>
    </row>
    <row r="751" spans="36:36" x14ac:dyDescent="0.35">
      <c r="AJ751" s="213"/>
    </row>
    <row r="752" spans="36:36" x14ac:dyDescent="0.35">
      <c r="AJ752" s="213"/>
    </row>
    <row r="753" spans="36:36" x14ac:dyDescent="0.35">
      <c r="AJ753" s="213"/>
    </row>
    <row r="754" spans="36:36" x14ac:dyDescent="0.35">
      <c r="AJ754" s="213"/>
    </row>
    <row r="755" spans="36:36" x14ac:dyDescent="0.35">
      <c r="AJ755" s="213"/>
    </row>
    <row r="756" spans="36:36" x14ac:dyDescent="0.35">
      <c r="AJ756" s="213"/>
    </row>
    <row r="757" spans="36:36" x14ac:dyDescent="0.35">
      <c r="AJ757" s="213"/>
    </row>
    <row r="758" spans="36:36" x14ac:dyDescent="0.35">
      <c r="AJ758" s="213"/>
    </row>
    <row r="759" spans="36:36" x14ac:dyDescent="0.35">
      <c r="AJ759" s="213"/>
    </row>
    <row r="760" spans="36:36" x14ac:dyDescent="0.35">
      <c r="AJ760" s="213"/>
    </row>
    <row r="761" spans="36:36" x14ac:dyDescent="0.35">
      <c r="AJ761" s="213"/>
    </row>
    <row r="762" spans="36:36" x14ac:dyDescent="0.35">
      <c r="AJ762" s="213"/>
    </row>
    <row r="763" spans="36:36" x14ac:dyDescent="0.35">
      <c r="AJ763" s="213"/>
    </row>
    <row r="764" spans="36:36" x14ac:dyDescent="0.35">
      <c r="AJ764" s="213"/>
    </row>
    <row r="765" spans="36:36" x14ac:dyDescent="0.35">
      <c r="AJ765" s="213"/>
    </row>
    <row r="766" spans="36:36" x14ac:dyDescent="0.35">
      <c r="AJ766" s="213"/>
    </row>
    <row r="767" spans="36:36" x14ac:dyDescent="0.35">
      <c r="AJ767" s="213"/>
    </row>
    <row r="768" spans="36:36" x14ac:dyDescent="0.35">
      <c r="AJ768" s="213"/>
    </row>
    <row r="769" spans="36:36" x14ac:dyDescent="0.35">
      <c r="AJ769" s="213"/>
    </row>
    <row r="770" spans="36:36" x14ac:dyDescent="0.35">
      <c r="AJ770" s="213"/>
    </row>
    <row r="771" spans="36:36" x14ac:dyDescent="0.35">
      <c r="AJ771" s="213"/>
    </row>
    <row r="772" spans="36:36" x14ac:dyDescent="0.35">
      <c r="AJ772" s="213"/>
    </row>
    <row r="773" spans="36:36" x14ac:dyDescent="0.35">
      <c r="AJ773" s="213"/>
    </row>
    <row r="774" spans="36:36" x14ac:dyDescent="0.35">
      <c r="AJ774" s="213"/>
    </row>
    <row r="775" spans="36:36" x14ac:dyDescent="0.35">
      <c r="AJ775" s="213"/>
    </row>
    <row r="776" spans="36:36" x14ac:dyDescent="0.35">
      <c r="AJ776" s="213"/>
    </row>
    <row r="777" spans="36:36" x14ac:dyDescent="0.35">
      <c r="AJ777" s="213"/>
    </row>
    <row r="778" spans="36:36" x14ac:dyDescent="0.35">
      <c r="AJ778" s="213"/>
    </row>
    <row r="779" spans="36:36" x14ac:dyDescent="0.35">
      <c r="AJ779" s="213"/>
    </row>
    <row r="780" spans="36:36" x14ac:dyDescent="0.35">
      <c r="AJ780" s="213"/>
    </row>
    <row r="781" spans="36:36" x14ac:dyDescent="0.35">
      <c r="AJ781" s="213"/>
    </row>
    <row r="782" spans="36:36" x14ac:dyDescent="0.35">
      <c r="AJ782" s="213"/>
    </row>
    <row r="783" spans="36:36" x14ac:dyDescent="0.35">
      <c r="AJ783" s="213"/>
    </row>
    <row r="784" spans="36:36" x14ac:dyDescent="0.35">
      <c r="AJ784" s="213"/>
    </row>
    <row r="785" spans="36:36" x14ac:dyDescent="0.35">
      <c r="AJ785" s="213"/>
    </row>
    <row r="786" spans="36:36" x14ac:dyDescent="0.35">
      <c r="AJ786" s="213"/>
    </row>
    <row r="787" spans="36:36" x14ac:dyDescent="0.35">
      <c r="AJ787" s="213"/>
    </row>
    <row r="788" spans="36:36" x14ac:dyDescent="0.35">
      <c r="AJ788" s="213"/>
    </row>
    <row r="789" spans="36:36" x14ac:dyDescent="0.35">
      <c r="AJ789" s="213"/>
    </row>
    <row r="790" spans="36:36" x14ac:dyDescent="0.35">
      <c r="AJ790" s="213"/>
    </row>
    <row r="791" spans="36:36" x14ac:dyDescent="0.35">
      <c r="AJ791" s="213"/>
    </row>
    <row r="792" spans="36:36" x14ac:dyDescent="0.35">
      <c r="AJ792" s="213"/>
    </row>
    <row r="793" spans="36:36" x14ac:dyDescent="0.35">
      <c r="AJ793" s="213"/>
    </row>
    <row r="794" spans="36:36" x14ac:dyDescent="0.35">
      <c r="AJ794" s="213"/>
    </row>
    <row r="795" spans="36:36" x14ac:dyDescent="0.35">
      <c r="AJ795" s="213"/>
    </row>
    <row r="796" spans="36:36" x14ac:dyDescent="0.35">
      <c r="AJ796" s="213"/>
    </row>
    <row r="797" spans="36:36" x14ac:dyDescent="0.35">
      <c r="AJ797" s="213"/>
    </row>
    <row r="798" spans="36:36" x14ac:dyDescent="0.35">
      <c r="AJ798" s="213"/>
    </row>
    <row r="799" spans="36:36" x14ac:dyDescent="0.35">
      <c r="AJ799" s="213"/>
    </row>
    <row r="800" spans="36:36" x14ac:dyDescent="0.35">
      <c r="AJ800" s="213"/>
    </row>
    <row r="801" spans="36:36" x14ac:dyDescent="0.35">
      <c r="AJ801" s="213"/>
    </row>
    <row r="802" spans="36:36" x14ac:dyDescent="0.35">
      <c r="AJ802" s="213"/>
    </row>
    <row r="803" spans="36:36" x14ac:dyDescent="0.35">
      <c r="AJ803" s="213"/>
    </row>
    <row r="804" spans="36:36" x14ac:dyDescent="0.35">
      <c r="AJ804" s="213"/>
    </row>
    <row r="805" spans="36:36" x14ac:dyDescent="0.35">
      <c r="AJ805" s="213"/>
    </row>
    <row r="806" spans="36:36" x14ac:dyDescent="0.35">
      <c r="AJ806" s="213"/>
    </row>
    <row r="807" spans="36:36" x14ac:dyDescent="0.35">
      <c r="AJ807" s="213"/>
    </row>
    <row r="808" spans="36:36" x14ac:dyDescent="0.35">
      <c r="AJ808" s="213"/>
    </row>
    <row r="809" spans="36:36" x14ac:dyDescent="0.35">
      <c r="AJ809" s="213"/>
    </row>
    <row r="810" spans="36:36" x14ac:dyDescent="0.35">
      <c r="AJ810" s="213"/>
    </row>
    <row r="811" spans="36:36" x14ac:dyDescent="0.35">
      <c r="AJ811" s="213"/>
    </row>
    <row r="812" spans="36:36" x14ac:dyDescent="0.35">
      <c r="AJ812" s="213"/>
    </row>
    <row r="813" spans="36:36" x14ac:dyDescent="0.35">
      <c r="AJ813" s="213"/>
    </row>
    <row r="814" spans="36:36" x14ac:dyDescent="0.35">
      <c r="AJ814" s="213"/>
    </row>
    <row r="815" spans="36:36" x14ac:dyDescent="0.35">
      <c r="AJ815" s="213"/>
    </row>
    <row r="816" spans="36:36" x14ac:dyDescent="0.35">
      <c r="AJ816" s="213"/>
    </row>
    <row r="817" spans="36:36" x14ac:dyDescent="0.35">
      <c r="AJ817" s="213"/>
    </row>
    <row r="818" spans="36:36" x14ac:dyDescent="0.35">
      <c r="AJ818" s="213"/>
    </row>
    <row r="819" spans="36:36" x14ac:dyDescent="0.35">
      <c r="AJ819" s="213"/>
    </row>
    <row r="820" spans="36:36" x14ac:dyDescent="0.35">
      <c r="AJ820" s="213"/>
    </row>
    <row r="821" spans="36:36" x14ac:dyDescent="0.35">
      <c r="AJ821" s="213"/>
    </row>
    <row r="822" spans="36:36" x14ac:dyDescent="0.35">
      <c r="AJ822" s="213"/>
    </row>
    <row r="823" spans="36:36" x14ac:dyDescent="0.35">
      <c r="AJ823" s="213"/>
    </row>
    <row r="824" spans="36:36" x14ac:dyDescent="0.35">
      <c r="AJ824" s="213"/>
    </row>
    <row r="825" spans="36:36" x14ac:dyDescent="0.35">
      <c r="AJ825" s="213"/>
    </row>
    <row r="826" spans="36:36" x14ac:dyDescent="0.35">
      <c r="AJ826" s="213"/>
    </row>
    <row r="827" spans="36:36" x14ac:dyDescent="0.35">
      <c r="AJ827" s="213"/>
    </row>
    <row r="828" spans="36:36" x14ac:dyDescent="0.35">
      <c r="AJ828" s="213"/>
    </row>
    <row r="829" spans="36:36" x14ac:dyDescent="0.35">
      <c r="AJ829" s="213"/>
    </row>
    <row r="830" spans="36:36" x14ac:dyDescent="0.35">
      <c r="AJ830" s="213"/>
    </row>
    <row r="831" spans="36:36" x14ac:dyDescent="0.35">
      <c r="AJ831" s="213"/>
    </row>
    <row r="832" spans="36:36" x14ac:dyDescent="0.35">
      <c r="AJ832" s="213"/>
    </row>
    <row r="833" spans="36:36" x14ac:dyDescent="0.35">
      <c r="AJ833" s="213"/>
    </row>
    <row r="834" spans="36:36" x14ac:dyDescent="0.35">
      <c r="AJ834" s="213"/>
    </row>
    <row r="835" spans="36:36" x14ac:dyDescent="0.35">
      <c r="AJ835" s="213"/>
    </row>
    <row r="836" spans="36:36" x14ac:dyDescent="0.35">
      <c r="AJ836" s="213"/>
    </row>
    <row r="837" spans="36:36" x14ac:dyDescent="0.35">
      <c r="AJ837" s="213"/>
    </row>
    <row r="838" spans="36:36" x14ac:dyDescent="0.35">
      <c r="AJ838" s="213"/>
    </row>
    <row r="839" spans="36:36" x14ac:dyDescent="0.35">
      <c r="AJ839" s="213"/>
    </row>
    <row r="840" spans="36:36" x14ac:dyDescent="0.35">
      <c r="AJ840" s="213"/>
    </row>
    <row r="841" spans="36:36" x14ac:dyDescent="0.35">
      <c r="AJ841" s="213"/>
    </row>
    <row r="842" spans="36:36" x14ac:dyDescent="0.35">
      <c r="AJ842" s="213"/>
    </row>
    <row r="843" spans="36:36" x14ac:dyDescent="0.35">
      <c r="AJ843" s="213"/>
    </row>
    <row r="844" spans="36:36" x14ac:dyDescent="0.35">
      <c r="AJ844" s="213"/>
    </row>
    <row r="845" spans="36:36" x14ac:dyDescent="0.35">
      <c r="AJ845" s="213"/>
    </row>
    <row r="846" spans="36:36" x14ac:dyDescent="0.35">
      <c r="AJ846" s="213"/>
    </row>
    <row r="847" spans="36:36" x14ac:dyDescent="0.35">
      <c r="AJ847" s="213"/>
    </row>
    <row r="848" spans="36:36" x14ac:dyDescent="0.35">
      <c r="AJ848" s="213"/>
    </row>
    <row r="849" spans="36:36" x14ac:dyDescent="0.35">
      <c r="AJ849" s="213"/>
    </row>
    <row r="850" spans="36:36" x14ac:dyDescent="0.35">
      <c r="AJ850" s="213"/>
    </row>
    <row r="851" spans="36:36" x14ac:dyDescent="0.35">
      <c r="AJ851" s="213"/>
    </row>
    <row r="852" spans="36:36" x14ac:dyDescent="0.35">
      <c r="AJ852" s="213"/>
    </row>
    <row r="853" spans="36:36" x14ac:dyDescent="0.35">
      <c r="AJ853" s="213"/>
    </row>
    <row r="854" spans="36:36" x14ac:dyDescent="0.35">
      <c r="AJ854" s="213"/>
    </row>
    <row r="855" spans="36:36" x14ac:dyDescent="0.35">
      <c r="AJ855" s="213"/>
    </row>
    <row r="856" spans="36:36" x14ac:dyDescent="0.35">
      <c r="AJ856" s="213"/>
    </row>
    <row r="857" spans="36:36" x14ac:dyDescent="0.35">
      <c r="AJ857" s="213"/>
    </row>
    <row r="858" spans="36:36" x14ac:dyDescent="0.35">
      <c r="AJ858" s="213"/>
    </row>
    <row r="859" spans="36:36" x14ac:dyDescent="0.35">
      <c r="AJ859" s="213"/>
    </row>
    <row r="860" spans="36:36" x14ac:dyDescent="0.35">
      <c r="AJ860" s="213"/>
    </row>
    <row r="861" spans="36:36" x14ac:dyDescent="0.35">
      <c r="AJ861" s="213"/>
    </row>
    <row r="862" spans="36:36" x14ac:dyDescent="0.35">
      <c r="AJ862" s="213"/>
    </row>
    <row r="863" spans="36:36" x14ac:dyDescent="0.35">
      <c r="AJ863" s="213"/>
    </row>
    <row r="864" spans="36:36" x14ac:dyDescent="0.35">
      <c r="AJ864" s="213"/>
    </row>
    <row r="865" spans="36:36" x14ac:dyDescent="0.35">
      <c r="AJ865" s="213"/>
    </row>
    <row r="866" spans="36:36" x14ac:dyDescent="0.35">
      <c r="AJ866" s="213"/>
    </row>
    <row r="867" spans="36:36" x14ac:dyDescent="0.35">
      <c r="AJ867" s="213"/>
    </row>
    <row r="868" spans="36:36" x14ac:dyDescent="0.35">
      <c r="AJ868" s="213"/>
    </row>
    <row r="869" spans="36:36" x14ac:dyDescent="0.35">
      <c r="AJ869" s="213"/>
    </row>
    <row r="870" spans="36:36" x14ac:dyDescent="0.35">
      <c r="AJ870" s="213"/>
    </row>
    <row r="871" spans="36:36" x14ac:dyDescent="0.35">
      <c r="AJ871" s="213"/>
    </row>
    <row r="872" spans="36:36" x14ac:dyDescent="0.35">
      <c r="AJ872" s="213"/>
    </row>
    <row r="873" spans="36:36" x14ac:dyDescent="0.35">
      <c r="AJ873" s="213"/>
    </row>
    <row r="874" spans="36:36" x14ac:dyDescent="0.35">
      <c r="AJ874" s="213"/>
    </row>
    <row r="875" spans="36:36" x14ac:dyDescent="0.35">
      <c r="AJ875" s="213"/>
    </row>
    <row r="876" spans="36:36" x14ac:dyDescent="0.35">
      <c r="AJ876" s="213"/>
    </row>
    <row r="877" spans="36:36" x14ac:dyDescent="0.35">
      <c r="AJ877" s="213"/>
    </row>
    <row r="878" spans="36:36" x14ac:dyDescent="0.35">
      <c r="AJ878" s="213"/>
    </row>
    <row r="879" spans="36:36" x14ac:dyDescent="0.35">
      <c r="AJ879" s="213"/>
    </row>
    <row r="880" spans="36:36" x14ac:dyDescent="0.35">
      <c r="AJ880" s="213"/>
    </row>
    <row r="881" spans="36:36" x14ac:dyDescent="0.35">
      <c r="AJ881" s="213"/>
    </row>
    <row r="882" spans="36:36" x14ac:dyDescent="0.35">
      <c r="AJ882" s="213"/>
    </row>
    <row r="883" spans="36:36" x14ac:dyDescent="0.35">
      <c r="AJ883" s="213"/>
    </row>
    <row r="884" spans="36:36" x14ac:dyDescent="0.35">
      <c r="AJ884" s="213"/>
    </row>
    <row r="885" spans="36:36" x14ac:dyDescent="0.35">
      <c r="AJ885" s="213"/>
    </row>
    <row r="886" spans="36:36" x14ac:dyDescent="0.35">
      <c r="AJ886" s="213"/>
    </row>
    <row r="887" spans="36:36" x14ac:dyDescent="0.35">
      <c r="AJ887" s="213"/>
    </row>
    <row r="888" spans="36:36" x14ac:dyDescent="0.35">
      <c r="AJ888" s="213"/>
    </row>
    <row r="889" spans="36:36" x14ac:dyDescent="0.35">
      <c r="AJ889" s="213"/>
    </row>
    <row r="890" spans="36:36" x14ac:dyDescent="0.35">
      <c r="AJ890" s="213"/>
    </row>
    <row r="891" spans="36:36" x14ac:dyDescent="0.35">
      <c r="AJ891" s="213"/>
    </row>
    <row r="892" spans="36:36" x14ac:dyDescent="0.35">
      <c r="AJ892" s="213"/>
    </row>
    <row r="893" spans="36:36" x14ac:dyDescent="0.35">
      <c r="AJ893" s="213"/>
    </row>
    <row r="894" spans="36:36" x14ac:dyDescent="0.35">
      <c r="AJ894" s="213"/>
    </row>
    <row r="895" spans="36:36" x14ac:dyDescent="0.35">
      <c r="AJ895" s="213"/>
    </row>
    <row r="896" spans="36:36" x14ac:dyDescent="0.35">
      <c r="AJ896" s="213"/>
    </row>
    <row r="897" spans="36:36" x14ac:dyDescent="0.35">
      <c r="AJ897" s="213"/>
    </row>
    <row r="898" spans="36:36" x14ac:dyDescent="0.35">
      <c r="AJ898" s="213"/>
    </row>
    <row r="899" spans="36:36" x14ac:dyDescent="0.35">
      <c r="AJ899" s="213"/>
    </row>
    <row r="900" spans="36:36" x14ac:dyDescent="0.35">
      <c r="AJ900" s="213"/>
    </row>
    <row r="901" spans="36:36" x14ac:dyDescent="0.35">
      <c r="AJ901" s="213"/>
    </row>
    <row r="902" spans="36:36" x14ac:dyDescent="0.35">
      <c r="AJ902" s="213"/>
    </row>
    <row r="903" spans="36:36" x14ac:dyDescent="0.35">
      <c r="AJ903" s="213"/>
    </row>
    <row r="904" spans="36:36" x14ac:dyDescent="0.35">
      <c r="AJ904" s="213"/>
    </row>
    <row r="905" spans="36:36" x14ac:dyDescent="0.35">
      <c r="AJ905" s="213"/>
    </row>
    <row r="906" spans="36:36" x14ac:dyDescent="0.35">
      <c r="AJ906" s="213"/>
    </row>
    <row r="907" spans="36:36" x14ac:dyDescent="0.35">
      <c r="AJ907" s="213"/>
    </row>
    <row r="908" spans="36:36" x14ac:dyDescent="0.35">
      <c r="AJ908" s="213"/>
    </row>
    <row r="909" spans="36:36" x14ac:dyDescent="0.35">
      <c r="AJ909" s="213"/>
    </row>
    <row r="910" spans="36:36" x14ac:dyDescent="0.35">
      <c r="AJ910" s="213"/>
    </row>
    <row r="911" spans="36:36" x14ac:dyDescent="0.35">
      <c r="AJ911" s="213"/>
    </row>
    <row r="912" spans="36:36" x14ac:dyDescent="0.35">
      <c r="AJ912" s="213"/>
    </row>
    <row r="913" spans="36:36" x14ac:dyDescent="0.35">
      <c r="AJ913" s="213"/>
    </row>
    <row r="914" spans="36:36" x14ac:dyDescent="0.35">
      <c r="AJ914" s="213"/>
    </row>
    <row r="915" spans="36:36" x14ac:dyDescent="0.35">
      <c r="AJ915" s="213"/>
    </row>
    <row r="916" spans="36:36" x14ac:dyDescent="0.35">
      <c r="AJ916" s="213"/>
    </row>
    <row r="917" spans="36:36" x14ac:dyDescent="0.35">
      <c r="AJ917" s="213"/>
    </row>
    <row r="918" spans="36:36" x14ac:dyDescent="0.35">
      <c r="AJ918" s="213"/>
    </row>
    <row r="919" spans="36:36" x14ac:dyDescent="0.35">
      <c r="AJ919" s="213"/>
    </row>
    <row r="920" spans="36:36" x14ac:dyDescent="0.35">
      <c r="AJ920" s="213"/>
    </row>
    <row r="921" spans="36:36" x14ac:dyDescent="0.35">
      <c r="AJ921" s="213"/>
    </row>
    <row r="922" spans="36:36" x14ac:dyDescent="0.35">
      <c r="AJ922" s="213"/>
    </row>
    <row r="923" spans="36:36" x14ac:dyDescent="0.35">
      <c r="AJ923" s="213"/>
    </row>
    <row r="924" spans="36:36" x14ac:dyDescent="0.35">
      <c r="AJ924" s="213"/>
    </row>
    <row r="925" spans="36:36" x14ac:dyDescent="0.35">
      <c r="AJ925" s="213"/>
    </row>
    <row r="926" spans="36:36" x14ac:dyDescent="0.35">
      <c r="AJ926" s="213"/>
    </row>
    <row r="927" spans="36:36" x14ac:dyDescent="0.35">
      <c r="AJ927" s="213"/>
    </row>
    <row r="928" spans="36:36" x14ac:dyDescent="0.35">
      <c r="AJ928" s="213"/>
    </row>
    <row r="929" spans="36:36" x14ac:dyDescent="0.35">
      <c r="AJ929" s="213"/>
    </row>
    <row r="930" spans="36:36" x14ac:dyDescent="0.35">
      <c r="AJ930" s="213"/>
    </row>
    <row r="931" spans="36:36" x14ac:dyDescent="0.35">
      <c r="AJ931" s="213"/>
    </row>
    <row r="932" spans="36:36" x14ac:dyDescent="0.35">
      <c r="AJ932" s="213"/>
    </row>
    <row r="933" spans="36:36" x14ac:dyDescent="0.35">
      <c r="AJ933" s="213"/>
    </row>
    <row r="934" spans="36:36" x14ac:dyDescent="0.35">
      <c r="AJ934" s="213"/>
    </row>
    <row r="935" spans="36:36" x14ac:dyDescent="0.35">
      <c r="AJ935" s="213"/>
    </row>
    <row r="936" spans="36:36" x14ac:dyDescent="0.35">
      <c r="AJ936" s="213"/>
    </row>
    <row r="937" spans="36:36" x14ac:dyDescent="0.35">
      <c r="AJ937" s="213"/>
    </row>
    <row r="938" spans="36:36" x14ac:dyDescent="0.35">
      <c r="AJ938" s="213"/>
    </row>
    <row r="939" spans="36:36" x14ac:dyDescent="0.35">
      <c r="AJ939" s="213"/>
    </row>
    <row r="940" spans="36:36" x14ac:dyDescent="0.35">
      <c r="AJ940" s="213"/>
    </row>
    <row r="941" spans="36:36" x14ac:dyDescent="0.35">
      <c r="AJ941" s="213"/>
    </row>
    <row r="942" spans="36:36" x14ac:dyDescent="0.35">
      <c r="AJ942" s="213"/>
    </row>
    <row r="943" spans="36:36" x14ac:dyDescent="0.35">
      <c r="AJ943" s="213"/>
    </row>
    <row r="944" spans="36:36" x14ac:dyDescent="0.35">
      <c r="AJ944" s="213"/>
    </row>
    <row r="945" spans="36:36" x14ac:dyDescent="0.35">
      <c r="AJ945" s="213"/>
    </row>
    <row r="946" spans="36:36" x14ac:dyDescent="0.35">
      <c r="AJ946" s="213"/>
    </row>
    <row r="947" spans="36:36" x14ac:dyDescent="0.35">
      <c r="AJ947" s="213"/>
    </row>
    <row r="948" spans="36:36" x14ac:dyDescent="0.35">
      <c r="AJ948" s="213"/>
    </row>
    <row r="949" spans="36:36" x14ac:dyDescent="0.35">
      <c r="AJ949" s="213"/>
    </row>
    <row r="950" spans="36:36" x14ac:dyDescent="0.35">
      <c r="AJ950" s="213"/>
    </row>
    <row r="951" spans="36:36" x14ac:dyDescent="0.35">
      <c r="AJ951" s="213"/>
    </row>
    <row r="952" spans="36:36" x14ac:dyDescent="0.35">
      <c r="AJ952" s="213"/>
    </row>
    <row r="953" spans="36:36" x14ac:dyDescent="0.35">
      <c r="AJ953" s="213"/>
    </row>
    <row r="954" spans="36:36" x14ac:dyDescent="0.35">
      <c r="AJ954" s="213"/>
    </row>
    <row r="955" spans="36:36" x14ac:dyDescent="0.35">
      <c r="AJ955" s="213"/>
    </row>
    <row r="956" spans="36:36" x14ac:dyDescent="0.35">
      <c r="AJ956" s="213"/>
    </row>
    <row r="957" spans="36:36" x14ac:dyDescent="0.35">
      <c r="AJ957" s="213"/>
    </row>
    <row r="958" spans="36:36" x14ac:dyDescent="0.35">
      <c r="AJ958" s="213"/>
    </row>
    <row r="959" spans="36:36" x14ac:dyDescent="0.35">
      <c r="AJ959" s="213"/>
    </row>
    <row r="960" spans="36:36" x14ac:dyDescent="0.35">
      <c r="AJ960" s="213"/>
    </row>
    <row r="961" spans="36:36" x14ac:dyDescent="0.35">
      <c r="AJ961" s="213"/>
    </row>
    <row r="962" spans="36:36" x14ac:dyDescent="0.35">
      <c r="AJ962" s="213"/>
    </row>
    <row r="963" spans="36:36" x14ac:dyDescent="0.35">
      <c r="AJ963" s="213"/>
    </row>
    <row r="964" spans="36:36" x14ac:dyDescent="0.35">
      <c r="AJ964" s="213"/>
    </row>
    <row r="965" spans="36:36" x14ac:dyDescent="0.35">
      <c r="AJ965" s="213"/>
    </row>
    <row r="966" spans="36:36" x14ac:dyDescent="0.35">
      <c r="AJ966" s="213"/>
    </row>
    <row r="967" spans="36:36" x14ac:dyDescent="0.35">
      <c r="AJ967" s="213"/>
    </row>
    <row r="968" spans="36:36" x14ac:dyDescent="0.35">
      <c r="AJ968" s="213"/>
    </row>
    <row r="969" spans="36:36" x14ac:dyDescent="0.35">
      <c r="AJ969" s="213"/>
    </row>
    <row r="970" spans="36:36" x14ac:dyDescent="0.35">
      <c r="AJ970" s="213"/>
    </row>
    <row r="971" spans="36:36" x14ac:dyDescent="0.35">
      <c r="AJ971" s="213"/>
    </row>
    <row r="972" spans="36:36" x14ac:dyDescent="0.35">
      <c r="AJ972" s="213"/>
    </row>
    <row r="973" spans="36:36" x14ac:dyDescent="0.35">
      <c r="AJ973" s="213"/>
    </row>
    <row r="974" spans="36:36" x14ac:dyDescent="0.35">
      <c r="AJ974" s="213"/>
    </row>
    <row r="975" spans="36:36" x14ac:dyDescent="0.35">
      <c r="AJ975" s="213"/>
    </row>
    <row r="976" spans="36:36" x14ac:dyDescent="0.35">
      <c r="AJ976" s="213"/>
    </row>
    <row r="977" spans="36:36" x14ac:dyDescent="0.35">
      <c r="AJ977" s="213"/>
    </row>
    <row r="978" spans="36:36" x14ac:dyDescent="0.35">
      <c r="AJ978" s="213"/>
    </row>
    <row r="979" spans="36:36" x14ac:dyDescent="0.35">
      <c r="AJ979" s="213"/>
    </row>
    <row r="980" spans="36:36" x14ac:dyDescent="0.35">
      <c r="AJ980" s="213"/>
    </row>
    <row r="981" spans="36:36" x14ac:dyDescent="0.35">
      <c r="AJ981" s="213"/>
    </row>
    <row r="982" spans="36:36" x14ac:dyDescent="0.35">
      <c r="AJ982" s="213"/>
    </row>
    <row r="983" spans="36:36" x14ac:dyDescent="0.35">
      <c r="AJ983" s="213"/>
    </row>
    <row r="984" spans="36:36" x14ac:dyDescent="0.35">
      <c r="AJ984" s="213"/>
    </row>
    <row r="985" spans="36:36" x14ac:dyDescent="0.35">
      <c r="AJ985" s="213"/>
    </row>
    <row r="986" spans="36:36" x14ac:dyDescent="0.35">
      <c r="AJ986" s="213"/>
    </row>
    <row r="987" spans="36:36" x14ac:dyDescent="0.35">
      <c r="AJ987" s="213"/>
    </row>
    <row r="988" spans="36:36" x14ac:dyDescent="0.35">
      <c r="AJ988" s="213"/>
    </row>
    <row r="989" spans="36:36" x14ac:dyDescent="0.35">
      <c r="AJ989" s="213"/>
    </row>
    <row r="990" spans="36:36" x14ac:dyDescent="0.35">
      <c r="AJ990" s="213"/>
    </row>
    <row r="991" spans="36:36" x14ac:dyDescent="0.35">
      <c r="AJ991" s="213"/>
    </row>
    <row r="992" spans="36:36" x14ac:dyDescent="0.35">
      <c r="AJ992" s="213"/>
    </row>
    <row r="993" spans="36:36" x14ac:dyDescent="0.35">
      <c r="AJ993" s="213"/>
    </row>
    <row r="994" spans="36:36" x14ac:dyDescent="0.35">
      <c r="AJ994" s="213"/>
    </row>
    <row r="995" spans="36:36" x14ac:dyDescent="0.35">
      <c r="AJ995" s="213"/>
    </row>
    <row r="996" spans="36:36" x14ac:dyDescent="0.35">
      <c r="AJ996" s="213"/>
    </row>
    <row r="997" spans="36:36" x14ac:dyDescent="0.35">
      <c r="AJ997" s="213"/>
    </row>
    <row r="998" spans="36:36" x14ac:dyDescent="0.35">
      <c r="AJ998" s="213"/>
    </row>
    <row r="999" spans="36:36" x14ac:dyDescent="0.35">
      <c r="AJ999" s="213"/>
    </row>
    <row r="1000" spans="36:36" x14ac:dyDescent="0.35">
      <c r="AJ1000" s="213"/>
    </row>
    <row r="1001" spans="36:36" x14ac:dyDescent="0.35">
      <c r="AJ1001" s="213"/>
    </row>
    <row r="1002" spans="36:36" x14ac:dyDescent="0.35">
      <c r="AJ1002" s="213"/>
    </row>
    <row r="1003" spans="36:36" x14ac:dyDescent="0.35">
      <c r="AJ1003" s="213"/>
    </row>
    <row r="1004" spans="36:36" x14ac:dyDescent="0.35">
      <c r="AJ1004" s="213"/>
    </row>
    <row r="1005" spans="36:36" x14ac:dyDescent="0.35">
      <c r="AJ1005" s="213"/>
    </row>
    <row r="1006" spans="36:36" x14ac:dyDescent="0.35">
      <c r="AJ1006" s="213"/>
    </row>
    <row r="1007" spans="36:36" x14ac:dyDescent="0.35">
      <c r="AJ1007" s="213"/>
    </row>
    <row r="1008" spans="36:36" x14ac:dyDescent="0.35">
      <c r="AJ1008" s="213"/>
    </row>
    <row r="1009" spans="36:36" x14ac:dyDescent="0.35">
      <c r="AJ1009" s="213"/>
    </row>
    <row r="1010" spans="36:36" x14ac:dyDescent="0.35">
      <c r="AJ1010" s="213"/>
    </row>
    <row r="1011" spans="36:36" x14ac:dyDescent="0.35">
      <c r="AJ1011" s="213"/>
    </row>
    <row r="1012" spans="36:36" x14ac:dyDescent="0.35">
      <c r="AJ1012" s="213"/>
    </row>
    <row r="1013" spans="36:36" x14ac:dyDescent="0.35">
      <c r="AJ1013" s="213"/>
    </row>
    <row r="1014" spans="36:36" x14ac:dyDescent="0.35">
      <c r="AJ1014" s="213"/>
    </row>
    <row r="1015" spans="36:36" x14ac:dyDescent="0.35">
      <c r="AJ1015" s="213"/>
    </row>
    <row r="1016" spans="36:36" x14ac:dyDescent="0.35">
      <c r="AJ1016" s="213"/>
    </row>
    <row r="1017" spans="36:36" x14ac:dyDescent="0.35">
      <c r="AJ1017" s="213"/>
    </row>
    <row r="1018" spans="36:36" x14ac:dyDescent="0.35">
      <c r="AJ1018" s="213"/>
    </row>
    <row r="1019" spans="36:36" x14ac:dyDescent="0.35">
      <c r="AJ1019" s="213"/>
    </row>
    <row r="1020" spans="36:36" x14ac:dyDescent="0.35">
      <c r="AJ1020" s="213"/>
    </row>
    <row r="1021" spans="36:36" x14ac:dyDescent="0.35">
      <c r="AJ1021" s="213"/>
    </row>
    <row r="1022" spans="36:36" x14ac:dyDescent="0.35">
      <c r="AJ1022" s="213"/>
    </row>
    <row r="1023" spans="36:36" x14ac:dyDescent="0.35">
      <c r="AJ1023" s="213"/>
    </row>
    <row r="1024" spans="36:36" x14ac:dyDescent="0.35">
      <c r="AJ1024" s="213"/>
    </row>
    <row r="1025" spans="36:36" x14ac:dyDescent="0.35">
      <c r="AJ1025" s="213"/>
    </row>
    <row r="1026" spans="36:36" x14ac:dyDescent="0.35">
      <c r="AJ1026" s="213"/>
    </row>
    <row r="1027" spans="36:36" x14ac:dyDescent="0.35">
      <c r="AJ1027" s="213"/>
    </row>
    <row r="1028" spans="36:36" x14ac:dyDescent="0.35">
      <c r="AJ1028" s="213"/>
    </row>
    <row r="1029" spans="36:36" x14ac:dyDescent="0.35">
      <c r="AJ1029" s="213"/>
    </row>
    <row r="1030" spans="36:36" x14ac:dyDescent="0.35">
      <c r="AJ1030" s="213"/>
    </row>
    <row r="1031" spans="36:36" x14ac:dyDescent="0.35">
      <c r="AJ1031" s="213"/>
    </row>
    <row r="1032" spans="36:36" x14ac:dyDescent="0.35">
      <c r="AJ1032" s="213"/>
    </row>
    <row r="1033" spans="36:36" x14ac:dyDescent="0.35">
      <c r="AJ1033" s="213"/>
    </row>
    <row r="1034" spans="36:36" x14ac:dyDescent="0.35">
      <c r="AJ1034" s="213"/>
    </row>
    <row r="1035" spans="36:36" x14ac:dyDescent="0.35">
      <c r="AJ1035" s="213"/>
    </row>
    <row r="1036" spans="36:36" x14ac:dyDescent="0.35">
      <c r="AJ1036" s="213"/>
    </row>
    <row r="1037" spans="36:36" x14ac:dyDescent="0.35">
      <c r="AJ1037" s="213"/>
    </row>
    <row r="1038" spans="36:36" x14ac:dyDescent="0.35">
      <c r="AJ1038" s="213"/>
    </row>
    <row r="1039" spans="36:36" x14ac:dyDescent="0.35">
      <c r="AJ1039" s="213"/>
    </row>
    <row r="1040" spans="36:36" x14ac:dyDescent="0.35">
      <c r="AJ1040" s="213"/>
    </row>
    <row r="1041" spans="36:36" x14ac:dyDescent="0.35">
      <c r="AJ1041" s="213"/>
    </row>
    <row r="1042" spans="36:36" x14ac:dyDescent="0.35">
      <c r="AJ1042" s="213"/>
    </row>
    <row r="1043" spans="36:36" x14ac:dyDescent="0.35">
      <c r="AJ1043" s="213"/>
    </row>
    <row r="1044" spans="36:36" x14ac:dyDescent="0.35">
      <c r="AJ1044" s="213"/>
    </row>
    <row r="1045" spans="36:36" x14ac:dyDescent="0.35">
      <c r="AJ1045" s="213"/>
    </row>
    <row r="1046" spans="36:36" x14ac:dyDescent="0.35">
      <c r="AJ1046" s="213"/>
    </row>
    <row r="1047" spans="36:36" x14ac:dyDescent="0.35">
      <c r="AJ1047" s="213"/>
    </row>
    <row r="1048" spans="36:36" x14ac:dyDescent="0.35">
      <c r="AJ1048" s="213"/>
    </row>
    <row r="1049" spans="36:36" x14ac:dyDescent="0.35">
      <c r="AJ1049" s="213"/>
    </row>
    <row r="1050" spans="36:36" x14ac:dyDescent="0.35">
      <c r="AJ1050" s="213"/>
    </row>
    <row r="1051" spans="36:36" x14ac:dyDescent="0.35">
      <c r="AJ1051" s="213"/>
    </row>
    <row r="1052" spans="36:36" x14ac:dyDescent="0.35">
      <c r="AJ1052" s="213"/>
    </row>
    <row r="1053" spans="36:36" x14ac:dyDescent="0.35">
      <c r="AJ1053" s="213"/>
    </row>
    <row r="1054" spans="36:36" x14ac:dyDescent="0.35">
      <c r="AJ1054" s="213"/>
    </row>
    <row r="1055" spans="36:36" x14ac:dyDescent="0.35">
      <c r="AJ1055" s="213"/>
    </row>
    <row r="1056" spans="36:36" x14ac:dyDescent="0.35">
      <c r="AJ1056" s="213"/>
    </row>
    <row r="1057" spans="36:36" x14ac:dyDescent="0.35">
      <c r="AJ1057" s="213"/>
    </row>
    <row r="1058" spans="36:36" x14ac:dyDescent="0.35">
      <c r="AJ1058" s="213"/>
    </row>
    <row r="1059" spans="36:36" x14ac:dyDescent="0.35">
      <c r="AJ1059" s="213"/>
    </row>
    <row r="1060" spans="36:36" x14ac:dyDescent="0.35">
      <c r="AJ1060" s="213"/>
    </row>
    <row r="1061" spans="36:36" x14ac:dyDescent="0.35">
      <c r="AJ1061" s="213"/>
    </row>
    <row r="1062" spans="36:36" x14ac:dyDescent="0.35">
      <c r="AJ1062" s="213"/>
    </row>
    <row r="1063" spans="36:36" x14ac:dyDescent="0.35">
      <c r="AJ1063" s="213"/>
    </row>
    <row r="1064" spans="36:36" x14ac:dyDescent="0.35">
      <c r="AJ1064" s="213"/>
    </row>
    <row r="1065" spans="36:36" x14ac:dyDescent="0.35">
      <c r="AJ1065" s="213"/>
    </row>
    <row r="1066" spans="36:36" x14ac:dyDescent="0.35">
      <c r="AJ1066" s="213"/>
    </row>
    <row r="1067" spans="36:36" x14ac:dyDescent="0.35">
      <c r="AJ1067" s="213"/>
    </row>
    <row r="1068" spans="36:36" x14ac:dyDescent="0.35">
      <c r="AJ1068" s="213"/>
    </row>
    <row r="1069" spans="36:36" x14ac:dyDescent="0.35">
      <c r="AJ1069" s="213"/>
    </row>
    <row r="1070" spans="36:36" x14ac:dyDescent="0.35">
      <c r="AJ1070" s="213"/>
    </row>
    <row r="1071" spans="36:36" x14ac:dyDescent="0.35">
      <c r="AJ1071" s="213"/>
    </row>
    <row r="1072" spans="36:36" x14ac:dyDescent="0.35">
      <c r="AJ1072" s="213"/>
    </row>
    <row r="1073" spans="36:36" x14ac:dyDescent="0.35">
      <c r="AJ1073" s="213"/>
    </row>
    <row r="1074" spans="36:36" x14ac:dyDescent="0.35">
      <c r="AJ1074" s="213"/>
    </row>
    <row r="1075" spans="36:36" x14ac:dyDescent="0.35">
      <c r="AJ1075" s="213"/>
    </row>
    <row r="1076" spans="36:36" x14ac:dyDescent="0.35">
      <c r="AJ1076" s="213"/>
    </row>
    <row r="1077" spans="36:36" x14ac:dyDescent="0.35">
      <c r="AJ1077" s="213"/>
    </row>
    <row r="1078" spans="36:36" x14ac:dyDescent="0.35">
      <c r="AJ1078" s="213"/>
    </row>
    <row r="1079" spans="36:36" x14ac:dyDescent="0.35">
      <c r="AJ1079" s="213"/>
    </row>
    <row r="1080" spans="36:36" x14ac:dyDescent="0.35">
      <c r="AJ1080" s="213"/>
    </row>
    <row r="1081" spans="36:36" x14ac:dyDescent="0.35">
      <c r="AJ1081" s="213"/>
    </row>
    <row r="1082" spans="36:36" x14ac:dyDescent="0.35">
      <c r="AJ1082" s="213"/>
    </row>
    <row r="1083" spans="36:36" x14ac:dyDescent="0.35">
      <c r="AJ1083" s="213"/>
    </row>
    <row r="1084" spans="36:36" x14ac:dyDescent="0.35">
      <c r="AJ1084" s="213"/>
    </row>
    <row r="1085" spans="36:36" x14ac:dyDescent="0.35">
      <c r="AJ1085" s="213"/>
    </row>
    <row r="1086" spans="36:36" x14ac:dyDescent="0.35">
      <c r="AJ1086" s="213"/>
    </row>
    <row r="1087" spans="36:36" x14ac:dyDescent="0.35">
      <c r="AJ1087" s="213"/>
    </row>
    <row r="1088" spans="36:36" x14ac:dyDescent="0.35">
      <c r="AJ1088" s="213"/>
    </row>
    <row r="1089" spans="36:36" x14ac:dyDescent="0.35">
      <c r="AJ1089" s="213"/>
    </row>
    <row r="1090" spans="36:36" x14ac:dyDescent="0.35">
      <c r="AJ1090" s="213"/>
    </row>
    <row r="1091" spans="36:36" x14ac:dyDescent="0.35">
      <c r="AJ1091" s="213"/>
    </row>
    <row r="1092" spans="36:36" x14ac:dyDescent="0.35">
      <c r="AJ1092" s="213"/>
    </row>
    <row r="1093" spans="36:36" x14ac:dyDescent="0.35">
      <c r="AJ1093" s="213"/>
    </row>
    <row r="1094" spans="36:36" x14ac:dyDescent="0.35">
      <c r="AJ1094" s="213"/>
    </row>
    <row r="1095" spans="36:36" x14ac:dyDescent="0.35">
      <c r="AJ1095" s="213"/>
    </row>
    <row r="1096" spans="36:36" x14ac:dyDescent="0.35">
      <c r="AJ1096" s="213"/>
    </row>
    <row r="1097" spans="36:36" x14ac:dyDescent="0.35">
      <c r="AJ1097" s="213"/>
    </row>
    <row r="1098" spans="36:36" x14ac:dyDescent="0.35">
      <c r="AJ1098" s="213"/>
    </row>
    <row r="1099" spans="36:36" x14ac:dyDescent="0.35">
      <c r="AJ1099" s="213"/>
    </row>
    <row r="1100" spans="36:36" x14ac:dyDescent="0.35">
      <c r="AJ1100" s="213"/>
    </row>
    <row r="1101" spans="36:36" x14ac:dyDescent="0.35">
      <c r="AJ1101" s="213"/>
    </row>
    <row r="1102" spans="36:36" x14ac:dyDescent="0.35">
      <c r="AJ1102" s="213"/>
    </row>
    <row r="1103" spans="36:36" x14ac:dyDescent="0.35">
      <c r="AJ1103" s="213"/>
    </row>
    <row r="1104" spans="36:36" x14ac:dyDescent="0.35">
      <c r="AJ1104" s="213"/>
    </row>
    <row r="1105" spans="36:36" x14ac:dyDescent="0.35">
      <c r="AJ1105" s="213"/>
    </row>
    <row r="1106" spans="36:36" x14ac:dyDescent="0.35">
      <c r="AJ1106" s="213"/>
    </row>
    <row r="1107" spans="36:36" x14ac:dyDescent="0.35">
      <c r="AJ1107" s="213"/>
    </row>
    <row r="1108" spans="36:36" x14ac:dyDescent="0.35">
      <c r="AJ1108" s="213"/>
    </row>
    <row r="1109" spans="36:36" x14ac:dyDescent="0.35">
      <c r="AJ1109" s="213"/>
    </row>
    <row r="1110" spans="36:36" x14ac:dyDescent="0.35">
      <c r="AJ1110" s="213"/>
    </row>
    <row r="1111" spans="36:36" x14ac:dyDescent="0.35">
      <c r="AJ1111" s="213"/>
    </row>
    <row r="1112" spans="36:36" x14ac:dyDescent="0.35">
      <c r="AJ1112" s="213"/>
    </row>
    <row r="1113" spans="36:36" x14ac:dyDescent="0.35">
      <c r="AJ1113" s="213"/>
    </row>
    <row r="1114" spans="36:36" x14ac:dyDescent="0.35">
      <c r="AJ1114" s="213"/>
    </row>
    <row r="1115" spans="36:36" x14ac:dyDescent="0.35">
      <c r="AJ1115" s="213"/>
    </row>
    <row r="1116" spans="36:36" x14ac:dyDescent="0.35">
      <c r="AJ1116" s="213"/>
    </row>
    <row r="1117" spans="36:36" x14ac:dyDescent="0.35">
      <c r="AJ1117" s="213"/>
    </row>
    <row r="1118" spans="36:36" x14ac:dyDescent="0.35">
      <c r="AJ1118" s="213"/>
    </row>
    <row r="1119" spans="36:36" x14ac:dyDescent="0.35">
      <c r="AJ1119" s="213"/>
    </row>
    <row r="1120" spans="36:36" x14ac:dyDescent="0.35">
      <c r="AJ1120" s="213"/>
    </row>
    <row r="1121" spans="36:36" x14ac:dyDescent="0.35">
      <c r="AJ1121" s="213"/>
    </row>
    <row r="1122" spans="36:36" x14ac:dyDescent="0.35">
      <c r="AJ1122" s="213"/>
    </row>
    <row r="1123" spans="36:36" x14ac:dyDescent="0.35">
      <c r="AJ1123" s="213"/>
    </row>
    <row r="1124" spans="36:36" x14ac:dyDescent="0.35">
      <c r="AJ1124" s="213"/>
    </row>
    <row r="1125" spans="36:36" x14ac:dyDescent="0.35">
      <c r="AJ1125" s="213"/>
    </row>
    <row r="1126" spans="36:36" x14ac:dyDescent="0.35">
      <c r="AJ1126" s="213"/>
    </row>
    <row r="1127" spans="36:36" x14ac:dyDescent="0.35">
      <c r="AJ1127" s="213"/>
    </row>
    <row r="1128" spans="36:36" x14ac:dyDescent="0.35">
      <c r="AJ1128" s="213"/>
    </row>
    <row r="1129" spans="36:36" x14ac:dyDescent="0.35">
      <c r="AJ1129" s="213"/>
    </row>
    <row r="1130" spans="36:36" x14ac:dyDescent="0.35">
      <c r="AJ1130" s="213"/>
    </row>
    <row r="1131" spans="36:36" x14ac:dyDescent="0.35">
      <c r="AJ1131" s="213"/>
    </row>
    <row r="1132" spans="36:36" x14ac:dyDescent="0.35">
      <c r="AJ1132" s="213"/>
    </row>
    <row r="1133" spans="36:36" x14ac:dyDescent="0.35">
      <c r="AJ1133" s="213"/>
    </row>
    <row r="1134" spans="36:36" x14ac:dyDescent="0.35">
      <c r="AJ1134" s="213"/>
    </row>
    <row r="1135" spans="36:36" x14ac:dyDescent="0.35">
      <c r="AJ1135" s="213"/>
    </row>
    <row r="1136" spans="36:36" x14ac:dyDescent="0.35">
      <c r="AJ1136" s="213"/>
    </row>
    <row r="1137" spans="36:36" x14ac:dyDescent="0.35">
      <c r="AJ1137" s="213"/>
    </row>
    <row r="1138" spans="36:36" x14ac:dyDescent="0.35">
      <c r="AJ1138" s="213"/>
    </row>
    <row r="1139" spans="36:36" x14ac:dyDescent="0.35">
      <c r="AJ1139" s="213"/>
    </row>
    <row r="1140" spans="36:36" x14ac:dyDescent="0.35">
      <c r="AJ1140" s="213"/>
    </row>
    <row r="1141" spans="36:36" x14ac:dyDescent="0.35">
      <c r="AJ1141" s="213"/>
    </row>
    <row r="1142" spans="36:36" x14ac:dyDescent="0.35">
      <c r="AJ1142" s="213"/>
    </row>
    <row r="1143" spans="36:36" x14ac:dyDescent="0.35">
      <c r="AJ1143" s="213"/>
    </row>
    <row r="1144" spans="36:36" x14ac:dyDescent="0.35">
      <c r="AJ1144" s="213"/>
    </row>
    <row r="1145" spans="36:36" x14ac:dyDescent="0.35">
      <c r="AJ1145" s="213"/>
    </row>
    <row r="1146" spans="36:36" x14ac:dyDescent="0.35">
      <c r="AJ1146" s="213"/>
    </row>
    <row r="1147" spans="36:36" x14ac:dyDescent="0.35">
      <c r="AJ1147" s="213"/>
    </row>
    <row r="1148" spans="36:36" x14ac:dyDescent="0.35">
      <c r="AJ1148" s="213"/>
    </row>
    <row r="1149" spans="36:36" x14ac:dyDescent="0.35">
      <c r="AJ1149" s="213"/>
    </row>
    <row r="1150" spans="36:36" x14ac:dyDescent="0.35">
      <c r="AJ1150" s="213"/>
    </row>
    <row r="1151" spans="36:36" x14ac:dyDescent="0.35">
      <c r="AJ1151" s="213"/>
    </row>
    <row r="1152" spans="36:36" x14ac:dyDescent="0.35">
      <c r="AJ1152" s="213"/>
    </row>
    <row r="1153" spans="36:36" x14ac:dyDescent="0.35">
      <c r="AJ1153" s="213"/>
    </row>
    <row r="1154" spans="36:36" x14ac:dyDescent="0.35">
      <c r="AJ1154" s="213"/>
    </row>
    <row r="1155" spans="36:36" x14ac:dyDescent="0.35">
      <c r="AJ1155" s="213"/>
    </row>
    <row r="1156" spans="36:36" x14ac:dyDescent="0.35">
      <c r="AJ1156" s="213"/>
    </row>
    <row r="1157" spans="36:36" x14ac:dyDescent="0.35">
      <c r="AJ1157" s="213"/>
    </row>
    <row r="1158" spans="36:36" x14ac:dyDescent="0.35">
      <c r="AJ1158" s="213"/>
    </row>
    <row r="1159" spans="36:36" x14ac:dyDescent="0.35">
      <c r="AJ1159" s="213"/>
    </row>
    <row r="1160" spans="36:36" x14ac:dyDescent="0.35">
      <c r="AJ1160" s="213"/>
    </row>
    <row r="1161" spans="36:36" x14ac:dyDescent="0.35">
      <c r="AJ1161" s="213"/>
    </row>
    <row r="1162" spans="36:36" x14ac:dyDescent="0.35">
      <c r="AJ1162" s="213"/>
    </row>
    <row r="1163" spans="36:36" x14ac:dyDescent="0.35">
      <c r="AJ1163" s="213"/>
    </row>
    <row r="1164" spans="36:36" x14ac:dyDescent="0.35">
      <c r="AJ1164" s="213"/>
    </row>
    <row r="1165" spans="36:36" x14ac:dyDescent="0.35">
      <c r="AJ1165" s="213"/>
    </row>
    <row r="1166" spans="36:36" x14ac:dyDescent="0.35">
      <c r="AJ1166" s="213"/>
    </row>
    <row r="1167" spans="36:36" x14ac:dyDescent="0.35">
      <c r="AJ1167" s="213"/>
    </row>
    <row r="1168" spans="36:36" x14ac:dyDescent="0.35">
      <c r="AJ1168" s="213"/>
    </row>
    <row r="1169" spans="36:36" x14ac:dyDescent="0.35">
      <c r="AJ1169" s="213"/>
    </row>
    <row r="1170" spans="36:36" x14ac:dyDescent="0.35">
      <c r="AJ1170" s="213"/>
    </row>
    <row r="1171" spans="36:36" x14ac:dyDescent="0.35">
      <c r="AJ1171" s="213"/>
    </row>
    <row r="1172" spans="36:36" x14ac:dyDescent="0.35">
      <c r="AJ1172" s="213"/>
    </row>
    <row r="1173" spans="36:36" x14ac:dyDescent="0.35">
      <c r="AJ1173" s="213"/>
    </row>
    <row r="1174" spans="36:36" x14ac:dyDescent="0.35">
      <c r="AJ1174" s="213"/>
    </row>
    <row r="1175" spans="36:36" x14ac:dyDescent="0.35">
      <c r="AJ1175" s="213"/>
    </row>
    <row r="1176" spans="36:36" x14ac:dyDescent="0.35">
      <c r="AJ1176" s="213"/>
    </row>
    <row r="1177" spans="36:36" x14ac:dyDescent="0.35">
      <c r="AJ1177" s="213"/>
    </row>
    <row r="1178" spans="36:36" x14ac:dyDescent="0.35">
      <c r="AJ1178" s="213"/>
    </row>
    <row r="1179" spans="36:36" x14ac:dyDescent="0.35">
      <c r="AJ1179" s="213"/>
    </row>
    <row r="1180" spans="36:36" x14ac:dyDescent="0.35">
      <c r="AJ1180" s="213"/>
    </row>
    <row r="1181" spans="36:36" x14ac:dyDescent="0.35">
      <c r="AJ1181" s="213"/>
    </row>
    <row r="1182" spans="36:36" x14ac:dyDescent="0.35">
      <c r="AJ1182" s="213"/>
    </row>
    <row r="1183" spans="36:36" x14ac:dyDescent="0.35">
      <c r="AJ1183" s="213"/>
    </row>
    <row r="1184" spans="36:36" x14ac:dyDescent="0.35">
      <c r="AJ1184" s="213"/>
    </row>
    <row r="1185" spans="36:36" x14ac:dyDescent="0.35">
      <c r="AJ1185" s="213"/>
    </row>
    <row r="1186" spans="36:36" x14ac:dyDescent="0.35">
      <c r="AJ1186" s="213"/>
    </row>
    <row r="1187" spans="36:36" x14ac:dyDescent="0.35">
      <c r="AJ1187" s="213"/>
    </row>
    <row r="1188" spans="36:36" x14ac:dyDescent="0.35">
      <c r="AJ1188" s="213"/>
    </row>
    <row r="1189" spans="36:36" x14ac:dyDescent="0.35">
      <c r="AJ1189" s="213"/>
    </row>
    <row r="1190" spans="36:36" x14ac:dyDescent="0.35">
      <c r="AJ1190" s="213"/>
    </row>
    <row r="1191" spans="36:36" x14ac:dyDescent="0.35">
      <c r="AJ1191" s="213"/>
    </row>
    <row r="1192" spans="36:36" x14ac:dyDescent="0.35">
      <c r="AJ1192" s="213"/>
    </row>
    <row r="1193" spans="36:36" x14ac:dyDescent="0.35">
      <c r="AJ1193" s="213"/>
    </row>
    <row r="1194" spans="36:36" x14ac:dyDescent="0.35">
      <c r="AJ1194" s="213"/>
    </row>
    <row r="1195" spans="36:36" x14ac:dyDescent="0.35">
      <c r="AJ1195" s="213"/>
    </row>
    <row r="1196" spans="36:36" x14ac:dyDescent="0.35">
      <c r="AJ1196" s="213"/>
    </row>
    <row r="1197" spans="36:36" x14ac:dyDescent="0.35">
      <c r="AJ1197" s="213"/>
    </row>
    <row r="1198" spans="36:36" x14ac:dyDescent="0.35">
      <c r="AJ1198" s="213"/>
    </row>
    <row r="1199" spans="36:36" x14ac:dyDescent="0.35">
      <c r="AJ1199" s="213"/>
    </row>
    <row r="1200" spans="36:36" x14ac:dyDescent="0.35">
      <c r="AJ1200" s="213"/>
    </row>
    <row r="1201" spans="36:36" x14ac:dyDescent="0.35">
      <c r="AJ1201" s="213"/>
    </row>
    <row r="1202" spans="36:36" x14ac:dyDescent="0.35">
      <c r="AJ1202" s="213"/>
    </row>
    <row r="1203" spans="36:36" x14ac:dyDescent="0.35">
      <c r="AJ1203" s="213"/>
    </row>
    <row r="1204" spans="36:36" x14ac:dyDescent="0.35">
      <c r="AJ1204" s="213"/>
    </row>
    <row r="1205" spans="36:36" x14ac:dyDescent="0.35">
      <c r="AJ1205" s="213"/>
    </row>
    <row r="1206" spans="36:36" x14ac:dyDescent="0.35">
      <c r="AJ1206" s="213"/>
    </row>
    <row r="1207" spans="36:36" x14ac:dyDescent="0.35">
      <c r="AJ1207" s="213"/>
    </row>
    <row r="1208" spans="36:36" x14ac:dyDescent="0.35">
      <c r="AJ1208" s="213"/>
    </row>
    <row r="1209" spans="36:36" x14ac:dyDescent="0.35">
      <c r="AJ1209" s="213"/>
    </row>
    <row r="1210" spans="36:36" x14ac:dyDescent="0.35">
      <c r="AJ1210" s="213"/>
    </row>
    <row r="1211" spans="36:36" x14ac:dyDescent="0.35">
      <c r="AJ1211" s="213"/>
    </row>
    <row r="1212" spans="36:36" x14ac:dyDescent="0.35">
      <c r="AJ1212" s="213"/>
    </row>
    <row r="1213" spans="36:36" x14ac:dyDescent="0.35">
      <c r="AJ1213" s="213"/>
    </row>
    <row r="1214" spans="36:36" x14ac:dyDescent="0.35">
      <c r="AJ1214" s="213"/>
    </row>
    <row r="1215" spans="36:36" x14ac:dyDescent="0.35">
      <c r="AJ1215" s="213"/>
    </row>
    <row r="1216" spans="36:36" x14ac:dyDescent="0.35">
      <c r="AJ1216" s="213"/>
    </row>
    <row r="1217" spans="36:36" x14ac:dyDescent="0.35">
      <c r="AJ1217" s="213"/>
    </row>
    <row r="1218" spans="36:36" x14ac:dyDescent="0.35">
      <c r="AJ1218" s="213"/>
    </row>
    <row r="1219" spans="36:36" x14ac:dyDescent="0.35">
      <c r="AJ1219" s="213"/>
    </row>
    <row r="1220" spans="36:36" x14ac:dyDescent="0.35">
      <c r="AJ1220" s="213"/>
    </row>
    <row r="1221" spans="36:36" x14ac:dyDescent="0.35">
      <c r="AJ1221" s="213"/>
    </row>
    <row r="1222" spans="36:36" x14ac:dyDescent="0.35">
      <c r="AJ1222" s="213"/>
    </row>
    <row r="1223" spans="36:36" x14ac:dyDescent="0.35">
      <c r="AJ1223" s="213"/>
    </row>
    <row r="1224" spans="36:36" x14ac:dyDescent="0.35">
      <c r="AJ1224" s="213"/>
    </row>
    <row r="1225" spans="36:36" x14ac:dyDescent="0.35">
      <c r="AJ1225" s="213"/>
    </row>
    <row r="1226" spans="36:36" x14ac:dyDescent="0.35">
      <c r="AJ1226" s="213"/>
    </row>
    <row r="1227" spans="36:36" x14ac:dyDescent="0.35">
      <c r="AJ1227" s="213"/>
    </row>
    <row r="1228" spans="36:36" x14ac:dyDescent="0.35">
      <c r="AJ1228" s="213"/>
    </row>
    <row r="1229" spans="36:36" x14ac:dyDescent="0.35">
      <c r="AJ1229" s="213"/>
    </row>
    <row r="1230" spans="36:36" x14ac:dyDescent="0.35">
      <c r="AJ1230" s="213"/>
    </row>
    <row r="1231" spans="36:36" x14ac:dyDescent="0.35">
      <c r="AJ1231" s="213"/>
    </row>
    <row r="1232" spans="36:36" x14ac:dyDescent="0.35">
      <c r="AJ1232" s="213"/>
    </row>
    <row r="1233" spans="36:36" x14ac:dyDescent="0.35">
      <c r="AJ1233" s="213"/>
    </row>
    <row r="1234" spans="36:36" x14ac:dyDescent="0.35">
      <c r="AJ1234" s="213"/>
    </row>
    <row r="1235" spans="36:36" x14ac:dyDescent="0.35">
      <c r="AJ1235" s="213"/>
    </row>
    <row r="1236" spans="36:36" x14ac:dyDescent="0.35">
      <c r="AJ1236" s="213"/>
    </row>
    <row r="1237" spans="36:36" x14ac:dyDescent="0.35">
      <c r="AJ1237" s="213"/>
    </row>
    <row r="1238" spans="36:36" x14ac:dyDescent="0.35">
      <c r="AJ1238" s="213"/>
    </row>
    <row r="1239" spans="36:36" x14ac:dyDescent="0.35">
      <c r="AJ1239" s="213"/>
    </row>
    <row r="1240" spans="36:36" x14ac:dyDescent="0.35">
      <c r="AJ1240" s="213"/>
    </row>
    <row r="1241" spans="36:36" x14ac:dyDescent="0.35">
      <c r="AJ1241" s="213"/>
    </row>
    <row r="1242" spans="36:36" x14ac:dyDescent="0.35">
      <c r="AJ1242" s="213"/>
    </row>
    <row r="1243" spans="36:36" x14ac:dyDescent="0.35">
      <c r="AJ1243" s="213"/>
    </row>
    <row r="1244" spans="36:36" x14ac:dyDescent="0.35">
      <c r="AJ1244" s="213"/>
    </row>
    <row r="1245" spans="36:36" x14ac:dyDescent="0.35">
      <c r="AJ1245" s="213"/>
    </row>
    <row r="1246" spans="36:36" x14ac:dyDescent="0.35">
      <c r="AJ1246" s="213"/>
    </row>
    <row r="1247" spans="36:36" x14ac:dyDescent="0.35">
      <c r="AJ1247" s="213"/>
    </row>
    <row r="1248" spans="36:36" x14ac:dyDescent="0.35">
      <c r="AJ1248" s="213"/>
    </row>
    <row r="1249" spans="36:36" x14ac:dyDescent="0.35">
      <c r="AJ1249" s="213"/>
    </row>
    <row r="1250" spans="36:36" x14ac:dyDescent="0.35">
      <c r="AJ1250" s="213"/>
    </row>
    <row r="1251" spans="36:36" x14ac:dyDescent="0.35">
      <c r="AJ1251" s="213"/>
    </row>
    <row r="1252" spans="36:36" x14ac:dyDescent="0.35">
      <c r="AJ1252" s="213"/>
    </row>
    <row r="1253" spans="36:36" x14ac:dyDescent="0.35">
      <c r="AJ1253" s="213"/>
    </row>
    <row r="1254" spans="36:36" x14ac:dyDescent="0.35">
      <c r="AJ1254" s="213"/>
    </row>
    <row r="1255" spans="36:36" x14ac:dyDescent="0.35">
      <c r="AJ1255" s="213"/>
    </row>
    <row r="1256" spans="36:36" x14ac:dyDescent="0.35">
      <c r="AJ1256" s="213"/>
    </row>
    <row r="1257" spans="36:36" x14ac:dyDescent="0.35">
      <c r="AJ1257" s="213"/>
    </row>
    <row r="1258" spans="36:36" x14ac:dyDescent="0.35">
      <c r="AJ1258" s="213"/>
    </row>
    <row r="1259" spans="36:36" x14ac:dyDescent="0.35">
      <c r="AJ1259" s="213"/>
    </row>
    <row r="1260" spans="36:36" x14ac:dyDescent="0.35">
      <c r="AJ1260" s="213"/>
    </row>
    <row r="1261" spans="36:36" x14ac:dyDescent="0.35">
      <c r="AJ1261" s="213"/>
    </row>
    <row r="1262" spans="36:36" x14ac:dyDescent="0.35">
      <c r="AJ1262" s="213"/>
    </row>
    <row r="1263" spans="36:36" x14ac:dyDescent="0.35">
      <c r="AJ1263" s="213"/>
    </row>
    <row r="1264" spans="36:36" x14ac:dyDescent="0.35">
      <c r="AJ1264" s="213"/>
    </row>
    <row r="1265" spans="36:36" x14ac:dyDescent="0.35">
      <c r="AJ1265" s="213"/>
    </row>
    <row r="1266" spans="36:36" x14ac:dyDescent="0.35">
      <c r="AJ1266" s="213"/>
    </row>
    <row r="1267" spans="36:36" x14ac:dyDescent="0.35">
      <c r="AJ1267" s="213"/>
    </row>
    <row r="1268" spans="36:36" x14ac:dyDescent="0.35">
      <c r="AJ1268" s="213"/>
    </row>
    <row r="1269" spans="36:36" x14ac:dyDescent="0.35">
      <c r="AJ1269" s="213"/>
    </row>
    <row r="1270" spans="36:36" x14ac:dyDescent="0.35">
      <c r="AJ1270" s="213"/>
    </row>
    <row r="1271" spans="36:36" x14ac:dyDescent="0.35">
      <c r="AJ1271" s="213"/>
    </row>
    <row r="1272" spans="36:36" x14ac:dyDescent="0.35">
      <c r="AJ1272" s="213"/>
    </row>
    <row r="1273" spans="36:36" x14ac:dyDescent="0.35">
      <c r="AJ1273" s="213"/>
    </row>
    <row r="1274" spans="36:36" x14ac:dyDescent="0.35">
      <c r="AJ1274" s="213"/>
    </row>
    <row r="1275" spans="36:36" x14ac:dyDescent="0.35">
      <c r="AJ1275" s="213"/>
    </row>
    <row r="1276" spans="36:36" x14ac:dyDescent="0.35">
      <c r="AJ1276" s="213"/>
    </row>
    <row r="1277" spans="36:36" x14ac:dyDescent="0.35">
      <c r="AJ1277" s="213"/>
    </row>
    <row r="1278" spans="36:36" x14ac:dyDescent="0.35">
      <c r="AJ1278" s="213"/>
    </row>
    <row r="1279" spans="36:36" x14ac:dyDescent="0.35">
      <c r="AJ1279" s="213"/>
    </row>
    <row r="1280" spans="36:36" x14ac:dyDescent="0.35">
      <c r="AJ1280" s="213"/>
    </row>
    <row r="1281" spans="36:36" x14ac:dyDescent="0.35">
      <c r="AJ1281" s="213"/>
    </row>
    <row r="1282" spans="36:36" x14ac:dyDescent="0.35">
      <c r="AJ1282" s="213"/>
    </row>
    <row r="1283" spans="36:36" x14ac:dyDescent="0.35">
      <c r="AJ1283" s="213"/>
    </row>
    <row r="1284" spans="36:36" x14ac:dyDescent="0.35">
      <c r="AJ1284" s="213"/>
    </row>
    <row r="1285" spans="36:36" x14ac:dyDescent="0.35">
      <c r="AJ1285" s="213"/>
    </row>
    <row r="1286" spans="36:36" x14ac:dyDescent="0.35">
      <c r="AJ1286" s="213"/>
    </row>
    <row r="1287" spans="36:36" x14ac:dyDescent="0.35">
      <c r="AJ1287" s="213"/>
    </row>
    <row r="1288" spans="36:36" x14ac:dyDescent="0.35">
      <c r="AJ1288" s="213"/>
    </row>
    <row r="1289" spans="36:36" x14ac:dyDescent="0.35">
      <c r="AJ1289" s="213"/>
    </row>
    <row r="1290" spans="36:36" x14ac:dyDescent="0.35">
      <c r="AJ1290" s="213"/>
    </row>
    <row r="1291" spans="36:36" x14ac:dyDescent="0.35">
      <c r="AJ1291" s="213"/>
    </row>
    <row r="1292" spans="36:36" x14ac:dyDescent="0.35">
      <c r="AJ1292" s="213"/>
    </row>
    <row r="1293" spans="36:36" x14ac:dyDescent="0.35">
      <c r="AJ1293" s="213"/>
    </row>
    <row r="1294" spans="36:36" x14ac:dyDescent="0.35">
      <c r="AJ1294" s="213"/>
    </row>
    <row r="1295" spans="36:36" x14ac:dyDescent="0.35">
      <c r="AJ1295" s="213"/>
    </row>
    <row r="1296" spans="36:36" x14ac:dyDescent="0.35">
      <c r="AJ1296" s="213"/>
    </row>
    <row r="1297" spans="36:36" x14ac:dyDescent="0.35">
      <c r="AJ1297" s="213"/>
    </row>
    <row r="1298" spans="36:36" x14ac:dyDescent="0.35">
      <c r="AJ1298" s="213"/>
    </row>
    <row r="1299" spans="36:36" x14ac:dyDescent="0.35">
      <c r="AJ1299" s="213"/>
    </row>
    <row r="1300" spans="36:36" x14ac:dyDescent="0.35">
      <c r="AJ1300" s="213"/>
    </row>
    <row r="1301" spans="36:36" x14ac:dyDescent="0.35">
      <c r="AJ1301" s="213"/>
    </row>
    <row r="1302" spans="36:36" x14ac:dyDescent="0.35">
      <c r="AJ1302" s="213"/>
    </row>
    <row r="1303" spans="36:36" x14ac:dyDescent="0.35">
      <c r="AJ1303" s="213"/>
    </row>
    <row r="1304" spans="36:36" x14ac:dyDescent="0.35">
      <c r="AJ1304" s="213"/>
    </row>
    <row r="1305" spans="36:36" x14ac:dyDescent="0.35">
      <c r="AJ1305" s="213"/>
    </row>
    <row r="1306" spans="36:36" x14ac:dyDescent="0.35">
      <c r="AJ1306" s="213"/>
    </row>
    <row r="1307" spans="36:36" x14ac:dyDescent="0.35">
      <c r="AJ1307" s="213"/>
    </row>
    <row r="1308" spans="36:36" x14ac:dyDescent="0.35">
      <c r="AJ1308" s="213"/>
    </row>
    <row r="1309" spans="36:36" x14ac:dyDescent="0.35">
      <c r="AJ1309" s="213"/>
    </row>
    <row r="1310" spans="36:36" x14ac:dyDescent="0.35">
      <c r="AJ1310" s="213"/>
    </row>
    <row r="1311" spans="36:36" x14ac:dyDescent="0.35">
      <c r="AJ1311" s="213"/>
    </row>
    <row r="1312" spans="36:36" x14ac:dyDescent="0.35">
      <c r="AJ1312" s="213"/>
    </row>
    <row r="1313" spans="36:36" x14ac:dyDescent="0.35">
      <c r="AJ1313" s="213"/>
    </row>
    <row r="1314" spans="36:36" x14ac:dyDescent="0.35">
      <c r="AJ1314" s="213"/>
    </row>
    <row r="1315" spans="36:36" x14ac:dyDescent="0.35">
      <c r="AJ1315" s="213"/>
    </row>
    <row r="1316" spans="36:36" x14ac:dyDescent="0.35">
      <c r="AJ1316" s="213"/>
    </row>
    <row r="1317" spans="36:36" x14ac:dyDescent="0.35">
      <c r="AJ1317" s="213"/>
    </row>
    <row r="1318" spans="36:36" x14ac:dyDescent="0.35">
      <c r="AJ1318" s="213"/>
    </row>
    <row r="1319" spans="36:36" x14ac:dyDescent="0.35">
      <c r="AJ1319" s="213"/>
    </row>
    <row r="1320" spans="36:36" x14ac:dyDescent="0.35">
      <c r="AJ1320" s="213"/>
    </row>
    <row r="1321" spans="36:36" x14ac:dyDescent="0.35">
      <c r="AJ1321" s="213"/>
    </row>
    <row r="1322" spans="36:36" x14ac:dyDescent="0.35">
      <c r="AJ1322" s="213"/>
    </row>
    <row r="1323" spans="36:36" x14ac:dyDescent="0.35">
      <c r="AJ1323" s="213"/>
    </row>
    <row r="1324" spans="36:36" x14ac:dyDescent="0.35">
      <c r="AJ1324" s="213"/>
    </row>
    <row r="1325" spans="36:36" x14ac:dyDescent="0.35">
      <c r="AJ1325" s="213"/>
    </row>
    <row r="1326" spans="36:36" x14ac:dyDescent="0.35">
      <c r="AJ1326" s="213"/>
    </row>
    <row r="1327" spans="36:36" x14ac:dyDescent="0.35">
      <c r="AJ1327" s="213"/>
    </row>
    <row r="1328" spans="36:36" x14ac:dyDescent="0.35">
      <c r="AJ1328" s="213"/>
    </row>
    <row r="1329" spans="36:36" x14ac:dyDescent="0.35">
      <c r="AJ1329" s="213"/>
    </row>
    <row r="1330" spans="36:36" x14ac:dyDescent="0.35">
      <c r="AJ1330" s="213"/>
    </row>
    <row r="1331" spans="36:36" x14ac:dyDescent="0.35">
      <c r="AJ1331" s="213"/>
    </row>
    <row r="1332" spans="36:36" x14ac:dyDescent="0.35">
      <c r="AJ1332" s="213"/>
    </row>
    <row r="1333" spans="36:36" x14ac:dyDescent="0.35">
      <c r="AJ1333" s="213"/>
    </row>
    <row r="1334" spans="36:36" x14ac:dyDescent="0.35">
      <c r="AJ1334" s="213"/>
    </row>
    <row r="1335" spans="36:36" x14ac:dyDescent="0.35">
      <c r="AJ1335" s="213"/>
    </row>
    <row r="1336" spans="36:36" x14ac:dyDescent="0.35">
      <c r="AJ1336" s="213"/>
    </row>
    <row r="1337" spans="36:36" x14ac:dyDescent="0.35">
      <c r="AJ1337" s="213"/>
    </row>
    <row r="1338" spans="36:36" x14ac:dyDescent="0.35">
      <c r="AJ1338" s="213"/>
    </row>
    <row r="1339" spans="36:36" x14ac:dyDescent="0.35">
      <c r="AJ1339" s="213"/>
    </row>
    <row r="1340" spans="36:36" x14ac:dyDescent="0.35">
      <c r="AJ1340" s="213"/>
    </row>
    <row r="1341" spans="36:36" x14ac:dyDescent="0.35">
      <c r="AJ1341" s="213"/>
    </row>
    <row r="1342" spans="36:36" x14ac:dyDescent="0.35">
      <c r="AJ1342" s="213"/>
    </row>
    <row r="1343" spans="36:36" x14ac:dyDescent="0.35">
      <c r="AJ1343" s="213"/>
    </row>
    <row r="1344" spans="36:36" x14ac:dyDescent="0.35">
      <c r="AJ1344" s="213"/>
    </row>
    <row r="1345" spans="36:36" x14ac:dyDescent="0.35">
      <c r="AJ1345" s="213"/>
    </row>
    <row r="1346" spans="36:36" x14ac:dyDescent="0.35">
      <c r="AJ1346" s="213"/>
    </row>
    <row r="1347" spans="36:36" x14ac:dyDescent="0.35">
      <c r="AJ1347" s="213"/>
    </row>
    <row r="1348" spans="36:36" x14ac:dyDescent="0.35">
      <c r="AJ1348" s="213"/>
    </row>
    <row r="1349" spans="36:36" x14ac:dyDescent="0.35">
      <c r="AJ1349" s="213"/>
    </row>
    <row r="1350" spans="36:36" x14ac:dyDescent="0.35">
      <c r="AJ1350" s="213"/>
    </row>
    <row r="1351" spans="36:36" x14ac:dyDescent="0.35">
      <c r="AJ1351" s="213"/>
    </row>
    <row r="1352" spans="36:36" x14ac:dyDescent="0.35">
      <c r="AJ1352" s="213"/>
    </row>
    <row r="1353" spans="36:36" x14ac:dyDescent="0.35">
      <c r="AJ1353" s="213"/>
    </row>
    <row r="1354" spans="36:36" x14ac:dyDescent="0.35">
      <c r="AJ1354" s="213"/>
    </row>
    <row r="1355" spans="36:36" x14ac:dyDescent="0.35">
      <c r="AJ1355" s="213"/>
    </row>
    <row r="1356" spans="36:36" x14ac:dyDescent="0.35">
      <c r="AJ1356" s="213"/>
    </row>
    <row r="1357" spans="36:36" x14ac:dyDescent="0.35">
      <c r="AJ1357" s="213"/>
    </row>
    <row r="1358" spans="36:36" x14ac:dyDescent="0.35">
      <c r="AJ1358" s="213"/>
    </row>
    <row r="1359" spans="36:36" x14ac:dyDescent="0.35">
      <c r="AJ1359" s="213"/>
    </row>
    <row r="1360" spans="36:36" x14ac:dyDescent="0.35">
      <c r="AJ1360" s="213"/>
    </row>
    <row r="1361" spans="36:36" x14ac:dyDescent="0.35">
      <c r="AJ1361" s="213"/>
    </row>
    <row r="1362" spans="36:36" x14ac:dyDescent="0.35">
      <c r="AJ1362" s="213"/>
    </row>
    <row r="1363" spans="36:36" x14ac:dyDescent="0.35">
      <c r="AJ1363" s="213"/>
    </row>
    <row r="1364" spans="36:36" x14ac:dyDescent="0.35">
      <c r="AJ1364" s="213"/>
    </row>
    <row r="1365" spans="36:36" x14ac:dyDescent="0.35">
      <c r="AJ1365" s="213"/>
    </row>
    <row r="1366" spans="36:36" x14ac:dyDescent="0.35">
      <c r="AJ1366" s="213"/>
    </row>
    <row r="1367" spans="36:36" x14ac:dyDescent="0.35">
      <c r="AJ1367" s="213"/>
    </row>
    <row r="1368" spans="36:36" x14ac:dyDescent="0.35">
      <c r="AJ1368" s="213"/>
    </row>
    <row r="1369" spans="36:36" x14ac:dyDescent="0.35">
      <c r="AJ1369" s="213"/>
    </row>
    <row r="1370" spans="36:36" x14ac:dyDescent="0.35">
      <c r="AJ1370" s="213"/>
    </row>
    <row r="1371" spans="36:36" x14ac:dyDescent="0.35">
      <c r="AJ1371" s="213"/>
    </row>
    <row r="1372" spans="36:36" x14ac:dyDescent="0.35">
      <c r="AJ1372" s="213"/>
    </row>
    <row r="1373" spans="36:36" x14ac:dyDescent="0.35">
      <c r="AJ1373" s="213"/>
    </row>
    <row r="1374" spans="36:36" x14ac:dyDescent="0.35">
      <c r="AJ1374" s="213"/>
    </row>
    <row r="1375" spans="36:36" x14ac:dyDescent="0.35">
      <c r="AJ1375" s="213"/>
    </row>
    <row r="1376" spans="36:36" x14ac:dyDescent="0.35">
      <c r="AJ1376" s="213"/>
    </row>
    <row r="1377" spans="36:36" x14ac:dyDescent="0.35">
      <c r="AJ1377" s="213"/>
    </row>
    <row r="1378" spans="36:36" x14ac:dyDescent="0.35">
      <c r="AJ1378" s="213"/>
    </row>
    <row r="1379" spans="36:36" x14ac:dyDescent="0.35">
      <c r="AJ1379" s="213"/>
    </row>
    <row r="1380" spans="36:36" x14ac:dyDescent="0.35">
      <c r="AJ1380" s="213"/>
    </row>
    <row r="1381" spans="36:36" x14ac:dyDescent="0.35">
      <c r="AJ1381" s="213"/>
    </row>
    <row r="1382" spans="36:36" x14ac:dyDescent="0.35">
      <c r="AJ1382" s="213"/>
    </row>
    <row r="1383" spans="36:36" x14ac:dyDescent="0.35">
      <c r="AJ1383" s="213"/>
    </row>
    <row r="1384" spans="36:36" x14ac:dyDescent="0.35">
      <c r="AJ1384" s="213"/>
    </row>
    <row r="1385" spans="36:36" x14ac:dyDescent="0.35">
      <c r="AJ1385" s="213"/>
    </row>
    <row r="1386" spans="36:36" x14ac:dyDescent="0.35">
      <c r="AJ1386" s="213"/>
    </row>
    <row r="1387" spans="36:36" x14ac:dyDescent="0.35">
      <c r="AJ1387" s="213"/>
    </row>
    <row r="1388" spans="36:36" x14ac:dyDescent="0.35">
      <c r="AJ1388" s="213"/>
    </row>
    <row r="1389" spans="36:36" x14ac:dyDescent="0.35">
      <c r="AJ1389" s="213"/>
    </row>
    <row r="1390" spans="36:36" x14ac:dyDescent="0.35">
      <c r="AJ1390" s="213"/>
    </row>
    <row r="1391" spans="36:36" x14ac:dyDescent="0.35">
      <c r="AJ1391" s="213"/>
    </row>
    <row r="1392" spans="36:36" x14ac:dyDescent="0.35">
      <c r="AJ1392" s="213"/>
    </row>
    <row r="1393" spans="36:36" x14ac:dyDescent="0.35">
      <c r="AJ1393" s="213"/>
    </row>
    <row r="1394" spans="36:36" x14ac:dyDescent="0.35">
      <c r="AJ1394" s="213"/>
    </row>
    <row r="1395" spans="36:36" x14ac:dyDescent="0.35">
      <c r="AJ1395" s="213"/>
    </row>
    <row r="1396" spans="36:36" x14ac:dyDescent="0.35">
      <c r="AJ1396" s="213"/>
    </row>
    <row r="1397" spans="36:36" x14ac:dyDescent="0.35">
      <c r="AJ1397" s="213"/>
    </row>
    <row r="1398" spans="36:36" x14ac:dyDescent="0.35">
      <c r="AJ1398" s="213"/>
    </row>
    <row r="1399" spans="36:36" x14ac:dyDescent="0.35">
      <c r="AJ1399" s="213"/>
    </row>
    <row r="1400" spans="36:36" x14ac:dyDescent="0.35">
      <c r="AJ1400" s="213"/>
    </row>
    <row r="1401" spans="36:36" x14ac:dyDescent="0.35">
      <c r="AJ1401" s="213"/>
    </row>
    <row r="1402" spans="36:36" x14ac:dyDescent="0.35">
      <c r="AJ1402" s="213"/>
    </row>
    <row r="1403" spans="36:36" x14ac:dyDescent="0.35">
      <c r="AJ1403" s="213"/>
    </row>
    <row r="1404" spans="36:36" x14ac:dyDescent="0.35">
      <c r="AJ1404" s="213"/>
    </row>
    <row r="1405" spans="36:36" x14ac:dyDescent="0.35">
      <c r="AJ1405" s="213"/>
    </row>
    <row r="1406" spans="36:36" x14ac:dyDescent="0.35">
      <c r="AJ1406" s="213"/>
    </row>
    <row r="1407" spans="36:36" x14ac:dyDescent="0.35">
      <c r="AJ1407" s="213"/>
    </row>
    <row r="1408" spans="36:36" x14ac:dyDescent="0.35">
      <c r="AJ1408" s="213"/>
    </row>
    <row r="1409" spans="36:36" x14ac:dyDescent="0.35">
      <c r="AJ1409" s="213"/>
    </row>
    <row r="1410" spans="36:36" x14ac:dyDescent="0.35">
      <c r="AJ1410" s="213"/>
    </row>
    <row r="1411" spans="36:36" x14ac:dyDescent="0.35">
      <c r="AJ1411" s="213"/>
    </row>
    <row r="1412" spans="36:36" x14ac:dyDescent="0.35">
      <c r="AJ1412" s="213"/>
    </row>
    <row r="1413" spans="36:36" x14ac:dyDescent="0.35">
      <c r="AJ1413" s="213"/>
    </row>
    <row r="1414" spans="36:36" x14ac:dyDescent="0.35">
      <c r="AJ1414" s="213"/>
    </row>
    <row r="1415" spans="36:36" x14ac:dyDescent="0.35">
      <c r="AJ1415" s="213"/>
    </row>
    <row r="1416" spans="36:36" x14ac:dyDescent="0.35">
      <c r="AJ1416" s="213"/>
    </row>
    <row r="1417" spans="36:36" x14ac:dyDescent="0.35">
      <c r="AJ1417" s="213"/>
    </row>
    <row r="1418" spans="36:36" x14ac:dyDescent="0.35">
      <c r="AJ1418" s="213"/>
    </row>
    <row r="1419" spans="36:36" x14ac:dyDescent="0.35">
      <c r="AJ1419" s="213"/>
    </row>
    <row r="1420" spans="36:36" x14ac:dyDescent="0.35">
      <c r="AJ1420" s="213"/>
    </row>
    <row r="1421" spans="36:36" x14ac:dyDescent="0.35">
      <c r="AJ1421" s="213"/>
    </row>
    <row r="1422" spans="36:36" x14ac:dyDescent="0.35">
      <c r="AJ1422" s="213"/>
    </row>
    <row r="1423" spans="36:36" x14ac:dyDescent="0.35">
      <c r="AJ1423" s="213"/>
    </row>
    <row r="1424" spans="36:36" x14ac:dyDescent="0.35">
      <c r="AJ1424" s="213"/>
    </row>
    <row r="1425" spans="36:36" x14ac:dyDescent="0.35">
      <c r="AJ1425" s="213"/>
    </row>
    <row r="1426" spans="36:36" x14ac:dyDescent="0.35">
      <c r="AJ1426" s="213"/>
    </row>
    <row r="1427" spans="36:36" x14ac:dyDescent="0.35">
      <c r="AJ1427" s="213"/>
    </row>
    <row r="1428" spans="36:36" x14ac:dyDescent="0.35">
      <c r="AJ1428" s="213"/>
    </row>
    <row r="1429" spans="36:36" x14ac:dyDescent="0.35">
      <c r="AJ1429" s="213"/>
    </row>
    <row r="1430" spans="36:36" x14ac:dyDescent="0.35">
      <c r="AJ1430" s="213"/>
    </row>
    <row r="1431" spans="36:36" x14ac:dyDescent="0.35">
      <c r="AJ1431" s="213"/>
    </row>
    <row r="1432" spans="36:36" x14ac:dyDescent="0.35">
      <c r="AJ1432" s="213"/>
    </row>
    <row r="1433" spans="36:36" x14ac:dyDescent="0.35">
      <c r="AJ1433" s="213"/>
    </row>
    <row r="1434" spans="36:36" x14ac:dyDescent="0.35">
      <c r="AJ1434" s="213"/>
    </row>
    <row r="1435" spans="36:36" x14ac:dyDescent="0.35">
      <c r="AJ1435" s="213"/>
    </row>
    <row r="1436" spans="36:36" x14ac:dyDescent="0.35">
      <c r="AJ1436" s="213"/>
    </row>
    <row r="1437" spans="36:36" x14ac:dyDescent="0.35">
      <c r="AJ1437" s="213"/>
    </row>
    <row r="1438" spans="36:36" x14ac:dyDescent="0.35">
      <c r="AJ1438" s="213"/>
    </row>
    <row r="1439" spans="36:36" x14ac:dyDescent="0.35">
      <c r="AJ1439" s="213"/>
    </row>
    <row r="1440" spans="36:36" x14ac:dyDescent="0.35">
      <c r="AJ1440" s="213"/>
    </row>
    <row r="1441" spans="36:36" x14ac:dyDescent="0.35">
      <c r="AJ1441" s="213"/>
    </row>
    <row r="1442" spans="36:36" x14ac:dyDescent="0.35">
      <c r="AJ1442" s="213"/>
    </row>
    <row r="1443" spans="36:36" x14ac:dyDescent="0.35">
      <c r="AJ1443" s="213"/>
    </row>
    <row r="1444" spans="36:36" x14ac:dyDescent="0.35">
      <c r="AJ1444" s="213"/>
    </row>
    <row r="1445" spans="36:36" x14ac:dyDescent="0.35">
      <c r="AJ1445" s="213"/>
    </row>
    <row r="1446" spans="36:36" x14ac:dyDescent="0.35">
      <c r="AJ1446" s="213"/>
    </row>
    <row r="1447" spans="36:36" x14ac:dyDescent="0.35">
      <c r="AJ1447" s="213"/>
    </row>
    <row r="1448" spans="36:36" x14ac:dyDescent="0.35">
      <c r="AJ1448" s="213"/>
    </row>
    <row r="1449" spans="36:36" x14ac:dyDescent="0.35">
      <c r="AJ1449" s="213"/>
    </row>
    <row r="1450" spans="36:36" x14ac:dyDescent="0.35">
      <c r="AJ1450" s="213"/>
    </row>
    <row r="1451" spans="36:36" x14ac:dyDescent="0.35">
      <c r="AJ1451" s="213"/>
    </row>
    <row r="1452" spans="36:36" x14ac:dyDescent="0.35">
      <c r="AJ1452" s="213"/>
    </row>
    <row r="1453" spans="36:36" x14ac:dyDescent="0.35">
      <c r="AJ1453" s="213"/>
    </row>
    <row r="1454" spans="36:36" x14ac:dyDescent="0.35">
      <c r="AJ1454" s="213"/>
    </row>
    <row r="1455" spans="36:36" x14ac:dyDescent="0.35">
      <c r="AJ1455" s="213"/>
    </row>
    <row r="1456" spans="36:36" x14ac:dyDescent="0.35">
      <c r="AJ1456" s="213"/>
    </row>
    <row r="1457" spans="36:36" x14ac:dyDescent="0.35">
      <c r="AJ1457" s="213"/>
    </row>
    <row r="1458" spans="36:36" x14ac:dyDescent="0.35">
      <c r="AJ1458" s="213"/>
    </row>
    <row r="1459" spans="36:36" x14ac:dyDescent="0.35">
      <c r="AJ1459" s="213"/>
    </row>
    <row r="1460" spans="36:36" x14ac:dyDescent="0.35">
      <c r="AJ1460" s="213"/>
    </row>
    <row r="1461" spans="36:36" x14ac:dyDescent="0.35">
      <c r="AJ1461" s="213"/>
    </row>
    <row r="1462" spans="36:36" x14ac:dyDescent="0.35">
      <c r="AJ1462" s="213"/>
    </row>
    <row r="1463" spans="36:36" x14ac:dyDescent="0.35">
      <c r="AJ1463" s="213"/>
    </row>
    <row r="1464" spans="36:36" x14ac:dyDescent="0.35">
      <c r="AJ1464" s="213"/>
    </row>
    <row r="1465" spans="36:36" x14ac:dyDescent="0.35">
      <c r="AJ1465" s="213"/>
    </row>
    <row r="1466" spans="36:36" x14ac:dyDescent="0.35">
      <c r="AJ1466" s="213"/>
    </row>
    <row r="1467" spans="36:36" x14ac:dyDescent="0.35">
      <c r="AJ1467" s="213"/>
    </row>
    <row r="1468" spans="36:36" x14ac:dyDescent="0.35">
      <c r="AJ1468" s="213"/>
    </row>
    <row r="1469" spans="36:36" x14ac:dyDescent="0.35">
      <c r="AJ1469" s="213"/>
    </row>
    <row r="1470" spans="36:36" x14ac:dyDescent="0.35">
      <c r="AJ1470" s="213"/>
    </row>
    <row r="1471" spans="36:36" x14ac:dyDescent="0.35">
      <c r="AJ1471" s="213"/>
    </row>
    <row r="1472" spans="36:36" x14ac:dyDescent="0.35">
      <c r="AJ1472" s="213"/>
    </row>
    <row r="1473" spans="36:36" x14ac:dyDescent="0.35">
      <c r="AJ1473" s="213"/>
    </row>
    <row r="1474" spans="36:36" x14ac:dyDescent="0.35">
      <c r="AJ1474" s="213"/>
    </row>
    <row r="1475" spans="36:36" x14ac:dyDescent="0.35">
      <c r="AJ1475" s="213"/>
    </row>
    <row r="1476" spans="36:36" x14ac:dyDescent="0.35">
      <c r="AJ1476" s="213"/>
    </row>
    <row r="1477" spans="36:36" x14ac:dyDescent="0.35">
      <c r="AJ1477" s="213"/>
    </row>
    <row r="1478" spans="36:36" x14ac:dyDescent="0.35">
      <c r="AJ1478" s="213"/>
    </row>
    <row r="1479" spans="36:36" x14ac:dyDescent="0.35">
      <c r="AJ1479" s="213"/>
    </row>
    <row r="1480" spans="36:36" x14ac:dyDescent="0.35">
      <c r="AJ1480" s="213"/>
    </row>
    <row r="1481" spans="36:36" x14ac:dyDescent="0.35">
      <c r="AJ1481" s="213"/>
    </row>
    <row r="1482" spans="36:36" x14ac:dyDescent="0.35">
      <c r="AJ1482" s="213"/>
    </row>
    <row r="1483" spans="36:36" x14ac:dyDescent="0.35">
      <c r="AJ1483" s="213"/>
    </row>
    <row r="1484" spans="36:36" x14ac:dyDescent="0.35">
      <c r="AJ1484" s="213"/>
    </row>
    <row r="1485" spans="36:36" x14ac:dyDescent="0.35">
      <c r="AJ1485" s="213"/>
    </row>
    <row r="1486" spans="36:36" x14ac:dyDescent="0.35">
      <c r="AJ1486" s="213"/>
    </row>
    <row r="1487" spans="36:36" x14ac:dyDescent="0.35">
      <c r="AJ1487" s="213"/>
    </row>
    <row r="1488" spans="36:36" x14ac:dyDescent="0.35">
      <c r="AJ1488" s="213"/>
    </row>
    <row r="1489" spans="36:36" x14ac:dyDescent="0.35">
      <c r="AJ1489" s="213"/>
    </row>
    <row r="1490" spans="36:36" x14ac:dyDescent="0.35">
      <c r="AJ1490" s="213"/>
    </row>
    <row r="1491" spans="36:36" x14ac:dyDescent="0.35">
      <c r="AJ1491" s="213"/>
    </row>
    <row r="1492" spans="36:36" x14ac:dyDescent="0.35">
      <c r="AJ1492" s="213"/>
    </row>
    <row r="1493" spans="36:36" x14ac:dyDescent="0.35">
      <c r="AJ1493" s="213"/>
    </row>
    <row r="1494" spans="36:36" x14ac:dyDescent="0.35">
      <c r="AJ1494" s="213"/>
    </row>
    <row r="1495" spans="36:36" x14ac:dyDescent="0.35">
      <c r="AJ1495" s="213"/>
    </row>
    <row r="1496" spans="36:36" x14ac:dyDescent="0.35">
      <c r="AJ1496" s="213"/>
    </row>
    <row r="1497" spans="36:36" x14ac:dyDescent="0.35">
      <c r="AJ1497" s="213"/>
    </row>
    <row r="1498" spans="36:36" x14ac:dyDescent="0.35">
      <c r="AJ1498" s="213"/>
    </row>
    <row r="1499" spans="36:36" x14ac:dyDescent="0.35">
      <c r="AJ1499" s="213"/>
    </row>
    <row r="1500" spans="36:36" x14ac:dyDescent="0.35">
      <c r="AJ1500" s="213"/>
    </row>
    <row r="1501" spans="36:36" x14ac:dyDescent="0.35">
      <c r="AJ1501" s="213"/>
    </row>
    <row r="1502" spans="36:36" x14ac:dyDescent="0.35">
      <c r="AJ1502" s="213"/>
    </row>
    <row r="1503" spans="36:36" x14ac:dyDescent="0.35">
      <c r="AJ1503" s="213"/>
    </row>
    <row r="1504" spans="36:36" x14ac:dyDescent="0.35">
      <c r="AJ1504" s="213"/>
    </row>
    <row r="1505" spans="36:36" x14ac:dyDescent="0.35">
      <c r="AJ1505" s="213"/>
    </row>
    <row r="1506" spans="36:36" x14ac:dyDescent="0.35">
      <c r="AJ1506" s="213"/>
    </row>
    <row r="1507" spans="36:36" x14ac:dyDescent="0.35">
      <c r="AJ1507" s="213"/>
    </row>
    <row r="1508" spans="36:36" x14ac:dyDescent="0.35">
      <c r="AJ1508" s="213"/>
    </row>
    <row r="1509" spans="36:36" x14ac:dyDescent="0.35">
      <c r="AJ1509" s="213"/>
    </row>
    <row r="1510" spans="36:36" x14ac:dyDescent="0.35">
      <c r="AJ1510" s="213"/>
    </row>
    <row r="1511" spans="36:36" x14ac:dyDescent="0.35">
      <c r="AJ1511" s="213"/>
    </row>
    <row r="1512" spans="36:36" x14ac:dyDescent="0.35">
      <c r="AJ1512" s="213"/>
    </row>
    <row r="1513" spans="36:36" x14ac:dyDescent="0.35">
      <c r="AJ1513" s="213"/>
    </row>
    <row r="1514" spans="36:36" x14ac:dyDescent="0.35">
      <c r="AJ1514" s="213"/>
    </row>
    <row r="1515" spans="36:36" x14ac:dyDescent="0.35">
      <c r="AJ1515" s="213"/>
    </row>
    <row r="1516" spans="36:36" x14ac:dyDescent="0.35">
      <c r="AJ1516" s="213"/>
    </row>
    <row r="1517" spans="36:36" x14ac:dyDescent="0.35">
      <c r="AJ1517" s="213"/>
    </row>
    <row r="1518" spans="36:36" x14ac:dyDescent="0.35">
      <c r="AJ1518" s="213"/>
    </row>
    <row r="1519" spans="36:36" x14ac:dyDescent="0.35">
      <c r="AJ1519" s="213"/>
    </row>
    <row r="1520" spans="36:36" x14ac:dyDescent="0.35">
      <c r="AJ1520" s="213"/>
    </row>
    <row r="1521" spans="36:36" x14ac:dyDescent="0.35">
      <c r="AJ1521" s="213"/>
    </row>
    <row r="1522" spans="36:36" x14ac:dyDescent="0.35">
      <c r="AJ1522" s="213"/>
    </row>
    <row r="1523" spans="36:36" x14ac:dyDescent="0.35">
      <c r="AJ1523" s="213"/>
    </row>
    <row r="1524" spans="36:36" x14ac:dyDescent="0.35">
      <c r="AJ1524" s="213"/>
    </row>
    <row r="1525" spans="36:36" x14ac:dyDescent="0.35">
      <c r="AJ1525" s="213"/>
    </row>
    <row r="1526" spans="36:36" x14ac:dyDescent="0.35">
      <c r="AJ1526" s="213"/>
    </row>
    <row r="1527" spans="36:36" x14ac:dyDescent="0.35">
      <c r="AJ1527" s="213"/>
    </row>
    <row r="1528" spans="36:36" x14ac:dyDescent="0.35">
      <c r="AJ1528" s="213"/>
    </row>
    <row r="1529" spans="36:36" x14ac:dyDescent="0.35">
      <c r="AJ1529" s="213"/>
    </row>
    <row r="1530" spans="36:36" x14ac:dyDescent="0.35">
      <c r="AJ1530" s="213"/>
    </row>
    <row r="1531" spans="36:36" x14ac:dyDescent="0.35">
      <c r="AJ1531" s="213"/>
    </row>
    <row r="1532" spans="36:36" x14ac:dyDescent="0.35">
      <c r="AJ1532" s="213"/>
    </row>
    <row r="1533" spans="36:36" x14ac:dyDescent="0.35">
      <c r="AJ1533" s="213"/>
    </row>
    <row r="1534" spans="36:36" x14ac:dyDescent="0.35">
      <c r="AJ1534" s="213"/>
    </row>
    <row r="1535" spans="36:36" x14ac:dyDescent="0.35">
      <c r="AJ1535" s="213"/>
    </row>
    <row r="1536" spans="36:36" x14ac:dyDescent="0.35">
      <c r="AJ1536" s="213"/>
    </row>
    <row r="1537" spans="36:36" x14ac:dyDescent="0.35">
      <c r="AJ1537" s="213"/>
    </row>
    <row r="1538" spans="36:36" x14ac:dyDescent="0.35">
      <c r="AJ1538" s="213"/>
    </row>
    <row r="1539" spans="36:36" x14ac:dyDescent="0.35">
      <c r="AJ1539" s="213"/>
    </row>
    <row r="1540" spans="36:36" x14ac:dyDescent="0.35">
      <c r="AJ1540" s="213"/>
    </row>
    <row r="1541" spans="36:36" x14ac:dyDescent="0.35">
      <c r="AJ1541" s="213"/>
    </row>
    <row r="1542" spans="36:36" x14ac:dyDescent="0.35">
      <c r="AJ1542" s="213"/>
    </row>
    <row r="1543" spans="36:36" x14ac:dyDescent="0.35">
      <c r="AJ1543" s="213"/>
    </row>
    <row r="1544" spans="36:36" x14ac:dyDescent="0.35">
      <c r="AJ1544" s="213"/>
    </row>
    <row r="1545" spans="36:36" x14ac:dyDescent="0.35">
      <c r="AJ1545" s="213"/>
    </row>
    <row r="1546" spans="36:36" x14ac:dyDescent="0.35">
      <c r="AJ1546" s="213"/>
    </row>
    <row r="1547" spans="36:36" x14ac:dyDescent="0.35">
      <c r="AJ1547" s="213"/>
    </row>
    <row r="1548" spans="36:36" x14ac:dyDescent="0.35">
      <c r="AJ1548" s="213"/>
    </row>
    <row r="1549" spans="36:36" x14ac:dyDescent="0.35">
      <c r="AJ1549" s="213"/>
    </row>
    <row r="1550" spans="36:36" x14ac:dyDescent="0.35">
      <c r="AJ1550" s="213"/>
    </row>
    <row r="1551" spans="36:36" x14ac:dyDescent="0.35">
      <c r="AJ1551" s="213"/>
    </row>
    <row r="1552" spans="36:36" x14ac:dyDescent="0.35">
      <c r="AJ1552" s="213"/>
    </row>
    <row r="1553" spans="36:36" x14ac:dyDescent="0.35">
      <c r="AJ1553" s="213"/>
    </row>
    <row r="1554" spans="36:36" x14ac:dyDescent="0.35">
      <c r="AJ1554" s="213"/>
    </row>
    <row r="1555" spans="36:36" x14ac:dyDescent="0.35">
      <c r="AJ1555" s="213"/>
    </row>
    <row r="1556" spans="36:36" x14ac:dyDescent="0.35">
      <c r="AJ1556" s="213"/>
    </row>
    <row r="1557" spans="36:36" x14ac:dyDescent="0.35">
      <c r="AJ1557" s="213"/>
    </row>
    <row r="1558" spans="36:36" x14ac:dyDescent="0.35">
      <c r="AJ1558" s="213"/>
    </row>
    <row r="1559" spans="36:36" x14ac:dyDescent="0.35">
      <c r="AJ1559" s="213"/>
    </row>
    <row r="1560" spans="36:36" x14ac:dyDescent="0.35">
      <c r="AJ1560" s="213"/>
    </row>
    <row r="1561" spans="36:36" x14ac:dyDescent="0.35">
      <c r="AJ1561" s="213"/>
    </row>
    <row r="1562" spans="36:36" x14ac:dyDescent="0.35">
      <c r="AJ1562" s="213"/>
    </row>
    <row r="1563" spans="36:36" x14ac:dyDescent="0.35">
      <c r="AJ1563" s="213"/>
    </row>
    <row r="1564" spans="36:36" x14ac:dyDescent="0.35">
      <c r="AJ1564" s="213"/>
    </row>
    <row r="1565" spans="36:36" x14ac:dyDescent="0.35">
      <c r="AJ1565" s="213"/>
    </row>
    <row r="1566" spans="36:36" x14ac:dyDescent="0.35">
      <c r="AJ1566" s="213"/>
    </row>
    <row r="1567" spans="36:36" x14ac:dyDescent="0.35">
      <c r="AJ1567" s="213"/>
    </row>
    <row r="1568" spans="36:36" x14ac:dyDescent="0.35">
      <c r="AJ1568" s="213"/>
    </row>
    <row r="1569" spans="36:36" x14ac:dyDescent="0.35">
      <c r="AJ1569" s="213"/>
    </row>
    <row r="1570" spans="36:36" x14ac:dyDescent="0.35">
      <c r="AJ1570" s="213"/>
    </row>
    <row r="1571" spans="36:36" x14ac:dyDescent="0.35">
      <c r="AJ1571" s="213"/>
    </row>
    <row r="1572" spans="36:36" x14ac:dyDescent="0.35">
      <c r="AJ1572" s="213"/>
    </row>
    <row r="1573" spans="36:36" x14ac:dyDescent="0.35">
      <c r="AJ1573" s="213"/>
    </row>
    <row r="1574" spans="36:36" x14ac:dyDescent="0.35">
      <c r="AJ1574" s="213"/>
    </row>
    <row r="1575" spans="36:36" x14ac:dyDescent="0.35">
      <c r="AJ1575" s="213"/>
    </row>
    <row r="1576" spans="36:36" x14ac:dyDescent="0.35">
      <c r="AJ1576" s="213"/>
    </row>
    <row r="1577" spans="36:36" x14ac:dyDescent="0.35">
      <c r="AJ1577" s="213"/>
    </row>
    <row r="1578" spans="36:36" x14ac:dyDescent="0.35">
      <c r="AJ1578" s="213"/>
    </row>
    <row r="1579" spans="36:36" x14ac:dyDescent="0.35">
      <c r="AJ1579" s="213"/>
    </row>
    <row r="1580" spans="36:36" x14ac:dyDescent="0.35">
      <c r="AJ1580" s="213"/>
    </row>
    <row r="1581" spans="36:36" x14ac:dyDescent="0.35">
      <c r="AJ1581" s="213"/>
    </row>
    <row r="1582" spans="36:36" x14ac:dyDescent="0.35">
      <c r="AJ1582" s="213"/>
    </row>
    <row r="1583" spans="36:36" x14ac:dyDescent="0.35">
      <c r="AJ1583" s="213"/>
    </row>
    <row r="1584" spans="36:36" x14ac:dyDescent="0.35">
      <c r="AJ1584" s="213"/>
    </row>
    <row r="1585" spans="36:36" x14ac:dyDescent="0.35">
      <c r="AJ1585" s="213"/>
    </row>
    <row r="1586" spans="36:36" x14ac:dyDescent="0.35">
      <c r="AJ1586" s="213"/>
    </row>
    <row r="1587" spans="36:36" x14ac:dyDescent="0.35">
      <c r="AJ1587" s="213"/>
    </row>
    <row r="1588" spans="36:36" x14ac:dyDescent="0.35">
      <c r="AJ1588" s="213"/>
    </row>
    <row r="1589" spans="36:36" x14ac:dyDescent="0.35">
      <c r="AJ1589" s="213"/>
    </row>
    <row r="1590" spans="36:36" x14ac:dyDescent="0.35">
      <c r="AJ1590" s="213"/>
    </row>
    <row r="1591" spans="36:36" x14ac:dyDescent="0.35">
      <c r="AJ1591" s="213"/>
    </row>
    <row r="1592" spans="36:36" x14ac:dyDescent="0.35">
      <c r="AJ1592" s="213"/>
    </row>
    <row r="1593" spans="36:36" x14ac:dyDescent="0.35">
      <c r="AJ1593" s="213"/>
    </row>
    <row r="1594" spans="36:36" x14ac:dyDescent="0.35">
      <c r="AJ1594" s="213"/>
    </row>
    <row r="1595" spans="36:36" x14ac:dyDescent="0.35">
      <c r="AJ1595" s="213"/>
    </row>
    <row r="1596" spans="36:36" x14ac:dyDescent="0.35">
      <c r="AJ1596" s="213"/>
    </row>
    <row r="1597" spans="36:36" x14ac:dyDescent="0.35">
      <c r="AJ1597" s="213"/>
    </row>
    <row r="1598" spans="36:36" x14ac:dyDescent="0.35">
      <c r="AJ1598" s="213"/>
    </row>
    <row r="1599" spans="36:36" x14ac:dyDescent="0.35">
      <c r="AJ1599" s="213"/>
    </row>
    <row r="1600" spans="36:36" x14ac:dyDescent="0.35">
      <c r="AJ1600" s="213"/>
    </row>
    <row r="1601" spans="36:36" x14ac:dyDescent="0.35">
      <c r="AJ1601" s="213"/>
    </row>
    <row r="1602" spans="36:36" x14ac:dyDescent="0.35">
      <c r="AJ1602" s="213"/>
    </row>
    <row r="1603" spans="36:36" x14ac:dyDescent="0.35">
      <c r="AJ1603" s="213"/>
    </row>
    <row r="1604" spans="36:36" x14ac:dyDescent="0.35">
      <c r="AJ1604" s="213"/>
    </row>
    <row r="1605" spans="36:36" x14ac:dyDescent="0.35">
      <c r="AJ1605" s="213"/>
    </row>
    <row r="1606" spans="36:36" x14ac:dyDescent="0.35">
      <c r="AJ1606" s="213"/>
    </row>
    <row r="1607" spans="36:36" x14ac:dyDescent="0.35">
      <c r="AJ1607" s="213"/>
    </row>
    <row r="1608" spans="36:36" x14ac:dyDescent="0.35">
      <c r="AJ1608" s="213"/>
    </row>
    <row r="1609" spans="36:36" x14ac:dyDescent="0.35">
      <c r="AJ1609" s="213"/>
    </row>
    <row r="1610" spans="36:36" x14ac:dyDescent="0.35">
      <c r="AJ1610" s="213"/>
    </row>
    <row r="1611" spans="36:36" x14ac:dyDescent="0.35">
      <c r="AJ1611" s="213"/>
    </row>
    <row r="1612" spans="36:36" x14ac:dyDescent="0.35">
      <c r="AJ1612" s="213"/>
    </row>
    <row r="1613" spans="36:36" x14ac:dyDescent="0.35">
      <c r="AJ1613" s="213"/>
    </row>
    <row r="1614" spans="36:36" x14ac:dyDescent="0.35">
      <c r="AJ1614" s="213"/>
    </row>
    <row r="1615" spans="36:36" x14ac:dyDescent="0.35">
      <c r="AJ1615" s="213"/>
    </row>
    <row r="1616" spans="36:36" x14ac:dyDescent="0.35">
      <c r="AJ1616" s="213"/>
    </row>
    <row r="1617" spans="36:36" x14ac:dyDescent="0.35">
      <c r="AJ1617" s="213"/>
    </row>
    <row r="1618" spans="36:36" x14ac:dyDescent="0.35">
      <c r="AJ1618" s="213"/>
    </row>
    <row r="1619" spans="36:36" x14ac:dyDescent="0.35">
      <c r="AJ1619" s="213"/>
    </row>
    <row r="1620" spans="36:36" x14ac:dyDescent="0.35">
      <c r="AJ1620" s="213"/>
    </row>
    <row r="1621" spans="36:36" x14ac:dyDescent="0.35">
      <c r="AJ1621" s="213"/>
    </row>
    <row r="1622" spans="36:36" x14ac:dyDescent="0.35">
      <c r="AJ1622" s="213"/>
    </row>
    <row r="1623" spans="36:36" x14ac:dyDescent="0.35">
      <c r="AJ1623" s="213"/>
    </row>
    <row r="1624" spans="36:36" x14ac:dyDescent="0.35">
      <c r="AJ1624" s="213"/>
    </row>
    <row r="1625" spans="36:36" x14ac:dyDescent="0.35">
      <c r="AJ1625" s="213"/>
    </row>
    <row r="1626" spans="36:36" x14ac:dyDescent="0.35">
      <c r="AJ1626" s="213"/>
    </row>
    <row r="1627" spans="36:36" x14ac:dyDescent="0.35">
      <c r="AJ1627" s="213"/>
    </row>
    <row r="1628" spans="36:36" x14ac:dyDescent="0.35">
      <c r="AJ1628" s="213"/>
    </row>
    <row r="1629" spans="36:36" x14ac:dyDescent="0.35">
      <c r="AJ1629" s="213"/>
    </row>
    <row r="1630" spans="36:36" x14ac:dyDescent="0.35">
      <c r="AJ1630" s="213"/>
    </row>
    <row r="1631" spans="36:36" x14ac:dyDescent="0.35">
      <c r="AJ1631" s="213"/>
    </row>
    <row r="1632" spans="36:36" x14ac:dyDescent="0.35">
      <c r="AJ1632" s="213"/>
    </row>
    <row r="1633" spans="36:36" x14ac:dyDescent="0.35">
      <c r="AJ1633" s="213"/>
    </row>
    <row r="1634" spans="36:36" x14ac:dyDescent="0.35">
      <c r="AJ1634" s="213"/>
    </row>
    <row r="1635" spans="36:36" x14ac:dyDescent="0.35">
      <c r="AJ1635" s="213"/>
    </row>
    <row r="1636" spans="36:36" x14ac:dyDescent="0.35">
      <c r="AJ1636" s="213"/>
    </row>
    <row r="1637" spans="36:36" x14ac:dyDescent="0.35">
      <c r="AJ1637" s="213"/>
    </row>
    <row r="1638" spans="36:36" x14ac:dyDescent="0.35">
      <c r="AJ1638" s="213"/>
    </row>
    <row r="1639" spans="36:36" x14ac:dyDescent="0.35">
      <c r="AJ1639" s="213"/>
    </row>
    <row r="1640" spans="36:36" x14ac:dyDescent="0.35">
      <c r="AJ1640" s="213"/>
    </row>
    <row r="1641" spans="36:36" x14ac:dyDescent="0.35">
      <c r="AJ1641" s="213"/>
    </row>
    <row r="1642" spans="36:36" x14ac:dyDescent="0.35">
      <c r="AJ1642" s="213"/>
    </row>
    <row r="1643" spans="36:36" x14ac:dyDescent="0.35">
      <c r="AJ1643" s="213"/>
    </row>
    <row r="1644" spans="36:36" x14ac:dyDescent="0.35">
      <c r="AJ1644" s="213"/>
    </row>
    <row r="1645" spans="36:36" x14ac:dyDescent="0.35">
      <c r="AJ1645" s="213"/>
    </row>
    <row r="1646" spans="36:36" x14ac:dyDescent="0.35">
      <c r="AJ1646" s="213"/>
    </row>
    <row r="1647" spans="36:36" x14ac:dyDescent="0.35">
      <c r="AJ1647" s="213"/>
    </row>
    <row r="1648" spans="36:36" x14ac:dyDescent="0.35">
      <c r="AJ1648" s="213"/>
    </row>
    <row r="1649" spans="36:36" x14ac:dyDescent="0.35">
      <c r="AJ1649" s="213"/>
    </row>
    <row r="1650" spans="36:36" x14ac:dyDescent="0.35">
      <c r="AJ1650" s="213"/>
    </row>
    <row r="1651" spans="36:36" x14ac:dyDescent="0.35">
      <c r="AJ1651" s="213"/>
    </row>
    <row r="1652" spans="36:36" x14ac:dyDescent="0.35">
      <c r="AJ1652" s="213"/>
    </row>
    <row r="1653" spans="36:36" x14ac:dyDescent="0.35">
      <c r="AJ1653" s="213"/>
    </row>
    <row r="1654" spans="36:36" x14ac:dyDescent="0.35">
      <c r="AJ1654" s="213"/>
    </row>
    <row r="1655" spans="36:36" x14ac:dyDescent="0.35">
      <c r="AJ1655" s="213"/>
    </row>
    <row r="1656" spans="36:36" x14ac:dyDescent="0.35">
      <c r="AJ1656" s="213"/>
    </row>
    <row r="1657" spans="36:36" x14ac:dyDescent="0.35">
      <c r="AJ1657" s="213"/>
    </row>
    <row r="1658" spans="36:36" x14ac:dyDescent="0.35">
      <c r="AJ1658" s="213"/>
    </row>
    <row r="1659" spans="36:36" x14ac:dyDescent="0.35">
      <c r="AJ1659" s="213"/>
    </row>
    <row r="1660" spans="36:36" x14ac:dyDescent="0.35">
      <c r="AJ1660" s="213"/>
    </row>
    <row r="1661" spans="36:36" x14ac:dyDescent="0.35">
      <c r="AJ1661" s="213"/>
    </row>
    <row r="1662" spans="36:36" x14ac:dyDescent="0.35">
      <c r="AJ1662" s="213"/>
    </row>
    <row r="1663" spans="36:36" x14ac:dyDescent="0.35">
      <c r="AJ1663" s="213"/>
    </row>
    <row r="1664" spans="36:36" x14ac:dyDescent="0.35">
      <c r="AJ1664" s="213"/>
    </row>
    <row r="1665" spans="36:36" x14ac:dyDescent="0.35">
      <c r="AJ1665" s="213"/>
    </row>
    <row r="1666" spans="36:36" x14ac:dyDescent="0.35">
      <c r="AJ1666" s="213"/>
    </row>
    <row r="1667" spans="36:36" x14ac:dyDescent="0.35">
      <c r="AJ1667" s="213"/>
    </row>
    <row r="1668" spans="36:36" x14ac:dyDescent="0.35">
      <c r="AJ1668" s="213"/>
    </row>
    <row r="1669" spans="36:36" x14ac:dyDescent="0.35">
      <c r="AJ1669" s="213"/>
    </row>
    <row r="1670" spans="36:36" x14ac:dyDescent="0.35">
      <c r="AJ1670" s="213"/>
    </row>
    <row r="1671" spans="36:36" x14ac:dyDescent="0.35">
      <c r="AJ1671" s="213"/>
    </row>
    <row r="1672" spans="36:36" x14ac:dyDescent="0.35">
      <c r="AJ1672" s="213"/>
    </row>
    <row r="1673" spans="36:36" x14ac:dyDescent="0.35">
      <c r="AJ1673" s="213"/>
    </row>
    <row r="1674" spans="36:36" x14ac:dyDescent="0.35">
      <c r="AJ1674" s="213"/>
    </row>
    <row r="1675" spans="36:36" x14ac:dyDescent="0.35">
      <c r="AJ1675" s="213"/>
    </row>
    <row r="1676" spans="36:36" x14ac:dyDescent="0.35">
      <c r="AJ1676" s="213"/>
    </row>
    <row r="1677" spans="36:36" x14ac:dyDescent="0.35">
      <c r="AJ1677" s="213"/>
    </row>
    <row r="1678" spans="36:36" x14ac:dyDescent="0.35">
      <c r="AJ1678" s="213"/>
    </row>
    <row r="1679" spans="36:36" x14ac:dyDescent="0.35">
      <c r="AJ1679" s="213"/>
    </row>
    <row r="1680" spans="36:36" x14ac:dyDescent="0.35">
      <c r="AJ1680" s="213"/>
    </row>
    <row r="1681" spans="36:36" x14ac:dyDescent="0.35">
      <c r="AJ1681" s="213"/>
    </row>
    <row r="1682" spans="36:36" x14ac:dyDescent="0.35">
      <c r="AJ1682" s="213"/>
    </row>
    <row r="1683" spans="36:36" x14ac:dyDescent="0.35">
      <c r="AJ1683" s="213"/>
    </row>
    <row r="1684" spans="36:36" x14ac:dyDescent="0.35">
      <c r="AJ1684" s="213"/>
    </row>
    <row r="1685" spans="36:36" x14ac:dyDescent="0.35">
      <c r="AJ1685" s="213"/>
    </row>
    <row r="1686" spans="36:36" x14ac:dyDescent="0.35">
      <c r="AJ1686" s="213"/>
    </row>
    <row r="1687" spans="36:36" x14ac:dyDescent="0.35">
      <c r="AJ1687" s="213"/>
    </row>
    <row r="1688" spans="36:36" x14ac:dyDescent="0.35">
      <c r="AJ1688" s="213"/>
    </row>
    <row r="1689" spans="36:36" x14ac:dyDescent="0.35">
      <c r="AJ1689" s="213"/>
    </row>
    <row r="1690" spans="36:36" x14ac:dyDescent="0.35">
      <c r="AJ1690" s="213"/>
    </row>
    <row r="1691" spans="36:36" x14ac:dyDescent="0.35">
      <c r="AJ1691" s="213"/>
    </row>
    <row r="1692" spans="36:36" x14ac:dyDescent="0.35">
      <c r="AJ1692" s="213"/>
    </row>
    <row r="1693" spans="36:36" x14ac:dyDescent="0.35">
      <c r="AJ1693" s="213"/>
    </row>
    <row r="1694" spans="36:36" x14ac:dyDescent="0.35">
      <c r="AJ1694" s="213"/>
    </row>
    <row r="1695" spans="36:36" x14ac:dyDescent="0.35">
      <c r="AJ1695" s="213"/>
    </row>
    <row r="1696" spans="36:36" x14ac:dyDescent="0.35">
      <c r="AJ1696" s="213"/>
    </row>
    <row r="1697" spans="36:36" x14ac:dyDescent="0.35">
      <c r="AJ1697" s="213"/>
    </row>
    <row r="1698" spans="36:36" x14ac:dyDescent="0.35">
      <c r="AJ1698" s="213"/>
    </row>
    <row r="1699" spans="36:36" x14ac:dyDescent="0.35">
      <c r="AJ1699" s="213"/>
    </row>
    <row r="1700" spans="36:36" x14ac:dyDescent="0.35">
      <c r="AJ1700" s="213"/>
    </row>
    <row r="1701" spans="36:36" x14ac:dyDescent="0.35">
      <c r="AJ1701" s="213"/>
    </row>
    <row r="1702" spans="36:36" x14ac:dyDescent="0.35">
      <c r="AJ1702" s="213"/>
    </row>
    <row r="1703" spans="36:36" x14ac:dyDescent="0.35">
      <c r="AJ1703" s="213"/>
    </row>
    <row r="1704" spans="36:36" x14ac:dyDescent="0.35">
      <c r="AJ1704" s="213"/>
    </row>
    <row r="1705" spans="36:36" x14ac:dyDescent="0.35">
      <c r="AJ1705" s="213"/>
    </row>
    <row r="1706" spans="36:36" x14ac:dyDescent="0.35">
      <c r="AJ1706" s="213"/>
    </row>
    <row r="1707" spans="36:36" x14ac:dyDescent="0.35">
      <c r="AJ1707" s="213"/>
    </row>
    <row r="1708" spans="36:36" x14ac:dyDescent="0.35">
      <c r="AJ1708" s="213"/>
    </row>
    <row r="1709" spans="36:36" x14ac:dyDescent="0.35">
      <c r="AJ1709" s="213"/>
    </row>
    <row r="1710" spans="36:36" x14ac:dyDescent="0.35">
      <c r="AJ1710" s="213"/>
    </row>
    <row r="1711" spans="36:36" x14ac:dyDescent="0.35">
      <c r="AJ1711" s="213"/>
    </row>
    <row r="1712" spans="36:36" x14ac:dyDescent="0.35">
      <c r="AJ1712" s="213"/>
    </row>
    <row r="1713" spans="36:36" x14ac:dyDescent="0.35">
      <c r="AJ1713" s="213"/>
    </row>
    <row r="1714" spans="36:36" x14ac:dyDescent="0.35">
      <c r="AJ1714" s="213"/>
    </row>
    <row r="1715" spans="36:36" x14ac:dyDescent="0.35">
      <c r="AJ1715" s="213"/>
    </row>
    <row r="1716" spans="36:36" x14ac:dyDescent="0.35">
      <c r="AJ1716" s="213"/>
    </row>
    <row r="1717" spans="36:36" x14ac:dyDescent="0.35">
      <c r="AJ1717" s="213"/>
    </row>
    <row r="1718" spans="36:36" x14ac:dyDescent="0.35">
      <c r="AJ1718" s="213"/>
    </row>
    <row r="1719" spans="36:36" x14ac:dyDescent="0.35">
      <c r="AJ1719" s="213"/>
    </row>
    <row r="1720" spans="36:36" x14ac:dyDescent="0.35">
      <c r="AJ1720" s="213"/>
    </row>
    <row r="1721" spans="36:36" x14ac:dyDescent="0.35">
      <c r="AJ1721" s="213"/>
    </row>
    <row r="1722" spans="36:36" x14ac:dyDescent="0.35">
      <c r="AJ1722" s="213"/>
    </row>
    <row r="1723" spans="36:36" x14ac:dyDescent="0.35">
      <c r="AJ1723" s="213"/>
    </row>
    <row r="1724" spans="36:36" x14ac:dyDescent="0.35">
      <c r="AJ1724" s="213"/>
    </row>
    <row r="1725" spans="36:36" x14ac:dyDescent="0.35">
      <c r="AJ1725" s="213"/>
    </row>
    <row r="1726" spans="36:36" x14ac:dyDescent="0.35">
      <c r="AJ1726" s="213"/>
    </row>
    <row r="1727" spans="36:36" x14ac:dyDescent="0.35">
      <c r="AJ1727" s="213"/>
    </row>
    <row r="1728" spans="36:36" x14ac:dyDescent="0.35">
      <c r="AJ1728" s="213"/>
    </row>
    <row r="1729" spans="36:36" x14ac:dyDescent="0.35">
      <c r="AJ1729" s="213"/>
    </row>
    <row r="1730" spans="36:36" x14ac:dyDescent="0.35">
      <c r="AJ1730" s="213"/>
    </row>
    <row r="1731" spans="36:36" x14ac:dyDescent="0.35">
      <c r="AJ1731" s="213"/>
    </row>
    <row r="1732" spans="36:36" x14ac:dyDescent="0.35">
      <c r="AJ1732" s="213"/>
    </row>
    <row r="1733" spans="36:36" x14ac:dyDescent="0.35">
      <c r="AJ1733" s="213"/>
    </row>
    <row r="1734" spans="36:36" x14ac:dyDescent="0.35">
      <c r="AJ1734" s="213"/>
    </row>
    <row r="1735" spans="36:36" x14ac:dyDescent="0.35">
      <c r="AJ1735" s="213"/>
    </row>
    <row r="1736" spans="36:36" x14ac:dyDescent="0.35">
      <c r="AJ1736" s="213"/>
    </row>
    <row r="1737" spans="36:36" x14ac:dyDescent="0.35">
      <c r="AJ1737" s="213"/>
    </row>
    <row r="1738" spans="36:36" x14ac:dyDescent="0.35">
      <c r="AJ1738" s="213"/>
    </row>
    <row r="1739" spans="36:36" x14ac:dyDescent="0.35">
      <c r="AJ1739" s="213"/>
    </row>
    <row r="1740" spans="36:36" x14ac:dyDescent="0.35">
      <c r="AJ1740" s="213"/>
    </row>
    <row r="1741" spans="36:36" x14ac:dyDescent="0.35">
      <c r="AJ1741" s="213"/>
    </row>
    <row r="1742" spans="36:36" x14ac:dyDescent="0.35">
      <c r="AJ1742" s="213"/>
    </row>
    <row r="1743" spans="36:36" x14ac:dyDescent="0.35">
      <c r="AJ1743" s="213"/>
    </row>
    <row r="1744" spans="36:36" x14ac:dyDescent="0.35">
      <c r="AJ1744" s="213"/>
    </row>
    <row r="1745" spans="36:36" x14ac:dyDescent="0.35">
      <c r="AJ1745" s="213"/>
    </row>
    <row r="1746" spans="36:36" x14ac:dyDescent="0.35">
      <c r="AJ1746" s="213"/>
    </row>
    <row r="1747" spans="36:36" x14ac:dyDescent="0.35">
      <c r="AJ1747" s="213"/>
    </row>
    <row r="1748" spans="36:36" x14ac:dyDescent="0.35">
      <c r="AJ1748" s="213"/>
    </row>
    <row r="1749" spans="36:36" x14ac:dyDescent="0.35">
      <c r="AJ1749" s="213"/>
    </row>
    <row r="1750" spans="36:36" x14ac:dyDescent="0.35">
      <c r="AJ1750" s="213"/>
    </row>
    <row r="1751" spans="36:36" x14ac:dyDescent="0.35">
      <c r="AJ1751" s="213"/>
    </row>
    <row r="1752" spans="36:36" x14ac:dyDescent="0.35">
      <c r="AJ1752" s="213"/>
    </row>
    <row r="1753" spans="36:36" x14ac:dyDescent="0.35">
      <c r="AJ1753" s="213"/>
    </row>
    <row r="1754" spans="36:36" x14ac:dyDescent="0.35">
      <c r="AJ1754" s="213"/>
    </row>
    <row r="1755" spans="36:36" x14ac:dyDescent="0.35">
      <c r="AJ1755" s="213"/>
    </row>
    <row r="1756" spans="36:36" x14ac:dyDescent="0.35">
      <c r="AJ1756" s="213"/>
    </row>
    <row r="1757" spans="36:36" x14ac:dyDescent="0.35">
      <c r="AJ1757" s="213"/>
    </row>
    <row r="1758" spans="36:36" x14ac:dyDescent="0.35">
      <c r="AJ1758" s="213"/>
    </row>
    <row r="1759" spans="36:36" x14ac:dyDescent="0.35">
      <c r="AJ1759" s="213"/>
    </row>
    <row r="1760" spans="36:36" x14ac:dyDescent="0.35">
      <c r="AJ1760" s="213"/>
    </row>
    <row r="1761" spans="36:36" x14ac:dyDescent="0.35">
      <c r="AJ1761" s="213"/>
    </row>
    <row r="1762" spans="36:36" x14ac:dyDescent="0.35">
      <c r="AJ1762" s="213"/>
    </row>
    <row r="1763" spans="36:36" x14ac:dyDescent="0.35">
      <c r="AJ1763" s="213"/>
    </row>
    <row r="1764" spans="36:36" x14ac:dyDescent="0.35">
      <c r="AJ1764" s="213"/>
    </row>
    <row r="1765" spans="36:36" x14ac:dyDescent="0.35">
      <c r="AJ1765" s="213"/>
    </row>
    <row r="1766" spans="36:36" x14ac:dyDescent="0.35">
      <c r="AJ1766" s="213"/>
    </row>
    <row r="1767" spans="36:36" x14ac:dyDescent="0.35">
      <c r="AJ1767" s="213"/>
    </row>
    <row r="1768" spans="36:36" x14ac:dyDescent="0.35">
      <c r="AJ1768" s="213"/>
    </row>
    <row r="1769" spans="36:36" x14ac:dyDescent="0.35">
      <c r="AJ1769" s="213"/>
    </row>
    <row r="1770" spans="36:36" x14ac:dyDescent="0.35">
      <c r="AJ1770" s="213"/>
    </row>
    <row r="1771" spans="36:36" x14ac:dyDescent="0.35">
      <c r="AJ1771" s="213"/>
    </row>
    <row r="1772" spans="36:36" x14ac:dyDescent="0.35">
      <c r="AJ1772" s="213"/>
    </row>
    <row r="1773" spans="36:36" x14ac:dyDescent="0.35">
      <c r="AJ1773" s="213"/>
    </row>
    <row r="1774" spans="36:36" x14ac:dyDescent="0.35">
      <c r="AJ1774" s="213"/>
    </row>
    <row r="1775" spans="36:36" x14ac:dyDescent="0.35">
      <c r="AJ1775" s="213"/>
    </row>
    <row r="1776" spans="36:36" x14ac:dyDescent="0.35">
      <c r="AJ1776" s="213"/>
    </row>
    <row r="1777" spans="36:36" x14ac:dyDescent="0.35">
      <c r="AJ1777" s="213"/>
    </row>
    <row r="1778" spans="36:36" x14ac:dyDescent="0.35">
      <c r="AJ1778" s="213"/>
    </row>
    <row r="1779" spans="36:36" x14ac:dyDescent="0.35">
      <c r="AJ1779" s="213"/>
    </row>
    <row r="1780" spans="36:36" x14ac:dyDescent="0.35">
      <c r="AJ1780" s="213"/>
    </row>
    <row r="1781" spans="36:36" x14ac:dyDescent="0.35">
      <c r="AJ1781" s="213"/>
    </row>
    <row r="1782" spans="36:36" x14ac:dyDescent="0.35">
      <c r="AJ1782" s="213"/>
    </row>
    <row r="1783" spans="36:36" x14ac:dyDescent="0.35">
      <c r="AJ1783" s="213"/>
    </row>
    <row r="1784" spans="36:36" x14ac:dyDescent="0.35">
      <c r="AJ1784" s="213"/>
    </row>
    <row r="1785" spans="36:36" x14ac:dyDescent="0.35">
      <c r="AJ1785" s="213"/>
    </row>
    <row r="1786" spans="36:36" x14ac:dyDescent="0.35">
      <c r="AJ1786" s="213"/>
    </row>
    <row r="1787" spans="36:36" x14ac:dyDescent="0.35">
      <c r="AJ1787" s="213"/>
    </row>
    <row r="1788" spans="36:36" x14ac:dyDescent="0.35">
      <c r="AJ1788" s="213"/>
    </row>
    <row r="1789" spans="36:36" x14ac:dyDescent="0.35">
      <c r="AJ1789" s="213"/>
    </row>
    <row r="1790" spans="36:36" x14ac:dyDescent="0.35">
      <c r="AJ1790" s="213"/>
    </row>
    <row r="1791" spans="36:36" x14ac:dyDescent="0.35">
      <c r="AJ1791" s="213"/>
    </row>
    <row r="1792" spans="36:36" x14ac:dyDescent="0.35">
      <c r="AJ1792" s="213"/>
    </row>
    <row r="1793" spans="36:36" x14ac:dyDescent="0.35">
      <c r="AJ1793" s="213"/>
    </row>
    <row r="1794" spans="36:36" x14ac:dyDescent="0.35">
      <c r="AJ1794" s="213"/>
    </row>
    <row r="1795" spans="36:36" x14ac:dyDescent="0.35">
      <c r="AJ1795" s="213"/>
    </row>
    <row r="1796" spans="36:36" x14ac:dyDescent="0.35">
      <c r="AJ1796" s="213"/>
    </row>
    <row r="1797" spans="36:36" x14ac:dyDescent="0.35">
      <c r="AJ1797" s="213"/>
    </row>
    <row r="1798" spans="36:36" x14ac:dyDescent="0.35">
      <c r="AJ1798" s="213"/>
    </row>
    <row r="1799" spans="36:36" x14ac:dyDescent="0.35">
      <c r="AJ1799" s="213"/>
    </row>
    <row r="1800" spans="36:36" x14ac:dyDescent="0.35">
      <c r="AJ1800" s="213"/>
    </row>
    <row r="1801" spans="36:36" x14ac:dyDescent="0.35">
      <c r="AJ1801" s="213"/>
    </row>
    <row r="1802" spans="36:36" x14ac:dyDescent="0.35">
      <c r="AJ1802" s="213"/>
    </row>
    <row r="1803" spans="36:36" x14ac:dyDescent="0.35">
      <c r="AJ1803" s="213"/>
    </row>
    <row r="1804" spans="36:36" x14ac:dyDescent="0.35">
      <c r="AJ1804" s="213"/>
    </row>
    <row r="1805" spans="36:36" x14ac:dyDescent="0.35">
      <c r="AJ1805" s="213"/>
    </row>
    <row r="1806" spans="36:36" x14ac:dyDescent="0.35">
      <c r="AJ1806" s="213"/>
    </row>
    <row r="1807" spans="36:36" x14ac:dyDescent="0.35">
      <c r="AJ1807" s="213"/>
    </row>
    <row r="1808" spans="36:36" x14ac:dyDescent="0.35">
      <c r="AJ1808" s="213"/>
    </row>
    <row r="1809" spans="36:36" x14ac:dyDescent="0.35">
      <c r="AJ1809" s="213"/>
    </row>
    <row r="1810" spans="36:36" x14ac:dyDescent="0.35">
      <c r="AJ1810" s="213"/>
    </row>
    <row r="1811" spans="36:36" x14ac:dyDescent="0.35">
      <c r="AJ1811" s="213"/>
    </row>
    <row r="1812" spans="36:36" x14ac:dyDescent="0.35">
      <c r="AJ1812" s="213"/>
    </row>
    <row r="1813" spans="36:36" x14ac:dyDescent="0.35">
      <c r="AJ1813" s="213"/>
    </row>
    <row r="1814" spans="36:36" x14ac:dyDescent="0.35">
      <c r="AJ1814" s="213"/>
    </row>
    <row r="1815" spans="36:36" x14ac:dyDescent="0.35">
      <c r="AJ1815" s="213"/>
    </row>
    <row r="1816" spans="36:36" x14ac:dyDescent="0.35">
      <c r="AJ1816" s="213"/>
    </row>
    <row r="1817" spans="36:36" x14ac:dyDescent="0.35">
      <c r="AJ1817" s="213"/>
    </row>
    <row r="1818" spans="36:36" x14ac:dyDescent="0.35">
      <c r="AJ1818" s="213"/>
    </row>
    <row r="1819" spans="36:36" x14ac:dyDescent="0.35">
      <c r="AJ1819" s="213"/>
    </row>
    <row r="1820" spans="36:36" x14ac:dyDescent="0.35">
      <c r="AJ1820" s="213"/>
    </row>
    <row r="1821" spans="36:36" x14ac:dyDescent="0.35">
      <c r="AJ1821" s="213"/>
    </row>
    <row r="1822" spans="36:36" x14ac:dyDescent="0.35">
      <c r="AJ1822" s="213"/>
    </row>
    <row r="1823" spans="36:36" x14ac:dyDescent="0.35">
      <c r="AJ1823" s="213"/>
    </row>
    <row r="1824" spans="36:36" x14ac:dyDescent="0.35">
      <c r="AJ1824" s="213"/>
    </row>
    <row r="1825" spans="36:36" x14ac:dyDescent="0.35">
      <c r="AJ1825" s="213"/>
    </row>
    <row r="1826" spans="36:36" x14ac:dyDescent="0.35">
      <c r="AJ1826" s="213"/>
    </row>
    <row r="1827" spans="36:36" x14ac:dyDescent="0.35">
      <c r="AJ1827" s="213"/>
    </row>
    <row r="1828" spans="36:36" x14ac:dyDescent="0.35">
      <c r="AJ1828" s="213"/>
    </row>
    <row r="1829" spans="36:36" x14ac:dyDescent="0.35">
      <c r="AJ1829" s="213"/>
    </row>
    <row r="1830" spans="36:36" x14ac:dyDescent="0.35">
      <c r="AJ1830" s="213"/>
    </row>
    <row r="1831" spans="36:36" x14ac:dyDescent="0.35">
      <c r="AJ1831" s="213"/>
    </row>
    <row r="1832" spans="36:36" x14ac:dyDescent="0.35">
      <c r="AJ1832" s="213"/>
    </row>
    <row r="1833" spans="36:36" x14ac:dyDescent="0.35">
      <c r="AJ1833" s="213"/>
    </row>
    <row r="1834" spans="36:36" x14ac:dyDescent="0.35">
      <c r="AJ1834" s="213"/>
    </row>
    <row r="1835" spans="36:36" x14ac:dyDescent="0.35">
      <c r="AJ1835" s="213"/>
    </row>
    <row r="1836" spans="36:36" x14ac:dyDescent="0.35">
      <c r="AJ1836" s="213"/>
    </row>
    <row r="1837" spans="36:36" x14ac:dyDescent="0.35">
      <c r="AJ1837" s="213"/>
    </row>
    <row r="1838" spans="36:36" x14ac:dyDescent="0.35">
      <c r="AJ1838" s="213"/>
    </row>
    <row r="1839" spans="36:36" x14ac:dyDescent="0.35">
      <c r="AJ1839" s="213"/>
    </row>
    <row r="1840" spans="36:36" x14ac:dyDescent="0.35">
      <c r="AJ1840" s="213"/>
    </row>
    <row r="1841" spans="36:36" x14ac:dyDescent="0.35">
      <c r="AJ1841" s="213"/>
    </row>
    <row r="1842" spans="36:36" x14ac:dyDescent="0.35">
      <c r="AJ1842" s="213"/>
    </row>
    <row r="1843" spans="36:36" x14ac:dyDescent="0.35">
      <c r="AJ1843" s="213"/>
    </row>
    <row r="1844" spans="36:36" x14ac:dyDescent="0.35">
      <c r="AJ1844" s="213"/>
    </row>
    <row r="1845" spans="36:36" x14ac:dyDescent="0.35">
      <c r="AJ1845" s="213"/>
    </row>
    <row r="1846" spans="36:36" x14ac:dyDescent="0.35">
      <c r="AJ1846" s="213"/>
    </row>
    <row r="1847" spans="36:36" x14ac:dyDescent="0.35">
      <c r="AJ1847" s="213"/>
    </row>
    <row r="1848" spans="36:36" x14ac:dyDescent="0.35">
      <c r="AJ1848" s="213"/>
    </row>
    <row r="1849" spans="36:36" x14ac:dyDescent="0.35">
      <c r="AJ1849" s="213"/>
    </row>
    <row r="1850" spans="36:36" x14ac:dyDescent="0.35">
      <c r="AJ1850" s="213"/>
    </row>
    <row r="1851" spans="36:36" x14ac:dyDescent="0.35">
      <c r="AJ1851" s="213"/>
    </row>
    <row r="1852" spans="36:36" x14ac:dyDescent="0.35">
      <c r="AJ1852" s="213"/>
    </row>
    <row r="1853" spans="36:36" x14ac:dyDescent="0.35">
      <c r="AJ1853" s="213"/>
    </row>
    <row r="1854" spans="36:36" x14ac:dyDescent="0.35">
      <c r="AJ1854" s="213"/>
    </row>
    <row r="1855" spans="36:36" x14ac:dyDescent="0.35">
      <c r="AJ1855" s="213"/>
    </row>
    <row r="1856" spans="36:36" x14ac:dyDescent="0.35">
      <c r="AJ1856" s="213"/>
    </row>
    <row r="1857" spans="36:36" x14ac:dyDescent="0.35">
      <c r="AJ1857" s="213"/>
    </row>
    <row r="1858" spans="36:36" x14ac:dyDescent="0.35">
      <c r="AJ1858" s="213"/>
    </row>
    <row r="1859" spans="36:36" x14ac:dyDescent="0.35">
      <c r="AJ1859" s="213"/>
    </row>
    <row r="1860" spans="36:36" x14ac:dyDescent="0.35">
      <c r="AJ1860" s="213"/>
    </row>
    <row r="1861" spans="36:36" x14ac:dyDescent="0.35">
      <c r="AJ1861" s="213"/>
    </row>
    <row r="1862" spans="36:36" x14ac:dyDescent="0.35">
      <c r="AJ1862" s="213"/>
    </row>
    <row r="1863" spans="36:36" x14ac:dyDescent="0.35">
      <c r="AJ1863" s="213"/>
    </row>
    <row r="1864" spans="36:36" x14ac:dyDescent="0.35">
      <c r="AJ1864" s="213"/>
    </row>
    <row r="1865" spans="36:36" x14ac:dyDescent="0.35">
      <c r="AJ1865" s="213"/>
    </row>
    <row r="1866" spans="36:36" x14ac:dyDescent="0.35">
      <c r="AJ1866" s="213"/>
    </row>
    <row r="1867" spans="36:36" x14ac:dyDescent="0.35">
      <c r="AJ1867" s="213"/>
    </row>
    <row r="1868" spans="36:36" x14ac:dyDescent="0.35">
      <c r="AJ1868" s="213"/>
    </row>
    <row r="1869" spans="36:36" x14ac:dyDescent="0.35">
      <c r="AJ1869" s="213"/>
    </row>
    <row r="1870" spans="36:36" x14ac:dyDescent="0.35">
      <c r="AJ1870" s="213"/>
    </row>
    <row r="1871" spans="36:36" x14ac:dyDescent="0.35">
      <c r="AJ1871" s="213"/>
    </row>
    <row r="1872" spans="36:36" x14ac:dyDescent="0.35">
      <c r="AJ1872" s="213"/>
    </row>
    <row r="1873" spans="36:36" x14ac:dyDescent="0.35">
      <c r="AJ1873" s="213"/>
    </row>
    <row r="1874" spans="36:36" x14ac:dyDescent="0.35">
      <c r="AJ1874" s="213"/>
    </row>
    <row r="1875" spans="36:36" x14ac:dyDescent="0.35">
      <c r="AJ1875" s="213"/>
    </row>
    <row r="1876" spans="36:36" x14ac:dyDescent="0.35">
      <c r="AJ1876" s="213"/>
    </row>
    <row r="1877" spans="36:36" x14ac:dyDescent="0.35">
      <c r="AJ1877" s="213"/>
    </row>
    <row r="1878" spans="36:36" x14ac:dyDescent="0.35">
      <c r="AJ1878" s="213"/>
    </row>
    <row r="1879" spans="36:36" x14ac:dyDescent="0.35">
      <c r="AJ1879" s="213"/>
    </row>
    <row r="1880" spans="36:36" x14ac:dyDescent="0.35">
      <c r="AJ1880" s="213"/>
    </row>
    <row r="1881" spans="36:36" x14ac:dyDescent="0.35">
      <c r="AJ1881" s="213"/>
    </row>
    <row r="1882" spans="36:36" x14ac:dyDescent="0.35">
      <c r="AJ1882" s="213"/>
    </row>
    <row r="1883" spans="36:36" x14ac:dyDescent="0.35">
      <c r="AJ1883" s="213"/>
    </row>
    <row r="1884" spans="36:36" x14ac:dyDescent="0.35">
      <c r="AJ1884" s="213"/>
    </row>
    <row r="1885" spans="36:36" x14ac:dyDescent="0.35">
      <c r="AJ1885" s="213"/>
    </row>
    <row r="1886" spans="36:36" x14ac:dyDescent="0.35">
      <c r="AJ1886" s="213"/>
    </row>
    <row r="1887" spans="36:36" x14ac:dyDescent="0.35">
      <c r="AJ1887" s="213"/>
    </row>
    <row r="1888" spans="36:36" x14ac:dyDescent="0.35">
      <c r="AJ1888" s="213"/>
    </row>
    <row r="1889" spans="36:36" x14ac:dyDescent="0.35">
      <c r="AJ1889" s="213"/>
    </row>
    <row r="1890" spans="36:36" x14ac:dyDescent="0.35">
      <c r="AJ1890" s="213"/>
    </row>
    <row r="1891" spans="36:36" x14ac:dyDescent="0.35">
      <c r="AJ1891" s="213"/>
    </row>
    <row r="1892" spans="36:36" x14ac:dyDescent="0.35">
      <c r="AJ1892" s="213"/>
    </row>
    <row r="1893" spans="36:36" x14ac:dyDescent="0.35">
      <c r="AJ1893" s="213"/>
    </row>
    <row r="1894" spans="36:36" x14ac:dyDescent="0.35">
      <c r="AJ1894" s="213"/>
    </row>
    <row r="1895" spans="36:36" x14ac:dyDescent="0.35">
      <c r="AJ1895" s="213"/>
    </row>
    <row r="1896" spans="36:36" x14ac:dyDescent="0.35">
      <c r="AJ1896" s="213"/>
    </row>
    <row r="1897" spans="36:36" x14ac:dyDescent="0.35">
      <c r="AJ1897" s="213"/>
    </row>
    <row r="1898" spans="36:36" x14ac:dyDescent="0.35">
      <c r="AJ1898" s="213"/>
    </row>
    <row r="1899" spans="36:36" x14ac:dyDescent="0.35">
      <c r="AJ1899" s="213"/>
    </row>
    <row r="1900" spans="36:36" x14ac:dyDescent="0.35">
      <c r="AJ1900" s="213"/>
    </row>
    <row r="1901" spans="36:36" x14ac:dyDescent="0.35">
      <c r="AJ1901" s="213"/>
    </row>
    <row r="1902" spans="36:36" x14ac:dyDescent="0.35">
      <c r="AJ1902" s="213"/>
    </row>
    <row r="1903" spans="36:36" x14ac:dyDescent="0.35">
      <c r="AJ1903" s="213"/>
    </row>
    <row r="1904" spans="36:36" x14ac:dyDescent="0.35">
      <c r="AJ1904" s="213"/>
    </row>
    <row r="1905" spans="36:36" x14ac:dyDescent="0.35">
      <c r="AJ1905" s="213"/>
    </row>
    <row r="1906" spans="36:36" x14ac:dyDescent="0.35">
      <c r="AJ1906" s="213"/>
    </row>
    <row r="1907" spans="36:36" x14ac:dyDescent="0.35">
      <c r="AJ1907" s="213"/>
    </row>
    <row r="1908" spans="36:36" x14ac:dyDescent="0.35">
      <c r="AJ1908" s="213"/>
    </row>
    <row r="1909" spans="36:36" x14ac:dyDescent="0.35">
      <c r="AJ1909" s="213"/>
    </row>
    <row r="1910" spans="36:36" x14ac:dyDescent="0.35">
      <c r="AJ1910" s="213"/>
    </row>
    <row r="1911" spans="36:36" x14ac:dyDescent="0.35">
      <c r="AJ1911" s="213"/>
    </row>
    <row r="1912" spans="36:36" x14ac:dyDescent="0.35">
      <c r="AJ1912" s="213"/>
    </row>
    <row r="1913" spans="36:36" x14ac:dyDescent="0.35">
      <c r="AJ1913" s="213"/>
    </row>
    <row r="1914" spans="36:36" x14ac:dyDescent="0.35">
      <c r="AJ1914" s="213"/>
    </row>
    <row r="1915" spans="36:36" x14ac:dyDescent="0.35">
      <c r="AJ1915" s="213"/>
    </row>
    <row r="1916" spans="36:36" x14ac:dyDescent="0.35">
      <c r="AJ1916" s="213"/>
    </row>
    <row r="1917" spans="36:36" x14ac:dyDescent="0.35">
      <c r="AJ1917" s="213"/>
    </row>
    <row r="1918" spans="36:36" x14ac:dyDescent="0.35">
      <c r="AJ1918" s="213"/>
    </row>
    <row r="1919" spans="36:36" x14ac:dyDescent="0.35">
      <c r="AJ1919" s="213"/>
    </row>
    <row r="1920" spans="36:36" x14ac:dyDescent="0.35">
      <c r="AJ1920" s="213"/>
    </row>
    <row r="1921" spans="36:36" x14ac:dyDescent="0.35">
      <c r="AJ1921" s="213"/>
    </row>
    <row r="1922" spans="36:36" x14ac:dyDescent="0.35">
      <c r="AJ1922" s="213"/>
    </row>
    <row r="1923" spans="36:36" x14ac:dyDescent="0.35">
      <c r="AJ1923" s="213"/>
    </row>
    <row r="1924" spans="36:36" x14ac:dyDescent="0.35">
      <c r="AJ1924" s="213"/>
    </row>
    <row r="1925" spans="36:36" x14ac:dyDescent="0.35">
      <c r="AJ1925" s="213"/>
    </row>
    <row r="1926" spans="36:36" x14ac:dyDescent="0.35">
      <c r="AJ1926" s="213"/>
    </row>
    <row r="1927" spans="36:36" x14ac:dyDescent="0.35">
      <c r="AJ1927" s="213"/>
    </row>
    <row r="1928" spans="36:36" x14ac:dyDescent="0.35">
      <c r="AJ1928" s="213"/>
    </row>
    <row r="1929" spans="36:36" x14ac:dyDescent="0.35">
      <c r="AJ1929" s="213"/>
    </row>
    <row r="1930" spans="36:36" x14ac:dyDescent="0.35">
      <c r="AJ1930" s="213"/>
    </row>
    <row r="1931" spans="36:36" x14ac:dyDescent="0.35">
      <c r="AJ1931" s="213"/>
    </row>
    <row r="1932" spans="36:36" x14ac:dyDescent="0.35">
      <c r="AJ1932" s="213"/>
    </row>
    <row r="1933" spans="36:36" x14ac:dyDescent="0.35">
      <c r="AJ1933" s="213"/>
    </row>
    <row r="1934" spans="36:36" x14ac:dyDescent="0.35">
      <c r="AJ1934" s="213"/>
    </row>
    <row r="1935" spans="36:36" x14ac:dyDescent="0.35">
      <c r="AJ1935" s="213"/>
    </row>
    <row r="1936" spans="36:36" x14ac:dyDescent="0.35">
      <c r="AJ1936" s="213"/>
    </row>
    <row r="1937" spans="36:36" x14ac:dyDescent="0.35">
      <c r="AJ1937" s="213"/>
    </row>
    <row r="1938" spans="36:36" x14ac:dyDescent="0.35">
      <c r="AJ1938" s="213"/>
    </row>
    <row r="1939" spans="36:36" x14ac:dyDescent="0.35">
      <c r="AJ1939" s="213"/>
    </row>
    <row r="1940" spans="36:36" x14ac:dyDescent="0.35">
      <c r="AJ1940" s="213"/>
    </row>
    <row r="1941" spans="36:36" x14ac:dyDescent="0.35">
      <c r="AJ1941" s="213"/>
    </row>
    <row r="1942" spans="36:36" x14ac:dyDescent="0.35">
      <c r="AJ1942" s="213"/>
    </row>
    <row r="1943" spans="36:36" x14ac:dyDescent="0.35">
      <c r="AJ1943" s="213"/>
    </row>
    <row r="1944" spans="36:36" x14ac:dyDescent="0.35">
      <c r="AJ1944" s="213"/>
    </row>
    <row r="1945" spans="36:36" x14ac:dyDescent="0.35">
      <c r="AJ1945" s="213"/>
    </row>
    <row r="1946" spans="36:36" x14ac:dyDescent="0.35">
      <c r="AJ1946" s="213"/>
    </row>
    <row r="1947" spans="36:36" x14ac:dyDescent="0.35">
      <c r="AJ1947" s="213"/>
    </row>
    <row r="1948" spans="36:36" x14ac:dyDescent="0.35">
      <c r="AJ1948" s="213"/>
    </row>
    <row r="1949" spans="36:36" x14ac:dyDescent="0.35">
      <c r="AJ1949" s="213"/>
    </row>
    <row r="1950" spans="36:36" x14ac:dyDescent="0.35">
      <c r="AJ1950" s="213"/>
    </row>
    <row r="1951" spans="36:36" x14ac:dyDescent="0.35">
      <c r="AJ1951" s="213"/>
    </row>
    <row r="1952" spans="36:36" x14ac:dyDescent="0.35">
      <c r="AJ1952" s="213"/>
    </row>
    <row r="1953" spans="36:36" x14ac:dyDescent="0.35">
      <c r="AJ1953" s="213"/>
    </row>
    <row r="1954" spans="36:36" x14ac:dyDescent="0.35">
      <c r="AJ1954" s="213"/>
    </row>
    <row r="1955" spans="36:36" x14ac:dyDescent="0.35">
      <c r="AJ1955" s="213"/>
    </row>
    <row r="1956" spans="36:36" x14ac:dyDescent="0.35">
      <c r="AJ1956" s="213"/>
    </row>
    <row r="1957" spans="36:36" x14ac:dyDescent="0.35">
      <c r="AJ1957" s="213"/>
    </row>
    <row r="1958" spans="36:36" x14ac:dyDescent="0.35">
      <c r="AJ1958" s="213"/>
    </row>
    <row r="1959" spans="36:36" x14ac:dyDescent="0.35">
      <c r="AJ1959" s="213"/>
    </row>
    <row r="1960" spans="36:36" x14ac:dyDescent="0.35">
      <c r="AJ1960" s="213"/>
    </row>
    <row r="1961" spans="36:36" x14ac:dyDescent="0.35">
      <c r="AJ1961" s="213"/>
    </row>
    <row r="1962" spans="36:36" x14ac:dyDescent="0.35">
      <c r="AJ1962" s="213"/>
    </row>
    <row r="1963" spans="36:36" x14ac:dyDescent="0.35">
      <c r="AJ1963" s="213"/>
    </row>
    <row r="1964" spans="36:36" x14ac:dyDescent="0.35">
      <c r="AJ1964" s="213"/>
    </row>
    <row r="1965" spans="36:36" x14ac:dyDescent="0.35">
      <c r="AJ1965" s="213"/>
    </row>
    <row r="1966" spans="36:36" x14ac:dyDescent="0.35">
      <c r="AJ1966" s="213"/>
    </row>
    <row r="1967" spans="36:36" x14ac:dyDescent="0.35">
      <c r="AJ1967" s="213"/>
    </row>
    <row r="1968" spans="36:36" x14ac:dyDescent="0.35">
      <c r="AJ1968" s="213"/>
    </row>
    <row r="1969" spans="36:36" x14ac:dyDescent="0.35">
      <c r="AJ1969" s="213"/>
    </row>
    <row r="1970" spans="36:36" x14ac:dyDescent="0.35">
      <c r="AJ1970" s="213"/>
    </row>
    <row r="1971" spans="36:36" x14ac:dyDescent="0.35">
      <c r="AJ1971" s="213"/>
    </row>
    <row r="1972" spans="36:36" x14ac:dyDescent="0.35">
      <c r="AJ1972" s="213"/>
    </row>
    <row r="1973" spans="36:36" x14ac:dyDescent="0.35">
      <c r="AJ1973" s="213"/>
    </row>
    <row r="1974" spans="36:36" x14ac:dyDescent="0.35">
      <c r="AJ1974" s="213"/>
    </row>
    <row r="1975" spans="36:36" x14ac:dyDescent="0.35">
      <c r="AJ1975" s="213"/>
    </row>
    <row r="1976" spans="36:36" x14ac:dyDescent="0.35">
      <c r="AJ1976" s="213"/>
    </row>
    <row r="1977" spans="36:36" x14ac:dyDescent="0.35">
      <c r="AJ1977" s="213"/>
    </row>
    <row r="1978" spans="36:36" x14ac:dyDescent="0.35">
      <c r="AJ1978" s="213"/>
    </row>
    <row r="1979" spans="36:36" x14ac:dyDescent="0.35">
      <c r="AJ1979" s="213"/>
    </row>
    <row r="1980" spans="36:36" x14ac:dyDescent="0.35">
      <c r="AJ1980" s="213"/>
    </row>
    <row r="1981" spans="36:36" x14ac:dyDescent="0.35">
      <c r="AJ1981" s="213"/>
    </row>
    <row r="1982" spans="36:36" x14ac:dyDescent="0.35">
      <c r="AJ1982" s="213"/>
    </row>
    <row r="1983" spans="36:36" x14ac:dyDescent="0.35">
      <c r="AJ1983" s="213"/>
    </row>
    <row r="1984" spans="36:36" x14ac:dyDescent="0.35">
      <c r="AJ1984" s="213"/>
    </row>
    <row r="1985" spans="36:36" x14ac:dyDescent="0.35">
      <c r="AJ1985" s="213"/>
    </row>
    <row r="1986" spans="36:36" x14ac:dyDescent="0.35">
      <c r="AJ1986" s="213"/>
    </row>
    <row r="1987" spans="36:36" x14ac:dyDescent="0.35">
      <c r="AJ1987" s="213"/>
    </row>
    <row r="1988" spans="36:36" x14ac:dyDescent="0.35">
      <c r="AJ1988" s="213"/>
    </row>
    <row r="1989" spans="36:36" x14ac:dyDescent="0.35">
      <c r="AJ1989" s="213"/>
    </row>
    <row r="1990" spans="36:36" x14ac:dyDescent="0.35">
      <c r="AJ1990" s="213"/>
    </row>
    <row r="1991" spans="36:36" x14ac:dyDescent="0.35">
      <c r="AJ1991" s="213"/>
    </row>
    <row r="1992" spans="36:36" x14ac:dyDescent="0.35">
      <c r="AJ1992" s="213"/>
    </row>
    <row r="1993" spans="36:36" x14ac:dyDescent="0.35">
      <c r="AJ1993" s="213"/>
    </row>
    <row r="1994" spans="36:36" x14ac:dyDescent="0.35">
      <c r="AJ1994" s="213"/>
    </row>
    <row r="1995" spans="36:36" x14ac:dyDescent="0.35">
      <c r="AJ1995" s="213"/>
    </row>
    <row r="1996" spans="36:36" x14ac:dyDescent="0.35">
      <c r="AJ1996" s="213"/>
    </row>
    <row r="1997" spans="36:36" x14ac:dyDescent="0.35">
      <c r="AJ1997" s="213"/>
    </row>
    <row r="1998" spans="36:36" x14ac:dyDescent="0.35">
      <c r="AJ1998" s="213"/>
    </row>
    <row r="1999" spans="36:36" x14ac:dyDescent="0.35">
      <c r="AJ1999" s="213"/>
    </row>
    <row r="2000" spans="36:36" x14ac:dyDescent="0.35">
      <c r="AJ2000" s="213"/>
    </row>
    <row r="2001" spans="36:36" x14ac:dyDescent="0.35">
      <c r="AJ2001" s="213"/>
    </row>
    <row r="2002" spans="36:36" x14ac:dyDescent="0.35">
      <c r="AJ2002" s="213"/>
    </row>
    <row r="2003" spans="36:36" x14ac:dyDescent="0.35">
      <c r="AJ2003" s="213"/>
    </row>
    <row r="2004" spans="36:36" x14ac:dyDescent="0.35">
      <c r="AJ2004" s="213"/>
    </row>
    <row r="2005" spans="36:36" x14ac:dyDescent="0.35">
      <c r="AJ2005" s="213"/>
    </row>
    <row r="2006" spans="36:36" x14ac:dyDescent="0.35">
      <c r="AJ2006" s="213"/>
    </row>
    <row r="2007" spans="36:36" x14ac:dyDescent="0.35">
      <c r="AJ2007" s="213"/>
    </row>
    <row r="2008" spans="36:36" x14ac:dyDescent="0.35">
      <c r="AJ2008" s="213"/>
    </row>
    <row r="2009" spans="36:36" x14ac:dyDescent="0.35">
      <c r="AJ2009" s="213"/>
    </row>
    <row r="2010" spans="36:36" x14ac:dyDescent="0.35">
      <c r="AJ2010" s="213"/>
    </row>
    <row r="2011" spans="36:36" x14ac:dyDescent="0.35">
      <c r="AJ2011" s="213"/>
    </row>
    <row r="2012" spans="36:36" x14ac:dyDescent="0.35">
      <c r="AJ2012" s="213"/>
    </row>
    <row r="2013" spans="36:36" x14ac:dyDescent="0.35">
      <c r="AJ2013" s="213"/>
    </row>
    <row r="2014" spans="36:36" x14ac:dyDescent="0.35">
      <c r="AJ2014" s="213"/>
    </row>
    <row r="2015" spans="36:36" x14ac:dyDescent="0.35">
      <c r="AJ2015" s="213"/>
    </row>
    <row r="2016" spans="36:36" x14ac:dyDescent="0.35">
      <c r="AJ2016" s="213"/>
    </row>
    <row r="2017" spans="36:36" x14ac:dyDescent="0.35">
      <c r="AJ2017" s="213"/>
    </row>
    <row r="2018" spans="36:36" x14ac:dyDescent="0.35">
      <c r="AJ2018" s="213"/>
    </row>
    <row r="2019" spans="36:36" x14ac:dyDescent="0.35">
      <c r="AJ2019" s="213"/>
    </row>
    <row r="2020" spans="36:36" x14ac:dyDescent="0.35">
      <c r="AJ2020" s="213"/>
    </row>
    <row r="2021" spans="36:36" x14ac:dyDescent="0.35">
      <c r="AJ2021" s="213"/>
    </row>
    <row r="2022" spans="36:36" x14ac:dyDescent="0.35">
      <c r="AJ2022" s="213"/>
    </row>
    <row r="2023" spans="36:36" x14ac:dyDescent="0.35">
      <c r="AJ2023" s="213"/>
    </row>
    <row r="2024" spans="36:36" x14ac:dyDescent="0.35">
      <c r="AJ2024" s="213"/>
    </row>
    <row r="2025" spans="36:36" x14ac:dyDescent="0.35">
      <c r="AJ2025" s="213"/>
    </row>
    <row r="2026" spans="36:36" x14ac:dyDescent="0.35">
      <c r="AJ2026" s="213"/>
    </row>
    <row r="2027" spans="36:36" x14ac:dyDescent="0.35">
      <c r="AJ2027" s="213"/>
    </row>
    <row r="2028" spans="36:36" x14ac:dyDescent="0.35">
      <c r="AJ2028" s="213"/>
    </row>
    <row r="2029" spans="36:36" x14ac:dyDescent="0.35">
      <c r="AJ2029" s="213"/>
    </row>
    <row r="2030" spans="36:36" x14ac:dyDescent="0.35">
      <c r="AJ2030" s="213"/>
    </row>
    <row r="2031" spans="36:36" x14ac:dyDescent="0.35">
      <c r="AJ2031" s="213"/>
    </row>
    <row r="2032" spans="36:36" x14ac:dyDescent="0.35">
      <c r="AJ2032" s="213"/>
    </row>
    <row r="2033" spans="36:36" x14ac:dyDescent="0.35">
      <c r="AJ2033" s="213"/>
    </row>
    <row r="2034" spans="36:36" x14ac:dyDescent="0.35">
      <c r="AJ2034" s="213"/>
    </row>
    <row r="2035" spans="36:36" x14ac:dyDescent="0.35">
      <c r="AJ2035" s="213"/>
    </row>
    <row r="2036" spans="36:36" x14ac:dyDescent="0.35">
      <c r="AJ2036" s="213"/>
    </row>
    <row r="2037" spans="36:36" x14ac:dyDescent="0.35">
      <c r="AJ2037" s="213"/>
    </row>
    <row r="2038" spans="36:36" x14ac:dyDescent="0.35">
      <c r="AJ2038" s="213"/>
    </row>
    <row r="2039" spans="36:36" x14ac:dyDescent="0.35">
      <c r="AJ2039" s="213"/>
    </row>
    <row r="2040" spans="36:36" x14ac:dyDescent="0.35">
      <c r="AJ2040" s="213"/>
    </row>
    <row r="2041" spans="36:36" x14ac:dyDescent="0.35">
      <c r="AJ2041" s="213"/>
    </row>
    <row r="2042" spans="36:36" x14ac:dyDescent="0.35">
      <c r="AJ2042" s="213"/>
    </row>
    <row r="2043" spans="36:36" x14ac:dyDescent="0.35">
      <c r="AJ2043" s="213"/>
    </row>
    <row r="2044" spans="36:36" x14ac:dyDescent="0.35">
      <c r="AJ2044" s="213"/>
    </row>
    <row r="2045" spans="36:36" x14ac:dyDescent="0.35">
      <c r="AJ2045" s="213"/>
    </row>
    <row r="2046" spans="36:36" x14ac:dyDescent="0.35">
      <c r="AJ2046" s="213"/>
    </row>
    <row r="2047" spans="36:36" x14ac:dyDescent="0.35">
      <c r="AJ2047" s="213"/>
    </row>
    <row r="2048" spans="36:36" x14ac:dyDescent="0.35">
      <c r="AJ2048" s="213"/>
    </row>
    <row r="2049" spans="36:36" x14ac:dyDescent="0.35">
      <c r="AJ2049" s="213"/>
    </row>
    <row r="2050" spans="36:36" x14ac:dyDescent="0.35">
      <c r="AJ2050" s="213"/>
    </row>
    <row r="2051" spans="36:36" x14ac:dyDescent="0.35">
      <c r="AJ2051" s="213"/>
    </row>
    <row r="2052" spans="36:36" x14ac:dyDescent="0.35">
      <c r="AJ2052" s="213"/>
    </row>
    <row r="2053" spans="36:36" x14ac:dyDescent="0.35">
      <c r="AJ2053" s="213"/>
    </row>
    <row r="2054" spans="36:36" x14ac:dyDescent="0.35">
      <c r="AJ2054" s="213"/>
    </row>
    <row r="2055" spans="36:36" x14ac:dyDescent="0.35">
      <c r="AJ2055" s="213"/>
    </row>
    <row r="2056" spans="36:36" x14ac:dyDescent="0.35">
      <c r="AJ2056" s="213"/>
    </row>
    <row r="2057" spans="36:36" x14ac:dyDescent="0.35">
      <c r="AJ2057" s="213"/>
    </row>
    <row r="2058" spans="36:36" x14ac:dyDescent="0.35">
      <c r="AJ2058" s="213"/>
    </row>
    <row r="2059" spans="36:36" x14ac:dyDescent="0.35">
      <c r="AJ2059" s="213"/>
    </row>
    <row r="2060" spans="36:36" x14ac:dyDescent="0.35">
      <c r="AJ2060" s="213"/>
    </row>
    <row r="2061" spans="36:36" x14ac:dyDescent="0.35">
      <c r="AJ2061" s="213"/>
    </row>
    <row r="2062" spans="36:36" x14ac:dyDescent="0.35">
      <c r="AJ2062" s="213"/>
    </row>
    <row r="2063" spans="36:36" x14ac:dyDescent="0.35">
      <c r="AJ2063" s="213"/>
    </row>
    <row r="2064" spans="36:36" x14ac:dyDescent="0.35">
      <c r="AJ2064" s="213"/>
    </row>
    <row r="2065" spans="36:36" x14ac:dyDescent="0.35">
      <c r="AJ2065" s="213"/>
    </row>
    <row r="2066" spans="36:36" x14ac:dyDescent="0.35">
      <c r="AJ2066" s="213"/>
    </row>
    <row r="2067" spans="36:36" x14ac:dyDescent="0.35">
      <c r="AJ2067" s="213"/>
    </row>
    <row r="2068" spans="36:36" x14ac:dyDescent="0.35">
      <c r="AJ2068" s="213"/>
    </row>
    <row r="2069" spans="36:36" x14ac:dyDescent="0.35">
      <c r="AJ2069" s="213"/>
    </row>
    <row r="2070" spans="36:36" x14ac:dyDescent="0.35">
      <c r="AJ2070" s="213"/>
    </row>
    <row r="2071" spans="36:36" x14ac:dyDescent="0.35">
      <c r="AJ2071" s="213"/>
    </row>
    <row r="2072" spans="36:36" x14ac:dyDescent="0.35">
      <c r="AJ2072" s="213"/>
    </row>
    <row r="2073" spans="36:36" x14ac:dyDescent="0.35">
      <c r="AJ2073" s="213"/>
    </row>
    <row r="2074" spans="36:36" x14ac:dyDescent="0.35">
      <c r="AJ2074" s="213"/>
    </row>
    <row r="2075" spans="36:36" x14ac:dyDescent="0.35">
      <c r="AJ2075" s="213"/>
    </row>
    <row r="2076" spans="36:36" x14ac:dyDescent="0.35">
      <c r="AJ2076" s="213"/>
    </row>
    <row r="2077" spans="36:36" x14ac:dyDescent="0.35">
      <c r="AJ2077" s="213"/>
    </row>
    <row r="2078" spans="36:36" x14ac:dyDescent="0.35">
      <c r="AJ2078" s="213"/>
    </row>
    <row r="2079" spans="36:36" x14ac:dyDescent="0.35">
      <c r="AJ2079" s="213"/>
    </row>
    <row r="2080" spans="36:36" x14ac:dyDescent="0.35">
      <c r="AJ2080" s="213"/>
    </row>
    <row r="2081" spans="36:36" x14ac:dyDescent="0.35">
      <c r="AJ2081" s="213"/>
    </row>
    <row r="2082" spans="36:36" x14ac:dyDescent="0.35">
      <c r="AJ2082" s="213"/>
    </row>
    <row r="2083" spans="36:36" x14ac:dyDescent="0.35">
      <c r="AJ2083" s="213"/>
    </row>
    <row r="2084" spans="36:36" x14ac:dyDescent="0.35">
      <c r="AJ2084" s="213"/>
    </row>
    <row r="2085" spans="36:36" x14ac:dyDescent="0.35">
      <c r="AJ2085" s="213"/>
    </row>
    <row r="2086" spans="36:36" x14ac:dyDescent="0.35">
      <c r="AJ2086" s="213"/>
    </row>
    <row r="2087" spans="36:36" x14ac:dyDescent="0.35">
      <c r="AJ2087" s="213"/>
    </row>
    <row r="2088" spans="36:36" x14ac:dyDescent="0.35">
      <c r="AJ2088" s="213"/>
    </row>
    <row r="2089" spans="36:36" x14ac:dyDescent="0.35">
      <c r="AJ2089" s="213"/>
    </row>
    <row r="2090" spans="36:36" x14ac:dyDescent="0.35">
      <c r="AJ2090" s="213"/>
    </row>
    <row r="2091" spans="36:36" x14ac:dyDescent="0.35">
      <c r="AJ2091" s="213"/>
    </row>
    <row r="2092" spans="36:36" x14ac:dyDescent="0.35">
      <c r="AJ2092" s="213"/>
    </row>
    <row r="2093" spans="36:36" x14ac:dyDescent="0.35">
      <c r="AJ2093" s="213"/>
    </row>
    <row r="2094" spans="36:36" x14ac:dyDescent="0.35">
      <c r="AJ2094" s="213"/>
    </row>
    <row r="2095" spans="36:36" x14ac:dyDescent="0.35">
      <c r="AJ2095" s="213"/>
    </row>
    <row r="2096" spans="36:36" x14ac:dyDescent="0.35">
      <c r="AJ2096" s="213"/>
    </row>
    <row r="2097" spans="36:36" x14ac:dyDescent="0.35">
      <c r="AJ2097" s="213"/>
    </row>
    <row r="2098" spans="36:36" x14ac:dyDescent="0.35">
      <c r="AJ2098" s="213"/>
    </row>
    <row r="2099" spans="36:36" x14ac:dyDescent="0.35">
      <c r="AJ2099" s="213"/>
    </row>
    <row r="2100" spans="36:36" x14ac:dyDescent="0.35">
      <c r="AJ2100" s="213"/>
    </row>
    <row r="2101" spans="36:36" x14ac:dyDescent="0.35">
      <c r="AJ2101" s="213"/>
    </row>
    <row r="2102" spans="36:36" x14ac:dyDescent="0.35">
      <c r="AJ2102" s="213"/>
    </row>
    <row r="2103" spans="36:36" x14ac:dyDescent="0.35">
      <c r="AJ2103" s="213"/>
    </row>
    <row r="2104" spans="36:36" x14ac:dyDescent="0.35">
      <c r="AJ2104" s="213"/>
    </row>
    <row r="2105" spans="36:36" x14ac:dyDescent="0.35">
      <c r="AJ2105" s="213"/>
    </row>
    <row r="2106" spans="36:36" x14ac:dyDescent="0.35">
      <c r="AJ2106" s="213"/>
    </row>
    <row r="2107" spans="36:36" x14ac:dyDescent="0.35">
      <c r="AJ2107" s="213"/>
    </row>
    <row r="2108" spans="36:36" x14ac:dyDescent="0.35">
      <c r="AJ2108" s="213"/>
    </row>
    <row r="2109" spans="36:36" x14ac:dyDescent="0.35">
      <c r="AJ2109" s="213"/>
    </row>
    <row r="2110" spans="36:36" x14ac:dyDescent="0.35">
      <c r="AJ2110" s="213"/>
    </row>
    <row r="2111" spans="36:36" x14ac:dyDescent="0.35">
      <c r="AJ2111" s="213"/>
    </row>
    <row r="2112" spans="36:36" x14ac:dyDescent="0.35">
      <c r="AJ2112" s="213"/>
    </row>
    <row r="2113" spans="36:36" x14ac:dyDescent="0.35">
      <c r="AJ2113" s="213"/>
    </row>
    <row r="2114" spans="36:36" x14ac:dyDescent="0.35">
      <c r="AJ2114" s="213"/>
    </row>
    <row r="2115" spans="36:36" x14ac:dyDescent="0.35">
      <c r="AJ2115" s="213"/>
    </row>
    <row r="2116" spans="36:36" x14ac:dyDescent="0.35">
      <c r="AJ2116" s="213"/>
    </row>
    <row r="2117" spans="36:36" x14ac:dyDescent="0.35">
      <c r="AJ2117" s="213"/>
    </row>
    <row r="2118" spans="36:36" x14ac:dyDescent="0.35">
      <c r="AJ2118" s="213"/>
    </row>
    <row r="2119" spans="36:36" x14ac:dyDescent="0.35">
      <c r="AJ2119" s="213"/>
    </row>
    <row r="2120" spans="36:36" x14ac:dyDescent="0.35">
      <c r="AJ2120" s="213"/>
    </row>
    <row r="2121" spans="36:36" x14ac:dyDescent="0.35">
      <c r="AJ2121" s="213"/>
    </row>
    <row r="2122" spans="36:36" x14ac:dyDescent="0.35">
      <c r="AJ2122" s="213"/>
    </row>
    <row r="2123" spans="36:36" x14ac:dyDescent="0.35">
      <c r="AJ2123" s="213"/>
    </row>
    <row r="2124" spans="36:36" x14ac:dyDescent="0.35">
      <c r="AJ2124" s="213"/>
    </row>
    <row r="2125" spans="36:36" x14ac:dyDescent="0.35">
      <c r="AJ2125" s="213"/>
    </row>
    <row r="2126" spans="36:36" x14ac:dyDescent="0.35">
      <c r="AJ2126" s="213"/>
    </row>
    <row r="2127" spans="36:36" x14ac:dyDescent="0.35">
      <c r="AJ2127" s="213"/>
    </row>
    <row r="2128" spans="36:36" x14ac:dyDescent="0.35">
      <c r="AJ2128" s="213"/>
    </row>
    <row r="2129" spans="36:36" x14ac:dyDescent="0.35">
      <c r="AJ2129" s="213"/>
    </row>
    <row r="2130" spans="36:36" x14ac:dyDescent="0.35">
      <c r="AJ2130" s="213"/>
    </row>
    <row r="2131" spans="36:36" x14ac:dyDescent="0.35">
      <c r="AJ2131" s="213"/>
    </row>
    <row r="2132" spans="36:36" x14ac:dyDescent="0.35">
      <c r="AJ2132" s="213"/>
    </row>
    <row r="2133" spans="36:36" x14ac:dyDescent="0.35">
      <c r="AJ2133" s="213"/>
    </row>
    <row r="2134" spans="36:36" x14ac:dyDescent="0.35">
      <c r="AJ2134" s="213"/>
    </row>
    <row r="2135" spans="36:36" x14ac:dyDescent="0.35">
      <c r="AJ2135" s="213"/>
    </row>
    <row r="2136" spans="36:36" x14ac:dyDescent="0.35">
      <c r="AJ2136" s="213"/>
    </row>
    <row r="2137" spans="36:36" x14ac:dyDescent="0.35">
      <c r="AJ2137" s="213"/>
    </row>
    <row r="2138" spans="36:36" x14ac:dyDescent="0.35">
      <c r="AJ2138" s="213"/>
    </row>
    <row r="2139" spans="36:36" x14ac:dyDescent="0.35">
      <c r="AJ2139" s="213"/>
    </row>
    <row r="2140" spans="36:36" x14ac:dyDescent="0.35">
      <c r="AJ2140" s="213"/>
    </row>
    <row r="2141" spans="36:36" x14ac:dyDescent="0.35">
      <c r="AJ2141" s="213"/>
    </row>
    <row r="2142" spans="36:36" x14ac:dyDescent="0.35">
      <c r="AJ2142" s="213"/>
    </row>
    <row r="2143" spans="36:36" x14ac:dyDescent="0.35">
      <c r="AJ2143" s="213"/>
    </row>
    <row r="2144" spans="36:36" x14ac:dyDescent="0.35">
      <c r="AJ2144" s="213"/>
    </row>
    <row r="2145" spans="36:36" x14ac:dyDescent="0.35">
      <c r="AJ2145" s="213"/>
    </row>
    <row r="2146" spans="36:36" x14ac:dyDescent="0.35">
      <c r="AJ2146" s="213"/>
    </row>
    <row r="2147" spans="36:36" x14ac:dyDescent="0.35">
      <c r="AJ2147" s="213"/>
    </row>
    <row r="2148" spans="36:36" x14ac:dyDescent="0.35">
      <c r="AJ2148" s="213"/>
    </row>
    <row r="2149" spans="36:36" x14ac:dyDescent="0.35">
      <c r="AJ2149" s="213"/>
    </row>
    <row r="2150" spans="36:36" x14ac:dyDescent="0.35">
      <c r="AJ2150" s="213"/>
    </row>
    <row r="2151" spans="36:36" x14ac:dyDescent="0.35">
      <c r="AJ2151" s="213"/>
    </row>
    <row r="2152" spans="36:36" x14ac:dyDescent="0.35">
      <c r="AJ2152" s="213"/>
    </row>
    <row r="2153" spans="36:36" x14ac:dyDescent="0.35">
      <c r="AJ2153" s="213"/>
    </row>
    <row r="2154" spans="36:36" x14ac:dyDescent="0.35">
      <c r="AJ2154" s="213"/>
    </row>
    <row r="2155" spans="36:36" x14ac:dyDescent="0.35">
      <c r="AJ2155" s="213"/>
    </row>
    <row r="2156" spans="36:36" x14ac:dyDescent="0.35">
      <c r="AJ2156" s="213"/>
    </row>
    <row r="2157" spans="36:36" x14ac:dyDescent="0.35">
      <c r="AJ2157" s="213"/>
    </row>
    <row r="2158" spans="36:36" x14ac:dyDescent="0.35">
      <c r="AJ2158" s="213"/>
    </row>
    <row r="2159" spans="36:36" x14ac:dyDescent="0.35">
      <c r="AJ2159" s="213"/>
    </row>
    <row r="2160" spans="36:36" x14ac:dyDescent="0.35">
      <c r="AJ2160" s="213"/>
    </row>
    <row r="2161" spans="36:36" x14ac:dyDescent="0.35">
      <c r="AJ2161" s="213"/>
    </row>
    <row r="2162" spans="36:36" x14ac:dyDescent="0.35">
      <c r="AJ2162" s="213"/>
    </row>
    <row r="2163" spans="36:36" x14ac:dyDescent="0.35">
      <c r="AJ2163" s="213"/>
    </row>
    <row r="2164" spans="36:36" x14ac:dyDescent="0.35">
      <c r="AJ2164" s="213"/>
    </row>
    <row r="2165" spans="36:36" x14ac:dyDescent="0.35">
      <c r="AJ2165" s="213"/>
    </row>
    <row r="2166" spans="36:36" x14ac:dyDescent="0.35">
      <c r="AJ2166" s="213"/>
    </row>
    <row r="2167" spans="36:36" x14ac:dyDescent="0.35">
      <c r="AJ2167" s="213"/>
    </row>
    <row r="2168" spans="36:36" x14ac:dyDescent="0.35">
      <c r="AJ2168" s="213"/>
    </row>
    <row r="2169" spans="36:36" x14ac:dyDescent="0.35">
      <c r="AJ2169" s="213"/>
    </row>
    <row r="2170" spans="36:36" x14ac:dyDescent="0.35">
      <c r="AJ2170" s="213"/>
    </row>
    <row r="2171" spans="36:36" x14ac:dyDescent="0.35">
      <c r="AJ2171" s="213"/>
    </row>
    <row r="2172" spans="36:36" x14ac:dyDescent="0.35">
      <c r="AJ2172" s="213"/>
    </row>
    <row r="2173" spans="36:36" x14ac:dyDescent="0.35">
      <c r="AJ2173" s="213"/>
    </row>
    <row r="2174" spans="36:36" x14ac:dyDescent="0.35">
      <c r="AJ2174" s="213"/>
    </row>
    <row r="2175" spans="36:36" x14ac:dyDescent="0.35">
      <c r="AJ2175" s="213"/>
    </row>
    <row r="2176" spans="36:36" x14ac:dyDescent="0.35">
      <c r="AJ2176" s="213"/>
    </row>
    <row r="2177" spans="36:36" x14ac:dyDescent="0.35">
      <c r="AJ2177" s="213"/>
    </row>
    <row r="2178" spans="36:36" x14ac:dyDescent="0.35">
      <c r="AJ2178" s="213"/>
    </row>
    <row r="2179" spans="36:36" x14ac:dyDescent="0.35">
      <c r="AJ2179" s="213"/>
    </row>
    <row r="2180" spans="36:36" x14ac:dyDescent="0.35">
      <c r="AJ2180" s="213"/>
    </row>
    <row r="2181" spans="36:36" x14ac:dyDescent="0.35">
      <c r="AJ2181" s="213"/>
    </row>
    <row r="2182" spans="36:36" x14ac:dyDescent="0.35">
      <c r="AJ2182" s="213"/>
    </row>
    <row r="2183" spans="36:36" x14ac:dyDescent="0.35">
      <c r="AJ2183" s="213"/>
    </row>
    <row r="2184" spans="36:36" x14ac:dyDescent="0.35">
      <c r="AJ2184" s="213"/>
    </row>
    <row r="2185" spans="36:36" x14ac:dyDescent="0.35">
      <c r="AJ2185" s="213"/>
    </row>
    <row r="2186" spans="36:36" x14ac:dyDescent="0.35">
      <c r="AJ2186" s="213"/>
    </row>
    <row r="2187" spans="36:36" x14ac:dyDescent="0.35">
      <c r="AJ2187" s="213"/>
    </row>
    <row r="2188" spans="36:36" x14ac:dyDescent="0.35">
      <c r="AJ2188" s="213"/>
    </row>
    <row r="2189" spans="36:36" x14ac:dyDescent="0.35">
      <c r="AJ2189" s="213"/>
    </row>
    <row r="2190" spans="36:36" x14ac:dyDescent="0.35">
      <c r="AJ2190" s="213"/>
    </row>
    <row r="2191" spans="36:36" x14ac:dyDescent="0.35">
      <c r="AJ2191" s="213"/>
    </row>
    <row r="2192" spans="36:36" x14ac:dyDescent="0.35">
      <c r="AJ2192" s="213"/>
    </row>
    <row r="2193" spans="36:36" x14ac:dyDescent="0.35">
      <c r="AJ2193" s="213"/>
    </row>
    <row r="2194" spans="36:36" x14ac:dyDescent="0.35">
      <c r="AJ2194" s="213"/>
    </row>
    <row r="2195" spans="36:36" x14ac:dyDescent="0.35">
      <c r="AJ2195" s="213"/>
    </row>
    <row r="2196" spans="36:36" x14ac:dyDescent="0.35">
      <c r="AJ2196" s="213"/>
    </row>
    <row r="2197" spans="36:36" x14ac:dyDescent="0.35">
      <c r="AJ2197" s="213"/>
    </row>
    <row r="2198" spans="36:36" x14ac:dyDescent="0.35">
      <c r="AJ2198" s="213"/>
    </row>
    <row r="2199" spans="36:36" x14ac:dyDescent="0.35">
      <c r="AJ2199" s="213"/>
    </row>
    <row r="2200" spans="36:36" x14ac:dyDescent="0.35">
      <c r="AJ2200" s="213"/>
    </row>
    <row r="2201" spans="36:36" x14ac:dyDescent="0.35">
      <c r="AJ2201" s="213"/>
    </row>
    <row r="2202" spans="36:36" x14ac:dyDescent="0.35">
      <c r="AJ2202" s="213"/>
    </row>
    <row r="2203" spans="36:36" x14ac:dyDescent="0.35">
      <c r="AJ2203" s="213"/>
    </row>
    <row r="2204" spans="36:36" x14ac:dyDescent="0.35">
      <c r="AJ2204" s="213"/>
    </row>
    <row r="2205" spans="36:36" x14ac:dyDescent="0.35">
      <c r="AJ2205" s="213"/>
    </row>
    <row r="2206" spans="36:36" x14ac:dyDescent="0.35">
      <c r="AJ2206" s="213"/>
    </row>
    <row r="2207" spans="36:36" x14ac:dyDescent="0.35">
      <c r="AJ2207" s="213"/>
    </row>
    <row r="2208" spans="36:36" x14ac:dyDescent="0.35">
      <c r="AJ2208" s="213"/>
    </row>
    <row r="2209" spans="36:36" x14ac:dyDescent="0.35">
      <c r="AJ2209" s="213"/>
    </row>
    <row r="2210" spans="36:36" x14ac:dyDescent="0.35">
      <c r="AJ2210" s="213"/>
    </row>
    <row r="2211" spans="36:36" x14ac:dyDescent="0.35">
      <c r="AJ2211" s="213"/>
    </row>
    <row r="2212" spans="36:36" x14ac:dyDescent="0.35">
      <c r="AJ2212" s="213"/>
    </row>
    <row r="2213" spans="36:36" x14ac:dyDescent="0.35">
      <c r="AJ2213" s="213"/>
    </row>
    <row r="2214" spans="36:36" x14ac:dyDescent="0.35">
      <c r="AJ2214" s="213"/>
    </row>
    <row r="2215" spans="36:36" x14ac:dyDescent="0.35">
      <c r="AJ2215" s="213"/>
    </row>
    <row r="2216" spans="36:36" x14ac:dyDescent="0.35">
      <c r="AJ2216" s="213"/>
    </row>
    <row r="2217" spans="36:36" x14ac:dyDescent="0.35">
      <c r="AJ2217" s="213"/>
    </row>
    <row r="2218" spans="36:36" x14ac:dyDescent="0.35">
      <c r="AJ2218" s="213"/>
    </row>
    <row r="2219" spans="36:36" x14ac:dyDescent="0.35">
      <c r="AJ2219" s="213"/>
    </row>
    <row r="2220" spans="36:36" x14ac:dyDescent="0.35">
      <c r="AJ2220" s="213"/>
    </row>
    <row r="2221" spans="36:36" x14ac:dyDescent="0.35">
      <c r="AJ2221" s="213"/>
    </row>
    <row r="2222" spans="36:36" x14ac:dyDescent="0.35">
      <c r="AJ2222" s="213"/>
    </row>
    <row r="2223" spans="36:36" x14ac:dyDescent="0.35">
      <c r="AJ2223" s="213"/>
    </row>
    <row r="2224" spans="36:36" x14ac:dyDescent="0.35">
      <c r="AJ2224" s="213"/>
    </row>
    <row r="2225" spans="36:36" x14ac:dyDescent="0.35">
      <c r="AJ2225" s="213"/>
    </row>
    <row r="2226" spans="36:36" x14ac:dyDescent="0.35">
      <c r="AJ2226" s="213"/>
    </row>
    <row r="2227" spans="36:36" x14ac:dyDescent="0.35">
      <c r="AJ2227" s="213"/>
    </row>
    <row r="2228" spans="36:36" x14ac:dyDescent="0.35">
      <c r="AJ2228" s="213"/>
    </row>
    <row r="2229" spans="36:36" x14ac:dyDescent="0.35">
      <c r="AJ2229" s="213"/>
    </row>
    <row r="2230" spans="36:36" x14ac:dyDescent="0.35">
      <c r="AJ2230" s="213"/>
    </row>
    <row r="2231" spans="36:36" x14ac:dyDescent="0.35">
      <c r="AJ2231" s="213"/>
    </row>
    <row r="2232" spans="36:36" x14ac:dyDescent="0.35">
      <c r="AJ2232" s="213"/>
    </row>
    <row r="2233" spans="36:36" x14ac:dyDescent="0.35">
      <c r="AJ2233" s="213"/>
    </row>
    <row r="2234" spans="36:36" x14ac:dyDescent="0.35">
      <c r="AJ2234" s="213"/>
    </row>
    <row r="2235" spans="36:36" x14ac:dyDescent="0.35">
      <c r="AJ2235" s="213"/>
    </row>
    <row r="2236" spans="36:36" x14ac:dyDescent="0.35">
      <c r="AJ2236" s="213"/>
    </row>
    <row r="2237" spans="36:36" x14ac:dyDescent="0.35">
      <c r="AJ2237" s="213"/>
    </row>
    <row r="2238" spans="36:36" x14ac:dyDescent="0.35">
      <c r="AJ2238" s="213"/>
    </row>
    <row r="2239" spans="36:36" x14ac:dyDescent="0.35">
      <c r="AJ2239" s="213"/>
    </row>
    <row r="2240" spans="36:36" x14ac:dyDescent="0.35">
      <c r="AJ2240" s="213"/>
    </row>
    <row r="2241" spans="36:36" x14ac:dyDescent="0.35">
      <c r="AJ2241" s="213"/>
    </row>
    <row r="2242" spans="36:36" x14ac:dyDescent="0.35">
      <c r="AJ2242" s="213"/>
    </row>
    <row r="2243" spans="36:36" x14ac:dyDescent="0.35">
      <c r="AJ2243" s="213"/>
    </row>
    <row r="2244" spans="36:36" x14ac:dyDescent="0.35">
      <c r="AJ2244" s="213"/>
    </row>
    <row r="2245" spans="36:36" x14ac:dyDescent="0.35">
      <c r="AJ2245" s="213"/>
    </row>
    <row r="2246" spans="36:36" x14ac:dyDescent="0.35">
      <c r="AJ2246" s="213"/>
    </row>
    <row r="2247" spans="36:36" x14ac:dyDescent="0.35">
      <c r="AJ2247" s="213"/>
    </row>
    <row r="2248" spans="36:36" x14ac:dyDescent="0.35">
      <c r="AJ2248" s="213"/>
    </row>
    <row r="2249" spans="36:36" x14ac:dyDescent="0.35">
      <c r="AJ2249" s="213"/>
    </row>
    <row r="2250" spans="36:36" x14ac:dyDescent="0.35">
      <c r="AJ2250" s="213"/>
    </row>
    <row r="2251" spans="36:36" x14ac:dyDescent="0.35">
      <c r="AJ2251" s="213"/>
    </row>
    <row r="2252" spans="36:36" x14ac:dyDescent="0.35">
      <c r="AJ2252" s="213"/>
    </row>
    <row r="2253" spans="36:36" x14ac:dyDescent="0.35">
      <c r="AJ2253" s="213"/>
    </row>
    <row r="2254" spans="36:36" x14ac:dyDescent="0.35">
      <c r="AJ2254" s="213"/>
    </row>
    <row r="2255" spans="36:36" x14ac:dyDescent="0.35">
      <c r="AJ2255" s="213"/>
    </row>
    <row r="2256" spans="36:36" x14ac:dyDescent="0.35">
      <c r="AJ2256" s="213"/>
    </row>
    <row r="2257" spans="36:36" x14ac:dyDescent="0.35">
      <c r="AJ2257" s="213"/>
    </row>
    <row r="2258" spans="36:36" x14ac:dyDescent="0.35">
      <c r="AJ2258" s="213"/>
    </row>
    <row r="2259" spans="36:36" x14ac:dyDescent="0.35">
      <c r="AJ2259" s="213"/>
    </row>
    <row r="2260" spans="36:36" x14ac:dyDescent="0.35">
      <c r="AJ2260" s="213"/>
    </row>
    <row r="2261" spans="36:36" x14ac:dyDescent="0.35">
      <c r="AJ2261" s="213"/>
    </row>
    <row r="2262" spans="36:36" x14ac:dyDescent="0.35">
      <c r="AJ2262" s="213"/>
    </row>
    <row r="2263" spans="36:36" x14ac:dyDescent="0.35">
      <c r="AJ2263" s="213"/>
    </row>
    <row r="2264" spans="36:36" x14ac:dyDescent="0.35">
      <c r="AJ2264" s="213"/>
    </row>
    <row r="2265" spans="36:36" x14ac:dyDescent="0.35">
      <c r="AJ2265" s="213"/>
    </row>
    <row r="2266" spans="36:36" x14ac:dyDescent="0.35">
      <c r="AJ2266" s="213"/>
    </row>
    <row r="2267" spans="36:36" x14ac:dyDescent="0.35">
      <c r="AJ2267" s="213"/>
    </row>
    <row r="2268" spans="36:36" x14ac:dyDescent="0.35">
      <c r="AJ2268" s="213"/>
    </row>
    <row r="2269" spans="36:36" x14ac:dyDescent="0.35">
      <c r="AJ2269" s="213"/>
    </row>
    <row r="2270" spans="36:36" x14ac:dyDescent="0.35">
      <c r="AJ2270" s="213"/>
    </row>
    <row r="2271" spans="36:36" x14ac:dyDescent="0.35">
      <c r="AJ2271" s="213"/>
    </row>
    <row r="2272" spans="36:36" x14ac:dyDescent="0.35">
      <c r="AJ2272" s="213"/>
    </row>
    <row r="2273" spans="36:36" x14ac:dyDescent="0.35">
      <c r="AJ2273" s="213"/>
    </row>
    <row r="2274" spans="36:36" x14ac:dyDescent="0.35">
      <c r="AJ2274" s="213"/>
    </row>
    <row r="2275" spans="36:36" x14ac:dyDescent="0.35">
      <c r="AJ2275" s="213"/>
    </row>
    <row r="2276" spans="36:36" x14ac:dyDescent="0.35">
      <c r="AJ2276" s="213"/>
    </row>
    <row r="2277" spans="36:36" x14ac:dyDescent="0.35">
      <c r="AJ2277" s="213"/>
    </row>
    <row r="2278" spans="36:36" x14ac:dyDescent="0.35">
      <c r="AJ2278" s="213"/>
    </row>
    <row r="2279" spans="36:36" x14ac:dyDescent="0.35">
      <c r="AJ2279" s="213"/>
    </row>
    <row r="2280" spans="36:36" x14ac:dyDescent="0.35">
      <c r="AJ2280" s="213"/>
    </row>
    <row r="2281" spans="36:36" x14ac:dyDescent="0.35">
      <c r="AJ2281" s="213"/>
    </row>
    <row r="2282" spans="36:36" x14ac:dyDescent="0.35">
      <c r="AJ2282" s="213"/>
    </row>
    <row r="2283" spans="36:36" x14ac:dyDescent="0.35">
      <c r="AJ2283" s="213"/>
    </row>
    <row r="2284" spans="36:36" x14ac:dyDescent="0.35">
      <c r="AJ2284" s="213"/>
    </row>
    <row r="2285" spans="36:36" x14ac:dyDescent="0.35">
      <c r="AJ2285" s="213"/>
    </row>
    <row r="2286" spans="36:36" x14ac:dyDescent="0.35">
      <c r="AJ2286" s="213"/>
    </row>
    <row r="2287" spans="36:36" x14ac:dyDescent="0.35">
      <c r="AJ2287" s="213"/>
    </row>
    <row r="2288" spans="36:36" x14ac:dyDescent="0.35">
      <c r="AJ2288" s="213"/>
    </row>
    <row r="2289" spans="36:36" x14ac:dyDescent="0.35">
      <c r="AJ2289" s="213"/>
    </row>
    <row r="2290" spans="36:36" x14ac:dyDescent="0.35">
      <c r="AJ2290" s="213"/>
    </row>
    <row r="2291" spans="36:36" x14ac:dyDescent="0.35">
      <c r="AJ2291" s="213"/>
    </row>
    <row r="2292" spans="36:36" x14ac:dyDescent="0.35">
      <c r="AJ2292" s="213"/>
    </row>
    <row r="2293" spans="36:36" x14ac:dyDescent="0.35">
      <c r="AJ2293" s="213"/>
    </row>
    <row r="2294" spans="36:36" x14ac:dyDescent="0.35">
      <c r="AJ2294" s="213"/>
    </row>
    <row r="2295" spans="36:36" x14ac:dyDescent="0.35">
      <c r="AJ2295" s="213"/>
    </row>
    <row r="2296" spans="36:36" x14ac:dyDescent="0.35">
      <c r="AJ2296" s="213"/>
    </row>
    <row r="2297" spans="36:36" x14ac:dyDescent="0.35">
      <c r="AJ2297" s="213"/>
    </row>
    <row r="2298" spans="36:36" x14ac:dyDescent="0.35">
      <c r="AJ2298" s="213"/>
    </row>
    <row r="2299" spans="36:36" x14ac:dyDescent="0.35">
      <c r="AJ2299" s="213"/>
    </row>
    <row r="2300" spans="36:36" x14ac:dyDescent="0.35">
      <c r="AJ2300" s="213"/>
    </row>
    <row r="2301" spans="36:36" x14ac:dyDescent="0.35">
      <c r="AJ2301" s="213"/>
    </row>
    <row r="2302" spans="36:36" x14ac:dyDescent="0.35">
      <c r="AJ2302" s="213"/>
    </row>
    <row r="2303" spans="36:36" x14ac:dyDescent="0.35">
      <c r="AJ2303" s="213"/>
    </row>
    <row r="2304" spans="36:36" x14ac:dyDescent="0.35">
      <c r="AJ2304" s="213"/>
    </row>
    <row r="2305" spans="36:36" x14ac:dyDescent="0.35">
      <c r="AJ2305" s="213"/>
    </row>
    <row r="2306" spans="36:36" x14ac:dyDescent="0.35">
      <c r="AJ2306" s="213"/>
    </row>
    <row r="2307" spans="36:36" x14ac:dyDescent="0.35">
      <c r="AJ2307" s="213"/>
    </row>
    <row r="2308" spans="36:36" x14ac:dyDescent="0.35">
      <c r="AJ2308" s="213"/>
    </row>
    <row r="2309" spans="36:36" x14ac:dyDescent="0.35">
      <c r="AJ2309" s="213"/>
    </row>
    <row r="2310" spans="36:36" x14ac:dyDescent="0.35">
      <c r="AJ2310" s="213"/>
    </row>
    <row r="2311" spans="36:36" x14ac:dyDescent="0.35">
      <c r="AJ2311" s="213"/>
    </row>
    <row r="2312" spans="36:36" x14ac:dyDescent="0.35">
      <c r="AJ2312" s="213"/>
    </row>
    <row r="2313" spans="36:36" x14ac:dyDescent="0.35">
      <c r="AJ2313" s="213"/>
    </row>
    <row r="2314" spans="36:36" x14ac:dyDescent="0.35">
      <c r="AJ2314" s="213"/>
    </row>
    <row r="2315" spans="36:36" x14ac:dyDescent="0.35">
      <c r="AJ2315" s="213"/>
    </row>
    <row r="2316" spans="36:36" x14ac:dyDescent="0.35">
      <c r="AJ2316" s="213"/>
    </row>
    <row r="2317" spans="36:36" x14ac:dyDescent="0.35">
      <c r="AJ2317" s="213"/>
    </row>
    <row r="2318" spans="36:36" x14ac:dyDescent="0.35">
      <c r="AJ2318" s="213"/>
    </row>
    <row r="2319" spans="36:36" x14ac:dyDescent="0.35">
      <c r="AJ2319" s="213"/>
    </row>
    <row r="2320" spans="36:36" x14ac:dyDescent="0.35">
      <c r="AJ2320" s="213"/>
    </row>
    <row r="2321" spans="36:36" x14ac:dyDescent="0.35">
      <c r="AJ2321" s="213"/>
    </row>
    <row r="2322" spans="36:36" x14ac:dyDescent="0.35">
      <c r="AJ2322" s="213"/>
    </row>
    <row r="2323" spans="36:36" x14ac:dyDescent="0.35">
      <c r="AJ2323" s="213"/>
    </row>
    <row r="2324" spans="36:36" x14ac:dyDescent="0.35">
      <c r="AJ2324" s="213"/>
    </row>
    <row r="2325" spans="36:36" x14ac:dyDescent="0.35">
      <c r="AJ2325" s="213"/>
    </row>
    <row r="2326" spans="36:36" x14ac:dyDescent="0.35">
      <c r="AJ2326" s="213"/>
    </row>
    <row r="2327" spans="36:36" x14ac:dyDescent="0.35">
      <c r="AJ2327" s="213"/>
    </row>
    <row r="2328" spans="36:36" x14ac:dyDescent="0.35">
      <c r="AJ2328" s="213"/>
    </row>
    <row r="2329" spans="36:36" x14ac:dyDescent="0.35">
      <c r="AJ2329" s="213"/>
    </row>
    <row r="2330" spans="36:36" x14ac:dyDescent="0.35">
      <c r="AJ2330" s="213"/>
    </row>
    <row r="2331" spans="36:36" x14ac:dyDescent="0.35">
      <c r="AJ2331" s="213"/>
    </row>
    <row r="2332" spans="36:36" x14ac:dyDescent="0.35">
      <c r="AJ2332" s="213"/>
    </row>
    <row r="2333" spans="36:36" x14ac:dyDescent="0.35">
      <c r="AJ2333" s="213"/>
    </row>
    <row r="2334" spans="36:36" x14ac:dyDescent="0.35">
      <c r="AJ2334" s="213"/>
    </row>
    <row r="2335" spans="36:36" x14ac:dyDescent="0.35">
      <c r="AJ2335" s="213"/>
    </row>
    <row r="2336" spans="36:36" x14ac:dyDescent="0.35">
      <c r="AJ2336" s="213"/>
    </row>
    <row r="2337" spans="36:36" x14ac:dyDescent="0.35">
      <c r="AJ2337" s="213"/>
    </row>
    <row r="2338" spans="36:36" x14ac:dyDescent="0.35">
      <c r="AJ2338" s="213"/>
    </row>
    <row r="2339" spans="36:36" x14ac:dyDescent="0.35">
      <c r="AJ2339" s="213"/>
    </row>
    <row r="2340" spans="36:36" x14ac:dyDescent="0.35">
      <c r="AJ2340" s="213"/>
    </row>
    <row r="2341" spans="36:36" x14ac:dyDescent="0.35">
      <c r="AJ2341" s="213"/>
    </row>
    <row r="2342" spans="36:36" x14ac:dyDescent="0.35">
      <c r="AJ2342" s="213"/>
    </row>
    <row r="2343" spans="36:36" x14ac:dyDescent="0.35">
      <c r="AJ2343" s="213"/>
    </row>
    <row r="2344" spans="36:36" x14ac:dyDescent="0.35">
      <c r="AJ2344" s="213"/>
    </row>
    <row r="2345" spans="36:36" x14ac:dyDescent="0.35">
      <c r="AJ2345" s="213"/>
    </row>
    <row r="2346" spans="36:36" x14ac:dyDescent="0.35">
      <c r="AJ2346" s="213"/>
    </row>
    <row r="2347" spans="36:36" x14ac:dyDescent="0.35">
      <c r="AJ2347" s="213"/>
    </row>
    <row r="2348" spans="36:36" x14ac:dyDescent="0.35">
      <c r="AJ2348" s="213"/>
    </row>
    <row r="2349" spans="36:36" x14ac:dyDescent="0.35">
      <c r="AJ2349" s="213"/>
    </row>
    <row r="2350" spans="36:36" x14ac:dyDescent="0.35">
      <c r="AJ2350" s="213"/>
    </row>
    <row r="2351" spans="36:36" x14ac:dyDescent="0.35">
      <c r="AJ2351" s="213"/>
    </row>
    <row r="2352" spans="36:36" x14ac:dyDescent="0.35">
      <c r="AJ2352" s="213"/>
    </row>
    <row r="2353" spans="36:36" x14ac:dyDescent="0.35">
      <c r="AJ2353" s="213"/>
    </row>
    <row r="2354" spans="36:36" x14ac:dyDescent="0.35">
      <c r="AJ2354" s="213"/>
    </row>
    <row r="2355" spans="36:36" x14ac:dyDescent="0.35">
      <c r="AJ2355" s="213"/>
    </row>
    <row r="2356" spans="36:36" x14ac:dyDescent="0.35">
      <c r="AJ2356" s="213"/>
    </row>
    <row r="2357" spans="36:36" x14ac:dyDescent="0.35">
      <c r="AJ2357" s="213"/>
    </row>
    <row r="2358" spans="36:36" x14ac:dyDescent="0.35">
      <c r="AJ2358" s="213"/>
    </row>
    <row r="2359" spans="36:36" x14ac:dyDescent="0.35">
      <c r="AJ2359" s="213"/>
    </row>
    <row r="2360" spans="36:36" x14ac:dyDescent="0.35">
      <c r="AJ2360" s="213"/>
    </row>
    <row r="2361" spans="36:36" x14ac:dyDescent="0.35">
      <c r="AJ2361" s="213"/>
    </row>
    <row r="2362" spans="36:36" x14ac:dyDescent="0.35">
      <c r="AJ2362" s="213"/>
    </row>
    <row r="2363" spans="36:36" x14ac:dyDescent="0.35">
      <c r="AJ2363" s="213"/>
    </row>
    <row r="2364" spans="36:36" x14ac:dyDescent="0.35">
      <c r="AJ2364" s="213"/>
    </row>
    <row r="2365" spans="36:36" x14ac:dyDescent="0.35">
      <c r="AJ2365" s="213"/>
    </row>
    <row r="2366" spans="36:36" x14ac:dyDescent="0.35">
      <c r="AJ2366" s="213"/>
    </row>
    <row r="2367" spans="36:36" x14ac:dyDescent="0.35">
      <c r="AJ2367" s="213"/>
    </row>
    <row r="2368" spans="36:36" x14ac:dyDescent="0.35">
      <c r="AJ2368" s="213"/>
    </row>
    <row r="2369" spans="36:36" x14ac:dyDescent="0.35">
      <c r="AJ2369" s="213"/>
    </row>
    <row r="2370" spans="36:36" x14ac:dyDescent="0.35">
      <c r="AJ2370" s="213"/>
    </row>
    <row r="2371" spans="36:36" x14ac:dyDescent="0.35">
      <c r="AJ2371" s="213"/>
    </row>
    <row r="2372" spans="36:36" x14ac:dyDescent="0.35">
      <c r="AJ2372" s="213"/>
    </row>
    <row r="2373" spans="36:36" x14ac:dyDescent="0.35">
      <c r="AJ2373" s="213"/>
    </row>
    <row r="2374" spans="36:36" x14ac:dyDescent="0.35">
      <c r="AJ2374" s="213"/>
    </row>
    <row r="2375" spans="36:36" x14ac:dyDescent="0.35">
      <c r="AJ2375" s="213"/>
    </row>
    <row r="2376" spans="36:36" x14ac:dyDescent="0.35">
      <c r="AJ2376" s="213"/>
    </row>
    <row r="2377" spans="36:36" x14ac:dyDescent="0.35">
      <c r="AJ2377" s="213"/>
    </row>
    <row r="2378" spans="36:36" x14ac:dyDescent="0.35">
      <c r="AJ2378" s="213"/>
    </row>
    <row r="2379" spans="36:36" x14ac:dyDescent="0.35">
      <c r="AJ2379" s="213"/>
    </row>
    <row r="2380" spans="36:36" x14ac:dyDescent="0.35">
      <c r="AJ2380" s="213"/>
    </row>
    <row r="2381" spans="36:36" x14ac:dyDescent="0.35">
      <c r="AJ2381" s="213"/>
    </row>
    <row r="2382" spans="36:36" x14ac:dyDescent="0.35">
      <c r="AJ2382" s="213"/>
    </row>
    <row r="2383" spans="36:36" x14ac:dyDescent="0.35">
      <c r="AJ2383" s="213"/>
    </row>
    <row r="2384" spans="36:36" x14ac:dyDescent="0.35">
      <c r="AJ2384" s="213"/>
    </row>
    <row r="2385" spans="36:36" x14ac:dyDescent="0.35">
      <c r="AJ2385" s="213"/>
    </row>
    <row r="2386" spans="36:36" x14ac:dyDescent="0.35">
      <c r="AJ2386" s="213"/>
    </row>
    <row r="2387" spans="36:36" x14ac:dyDescent="0.35">
      <c r="AJ2387" s="213"/>
    </row>
    <row r="2388" spans="36:36" x14ac:dyDescent="0.35">
      <c r="AJ2388" s="213"/>
    </row>
    <row r="2389" spans="36:36" x14ac:dyDescent="0.35">
      <c r="AJ2389" s="213"/>
    </row>
    <row r="2390" spans="36:36" x14ac:dyDescent="0.35">
      <c r="AJ2390" s="213"/>
    </row>
    <row r="2391" spans="36:36" x14ac:dyDescent="0.35">
      <c r="AJ2391" s="213"/>
    </row>
    <row r="2392" spans="36:36" x14ac:dyDescent="0.35">
      <c r="AJ2392" s="213"/>
    </row>
    <row r="2393" spans="36:36" x14ac:dyDescent="0.35">
      <c r="AJ2393" s="213"/>
    </row>
    <row r="2394" spans="36:36" x14ac:dyDescent="0.35">
      <c r="AJ2394" s="213"/>
    </row>
    <row r="2395" spans="36:36" x14ac:dyDescent="0.35">
      <c r="AJ2395" s="213"/>
    </row>
    <row r="2396" spans="36:36" x14ac:dyDescent="0.35">
      <c r="AJ2396" s="213"/>
    </row>
    <row r="2397" spans="36:36" x14ac:dyDescent="0.35">
      <c r="AJ2397" s="213"/>
    </row>
    <row r="2398" spans="36:36" x14ac:dyDescent="0.35">
      <c r="AJ2398" s="213"/>
    </row>
    <row r="2399" spans="36:36" x14ac:dyDescent="0.35">
      <c r="AJ2399" s="213"/>
    </row>
    <row r="2400" spans="36:36" x14ac:dyDescent="0.35">
      <c r="AJ2400" s="213"/>
    </row>
    <row r="2401" spans="36:36" x14ac:dyDescent="0.35">
      <c r="AJ2401" s="213"/>
    </row>
    <row r="2402" spans="36:36" x14ac:dyDescent="0.35">
      <c r="AJ2402" s="213"/>
    </row>
    <row r="2403" spans="36:36" x14ac:dyDescent="0.35">
      <c r="AJ2403" s="213"/>
    </row>
    <row r="2404" spans="36:36" x14ac:dyDescent="0.35">
      <c r="AJ2404" s="213"/>
    </row>
    <row r="2405" spans="36:36" x14ac:dyDescent="0.35">
      <c r="AJ2405" s="213"/>
    </row>
    <row r="2406" spans="36:36" x14ac:dyDescent="0.35">
      <c r="AJ2406" s="213"/>
    </row>
    <row r="2407" spans="36:36" x14ac:dyDescent="0.35">
      <c r="AJ2407" s="213"/>
    </row>
    <row r="2408" spans="36:36" x14ac:dyDescent="0.35">
      <c r="AJ2408" s="213"/>
    </row>
    <row r="2409" spans="36:36" x14ac:dyDescent="0.35">
      <c r="AJ2409" s="213"/>
    </row>
    <row r="2410" spans="36:36" x14ac:dyDescent="0.35">
      <c r="AJ2410" s="213"/>
    </row>
    <row r="2411" spans="36:36" x14ac:dyDescent="0.35">
      <c r="AJ2411" s="213"/>
    </row>
    <row r="2412" spans="36:36" x14ac:dyDescent="0.35">
      <c r="AJ2412" s="213"/>
    </row>
    <row r="2413" spans="36:36" x14ac:dyDescent="0.35">
      <c r="AJ2413" s="213"/>
    </row>
    <row r="2414" spans="36:36" x14ac:dyDescent="0.35">
      <c r="AJ2414" s="213"/>
    </row>
    <row r="2415" spans="36:36" x14ac:dyDescent="0.35">
      <c r="AJ2415" s="213"/>
    </row>
    <row r="2416" spans="36:36" x14ac:dyDescent="0.35">
      <c r="AJ2416" s="213"/>
    </row>
    <row r="2417" spans="36:36" x14ac:dyDescent="0.35">
      <c r="AJ2417" s="213"/>
    </row>
    <row r="2418" spans="36:36" x14ac:dyDescent="0.35">
      <c r="AJ2418" s="213"/>
    </row>
    <row r="2419" spans="36:36" x14ac:dyDescent="0.35">
      <c r="AJ2419" s="213"/>
    </row>
    <row r="2420" spans="36:36" x14ac:dyDescent="0.35">
      <c r="AJ2420" s="213"/>
    </row>
    <row r="2421" spans="36:36" x14ac:dyDescent="0.35">
      <c r="AJ2421" s="213"/>
    </row>
    <row r="2422" spans="36:36" x14ac:dyDescent="0.35">
      <c r="AJ2422" s="213"/>
    </row>
    <row r="2423" spans="36:36" x14ac:dyDescent="0.35">
      <c r="AJ2423" s="213"/>
    </row>
    <row r="2424" spans="36:36" x14ac:dyDescent="0.35">
      <c r="AJ2424" s="213"/>
    </row>
    <row r="2425" spans="36:36" x14ac:dyDescent="0.35">
      <c r="AJ2425" s="213"/>
    </row>
    <row r="2426" spans="36:36" x14ac:dyDescent="0.35">
      <c r="AJ2426" s="213"/>
    </row>
    <row r="2427" spans="36:36" x14ac:dyDescent="0.35">
      <c r="AJ2427" s="213"/>
    </row>
    <row r="2428" spans="36:36" x14ac:dyDescent="0.35">
      <c r="AJ2428" s="213"/>
    </row>
    <row r="2429" spans="36:36" x14ac:dyDescent="0.35">
      <c r="AJ2429" s="213"/>
    </row>
    <row r="2430" spans="36:36" x14ac:dyDescent="0.35">
      <c r="AJ2430" s="213"/>
    </row>
    <row r="2431" spans="36:36" x14ac:dyDescent="0.35">
      <c r="AJ2431" s="213"/>
    </row>
    <row r="2432" spans="36:36" x14ac:dyDescent="0.35">
      <c r="AJ2432" s="213"/>
    </row>
    <row r="2433" spans="36:36" x14ac:dyDescent="0.35">
      <c r="AJ2433" s="213"/>
    </row>
    <row r="2434" spans="36:36" x14ac:dyDescent="0.35">
      <c r="AJ2434" s="213"/>
    </row>
    <row r="2435" spans="36:36" x14ac:dyDescent="0.35">
      <c r="AJ2435" s="213"/>
    </row>
    <row r="2436" spans="36:36" x14ac:dyDescent="0.35">
      <c r="AJ2436" s="213"/>
    </row>
    <row r="2437" spans="36:36" x14ac:dyDescent="0.35">
      <c r="AJ2437" s="213"/>
    </row>
    <row r="2438" spans="36:36" x14ac:dyDescent="0.35">
      <c r="AJ2438" s="213"/>
    </row>
    <row r="2439" spans="36:36" x14ac:dyDescent="0.35">
      <c r="AJ2439" s="213"/>
    </row>
    <row r="2440" spans="36:36" x14ac:dyDescent="0.35">
      <c r="AJ2440" s="213"/>
    </row>
    <row r="2441" spans="36:36" x14ac:dyDescent="0.35">
      <c r="AJ2441" s="213"/>
    </row>
    <row r="2442" spans="36:36" x14ac:dyDescent="0.35">
      <c r="AJ2442" s="213"/>
    </row>
    <row r="2443" spans="36:36" x14ac:dyDescent="0.35">
      <c r="AJ2443" s="213"/>
    </row>
    <row r="2444" spans="36:36" x14ac:dyDescent="0.35">
      <c r="AJ2444" s="213"/>
    </row>
    <row r="2445" spans="36:36" x14ac:dyDescent="0.35">
      <c r="AJ2445" s="213"/>
    </row>
    <row r="2446" spans="36:36" x14ac:dyDescent="0.35">
      <c r="AJ2446" s="213"/>
    </row>
    <row r="2447" spans="36:36" x14ac:dyDescent="0.35">
      <c r="AJ2447" s="213"/>
    </row>
    <row r="2448" spans="36:36" x14ac:dyDescent="0.35">
      <c r="AJ2448" s="213"/>
    </row>
    <row r="2449" spans="36:36" x14ac:dyDescent="0.35">
      <c r="AJ2449" s="213"/>
    </row>
    <row r="2450" spans="36:36" x14ac:dyDescent="0.35">
      <c r="AJ2450" s="213"/>
    </row>
    <row r="2451" spans="36:36" x14ac:dyDescent="0.35">
      <c r="AJ2451" s="213"/>
    </row>
    <row r="2452" spans="36:36" x14ac:dyDescent="0.35">
      <c r="AJ2452" s="213"/>
    </row>
    <row r="2453" spans="36:36" x14ac:dyDescent="0.35">
      <c r="AJ2453" s="213"/>
    </row>
    <row r="2454" spans="36:36" x14ac:dyDescent="0.35">
      <c r="AJ2454" s="213"/>
    </row>
    <row r="2455" spans="36:36" x14ac:dyDescent="0.35">
      <c r="AJ2455" s="213"/>
    </row>
    <row r="2456" spans="36:36" x14ac:dyDescent="0.35">
      <c r="AJ2456" s="213"/>
    </row>
    <row r="2457" spans="36:36" x14ac:dyDescent="0.35">
      <c r="AJ2457" s="213"/>
    </row>
    <row r="2458" spans="36:36" x14ac:dyDescent="0.35">
      <c r="AJ2458" s="213"/>
    </row>
    <row r="2459" spans="36:36" x14ac:dyDescent="0.35">
      <c r="AJ2459" s="213"/>
    </row>
    <row r="2460" spans="36:36" x14ac:dyDescent="0.35">
      <c r="AJ2460" s="213"/>
    </row>
    <row r="2461" spans="36:36" x14ac:dyDescent="0.35">
      <c r="AJ2461" s="213"/>
    </row>
    <row r="2462" spans="36:36" x14ac:dyDescent="0.35">
      <c r="AJ2462" s="213"/>
    </row>
    <row r="2463" spans="36:36" x14ac:dyDescent="0.35">
      <c r="AJ2463" s="213"/>
    </row>
    <row r="2464" spans="36:36" x14ac:dyDescent="0.35">
      <c r="AJ2464" s="213"/>
    </row>
    <row r="2465" spans="36:36" x14ac:dyDescent="0.35">
      <c r="AJ2465" s="213"/>
    </row>
    <row r="2466" spans="36:36" x14ac:dyDescent="0.35">
      <c r="AJ2466" s="213"/>
    </row>
    <row r="2467" spans="36:36" x14ac:dyDescent="0.35">
      <c r="AJ2467" s="213"/>
    </row>
    <row r="2468" spans="36:36" x14ac:dyDescent="0.35">
      <c r="AJ2468" s="213"/>
    </row>
    <row r="2469" spans="36:36" x14ac:dyDescent="0.35">
      <c r="AJ2469" s="213"/>
    </row>
    <row r="2470" spans="36:36" x14ac:dyDescent="0.35">
      <c r="AJ2470" s="213"/>
    </row>
    <row r="2471" spans="36:36" x14ac:dyDescent="0.35">
      <c r="AJ2471" s="213"/>
    </row>
    <row r="2472" spans="36:36" x14ac:dyDescent="0.35">
      <c r="AJ2472" s="213"/>
    </row>
    <row r="2473" spans="36:36" x14ac:dyDescent="0.35">
      <c r="AJ2473" s="213"/>
    </row>
    <row r="2474" spans="36:36" x14ac:dyDescent="0.35">
      <c r="AJ2474" s="213"/>
    </row>
    <row r="2475" spans="36:36" x14ac:dyDescent="0.35">
      <c r="AJ2475" s="213"/>
    </row>
    <row r="2476" spans="36:36" x14ac:dyDescent="0.35">
      <c r="AJ2476" s="213"/>
    </row>
    <row r="2477" spans="36:36" x14ac:dyDescent="0.35">
      <c r="AJ2477" s="213"/>
    </row>
    <row r="2478" spans="36:36" x14ac:dyDescent="0.35">
      <c r="AJ2478" s="213"/>
    </row>
    <row r="2479" spans="36:36" x14ac:dyDescent="0.35">
      <c r="AJ2479" s="213"/>
    </row>
    <row r="2480" spans="36:36" x14ac:dyDescent="0.35">
      <c r="AJ2480" s="213"/>
    </row>
    <row r="2481" spans="36:36" x14ac:dyDescent="0.35">
      <c r="AJ2481" s="213"/>
    </row>
    <row r="2482" spans="36:36" x14ac:dyDescent="0.35">
      <c r="AJ2482" s="213"/>
    </row>
    <row r="2483" spans="36:36" x14ac:dyDescent="0.35">
      <c r="AJ2483" s="213"/>
    </row>
    <row r="2484" spans="36:36" x14ac:dyDescent="0.35">
      <c r="AJ2484" s="213"/>
    </row>
    <row r="2485" spans="36:36" x14ac:dyDescent="0.35">
      <c r="AJ2485" s="213"/>
    </row>
    <row r="2486" spans="36:36" x14ac:dyDescent="0.35">
      <c r="AJ2486" s="213"/>
    </row>
    <row r="2487" spans="36:36" x14ac:dyDescent="0.35">
      <c r="AJ2487" s="213"/>
    </row>
    <row r="2488" spans="36:36" x14ac:dyDescent="0.35">
      <c r="AJ2488" s="213"/>
    </row>
    <row r="2489" spans="36:36" x14ac:dyDescent="0.35">
      <c r="AJ2489" s="213"/>
    </row>
    <row r="2490" spans="36:36" x14ac:dyDescent="0.35">
      <c r="AJ2490" s="213"/>
    </row>
    <row r="2491" spans="36:36" x14ac:dyDescent="0.35">
      <c r="AJ2491" s="213"/>
    </row>
    <row r="2492" spans="36:36" x14ac:dyDescent="0.35">
      <c r="AJ2492" s="213"/>
    </row>
    <row r="2493" spans="36:36" x14ac:dyDescent="0.35">
      <c r="AJ2493" s="213"/>
    </row>
    <row r="2494" spans="36:36" x14ac:dyDescent="0.35">
      <c r="AJ2494" s="213"/>
    </row>
    <row r="2495" spans="36:36" x14ac:dyDescent="0.35">
      <c r="AJ2495" s="213"/>
    </row>
    <row r="2496" spans="36:36" x14ac:dyDescent="0.35">
      <c r="AJ2496" s="213"/>
    </row>
    <row r="2497" spans="36:36" x14ac:dyDescent="0.35">
      <c r="AJ2497" s="213"/>
    </row>
    <row r="2498" spans="36:36" x14ac:dyDescent="0.35">
      <c r="AJ2498" s="213"/>
    </row>
    <row r="2499" spans="36:36" x14ac:dyDescent="0.35">
      <c r="AJ2499" s="213"/>
    </row>
    <row r="2500" spans="36:36" x14ac:dyDescent="0.35">
      <c r="AJ2500" s="213"/>
    </row>
    <row r="2501" spans="36:36" x14ac:dyDescent="0.35">
      <c r="AJ2501" s="213"/>
    </row>
    <row r="2502" spans="36:36" x14ac:dyDescent="0.35">
      <c r="AJ2502" s="213"/>
    </row>
    <row r="2503" spans="36:36" x14ac:dyDescent="0.35">
      <c r="AJ2503" s="213"/>
    </row>
    <row r="2504" spans="36:36" x14ac:dyDescent="0.35">
      <c r="AJ2504" s="213"/>
    </row>
    <row r="2505" spans="36:36" x14ac:dyDescent="0.35">
      <c r="AJ2505" s="213"/>
    </row>
    <row r="2506" spans="36:36" x14ac:dyDescent="0.35">
      <c r="AJ2506" s="213"/>
    </row>
    <row r="2507" spans="36:36" x14ac:dyDescent="0.35">
      <c r="AJ2507" s="213"/>
    </row>
    <row r="2508" spans="36:36" x14ac:dyDescent="0.35">
      <c r="AJ2508" s="213"/>
    </row>
    <row r="2509" spans="36:36" x14ac:dyDescent="0.35">
      <c r="AJ2509" s="213"/>
    </row>
    <row r="2510" spans="36:36" x14ac:dyDescent="0.35">
      <c r="AJ2510" s="213"/>
    </row>
    <row r="2511" spans="36:36" x14ac:dyDescent="0.35">
      <c r="AJ2511" s="213"/>
    </row>
    <row r="2512" spans="36:36" x14ac:dyDescent="0.35">
      <c r="AJ2512" s="213"/>
    </row>
    <row r="2513" spans="36:36" x14ac:dyDescent="0.35">
      <c r="AJ2513" s="213"/>
    </row>
    <row r="2514" spans="36:36" x14ac:dyDescent="0.35">
      <c r="AJ2514" s="213"/>
    </row>
    <row r="2515" spans="36:36" x14ac:dyDescent="0.35">
      <c r="AJ2515" s="213"/>
    </row>
    <row r="2516" spans="36:36" x14ac:dyDescent="0.35">
      <c r="AJ2516" s="213"/>
    </row>
    <row r="2517" spans="36:36" x14ac:dyDescent="0.35">
      <c r="AJ2517" s="213"/>
    </row>
    <row r="2518" spans="36:36" x14ac:dyDescent="0.35">
      <c r="AJ2518" s="213"/>
    </row>
    <row r="2519" spans="36:36" x14ac:dyDescent="0.35">
      <c r="AJ2519" s="213"/>
    </row>
    <row r="2520" spans="36:36" x14ac:dyDescent="0.35">
      <c r="AJ2520" s="213"/>
    </row>
    <row r="2521" spans="36:36" x14ac:dyDescent="0.35">
      <c r="AJ2521" s="213"/>
    </row>
    <row r="2522" spans="36:36" x14ac:dyDescent="0.35">
      <c r="AJ2522" s="213"/>
    </row>
    <row r="2523" spans="36:36" x14ac:dyDescent="0.35">
      <c r="AJ2523" s="213"/>
    </row>
    <row r="2524" spans="36:36" x14ac:dyDescent="0.35">
      <c r="AJ2524" s="213"/>
    </row>
    <row r="2525" spans="36:36" x14ac:dyDescent="0.35">
      <c r="AJ2525" s="213"/>
    </row>
    <row r="2526" spans="36:36" x14ac:dyDescent="0.35">
      <c r="AJ2526" s="213"/>
    </row>
    <row r="2527" spans="36:36" x14ac:dyDescent="0.35">
      <c r="AJ2527" s="213"/>
    </row>
    <row r="2528" spans="36:36" x14ac:dyDescent="0.35">
      <c r="AJ2528" s="213"/>
    </row>
    <row r="2529" spans="36:36" x14ac:dyDescent="0.35">
      <c r="AJ2529" s="213"/>
    </row>
    <row r="2530" spans="36:36" x14ac:dyDescent="0.35">
      <c r="AJ2530" s="213"/>
    </row>
    <row r="2531" spans="36:36" x14ac:dyDescent="0.35">
      <c r="AJ2531" s="213"/>
    </row>
    <row r="2532" spans="36:36" x14ac:dyDescent="0.35">
      <c r="AJ2532" s="213"/>
    </row>
    <row r="2533" spans="36:36" x14ac:dyDescent="0.35">
      <c r="AJ2533" s="213"/>
    </row>
    <row r="2534" spans="36:36" x14ac:dyDescent="0.35">
      <c r="AJ2534" s="213"/>
    </row>
    <row r="2535" spans="36:36" x14ac:dyDescent="0.35">
      <c r="AJ2535" s="213"/>
    </row>
    <row r="2536" spans="36:36" x14ac:dyDescent="0.35">
      <c r="AJ2536" s="213"/>
    </row>
    <row r="2537" spans="36:36" x14ac:dyDescent="0.35">
      <c r="AJ2537" s="213"/>
    </row>
    <row r="2538" spans="36:36" x14ac:dyDescent="0.35">
      <c r="AJ2538" s="213"/>
    </row>
    <row r="2539" spans="36:36" x14ac:dyDescent="0.35">
      <c r="AJ2539" s="213"/>
    </row>
    <row r="2540" spans="36:36" x14ac:dyDescent="0.35">
      <c r="AJ2540" s="213"/>
    </row>
    <row r="2541" spans="36:36" x14ac:dyDescent="0.35">
      <c r="AJ2541" s="213"/>
    </row>
    <row r="2542" spans="36:36" x14ac:dyDescent="0.35">
      <c r="AJ2542" s="213"/>
    </row>
    <row r="2543" spans="36:36" x14ac:dyDescent="0.35">
      <c r="AJ2543" s="213"/>
    </row>
    <row r="2544" spans="36:36" x14ac:dyDescent="0.35">
      <c r="AJ2544" s="213"/>
    </row>
    <row r="2545" spans="36:36" x14ac:dyDescent="0.35">
      <c r="AJ2545" s="213"/>
    </row>
    <row r="2546" spans="36:36" x14ac:dyDescent="0.35">
      <c r="AJ2546" s="213"/>
    </row>
    <row r="2547" spans="36:36" x14ac:dyDescent="0.35">
      <c r="AJ2547" s="213"/>
    </row>
    <row r="2548" spans="36:36" x14ac:dyDescent="0.35">
      <c r="AJ2548" s="213"/>
    </row>
    <row r="2549" spans="36:36" x14ac:dyDescent="0.35">
      <c r="AJ2549" s="213"/>
    </row>
    <row r="2550" spans="36:36" x14ac:dyDescent="0.35">
      <c r="AJ2550" s="213"/>
    </row>
    <row r="2551" spans="36:36" x14ac:dyDescent="0.35">
      <c r="AJ2551" s="213"/>
    </row>
    <row r="2552" spans="36:36" x14ac:dyDescent="0.35">
      <c r="AJ2552" s="213"/>
    </row>
    <row r="2553" spans="36:36" x14ac:dyDescent="0.35">
      <c r="AJ2553" s="213"/>
    </row>
    <row r="2554" spans="36:36" x14ac:dyDescent="0.35">
      <c r="AJ2554" s="213"/>
    </row>
    <row r="2555" spans="36:36" x14ac:dyDescent="0.35">
      <c r="AJ2555" s="213"/>
    </row>
    <row r="2556" spans="36:36" x14ac:dyDescent="0.35">
      <c r="AJ2556" s="213"/>
    </row>
    <row r="2557" spans="36:36" x14ac:dyDescent="0.35">
      <c r="AJ2557" s="213"/>
    </row>
    <row r="2558" spans="36:36" x14ac:dyDescent="0.35">
      <c r="AJ2558" s="213"/>
    </row>
    <row r="2559" spans="36:36" x14ac:dyDescent="0.35">
      <c r="AJ2559" s="213"/>
    </row>
    <row r="2560" spans="36:36" x14ac:dyDescent="0.35">
      <c r="AJ2560" s="213"/>
    </row>
    <row r="2561" spans="36:36" x14ac:dyDescent="0.35">
      <c r="AJ2561" s="213"/>
    </row>
    <row r="2562" spans="36:36" x14ac:dyDescent="0.35">
      <c r="AJ2562" s="213"/>
    </row>
    <row r="2563" spans="36:36" x14ac:dyDescent="0.35">
      <c r="AJ2563" s="213"/>
    </row>
    <row r="2564" spans="36:36" x14ac:dyDescent="0.35">
      <c r="AJ2564" s="213"/>
    </row>
    <row r="2565" spans="36:36" x14ac:dyDescent="0.35">
      <c r="AJ2565" s="213"/>
    </row>
    <row r="2566" spans="36:36" x14ac:dyDescent="0.35">
      <c r="AJ2566" s="213"/>
    </row>
    <row r="2567" spans="36:36" x14ac:dyDescent="0.35">
      <c r="AJ2567" s="213"/>
    </row>
    <row r="2568" spans="36:36" x14ac:dyDescent="0.35">
      <c r="AJ2568" s="213"/>
    </row>
    <row r="2569" spans="36:36" x14ac:dyDescent="0.35">
      <c r="AJ2569" s="213"/>
    </row>
    <row r="2570" spans="36:36" x14ac:dyDescent="0.35">
      <c r="AJ2570" s="213"/>
    </row>
    <row r="2571" spans="36:36" x14ac:dyDescent="0.35">
      <c r="AJ2571" s="213"/>
    </row>
    <row r="2572" spans="36:36" x14ac:dyDescent="0.35">
      <c r="AJ2572" s="213"/>
    </row>
    <row r="2573" spans="36:36" x14ac:dyDescent="0.35">
      <c r="AJ2573" s="213"/>
    </row>
    <row r="2574" spans="36:36" x14ac:dyDescent="0.35">
      <c r="AJ2574" s="213"/>
    </row>
    <row r="2575" spans="36:36" x14ac:dyDescent="0.35">
      <c r="AJ2575" s="213"/>
    </row>
    <row r="2576" spans="36:36" x14ac:dyDescent="0.35">
      <c r="AJ2576" s="213"/>
    </row>
    <row r="2577" spans="36:36" x14ac:dyDescent="0.35">
      <c r="AJ2577" s="213"/>
    </row>
    <row r="2578" spans="36:36" x14ac:dyDescent="0.35">
      <c r="AJ2578" s="213"/>
    </row>
    <row r="2579" spans="36:36" x14ac:dyDescent="0.35">
      <c r="AJ2579" s="213"/>
    </row>
    <row r="2580" spans="36:36" x14ac:dyDescent="0.35">
      <c r="AJ2580" s="213"/>
    </row>
    <row r="2581" spans="36:36" x14ac:dyDescent="0.35">
      <c r="AJ2581" s="213"/>
    </row>
    <row r="2582" spans="36:36" x14ac:dyDescent="0.35">
      <c r="AJ2582" s="213"/>
    </row>
    <row r="2583" spans="36:36" x14ac:dyDescent="0.35">
      <c r="AJ2583" s="213"/>
    </row>
    <row r="2584" spans="36:36" x14ac:dyDescent="0.35">
      <c r="AJ2584" s="213"/>
    </row>
    <row r="2585" spans="36:36" x14ac:dyDescent="0.35">
      <c r="AJ2585" s="213"/>
    </row>
    <row r="2586" spans="36:36" x14ac:dyDescent="0.35">
      <c r="AJ2586" s="213"/>
    </row>
    <row r="2587" spans="36:36" x14ac:dyDescent="0.35">
      <c r="AJ2587" s="213"/>
    </row>
    <row r="2588" spans="36:36" x14ac:dyDescent="0.35">
      <c r="AJ2588" s="213"/>
    </row>
    <row r="2589" spans="36:36" x14ac:dyDescent="0.35">
      <c r="AJ2589" s="213"/>
    </row>
    <row r="2590" spans="36:36" x14ac:dyDescent="0.35">
      <c r="AJ2590" s="213"/>
    </row>
    <row r="2591" spans="36:36" x14ac:dyDescent="0.35">
      <c r="AJ2591" s="213"/>
    </row>
    <row r="2592" spans="36:36" x14ac:dyDescent="0.35">
      <c r="AJ2592" s="213"/>
    </row>
    <row r="2593" spans="36:36" x14ac:dyDescent="0.35">
      <c r="AJ2593" s="213"/>
    </row>
    <row r="2594" spans="36:36" x14ac:dyDescent="0.35">
      <c r="AJ2594" s="213"/>
    </row>
    <row r="2595" spans="36:36" x14ac:dyDescent="0.35">
      <c r="AJ2595" s="213"/>
    </row>
    <row r="2596" spans="36:36" x14ac:dyDescent="0.35">
      <c r="AJ2596" s="213"/>
    </row>
    <row r="2597" spans="36:36" x14ac:dyDescent="0.35">
      <c r="AJ2597" s="213"/>
    </row>
    <row r="2598" spans="36:36" x14ac:dyDescent="0.35">
      <c r="AJ2598" s="213"/>
    </row>
    <row r="2599" spans="36:36" x14ac:dyDescent="0.35">
      <c r="AJ2599" s="213"/>
    </row>
    <row r="2600" spans="36:36" x14ac:dyDescent="0.35">
      <c r="AJ2600" s="213"/>
    </row>
    <row r="2601" spans="36:36" x14ac:dyDescent="0.35">
      <c r="AJ2601" s="213"/>
    </row>
    <row r="2602" spans="36:36" x14ac:dyDescent="0.35">
      <c r="AJ2602" s="213"/>
    </row>
    <row r="2603" spans="36:36" x14ac:dyDescent="0.35">
      <c r="AJ2603" s="213"/>
    </row>
    <row r="2604" spans="36:36" x14ac:dyDescent="0.35">
      <c r="AJ2604" s="213"/>
    </row>
    <row r="2605" spans="36:36" x14ac:dyDescent="0.35">
      <c r="AJ2605" s="213"/>
    </row>
    <row r="2606" spans="36:36" x14ac:dyDescent="0.35">
      <c r="AJ2606" s="213"/>
    </row>
    <row r="2607" spans="36:36" x14ac:dyDescent="0.35">
      <c r="AJ2607" s="213"/>
    </row>
    <row r="2608" spans="36:36" x14ac:dyDescent="0.35">
      <c r="AJ2608" s="213"/>
    </row>
    <row r="2609" spans="36:36" x14ac:dyDescent="0.35">
      <c r="AJ2609" s="213"/>
    </row>
    <row r="2610" spans="36:36" x14ac:dyDescent="0.35">
      <c r="AJ2610" s="213"/>
    </row>
    <row r="2611" spans="36:36" x14ac:dyDescent="0.35">
      <c r="AJ2611" s="213"/>
    </row>
    <row r="2612" spans="36:36" x14ac:dyDescent="0.35">
      <c r="AJ2612" s="213"/>
    </row>
    <row r="2613" spans="36:36" x14ac:dyDescent="0.35">
      <c r="AJ2613" s="213"/>
    </row>
    <row r="2614" spans="36:36" x14ac:dyDescent="0.35">
      <c r="AJ2614" s="213"/>
    </row>
    <row r="2615" spans="36:36" x14ac:dyDescent="0.35">
      <c r="AJ2615" s="213"/>
    </row>
    <row r="2616" spans="36:36" x14ac:dyDescent="0.35">
      <c r="AJ2616" s="213"/>
    </row>
    <row r="2617" spans="36:36" x14ac:dyDescent="0.35">
      <c r="AJ2617" s="213"/>
    </row>
    <row r="2618" spans="36:36" x14ac:dyDescent="0.35">
      <c r="AJ2618" s="213"/>
    </row>
    <row r="2619" spans="36:36" x14ac:dyDescent="0.35">
      <c r="AJ2619" s="213"/>
    </row>
    <row r="2620" spans="36:36" x14ac:dyDescent="0.35">
      <c r="AJ2620" s="213"/>
    </row>
    <row r="2621" spans="36:36" x14ac:dyDescent="0.35">
      <c r="AJ2621" s="213"/>
    </row>
    <row r="2622" spans="36:36" x14ac:dyDescent="0.35">
      <c r="AJ2622" s="213"/>
    </row>
    <row r="2623" spans="36:36" x14ac:dyDescent="0.35">
      <c r="AJ2623" s="213"/>
    </row>
    <row r="2624" spans="36:36" x14ac:dyDescent="0.35">
      <c r="AJ2624" s="213"/>
    </row>
    <row r="2625" spans="36:36" x14ac:dyDescent="0.35">
      <c r="AJ2625" s="213"/>
    </row>
    <row r="2626" spans="36:36" x14ac:dyDescent="0.35">
      <c r="AJ2626" s="213"/>
    </row>
    <row r="2627" spans="36:36" x14ac:dyDescent="0.35">
      <c r="AJ2627" s="213"/>
    </row>
    <row r="2628" spans="36:36" x14ac:dyDescent="0.35">
      <c r="AJ2628" s="213"/>
    </row>
    <row r="2629" spans="36:36" x14ac:dyDescent="0.35">
      <c r="AJ2629" s="213"/>
    </row>
    <row r="2630" spans="36:36" x14ac:dyDescent="0.35">
      <c r="AJ2630" s="213"/>
    </row>
    <row r="2631" spans="36:36" x14ac:dyDescent="0.35">
      <c r="AJ2631" s="213"/>
    </row>
    <row r="2632" spans="36:36" x14ac:dyDescent="0.35">
      <c r="AJ2632" s="213"/>
    </row>
    <row r="2633" spans="36:36" x14ac:dyDescent="0.35">
      <c r="AJ2633" s="213"/>
    </row>
    <row r="2634" spans="36:36" x14ac:dyDescent="0.35">
      <c r="AJ2634" s="213"/>
    </row>
    <row r="2635" spans="36:36" x14ac:dyDescent="0.35">
      <c r="AJ2635" s="213"/>
    </row>
    <row r="2636" spans="36:36" x14ac:dyDescent="0.35">
      <c r="AJ2636" s="213"/>
    </row>
    <row r="2637" spans="36:36" x14ac:dyDescent="0.35">
      <c r="AJ2637" s="213"/>
    </row>
    <row r="2638" spans="36:36" x14ac:dyDescent="0.35">
      <c r="AJ2638" s="213"/>
    </row>
    <row r="2639" spans="36:36" x14ac:dyDescent="0.35">
      <c r="AJ2639" s="213"/>
    </row>
    <row r="2640" spans="36:36" x14ac:dyDescent="0.35">
      <c r="AJ2640" s="213"/>
    </row>
    <row r="2641" spans="36:36" x14ac:dyDescent="0.35">
      <c r="AJ2641" s="213"/>
    </row>
    <row r="2642" spans="36:36" x14ac:dyDescent="0.35">
      <c r="AJ2642" s="213"/>
    </row>
    <row r="2643" spans="36:36" x14ac:dyDescent="0.35">
      <c r="AJ2643" s="213"/>
    </row>
    <row r="2644" spans="36:36" x14ac:dyDescent="0.35">
      <c r="AJ2644" s="213"/>
    </row>
    <row r="2645" spans="36:36" x14ac:dyDescent="0.35">
      <c r="AJ2645" s="213"/>
    </row>
    <row r="2646" spans="36:36" x14ac:dyDescent="0.35">
      <c r="AJ2646" s="213"/>
    </row>
    <row r="2647" spans="36:36" x14ac:dyDescent="0.35">
      <c r="AJ2647" s="213"/>
    </row>
    <row r="2648" spans="36:36" x14ac:dyDescent="0.35">
      <c r="AJ2648" s="213"/>
    </row>
    <row r="2649" spans="36:36" x14ac:dyDescent="0.35">
      <c r="AJ2649" s="213"/>
    </row>
    <row r="2650" spans="36:36" x14ac:dyDescent="0.35">
      <c r="AJ2650" s="213"/>
    </row>
    <row r="2651" spans="36:36" x14ac:dyDescent="0.35">
      <c r="AJ2651" s="213"/>
    </row>
    <row r="2652" spans="36:36" x14ac:dyDescent="0.35">
      <c r="AJ2652" s="213"/>
    </row>
    <row r="2653" spans="36:36" x14ac:dyDescent="0.35">
      <c r="AJ2653" s="213"/>
    </row>
    <row r="2654" spans="36:36" x14ac:dyDescent="0.35">
      <c r="AJ2654" s="213"/>
    </row>
    <row r="2655" spans="36:36" x14ac:dyDescent="0.35">
      <c r="AJ2655" s="213"/>
    </row>
    <row r="2656" spans="36:36" x14ac:dyDescent="0.35">
      <c r="AJ2656" s="213"/>
    </row>
    <row r="2657" spans="36:36" x14ac:dyDescent="0.35">
      <c r="AJ2657" s="213"/>
    </row>
    <row r="2658" spans="36:36" x14ac:dyDescent="0.35">
      <c r="AJ2658" s="213"/>
    </row>
    <row r="2659" spans="36:36" x14ac:dyDescent="0.35">
      <c r="AJ2659" s="213"/>
    </row>
    <row r="2660" spans="36:36" x14ac:dyDescent="0.35">
      <c r="AJ2660" s="213"/>
    </row>
    <row r="2661" spans="36:36" x14ac:dyDescent="0.35">
      <c r="AJ2661" s="213"/>
    </row>
    <row r="2662" spans="36:36" x14ac:dyDescent="0.35">
      <c r="AJ2662" s="213"/>
    </row>
    <row r="2663" spans="36:36" x14ac:dyDescent="0.35">
      <c r="AJ2663" s="213"/>
    </row>
    <row r="2664" spans="36:36" x14ac:dyDescent="0.35">
      <c r="AJ2664" s="213"/>
    </row>
    <row r="2665" spans="36:36" x14ac:dyDescent="0.35">
      <c r="AJ2665" s="213"/>
    </row>
    <row r="2666" spans="36:36" x14ac:dyDescent="0.35">
      <c r="AJ2666" s="213"/>
    </row>
    <row r="2667" spans="36:36" x14ac:dyDescent="0.35">
      <c r="AJ2667" s="213"/>
    </row>
    <row r="2668" spans="36:36" x14ac:dyDescent="0.35">
      <c r="AJ2668" s="213"/>
    </row>
    <row r="2669" spans="36:36" x14ac:dyDescent="0.35">
      <c r="AJ2669" s="213"/>
    </row>
    <row r="2670" spans="36:36" x14ac:dyDescent="0.35">
      <c r="AJ2670" s="213"/>
    </row>
    <row r="2671" spans="36:36" x14ac:dyDescent="0.35">
      <c r="AJ2671" s="213"/>
    </row>
    <row r="2672" spans="36:36" x14ac:dyDescent="0.35">
      <c r="AJ2672" s="213"/>
    </row>
    <row r="2673" spans="36:36" x14ac:dyDescent="0.35">
      <c r="AJ2673" s="213"/>
    </row>
    <row r="2674" spans="36:36" x14ac:dyDescent="0.35">
      <c r="AJ2674" s="213"/>
    </row>
    <row r="2675" spans="36:36" x14ac:dyDescent="0.35">
      <c r="AJ2675" s="213"/>
    </row>
    <row r="2676" spans="36:36" x14ac:dyDescent="0.35">
      <c r="AJ2676" s="213"/>
    </row>
    <row r="2677" spans="36:36" x14ac:dyDescent="0.35">
      <c r="AJ2677" s="213"/>
    </row>
    <row r="2678" spans="36:36" x14ac:dyDescent="0.35">
      <c r="AJ2678" s="213"/>
    </row>
    <row r="2679" spans="36:36" x14ac:dyDescent="0.35">
      <c r="AJ2679" s="213"/>
    </row>
    <row r="2680" spans="36:36" x14ac:dyDescent="0.35">
      <c r="AJ2680" s="213"/>
    </row>
    <row r="2681" spans="36:36" x14ac:dyDescent="0.35">
      <c r="AJ2681" s="213"/>
    </row>
    <row r="2682" spans="36:36" x14ac:dyDescent="0.35">
      <c r="AJ2682" s="213"/>
    </row>
    <row r="2683" spans="36:36" x14ac:dyDescent="0.35">
      <c r="AJ2683" s="213"/>
    </row>
    <row r="2684" spans="36:36" x14ac:dyDescent="0.35">
      <c r="AJ2684" s="213"/>
    </row>
    <row r="2685" spans="36:36" x14ac:dyDescent="0.35">
      <c r="AJ2685" s="213"/>
    </row>
    <row r="2686" spans="36:36" x14ac:dyDescent="0.35">
      <c r="AJ2686" s="213"/>
    </row>
    <row r="2687" spans="36:36" x14ac:dyDescent="0.35">
      <c r="AJ2687" s="213"/>
    </row>
    <row r="2688" spans="36:36" x14ac:dyDescent="0.35">
      <c r="AJ2688" s="213"/>
    </row>
    <row r="2689" spans="36:36" x14ac:dyDescent="0.35">
      <c r="AJ2689" s="213"/>
    </row>
    <row r="2690" spans="36:36" x14ac:dyDescent="0.35">
      <c r="AJ2690" s="213"/>
    </row>
    <row r="2691" spans="36:36" x14ac:dyDescent="0.35">
      <c r="AJ2691" s="213"/>
    </row>
    <row r="2692" spans="36:36" x14ac:dyDescent="0.35">
      <c r="AJ2692" s="213"/>
    </row>
    <row r="2693" spans="36:36" x14ac:dyDescent="0.35">
      <c r="AJ2693" s="213"/>
    </row>
    <row r="2694" spans="36:36" x14ac:dyDescent="0.35">
      <c r="AJ2694" s="213"/>
    </row>
    <row r="2695" spans="36:36" x14ac:dyDescent="0.35">
      <c r="AJ2695" s="213"/>
    </row>
    <row r="2696" spans="36:36" x14ac:dyDescent="0.35">
      <c r="AJ2696" s="213"/>
    </row>
    <row r="2697" spans="36:36" x14ac:dyDescent="0.35">
      <c r="AJ2697" s="213"/>
    </row>
    <row r="2698" spans="36:36" x14ac:dyDescent="0.35">
      <c r="AJ2698" s="213"/>
    </row>
    <row r="2699" spans="36:36" x14ac:dyDescent="0.35">
      <c r="AJ2699" s="213"/>
    </row>
    <row r="2700" spans="36:36" x14ac:dyDescent="0.35">
      <c r="AJ2700" s="213"/>
    </row>
    <row r="2701" spans="36:36" x14ac:dyDescent="0.35">
      <c r="AJ2701" s="213"/>
    </row>
    <row r="2702" spans="36:36" x14ac:dyDescent="0.35">
      <c r="AJ2702" s="213"/>
    </row>
    <row r="2703" spans="36:36" x14ac:dyDescent="0.35">
      <c r="AJ2703" s="213"/>
    </row>
    <row r="2704" spans="36:36" x14ac:dyDescent="0.35">
      <c r="AJ2704" s="213"/>
    </row>
    <row r="2705" spans="36:36" x14ac:dyDescent="0.35">
      <c r="AJ2705" s="213"/>
    </row>
    <row r="2706" spans="36:36" x14ac:dyDescent="0.35">
      <c r="AJ2706" s="213"/>
    </row>
    <row r="2707" spans="36:36" x14ac:dyDescent="0.35">
      <c r="AJ2707" s="213"/>
    </row>
    <row r="2708" spans="36:36" x14ac:dyDescent="0.35">
      <c r="AJ2708" s="213"/>
    </row>
    <row r="2709" spans="36:36" x14ac:dyDescent="0.35">
      <c r="AJ2709" s="213"/>
    </row>
    <row r="2710" spans="36:36" x14ac:dyDescent="0.35">
      <c r="AJ2710" s="213"/>
    </row>
    <row r="2711" spans="36:36" x14ac:dyDescent="0.35">
      <c r="AJ2711" s="213"/>
    </row>
    <row r="2712" spans="36:36" x14ac:dyDescent="0.35">
      <c r="AJ2712" s="213"/>
    </row>
    <row r="2713" spans="36:36" x14ac:dyDescent="0.35">
      <c r="AJ2713" s="213"/>
    </row>
    <row r="2714" spans="36:36" x14ac:dyDescent="0.35">
      <c r="AJ2714" s="213"/>
    </row>
    <row r="2715" spans="36:36" x14ac:dyDescent="0.35">
      <c r="AJ2715" s="213"/>
    </row>
    <row r="2716" spans="36:36" x14ac:dyDescent="0.35">
      <c r="AJ2716" s="213"/>
    </row>
    <row r="2717" spans="36:36" x14ac:dyDescent="0.35">
      <c r="AJ2717" s="213"/>
    </row>
    <row r="2718" spans="36:36" x14ac:dyDescent="0.35">
      <c r="AJ2718" s="213"/>
    </row>
    <row r="2719" spans="36:36" x14ac:dyDescent="0.35">
      <c r="AJ2719" s="213"/>
    </row>
    <row r="2720" spans="36:36" x14ac:dyDescent="0.35">
      <c r="AJ2720" s="213"/>
    </row>
    <row r="2721" spans="36:36" x14ac:dyDescent="0.35">
      <c r="AJ2721" s="213"/>
    </row>
    <row r="2722" spans="36:36" x14ac:dyDescent="0.35">
      <c r="AJ2722" s="213"/>
    </row>
    <row r="2723" spans="36:36" x14ac:dyDescent="0.35">
      <c r="AJ2723" s="213"/>
    </row>
    <row r="2724" spans="36:36" x14ac:dyDescent="0.35">
      <c r="AJ2724" s="213"/>
    </row>
    <row r="2725" spans="36:36" x14ac:dyDescent="0.35">
      <c r="AJ2725" s="213"/>
    </row>
    <row r="2726" spans="36:36" x14ac:dyDescent="0.35">
      <c r="AJ2726" s="213"/>
    </row>
    <row r="2727" spans="36:36" x14ac:dyDescent="0.35">
      <c r="AJ2727" s="213"/>
    </row>
    <row r="2728" spans="36:36" x14ac:dyDescent="0.35">
      <c r="AJ2728" s="213"/>
    </row>
    <row r="2729" spans="36:36" x14ac:dyDescent="0.35">
      <c r="AJ2729" s="213"/>
    </row>
    <row r="2730" spans="36:36" x14ac:dyDescent="0.35">
      <c r="AJ2730" s="213"/>
    </row>
    <row r="2731" spans="36:36" x14ac:dyDescent="0.35">
      <c r="AJ2731" s="213"/>
    </row>
    <row r="2732" spans="36:36" x14ac:dyDescent="0.35">
      <c r="AJ2732" s="213"/>
    </row>
    <row r="2733" spans="36:36" x14ac:dyDescent="0.35">
      <c r="AJ2733" s="213"/>
    </row>
    <row r="2734" spans="36:36" x14ac:dyDescent="0.35">
      <c r="AJ2734" s="213"/>
    </row>
    <row r="2735" spans="36:36" x14ac:dyDescent="0.35">
      <c r="AJ2735" s="213"/>
    </row>
    <row r="2736" spans="36:36" x14ac:dyDescent="0.35">
      <c r="AJ2736" s="213"/>
    </row>
    <row r="2737" spans="36:36" x14ac:dyDescent="0.35">
      <c r="AJ2737" s="213"/>
    </row>
    <row r="2738" spans="36:36" x14ac:dyDescent="0.35">
      <c r="AJ2738" s="213"/>
    </row>
    <row r="2739" spans="36:36" x14ac:dyDescent="0.35">
      <c r="AJ2739" s="213"/>
    </row>
    <row r="2740" spans="36:36" x14ac:dyDescent="0.35">
      <c r="AJ2740" s="213"/>
    </row>
    <row r="2741" spans="36:36" x14ac:dyDescent="0.35">
      <c r="AJ2741" s="213"/>
    </row>
    <row r="2742" spans="36:36" x14ac:dyDescent="0.35">
      <c r="AJ2742" s="213"/>
    </row>
    <row r="2743" spans="36:36" x14ac:dyDescent="0.35">
      <c r="AJ2743" s="213"/>
    </row>
    <row r="2744" spans="36:36" x14ac:dyDescent="0.35">
      <c r="AJ2744" s="213"/>
    </row>
    <row r="2745" spans="36:36" x14ac:dyDescent="0.35">
      <c r="AJ2745" s="213"/>
    </row>
    <row r="2746" spans="36:36" x14ac:dyDescent="0.35">
      <c r="AJ2746" s="213"/>
    </row>
    <row r="2747" spans="36:36" x14ac:dyDescent="0.35">
      <c r="AJ2747" s="213"/>
    </row>
    <row r="2748" spans="36:36" x14ac:dyDescent="0.35">
      <c r="AJ2748" s="213"/>
    </row>
    <row r="2749" spans="36:36" x14ac:dyDescent="0.35">
      <c r="AJ2749" s="213"/>
    </row>
    <row r="2750" spans="36:36" x14ac:dyDescent="0.35">
      <c r="AJ2750" s="213"/>
    </row>
    <row r="2751" spans="36:36" x14ac:dyDescent="0.35">
      <c r="AJ2751" s="213"/>
    </row>
    <row r="2752" spans="36:36" x14ac:dyDescent="0.35">
      <c r="AJ2752" s="213"/>
    </row>
    <row r="2753" spans="36:36" x14ac:dyDescent="0.35">
      <c r="AJ2753" s="213"/>
    </row>
    <row r="2754" spans="36:36" x14ac:dyDescent="0.35">
      <c r="AJ2754" s="213"/>
    </row>
    <row r="2755" spans="36:36" x14ac:dyDescent="0.35">
      <c r="AJ2755" s="213"/>
    </row>
    <row r="2756" spans="36:36" x14ac:dyDescent="0.35">
      <c r="AJ2756" s="213"/>
    </row>
    <row r="2757" spans="36:36" x14ac:dyDescent="0.35">
      <c r="AJ2757" s="213"/>
    </row>
    <row r="2758" spans="36:36" x14ac:dyDescent="0.35">
      <c r="AJ2758" s="213"/>
    </row>
    <row r="2759" spans="36:36" x14ac:dyDescent="0.35">
      <c r="AJ2759" s="213"/>
    </row>
    <row r="2760" spans="36:36" x14ac:dyDescent="0.35">
      <c r="AJ2760" s="213"/>
    </row>
    <row r="2761" spans="36:36" x14ac:dyDescent="0.35">
      <c r="AJ2761" s="213"/>
    </row>
    <row r="2762" spans="36:36" x14ac:dyDescent="0.35">
      <c r="AJ2762" s="213"/>
    </row>
    <row r="2763" spans="36:36" x14ac:dyDescent="0.35">
      <c r="AJ2763" s="213"/>
    </row>
    <row r="2764" spans="36:36" x14ac:dyDescent="0.35">
      <c r="AJ2764" s="213"/>
    </row>
    <row r="2765" spans="36:36" x14ac:dyDescent="0.35">
      <c r="AJ2765" s="213"/>
    </row>
    <row r="2766" spans="36:36" x14ac:dyDescent="0.35">
      <c r="AJ2766" s="213"/>
    </row>
    <row r="2767" spans="36:36" x14ac:dyDescent="0.35">
      <c r="AJ2767" s="213"/>
    </row>
    <row r="2768" spans="36:36" x14ac:dyDescent="0.35">
      <c r="AJ2768" s="213"/>
    </row>
    <row r="2769" spans="36:36" x14ac:dyDescent="0.35">
      <c r="AJ2769" s="213"/>
    </row>
    <row r="2770" spans="36:36" x14ac:dyDescent="0.35">
      <c r="AJ2770" s="213"/>
    </row>
    <row r="2771" spans="36:36" x14ac:dyDescent="0.35">
      <c r="AJ2771" s="213"/>
    </row>
    <row r="2772" spans="36:36" x14ac:dyDescent="0.35">
      <c r="AJ2772" s="213"/>
    </row>
    <row r="2773" spans="36:36" x14ac:dyDescent="0.35">
      <c r="AJ2773" s="213"/>
    </row>
    <row r="2774" spans="36:36" x14ac:dyDescent="0.35">
      <c r="AJ2774" s="213"/>
    </row>
    <row r="2775" spans="36:36" x14ac:dyDescent="0.35">
      <c r="AJ2775" s="213"/>
    </row>
    <row r="2776" spans="36:36" x14ac:dyDescent="0.35">
      <c r="AJ2776" s="213"/>
    </row>
    <row r="2777" spans="36:36" x14ac:dyDescent="0.35">
      <c r="AJ2777" s="213"/>
    </row>
    <row r="2778" spans="36:36" x14ac:dyDescent="0.35">
      <c r="AJ2778" s="213"/>
    </row>
    <row r="2779" spans="36:36" x14ac:dyDescent="0.35">
      <c r="AJ2779" s="213"/>
    </row>
    <row r="2780" spans="36:36" x14ac:dyDescent="0.35">
      <c r="AJ2780" s="213"/>
    </row>
    <row r="2781" spans="36:36" x14ac:dyDescent="0.35">
      <c r="AJ2781" s="213"/>
    </row>
    <row r="2782" spans="36:36" x14ac:dyDescent="0.35">
      <c r="AJ2782" s="213"/>
    </row>
    <row r="2783" spans="36:36" x14ac:dyDescent="0.35">
      <c r="AJ2783" s="213"/>
    </row>
    <row r="2784" spans="36:36" x14ac:dyDescent="0.35">
      <c r="AJ2784" s="213"/>
    </row>
    <row r="2785" spans="36:36" x14ac:dyDescent="0.35">
      <c r="AJ2785" s="213"/>
    </row>
    <row r="2786" spans="36:36" x14ac:dyDescent="0.35">
      <c r="AJ2786" s="213"/>
    </row>
    <row r="2787" spans="36:36" x14ac:dyDescent="0.35">
      <c r="AJ2787" s="213"/>
    </row>
    <row r="2788" spans="36:36" x14ac:dyDescent="0.35">
      <c r="AJ2788" s="213"/>
    </row>
    <row r="2789" spans="36:36" x14ac:dyDescent="0.35">
      <c r="AJ2789" s="213"/>
    </row>
    <row r="2790" spans="36:36" x14ac:dyDescent="0.35">
      <c r="AJ2790" s="213"/>
    </row>
    <row r="2791" spans="36:36" x14ac:dyDescent="0.35">
      <c r="AJ2791" s="213"/>
    </row>
    <row r="2792" spans="36:36" x14ac:dyDescent="0.35">
      <c r="AJ2792" s="213"/>
    </row>
    <row r="2793" spans="36:36" x14ac:dyDescent="0.35">
      <c r="AJ2793" s="213"/>
    </row>
    <row r="2794" spans="36:36" x14ac:dyDescent="0.35">
      <c r="AJ2794" s="213"/>
    </row>
    <row r="2795" spans="36:36" x14ac:dyDescent="0.35">
      <c r="AJ2795" s="213"/>
    </row>
    <row r="2796" spans="36:36" x14ac:dyDescent="0.35">
      <c r="AJ2796" s="213"/>
    </row>
    <row r="2797" spans="36:36" x14ac:dyDescent="0.35">
      <c r="AJ2797" s="213"/>
    </row>
    <row r="2798" spans="36:36" x14ac:dyDescent="0.35">
      <c r="AJ2798" s="213"/>
    </row>
    <row r="2799" spans="36:36" x14ac:dyDescent="0.35">
      <c r="AJ2799" s="213"/>
    </row>
    <row r="2800" spans="36:36" x14ac:dyDescent="0.35">
      <c r="AJ2800" s="213"/>
    </row>
    <row r="2801" spans="36:36" x14ac:dyDescent="0.35">
      <c r="AJ2801" s="213"/>
    </row>
    <row r="2802" spans="36:36" x14ac:dyDescent="0.35">
      <c r="AJ2802" s="213"/>
    </row>
    <row r="2803" spans="36:36" x14ac:dyDescent="0.35">
      <c r="AJ2803" s="213"/>
    </row>
    <row r="2804" spans="36:36" x14ac:dyDescent="0.35">
      <c r="AJ2804" s="213"/>
    </row>
    <row r="2805" spans="36:36" x14ac:dyDescent="0.35">
      <c r="AJ2805" s="213"/>
    </row>
    <row r="2806" spans="36:36" x14ac:dyDescent="0.35">
      <c r="AJ2806" s="213"/>
    </row>
    <row r="2807" spans="36:36" x14ac:dyDescent="0.35">
      <c r="AJ2807" s="213"/>
    </row>
    <row r="2808" spans="36:36" x14ac:dyDescent="0.35">
      <c r="AJ2808" s="213"/>
    </row>
    <row r="2809" spans="36:36" x14ac:dyDescent="0.35">
      <c r="AJ2809" s="213"/>
    </row>
    <row r="2810" spans="36:36" x14ac:dyDescent="0.35">
      <c r="AJ2810" s="213"/>
    </row>
    <row r="2811" spans="36:36" x14ac:dyDescent="0.35">
      <c r="AJ2811" s="213"/>
    </row>
    <row r="2812" spans="36:36" x14ac:dyDescent="0.35">
      <c r="AJ2812" s="213"/>
    </row>
    <row r="2813" spans="36:36" x14ac:dyDescent="0.35">
      <c r="AJ2813" s="213"/>
    </row>
    <row r="2814" spans="36:36" x14ac:dyDescent="0.35">
      <c r="AJ2814" s="213"/>
    </row>
    <row r="2815" spans="36:36" x14ac:dyDescent="0.35">
      <c r="AJ2815" s="213"/>
    </row>
    <row r="2816" spans="36:36" x14ac:dyDescent="0.35">
      <c r="AJ2816" s="213"/>
    </row>
    <row r="2817" spans="36:36" x14ac:dyDescent="0.35">
      <c r="AJ2817" s="213"/>
    </row>
    <row r="2818" spans="36:36" x14ac:dyDescent="0.35">
      <c r="AJ2818" s="213"/>
    </row>
    <row r="2819" spans="36:36" x14ac:dyDescent="0.35">
      <c r="AJ2819" s="213"/>
    </row>
    <row r="2820" spans="36:36" x14ac:dyDescent="0.35">
      <c r="AJ2820" s="213"/>
    </row>
    <row r="2821" spans="36:36" x14ac:dyDescent="0.35">
      <c r="AJ2821" s="213"/>
    </row>
    <row r="2822" spans="36:36" x14ac:dyDescent="0.35">
      <c r="AJ2822" s="213"/>
    </row>
    <row r="2823" spans="36:36" x14ac:dyDescent="0.35">
      <c r="AJ2823" s="213"/>
    </row>
    <row r="2824" spans="36:36" x14ac:dyDescent="0.35">
      <c r="AJ2824" s="213"/>
    </row>
    <row r="2825" spans="36:36" x14ac:dyDescent="0.35">
      <c r="AJ2825" s="213"/>
    </row>
    <row r="2826" spans="36:36" x14ac:dyDescent="0.35">
      <c r="AJ2826" s="213"/>
    </row>
    <row r="2827" spans="36:36" x14ac:dyDescent="0.35">
      <c r="AJ2827" s="213"/>
    </row>
    <row r="2828" spans="36:36" x14ac:dyDescent="0.35">
      <c r="AJ2828" s="213"/>
    </row>
    <row r="2829" spans="36:36" x14ac:dyDescent="0.35">
      <c r="AJ2829" s="213"/>
    </row>
    <row r="2830" spans="36:36" x14ac:dyDescent="0.35">
      <c r="AJ2830" s="213"/>
    </row>
    <row r="2831" spans="36:36" x14ac:dyDescent="0.35">
      <c r="AJ2831" s="213"/>
    </row>
    <row r="2832" spans="36:36" x14ac:dyDescent="0.35">
      <c r="AJ2832" s="213"/>
    </row>
    <row r="2833" spans="36:36" x14ac:dyDescent="0.35">
      <c r="AJ2833" s="213"/>
    </row>
    <row r="2834" spans="36:36" x14ac:dyDescent="0.35">
      <c r="AJ2834" s="213"/>
    </row>
    <row r="2835" spans="36:36" x14ac:dyDescent="0.35">
      <c r="AJ2835" s="213"/>
    </row>
    <row r="2836" spans="36:36" x14ac:dyDescent="0.35">
      <c r="AJ2836" s="213"/>
    </row>
    <row r="2837" spans="36:36" x14ac:dyDescent="0.35">
      <c r="AJ2837" s="213"/>
    </row>
    <row r="2838" spans="36:36" x14ac:dyDescent="0.35">
      <c r="AJ2838" s="213"/>
    </row>
    <row r="2839" spans="36:36" x14ac:dyDescent="0.35">
      <c r="AJ2839" s="213"/>
    </row>
    <row r="2840" spans="36:36" x14ac:dyDescent="0.35">
      <c r="AJ2840" s="213"/>
    </row>
    <row r="2841" spans="36:36" x14ac:dyDescent="0.35">
      <c r="AJ2841" s="213"/>
    </row>
    <row r="2842" spans="36:36" x14ac:dyDescent="0.35">
      <c r="AJ2842" s="213"/>
    </row>
    <row r="2843" spans="36:36" x14ac:dyDescent="0.35">
      <c r="AJ2843" s="213"/>
    </row>
    <row r="2844" spans="36:36" x14ac:dyDescent="0.35">
      <c r="AJ2844" s="213"/>
    </row>
    <row r="2845" spans="36:36" x14ac:dyDescent="0.35">
      <c r="AJ2845" s="213"/>
    </row>
    <row r="2846" spans="36:36" x14ac:dyDescent="0.35">
      <c r="AJ2846" s="213"/>
    </row>
    <row r="2847" spans="36:36" x14ac:dyDescent="0.35">
      <c r="AJ2847" s="213"/>
    </row>
    <row r="2848" spans="36:36" x14ac:dyDescent="0.35">
      <c r="AJ2848" s="213"/>
    </row>
    <row r="2849" spans="36:36" x14ac:dyDescent="0.35">
      <c r="AJ2849" s="213"/>
    </row>
    <row r="2850" spans="36:36" x14ac:dyDescent="0.35">
      <c r="AJ2850" s="213"/>
    </row>
    <row r="2851" spans="36:36" x14ac:dyDescent="0.35">
      <c r="AJ2851" s="213"/>
    </row>
    <row r="2852" spans="36:36" x14ac:dyDescent="0.35">
      <c r="AJ2852" s="213"/>
    </row>
    <row r="2853" spans="36:36" x14ac:dyDescent="0.35">
      <c r="AJ2853" s="213"/>
    </row>
    <row r="2854" spans="36:36" x14ac:dyDescent="0.35">
      <c r="AJ2854" s="213"/>
    </row>
    <row r="2855" spans="36:36" x14ac:dyDescent="0.35">
      <c r="AJ2855" s="213"/>
    </row>
    <row r="2856" spans="36:36" x14ac:dyDescent="0.35">
      <c r="AJ2856" s="213"/>
    </row>
    <row r="2857" spans="36:36" x14ac:dyDescent="0.35">
      <c r="AJ2857" s="213"/>
    </row>
    <row r="2858" spans="36:36" x14ac:dyDescent="0.35">
      <c r="AJ2858" s="213"/>
    </row>
    <row r="2859" spans="36:36" x14ac:dyDescent="0.35">
      <c r="AJ2859" s="213"/>
    </row>
    <row r="2860" spans="36:36" x14ac:dyDescent="0.35">
      <c r="AJ2860" s="213"/>
    </row>
    <row r="2861" spans="36:36" x14ac:dyDescent="0.35">
      <c r="AJ2861" s="213"/>
    </row>
    <row r="2862" spans="36:36" x14ac:dyDescent="0.35">
      <c r="AJ2862" s="213"/>
    </row>
    <row r="2863" spans="36:36" x14ac:dyDescent="0.35">
      <c r="AJ2863" s="213"/>
    </row>
    <row r="2864" spans="36:36" x14ac:dyDescent="0.35">
      <c r="AJ2864" s="213"/>
    </row>
    <row r="2865" spans="36:36" x14ac:dyDescent="0.35">
      <c r="AJ2865" s="213"/>
    </row>
    <row r="2866" spans="36:36" x14ac:dyDescent="0.35">
      <c r="AJ2866" s="213"/>
    </row>
    <row r="2867" spans="36:36" x14ac:dyDescent="0.35">
      <c r="AJ2867" s="213"/>
    </row>
    <row r="2868" spans="36:36" x14ac:dyDescent="0.35">
      <c r="AJ2868" s="213"/>
    </row>
    <row r="2869" spans="36:36" x14ac:dyDescent="0.35">
      <c r="AJ2869" s="213"/>
    </row>
    <row r="2870" spans="36:36" x14ac:dyDescent="0.35">
      <c r="AJ2870" s="213"/>
    </row>
    <row r="2871" spans="36:36" x14ac:dyDescent="0.35">
      <c r="AJ2871" s="213"/>
    </row>
    <row r="2872" spans="36:36" x14ac:dyDescent="0.35">
      <c r="AJ2872" s="213"/>
    </row>
    <row r="2873" spans="36:36" x14ac:dyDescent="0.35">
      <c r="AJ2873" s="213"/>
    </row>
    <row r="2874" spans="36:36" x14ac:dyDescent="0.35">
      <c r="AJ2874" s="213"/>
    </row>
    <row r="2875" spans="36:36" x14ac:dyDescent="0.35">
      <c r="AJ2875" s="213"/>
    </row>
    <row r="2876" spans="36:36" x14ac:dyDescent="0.35">
      <c r="AJ2876" s="213"/>
    </row>
    <row r="2877" spans="36:36" x14ac:dyDescent="0.35">
      <c r="AJ2877" s="213"/>
    </row>
    <row r="2878" spans="36:36" x14ac:dyDescent="0.35">
      <c r="AJ2878" s="213"/>
    </row>
    <row r="2879" spans="36:36" x14ac:dyDescent="0.35">
      <c r="AJ2879" s="213"/>
    </row>
    <row r="2880" spans="36:36" x14ac:dyDescent="0.35">
      <c r="AJ2880" s="213"/>
    </row>
    <row r="2881" spans="36:36" x14ac:dyDescent="0.35">
      <c r="AJ2881" s="213"/>
    </row>
    <row r="2882" spans="36:36" x14ac:dyDescent="0.35">
      <c r="AJ2882" s="213"/>
    </row>
    <row r="2883" spans="36:36" x14ac:dyDescent="0.35">
      <c r="AJ2883" s="213"/>
    </row>
    <row r="2884" spans="36:36" x14ac:dyDescent="0.35">
      <c r="AJ2884" s="213"/>
    </row>
    <row r="2885" spans="36:36" x14ac:dyDescent="0.35">
      <c r="AJ2885" s="213"/>
    </row>
    <row r="2886" spans="36:36" x14ac:dyDescent="0.35">
      <c r="AJ2886" s="213"/>
    </row>
    <row r="2887" spans="36:36" x14ac:dyDescent="0.35">
      <c r="AJ2887" s="213"/>
    </row>
    <row r="2888" spans="36:36" x14ac:dyDescent="0.35">
      <c r="AJ2888" s="213"/>
    </row>
    <row r="2889" spans="36:36" x14ac:dyDescent="0.35">
      <c r="AJ2889" s="213"/>
    </row>
    <row r="2890" spans="36:36" x14ac:dyDescent="0.35">
      <c r="AJ2890" s="213"/>
    </row>
    <row r="2891" spans="36:36" x14ac:dyDescent="0.35">
      <c r="AJ2891" s="213"/>
    </row>
    <row r="2892" spans="36:36" x14ac:dyDescent="0.35">
      <c r="AJ2892" s="213"/>
    </row>
    <row r="2893" spans="36:36" x14ac:dyDescent="0.35">
      <c r="AJ2893" s="213"/>
    </row>
    <row r="2894" spans="36:36" x14ac:dyDescent="0.35">
      <c r="AJ2894" s="213"/>
    </row>
    <row r="2895" spans="36:36" x14ac:dyDescent="0.35">
      <c r="AJ2895" s="213"/>
    </row>
    <row r="2896" spans="36:36" x14ac:dyDescent="0.35">
      <c r="AJ2896" s="213"/>
    </row>
    <row r="2897" spans="36:36" x14ac:dyDescent="0.35">
      <c r="AJ2897" s="213"/>
    </row>
    <row r="2898" spans="36:36" x14ac:dyDescent="0.35">
      <c r="AJ2898" s="213"/>
    </row>
    <row r="2899" spans="36:36" x14ac:dyDescent="0.35">
      <c r="AJ2899" s="213"/>
    </row>
    <row r="2900" spans="36:36" x14ac:dyDescent="0.35">
      <c r="AJ2900" s="213"/>
    </row>
    <row r="2901" spans="36:36" x14ac:dyDescent="0.35">
      <c r="AJ2901" s="213"/>
    </row>
    <row r="2902" spans="36:36" x14ac:dyDescent="0.35">
      <c r="AJ2902" s="213"/>
    </row>
    <row r="2903" spans="36:36" x14ac:dyDescent="0.35">
      <c r="AJ2903" s="213"/>
    </row>
    <row r="2904" spans="36:36" x14ac:dyDescent="0.35">
      <c r="AJ2904" s="213"/>
    </row>
    <row r="2905" spans="36:36" x14ac:dyDescent="0.35">
      <c r="AJ2905" s="213"/>
    </row>
    <row r="2906" spans="36:36" x14ac:dyDescent="0.35">
      <c r="AJ2906" s="213"/>
    </row>
    <row r="2907" spans="36:36" x14ac:dyDescent="0.35">
      <c r="AJ2907" s="213"/>
    </row>
    <row r="2908" spans="36:36" x14ac:dyDescent="0.35">
      <c r="AJ2908" s="213"/>
    </row>
    <row r="2909" spans="36:36" x14ac:dyDescent="0.35">
      <c r="AJ2909" s="213"/>
    </row>
    <row r="2910" spans="36:36" x14ac:dyDescent="0.35">
      <c r="AJ2910" s="213"/>
    </row>
    <row r="2911" spans="36:36" x14ac:dyDescent="0.35">
      <c r="AJ2911" s="213"/>
    </row>
    <row r="2912" spans="36:36" x14ac:dyDescent="0.35">
      <c r="AJ2912" s="213"/>
    </row>
    <row r="2913" spans="36:36" x14ac:dyDescent="0.35">
      <c r="AJ2913" s="213"/>
    </row>
    <row r="2914" spans="36:36" x14ac:dyDescent="0.35">
      <c r="AJ2914" s="213"/>
    </row>
    <row r="2915" spans="36:36" x14ac:dyDescent="0.35">
      <c r="AJ2915" s="213"/>
    </row>
    <row r="2916" spans="36:36" x14ac:dyDescent="0.35">
      <c r="AJ2916" s="213"/>
    </row>
    <row r="2917" spans="36:36" x14ac:dyDescent="0.35">
      <c r="AJ2917" s="213"/>
    </row>
    <row r="2918" spans="36:36" x14ac:dyDescent="0.35">
      <c r="AJ2918" s="213"/>
    </row>
    <row r="2919" spans="36:36" x14ac:dyDescent="0.35">
      <c r="AJ2919" s="213"/>
    </row>
    <row r="2920" spans="36:36" x14ac:dyDescent="0.35">
      <c r="AJ2920" s="213"/>
    </row>
    <row r="2921" spans="36:36" x14ac:dyDescent="0.35">
      <c r="AJ2921" s="213"/>
    </row>
    <row r="2922" spans="36:36" x14ac:dyDescent="0.35">
      <c r="AJ2922" s="213"/>
    </row>
    <row r="2923" spans="36:36" x14ac:dyDescent="0.35">
      <c r="AJ2923" s="213"/>
    </row>
    <row r="2924" spans="36:36" x14ac:dyDescent="0.35">
      <c r="AJ2924" s="213"/>
    </row>
    <row r="2925" spans="36:36" x14ac:dyDescent="0.35">
      <c r="AJ2925" s="213"/>
    </row>
    <row r="2926" spans="36:36" x14ac:dyDescent="0.35">
      <c r="AJ2926" s="213"/>
    </row>
    <row r="2927" spans="36:36" x14ac:dyDescent="0.35">
      <c r="AJ2927" s="213"/>
    </row>
    <row r="2928" spans="36:36" x14ac:dyDescent="0.35">
      <c r="AJ2928" s="213"/>
    </row>
    <row r="2929" spans="36:36" x14ac:dyDescent="0.35">
      <c r="AJ2929" s="213"/>
    </row>
    <row r="2930" spans="36:36" x14ac:dyDescent="0.35">
      <c r="AJ2930" s="213"/>
    </row>
    <row r="2931" spans="36:36" x14ac:dyDescent="0.35">
      <c r="AJ2931" s="213"/>
    </row>
    <row r="2932" spans="36:36" x14ac:dyDescent="0.35">
      <c r="AJ2932" s="213"/>
    </row>
    <row r="2933" spans="36:36" x14ac:dyDescent="0.35">
      <c r="AJ2933" s="213"/>
    </row>
    <row r="2934" spans="36:36" x14ac:dyDescent="0.35">
      <c r="AJ2934" s="213"/>
    </row>
    <row r="2935" spans="36:36" x14ac:dyDescent="0.35">
      <c r="AJ2935" s="213"/>
    </row>
    <row r="2936" spans="36:36" x14ac:dyDescent="0.35">
      <c r="AJ2936" s="213"/>
    </row>
    <row r="2937" spans="36:36" x14ac:dyDescent="0.35">
      <c r="AJ2937" s="213"/>
    </row>
    <row r="2938" spans="36:36" x14ac:dyDescent="0.35">
      <c r="AJ2938" s="213"/>
    </row>
    <row r="2939" spans="36:36" x14ac:dyDescent="0.35">
      <c r="AJ2939" s="213"/>
    </row>
    <row r="2940" spans="36:36" x14ac:dyDescent="0.35">
      <c r="AJ2940" s="213"/>
    </row>
    <row r="2941" spans="36:36" x14ac:dyDescent="0.35">
      <c r="AJ2941" s="213"/>
    </row>
    <row r="2942" spans="36:36" x14ac:dyDescent="0.35">
      <c r="AJ2942" s="213"/>
    </row>
    <row r="2943" spans="36:36" x14ac:dyDescent="0.35">
      <c r="AJ2943" s="213"/>
    </row>
    <row r="2944" spans="36:36" x14ac:dyDescent="0.35">
      <c r="AJ2944" s="213"/>
    </row>
    <row r="2945" spans="36:36" x14ac:dyDescent="0.35">
      <c r="AJ2945" s="213"/>
    </row>
    <row r="2946" spans="36:36" x14ac:dyDescent="0.35">
      <c r="AJ2946" s="213"/>
    </row>
    <row r="2947" spans="36:36" x14ac:dyDescent="0.35">
      <c r="AJ2947" s="213"/>
    </row>
    <row r="2948" spans="36:36" x14ac:dyDescent="0.35">
      <c r="AJ2948" s="213"/>
    </row>
    <row r="2949" spans="36:36" x14ac:dyDescent="0.35">
      <c r="AJ2949" s="213"/>
    </row>
    <row r="2950" spans="36:36" x14ac:dyDescent="0.35">
      <c r="AJ2950" s="213"/>
    </row>
    <row r="2951" spans="36:36" x14ac:dyDescent="0.35">
      <c r="AJ2951" s="213"/>
    </row>
    <row r="2952" spans="36:36" x14ac:dyDescent="0.35">
      <c r="AJ2952" s="213"/>
    </row>
    <row r="2953" spans="36:36" x14ac:dyDescent="0.35">
      <c r="AJ2953" s="213"/>
    </row>
    <row r="2954" spans="36:36" x14ac:dyDescent="0.35">
      <c r="AJ2954" s="213"/>
    </row>
    <row r="2955" spans="36:36" x14ac:dyDescent="0.35">
      <c r="AJ2955" s="213"/>
    </row>
    <row r="2956" spans="36:36" x14ac:dyDescent="0.35">
      <c r="AJ2956" s="213"/>
    </row>
    <row r="2957" spans="36:36" x14ac:dyDescent="0.35">
      <c r="AJ2957" s="213"/>
    </row>
    <row r="2958" spans="36:36" x14ac:dyDescent="0.35">
      <c r="AJ2958" s="213"/>
    </row>
    <row r="2959" spans="36:36" x14ac:dyDescent="0.35">
      <c r="AJ2959" s="213"/>
    </row>
    <row r="2960" spans="36:36" x14ac:dyDescent="0.35">
      <c r="AJ2960" s="213"/>
    </row>
    <row r="2961" spans="36:36" x14ac:dyDescent="0.35">
      <c r="AJ2961" s="213"/>
    </row>
    <row r="2962" spans="36:36" x14ac:dyDescent="0.35">
      <c r="AJ2962" s="213"/>
    </row>
    <row r="2963" spans="36:36" x14ac:dyDescent="0.35">
      <c r="AJ2963" s="213"/>
    </row>
    <row r="2964" spans="36:36" x14ac:dyDescent="0.35">
      <c r="AJ2964" s="213"/>
    </row>
    <row r="2965" spans="36:36" x14ac:dyDescent="0.35">
      <c r="AJ2965" s="213"/>
    </row>
    <row r="2966" spans="36:36" x14ac:dyDescent="0.35">
      <c r="AJ2966" s="213"/>
    </row>
    <row r="2967" spans="36:36" x14ac:dyDescent="0.35">
      <c r="AJ2967" s="213"/>
    </row>
    <row r="2968" spans="36:36" x14ac:dyDescent="0.35">
      <c r="AJ2968" s="213"/>
    </row>
    <row r="2969" spans="36:36" x14ac:dyDescent="0.35">
      <c r="AJ2969" s="213"/>
    </row>
    <row r="2970" spans="36:36" x14ac:dyDescent="0.35">
      <c r="AJ2970" s="213"/>
    </row>
    <row r="2971" spans="36:36" x14ac:dyDescent="0.35">
      <c r="AJ2971" s="213"/>
    </row>
    <row r="2972" spans="36:36" x14ac:dyDescent="0.35">
      <c r="AJ2972" s="213"/>
    </row>
    <row r="2973" spans="36:36" x14ac:dyDescent="0.35">
      <c r="AJ2973" s="213"/>
    </row>
    <row r="2974" spans="36:36" x14ac:dyDescent="0.35">
      <c r="AJ2974" s="213"/>
    </row>
    <row r="2975" spans="36:36" x14ac:dyDescent="0.35">
      <c r="AJ2975" s="213"/>
    </row>
    <row r="2976" spans="36:36" x14ac:dyDescent="0.35">
      <c r="AJ2976" s="213"/>
    </row>
    <row r="2977" spans="36:36" x14ac:dyDescent="0.35">
      <c r="AJ2977" s="213"/>
    </row>
    <row r="2978" spans="36:36" x14ac:dyDescent="0.35">
      <c r="AJ2978" s="213"/>
    </row>
    <row r="2979" spans="36:36" x14ac:dyDescent="0.35">
      <c r="AJ2979" s="213"/>
    </row>
    <row r="2980" spans="36:36" x14ac:dyDescent="0.35">
      <c r="AJ2980" s="213"/>
    </row>
    <row r="2981" spans="36:36" x14ac:dyDescent="0.35">
      <c r="AJ2981" s="213"/>
    </row>
    <row r="2982" spans="36:36" x14ac:dyDescent="0.35">
      <c r="AJ2982" s="213"/>
    </row>
    <row r="2983" spans="36:36" x14ac:dyDescent="0.35">
      <c r="AJ2983" s="213"/>
    </row>
    <row r="2984" spans="36:36" x14ac:dyDescent="0.35">
      <c r="AJ2984" s="213"/>
    </row>
    <row r="2985" spans="36:36" x14ac:dyDescent="0.35">
      <c r="AJ2985" s="213"/>
    </row>
    <row r="2986" spans="36:36" x14ac:dyDescent="0.35">
      <c r="AJ2986" s="213"/>
    </row>
    <row r="2987" spans="36:36" x14ac:dyDescent="0.35">
      <c r="AJ2987" s="213"/>
    </row>
    <row r="2988" spans="36:36" x14ac:dyDescent="0.35">
      <c r="AJ2988" s="213"/>
    </row>
    <row r="2989" spans="36:36" x14ac:dyDescent="0.35">
      <c r="AJ2989" s="213"/>
    </row>
    <row r="2990" spans="36:36" x14ac:dyDescent="0.35">
      <c r="AJ2990" s="213"/>
    </row>
    <row r="2991" spans="36:36" x14ac:dyDescent="0.35">
      <c r="AJ2991" s="213"/>
    </row>
    <row r="2992" spans="36:36" x14ac:dyDescent="0.35">
      <c r="AJ2992" s="213"/>
    </row>
    <row r="2993" spans="36:36" x14ac:dyDescent="0.35">
      <c r="AJ2993" s="213"/>
    </row>
    <row r="2994" spans="36:36" x14ac:dyDescent="0.35">
      <c r="AJ2994" s="213"/>
    </row>
    <row r="2995" spans="36:36" x14ac:dyDescent="0.35">
      <c r="AJ2995" s="213"/>
    </row>
    <row r="2996" spans="36:36" x14ac:dyDescent="0.35">
      <c r="AJ2996" s="213"/>
    </row>
    <row r="2997" spans="36:36" x14ac:dyDescent="0.35">
      <c r="AJ2997" s="213"/>
    </row>
    <row r="2998" spans="36:36" x14ac:dyDescent="0.35">
      <c r="AJ2998" s="213"/>
    </row>
    <row r="2999" spans="36:36" x14ac:dyDescent="0.35">
      <c r="AJ2999" s="213"/>
    </row>
    <row r="3000" spans="36:36" x14ac:dyDescent="0.35">
      <c r="AJ3000" s="213"/>
    </row>
    <row r="3001" spans="36:36" x14ac:dyDescent="0.35">
      <c r="AJ3001" s="213"/>
    </row>
    <row r="3002" spans="36:36" x14ac:dyDescent="0.35">
      <c r="AJ3002" s="213"/>
    </row>
    <row r="3003" spans="36:36" x14ac:dyDescent="0.35">
      <c r="AJ3003" s="213"/>
    </row>
    <row r="3004" spans="36:36" x14ac:dyDescent="0.35">
      <c r="AJ3004" s="213"/>
    </row>
    <row r="3005" spans="36:36" x14ac:dyDescent="0.35">
      <c r="AJ3005" s="213"/>
    </row>
    <row r="3006" spans="36:36" x14ac:dyDescent="0.35">
      <c r="AJ3006" s="213"/>
    </row>
    <row r="3007" spans="36:36" x14ac:dyDescent="0.35">
      <c r="AJ3007" s="213"/>
    </row>
    <row r="3008" spans="36:36" x14ac:dyDescent="0.35">
      <c r="AJ3008" s="213"/>
    </row>
    <row r="3009" spans="36:36" x14ac:dyDescent="0.35">
      <c r="AJ3009" s="213"/>
    </row>
    <row r="3010" spans="36:36" x14ac:dyDescent="0.35">
      <c r="AJ3010" s="213"/>
    </row>
    <row r="3011" spans="36:36" x14ac:dyDescent="0.35">
      <c r="AJ3011" s="213"/>
    </row>
    <row r="3012" spans="36:36" x14ac:dyDescent="0.35">
      <c r="AJ3012" s="213"/>
    </row>
    <row r="3013" spans="36:36" x14ac:dyDescent="0.35">
      <c r="AJ3013" s="213"/>
    </row>
    <row r="3014" spans="36:36" x14ac:dyDescent="0.35">
      <c r="AJ3014" s="213"/>
    </row>
    <row r="3015" spans="36:36" x14ac:dyDescent="0.35">
      <c r="AJ3015" s="213"/>
    </row>
    <row r="3016" spans="36:36" x14ac:dyDescent="0.35">
      <c r="AJ3016" s="213"/>
    </row>
    <row r="3017" spans="36:36" x14ac:dyDescent="0.35">
      <c r="AJ3017" s="213"/>
    </row>
    <row r="3018" spans="36:36" x14ac:dyDescent="0.35">
      <c r="AJ3018" s="213"/>
    </row>
    <row r="3019" spans="36:36" x14ac:dyDescent="0.35">
      <c r="AJ3019" s="213"/>
    </row>
    <row r="3020" spans="36:36" x14ac:dyDescent="0.35">
      <c r="AJ3020" s="213"/>
    </row>
    <row r="3021" spans="36:36" x14ac:dyDescent="0.35">
      <c r="AJ3021" s="213"/>
    </row>
    <row r="3022" spans="36:36" x14ac:dyDescent="0.35">
      <c r="AJ3022" s="213"/>
    </row>
    <row r="3023" spans="36:36" x14ac:dyDescent="0.35">
      <c r="AJ3023" s="213"/>
    </row>
    <row r="3024" spans="36:36" x14ac:dyDescent="0.35">
      <c r="AJ3024" s="213"/>
    </row>
    <row r="3025" spans="36:36" x14ac:dyDescent="0.35">
      <c r="AJ3025" s="213"/>
    </row>
    <row r="3026" spans="36:36" x14ac:dyDescent="0.35">
      <c r="AJ3026" s="213"/>
    </row>
    <row r="3027" spans="36:36" x14ac:dyDescent="0.35">
      <c r="AJ3027" s="213"/>
    </row>
    <row r="3028" spans="36:36" x14ac:dyDescent="0.35">
      <c r="AJ3028" s="213"/>
    </row>
    <row r="3029" spans="36:36" x14ac:dyDescent="0.35">
      <c r="AJ3029" s="213"/>
    </row>
    <row r="3030" spans="36:36" x14ac:dyDescent="0.35">
      <c r="AJ3030" s="213"/>
    </row>
    <row r="3031" spans="36:36" x14ac:dyDescent="0.35">
      <c r="AJ3031" s="213"/>
    </row>
    <row r="3032" spans="36:36" x14ac:dyDescent="0.35">
      <c r="AJ3032" s="213"/>
    </row>
    <row r="3033" spans="36:36" x14ac:dyDescent="0.35">
      <c r="AJ3033" s="213"/>
    </row>
    <row r="3034" spans="36:36" x14ac:dyDescent="0.35">
      <c r="AJ3034" s="213"/>
    </row>
    <row r="3035" spans="36:36" x14ac:dyDescent="0.35">
      <c r="AJ3035" s="213"/>
    </row>
    <row r="3036" spans="36:36" x14ac:dyDescent="0.35">
      <c r="AJ3036" s="213"/>
    </row>
    <row r="3037" spans="36:36" x14ac:dyDescent="0.35">
      <c r="AJ3037" s="213"/>
    </row>
    <row r="3038" spans="36:36" x14ac:dyDescent="0.35">
      <c r="AJ3038" s="213"/>
    </row>
    <row r="3039" spans="36:36" x14ac:dyDescent="0.35">
      <c r="AJ3039" s="213"/>
    </row>
    <row r="3040" spans="36:36" x14ac:dyDescent="0.35">
      <c r="AJ3040" s="213"/>
    </row>
    <row r="3041" spans="36:36" x14ac:dyDescent="0.35">
      <c r="AJ3041" s="213"/>
    </row>
    <row r="3042" spans="36:36" x14ac:dyDescent="0.35">
      <c r="AJ3042" s="213"/>
    </row>
    <row r="3043" spans="36:36" x14ac:dyDescent="0.35">
      <c r="AJ3043" s="213"/>
    </row>
    <row r="3044" spans="36:36" x14ac:dyDescent="0.35">
      <c r="AJ3044" s="213"/>
    </row>
    <row r="3045" spans="36:36" x14ac:dyDescent="0.35">
      <c r="AJ3045" s="213"/>
    </row>
    <row r="3046" spans="36:36" x14ac:dyDescent="0.35">
      <c r="AJ3046" s="213"/>
    </row>
    <row r="3047" spans="36:36" x14ac:dyDescent="0.35">
      <c r="AJ3047" s="213"/>
    </row>
    <row r="3048" spans="36:36" x14ac:dyDescent="0.35">
      <c r="AJ3048" s="213"/>
    </row>
    <row r="3049" spans="36:36" x14ac:dyDescent="0.35">
      <c r="AJ3049" s="213"/>
    </row>
    <row r="3050" spans="36:36" x14ac:dyDescent="0.35">
      <c r="AJ3050" s="213"/>
    </row>
    <row r="3051" spans="36:36" x14ac:dyDescent="0.35">
      <c r="AJ3051" s="213"/>
    </row>
    <row r="3052" spans="36:36" x14ac:dyDescent="0.35">
      <c r="AJ3052" s="213"/>
    </row>
    <row r="3053" spans="36:36" x14ac:dyDescent="0.35">
      <c r="AJ3053" s="213"/>
    </row>
    <row r="3054" spans="36:36" x14ac:dyDescent="0.35">
      <c r="AJ3054" s="213"/>
    </row>
    <row r="3055" spans="36:36" x14ac:dyDescent="0.35">
      <c r="AJ3055" s="213"/>
    </row>
    <row r="3056" spans="36:36" x14ac:dyDescent="0.35">
      <c r="AJ3056" s="213"/>
    </row>
    <row r="3057" spans="36:36" x14ac:dyDescent="0.35">
      <c r="AJ3057" s="213"/>
    </row>
    <row r="3058" spans="36:36" x14ac:dyDescent="0.35">
      <c r="AJ3058" s="213"/>
    </row>
    <row r="3059" spans="36:36" x14ac:dyDescent="0.35">
      <c r="AJ3059" s="213"/>
    </row>
    <row r="3060" spans="36:36" x14ac:dyDescent="0.35">
      <c r="AJ3060" s="213"/>
    </row>
    <row r="3061" spans="36:36" x14ac:dyDescent="0.35">
      <c r="AJ3061" s="213"/>
    </row>
    <row r="3062" spans="36:36" x14ac:dyDescent="0.35">
      <c r="AJ3062" s="213"/>
    </row>
    <row r="3063" spans="36:36" x14ac:dyDescent="0.35">
      <c r="AJ3063" s="213"/>
    </row>
    <row r="3064" spans="36:36" x14ac:dyDescent="0.35">
      <c r="AJ3064" s="213"/>
    </row>
    <row r="3065" spans="36:36" x14ac:dyDescent="0.35">
      <c r="AJ3065" s="213"/>
    </row>
    <row r="3066" spans="36:36" x14ac:dyDescent="0.35">
      <c r="AJ3066" s="213"/>
    </row>
    <row r="3067" spans="36:36" x14ac:dyDescent="0.35">
      <c r="AJ3067" s="213"/>
    </row>
    <row r="3068" spans="36:36" x14ac:dyDescent="0.35">
      <c r="AJ3068" s="213"/>
    </row>
    <row r="3069" spans="36:36" x14ac:dyDescent="0.35">
      <c r="AJ3069" s="213"/>
    </row>
    <row r="3070" spans="36:36" x14ac:dyDescent="0.35">
      <c r="AJ3070" s="213"/>
    </row>
    <row r="3071" spans="36:36" x14ac:dyDescent="0.35">
      <c r="AJ3071" s="213"/>
    </row>
    <row r="3072" spans="36:36" x14ac:dyDescent="0.35">
      <c r="AJ3072" s="213"/>
    </row>
    <row r="3073" spans="36:36" x14ac:dyDescent="0.35">
      <c r="AJ3073" s="213"/>
    </row>
    <row r="3074" spans="36:36" x14ac:dyDescent="0.35">
      <c r="AJ3074" s="213"/>
    </row>
    <row r="3075" spans="36:36" x14ac:dyDescent="0.35">
      <c r="AJ3075" s="213"/>
    </row>
    <row r="3076" spans="36:36" x14ac:dyDescent="0.35">
      <c r="AJ3076" s="213"/>
    </row>
    <row r="3077" spans="36:36" x14ac:dyDescent="0.35">
      <c r="AJ3077" s="213"/>
    </row>
    <row r="3078" spans="36:36" x14ac:dyDescent="0.35">
      <c r="AJ3078" s="213"/>
    </row>
    <row r="3079" spans="36:36" x14ac:dyDescent="0.35">
      <c r="AJ3079" s="213"/>
    </row>
    <row r="3080" spans="36:36" x14ac:dyDescent="0.35">
      <c r="AJ3080" s="213"/>
    </row>
    <row r="3081" spans="36:36" x14ac:dyDescent="0.35">
      <c r="AJ3081" s="213"/>
    </row>
    <row r="3082" spans="36:36" x14ac:dyDescent="0.35">
      <c r="AJ3082" s="213"/>
    </row>
    <row r="3083" spans="36:36" x14ac:dyDescent="0.35">
      <c r="AJ3083" s="213"/>
    </row>
    <row r="3084" spans="36:36" x14ac:dyDescent="0.35">
      <c r="AJ3084" s="213"/>
    </row>
    <row r="3085" spans="36:36" x14ac:dyDescent="0.35">
      <c r="AJ3085" s="213"/>
    </row>
    <row r="3086" spans="36:36" x14ac:dyDescent="0.35">
      <c r="AJ3086" s="213"/>
    </row>
    <row r="3087" spans="36:36" x14ac:dyDescent="0.35">
      <c r="AJ3087" s="213"/>
    </row>
    <row r="3088" spans="36:36" x14ac:dyDescent="0.35">
      <c r="AJ3088" s="213"/>
    </row>
    <row r="3089" spans="36:36" x14ac:dyDescent="0.35">
      <c r="AJ3089" s="213"/>
    </row>
    <row r="3090" spans="36:36" x14ac:dyDescent="0.35">
      <c r="AJ3090" s="213"/>
    </row>
    <row r="3091" spans="36:36" x14ac:dyDescent="0.35">
      <c r="AJ3091" s="213"/>
    </row>
    <row r="3092" spans="36:36" x14ac:dyDescent="0.35">
      <c r="AJ3092" s="213"/>
    </row>
    <row r="3093" spans="36:36" x14ac:dyDescent="0.35">
      <c r="AJ3093" s="213"/>
    </row>
    <row r="3094" spans="36:36" x14ac:dyDescent="0.35">
      <c r="AJ3094" s="213"/>
    </row>
    <row r="3095" spans="36:36" x14ac:dyDescent="0.35">
      <c r="AJ3095" s="213"/>
    </row>
    <row r="3096" spans="36:36" x14ac:dyDescent="0.35">
      <c r="AJ3096" s="213"/>
    </row>
    <row r="3097" spans="36:36" x14ac:dyDescent="0.35">
      <c r="AJ3097" s="213"/>
    </row>
    <row r="3098" spans="36:36" x14ac:dyDescent="0.35">
      <c r="AJ3098" s="213"/>
    </row>
    <row r="3099" spans="36:36" x14ac:dyDescent="0.35">
      <c r="AJ3099" s="213"/>
    </row>
    <row r="3100" spans="36:36" x14ac:dyDescent="0.35">
      <c r="AJ3100" s="213"/>
    </row>
    <row r="3101" spans="36:36" x14ac:dyDescent="0.35">
      <c r="AJ3101" s="213"/>
    </row>
    <row r="3102" spans="36:36" x14ac:dyDescent="0.35">
      <c r="AJ3102" s="213"/>
    </row>
    <row r="3103" spans="36:36" x14ac:dyDescent="0.35">
      <c r="AJ3103" s="213"/>
    </row>
    <row r="3104" spans="36:36" x14ac:dyDescent="0.35">
      <c r="AJ3104" s="213"/>
    </row>
    <row r="3105" spans="36:36" x14ac:dyDescent="0.35">
      <c r="AJ3105" s="213"/>
    </row>
    <row r="3106" spans="36:36" x14ac:dyDescent="0.35">
      <c r="AJ3106" s="213"/>
    </row>
    <row r="3107" spans="36:36" x14ac:dyDescent="0.35">
      <c r="AJ3107" s="213"/>
    </row>
    <row r="3108" spans="36:36" x14ac:dyDescent="0.35">
      <c r="AJ3108" s="213"/>
    </row>
    <row r="3109" spans="36:36" x14ac:dyDescent="0.35">
      <c r="AJ3109" s="213"/>
    </row>
    <row r="3110" spans="36:36" x14ac:dyDescent="0.35">
      <c r="AJ3110" s="213"/>
    </row>
    <row r="3111" spans="36:36" x14ac:dyDescent="0.35">
      <c r="AJ3111" s="213"/>
    </row>
    <row r="3112" spans="36:36" x14ac:dyDescent="0.35">
      <c r="AJ3112" s="213"/>
    </row>
    <row r="3113" spans="36:36" x14ac:dyDescent="0.35">
      <c r="AJ3113" s="213"/>
    </row>
    <row r="3114" spans="36:36" x14ac:dyDescent="0.35">
      <c r="AJ3114" s="213"/>
    </row>
    <row r="3115" spans="36:36" x14ac:dyDescent="0.35">
      <c r="AJ3115" s="213"/>
    </row>
    <row r="3116" spans="36:36" x14ac:dyDescent="0.35">
      <c r="AJ3116" s="213"/>
    </row>
    <row r="3117" spans="36:36" x14ac:dyDescent="0.35">
      <c r="AJ3117" s="213"/>
    </row>
    <row r="3118" spans="36:36" x14ac:dyDescent="0.35">
      <c r="AJ3118" s="213"/>
    </row>
    <row r="3119" spans="36:36" x14ac:dyDescent="0.35">
      <c r="AJ3119" s="213"/>
    </row>
    <row r="3120" spans="36:36" x14ac:dyDescent="0.35">
      <c r="AJ3120" s="213"/>
    </row>
    <row r="3121" spans="36:36" x14ac:dyDescent="0.35">
      <c r="AJ3121" s="213"/>
    </row>
    <row r="3122" spans="36:36" x14ac:dyDescent="0.35">
      <c r="AJ3122" s="213"/>
    </row>
    <row r="3123" spans="36:36" x14ac:dyDescent="0.35">
      <c r="AJ3123" s="213"/>
    </row>
    <row r="3124" spans="36:36" x14ac:dyDescent="0.35">
      <c r="AJ3124" s="213"/>
    </row>
    <row r="3125" spans="36:36" x14ac:dyDescent="0.35">
      <c r="AJ3125" s="213"/>
    </row>
    <row r="3126" spans="36:36" x14ac:dyDescent="0.35">
      <c r="AJ3126" s="213"/>
    </row>
    <row r="3127" spans="36:36" x14ac:dyDescent="0.35">
      <c r="AJ3127" s="213"/>
    </row>
    <row r="3128" spans="36:36" x14ac:dyDescent="0.35">
      <c r="AJ3128" s="213"/>
    </row>
    <row r="3129" spans="36:36" x14ac:dyDescent="0.35">
      <c r="AJ3129" s="213"/>
    </row>
    <row r="3130" spans="36:36" x14ac:dyDescent="0.35">
      <c r="AJ3130" s="213"/>
    </row>
    <row r="3131" spans="36:36" x14ac:dyDescent="0.35">
      <c r="AJ3131" s="213"/>
    </row>
    <row r="3132" spans="36:36" x14ac:dyDescent="0.35">
      <c r="AJ3132" s="213"/>
    </row>
    <row r="3133" spans="36:36" x14ac:dyDescent="0.35">
      <c r="AJ3133" s="213"/>
    </row>
    <row r="3134" spans="36:36" x14ac:dyDescent="0.35">
      <c r="AJ3134" s="213"/>
    </row>
    <row r="3135" spans="36:36" x14ac:dyDescent="0.35">
      <c r="AJ3135" s="213"/>
    </row>
    <row r="3136" spans="36:36" x14ac:dyDescent="0.35">
      <c r="AJ3136" s="213"/>
    </row>
    <row r="3137" spans="36:36" x14ac:dyDescent="0.35">
      <c r="AJ3137" s="213"/>
    </row>
    <row r="3138" spans="36:36" x14ac:dyDescent="0.35">
      <c r="AJ3138" s="213"/>
    </row>
    <row r="3139" spans="36:36" x14ac:dyDescent="0.35">
      <c r="AJ3139" s="213"/>
    </row>
    <row r="3140" spans="36:36" x14ac:dyDescent="0.35">
      <c r="AJ3140" s="213"/>
    </row>
    <row r="3141" spans="36:36" x14ac:dyDescent="0.35">
      <c r="AJ3141" s="213"/>
    </row>
    <row r="3142" spans="36:36" x14ac:dyDescent="0.35">
      <c r="AJ3142" s="213"/>
    </row>
    <row r="3143" spans="36:36" x14ac:dyDescent="0.35">
      <c r="AJ3143" s="213"/>
    </row>
    <row r="3144" spans="36:36" x14ac:dyDescent="0.35">
      <c r="AJ3144" s="213"/>
    </row>
    <row r="3145" spans="36:36" x14ac:dyDescent="0.35">
      <c r="AJ3145" s="213"/>
    </row>
    <row r="3146" spans="36:36" x14ac:dyDescent="0.35">
      <c r="AJ3146" s="213"/>
    </row>
    <row r="3147" spans="36:36" x14ac:dyDescent="0.35">
      <c r="AJ3147" s="213"/>
    </row>
    <row r="3148" spans="36:36" x14ac:dyDescent="0.35">
      <c r="AJ3148" s="213"/>
    </row>
    <row r="3149" spans="36:36" x14ac:dyDescent="0.35">
      <c r="AJ3149" s="213"/>
    </row>
    <row r="3150" spans="36:36" x14ac:dyDescent="0.35">
      <c r="AJ3150" s="213"/>
    </row>
    <row r="3151" spans="36:36" x14ac:dyDescent="0.35">
      <c r="AJ3151" s="213"/>
    </row>
    <row r="3152" spans="36:36" x14ac:dyDescent="0.35">
      <c r="AJ3152" s="213"/>
    </row>
    <row r="3153" spans="36:36" x14ac:dyDescent="0.35">
      <c r="AJ3153" s="213"/>
    </row>
    <row r="3154" spans="36:36" x14ac:dyDescent="0.35">
      <c r="AJ3154" s="213"/>
    </row>
    <row r="3155" spans="36:36" x14ac:dyDescent="0.35">
      <c r="AJ3155" s="213"/>
    </row>
    <row r="3156" spans="36:36" x14ac:dyDescent="0.35">
      <c r="AJ3156" s="213"/>
    </row>
    <row r="3157" spans="36:36" x14ac:dyDescent="0.35">
      <c r="AJ3157" s="213"/>
    </row>
    <row r="3158" spans="36:36" x14ac:dyDescent="0.35">
      <c r="AJ3158" s="213"/>
    </row>
    <row r="3159" spans="36:36" x14ac:dyDescent="0.35">
      <c r="AJ3159" s="213"/>
    </row>
    <row r="3160" spans="36:36" x14ac:dyDescent="0.35">
      <c r="AJ3160" s="213"/>
    </row>
    <row r="3161" spans="36:36" x14ac:dyDescent="0.35">
      <c r="AJ3161" s="213"/>
    </row>
    <row r="3162" spans="36:36" x14ac:dyDescent="0.35">
      <c r="AJ3162" s="213"/>
    </row>
    <row r="3163" spans="36:36" x14ac:dyDescent="0.35">
      <c r="AJ3163" s="213"/>
    </row>
    <row r="3164" spans="36:36" x14ac:dyDescent="0.35">
      <c r="AJ3164" s="213"/>
    </row>
    <row r="3165" spans="36:36" x14ac:dyDescent="0.35">
      <c r="AJ3165" s="213"/>
    </row>
    <row r="3166" spans="36:36" x14ac:dyDescent="0.35">
      <c r="AJ3166" s="213"/>
    </row>
    <row r="3167" spans="36:36" x14ac:dyDescent="0.35">
      <c r="AJ3167" s="213"/>
    </row>
    <row r="3168" spans="36:36" x14ac:dyDescent="0.35">
      <c r="AJ3168" s="213"/>
    </row>
    <row r="3169" spans="36:36" x14ac:dyDescent="0.35">
      <c r="AJ3169" s="213"/>
    </row>
    <row r="3170" spans="36:36" x14ac:dyDescent="0.35">
      <c r="AJ3170" s="213"/>
    </row>
    <row r="3171" spans="36:36" x14ac:dyDescent="0.35">
      <c r="AJ3171" s="213"/>
    </row>
    <row r="3172" spans="36:36" x14ac:dyDescent="0.35">
      <c r="AJ3172" s="213"/>
    </row>
    <row r="3173" spans="36:36" x14ac:dyDescent="0.35">
      <c r="AJ3173" s="213"/>
    </row>
    <row r="3174" spans="36:36" x14ac:dyDescent="0.35">
      <c r="AJ3174" s="213"/>
    </row>
    <row r="3175" spans="36:36" x14ac:dyDescent="0.35">
      <c r="AJ3175" s="213"/>
    </row>
    <row r="3176" spans="36:36" x14ac:dyDescent="0.35">
      <c r="AJ3176" s="213"/>
    </row>
    <row r="3177" spans="36:36" x14ac:dyDescent="0.35">
      <c r="AJ3177" s="213"/>
    </row>
    <row r="3178" spans="36:36" x14ac:dyDescent="0.35">
      <c r="AJ3178" s="213"/>
    </row>
    <row r="3179" spans="36:36" x14ac:dyDescent="0.35">
      <c r="AJ3179" s="213"/>
    </row>
    <row r="3180" spans="36:36" x14ac:dyDescent="0.35">
      <c r="AJ3180" s="213"/>
    </row>
    <row r="3181" spans="36:36" x14ac:dyDescent="0.35">
      <c r="AJ3181" s="213"/>
    </row>
    <row r="3182" spans="36:36" x14ac:dyDescent="0.35">
      <c r="AJ3182" s="213"/>
    </row>
    <row r="3183" spans="36:36" x14ac:dyDescent="0.35">
      <c r="AJ3183" s="213"/>
    </row>
    <row r="3184" spans="36:36" x14ac:dyDescent="0.35">
      <c r="AJ3184" s="213"/>
    </row>
    <row r="3185" spans="36:36" x14ac:dyDescent="0.35">
      <c r="AJ3185" s="213"/>
    </row>
    <row r="3186" spans="36:36" x14ac:dyDescent="0.35">
      <c r="AJ3186" s="213"/>
    </row>
    <row r="3187" spans="36:36" x14ac:dyDescent="0.35">
      <c r="AJ3187" s="213"/>
    </row>
    <row r="3188" spans="36:36" x14ac:dyDescent="0.35">
      <c r="AJ3188" s="213"/>
    </row>
    <row r="3189" spans="36:36" x14ac:dyDescent="0.35">
      <c r="AJ3189" s="213"/>
    </row>
    <row r="3190" spans="36:36" x14ac:dyDescent="0.35">
      <c r="AJ3190" s="213"/>
    </row>
    <row r="3191" spans="36:36" x14ac:dyDescent="0.35">
      <c r="AJ3191" s="213"/>
    </row>
    <row r="3192" spans="36:36" x14ac:dyDescent="0.35">
      <c r="AJ3192" s="213"/>
    </row>
    <row r="3193" spans="36:36" x14ac:dyDescent="0.35">
      <c r="AJ3193" s="213"/>
    </row>
    <row r="3194" spans="36:36" x14ac:dyDescent="0.35">
      <c r="AJ3194" s="213"/>
    </row>
    <row r="3195" spans="36:36" x14ac:dyDescent="0.35">
      <c r="AJ3195" s="213"/>
    </row>
    <row r="3196" spans="36:36" x14ac:dyDescent="0.35">
      <c r="AJ3196" s="213"/>
    </row>
    <row r="3197" spans="36:36" x14ac:dyDescent="0.35">
      <c r="AJ3197" s="213"/>
    </row>
    <row r="3198" spans="36:36" x14ac:dyDescent="0.35">
      <c r="AJ3198" s="213"/>
    </row>
    <row r="3199" spans="36:36" x14ac:dyDescent="0.35">
      <c r="AJ3199" s="213"/>
    </row>
    <row r="3200" spans="36:36" x14ac:dyDescent="0.35">
      <c r="AJ3200" s="213"/>
    </row>
    <row r="3201" spans="36:36" x14ac:dyDescent="0.35">
      <c r="AJ3201" s="213"/>
    </row>
    <row r="3202" spans="36:36" x14ac:dyDescent="0.35">
      <c r="AJ3202" s="213"/>
    </row>
    <row r="3203" spans="36:36" x14ac:dyDescent="0.35">
      <c r="AJ3203" s="213"/>
    </row>
    <row r="3204" spans="36:36" x14ac:dyDescent="0.35">
      <c r="AJ3204" s="213"/>
    </row>
    <row r="3205" spans="36:36" x14ac:dyDescent="0.35">
      <c r="AJ3205" s="213"/>
    </row>
    <row r="3206" spans="36:36" x14ac:dyDescent="0.35">
      <c r="AJ3206" s="213"/>
    </row>
    <row r="3207" spans="36:36" x14ac:dyDescent="0.35">
      <c r="AJ3207" s="213"/>
    </row>
    <row r="3208" spans="36:36" x14ac:dyDescent="0.35">
      <c r="AJ3208" s="213"/>
    </row>
    <row r="3209" spans="36:36" x14ac:dyDescent="0.35">
      <c r="AJ3209" s="213"/>
    </row>
    <row r="3210" spans="36:36" x14ac:dyDescent="0.35">
      <c r="AJ3210" s="213"/>
    </row>
    <row r="3211" spans="36:36" x14ac:dyDescent="0.35">
      <c r="AJ3211" s="213"/>
    </row>
    <row r="3212" spans="36:36" x14ac:dyDescent="0.35">
      <c r="AJ3212" s="213"/>
    </row>
    <row r="3213" spans="36:36" x14ac:dyDescent="0.35">
      <c r="AJ3213" s="213"/>
    </row>
    <row r="3214" spans="36:36" x14ac:dyDescent="0.35">
      <c r="AJ3214" s="213"/>
    </row>
    <row r="3215" spans="36:36" x14ac:dyDescent="0.35">
      <c r="AJ3215" s="213"/>
    </row>
    <row r="3216" spans="36:36" x14ac:dyDescent="0.35">
      <c r="AJ3216" s="213"/>
    </row>
    <row r="3217" spans="36:36" x14ac:dyDescent="0.35">
      <c r="AJ3217" s="213"/>
    </row>
    <row r="3218" spans="36:36" x14ac:dyDescent="0.35">
      <c r="AJ3218" s="213"/>
    </row>
    <row r="3219" spans="36:36" x14ac:dyDescent="0.35">
      <c r="AJ3219" s="213"/>
    </row>
    <row r="3220" spans="36:36" x14ac:dyDescent="0.35">
      <c r="AJ3220" s="213"/>
    </row>
    <row r="3221" spans="36:36" x14ac:dyDescent="0.35">
      <c r="AJ3221" s="213"/>
    </row>
    <row r="3222" spans="36:36" x14ac:dyDescent="0.35">
      <c r="AJ3222" s="213"/>
    </row>
    <row r="3223" spans="36:36" x14ac:dyDescent="0.35">
      <c r="AJ3223" s="213"/>
    </row>
    <row r="3224" spans="36:36" x14ac:dyDescent="0.35">
      <c r="AJ3224" s="213"/>
    </row>
    <row r="3225" spans="36:36" x14ac:dyDescent="0.35">
      <c r="AJ3225" s="213"/>
    </row>
    <row r="3226" spans="36:36" x14ac:dyDescent="0.35">
      <c r="AJ3226" s="213"/>
    </row>
    <row r="3227" spans="36:36" x14ac:dyDescent="0.35">
      <c r="AJ3227" s="213"/>
    </row>
    <row r="3228" spans="36:36" x14ac:dyDescent="0.35">
      <c r="AJ3228" s="213"/>
    </row>
    <row r="3229" spans="36:36" x14ac:dyDescent="0.35">
      <c r="AJ3229" s="213"/>
    </row>
    <row r="3230" spans="36:36" x14ac:dyDescent="0.35">
      <c r="AJ3230" s="213"/>
    </row>
    <row r="3231" spans="36:36" x14ac:dyDescent="0.35">
      <c r="AJ3231" s="213"/>
    </row>
    <row r="3232" spans="36:36" x14ac:dyDescent="0.35">
      <c r="AJ3232" s="213"/>
    </row>
    <row r="3233" spans="36:36" x14ac:dyDescent="0.35">
      <c r="AJ3233" s="213"/>
    </row>
    <row r="3234" spans="36:36" x14ac:dyDescent="0.35">
      <c r="AJ3234" s="213"/>
    </row>
    <row r="3235" spans="36:36" x14ac:dyDescent="0.35">
      <c r="AJ3235" s="213"/>
    </row>
    <row r="3236" spans="36:36" x14ac:dyDescent="0.35">
      <c r="AJ3236" s="213"/>
    </row>
    <row r="3237" spans="36:36" x14ac:dyDescent="0.35">
      <c r="AJ3237" s="213"/>
    </row>
    <row r="3238" spans="36:36" x14ac:dyDescent="0.35">
      <c r="AJ3238" s="213"/>
    </row>
    <row r="3239" spans="36:36" x14ac:dyDescent="0.35">
      <c r="AJ3239" s="213"/>
    </row>
    <row r="3240" spans="36:36" x14ac:dyDescent="0.35">
      <c r="AJ3240" s="213"/>
    </row>
    <row r="3241" spans="36:36" x14ac:dyDescent="0.35">
      <c r="AJ3241" s="213"/>
    </row>
    <row r="3242" spans="36:36" x14ac:dyDescent="0.35">
      <c r="AJ3242" s="213"/>
    </row>
    <row r="3243" spans="36:36" x14ac:dyDescent="0.35">
      <c r="AJ3243" s="213"/>
    </row>
    <row r="3244" spans="36:36" x14ac:dyDescent="0.35">
      <c r="AJ3244" s="213"/>
    </row>
    <row r="3245" spans="36:36" x14ac:dyDescent="0.35">
      <c r="AJ3245" s="213"/>
    </row>
    <row r="3246" spans="36:36" x14ac:dyDescent="0.35">
      <c r="AJ3246" s="213"/>
    </row>
    <row r="3247" spans="36:36" x14ac:dyDescent="0.35">
      <c r="AJ3247" s="213"/>
    </row>
    <row r="3248" spans="36:36" x14ac:dyDescent="0.35">
      <c r="AJ3248" s="213"/>
    </row>
    <row r="3249" spans="36:36" x14ac:dyDescent="0.35">
      <c r="AJ3249" s="213"/>
    </row>
    <row r="3250" spans="36:36" x14ac:dyDescent="0.35">
      <c r="AJ3250" s="213"/>
    </row>
    <row r="3251" spans="36:36" x14ac:dyDescent="0.35">
      <c r="AJ3251" s="213"/>
    </row>
    <row r="3252" spans="36:36" x14ac:dyDescent="0.35">
      <c r="AJ3252" s="213"/>
    </row>
    <row r="3253" spans="36:36" x14ac:dyDescent="0.35">
      <c r="AJ3253" s="213"/>
    </row>
    <row r="3254" spans="36:36" x14ac:dyDescent="0.35">
      <c r="AJ3254" s="213"/>
    </row>
    <row r="3255" spans="36:36" x14ac:dyDescent="0.35">
      <c r="AJ3255" s="213"/>
    </row>
    <row r="3256" spans="36:36" x14ac:dyDescent="0.35">
      <c r="AJ3256" s="213"/>
    </row>
    <row r="3257" spans="36:36" x14ac:dyDescent="0.35">
      <c r="AJ3257" s="213"/>
    </row>
    <row r="3258" spans="36:36" x14ac:dyDescent="0.35">
      <c r="AJ3258" s="213"/>
    </row>
    <row r="3259" spans="36:36" x14ac:dyDescent="0.35">
      <c r="AJ3259" s="213"/>
    </row>
    <row r="3260" spans="36:36" x14ac:dyDescent="0.35">
      <c r="AJ3260" s="213"/>
    </row>
    <row r="3261" spans="36:36" x14ac:dyDescent="0.35">
      <c r="AJ3261" s="213"/>
    </row>
    <row r="3262" spans="36:36" x14ac:dyDescent="0.35">
      <c r="AJ3262" s="213"/>
    </row>
    <row r="3263" spans="36:36" x14ac:dyDescent="0.35">
      <c r="AJ3263" s="213"/>
    </row>
    <row r="3264" spans="36:36" x14ac:dyDescent="0.35">
      <c r="AJ3264" s="213"/>
    </row>
    <row r="3265" spans="36:36" x14ac:dyDescent="0.35">
      <c r="AJ3265" s="213"/>
    </row>
    <row r="3266" spans="36:36" x14ac:dyDescent="0.35">
      <c r="AJ3266" s="213"/>
    </row>
    <row r="3267" spans="36:36" x14ac:dyDescent="0.35">
      <c r="AJ3267" s="213"/>
    </row>
    <row r="3268" spans="36:36" x14ac:dyDescent="0.35">
      <c r="AJ3268" s="213"/>
    </row>
    <row r="3269" spans="36:36" x14ac:dyDescent="0.35">
      <c r="AJ3269" s="213"/>
    </row>
    <row r="3270" spans="36:36" x14ac:dyDescent="0.35">
      <c r="AJ3270" s="213"/>
    </row>
    <row r="3271" spans="36:36" x14ac:dyDescent="0.35">
      <c r="AJ3271" s="213"/>
    </row>
    <row r="3272" spans="36:36" x14ac:dyDescent="0.35">
      <c r="AJ3272" s="213"/>
    </row>
    <row r="3273" spans="36:36" x14ac:dyDescent="0.35">
      <c r="AJ3273" s="213"/>
    </row>
    <row r="3274" spans="36:36" x14ac:dyDescent="0.35">
      <c r="AJ3274" s="213"/>
    </row>
    <row r="3275" spans="36:36" x14ac:dyDescent="0.35">
      <c r="AJ3275" s="213"/>
    </row>
    <row r="3276" spans="36:36" x14ac:dyDescent="0.35">
      <c r="AJ3276" s="213"/>
    </row>
    <row r="3277" spans="36:36" x14ac:dyDescent="0.35">
      <c r="AJ3277" s="213"/>
    </row>
    <row r="3278" spans="36:36" x14ac:dyDescent="0.35">
      <c r="AJ3278" s="213"/>
    </row>
    <row r="3279" spans="36:36" x14ac:dyDescent="0.35">
      <c r="AJ3279" s="213"/>
    </row>
    <row r="3280" spans="36:36" x14ac:dyDescent="0.35">
      <c r="AJ3280" s="213"/>
    </row>
    <row r="3281" spans="36:36" x14ac:dyDescent="0.35">
      <c r="AJ3281" s="213"/>
    </row>
    <row r="3282" spans="36:36" x14ac:dyDescent="0.35">
      <c r="AJ3282" s="213"/>
    </row>
    <row r="3283" spans="36:36" x14ac:dyDescent="0.35">
      <c r="AJ3283" s="213"/>
    </row>
    <row r="3284" spans="36:36" x14ac:dyDescent="0.35">
      <c r="AJ3284" s="213"/>
    </row>
    <row r="3285" spans="36:36" x14ac:dyDescent="0.35">
      <c r="AJ3285" s="213"/>
    </row>
    <row r="3286" spans="36:36" x14ac:dyDescent="0.35">
      <c r="AJ3286" s="213"/>
    </row>
    <row r="3287" spans="36:36" x14ac:dyDescent="0.35">
      <c r="AJ3287" s="213"/>
    </row>
    <row r="3288" spans="36:36" x14ac:dyDescent="0.35">
      <c r="AJ3288" s="213"/>
    </row>
    <row r="3289" spans="36:36" x14ac:dyDescent="0.35">
      <c r="AJ3289" s="213"/>
    </row>
    <row r="3290" spans="36:36" x14ac:dyDescent="0.35">
      <c r="AJ3290" s="213"/>
    </row>
    <row r="3291" spans="36:36" x14ac:dyDescent="0.35">
      <c r="AJ3291" s="213"/>
    </row>
    <row r="3292" spans="36:36" x14ac:dyDescent="0.35">
      <c r="AJ3292" s="213"/>
    </row>
    <row r="3293" spans="36:36" x14ac:dyDescent="0.35">
      <c r="AJ3293" s="213"/>
    </row>
    <row r="3294" spans="36:36" x14ac:dyDescent="0.35">
      <c r="AJ3294" s="213"/>
    </row>
    <row r="3295" spans="36:36" x14ac:dyDescent="0.35">
      <c r="AJ3295" s="213"/>
    </row>
    <row r="3296" spans="36:36" x14ac:dyDescent="0.35">
      <c r="AJ3296" s="213"/>
    </row>
    <row r="3297" spans="36:36" x14ac:dyDescent="0.35">
      <c r="AJ3297" s="213"/>
    </row>
    <row r="3298" spans="36:36" x14ac:dyDescent="0.35">
      <c r="AJ3298" s="213"/>
    </row>
    <row r="3299" spans="36:36" x14ac:dyDescent="0.35">
      <c r="AJ3299" s="213"/>
    </row>
    <row r="3300" spans="36:36" x14ac:dyDescent="0.35">
      <c r="AJ3300" s="213"/>
    </row>
    <row r="3301" spans="36:36" x14ac:dyDescent="0.35">
      <c r="AJ3301" s="213"/>
    </row>
    <row r="3302" spans="36:36" x14ac:dyDescent="0.35">
      <c r="AJ3302" s="213"/>
    </row>
    <row r="3303" spans="36:36" x14ac:dyDescent="0.35">
      <c r="AJ3303" s="213"/>
    </row>
    <row r="3304" spans="36:36" x14ac:dyDescent="0.35">
      <c r="AJ3304" s="213"/>
    </row>
    <row r="3305" spans="36:36" x14ac:dyDescent="0.35">
      <c r="AJ3305" s="213"/>
    </row>
    <row r="3306" spans="36:36" x14ac:dyDescent="0.35">
      <c r="AJ3306" s="213"/>
    </row>
    <row r="3307" spans="36:36" x14ac:dyDescent="0.35">
      <c r="AJ3307" s="213"/>
    </row>
    <row r="3308" spans="36:36" x14ac:dyDescent="0.35">
      <c r="AJ3308" s="213"/>
    </row>
    <row r="3309" spans="36:36" x14ac:dyDescent="0.35">
      <c r="AJ3309" s="213"/>
    </row>
    <row r="3310" spans="36:36" x14ac:dyDescent="0.35">
      <c r="AJ3310" s="213"/>
    </row>
    <row r="3311" spans="36:36" x14ac:dyDescent="0.35">
      <c r="AJ3311" s="213"/>
    </row>
    <row r="3312" spans="36:36" x14ac:dyDescent="0.35">
      <c r="AJ3312" s="213"/>
    </row>
    <row r="3313" spans="36:36" x14ac:dyDescent="0.35">
      <c r="AJ3313" s="213"/>
    </row>
    <row r="3314" spans="36:36" x14ac:dyDescent="0.35">
      <c r="AJ3314" s="213"/>
    </row>
    <row r="3315" spans="36:36" x14ac:dyDescent="0.35">
      <c r="AJ3315" s="213"/>
    </row>
    <row r="3316" spans="36:36" x14ac:dyDescent="0.35">
      <c r="AJ3316" s="213"/>
    </row>
    <row r="3317" spans="36:36" x14ac:dyDescent="0.35">
      <c r="AJ3317" s="213"/>
    </row>
    <row r="3318" spans="36:36" x14ac:dyDescent="0.35">
      <c r="AJ3318" s="213"/>
    </row>
    <row r="3319" spans="36:36" x14ac:dyDescent="0.35">
      <c r="AJ3319" s="213"/>
    </row>
    <row r="3320" spans="36:36" x14ac:dyDescent="0.35">
      <c r="AJ3320" s="213"/>
    </row>
    <row r="3321" spans="36:36" x14ac:dyDescent="0.35">
      <c r="AJ3321" s="213"/>
    </row>
    <row r="3322" spans="36:36" x14ac:dyDescent="0.35">
      <c r="AJ3322" s="213"/>
    </row>
    <row r="3323" spans="36:36" x14ac:dyDescent="0.35">
      <c r="AJ3323" s="213"/>
    </row>
    <row r="3324" spans="36:36" x14ac:dyDescent="0.35">
      <c r="AJ3324" s="213"/>
    </row>
    <row r="3325" spans="36:36" x14ac:dyDescent="0.35">
      <c r="AJ3325" s="213"/>
    </row>
    <row r="3326" spans="36:36" x14ac:dyDescent="0.35">
      <c r="AJ3326" s="213"/>
    </row>
    <row r="3327" spans="36:36" x14ac:dyDescent="0.35">
      <c r="AJ3327" s="213"/>
    </row>
    <row r="3328" spans="36:36" x14ac:dyDescent="0.35">
      <c r="AJ3328" s="213"/>
    </row>
    <row r="3329" spans="36:36" x14ac:dyDescent="0.35">
      <c r="AJ3329" s="213"/>
    </row>
    <row r="3330" spans="36:36" x14ac:dyDescent="0.35">
      <c r="AJ3330" s="213"/>
    </row>
    <row r="3331" spans="36:36" x14ac:dyDescent="0.35">
      <c r="AJ3331" s="213"/>
    </row>
    <row r="3332" spans="36:36" x14ac:dyDescent="0.35">
      <c r="AJ3332" s="213"/>
    </row>
    <row r="3333" spans="36:36" x14ac:dyDescent="0.35">
      <c r="AJ3333" s="213"/>
    </row>
    <row r="3334" spans="36:36" x14ac:dyDescent="0.35">
      <c r="AJ3334" s="213"/>
    </row>
    <row r="3335" spans="36:36" x14ac:dyDescent="0.35">
      <c r="AJ3335" s="213"/>
    </row>
    <row r="3336" spans="36:36" x14ac:dyDescent="0.35">
      <c r="AJ3336" s="213"/>
    </row>
    <row r="3337" spans="36:36" x14ac:dyDescent="0.35">
      <c r="AJ3337" s="213"/>
    </row>
    <row r="3338" spans="36:36" x14ac:dyDescent="0.35">
      <c r="AJ3338" s="213"/>
    </row>
    <row r="3339" spans="36:36" x14ac:dyDescent="0.35">
      <c r="AJ3339" s="213"/>
    </row>
    <row r="3340" spans="36:36" x14ac:dyDescent="0.35">
      <c r="AJ3340" s="213"/>
    </row>
    <row r="3341" spans="36:36" x14ac:dyDescent="0.35">
      <c r="AJ3341" s="213"/>
    </row>
    <row r="3342" spans="36:36" x14ac:dyDescent="0.35">
      <c r="AJ3342" s="213"/>
    </row>
    <row r="3343" spans="36:36" x14ac:dyDescent="0.35">
      <c r="AJ3343" s="213"/>
    </row>
    <row r="3344" spans="36:36" x14ac:dyDescent="0.35">
      <c r="AJ3344" s="213"/>
    </row>
    <row r="3345" spans="36:36" x14ac:dyDescent="0.35">
      <c r="AJ3345" s="213"/>
    </row>
    <row r="3346" spans="36:36" x14ac:dyDescent="0.35">
      <c r="AJ3346" s="213"/>
    </row>
    <row r="3347" spans="36:36" x14ac:dyDescent="0.35">
      <c r="AJ3347" s="213"/>
    </row>
    <row r="3348" spans="36:36" x14ac:dyDescent="0.35">
      <c r="AJ3348" s="213"/>
    </row>
    <row r="3349" spans="36:36" x14ac:dyDescent="0.35">
      <c r="AJ3349" s="213"/>
    </row>
    <row r="3350" spans="36:36" x14ac:dyDescent="0.35">
      <c r="AJ3350" s="213"/>
    </row>
    <row r="3351" spans="36:36" x14ac:dyDescent="0.35">
      <c r="AJ3351" s="213"/>
    </row>
    <row r="3352" spans="36:36" x14ac:dyDescent="0.35">
      <c r="AJ3352" s="213"/>
    </row>
    <row r="3353" spans="36:36" x14ac:dyDescent="0.35">
      <c r="AJ3353" s="213"/>
    </row>
    <row r="3354" spans="36:36" x14ac:dyDescent="0.35">
      <c r="AJ3354" s="213"/>
    </row>
    <row r="3355" spans="36:36" x14ac:dyDescent="0.35">
      <c r="AJ3355" s="213"/>
    </row>
    <row r="3356" spans="36:36" x14ac:dyDescent="0.35">
      <c r="AJ3356" s="213"/>
    </row>
    <row r="3357" spans="36:36" x14ac:dyDescent="0.35">
      <c r="AJ3357" s="213"/>
    </row>
    <row r="3358" spans="36:36" x14ac:dyDescent="0.35">
      <c r="AJ3358" s="213"/>
    </row>
    <row r="3359" spans="36:36" x14ac:dyDescent="0.35">
      <c r="AJ3359" s="213"/>
    </row>
    <row r="3360" spans="36:36" x14ac:dyDescent="0.35">
      <c r="AJ3360" s="213"/>
    </row>
    <row r="3361" spans="36:36" x14ac:dyDescent="0.35">
      <c r="AJ3361" s="213"/>
    </row>
    <row r="3362" spans="36:36" x14ac:dyDescent="0.35">
      <c r="AJ3362" s="213"/>
    </row>
    <row r="3363" spans="36:36" x14ac:dyDescent="0.35">
      <c r="AJ3363" s="213"/>
    </row>
    <row r="3364" spans="36:36" x14ac:dyDescent="0.35">
      <c r="AJ3364" s="213"/>
    </row>
    <row r="3365" spans="36:36" x14ac:dyDescent="0.35">
      <c r="AJ3365" s="213"/>
    </row>
    <row r="3366" spans="36:36" x14ac:dyDescent="0.35">
      <c r="AJ3366" s="213"/>
    </row>
    <row r="3367" spans="36:36" x14ac:dyDescent="0.35">
      <c r="AJ3367" s="213"/>
    </row>
    <row r="3368" spans="36:36" x14ac:dyDescent="0.35">
      <c r="AJ3368" s="213"/>
    </row>
    <row r="3369" spans="36:36" x14ac:dyDescent="0.35">
      <c r="AJ3369" s="213"/>
    </row>
    <row r="3370" spans="36:36" x14ac:dyDescent="0.35">
      <c r="AJ3370" s="213"/>
    </row>
    <row r="3371" spans="36:36" x14ac:dyDescent="0.35">
      <c r="AJ3371" s="213"/>
    </row>
    <row r="3372" spans="36:36" x14ac:dyDescent="0.35">
      <c r="AJ3372" s="213"/>
    </row>
    <row r="3373" spans="36:36" x14ac:dyDescent="0.35">
      <c r="AJ3373" s="213"/>
    </row>
    <row r="3374" spans="36:36" x14ac:dyDescent="0.35">
      <c r="AJ3374" s="213"/>
    </row>
    <row r="3375" spans="36:36" x14ac:dyDescent="0.35">
      <c r="AJ3375" s="213"/>
    </row>
    <row r="3376" spans="36:36" x14ac:dyDescent="0.35">
      <c r="AJ3376" s="213"/>
    </row>
    <row r="3377" spans="36:36" x14ac:dyDescent="0.35">
      <c r="AJ3377" s="213"/>
    </row>
    <row r="3378" spans="36:36" x14ac:dyDescent="0.35">
      <c r="AJ3378" s="213"/>
    </row>
    <row r="3379" spans="36:36" x14ac:dyDescent="0.35">
      <c r="AJ3379" s="213"/>
    </row>
    <row r="3380" spans="36:36" x14ac:dyDescent="0.35">
      <c r="AJ3380" s="213"/>
    </row>
    <row r="3381" spans="36:36" x14ac:dyDescent="0.35">
      <c r="AJ3381" s="213"/>
    </row>
    <row r="3382" spans="36:36" x14ac:dyDescent="0.35">
      <c r="AJ3382" s="213"/>
    </row>
    <row r="3383" spans="36:36" x14ac:dyDescent="0.35">
      <c r="AJ3383" s="213"/>
    </row>
    <row r="3384" spans="36:36" x14ac:dyDescent="0.35">
      <c r="AJ3384" s="213"/>
    </row>
    <row r="3385" spans="36:36" x14ac:dyDescent="0.35">
      <c r="AJ3385" s="213"/>
    </row>
    <row r="3386" spans="36:36" x14ac:dyDescent="0.35">
      <c r="AJ3386" s="213"/>
    </row>
    <row r="3387" spans="36:36" x14ac:dyDescent="0.35">
      <c r="AJ3387" s="213"/>
    </row>
    <row r="3388" spans="36:36" x14ac:dyDescent="0.35">
      <c r="AJ3388" s="213"/>
    </row>
    <row r="3389" spans="36:36" x14ac:dyDescent="0.35">
      <c r="AJ3389" s="213"/>
    </row>
    <row r="3390" spans="36:36" x14ac:dyDescent="0.35">
      <c r="AJ3390" s="213"/>
    </row>
    <row r="3391" spans="36:36" x14ac:dyDescent="0.35">
      <c r="AJ3391" s="213"/>
    </row>
    <row r="3392" spans="36:36" x14ac:dyDescent="0.35">
      <c r="AJ3392" s="213"/>
    </row>
    <row r="3393" spans="36:36" x14ac:dyDescent="0.35">
      <c r="AJ3393" s="213"/>
    </row>
    <row r="3394" spans="36:36" x14ac:dyDescent="0.35">
      <c r="AJ3394" s="213"/>
    </row>
    <row r="3395" spans="36:36" x14ac:dyDescent="0.35">
      <c r="AJ3395" s="213"/>
    </row>
    <row r="3396" spans="36:36" x14ac:dyDescent="0.35">
      <c r="AJ3396" s="213"/>
    </row>
    <row r="3397" spans="36:36" x14ac:dyDescent="0.35">
      <c r="AJ3397" s="213"/>
    </row>
    <row r="3398" spans="36:36" x14ac:dyDescent="0.35">
      <c r="AJ3398" s="213"/>
    </row>
    <row r="3399" spans="36:36" x14ac:dyDescent="0.35">
      <c r="AJ3399" s="213"/>
    </row>
    <row r="3400" spans="36:36" x14ac:dyDescent="0.35">
      <c r="AJ3400" s="213"/>
    </row>
    <row r="3401" spans="36:36" x14ac:dyDescent="0.35">
      <c r="AJ3401" s="213"/>
    </row>
    <row r="3402" spans="36:36" x14ac:dyDescent="0.35">
      <c r="AJ3402" s="213"/>
    </row>
    <row r="3403" spans="36:36" x14ac:dyDescent="0.35">
      <c r="AJ3403" s="213"/>
    </row>
    <row r="3404" spans="36:36" x14ac:dyDescent="0.35">
      <c r="AJ3404" s="213"/>
    </row>
    <row r="3405" spans="36:36" x14ac:dyDescent="0.35">
      <c r="AJ3405" s="213"/>
    </row>
    <row r="3406" spans="36:36" x14ac:dyDescent="0.35">
      <c r="AJ3406" s="213"/>
    </row>
    <row r="3407" spans="36:36" x14ac:dyDescent="0.35">
      <c r="AJ3407" s="213"/>
    </row>
    <row r="3408" spans="36:36" x14ac:dyDescent="0.35">
      <c r="AJ3408" s="213"/>
    </row>
    <row r="3409" spans="36:36" x14ac:dyDescent="0.35">
      <c r="AJ3409" s="213"/>
    </row>
    <row r="3410" spans="36:36" x14ac:dyDescent="0.35">
      <c r="AJ3410" s="213"/>
    </row>
    <row r="3411" spans="36:36" x14ac:dyDescent="0.35">
      <c r="AJ3411" s="213"/>
    </row>
    <row r="3412" spans="36:36" x14ac:dyDescent="0.35">
      <c r="AJ3412" s="213"/>
    </row>
    <row r="3413" spans="36:36" x14ac:dyDescent="0.35">
      <c r="AJ3413" s="213"/>
    </row>
    <row r="3414" spans="36:36" x14ac:dyDescent="0.35">
      <c r="AJ3414" s="213"/>
    </row>
    <row r="3415" spans="36:36" x14ac:dyDescent="0.35">
      <c r="AJ3415" s="213"/>
    </row>
    <row r="3416" spans="36:36" x14ac:dyDescent="0.35">
      <c r="AJ3416" s="213"/>
    </row>
    <row r="3417" spans="36:36" x14ac:dyDescent="0.35">
      <c r="AJ3417" s="213"/>
    </row>
    <row r="3418" spans="36:36" x14ac:dyDescent="0.35">
      <c r="AJ3418" s="213"/>
    </row>
    <row r="3419" spans="36:36" x14ac:dyDescent="0.35">
      <c r="AJ3419" s="213"/>
    </row>
    <row r="3420" spans="36:36" x14ac:dyDescent="0.35">
      <c r="AJ3420" s="213"/>
    </row>
    <row r="3421" spans="36:36" x14ac:dyDescent="0.35">
      <c r="AJ3421" s="213"/>
    </row>
    <row r="3422" spans="36:36" x14ac:dyDescent="0.35">
      <c r="AJ3422" s="213"/>
    </row>
    <row r="3423" spans="36:36" x14ac:dyDescent="0.35">
      <c r="AJ3423" s="213"/>
    </row>
    <row r="3424" spans="36:36" x14ac:dyDescent="0.35">
      <c r="AJ3424" s="213"/>
    </row>
    <row r="3425" spans="36:36" x14ac:dyDescent="0.35">
      <c r="AJ3425" s="213"/>
    </row>
    <row r="3426" spans="36:36" x14ac:dyDescent="0.35">
      <c r="AJ3426" s="213"/>
    </row>
    <row r="3427" spans="36:36" x14ac:dyDescent="0.35">
      <c r="AJ3427" s="213"/>
    </row>
    <row r="3428" spans="36:36" x14ac:dyDescent="0.35">
      <c r="AJ3428" s="213"/>
    </row>
    <row r="3429" spans="36:36" x14ac:dyDescent="0.35">
      <c r="AJ3429" s="213"/>
    </row>
    <row r="3430" spans="36:36" x14ac:dyDescent="0.35">
      <c r="AJ3430" s="213"/>
    </row>
    <row r="3431" spans="36:36" x14ac:dyDescent="0.35">
      <c r="AJ3431" s="213"/>
    </row>
    <row r="3432" spans="36:36" x14ac:dyDescent="0.35">
      <c r="AJ3432" s="213"/>
    </row>
    <row r="3433" spans="36:36" x14ac:dyDescent="0.35">
      <c r="AJ3433" s="213"/>
    </row>
    <row r="3434" spans="36:36" x14ac:dyDescent="0.35">
      <c r="AJ3434" s="213"/>
    </row>
    <row r="3435" spans="36:36" x14ac:dyDescent="0.35">
      <c r="AJ3435" s="213"/>
    </row>
    <row r="3436" spans="36:36" x14ac:dyDescent="0.35">
      <c r="AJ3436" s="213"/>
    </row>
    <row r="3437" spans="36:36" x14ac:dyDescent="0.35">
      <c r="AJ3437" s="213"/>
    </row>
    <row r="3438" spans="36:36" x14ac:dyDescent="0.35">
      <c r="AJ3438" s="213"/>
    </row>
    <row r="3439" spans="36:36" x14ac:dyDescent="0.35">
      <c r="AJ3439" s="213"/>
    </row>
    <row r="3440" spans="36:36" x14ac:dyDescent="0.35">
      <c r="AJ3440" s="213"/>
    </row>
    <row r="3441" spans="36:36" x14ac:dyDescent="0.35">
      <c r="AJ3441" s="213"/>
    </row>
    <row r="3442" spans="36:36" x14ac:dyDescent="0.35">
      <c r="AJ3442" s="213"/>
    </row>
    <row r="3443" spans="36:36" x14ac:dyDescent="0.35">
      <c r="AJ3443" s="213"/>
    </row>
    <row r="3444" spans="36:36" x14ac:dyDescent="0.35">
      <c r="AJ3444" s="213"/>
    </row>
    <row r="3445" spans="36:36" x14ac:dyDescent="0.35">
      <c r="AJ3445" s="213"/>
    </row>
    <row r="3446" spans="36:36" x14ac:dyDescent="0.35">
      <c r="AJ3446" s="213"/>
    </row>
    <row r="3447" spans="36:36" x14ac:dyDescent="0.35">
      <c r="AJ3447" s="213"/>
    </row>
    <row r="3448" spans="36:36" x14ac:dyDescent="0.35">
      <c r="AJ3448" s="213"/>
    </row>
    <row r="3449" spans="36:36" x14ac:dyDescent="0.35">
      <c r="AJ3449" s="213"/>
    </row>
    <row r="3450" spans="36:36" x14ac:dyDescent="0.35">
      <c r="AJ3450" s="213"/>
    </row>
    <row r="3451" spans="36:36" x14ac:dyDescent="0.35">
      <c r="AJ3451" s="213"/>
    </row>
    <row r="3452" spans="36:36" x14ac:dyDescent="0.35">
      <c r="AJ3452" s="213"/>
    </row>
    <row r="3453" spans="36:36" x14ac:dyDescent="0.35">
      <c r="AJ3453" s="213"/>
    </row>
    <row r="3454" spans="36:36" x14ac:dyDescent="0.35">
      <c r="AJ3454" s="213"/>
    </row>
    <row r="3455" spans="36:36" x14ac:dyDescent="0.35">
      <c r="AJ3455" s="213"/>
    </row>
    <row r="3456" spans="36:36" x14ac:dyDescent="0.35">
      <c r="AJ3456" s="213"/>
    </row>
    <row r="3457" spans="36:36" x14ac:dyDescent="0.35">
      <c r="AJ3457" s="213"/>
    </row>
    <row r="3458" spans="36:36" x14ac:dyDescent="0.35">
      <c r="AJ3458" s="213"/>
    </row>
    <row r="3459" spans="36:36" x14ac:dyDescent="0.35">
      <c r="AJ3459" s="213"/>
    </row>
    <row r="3460" spans="36:36" x14ac:dyDescent="0.35">
      <c r="AJ3460" s="213"/>
    </row>
    <row r="3461" spans="36:36" x14ac:dyDescent="0.35">
      <c r="AJ3461" s="213"/>
    </row>
    <row r="3462" spans="36:36" x14ac:dyDescent="0.35">
      <c r="AJ3462" s="213"/>
    </row>
    <row r="3463" spans="36:36" x14ac:dyDescent="0.35">
      <c r="AJ3463" s="213"/>
    </row>
    <row r="3464" spans="36:36" x14ac:dyDescent="0.35">
      <c r="AJ3464" s="213"/>
    </row>
    <row r="3465" spans="36:36" x14ac:dyDescent="0.35">
      <c r="AJ3465" s="213"/>
    </row>
    <row r="3466" spans="36:36" x14ac:dyDescent="0.35">
      <c r="AJ3466" s="213"/>
    </row>
    <row r="3467" spans="36:36" x14ac:dyDescent="0.35">
      <c r="AJ3467" s="213"/>
    </row>
    <row r="3468" spans="36:36" x14ac:dyDescent="0.35">
      <c r="AJ3468" s="213"/>
    </row>
    <row r="3469" spans="36:36" x14ac:dyDescent="0.35">
      <c r="AJ3469" s="213"/>
    </row>
    <row r="3470" spans="36:36" x14ac:dyDescent="0.35">
      <c r="AJ3470" s="213"/>
    </row>
    <row r="3471" spans="36:36" x14ac:dyDescent="0.35">
      <c r="AJ3471" s="213"/>
    </row>
    <row r="3472" spans="36:36" x14ac:dyDescent="0.35">
      <c r="AJ3472" s="213"/>
    </row>
    <row r="3473" spans="36:36" x14ac:dyDescent="0.35">
      <c r="AJ3473" s="213"/>
    </row>
    <row r="3474" spans="36:36" x14ac:dyDescent="0.35">
      <c r="AJ3474" s="213"/>
    </row>
    <row r="3475" spans="36:36" x14ac:dyDescent="0.35">
      <c r="AJ3475" s="213"/>
    </row>
    <row r="3476" spans="36:36" x14ac:dyDescent="0.35">
      <c r="AJ3476" s="213"/>
    </row>
    <row r="3477" spans="36:36" x14ac:dyDescent="0.35">
      <c r="AJ3477" s="213"/>
    </row>
    <row r="3478" spans="36:36" x14ac:dyDescent="0.35">
      <c r="AJ3478" s="213"/>
    </row>
    <row r="3479" spans="36:36" x14ac:dyDescent="0.35">
      <c r="AJ3479" s="213"/>
    </row>
    <row r="3480" spans="36:36" x14ac:dyDescent="0.35">
      <c r="AJ3480" s="213"/>
    </row>
    <row r="3481" spans="36:36" x14ac:dyDescent="0.35">
      <c r="AJ3481" s="213"/>
    </row>
    <row r="3482" spans="36:36" x14ac:dyDescent="0.35">
      <c r="AJ3482" s="213"/>
    </row>
    <row r="3483" spans="36:36" x14ac:dyDescent="0.35">
      <c r="AJ3483" s="213"/>
    </row>
    <row r="3484" spans="36:36" x14ac:dyDescent="0.35">
      <c r="AJ3484" s="213"/>
    </row>
    <row r="3485" spans="36:36" x14ac:dyDescent="0.35">
      <c r="AJ3485" s="213"/>
    </row>
    <row r="3486" spans="36:36" x14ac:dyDescent="0.35">
      <c r="AJ3486" s="213"/>
    </row>
    <row r="3487" spans="36:36" x14ac:dyDescent="0.35">
      <c r="AJ3487" s="213"/>
    </row>
    <row r="3488" spans="36:36" x14ac:dyDescent="0.35">
      <c r="AJ3488" s="213"/>
    </row>
    <row r="3489" spans="36:36" x14ac:dyDescent="0.35">
      <c r="AJ3489" s="213"/>
    </row>
    <row r="3490" spans="36:36" x14ac:dyDescent="0.35">
      <c r="AJ3490" s="213"/>
    </row>
    <row r="3491" spans="36:36" x14ac:dyDescent="0.35">
      <c r="AJ3491" s="213"/>
    </row>
    <row r="3492" spans="36:36" x14ac:dyDescent="0.35">
      <c r="AJ3492" s="213"/>
    </row>
    <row r="3493" spans="36:36" x14ac:dyDescent="0.35">
      <c r="AJ3493" s="213"/>
    </row>
    <row r="3494" spans="36:36" x14ac:dyDescent="0.35">
      <c r="AJ3494" s="213"/>
    </row>
    <row r="3495" spans="36:36" x14ac:dyDescent="0.35">
      <c r="AJ3495" s="213"/>
    </row>
    <row r="3496" spans="36:36" x14ac:dyDescent="0.35">
      <c r="AJ3496" s="213"/>
    </row>
    <row r="3497" spans="36:36" x14ac:dyDescent="0.35">
      <c r="AJ3497" s="213"/>
    </row>
    <row r="3498" spans="36:36" x14ac:dyDescent="0.35">
      <c r="AJ3498" s="213"/>
    </row>
    <row r="3499" spans="36:36" x14ac:dyDescent="0.35">
      <c r="AJ3499" s="213"/>
    </row>
    <row r="3500" spans="36:36" x14ac:dyDescent="0.35">
      <c r="AJ3500" s="213"/>
    </row>
    <row r="3501" spans="36:36" x14ac:dyDescent="0.35">
      <c r="AJ3501" s="213"/>
    </row>
    <row r="3502" spans="36:36" x14ac:dyDescent="0.35">
      <c r="AJ3502" s="213"/>
    </row>
    <row r="3503" spans="36:36" x14ac:dyDescent="0.35">
      <c r="AJ3503" s="213"/>
    </row>
    <row r="3504" spans="36:36" x14ac:dyDescent="0.35">
      <c r="AJ3504" s="213"/>
    </row>
    <row r="3505" spans="36:36" x14ac:dyDescent="0.35">
      <c r="AJ3505" s="213"/>
    </row>
    <row r="3506" spans="36:36" x14ac:dyDescent="0.35">
      <c r="AJ3506" s="213"/>
    </row>
    <row r="3507" spans="36:36" x14ac:dyDescent="0.35">
      <c r="AJ3507" s="213"/>
    </row>
    <row r="3508" spans="36:36" x14ac:dyDescent="0.35">
      <c r="AJ3508" s="213"/>
    </row>
    <row r="3509" spans="36:36" x14ac:dyDescent="0.35">
      <c r="AJ3509" s="213"/>
    </row>
    <row r="3510" spans="36:36" x14ac:dyDescent="0.35">
      <c r="AJ3510" s="213"/>
    </row>
    <row r="3511" spans="36:36" x14ac:dyDescent="0.35">
      <c r="AJ3511" s="213"/>
    </row>
    <row r="3512" spans="36:36" x14ac:dyDescent="0.35">
      <c r="AJ3512" s="213"/>
    </row>
    <row r="3513" spans="36:36" x14ac:dyDescent="0.35">
      <c r="AJ3513" s="213"/>
    </row>
    <row r="3514" spans="36:36" x14ac:dyDescent="0.35">
      <c r="AJ3514" s="213"/>
    </row>
    <row r="3515" spans="36:36" x14ac:dyDescent="0.35">
      <c r="AJ3515" s="213"/>
    </row>
    <row r="3516" spans="36:36" x14ac:dyDescent="0.35">
      <c r="AJ3516" s="213"/>
    </row>
    <row r="3517" spans="36:36" x14ac:dyDescent="0.35">
      <c r="AJ3517" s="213"/>
    </row>
    <row r="3518" spans="36:36" x14ac:dyDescent="0.35">
      <c r="AJ3518" s="213"/>
    </row>
    <row r="3519" spans="36:36" x14ac:dyDescent="0.35">
      <c r="AJ3519" s="213"/>
    </row>
    <row r="3520" spans="36:36" x14ac:dyDescent="0.35">
      <c r="AJ3520" s="213"/>
    </row>
    <row r="3521" spans="36:36" x14ac:dyDescent="0.35">
      <c r="AJ3521" s="213"/>
    </row>
    <row r="3522" spans="36:36" x14ac:dyDescent="0.35">
      <c r="AJ3522" s="213"/>
    </row>
    <row r="3523" spans="36:36" x14ac:dyDescent="0.35">
      <c r="AJ3523" s="213"/>
    </row>
    <row r="3524" spans="36:36" x14ac:dyDescent="0.35">
      <c r="AJ3524" s="213"/>
    </row>
    <row r="3525" spans="36:36" x14ac:dyDescent="0.35">
      <c r="AJ3525" s="213"/>
    </row>
    <row r="3526" spans="36:36" x14ac:dyDescent="0.35">
      <c r="AJ3526" s="213"/>
    </row>
    <row r="3527" spans="36:36" x14ac:dyDescent="0.35">
      <c r="AJ3527" s="213"/>
    </row>
    <row r="3528" spans="36:36" x14ac:dyDescent="0.35">
      <c r="AJ3528" s="213"/>
    </row>
    <row r="3529" spans="36:36" x14ac:dyDescent="0.35">
      <c r="AJ3529" s="213"/>
    </row>
    <row r="3530" spans="36:36" x14ac:dyDescent="0.35">
      <c r="AJ3530" s="213"/>
    </row>
    <row r="3531" spans="36:36" x14ac:dyDescent="0.35">
      <c r="AJ3531" s="213"/>
    </row>
    <row r="3532" spans="36:36" x14ac:dyDescent="0.35">
      <c r="AJ3532" s="213"/>
    </row>
    <row r="3533" spans="36:36" x14ac:dyDescent="0.35">
      <c r="AJ3533" s="213"/>
    </row>
    <row r="3534" spans="36:36" x14ac:dyDescent="0.35">
      <c r="AJ3534" s="213"/>
    </row>
    <row r="3535" spans="36:36" x14ac:dyDescent="0.35">
      <c r="AJ3535" s="213"/>
    </row>
    <row r="3536" spans="36:36" x14ac:dyDescent="0.35">
      <c r="AJ3536" s="213"/>
    </row>
    <row r="3537" spans="36:36" x14ac:dyDescent="0.35">
      <c r="AJ3537" s="213"/>
    </row>
    <row r="3538" spans="36:36" x14ac:dyDescent="0.35">
      <c r="AJ3538" s="213"/>
    </row>
    <row r="3539" spans="36:36" x14ac:dyDescent="0.35">
      <c r="AJ3539" s="213"/>
    </row>
    <row r="3540" spans="36:36" x14ac:dyDescent="0.35">
      <c r="AJ3540" s="213"/>
    </row>
    <row r="3541" spans="36:36" x14ac:dyDescent="0.35">
      <c r="AJ3541" s="213"/>
    </row>
    <row r="3542" spans="36:36" x14ac:dyDescent="0.35">
      <c r="AJ3542" s="213"/>
    </row>
    <row r="3543" spans="36:36" x14ac:dyDescent="0.35">
      <c r="AJ3543" s="213"/>
    </row>
    <row r="3544" spans="36:36" x14ac:dyDescent="0.35">
      <c r="AJ3544" s="213"/>
    </row>
    <row r="3545" spans="36:36" x14ac:dyDescent="0.35">
      <c r="AJ3545" s="213"/>
    </row>
    <row r="3546" spans="36:36" x14ac:dyDescent="0.35">
      <c r="AJ3546" s="213"/>
    </row>
    <row r="3547" spans="36:36" x14ac:dyDescent="0.35">
      <c r="AJ3547" s="213"/>
    </row>
    <row r="3548" spans="36:36" x14ac:dyDescent="0.35">
      <c r="AJ3548" s="213"/>
    </row>
    <row r="3549" spans="36:36" x14ac:dyDescent="0.35">
      <c r="AJ3549" s="213"/>
    </row>
    <row r="3550" spans="36:36" x14ac:dyDescent="0.35">
      <c r="AJ3550" s="213"/>
    </row>
    <row r="3551" spans="36:36" x14ac:dyDescent="0.35">
      <c r="AJ3551" s="213"/>
    </row>
    <row r="3552" spans="36:36" x14ac:dyDescent="0.35">
      <c r="AJ3552" s="213"/>
    </row>
    <row r="3553" spans="36:36" x14ac:dyDescent="0.35">
      <c r="AJ3553" s="213"/>
    </row>
    <row r="3554" spans="36:36" x14ac:dyDescent="0.35">
      <c r="AJ3554" s="213"/>
    </row>
    <row r="3555" spans="36:36" x14ac:dyDescent="0.35">
      <c r="AJ3555" s="213"/>
    </row>
    <row r="3556" spans="36:36" x14ac:dyDescent="0.35">
      <c r="AJ3556" s="213"/>
    </row>
    <row r="3557" spans="36:36" x14ac:dyDescent="0.35">
      <c r="AJ3557" s="213"/>
    </row>
    <row r="3558" spans="36:36" x14ac:dyDescent="0.35">
      <c r="AJ3558" s="213"/>
    </row>
    <row r="3559" spans="36:36" x14ac:dyDescent="0.35">
      <c r="AJ3559" s="213"/>
    </row>
    <row r="3560" spans="36:36" x14ac:dyDescent="0.35">
      <c r="AJ3560" s="213"/>
    </row>
    <row r="3561" spans="36:36" x14ac:dyDescent="0.35">
      <c r="AJ3561" s="213"/>
    </row>
    <row r="3562" spans="36:36" x14ac:dyDescent="0.35">
      <c r="AJ3562" s="213"/>
    </row>
    <row r="3563" spans="36:36" x14ac:dyDescent="0.35">
      <c r="AJ3563" s="213"/>
    </row>
    <row r="3564" spans="36:36" x14ac:dyDescent="0.35">
      <c r="AJ3564" s="213"/>
    </row>
    <row r="3565" spans="36:36" x14ac:dyDescent="0.35">
      <c r="AJ3565" s="213"/>
    </row>
    <row r="3566" spans="36:36" x14ac:dyDescent="0.35">
      <c r="AJ3566" s="213"/>
    </row>
    <row r="3567" spans="36:36" x14ac:dyDescent="0.35">
      <c r="AJ3567" s="213"/>
    </row>
    <row r="3568" spans="36:36" x14ac:dyDescent="0.35">
      <c r="AJ3568" s="213"/>
    </row>
    <row r="3569" spans="36:36" x14ac:dyDescent="0.35">
      <c r="AJ3569" s="213"/>
    </row>
    <row r="3570" spans="36:36" x14ac:dyDescent="0.35">
      <c r="AJ3570" s="213"/>
    </row>
    <row r="3571" spans="36:36" x14ac:dyDescent="0.35">
      <c r="AJ3571" s="213"/>
    </row>
    <row r="3572" spans="36:36" x14ac:dyDescent="0.35">
      <c r="AJ3572" s="213"/>
    </row>
    <row r="3573" spans="36:36" x14ac:dyDescent="0.35">
      <c r="AJ3573" s="213"/>
    </row>
    <row r="3574" spans="36:36" x14ac:dyDescent="0.35">
      <c r="AJ3574" s="213"/>
    </row>
    <row r="3575" spans="36:36" x14ac:dyDescent="0.35">
      <c r="AJ3575" s="213"/>
    </row>
    <row r="3576" spans="36:36" x14ac:dyDescent="0.35">
      <c r="AJ3576" s="213"/>
    </row>
    <row r="3577" spans="36:36" x14ac:dyDescent="0.35">
      <c r="AJ3577" s="213"/>
    </row>
    <row r="3578" spans="36:36" x14ac:dyDescent="0.35">
      <c r="AJ3578" s="213"/>
    </row>
    <row r="3579" spans="36:36" x14ac:dyDescent="0.35">
      <c r="AJ3579" s="213"/>
    </row>
    <row r="3580" spans="36:36" x14ac:dyDescent="0.35">
      <c r="AJ3580" s="213"/>
    </row>
    <row r="3581" spans="36:36" x14ac:dyDescent="0.35">
      <c r="AJ3581" s="213"/>
    </row>
    <row r="3582" spans="36:36" x14ac:dyDescent="0.35">
      <c r="AJ3582" s="213"/>
    </row>
    <row r="3583" spans="36:36" x14ac:dyDescent="0.35">
      <c r="AJ3583" s="213"/>
    </row>
    <row r="3584" spans="36:36" x14ac:dyDescent="0.35">
      <c r="AJ3584" s="213"/>
    </row>
    <row r="3585" spans="36:36" x14ac:dyDescent="0.35">
      <c r="AJ3585" s="213"/>
    </row>
    <row r="3586" spans="36:36" x14ac:dyDescent="0.35">
      <c r="AJ3586" s="213"/>
    </row>
    <row r="3587" spans="36:36" x14ac:dyDescent="0.35">
      <c r="AJ3587" s="213"/>
    </row>
    <row r="3588" spans="36:36" x14ac:dyDescent="0.35">
      <c r="AJ3588" s="213"/>
    </row>
    <row r="3589" spans="36:36" x14ac:dyDescent="0.35">
      <c r="AJ3589" s="213"/>
    </row>
    <row r="3590" spans="36:36" x14ac:dyDescent="0.35">
      <c r="AJ3590" s="213"/>
    </row>
    <row r="3591" spans="36:36" x14ac:dyDescent="0.35">
      <c r="AJ3591" s="213"/>
    </row>
    <row r="3592" spans="36:36" x14ac:dyDescent="0.35">
      <c r="AJ3592" s="213"/>
    </row>
    <row r="3593" spans="36:36" x14ac:dyDescent="0.35">
      <c r="AJ3593" s="213"/>
    </row>
    <row r="3594" spans="36:36" x14ac:dyDescent="0.35">
      <c r="AJ3594" s="213"/>
    </row>
    <row r="3595" spans="36:36" x14ac:dyDescent="0.35">
      <c r="AJ3595" s="213"/>
    </row>
    <row r="3596" spans="36:36" x14ac:dyDescent="0.35">
      <c r="AJ3596" s="213"/>
    </row>
    <row r="3597" spans="36:36" x14ac:dyDescent="0.35">
      <c r="AJ3597" s="213"/>
    </row>
    <row r="3598" spans="36:36" x14ac:dyDescent="0.35">
      <c r="AJ3598" s="213"/>
    </row>
    <row r="3599" spans="36:36" x14ac:dyDescent="0.35">
      <c r="AJ3599" s="213"/>
    </row>
    <row r="3600" spans="36:36" x14ac:dyDescent="0.35">
      <c r="AJ3600" s="213"/>
    </row>
    <row r="3601" spans="36:36" x14ac:dyDescent="0.35">
      <c r="AJ3601" s="213"/>
    </row>
    <row r="3602" spans="36:36" x14ac:dyDescent="0.35">
      <c r="AJ3602" s="213"/>
    </row>
    <row r="3603" spans="36:36" x14ac:dyDescent="0.35">
      <c r="AJ3603" s="213"/>
    </row>
    <row r="3604" spans="36:36" x14ac:dyDescent="0.35">
      <c r="AJ3604" s="213"/>
    </row>
    <row r="3605" spans="36:36" x14ac:dyDescent="0.35">
      <c r="AJ3605" s="213"/>
    </row>
    <row r="3606" spans="36:36" x14ac:dyDescent="0.35">
      <c r="AJ3606" s="213"/>
    </row>
    <row r="3607" spans="36:36" x14ac:dyDescent="0.35">
      <c r="AJ3607" s="213"/>
    </row>
    <row r="3608" spans="36:36" x14ac:dyDescent="0.35">
      <c r="AJ3608" s="213"/>
    </row>
    <row r="3609" spans="36:36" x14ac:dyDescent="0.35">
      <c r="AJ3609" s="213"/>
    </row>
    <row r="3610" spans="36:36" x14ac:dyDescent="0.35">
      <c r="AJ3610" s="213"/>
    </row>
    <row r="3611" spans="36:36" x14ac:dyDescent="0.35">
      <c r="AJ3611" s="213"/>
    </row>
    <row r="3612" spans="36:36" x14ac:dyDescent="0.35">
      <c r="AJ3612" s="213"/>
    </row>
    <row r="3613" spans="36:36" x14ac:dyDescent="0.35">
      <c r="AJ3613" s="213"/>
    </row>
    <row r="3614" spans="36:36" x14ac:dyDescent="0.35">
      <c r="AJ3614" s="213"/>
    </row>
    <row r="3615" spans="36:36" x14ac:dyDescent="0.35">
      <c r="AJ3615" s="213"/>
    </row>
    <row r="3616" spans="36:36" x14ac:dyDescent="0.35">
      <c r="AJ3616" s="213"/>
    </row>
    <row r="3617" spans="36:36" x14ac:dyDescent="0.35">
      <c r="AJ3617" s="213"/>
    </row>
    <row r="3618" spans="36:36" x14ac:dyDescent="0.35">
      <c r="AJ3618" s="213"/>
    </row>
    <row r="3619" spans="36:36" x14ac:dyDescent="0.35">
      <c r="AJ3619" s="213"/>
    </row>
    <row r="3620" spans="36:36" x14ac:dyDescent="0.35">
      <c r="AJ3620" s="213"/>
    </row>
    <row r="3621" spans="36:36" x14ac:dyDescent="0.35">
      <c r="AJ3621" s="213"/>
    </row>
    <row r="3622" spans="36:36" x14ac:dyDescent="0.35">
      <c r="AJ3622" s="213"/>
    </row>
    <row r="3623" spans="36:36" x14ac:dyDescent="0.35">
      <c r="AJ3623" s="213"/>
    </row>
    <row r="3624" spans="36:36" x14ac:dyDescent="0.35">
      <c r="AJ3624" s="213"/>
    </row>
    <row r="3625" spans="36:36" x14ac:dyDescent="0.35">
      <c r="AJ3625" s="213"/>
    </row>
    <row r="3626" spans="36:36" x14ac:dyDescent="0.35">
      <c r="AJ3626" s="213"/>
    </row>
    <row r="3627" spans="36:36" x14ac:dyDescent="0.35">
      <c r="AJ3627" s="213"/>
    </row>
    <row r="3628" spans="36:36" x14ac:dyDescent="0.35">
      <c r="AJ3628" s="213"/>
    </row>
    <row r="3629" spans="36:36" x14ac:dyDescent="0.35">
      <c r="AJ3629" s="213"/>
    </row>
    <row r="3630" spans="36:36" x14ac:dyDescent="0.35">
      <c r="AJ3630" s="213"/>
    </row>
    <row r="3631" spans="36:36" x14ac:dyDescent="0.35">
      <c r="AJ3631" s="213"/>
    </row>
    <row r="3632" spans="36:36" x14ac:dyDescent="0.35">
      <c r="AJ3632" s="213"/>
    </row>
    <row r="3633" spans="36:36" x14ac:dyDescent="0.35">
      <c r="AJ3633" s="213"/>
    </row>
    <row r="3634" spans="36:36" x14ac:dyDescent="0.35">
      <c r="AJ3634" s="213"/>
    </row>
    <row r="3635" spans="36:36" x14ac:dyDescent="0.35">
      <c r="AJ3635" s="213"/>
    </row>
    <row r="3636" spans="36:36" x14ac:dyDescent="0.35">
      <c r="AJ3636" s="213"/>
    </row>
    <row r="3637" spans="36:36" x14ac:dyDescent="0.35">
      <c r="AJ3637" s="213"/>
    </row>
    <row r="3638" spans="36:36" x14ac:dyDescent="0.35">
      <c r="AJ3638" s="213"/>
    </row>
    <row r="3639" spans="36:36" x14ac:dyDescent="0.35">
      <c r="AJ3639" s="213"/>
    </row>
    <row r="3640" spans="36:36" x14ac:dyDescent="0.35">
      <c r="AJ3640" s="213"/>
    </row>
    <row r="3641" spans="36:36" x14ac:dyDescent="0.35">
      <c r="AJ3641" s="213"/>
    </row>
    <row r="3642" spans="36:36" x14ac:dyDescent="0.35">
      <c r="AJ3642" s="213"/>
    </row>
    <row r="3643" spans="36:36" x14ac:dyDescent="0.35">
      <c r="AJ3643" s="213"/>
    </row>
    <row r="3644" spans="36:36" x14ac:dyDescent="0.35">
      <c r="AJ3644" s="213"/>
    </row>
    <row r="3645" spans="36:36" x14ac:dyDescent="0.35">
      <c r="AJ3645" s="213"/>
    </row>
    <row r="3646" spans="36:36" x14ac:dyDescent="0.35">
      <c r="AJ3646" s="213"/>
    </row>
    <row r="3647" spans="36:36" x14ac:dyDescent="0.35">
      <c r="AJ3647" s="213"/>
    </row>
    <row r="3648" spans="36:36" x14ac:dyDescent="0.35">
      <c r="AJ3648" s="213"/>
    </row>
    <row r="3649" spans="36:36" x14ac:dyDescent="0.35">
      <c r="AJ3649" s="213"/>
    </row>
    <row r="3650" spans="36:36" x14ac:dyDescent="0.35">
      <c r="AJ3650" s="213"/>
    </row>
    <row r="3651" spans="36:36" x14ac:dyDescent="0.35">
      <c r="AJ3651" s="213"/>
    </row>
    <row r="3652" spans="36:36" x14ac:dyDescent="0.35">
      <c r="AJ3652" s="213"/>
    </row>
    <row r="3653" spans="36:36" x14ac:dyDescent="0.35">
      <c r="AJ3653" s="213"/>
    </row>
    <row r="3654" spans="36:36" x14ac:dyDescent="0.35">
      <c r="AJ3654" s="213"/>
    </row>
    <row r="3655" spans="36:36" x14ac:dyDescent="0.35">
      <c r="AJ3655" s="213"/>
    </row>
    <row r="3656" spans="36:36" x14ac:dyDescent="0.35">
      <c r="AJ3656" s="213"/>
    </row>
    <row r="3657" spans="36:36" x14ac:dyDescent="0.35">
      <c r="AJ3657" s="213"/>
    </row>
    <row r="3658" spans="36:36" x14ac:dyDescent="0.35">
      <c r="AJ3658" s="213"/>
    </row>
    <row r="3659" spans="36:36" x14ac:dyDescent="0.35">
      <c r="AJ3659" s="213"/>
    </row>
    <row r="3660" spans="36:36" x14ac:dyDescent="0.35">
      <c r="AJ3660" s="213"/>
    </row>
    <row r="3661" spans="36:36" x14ac:dyDescent="0.35">
      <c r="AJ3661" s="213"/>
    </row>
    <row r="3662" spans="36:36" x14ac:dyDescent="0.35">
      <c r="AJ3662" s="213"/>
    </row>
    <row r="3663" spans="36:36" x14ac:dyDescent="0.35">
      <c r="AJ3663" s="213"/>
    </row>
    <row r="3664" spans="36:36" x14ac:dyDescent="0.35">
      <c r="AJ3664" s="213"/>
    </row>
    <row r="3665" spans="36:36" x14ac:dyDescent="0.35">
      <c r="AJ3665" s="213"/>
    </row>
    <row r="3666" spans="36:36" x14ac:dyDescent="0.35">
      <c r="AJ3666" s="213"/>
    </row>
    <row r="3667" spans="36:36" x14ac:dyDescent="0.35">
      <c r="AJ3667" s="213"/>
    </row>
    <row r="3668" spans="36:36" x14ac:dyDescent="0.35">
      <c r="AJ3668" s="213"/>
    </row>
    <row r="3669" spans="36:36" x14ac:dyDescent="0.35">
      <c r="AJ3669" s="213"/>
    </row>
    <row r="3670" spans="36:36" x14ac:dyDescent="0.35">
      <c r="AJ3670" s="213"/>
    </row>
    <row r="3671" spans="36:36" x14ac:dyDescent="0.35">
      <c r="AJ3671" s="213"/>
    </row>
    <row r="3672" spans="36:36" x14ac:dyDescent="0.35">
      <c r="AJ3672" s="213"/>
    </row>
    <row r="3673" spans="36:36" x14ac:dyDescent="0.35">
      <c r="AJ3673" s="213"/>
    </row>
    <row r="3674" spans="36:36" x14ac:dyDescent="0.35">
      <c r="AJ3674" s="213"/>
    </row>
    <row r="3675" spans="36:36" x14ac:dyDescent="0.35">
      <c r="AJ3675" s="213"/>
    </row>
    <row r="3676" spans="36:36" x14ac:dyDescent="0.35">
      <c r="AJ3676" s="213"/>
    </row>
    <row r="3677" spans="36:36" x14ac:dyDescent="0.35">
      <c r="AJ3677" s="213"/>
    </row>
    <row r="3678" spans="36:36" x14ac:dyDescent="0.35">
      <c r="AJ3678" s="213"/>
    </row>
    <row r="3679" spans="36:36" x14ac:dyDescent="0.35">
      <c r="AJ3679" s="213"/>
    </row>
    <row r="3680" spans="36:36" x14ac:dyDescent="0.35">
      <c r="AJ3680" s="213"/>
    </row>
    <row r="3681" spans="36:36" x14ac:dyDescent="0.35">
      <c r="AJ3681" s="213"/>
    </row>
    <row r="3682" spans="36:36" x14ac:dyDescent="0.35">
      <c r="AJ3682" s="213"/>
    </row>
    <row r="3683" spans="36:36" x14ac:dyDescent="0.35">
      <c r="AJ3683" s="213"/>
    </row>
    <row r="3684" spans="36:36" x14ac:dyDescent="0.35">
      <c r="AJ3684" s="213"/>
    </row>
    <row r="3685" spans="36:36" x14ac:dyDescent="0.35">
      <c r="AJ3685" s="213"/>
    </row>
    <row r="3686" spans="36:36" x14ac:dyDescent="0.35">
      <c r="AJ3686" s="213"/>
    </row>
    <row r="3687" spans="36:36" x14ac:dyDescent="0.35">
      <c r="AJ3687" s="213"/>
    </row>
    <row r="3688" spans="36:36" x14ac:dyDescent="0.35">
      <c r="AJ3688" s="213"/>
    </row>
    <row r="3689" spans="36:36" x14ac:dyDescent="0.35">
      <c r="AJ3689" s="213"/>
    </row>
    <row r="3690" spans="36:36" x14ac:dyDescent="0.35">
      <c r="AJ3690" s="213"/>
    </row>
    <row r="3691" spans="36:36" x14ac:dyDescent="0.35">
      <c r="AJ3691" s="213"/>
    </row>
    <row r="3692" spans="36:36" x14ac:dyDescent="0.35">
      <c r="AJ3692" s="213"/>
    </row>
    <row r="3693" spans="36:36" x14ac:dyDescent="0.35">
      <c r="AJ3693" s="213"/>
    </row>
    <row r="3694" spans="36:36" x14ac:dyDescent="0.35">
      <c r="AJ3694" s="213"/>
    </row>
    <row r="3695" spans="36:36" x14ac:dyDescent="0.35">
      <c r="AJ3695" s="213"/>
    </row>
    <row r="3696" spans="36:36" x14ac:dyDescent="0.35">
      <c r="AJ3696" s="213"/>
    </row>
    <row r="3697" spans="36:36" x14ac:dyDescent="0.35">
      <c r="AJ3697" s="213"/>
    </row>
    <row r="3698" spans="36:36" x14ac:dyDescent="0.35">
      <c r="AJ3698" s="213"/>
    </row>
    <row r="3699" spans="36:36" x14ac:dyDescent="0.35">
      <c r="AJ3699" s="213"/>
    </row>
    <row r="3700" spans="36:36" x14ac:dyDescent="0.35">
      <c r="AJ3700" s="213"/>
    </row>
    <row r="3701" spans="36:36" x14ac:dyDescent="0.35">
      <c r="AJ3701" s="213"/>
    </row>
    <row r="3702" spans="36:36" x14ac:dyDescent="0.35">
      <c r="AJ3702" s="213"/>
    </row>
    <row r="3703" spans="36:36" x14ac:dyDescent="0.35">
      <c r="AJ3703" s="213"/>
    </row>
    <row r="3704" spans="36:36" x14ac:dyDescent="0.35">
      <c r="AJ3704" s="213"/>
    </row>
    <row r="3705" spans="36:36" x14ac:dyDescent="0.35">
      <c r="AJ3705" s="213"/>
    </row>
    <row r="3706" spans="36:36" x14ac:dyDescent="0.35">
      <c r="AJ3706" s="213"/>
    </row>
    <row r="3707" spans="36:36" x14ac:dyDescent="0.35">
      <c r="AJ3707" s="213"/>
    </row>
    <row r="3708" spans="36:36" x14ac:dyDescent="0.35">
      <c r="AJ3708" s="213"/>
    </row>
    <row r="3709" spans="36:36" x14ac:dyDescent="0.35">
      <c r="AJ3709" s="213"/>
    </row>
    <row r="3710" spans="36:36" x14ac:dyDescent="0.35">
      <c r="AJ3710" s="213"/>
    </row>
    <row r="3711" spans="36:36" x14ac:dyDescent="0.35">
      <c r="AJ3711" s="213"/>
    </row>
    <row r="3712" spans="36:36" x14ac:dyDescent="0.35">
      <c r="AJ3712" s="213"/>
    </row>
    <row r="3713" spans="36:36" x14ac:dyDescent="0.35">
      <c r="AJ3713" s="213"/>
    </row>
    <row r="3714" spans="36:36" x14ac:dyDescent="0.35">
      <c r="AJ3714" s="213"/>
    </row>
    <row r="3715" spans="36:36" x14ac:dyDescent="0.35">
      <c r="AJ3715" s="213"/>
    </row>
    <row r="3716" spans="36:36" x14ac:dyDescent="0.35">
      <c r="AJ3716" s="213"/>
    </row>
    <row r="3717" spans="36:36" x14ac:dyDescent="0.35">
      <c r="AJ3717" s="213"/>
    </row>
    <row r="3718" spans="36:36" x14ac:dyDescent="0.35">
      <c r="AJ3718" s="213"/>
    </row>
    <row r="3719" spans="36:36" x14ac:dyDescent="0.35">
      <c r="AJ3719" s="213"/>
    </row>
    <row r="3720" spans="36:36" x14ac:dyDescent="0.35">
      <c r="AJ3720" s="213"/>
    </row>
    <row r="3721" spans="36:36" x14ac:dyDescent="0.35">
      <c r="AJ3721" s="213"/>
    </row>
    <row r="3722" spans="36:36" x14ac:dyDescent="0.35">
      <c r="AJ3722" s="213"/>
    </row>
    <row r="3723" spans="36:36" x14ac:dyDescent="0.35">
      <c r="AJ3723" s="213"/>
    </row>
    <row r="3724" spans="36:36" x14ac:dyDescent="0.35">
      <c r="AJ3724" s="213"/>
    </row>
    <row r="3725" spans="36:36" x14ac:dyDescent="0.35">
      <c r="AJ3725" s="213"/>
    </row>
    <row r="3726" spans="36:36" x14ac:dyDescent="0.35">
      <c r="AJ3726" s="213"/>
    </row>
    <row r="3727" spans="36:36" x14ac:dyDescent="0.35">
      <c r="AJ3727" s="213"/>
    </row>
    <row r="3728" spans="36:36" x14ac:dyDescent="0.35">
      <c r="AJ3728" s="213"/>
    </row>
    <row r="3729" spans="36:36" x14ac:dyDescent="0.35">
      <c r="AJ3729" s="213"/>
    </row>
    <row r="3730" spans="36:36" x14ac:dyDescent="0.35">
      <c r="AJ3730" s="213"/>
    </row>
    <row r="3731" spans="36:36" x14ac:dyDescent="0.35">
      <c r="AJ3731" s="213"/>
    </row>
    <row r="3732" spans="36:36" x14ac:dyDescent="0.35">
      <c r="AJ3732" s="213"/>
    </row>
    <row r="3733" spans="36:36" x14ac:dyDescent="0.35">
      <c r="AJ3733" s="213"/>
    </row>
    <row r="3734" spans="36:36" x14ac:dyDescent="0.35">
      <c r="AJ3734" s="213"/>
    </row>
    <row r="3735" spans="36:36" x14ac:dyDescent="0.35">
      <c r="AJ3735" s="213"/>
    </row>
    <row r="3736" spans="36:36" x14ac:dyDescent="0.35">
      <c r="AJ3736" s="213"/>
    </row>
    <row r="3737" spans="36:36" x14ac:dyDescent="0.35">
      <c r="AJ3737" s="213"/>
    </row>
    <row r="3738" spans="36:36" x14ac:dyDescent="0.35">
      <c r="AJ3738" s="213"/>
    </row>
    <row r="3739" spans="36:36" x14ac:dyDescent="0.35">
      <c r="AJ3739" s="213"/>
    </row>
    <row r="3740" spans="36:36" x14ac:dyDescent="0.35">
      <c r="AJ3740" s="213"/>
    </row>
    <row r="3741" spans="36:36" x14ac:dyDescent="0.35">
      <c r="AJ3741" s="213"/>
    </row>
    <row r="3742" spans="36:36" x14ac:dyDescent="0.35">
      <c r="AJ3742" s="213"/>
    </row>
    <row r="3743" spans="36:36" x14ac:dyDescent="0.35">
      <c r="AJ3743" s="213"/>
    </row>
    <row r="3744" spans="36:36" x14ac:dyDescent="0.35">
      <c r="AJ3744" s="213"/>
    </row>
    <row r="3745" spans="36:36" x14ac:dyDescent="0.35">
      <c r="AJ3745" s="213"/>
    </row>
    <row r="3746" spans="36:36" x14ac:dyDescent="0.35">
      <c r="AJ3746" s="213"/>
    </row>
    <row r="3747" spans="36:36" x14ac:dyDescent="0.35">
      <c r="AJ3747" s="213"/>
    </row>
    <row r="3748" spans="36:36" x14ac:dyDescent="0.35">
      <c r="AJ3748" s="213"/>
    </row>
    <row r="3749" spans="36:36" x14ac:dyDescent="0.35">
      <c r="AJ3749" s="213"/>
    </row>
    <row r="3750" spans="36:36" x14ac:dyDescent="0.35">
      <c r="AJ3750" s="213"/>
    </row>
    <row r="3751" spans="36:36" x14ac:dyDescent="0.35">
      <c r="AJ3751" s="213"/>
    </row>
    <row r="3752" spans="36:36" x14ac:dyDescent="0.35">
      <c r="AJ3752" s="213"/>
    </row>
    <row r="3753" spans="36:36" x14ac:dyDescent="0.35">
      <c r="AJ3753" s="213"/>
    </row>
    <row r="3754" spans="36:36" x14ac:dyDescent="0.35">
      <c r="AJ3754" s="213"/>
    </row>
    <row r="3755" spans="36:36" x14ac:dyDescent="0.35">
      <c r="AJ3755" s="213"/>
    </row>
    <row r="3756" spans="36:36" x14ac:dyDescent="0.35">
      <c r="AJ3756" s="213"/>
    </row>
    <row r="3757" spans="36:36" x14ac:dyDescent="0.35">
      <c r="AJ3757" s="213"/>
    </row>
    <row r="3758" spans="36:36" x14ac:dyDescent="0.35">
      <c r="AJ3758" s="213"/>
    </row>
    <row r="3759" spans="36:36" x14ac:dyDescent="0.35">
      <c r="AJ3759" s="213"/>
    </row>
    <row r="3760" spans="36:36" x14ac:dyDescent="0.35">
      <c r="AJ3760" s="213"/>
    </row>
    <row r="3761" spans="36:36" x14ac:dyDescent="0.35">
      <c r="AJ3761" s="213"/>
    </row>
    <row r="3762" spans="36:36" x14ac:dyDescent="0.35">
      <c r="AJ3762" s="213"/>
    </row>
    <row r="3763" spans="36:36" x14ac:dyDescent="0.35">
      <c r="AJ3763" s="213"/>
    </row>
    <row r="3764" spans="36:36" x14ac:dyDescent="0.35">
      <c r="AJ3764" s="213"/>
    </row>
    <row r="3765" spans="36:36" x14ac:dyDescent="0.35">
      <c r="AJ3765" s="213"/>
    </row>
    <row r="3766" spans="36:36" x14ac:dyDescent="0.35">
      <c r="AJ3766" s="213"/>
    </row>
    <row r="3767" spans="36:36" x14ac:dyDescent="0.35">
      <c r="AJ3767" s="213"/>
    </row>
    <row r="3768" spans="36:36" x14ac:dyDescent="0.35">
      <c r="AJ3768" s="213"/>
    </row>
    <row r="3769" spans="36:36" x14ac:dyDescent="0.35">
      <c r="AJ3769" s="213"/>
    </row>
    <row r="3770" spans="36:36" x14ac:dyDescent="0.35">
      <c r="AJ3770" s="213"/>
    </row>
    <row r="3771" spans="36:36" x14ac:dyDescent="0.35">
      <c r="AJ3771" s="213"/>
    </row>
    <row r="3772" spans="36:36" x14ac:dyDescent="0.35">
      <c r="AJ3772" s="213"/>
    </row>
    <row r="3773" spans="36:36" x14ac:dyDescent="0.35">
      <c r="AJ3773" s="213"/>
    </row>
    <row r="3774" spans="36:36" x14ac:dyDescent="0.35">
      <c r="AJ3774" s="213"/>
    </row>
    <row r="3775" spans="36:36" x14ac:dyDescent="0.35">
      <c r="AJ3775" s="213"/>
    </row>
    <row r="3776" spans="36:36" x14ac:dyDescent="0.35">
      <c r="AJ3776" s="213"/>
    </row>
    <row r="3777" spans="36:36" x14ac:dyDescent="0.35">
      <c r="AJ3777" s="213"/>
    </row>
    <row r="3778" spans="36:36" x14ac:dyDescent="0.35">
      <c r="AJ3778" s="213"/>
    </row>
    <row r="3779" spans="36:36" x14ac:dyDescent="0.35">
      <c r="AJ3779" s="213"/>
    </row>
    <row r="3780" spans="36:36" x14ac:dyDescent="0.35">
      <c r="AJ3780" s="213"/>
    </row>
    <row r="3781" spans="36:36" x14ac:dyDescent="0.35">
      <c r="AJ3781" s="213"/>
    </row>
    <row r="3782" spans="36:36" x14ac:dyDescent="0.35">
      <c r="AJ3782" s="213"/>
    </row>
    <row r="3783" spans="36:36" x14ac:dyDescent="0.35">
      <c r="AJ3783" s="213"/>
    </row>
    <row r="3784" spans="36:36" x14ac:dyDescent="0.35">
      <c r="AJ3784" s="213"/>
    </row>
    <row r="3785" spans="36:36" x14ac:dyDescent="0.35">
      <c r="AJ3785" s="213"/>
    </row>
    <row r="3786" spans="36:36" x14ac:dyDescent="0.35">
      <c r="AJ3786" s="213"/>
    </row>
    <row r="3787" spans="36:36" x14ac:dyDescent="0.35">
      <c r="AJ3787" s="213"/>
    </row>
    <row r="3788" spans="36:36" x14ac:dyDescent="0.35">
      <c r="AJ3788" s="213"/>
    </row>
    <row r="3789" spans="36:36" x14ac:dyDescent="0.35">
      <c r="AJ3789" s="213"/>
    </row>
    <row r="3790" spans="36:36" x14ac:dyDescent="0.35">
      <c r="AJ3790" s="213"/>
    </row>
    <row r="3791" spans="36:36" x14ac:dyDescent="0.35">
      <c r="AJ3791" s="213"/>
    </row>
    <row r="3792" spans="36:36" x14ac:dyDescent="0.35">
      <c r="AJ3792" s="213"/>
    </row>
    <row r="3793" spans="36:36" x14ac:dyDescent="0.35">
      <c r="AJ3793" s="213"/>
    </row>
    <row r="3794" spans="36:36" x14ac:dyDescent="0.35">
      <c r="AJ3794" s="213"/>
    </row>
    <row r="3795" spans="36:36" x14ac:dyDescent="0.35">
      <c r="AJ3795" s="213"/>
    </row>
    <row r="3796" spans="36:36" x14ac:dyDescent="0.35">
      <c r="AJ3796" s="213"/>
    </row>
    <row r="3797" spans="36:36" x14ac:dyDescent="0.35">
      <c r="AJ3797" s="213"/>
    </row>
    <row r="3798" spans="36:36" x14ac:dyDescent="0.35">
      <c r="AJ3798" s="213"/>
    </row>
    <row r="3799" spans="36:36" x14ac:dyDescent="0.35">
      <c r="AJ3799" s="213"/>
    </row>
    <row r="3800" spans="36:36" x14ac:dyDescent="0.35">
      <c r="AJ3800" s="213"/>
    </row>
    <row r="3801" spans="36:36" x14ac:dyDescent="0.35">
      <c r="AJ3801" s="213"/>
    </row>
    <row r="3802" spans="36:36" x14ac:dyDescent="0.35">
      <c r="AJ3802" s="213"/>
    </row>
    <row r="3803" spans="36:36" x14ac:dyDescent="0.35">
      <c r="AJ3803" s="213"/>
    </row>
    <row r="3804" spans="36:36" x14ac:dyDescent="0.35">
      <c r="AJ3804" s="213"/>
    </row>
    <row r="3805" spans="36:36" x14ac:dyDescent="0.35">
      <c r="AJ3805" s="213"/>
    </row>
    <row r="3806" spans="36:36" x14ac:dyDescent="0.35">
      <c r="AJ3806" s="213"/>
    </row>
    <row r="3807" spans="36:36" x14ac:dyDescent="0.35">
      <c r="AJ3807" s="213"/>
    </row>
    <row r="3808" spans="36:36" x14ac:dyDescent="0.35">
      <c r="AJ3808" s="213"/>
    </row>
    <row r="3809" spans="36:36" x14ac:dyDescent="0.35">
      <c r="AJ3809" s="213"/>
    </row>
    <row r="3810" spans="36:36" x14ac:dyDescent="0.35">
      <c r="AJ3810" s="213"/>
    </row>
    <row r="3811" spans="36:36" x14ac:dyDescent="0.35">
      <c r="AJ3811" s="213"/>
    </row>
    <row r="3812" spans="36:36" x14ac:dyDescent="0.35">
      <c r="AJ3812" s="213"/>
    </row>
    <row r="3813" spans="36:36" x14ac:dyDescent="0.35">
      <c r="AJ3813" s="213"/>
    </row>
    <row r="3814" spans="36:36" x14ac:dyDescent="0.35">
      <c r="AJ3814" s="213"/>
    </row>
    <row r="3815" spans="36:36" x14ac:dyDescent="0.35">
      <c r="AJ3815" s="213"/>
    </row>
    <row r="3816" spans="36:36" x14ac:dyDescent="0.35">
      <c r="AJ3816" s="213"/>
    </row>
    <row r="3817" spans="36:36" x14ac:dyDescent="0.35">
      <c r="AJ3817" s="213"/>
    </row>
    <row r="3818" spans="36:36" x14ac:dyDescent="0.35">
      <c r="AJ3818" s="213"/>
    </row>
    <row r="3819" spans="36:36" x14ac:dyDescent="0.35">
      <c r="AJ3819" s="213"/>
    </row>
    <row r="3820" spans="36:36" x14ac:dyDescent="0.35">
      <c r="AJ3820" s="213"/>
    </row>
    <row r="3821" spans="36:36" x14ac:dyDescent="0.35">
      <c r="AJ3821" s="213"/>
    </row>
    <row r="3822" spans="36:36" x14ac:dyDescent="0.35">
      <c r="AJ3822" s="213"/>
    </row>
    <row r="3823" spans="36:36" x14ac:dyDescent="0.35">
      <c r="AJ3823" s="213"/>
    </row>
    <row r="3824" spans="36:36" x14ac:dyDescent="0.35">
      <c r="AJ3824" s="213"/>
    </row>
    <row r="3825" spans="36:36" x14ac:dyDescent="0.35">
      <c r="AJ3825" s="213"/>
    </row>
    <row r="3826" spans="36:36" x14ac:dyDescent="0.35">
      <c r="AJ3826" s="213"/>
    </row>
    <row r="3827" spans="36:36" x14ac:dyDescent="0.35">
      <c r="AJ3827" s="213"/>
    </row>
    <row r="3828" spans="36:36" x14ac:dyDescent="0.35">
      <c r="AJ3828" s="213"/>
    </row>
    <row r="3829" spans="36:36" x14ac:dyDescent="0.35">
      <c r="AJ3829" s="213"/>
    </row>
    <row r="3830" spans="36:36" x14ac:dyDescent="0.35">
      <c r="AJ3830" s="213"/>
    </row>
    <row r="3831" spans="36:36" x14ac:dyDescent="0.35">
      <c r="AJ3831" s="213"/>
    </row>
    <row r="3832" spans="36:36" x14ac:dyDescent="0.35">
      <c r="AJ3832" s="213"/>
    </row>
    <row r="3833" spans="36:36" x14ac:dyDescent="0.35">
      <c r="AJ3833" s="213"/>
    </row>
    <row r="3834" spans="36:36" x14ac:dyDescent="0.35">
      <c r="AJ3834" s="213"/>
    </row>
    <row r="3835" spans="36:36" x14ac:dyDescent="0.35">
      <c r="AJ3835" s="213"/>
    </row>
    <row r="3836" spans="36:36" x14ac:dyDescent="0.35">
      <c r="AJ3836" s="213"/>
    </row>
    <row r="3837" spans="36:36" x14ac:dyDescent="0.35">
      <c r="AJ3837" s="213"/>
    </row>
    <row r="3838" spans="36:36" x14ac:dyDescent="0.35">
      <c r="AJ3838" s="213"/>
    </row>
    <row r="3839" spans="36:36" x14ac:dyDescent="0.35">
      <c r="AJ3839" s="213"/>
    </row>
    <row r="3840" spans="36:36" x14ac:dyDescent="0.35">
      <c r="AJ3840" s="213"/>
    </row>
    <row r="3841" spans="36:36" x14ac:dyDescent="0.35">
      <c r="AJ3841" s="213"/>
    </row>
    <row r="3842" spans="36:36" x14ac:dyDescent="0.35">
      <c r="AJ3842" s="213"/>
    </row>
    <row r="3843" spans="36:36" x14ac:dyDescent="0.35">
      <c r="AJ3843" s="213"/>
    </row>
    <row r="3844" spans="36:36" x14ac:dyDescent="0.35">
      <c r="AJ3844" s="213"/>
    </row>
    <row r="3845" spans="36:36" x14ac:dyDescent="0.35">
      <c r="AJ3845" s="213"/>
    </row>
    <row r="3846" spans="36:36" x14ac:dyDescent="0.35">
      <c r="AJ3846" s="213"/>
    </row>
    <row r="3847" spans="36:36" x14ac:dyDescent="0.35">
      <c r="AJ3847" s="213"/>
    </row>
    <row r="3848" spans="36:36" x14ac:dyDescent="0.35">
      <c r="AJ3848" s="213"/>
    </row>
    <row r="3849" spans="36:36" x14ac:dyDescent="0.35">
      <c r="AJ3849" s="213"/>
    </row>
    <row r="3850" spans="36:36" x14ac:dyDescent="0.35">
      <c r="AJ3850" s="213"/>
    </row>
    <row r="3851" spans="36:36" x14ac:dyDescent="0.35">
      <c r="AJ3851" s="213"/>
    </row>
    <row r="3852" spans="36:36" x14ac:dyDescent="0.35">
      <c r="AJ3852" s="213"/>
    </row>
    <row r="3853" spans="36:36" x14ac:dyDescent="0.35">
      <c r="AJ3853" s="213"/>
    </row>
    <row r="3854" spans="36:36" x14ac:dyDescent="0.35">
      <c r="AJ3854" s="213"/>
    </row>
    <row r="3855" spans="36:36" x14ac:dyDescent="0.35">
      <c r="AJ3855" s="213"/>
    </row>
    <row r="3856" spans="36:36" x14ac:dyDescent="0.35">
      <c r="AJ3856" s="213"/>
    </row>
    <row r="3857" spans="36:36" x14ac:dyDescent="0.35">
      <c r="AJ3857" s="213"/>
    </row>
    <row r="3858" spans="36:36" x14ac:dyDescent="0.35">
      <c r="AJ3858" s="213"/>
    </row>
    <row r="3859" spans="36:36" x14ac:dyDescent="0.35">
      <c r="AJ3859" s="213"/>
    </row>
    <row r="3860" spans="36:36" x14ac:dyDescent="0.35">
      <c r="AJ3860" s="213"/>
    </row>
    <row r="3861" spans="36:36" x14ac:dyDescent="0.35">
      <c r="AJ3861" s="213"/>
    </row>
    <row r="3862" spans="36:36" x14ac:dyDescent="0.35">
      <c r="AJ3862" s="213"/>
    </row>
    <row r="3863" spans="36:36" x14ac:dyDescent="0.35">
      <c r="AJ3863" s="213"/>
    </row>
    <row r="3864" spans="36:36" x14ac:dyDescent="0.35">
      <c r="AJ3864" s="213"/>
    </row>
    <row r="3865" spans="36:36" x14ac:dyDescent="0.35">
      <c r="AJ3865" s="213"/>
    </row>
    <row r="3866" spans="36:36" x14ac:dyDescent="0.35">
      <c r="AJ3866" s="213"/>
    </row>
    <row r="3867" spans="36:36" x14ac:dyDescent="0.35">
      <c r="AJ3867" s="213"/>
    </row>
    <row r="3868" spans="36:36" x14ac:dyDescent="0.35">
      <c r="AJ3868" s="213"/>
    </row>
    <row r="3869" spans="36:36" x14ac:dyDescent="0.35">
      <c r="AJ3869" s="213"/>
    </row>
    <row r="3870" spans="36:36" x14ac:dyDescent="0.35">
      <c r="AJ3870" s="213"/>
    </row>
    <row r="3871" spans="36:36" x14ac:dyDescent="0.35">
      <c r="AJ3871" s="213"/>
    </row>
    <row r="3872" spans="36:36" x14ac:dyDescent="0.35">
      <c r="AJ3872" s="213"/>
    </row>
    <row r="3873" spans="36:36" x14ac:dyDescent="0.35">
      <c r="AJ3873" s="213"/>
    </row>
    <row r="3874" spans="36:36" x14ac:dyDescent="0.35">
      <c r="AJ3874" s="213"/>
    </row>
    <row r="3875" spans="36:36" x14ac:dyDescent="0.35">
      <c r="AJ3875" s="213"/>
    </row>
    <row r="3876" spans="36:36" x14ac:dyDescent="0.35">
      <c r="AJ3876" s="213"/>
    </row>
    <row r="3877" spans="36:36" x14ac:dyDescent="0.35">
      <c r="AJ3877" s="213"/>
    </row>
    <row r="3878" spans="36:36" x14ac:dyDescent="0.35">
      <c r="AJ3878" s="213"/>
    </row>
    <row r="3879" spans="36:36" x14ac:dyDescent="0.35">
      <c r="AJ3879" s="213"/>
    </row>
    <row r="3880" spans="36:36" x14ac:dyDescent="0.35">
      <c r="AJ3880" s="213"/>
    </row>
    <row r="3881" spans="36:36" x14ac:dyDescent="0.35">
      <c r="AJ3881" s="213"/>
    </row>
    <row r="3882" spans="36:36" x14ac:dyDescent="0.35">
      <c r="AJ3882" s="213"/>
    </row>
    <row r="3883" spans="36:36" x14ac:dyDescent="0.35">
      <c r="AJ3883" s="213"/>
    </row>
    <row r="3884" spans="36:36" x14ac:dyDescent="0.35">
      <c r="AJ3884" s="213"/>
    </row>
    <row r="3885" spans="36:36" x14ac:dyDescent="0.35">
      <c r="AJ3885" s="213"/>
    </row>
    <row r="3886" spans="36:36" x14ac:dyDescent="0.35">
      <c r="AJ3886" s="213"/>
    </row>
    <row r="3887" spans="36:36" x14ac:dyDescent="0.35">
      <c r="AJ3887" s="213"/>
    </row>
    <row r="3888" spans="36:36" x14ac:dyDescent="0.35">
      <c r="AJ3888" s="213"/>
    </row>
    <row r="3889" spans="36:36" x14ac:dyDescent="0.35">
      <c r="AJ3889" s="213"/>
    </row>
    <row r="3890" spans="36:36" x14ac:dyDescent="0.35">
      <c r="AJ3890" s="213"/>
    </row>
    <row r="3891" spans="36:36" x14ac:dyDescent="0.35">
      <c r="AJ3891" s="213"/>
    </row>
    <row r="3892" spans="36:36" x14ac:dyDescent="0.35">
      <c r="AJ3892" s="213"/>
    </row>
    <row r="3893" spans="36:36" x14ac:dyDescent="0.35">
      <c r="AJ3893" s="213"/>
    </row>
    <row r="3894" spans="36:36" x14ac:dyDescent="0.35">
      <c r="AJ3894" s="213"/>
    </row>
    <row r="3895" spans="36:36" x14ac:dyDescent="0.35">
      <c r="AJ3895" s="213"/>
    </row>
    <row r="3896" spans="36:36" x14ac:dyDescent="0.35">
      <c r="AJ3896" s="213"/>
    </row>
    <row r="3897" spans="36:36" x14ac:dyDescent="0.35">
      <c r="AJ3897" s="213"/>
    </row>
    <row r="3898" spans="36:36" x14ac:dyDescent="0.35">
      <c r="AJ3898" s="213"/>
    </row>
    <row r="3899" spans="36:36" x14ac:dyDescent="0.35">
      <c r="AJ3899" s="213"/>
    </row>
    <row r="3900" spans="36:36" x14ac:dyDescent="0.35">
      <c r="AJ3900" s="213"/>
    </row>
    <row r="3901" spans="36:36" x14ac:dyDescent="0.35">
      <c r="AJ3901" s="213"/>
    </row>
    <row r="3902" spans="36:36" x14ac:dyDescent="0.35">
      <c r="AJ3902" s="213"/>
    </row>
    <row r="3903" spans="36:36" x14ac:dyDescent="0.35">
      <c r="AJ3903" s="213"/>
    </row>
    <row r="3904" spans="36:36" x14ac:dyDescent="0.35">
      <c r="AJ3904" s="213"/>
    </row>
    <row r="3905" spans="36:36" x14ac:dyDescent="0.35">
      <c r="AJ3905" s="213"/>
    </row>
    <row r="3906" spans="36:36" x14ac:dyDescent="0.35">
      <c r="AJ3906" s="213"/>
    </row>
    <row r="3907" spans="36:36" x14ac:dyDescent="0.35">
      <c r="AJ3907" s="213"/>
    </row>
    <row r="3908" spans="36:36" x14ac:dyDescent="0.35">
      <c r="AJ3908" s="213"/>
    </row>
    <row r="3909" spans="36:36" x14ac:dyDescent="0.35">
      <c r="AJ3909" s="213"/>
    </row>
    <row r="3910" spans="36:36" x14ac:dyDescent="0.35">
      <c r="AJ3910" s="213"/>
    </row>
    <row r="3911" spans="36:36" x14ac:dyDescent="0.35">
      <c r="AJ3911" s="213"/>
    </row>
    <row r="3912" spans="36:36" x14ac:dyDescent="0.35">
      <c r="AJ3912" s="213"/>
    </row>
    <row r="3913" spans="36:36" x14ac:dyDescent="0.35">
      <c r="AJ3913" s="213"/>
    </row>
    <row r="3914" spans="36:36" x14ac:dyDescent="0.35">
      <c r="AJ3914" s="213"/>
    </row>
    <row r="3915" spans="36:36" x14ac:dyDescent="0.35">
      <c r="AJ3915" s="213"/>
    </row>
    <row r="3916" spans="36:36" x14ac:dyDescent="0.35">
      <c r="AJ3916" s="213"/>
    </row>
    <row r="3917" spans="36:36" x14ac:dyDescent="0.35">
      <c r="AJ3917" s="213"/>
    </row>
    <row r="3918" spans="36:36" x14ac:dyDescent="0.35">
      <c r="AJ3918" s="213"/>
    </row>
    <row r="3919" spans="36:36" x14ac:dyDescent="0.35">
      <c r="AJ3919" s="213"/>
    </row>
    <row r="3920" spans="36:36" x14ac:dyDescent="0.35">
      <c r="AJ3920" s="213"/>
    </row>
    <row r="3921" spans="36:36" x14ac:dyDescent="0.35">
      <c r="AJ3921" s="213"/>
    </row>
    <row r="3922" spans="36:36" x14ac:dyDescent="0.35">
      <c r="AJ3922" s="213"/>
    </row>
    <row r="3923" spans="36:36" x14ac:dyDescent="0.35">
      <c r="AJ3923" s="213"/>
    </row>
    <row r="3924" spans="36:36" x14ac:dyDescent="0.35">
      <c r="AJ3924" s="213"/>
    </row>
    <row r="3925" spans="36:36" x14ac:dyDescent="0.35">
      <c r="AJ3925" s="213"/>
    </row>
    <row r="3926" spans="36:36" x14ac:dyDescent="0.35">
      <c r="AJ3926" s="213"/>
    </row>
    <row r="3927" spans="36:36" x14ac:dyDescent="0.35">
      <c r="AJ3927" s="213"/>
    </row>
    <row r="3928" spans="36:36" x14ac:dyDescent="0.35">
      <c r="AJ3928" s="213"/>
    </row>
    <row r="3929" spans="36:36" x14ac:dyDescent="0.35">
      <c r="AJ3929" s="213"/>
    </row>
    <row r="3930" spans="36:36" x14ac:dyDescent="0.35">
      <c r="AJ3930" s="213"/>
    </row>
    <row r="3931" spans="36:36" x14ac:dyDescent="0.35">
      <c r="AJ3931" s="213"/>
    </row>
    <row r="3932" spans="36:36" x14ac:dyDescent="0.35">
      <c r="AJ3932" s="213"/>
    </row>
    <row r="3933" spans="36:36" x14ac:dyDescent="0.35">
      <c r="AJ3933" s="213"/>
    </row>
    <row r="3934" spans="36:36" x14ac:dyDescent="0.35">
      <c r="AJ3934" s="213"/>
    </row>
    <row r="3935" spans="36:36" x14ac:dyDescent="0.35">
      <c r="AJ3935" s="213"/>
    </row>
    <row r="3936" spans="36:36" x14ac:dyDescent="0.35">
      <c r="AJ3936" s="213"/>
    </row>
    <row r="3937" spans="36:36" x14ac:dyDescent="0.35">
      <c r="AJ3937" s="213"/>
    </row>
    <row r="3938" spans="36:36" x14ac:dyDescent="0.35">
      <c r="AJ3938" s="213"/>
    </row>
    <row r="3939" spans="36:36" x14ac:dyDescent="0.35">
      <c r="AJ3939" s="213"/>
    </row>
    <row r="3940" spans="36:36" x14ac:dyDescent="0.35">
      <c r="AJ3940" s="213"/>
    </row>
    <row r="3941" spans="36:36" x14ac:dyDescent="0.35">
      <c r="AJ3941" s="213"/>
    </row>
    <row r="3942" spans="36:36" x14ac:dyDescent="0.35">
      <c r="AJ3942" s="213"/>
    </row>
    <row r="3943" spans="36:36" x14ac:dyDescent="0.35">
      <c r="AJ3943" s="213"/>
    </row>
    <row r="3944" spans="36:36" x14ac:dyDescent="0.35">
      <c r="AJ3944" s="213"/>
    </row>
    <row r="3945" spans="36:36" x14ac:dyDescent="0.35">
      <c r="AJ3945" s="213"/>
    </row>
    <row r="3946" spans="36:36" x14ac:dyDescent="0.35">
      <c r="AJ3946" s="213"/>
    </row>
    <row r="3947" spans="36:36" x14ac:dyDescent="0.35">
      <c r="AJ3947" s="213"/>
    </row>
    <row r="3948" spans="36:36" x14ac:dyDescent="0.35">
      <c r="AJ3948" s="213"/>
    </row>
    <row r="3949" spans="36:36" x14ac:dyDescent="0.35">
      <c r="AJ3949" s="213"/>
    </row>
    <row r="3950" spans="36:36" x14ac:dyDescent="0.35">
      <c r="AJ3950" s="213"/>
    </row>
    <row r="3951" spans="36:36" x14ac:dyDescent="0.35">
      <c r="AJ3951" s="213"/>
    </row>
    <row r="3952" spans="36:36" x14ac:dyDescent="0.35">
      <c r="AJ3952" s="213"/>
    </row>
    <row r="3953" spans="36:36" x14ac:dyDescent="0.35">
      <c r="AJ3953" s="213"/>
    </row>
    <row r="3954" spans="36:36" x14ac:dyDescent="0.35">
      <c r="AJ3954" s="213"/>
    </row>
    <row r="3955" spans="36:36" x14ac:dyDescent="0.35">
      <c r="AJ3955" s="213"/>
    </row>
    <row r="3956" spans="36:36" x14ac:dyDescent="0.35">
      <c r="AJ3956" s="213"/>
    </row>
    <row r="3957" spans="36:36" x14ac:dyDescent="0.35">
      <c r="AJ3957" s="213"/>
    </row>
    <row r="3958" spans="36:36" x14ac:dyDescent="0.35">
      <c r="AJ3958" s="213"/>
    </row>
    <row r="3959" spans="36:36" x14ac:dyDescent="0.35">
      <c r="AJ3959" s="213"/>
    </row>
    <row r="3960" spans="36:36" x14ac:dyDescent="0.35">
      <c r="AJ3960" s="213"/>
    </row>
    <row r="3961" spans="36:36" x14ac:dyDescent="0.35">
      <c r="AJ3961" s="213"/>
    </row>
    <row r="3962" spans="36:36" x14ac:dyDescent="0.35">
      <c r="AJ3962" s="213"/>
    </row>
    <row r="3963" spans="36:36" x14ac:dyDescent="0.35">
      <c r="AJ3963" s="213"/>
    </row>
    <row r="3964" spans="36:36" x14ac:dyDescent="0.35">
      <c r="AJ3964" s="213"/>
    </row>
    <row r="3965" spans="36:36" x14ac:dyDescent="0.35">
      <c r="AJ3965" s="213"/>
    </row>
    <row r="3966" spans="36:36" x14ac:dyDescent="0.35">
      <c r="AJ3966" s="213"/>
    </row>
    <row r="3967" spans="36:36" x14ac:dyDescent="0.35">
      <c r="AJ3967" s="213"/>
    </row>
    <row r="3968" spans="36:36" x14ac:dyDescent="0.35">
      <c r="AJ3968" s="213"/>
    </row>
    <row r="3969" spans="36:36" x14ac:dyDescent="0.35">
      <c r="AJ3969" s="213"/>
    </row>
    <row r="3970" spans="36:36" x14ac:dyDescent="0.35">
      <c r="AJ3970" s="213"/>
    </row>
    <row r="3971" spans="36:36" x14ac:dyDescent="0.35">
      <c r="AJ3971" s="213"/>
    </row>
    <row r="3972" spans="36:36" x14ac:dyDescent="0.35">
      <c r="AJ3972" s="213"/>
    </row>
    <row r="3973" spans="36:36" x14ac:dyDescent="0.35">
      <c r="AJ3973" s="213"/>
    </row>
    <row r="3974" spans="36:36" x14ac:dyDescent="0.35">
      <c r="AJ3974" s="213"/>
    </row>
    <row r="3975" spans="36:36" x14ac:dyDescent="0.35">
      <c r="AJ3975" s="213"/>
    </row>
    <row r="3976" spans="36:36" x14ac:dyDescent="0.35">
      <c r="AJ3976" s="213"/>
    </row>
    <row r="3977" spans="36:36" x14ac:dyDescent="0.35">
      <c r="AJ3977" s="213"/>
    </row>
    <row r="3978" spans="36:36" x14ac:dyDescent="0.35">
      <c r="AJ3978" s="213"/>
    </row>
    <row r="3979" spans="36:36" x14ac:dyDescent="0.35">
      <c r="AJ3979" s="213"/>
    </row>
    <row r="3980" spans="36:36" x14ac:dyDescent="0.35">
      <c r="AJ3980" s="213"/>
    </row>
    <row r="3981" spans="36:36" x14ac:dyDescent="0.35">
      <c r="AJ3981" s="213"/>
    </row>
    <row r="3982" spans="36:36" x14ac:dyDescent="0.35">
      <c r="AJ3982" s="213"/>
    </row>
    <row r="3983" spans="36:36" x14ac:dyDescent="0.35">
      <c r="AJ3983" s="213"/>
    </row>
    <row r="3984" spans="36:36" x14ac:dyDescent="0.35">
      <c r="AJ3984" s="213"/>
    </row>
    <row r="3985" spans="36:36" x14ac:dyDescent="0.35">
      <c r="AJ3985" s="213"/>
    </row>
    <row r="3986" spans="36:36" x14ac:dyDescent="0.35">
      <c r="AJ3986" s="213"/>
    </row>
    <row r="3987" spans="36:36" x14ac:dyDescent="0.35">
      <c r="AJ3987" s="213"/>
    </row>
    <row r="3988" spans="36:36" x14ac:dyDescent="0.35">
      <c r="AJ3988" s="213"/>
    </row>
    <row r="3989" spans="36:36" x14ac:dyDescent="0.35">
      <c r="AJ3989" s="213"/>
    </row>
    <row r="3990" spans="36:36" x14ac:dyDescent="0.35">
      <c r="AJ3990" s="213"/>
    </row>
    <row r="3991" spans="36:36" x14ac:dyDescent="0.35">
      <c r="AJ3991" s="213"/>
    </row>
    <row r="3992" spans="36:36" x14ac:dyDescent="0.35">
      <c r="AJ3992" s="213"/>
    </row>
    <row r="3993" spans="36:36" x14ac:dyDescent="0.35">
      <c r="AJ3993" s="213"/>
    </row>
    <row r="3994" spans="36:36" x14ac:dyDescent="0.35">
      <c r="AJ3994" s="213"/>
    </row>
    <row r="3995" spans="36:36" x14ac:dyDescent="0.35">
      <c r="AJ3995" s="213"/>
    </row>
    <row r="3996" spans="36:36" x14ac:dyDescent="0.35">
      <c r="AJ3996" s="213"/>
    </row>
    <row r="3997" spans="36:36" x14ac:dyDescent="0.35">
      <c r="AJ3997" s="213"/>
    </row>
    <row r="3998" spans="36:36" x14ac:dyDescent="0.35">
      <c r="AJ3998" s="213"/>
    </row>
    <row r="3999" spans="36:36" x14ac:dyDescent="0.35">
      <c r="AJ3999" s="213"/>
    </row>
    <row r="4000" spans="36:36" x14ac:dyDescent="0.35">
      <c r="AJ4000" s="213"/>
    </row>
    <row r="4001" spans="36:36" x14ac:dyDescent="0.35">
      <c r="AJ4001" s="213"/>
    </row>
    <row r="4002" spans="36:36" x14ac:dyDescent="0.35">
      <c r="AJ4002" s="213"/>
    </row>
    <row r="4003" spans="36:36" x14ac:dyDescent="0.35">
      <c r="AJ4003" s="213"/>
    </row>
    <row r="4004" spans="36:36" x14ac:dyDescent="0.35">
      <c r="AJ4004" s="213"/>
    </row>
    <row r="4005" spans="36:36" x14ac:dyDescent="0.35">
      <c r="AJ4005" s="213"/>
    </row>
    <row r="4006" spans="36:36" x14ac:dyDescent="0.35">
      <c r="AJ4006" s="213"/>
    </row>
    <row r="4007" spans="36:36" x14ac:dyDescent="0.35">
      <c r="AJ4007" s="213"/>
    </row>
    <row r="4008" spans="36:36" x14ac:dyDescent="0.35">
      <c r="AJ4008" s="213"/>
    </row>
    <row r="4009" spans="36:36" x14ac:dyDescent="0.35">
      <c r="AJ4009" s="213"/>
    </row>
    <row r="4010" spans="36:36" x14ac:dyDescent="0.35">
      <c r="AJ4010" s="213"/>
    </row>
    <row r="4011" spans="36:36" x14ac:dyDescent="0.35">
      <c r="AJ4011" s="213"/>
    </row>
    <row r="4012" spans="36:36" x14ac:dyDescent="0.35">
      <c r="AJ4012" s="213"/>
    </row>
    <row r="4013" spans="36:36" x14ac:dyDescent="0.35">
      <c r="AJ4013" s="213"/>
    </row>
    <row r="4014" spans="36:36" x14ac:dyDescent="0.35">
      <c r="AJ4014" s="213"/>
    </row>
    <row r="4015" spans="36:36" x14ac:dyDescent="0.35">
      <c r="AJ4015" s="213"/>
    </row>
    <row r="4016" spans="36:36" x14ac:dyDescent="0.35">
      <c r="AJ4016" s="213"/>
    </row>
    <row r="4017" spans="36:36" x14ac:dyDescent="0.35">
      <c r="AJ4017" s="213"/>
    </row>
    <row r="4018" spans="36:36" x14ac:dyDescent="0.35">
      <c r="AJ4018" s="213"/>
    </row>
    <row r="4019" spans="36:36" x14ac:dyDescent="0.35">
      <c r="AJ4019" s="213"/>
    </row>
    <row r="4020" spans="36:36" x14ac:dyDescent="0.35">
      <c r="AJ4020" s="213"/>
    </row>
    <row r="4021" spans="36:36" x14ac:dyDescent="0.35">
      <c r="AJ4021" s="213"/>
    </row>
    <row r="4022" spans="36:36" x14ac:dyDescent="0.35">
      <c r="AJ4022" s="213"/>
    </row>
    <row r="4023" spans="36:36" x14ac:dyDescent="0.35">
      <c r="AJ4023" s="213"/>
    </row>
    <row r="4024" spans="36:36" x14ac:dyDescent="0.35">
      <c r="AJ4024" s="213"/>
    </row>
    <row r="4025" spans="36:36" x14ac:dyDescent="0.35">
      <c r="AJ4025" s="213"/>
    </row>
    <row r="4026" spans="36:36" x14ac:dyDescent="0.35">
      <c r="AJ4026" s="213"/>
    </row>
    <row r="4027" spans="36:36" x14ac:dyDescent="0.35">
      <c r="AJ4027" s="213"/>
    </row>
    <row r="4028" spans="36:36" x14ac:dyDescent="0.35">
      <c r="AJ4028" s="213"/>
    </row>
    <row r="4029" spans="36:36" x14ac:dyDescent="0.35">
      <c r="AJ4029" s="213"/>
    </row>
    <row r="4030" spans="36:36" x14ac:dyDescent="0.35">
      <c r="AJ4030" s="213"/>
    </row>
    <row r="4031" spans="36:36" x14ac:dyDescent="0.35">
      <c r="AJ4031" s="213"/>
    </row>
    <row r="4032" spans="36:36" x14ac:dyDescent="0.35">
      <c r="AJ4032" s="213"/>
    </row>
    <row r="4033" spans="36:36" x14ac:dyDescent="0.35">
      <c r="AJ4033" s="213"/>
    </row>
    <row r="4034" spans="36:36" x14ac:dyDescent="0.35">
      <c r="AJ4034" s="213"/>
    </row>
    <row r="4035" spans="36:36" x14ac:dyDescent="0.35">
      <c r="AJ4035" s="213"/>
    </row>
    <row r="4036" spans="36:36" x14ac:dyDescent="0.35">
      <c r="AJ4036" s="213"/>
    </row>
    <row r="4037" spans="36:36" x14ac:dyDescent="0.35">
      <c r="AJ4037" s="213"/>
    </row>
    <row r="4038" spans="36:36" x14ac:dyDescent="0.35">
      <c r="AJ4038" s="213"/>
    </row>
    <row r="4039" spans="36:36" x14ac:dyDescent="0.35">
      <c r="AJ4039" s="213"/>
    </row>
    <row r="4040" spans="36:36" x14ac:dyDescent="0.35">
      <c r="AJ4040" s="213"/>
    </row>
    <row r="4041" spans="36:36" x14ac:dyDescent="0.35">
      <c r="AJ4041" s="213"/>
    </row>
    <row r="4042" spans="36:36" x14ac:dyDescent="0.35">
      <c r="AJ4042" s="213"/>
    </row>
    <row r="4043" spans="36:36" x14ac:dyDescent="0.35">
      <c r="AJ4043" s="213"/>
    </row>
    <row r="4044" spans="36:36" x14ac:dyDescent="0.35">
      <c r="AJ4044" s="213"/>
    </row>
    <row r="4045" spans="36:36" x14ac:dyDescent="0.35">
      <c r="AJ4045" s="213"/>
    </row>
    <row r="4046" spans="36:36" x14ac:dyDescent="0.35">
      <c r="AJ4046" s="213"/>
    </row>
    <row r="4047" spans="36:36" x14ac:dyDescent="0.35">
      <c r="AJ4047" s="213"/>
    </row>
    <row r="4048" spans="36:36" x14ac:dyDescent="0.35">
      <c r="AJ4048" s="213"/>
    </row>
    <row r="4049" spans="36:36" x14ac:dyDescent="0.35">
      <c r="AJ4049" s="213"/>
    </row>
    <row r="4050" spans="36:36" x14ac:dyDescent="0.35">
      <c r="AJ4050" s="213"/>
    </row>
    <row r="4051" spans="36:36" x14ac:dyDescent="0.35">
      <c r="AJ4051" s="213"/>
    </row>
    <row r="4052" spans="36:36" x14ac:dyDescent="0.35">
      <c r="AJ4052" s="213"/>
    </row>
    <row r="4053" spans="36:36" x14ac:dyDescent="0.35">
      <c r="AJ4053" s="213"/>
    </row>
    <row r="4054" spans="36:36" x14ac:dyDescent="0.35">
      <c r="AJ4054" s="213"/>
    </row>
    <row r="4055" spans="36:36" x14ac:dyDescent="0.35">
      <c r="AJ4055" s="213"/>
    </row>
    <row r="4056" spans="36:36" x14ac:dyDescent="0.35">
      <c r="AJ4056" s="213"/>
    </row>
    <row r="4057" spans="36:36" x14ac:dyDescent="0.35">
      <c r="AJ4057" s="213"/>
    </row>
    <row r="4058" spans="36:36" x14ac:dyDescent="0.35">
      <c r="AJ4058" s="213"/>
    </row>
    <row r="4059" spans="36:36" x14ac:dyDescent="0.35">
      <c r="AJ4059" s="213"/>
    </row>
    <row r="4060" spans="36:36" x14ac:dyDescent="0.35">
      <c r="AJ4060" s="213"/>
    </row>
    <row r="4061" spans="36:36" x14ac:dyDescent="0.35">
      <c r="AJ4061" s="213"/>
    </row>
    <row r="4062" spans="36:36" x14ac:dyDescent="0.35">
      <c r="AJ4062" s="213"/>
    </row>
    <row r="4063" spans="36:36" x14ac:dyDescent="0.35">
      <c r="AJ4063" s="213"/>
    </row>
    <row r="4064" spans="36:36" x14ac:dyDescent="0.35">
      <c r="AJ4064" s="213"/>
    </row>
    <row r="4065" spans="36:36" x14ac:dyDescent="0.35">
      <c r="AJ4065" s="213"/>
    </row>
    <row r="4066" spans="36:36" x14ac:dyDescent="0.35">
      <c r="AJ4066" s="213"/>
    </row>
    <row r="4067" spans="36:36" x14ac:dyDescent="0.35">
      <c r="AJ4067" s="213"/>
    </row>
    <row r="4068" spans="36:36" x14ac:dyDescent="0.35">
      <c r="AJ4068" s="213"/>
    </row>
    <row r="4069" spans="36:36" x14ac:dyDescent="0.35">
      <c r="AJ4069" s="213"/>
    </row>
    <row r="4070" spans="36:36" x14ac:dyDescent="0.35">
      <c r="AJ4070" s="213"/>
    </row>
    <row r="4071" spans="36:36" x14ac:dyDescent="0.35">
      <c r="AJ4071" s="213"/>
    </row>
    <row r="4072" spans="36:36" x14ac:dyDescent="0.35">
      <c r="AJ4072" s="213"/>
    </row>
    <row r="4073" spans="36:36" x14ac:dyDescent="0.35">
      <c r="AJ4073" s="213"/>
    </row>
    <row r="4074" spans="36:36" x14ac:dyDescent="0.35">
      <c r="AJ4074" s="213"/>
    </row>
    <row r="4075" spans="36:36" x14ac:dyDescent="0.35">
      <c r="AJ4075" s="213"/>
    </row>
    <row r="4076" spans="36:36" x14ac:dyDescent="0.35">
      <c r="AJ4076" s="213"/>
    </row>
    <row r="4077" spans="36:36" x14ac:dyDescent="0.35">
      <c r="AJ4077" s="213"/>
    </row>
    <row r="4078" spans="36:36" x14ac:dyDescent="0.35">
      <c r="AJ4078" s="213"/>
    </row>
    <row r="4079" spans="36:36" x14ac:dyDescent="0.35">
      <c r="AJ4079" s="213"/>
    </row>
    <row r="4080" spans="36:36" x14ac:dyDescent="0.35">
      <c r="AJ4080" s="213"/>
    </row>
    <row r="4081" spans="36:36" x14ac:dyDescent="0.35">
      <c r="AJ4081" s="213"/>
    </row>
    <row r="4082" spans="36:36" x14ac:dyDescent="0.35">
      <c r="AJ4082" s="213"/>
    </row>
    <row r="4083" spans="36:36" x14ac:dyDescent="0.35">
      <c r="AJ4083" s="213"/>
    </row>
    <row r="4084" spans="36:36" x14ac:dyDescent="0.35">
      <c r="AJ4084" s="213"/>
    </row>
    <row r="4085" spans="36:36" x14ac:dyDescent="0.35">
      <c r="AJ4085" s="213"/>
    </row>
    <row r="4086" spans="36:36" x14ac:dyDescent="0.35">
      <c r="AJ4086" s="213"/>
    </row>
    <row r="4087" spans="36:36" x14ac:dyDescent="0.35">
      <c r="AJ4087" s="213"/>
    </row>
    <row r="4088" spans="36:36" x14ac:dyDescent="0.35">
      <c r="AJ4088" s="213"/>
    </row>
    <row r="4089" spans="36:36" x14ac:dyDescent="0.35">
      <c r="AJ4089" s="213"/>
    </row>
    <row r="4090" spans="36:36" x14ac:dyDescent="0.35">
      <c r="AJ4090" s="213"/>
    </row>
    <row r="4091" spans="36:36" x14ac:dyDescent="0.35">
      <c r="AJ4091" s="213"/>
    </row>
    <row r="4092" spans="36:36" x14ac:dyDescent="0.35">
      <c r="AJ4092" s="213"/>
    </row>
    <row r="4093" spans="36:36" x14ac:dyDescent="0.35">
      <c r="AJ4093" s="213"/>
    </row>
    <row r="4094" spans="36:36" x14ac:dyDescent="0.35">
      <c r="AJ4094" s="213"/>
    </row>
    <row r="4095" spans="36:36" x14ac:dyDescent="0.35">
      <c r="AJ4095" s="213"/>
    </row>
    <row r="4096" spans="36:36" x14ac:dyDescent="0.35">
      <c r="AJ4096" s="213"/>
    </row>
    <row r="4097" spans="36:36" x14ac:dyDescent="0.35">
      <c r="AJ4097" s="213"/>
    </row>
    <row r="4098" spans="36:36" x14ac:dyDescent="0.35">
      <c r="AJ4098" s="213"/>
    </row>
    <row r="4099" spans="36:36" x14ac:dyDescent="0.35">
      <c r="AJ4099" s="213"/>
    </row>
    <row r="4100" spans="36:36" x14ac:dyDescent="0.35">
      <c r="AJ4100" s="213"/>
    </row>
    <row r="4101" spans="36:36" x14ac:dyDescent="0.35">
      <c r="AJ4101" s="213"/>
    </row>
    <row r="4102" spans="36:36" x14ac:dyDescent="0.35">
      <c r="AJ4102" s="213"/>
    </row>
    <row r="4103" spans="36:36" x14ac:dyDescent="0.35">
      <c r="AJ4103" s="213"/>
    </row>
    <row r="4104" spans="36:36" x14ac:dyDescent="0.35">
      <c r="AJ4104" s="213"/>
    </row>
    <row r="4105" spans="36:36" x14ac:dyDescent="0.35">
      <c r="AJ4105" s="213"/>
    </row>
    <row r="4106" spans="36:36" x14ac:dyDescent="0.35">
      <c r="AJ4106" s="213"/>
    </row>
    <row r="4107" spans="36:36" x14ac:dyDescent="0.35">
      <c r="AJ4107" s="213"/>
    </row>
    <row r="4108" spans="36:36" x14ac:dyDescent="0.35">
      <c r="AJ4108" s="213"/>
    </row>
    <row r="4109" spans="36:36" x14ac:dyDescent="0.35">
      <c r="AJ4109" s="213"/>
    </row>
    <row r="4110" spans="36:36" x14ac:dyDescent="0.35">
      <c r="AJ4110" s="213"/>
    </row>
    <row r="4111" spans="36:36" x14ac:dyDescent="0.35">
      <c r="AJ4111" s="213"/>
    </row>
    <row r="4112" spans="36:36" x14ac:dyDescent="0.35">
      <c r="AJ4112" s="213"/>
    </row>
    <row r="4113" spans="36:36" x14ac:dyDescent="0.35">
      <c r="AJ4113" s="213"/>
    </row>
    <row r="4114" spans="36:36" x14ac:dyDescent="0.35">
      <c r="AJ4114" s="213"/>
    </row>
    <row r="4115" spans="36:36" x14ac:dyDescent="0.35">
      <c r="AJ4115" s="213"/>
    </row>
    <row r="4116" spans="36:36" x14ac:dyDescent="0.35">
      <c r="AJ4116" s="213"/>
    </row>
    <row r="4117" spans="36:36" x14ac:dyDescent="0.35">
      <c r="AJ4117" s="213"/>
    </row>
    <row r="4118" spans="36:36" x14ac:dyDescent="0.35">
      <c r="AJ4118" s="213"/>
    </row>
    <row r="4119" spans="36:36" x14ac:dyDescent="0.35">
      <c r="AJ4119" s="213"/>
    </row>
    <row r="4120" spans="36:36" x14ac:dyDescent="0.35">
      <c r="AJ4120" s="213"/>
    </row>
    <row r="4121" spans="36:36" x14ac:dyDescent="0.35">
      <c r="AJ4121" s="213"/>
    </row>
    <row r="4122" spans="36:36" x14ac:dyDescent="0.35">
      <c r="AJ4122" s="213"/>
    </row>
    <row r="4123" spans="36:36" x14ac:dyDescent="0.35">
      <c r="AJ4123" s="213"/>
    </row>
    <row r="4124" spans="36:36" x14ac:dyDescent="0.35">
      <c r="AJ4124" s="213"/>
    </row>
    <row r="4125" spans="36:36" x14ac:dyDescent="0.35">
      <c r="AJ4125" s="213"/>
    </row>
    <row r="4126" spans="36:36" x14ac:dyDescent="0.35">
      <c r="AJ4126" s="213"/>
    </row>
    <row r="4127" spans="36:36" x14ac:dyDescent="0.35">
      <c r="AJ4127" s="213"/>
    </row>
    <row r="4128" spans="36:36" x14ac:dyDescent="0.35">
      <c r="AJ4128" s="213"/>
    </row>
    <row r="4129" spans="36:36" x14ac:dyDescent="0.35">
      <c r="AJ4129" s="213"/>
    </row>
    <row r="4130" spans="36:36" x14ac:dyDescent="0.35">
      <c r="AJ4130" s="213"/>
    </row>
    <row r="4131" spans="36:36" x14ac:dyDescent="0.35">
      <c r="AJ4131" s="213"/>
    </row>
    <row r="4132" spans="36:36" x14ac:dyDescent="0.35">
      <c r="AJ4132" s="213"/>
    </row>
    <row r="4133" spans="36:36" x14ac:dyDescent="0.35">
      <c r="AJ4133" s="213"/>
    </row>
    <row r="4134" spans="36:36" x14ac:dyDescent="0.35">
      <c r="AJ4134" s="213"/>
    </row>
    <row r="4135" spans="36:36" x14ac:dyDescent="0.35">
      <c r="AJ4135" s="213"/>
    </row>
    <row r="4136" spans="36:36" x14ac:dyDescent="0.35">
      <c r="AJ4136" s="213"/>
    </row>
    <row r="4137" spans="36:36" x14ac:dyDescent="0.35">
      <c r="AJ4137" s="213"/>
    </row>
    <row r="4138" spans="36:36" x14ac:dyDescent="0.35">
      <c r="AJ4138" s="213"/>
    </row>
    <row r="4139" spans="36:36" x14ac:dyDescent="0.35">
      <c r="AJ4139" s="213"/>
    </row>
    <row r="4140" spans="36:36" x14ac:dyDescent="0.35">
      <c r="AJ4140" s="213"/>
    </row>
    <row r="4141" spans="36:36" x14ac:dyDescent="0.35">
      <c r="AJ4141" s="213"/>
    </row>
    <row r="4142" spans="36:36" x14ac:dyDescent="0.35">
      <c r="AJ4142" s="213"/>
    </row>
    <row r="4143" spans="36:36" x14ac:dyDescent="0.35">
      <c r="AJ4143" s="213"/>
    </row>
    <row r="4144" spans="36:36" x14ac:dyDescent="0.35">
      <c r="AJ4144" s="213"/>
    </row>
    <row r="4145" spans="36:36" x14ac:dyDescent="0.35">
      <c r="AJ4145" s="213"/>
    </row>
    <row r="4146" spans="36:36" x14ac:dyDescent="0.35">
      <c r="AJ4146" s="213"/>
    </row>
    <row r="4147" spans="36:36" x14ac:dyDescent="0.35">
      <c r="AJ4147" s="213"/>
    </row>
    <row r="4148" spans="36:36" x14ac:dyDescent="0.35">
      <c r="AJ4148" s="213"/>
    </row>
    <row r="4149" spans="36:36" x14ac:dyDescent="0.35">
      <c r="AJ4149" s="213"/>
    </row>
    <row r="4150" spans="36:36" x14ac:dyDescent="0.35">
      <c r="AJ4150" s="213"/>
    </row>
    <row r="4151" spans="36:36" x14ac:dyDescent="0.35">
      <c r="AJ4151" s="213"/>
    </row>
    <row r="4152" spans="36:36" x14ac:dyDescent="0.35">
      <c r="AJ4152" s="213"/>
    </row>
    <row r="4153" spans="36:36" x14ac:dyDescent="0.35">
      <c r="AJ4153" s="213"/>
    </row>
    <row r="4154" spans="36:36" x14ac:dyDescent="0.35">
      <c r="AJ4154" s="213"/>
    </row>
    <row r="4155" spans="36:36" x14ac:dyDescent="0.35">
      <c r="AJ4155" s="213"/>
    </row>
    <row r="4156" spans="36:36" x14ac:dyDescent="0.35">
      <c r="AJ4156" s="213"/>
    </row>
    <row r="4157" spans="36:36" x14ac:dyDescent="0.35">
      <c r="AJ4157" s="213"/>
    </row>
    <row r="4158" spans="36:36" x14ac:dyDescent="0.35">
      <c r="AJ4158" s="213"/>
    </row>
    <row r="4159" spans="36:36" x14ac:dyDescent="0.35">
      <c r="AJ4159" s="213"/>
    </row>
    <row r="4160" spans="36:36" x14ac:dyDescent="0.35">
      <c r="AJ4160" s="213"/>
    </row>
    <row r="4161" spans="36:36" x14ac:dyDescent="0.35">
      <c r="AJ4161" s="213"/>
    </row>
    <row r="4162" spans="36:36" x14ac:dyDescent="0.35">
      <c r="AJ4162" s="213"/>
    </row>
    <row r="4163" spans="36:36" x14ac:dyDescent="0.35">
      <c r="AJ4163" s="213"/>
    </row>
    <row r="4164" spans="36:36" x14ac:dyDescent="0.35">
      <c r="AJ4164" s="213"/>
    </row>
    <row r="4165" spans="36:36" x14ac:dyDescent="0.35">
      <c r="AJ4165" s="213"/>
    </row>
    <row r="4166" spans="36:36" x14ac:dyDescent="0.35">
      <c r="AJ4166" s="213"/>
    </row>
    <row r="4167" spans="36:36" x14ac:dyDescent="0.35">
      <c r="AJ4167" s="213"/>
    </row>
    <row r="4168" spans="36:36" x14ac:dyDescent="0.35">
      <c r="AJ4168" s="213"/>
    </row>
    <row r="4169" spans="36:36" x14ac:dyDescent="0.35">
      <c r="AJ4169" s="213"/>
    </row>
    <row r="4170" spans="36:36" x14ac:dyDescent="0.35">
      <c r="AJ4170" s="213"/>
    </row>
    <row r="4171" spans="36:36" x14ac:dyDescent="0.35">
      <c r="AJ4171" s="213"/>
    </row>
    <row r="4172" spans="36:36" x14ac:dyDescent="0.35">
      <c r="AJ4172" s="213"/>
    </row>
    <row r="4173" spans="36:36" x14ac:dyDescent="0.35">
      <c r="AJ4173" s="213"/>
    </row>
    <row r="4174" spans="36:36" x14ac:dyDescent="0.35">
      <c r="AJ4174" s="213"/>
    </row>
    <row r="4175" spans="36:36" x14ac:dyDescent="0.35">
      <c r="AJ4175" s="213"/>
    </row>
    <row r="4176" spans="36:36" x14ac:dyDescent="0.35">
      <c r="AJ4176" s="213"/>
    </row>
    <row r="4177" spans="36:36" x14ac:dyDescent="0.35">
      <c r="AJ4177" s="213"/>
    </row>
    <row r="4178" spans="36:36" x14ac:dyDescent="0.35">
      <c r="AJ4178" s="213"/>
    </row>
    <row r="4179" spans="36:36" x14ac:dyDescent="0.35">
      <c r="AJ4179" s="213"/>
    </row>
    <row r="4180" spans="36:36" x14ac:dyDescent="0.35">
      <c r="AJ4180" s="213"/>
    </row>
    <row r="4181" spans="36:36" x14ac:dyDescent="0.35">
      <c r="AJ4181" s="213"/>
    </row>
    <row r="4182" spans="36:36" x14ac:dyDescent="0.35">
      <c r="AJ4182" s="213"/>
    </row>
    <row r="4183" spans="36:36" x14ac:dyDescent="0.35">
      <c r="AJ4183" s="213"/>
    </row>
    <row r="4184" spans="36:36" x14ac:dyDescent="0.35">
      <c r="AJ4184" s="213"/>
    </row>
    <row r="4185" spans="36:36" x14ac:dyDescent="0.35">
      <c r="AJ4185" s="213"/>
    </row>
    <row r="4186" spans="36:36" x14ac:dyDescent="0.35">
      <c r="AJ4186" s="213"/>
    </row>
    <row r="4187" spans="36:36" x14ac:dyDescent="0.35">
      <c r="AJ4187" s="213"/>
    </row>
    <row r="4188" spans="36:36" x14ac:dyDescent="0.35">
      <c r="AJ4188" s="213"/>
    </row>
    <row r="4189" spans="36:36" x14ac:dyDescent="0.35">
      <c r="AJ4189" s="213"/>
    </row>
    <row r="4190" spans="36:36" x14ac:dyDescent="0.35">
      <c r="AJ4190" s="213"/>
    </row>
    <row r="4191" spans="36:36" x14ac:dyDescent="0.35">
      <c r="AJ4191" s="213"/>
    </row>
    <row r="4192" spans="36:36" x14ac:dyDescent="0.35">
      <c r="AJ4192" s="213"/>
    </row>
    <row r="4193" spans="36:36" x14ac:dyDescent="0.35">
      <c r="AJ4193" s="213"/>
    </row>
    <row r="4194" spans="36:36" x14ac:dyDescent="0.35">
      <c r="AJ4194" s="213"/>
    </row>
    <row r="4195" spans="36:36" x14ac:dyDescent="0.35">
      <c r="AJ4195" s="213"/>
    </row>
    <row r="4196" spans="36:36" x14ac:dyDescent="0.35">
      <c r="AJ4196" s="213"/>
    </row>
    <row r="4197" spans="36:36" x14ac:dyDescent="0.35">
      <c r="AJ4197" s="213"/>
    </row>
    <row r="4198" spans="36:36" x14ac:dyDescent="0.35">
      <c r="AJ4198" s="213"/>
    </row>
    <row r="4199" spans="36:36" x14ac:dyDescent="0.35">
      <c r="AJ4199" s="213"/>
    </row>
    <row r="4200" spans="36:36" x14ac:dyDescent="0.35">
      <c r="AJ4200" s="213"/>
    </row>
    <row r="4201" spans="36:36" x14ac:dyDescent="0.35">
      <c r="AJ4201" s="213"/>
    </row>
    <row r="4202" spans="36:36" x14ac:dyDescent="0.35">
      <c r="AJ4202" s="213"/>
    </row>
    <row r="4203" spans="36:36" x14ac:dyDescent="0.35">
      <c r="AJ4203" s="213"/>
    </row>
    <row r="4204" spans="36:36" x14ac:dyDescent="0.35">
      <c r="AJ4204" s="213"/>
    </row>
    <row r="4205" spans="36:36" x14ac:dyDescent="0.35">
      <c r="AJ4205" s="213"/>
    </row>
    <row r="4206" spans="36:36" x14ac:dyDescent="0.35">
      <c r="AJ4206" s="213"/>
    </row>
    <row r="4207" spans="36:36" x14ac:dyDescent="0.35">
      <c r="AJ4207" s="213"/>
    </row>
    <row r="4208" spans="36:36" x14ac:dyDescent="0.35">
      <c r="AJ4208" s="213"/>
    </row>
    <row r="4209" spans="36:36" x14ac:dyDescent="0.35">
      <c r="AJ4209" s="213"/>
    </row>
    <row r="4210" spans="36:36" x14ac:dyDescent="0.35">
      <c r="AJ4210" s="213"/>
    </row>
    <row r="4211" spans="36:36" x14ac:dyDescent="0.35">
      <c r="AJ4211" s="213"/>
    </row>
    <row r="4212" spans="36:36" x14ac:dyDescent="0.35">
      <c r="AJ4212" s="213"/>
    </row>
    <row r="4213" spans="36:36" x14ac:dyDescent="0.35">
      <c r="AJ4213" s="213"/>
    </row>
    <row r="4214" spans="36:36" x14ac:dyDescent="0.35">
      <c r="AJ4214" s="213"/>
    </row>
    <row r="4215" spans="36:36" x14ac:dyDescent="0.35">
      <c r="AJ4215" s="213"/>
    </row>
    <row r="4216" spans="36:36" x14ac:dyDescent="0.35">
      <c r="AJ4216" s="213"/>
    </row>
    <row r="4217" spans="36:36" x14ac:dyDescent="0.35">
      <c r="AJ4217" s="213"/>
    </row>
    <row r="4218" spans="36:36" x14ac:dyDescent="0.35">
      <c r="AJ4218" s="213"/>
    </row>
    <row r="4219" spans="36:36" x14ac:dyDescent="0.35">
      <c r="AJ4219" s="213"/>
    </row>
    <row r="4220" spans="36:36" x14ac:dyDescent="0.35">
      <c r="AJ4220" s="213"/>
    </row>
    <row r="4221" spans="36:36" x14ac:dyDescent="0.35">
      <c r="AJ4221" s="213"/>
    </row>
    <row r="4222" spans="36:36" x14ac:dyDescent="0.35">
      <c r="AJ4222" s="213"/>
    </row>
    <row r="4223" spans="36:36" x14ac:dyDescent="0.35">
      <c r="AJ4223" s="213"/>
    </row>
    <row r="4224" spans="36:36" x14ac:dyDescent="0.35">
      <c r="AJ4224" s="213"/>
    </row>
    <row r="4225" spans="36:36" x14ac:dyDescent="0.35">
      <c r="AJ4225" s="213"/>
    </row>
    <row r="4226" spans="36:36" x14ac:dyDescent="0.35">
      <c r="AJ4226" s="213"/>
    </row>
    <row r="4227" spans="36:36" x14ac:dyDescent="0.35">
      <c r="AJ4227" s="213"/>
    </row>
    <row r="4228" spans="36:36" x14ac:dyDescent="0.35">
      <c r="AJ4228" s="213"/>
    </row>
    <row r="4229" spans="36:36" x14ac:dyDescent="0.35">
      <c r="AJ4229" s="213"/>
    </row>
    <row r="4230" spans="36:36" x14ac:dyDescent="0.35">
      <c r="AJ4230" s="213"/>
    </row>
    <row r="4231" spans="36:36" x14ac:dyDescent="0.35">
      <c r="AJ4231" s="213"/>
    </row>
    <row r="4232" spans="36:36" x14ac:dyDescent="0.35">
      <c r="AJ4232" s="213"/>
    </row>
    <row r="4233" spans="36:36" x14ac:dyDescent="0.35">
      <c r="AJ4233" s="213"/>
    </row>
    <row r="4234" spans="36:36" x14ac:dyDescent="0.35">
      <c r="AJ4234" s="213"/>
    </row>
    <row r="4235" spans="36:36" x14ac:dyDescent="0.35">
      <c r="AJ4235" s="213"/>
    </row>
    <row r="4236" spans="36:36" x14ac:dyDescent="0.35">
      <c r="AJ4236" s="213"/>
    </row>
    <row r="4237" spans="36:36" x14ac:dyDescent="0.35">
      <c r="AJ4237" s="213"/>
    </row>
    <row r="4238" spans="36:36" x14ac:dyDescent="0.35">
      <c r="AJ4238" s="213"/>
    </row>
    <row r="4239" spans="36:36" x14ac:dyDescent="0.35">
      <c r="AJ4239" s="213"/>
    </row>
    <row r="4240" spans="36:36" x14ac:dyDescent="0.35">
      <c r="AJ4240" s="213"/>
    </row>
    <row r="4241" spans="36:36" x14ac:dyDescent="0.35">
      <c r="AJ4241" s="213"/>
    </row>
    <row r="4242" spans="36:36" x14ac:dyDescent="0.35">
      <c r="AJ4242" s="213"/>
    </row>
    <row r="4243" spans="36:36" x14ac:dyDescent="0.35">
      <c r="AJ4243" s="213"/>
    </row>
    <row r="4244" spans="36:36" x14ac:dyDescent="0.35">
      <c r="AJ4244" s="213"/>
    </row>
    <row r="4245" spans="36:36" x14ac:dyDescent="0.35">
      <c r="AJ4245" s="213"/>
    </row>
    <row r="4246" spans="36:36" x14ac:dyDescent="0.35">
      <c r="AJ4246" s="213"/>
    </row>
    <row r="4247" spans="36:36" x14ac:dyDescent="0.35">
      <c r="AJ4247" s="213"/>
    </row>
    <row r="4248" spans="36:36" x14ac:dyDescent="0.35">
      <c r="AJ4248" s="213"/>
    </row>
    <row r="4249" spans="36:36" x14ac:dyDescent="0.35">
      <c r="AJ4249" s="213"/>
    </row>
    <row r="4250" spans="36:36" x14ac:dyDescent="0.35">
      <c r="AJ4250" s="213"/>
    </row>
    <row r="4251" spans="36:36" x14ac:dyDescent="0.35">
      <c r="AJ4251" s="213"/>
    </row>
    <row r="4252" spans="36:36" x14ac:dyDescent="0.35">
      <c r="AJ4252" s="213"/>
    </row>
    <row r="4253" spans="36:36" x14ac:dyDescent="0.35">
      <c r="AJ4253" s="213"/>
    </row>
    <row r="4254" spans="36:36" x14ac:dyDescent="0.35">
      <c r="AJ4254" s="213"/>
    </row>
    <row r="4255" spans="36:36" x14ac:dyDescent="0.35">
      <c r="AJ4255" s="213"/>
    </row>
    <row r="4256" spans="36:36" x14ac:dyDescent="0.35">
      <c r="AJ4256" s="213"/>
    </row>
    <row r="4257" spans="36:36" x14ac:dyDescent="0.35">
      <c r="AJ4257" s="213"/>
    </row>
    <row r="4258" spans="36:36" x14ac:dyDescent="0.35">
      <c r="AJ4258" s="213"/>
    </row>
    <row r="4259" spans="36:36" x14ac:dyDescent="0.35">
      <c r="AJ4259" s="213"/>
    </row>
    <row r="4260" spans="36:36" x14ac:dyDescent="0.35">
      <c r="AJ4260" s="213"/>
    </row>
    <row r="4261" spans="36:36" x14ac:dyDescent="0.35">
      <c r="AJ4261" s="213"/>
    </row>
    <row r="4262" spans="36:36" x14ac:dyDescent="0.35">
      <c r="AJ4262" s="213"/>
    </row>
    <row r="4263" spans="36:36" x14ac:dyDescent="0.35">
      <c r="AJ4263" s="213"/>
    </row>
    <row r="4264" spans="36:36" x14ac:dyDescent="0.35">
      <c r="AJ4264" s="213"/>
    </row>
    <row r="4265" spans="36:36" x14ac:dyDescent="0.35">
      <c r="AJ4265" s="213"/>
    </row>
    <row r="4266" spans="36:36" x14ac:dyDescent="0.35">
      <c r="AJ4266" s="213"/>
    </row>
    <row r="4267" spans="36:36" x14ac:dyDescent="0.35">
      <c r="AJ4267" s="213"/>
    </row>
    <row r="4268" spans="36:36" x14ac:dyDescent="0.35">
      <c r="AJ4268" s="213"/>
    </row>
    <row r="4269" spans="36:36" x14ac:dyDescent="0.35">
      <c r="AJ4269" s="213"/>
    </row>
    <row r="4270" spans="36:36" x14ac:dyDescent="0.35">
      <c r="AJ4270" s="213"/>
    </row>
    <row r="4271" spans="36:36" x14ac:dyDescent="0.35">
      <c r="AJ4271" s="213"/>
    </row>
    <row r="4272" spans="36:36" x14ac:dyDescent="0.35">
      <c r="AJ4272" s="213"/>
    </row>
    <row r="4273" spans="36:36" x14ac:dyDescent="0.35">
      <c r="AJ4273" s="213"/>
    </row>
    <row r="4274" spans="36:36" x14ac:dyDescent="0.35">
      <c r="AJ4274" s="213"/>
    </row>
    <row r="4275" spans="36:36" x14ac:dyDescent="0.35">
      <c r="AJ4275" s="213"/>
    </row>
    <row r="4276" spans="36:36" x14ac:dyDescent="0.35">
      <c r="AJ4276" s="213"/>
    </row>
    <row r="4277" spans="36:36" x14ac:dyDescent="0.35">
      <c r="AJ4277" s="213"/>
    </row>
    <row r="4278" spans="36:36" x14ac:dyDescent="0.35">
      <c r="AJ4278" s="213"/>
    </row>
    <row r="4279" spans="36:36" x14ac:dyDescent="0.35">
      <c r="AJ4279" s="213"/>
    </row>
    <row r="4280" spans="36:36" x14ac:dyDescent="0.35">
      <c r="AJ4280" s="213"/>
    </row>
    <row r="4281" spans="36:36" x14ac:dyDescent="0.35">
      <c r="AJ4281" s="213"/>
    </row>
    <row r="4282" spans="36:36" x14ac:dyDescent="0.35">
      <c r="AJ4282" s="213"/>
    </row>
    <row r="4283" spans="36:36" x14ac:dyDescent="0.35">
      <c r="AJ4283" s="213"/>
    </row>
    <row r="4284" spans="36:36" x14ac:dyDescent="0.35">
      <c r="AJ4284" s="213"/>
    </row>
    <row r="4285" spans="36:36" x14ac:dyDescent="0.35">
      <c r="AJ4285" s="213"/>
    </row>
    <row r="4286" spans="36:36" x14ac:dyDescent="0.35">
      <c r="AJ4286" s="213"/>
    </row>
    <row r="4287" spans="36:36" x14ac:dyDescent="0.35">
      <c r="AJ4287" s="213"/>
    </row>
    <row r="4288" spans="36:36" x14ac:dyDescent="0.35">
      <c r="AJ4288" s="213"/>
    </row>
    <row r="4289" spans="36:36" x14ac:dyDescent="0.35">
      <c r="AJ4289" s="213"/>
    </row>
    <row r="4290" spans="36:36" x14ac:dyDescent="0.35">
      <c r="AJ4290" s="213"/>
    </row>
    <row r="4291" spans="36:36" x14ac:dyDescent="0.35">
      <c r="AJ4291" s="213"/>
    </row>
    <row r="4292" spans="36:36" x14ac:dyDescent="0.35">
      <c r="AJ4292" s="213"/>
    </row>
    <row r="4293" spans="36:36" x14ac:dyDescent="0.35">
      <c r="AJ4293" s="213"/>
    </row>
    <row r="4294" spans="36:36" x14ac:dyDescent="0.35">
      <c r="AJ4294" s="213"/>
    </row>
    <row r="4295" spans="36:36" x14ac:dyDescent="0.35">
      <c r="AJ4295" s="213"/>
    </row>
    <row r="4296" spans="36:36" x14ac:dyDescent="0.35">
      <c r="AJ4296" s="213"/>
    </row>
    <row r="4297" spans="36:36" x14ac:dyDescent="0.35">
      <c r="AJ4297" s="213"/>
    </row>
    <row r="4298" spans="36:36" x14ac:dyDescent="0.35">
      <c r="AJ4298" s="213"/>
    </row>
    <row r="4299" spans="36:36" x14ac:dyDescent="0.35">
      <c r="AJ4299" s="213"/>
    </row>
    <row r="4300" spans="36:36" x14ac:dyDescent="0.35">
      <c r="AJ4300" s="213"/>
    </row>
    <row r="4301" spans="36:36" x14ac:dyDescent="0.35">
      <c r="AJ4301" s="213"/>
    </row>
    <row r="4302" spans="36:36" x14ac:dyDescent="0.35">
      <c r="AJ4302" s="213"/>
    </row>
    <row r="4303" spans="36:36" x14ac:dyDescent="0.35">
      <c r="AJ4303" s="213"/>
    </row>
    <row r="4304" spans="36:36" x14ac:dyDescent="0.35">
      <c r="AJ4304" s="213"/>
    </row>
    <row r="4305" spans="36:36" x14ac:dyDescent="0.35">
      <c r="AJ4305" s="213"/>
    </row>
    <row r="4306" spans="36:36" x14ac:dyDescent="0.35">
      <c r="AJ4306" s="213"/>
    </row>
    <row r="4307" spans="36:36" x14ac:dyDescent="0.35">
      <c r="AJ4307" s="213"/>
    </row>
    <row r="4308" spans="36:36" x14ac:dyDescent="0.35">
      <c r="AJ4308" s="213"/>
    </row>
    <row r="4309" spans="36:36" x14ac:dyDescent="0.35">
      <c r="AJ4309" s="213"/>
    </row>
    <row r="4310" spans="36:36" x14ac:dyDescent="0.35">
      <c r="AJ4310" s="213"/>
    </row>
    <row r="4311" spans="36:36" x14ac:dyDescent="0.35">
      <c r="AJ4311" s="213"/>
    </row>
    <row r="4312" spans="36:36" x14ac:dyDescent="0.35">
      <c r="AJ4312" s="213"/>
    </row>
    <row r="4313" spans="36:36" x14ac:dyDescent="0.35">
      <c r="AJ4313" s="213"/>
    </row>
    <row r="4314" spans="36:36" x14ac:dyDescent="0.35">
      <c r="AJ4314" s="213"/>
    </row>
    <row r="4315" spans="36:36" x14ac:dyDescent="0.35">
      <c r="AJ4315" s="213"/>
    </row>
    <row r="4316" spans="36:36" x14ac:dyDescent="0.35">
      <c r="AJ4316" s="213"/>
    </row>
    <row r="4317" spans="36:36" x14ac:dyDescent="0.35">
      <c r="AJ4317" s="213"/>
    </row>
    <row r="4318" spans="36:36" x14ac:dyDescent="0.35">
      <c r="AJ4318" s="213"/>
    </row>
    <row r="4319" spans="36:36" x14ac:dyDescent="0.35">
      <c r="AJ4319" s="213"/>
    </row>
    <row r="4320" spans="36:36" x14ac:dyDescent="0.35">
      <c r="AJ4320" s="213"/>
    </row>
    <row r="4321" spans="36:36" x14ac:dyDescent="0.35">
      <c r="AJ4321" s="213"/>
    </row>
    <row r="4322" spans="36:36" x14ac:dyDescent="0.35">
      <c r="AJ4322" s="213"/>
    </row>
    <row r="4323" spans="36:36" x14ac:dyDescent="0.35">
      <c r="AJ4323" s="213"/>
    </row>
    <row r="4324" spans="36:36" x14ac:dyDescent="0.35">
      <c r="AJ4324" s="213"/>
    </row>
    <row r="4325" spans="36:36" x14ac:dyDescent="0.35">
      <c r="AJ4325" s="213"/>
    </row>
    <row r="4326" spans="36:36" x14ac:dyDescent="0.35">
      <c r="AJ4326" s="213"/>
    </row>
    <row r="4327" spans="36:36" x14ac:dyDescent="0.35">
      <c r="AJ4327" s="213"/>
    </row>
    <row r="4328" spans="36:36" x14ac:dyDescent="0.35">
      <c r="AJ4328" s="213"/>
    </row>
    <row r="4329" spans="36:36" x14ac:dyDescent="0.35">
      <c r="AJ4329" s="213"/>
    </row>
    <row r="4330" spans="36:36" x14ac:dyDescent="0.35">
      <c r="AJ4330" s="213"/>
    </row>
    <row r="4331" spans="36:36" x14ac:dyDescent="0.35">
      <c r="AJ4331" s="213"/>
    </row>
    <row r="4332" spans="36:36" x14ac:dyDescent="0.35">
      <c r="AJ4332" s="213"/>
    </row>
    <row r="4333" spans="36:36" x14ac:dyDescent="0.35">
      <c r="AJ4333" s="213"/>
    </row>
    <row r="4334" spans="36:36" x14ac:dyDescent="0.35">
      <c r="AJ4334" s="213"/>
    </row>
    <row r="4335" spans="36:36" x14ac:dyDescent="0.35">
      <c r="AJ4335" s="213"/>
    </row>
    <row r="4336" spans="36:36" x14ac:dyDescent="0.35">
      <c r="AJ4336" s="213"/>
    </row>
    <row r="4337" spans="36:36" x14ac:dyDescent="0.35">
      <c r="AJ4337" s="213"/>
    </row>
    <row r="4338" spans="36:36" x14ac:dyDescent="0.35">
      <c r="AJ4338" s="213"/>
    </row>
    <row r="4339" spans="36:36" x14ac:dyDescent="0.35">
      <c r="AJ4339" s="213"/>
    </row>
    <row r="4340" spans="36:36" x14ac:dyDescent="0.35">
      <c r="AJ4340" s="213"/>
    </row>
    <row r="4341" spans="36:36" x14ac:dyDescent="0.35">
      <c r="AJ4341" s="213"/>
    </row>
    <row r="4342" spans="36:36" x14ac:dyDescent="0.35">
      <c r="AJ4342" s="213"/>
    </row>
    <row r="4343" spans="36:36" x14ac:dyDescent="0.35">
      <c r="AJ4343" s="213"/>
    </row>
    <row r="4344" spans="36:36" x14ac:dyDescent="0.35">
      <c r="AJ4344" s="213"/>
    </row>
    <row r="4345" spans="36:36" x14ac:dyDescent="0.35">
      <c r="AJ4345" s="213"/>
    </row>
    <row r="4346" spans="36:36" x14ac:dyDescent="0.35">
      <c r="AJ4346" s="213"/>
    </row>
    <row r="4347" spans="36:36" x14ac:dyDescent="0.35">
      <c r="AJ4347" s="213"/>
    </row>
    <row r="4348" spans="36:36" x14ac:dyDescent="0.35">
      <c r="AJ4348" s="213"/>
    </row>
    <row r="4349" spans="36:36" x14ac:dyDescent="0.35">
      <c r="AJ4349" s="213"/>
    </row>
    <row r="4350" spans="36:36" x14ac:dyDescent="0.35">
      <c r="AJ4350" s="213"/>
    </row>
    <row r="4351" spans="36:36" x14ac:dyDescent="0.35">
      <c r="AJ4351" s="213"/>
    </row>
    <row r="4352" spans="36:36" x14ac:dyDescent="0.35">
      <c r="AJ4352" s="213"/>
    </row>
    <row r="4353" spans="36:36" x14ac:dyDescent="0.35">
      <c r="AJ4353" s="213"/>
    </row>
    <row r="4354" spans="36:36" x14ac:dyDescent="0.35">
      <c r="AJ4354" s="213"/>
    </row>
    <row r="4355" spans="36:36" x14ac:dyDescent="0.35">
      <c r="AJ4355" s="213"/>
    </row>
    <row r="4356" spans="36:36" x14ac:dyDescent="0.35">
      <c r="AJ4356" s="213"/>
    </row>
    <row r="4357" spans="36:36" x14ac:dyDescent="0.35">
      <c r="AJ4357" s="213"/>
    </row>
    <row r="4358" spans="36:36" x14ac:dyDescent="0.35">
      <c r="AJ4358" s="213"/>
    </row>
    <row r="4359" spans="36:36" x14ac:dyDescent="0.35">
      <c r="AJ4359" s="213"/>
    </row>
    <row r="4360" spans="36:36" x14ac:dyDescent="0.35">
      <c r="AJ4360" s="213"/>
    </row>
    <row r="4361" spans="36:36" x14ac:dyDescent="0.35">
      <c r="AJ4361" s="213"/>
    </row>
    <row r="4362" spans="36:36" x14ac:dyDescent="0.35">
      <c r="AJ4362" s="213"/>
    </row>
    <row r="4363" spans="36:36" x14ac:dyDescent="0.35">
      <c r="AJ4363" s="213"/>
    </row>
    <row r="4364" spans="36:36" x14ac:dyDescent="0.35">
      <c r="AJ4364" s="213"/>
    </row>
    <row r="4365" spans="36:36" x14ac:dyDescent="0.35">
      <c r="AJ4365" s="213"/>
    </row>
    <row r="4366" spans="36:36" x14ac:dyDescent="0.35">
      <c r="AJ4366" s="213"/>
    </row>
    <row r="4367" spans="36:36" x14ac:dyDescent="0.35">
      <c r="AJ4367" s="213"/>
    </row>
    <row r="4368" spans="36:36" x14ac:dyDescent="0.35">
      <c r="AJ4368" s="213"/>
    </row>
    <row r="4369" spans="36:36" x14ac:dyDescent="0.35">
      <c r="AJ4369" s="213"/>
    </row>
    <row r="4370" spans="36:36" x14ac:dyDescent="0.35">
      <c r="AJ4370" s="213"/>
    </row>
    <row r="4371" spans="36:36" x14ac:dyDescent="0.35">
      <c r="AJ4371" s="213"/>
    </row>
    <row r="4372" spans="36:36" x14ac:dyDescent="0.35">
      <c r="AJ4372" s="213"/>
    </row>
    <row r="4373" spans="36:36" x14ac:dyDescent="0.35">
      <c r="AJ4373" s="213"/>
    </row>
    <row r="4374" spans="36:36" x14ac:dyDescent="0.35">
      <c r="AJ4374" s="213"/>
    </row>
    <row r="4375" spans="36:36" x14ac:dyDescent="0.35">
      <c r="AJ4375" s="213"/>
    </row>
    <row r="4376" spans="36:36" x14ac:dyDescent="0.35">
      <c r="AJ4376" s="213"/>
    </row>
    <row r="4377" spans="36:36" x14ac:dyDescent="0.35">
      <c r="AJ4377" s="213"/>
    </row>
    <row r="4378" spans="36:36" x14ac:dyDescent="0.35">
      <c r="AJ4378" s="213"/>
    </row>
    <row r="4379" spans="36:36" x14ac:dyDescent="0.35">
      <c r="AJ4379" s="213"/>
    </row>
    <row r="4380" spans="36:36" x14ac:dyDescent="0.35">
      <c r="AJ4380" s="213"/>
    </row>
    <row r="4381" spans="36:36" x14ac:dyDescent="0.35">
      <c r="AJ4381" s="213"/>
    </row>
    <row r="4382" spans="36:36" x14ac:dyDescent="0.35">
      <c r="AJ4382" s="213"/>
    </row>
    <row r="4383" spans="36:36" x14ac:dyDescent="0.35">
      <c r="AJ4383" s="213"/>
    </row>
    <row r="4384" spans="36:36" x14ac:dyDescent="0.35">
      <c r="AJ4384" s="213"/>
    </row>
    <row r="4385" spans="36:36" x14ac:dyDescent="0.35">
      <c r="AJ4385" s="213"/>
    </row>
    <row r="4386" spans="36:36" x14ac:dyDescent="0.35">
      <c r="AJ4386" s="213"/>
    </row>
    <row r="4387" spans="36:36" x14ac:dyDescent="0.35">
      <c r="AJ4387" s="213"/>
    </row>
    <row r="4388" spans="36:36" x14ac:dyDescent="0.35">
      <c r="AJ4388" s="213"/>
    </row>
    <row r="4389" spans="36:36" x14ac:dyDescent="0.35">
      <c r="AJ4389" s="213"/>
    </row>
    <row r="4390" spans="36:36" x14ac:dyDescent="0.35">
      <c r="AJ4390" s="213"/>
    </row>
    <row r="4391" spans="36:36" x14ac:dyDescent="0.35">
      <c r="AJ4391" s="213"/>
    </row>
    <row r="4392" spans="36:36" x14ac:dyDescent="0.35">
      <c r="AJ4392" s="213"/>
    </row>
    <row r="4393" spans="36:36" x14ac:dyDescent="0.35">
      <c r="AJ4393" s="213"/>
    </row>
    <row r="4394" spans="36:36" x14ac:dyDescent="0.35">
      <c r="AJ4394" s="213"/>
    </row>
    <row r="4395" spans="36:36" x14ac:dyDescent="0.35">
      <c r="AJ4395" s="213"/>
    </row>
    <row r="4396" spans="36:36" x14ac:dyDescent="0.35">
      <c r="AJ4396" s="213"/>
    </row>
    <row r="4397" spans="36:36" x14ac:dyDescent="0.35">
      <c r="AJ4397" s="213"/>
    </row>
    <row r="4398" spans="36:36" x14ac:dyDescent="0.35">
      <c r="AJ4398" s="213"/>
    </row>
    <row r="4399" spans="36:36" x14ac:dyDescent="0.35">
      <c r="AJ4399" s="213"/>
    </row>
    <row r="4400" spans="36:36" x14ac:dyDescent="0.35">
      <c r="AJ4400" s="213"/>
    </row>
    <row r="4401" spans="36:36" x14ac:dyDescent="0.35">
      <c r="AJ4401" s="213"/>
    </row>
    <row r="4402" spans="36:36" x14ac:dyDescent="0.35">
      <c r="AJ4402" s="213"/>
    </row>
    <row r="4403" spans="36:36" x14ac:dyDescent="0.35">
      <c r="AJ4403" s="213"/>
    </row>
    <row r="4404" spans="36:36" x14ac:dyDescent="0.35">
      <c r="AJ4404" s="213"/>
    </row>
    <row r="4405" spans="36:36" x14ac:dyDescent="0.35">
      <c r="AJ4405" s="213"/>
    </row>
    <row r="4406" spans="36:36" x14ac:dyDescent="0.35">
      <c r="AJ4406" s="213"/>
    </row>
    <row r="4407" spans="36:36" x14ac:dyDescent="0.35">
      <c r="AJ4407" s="213"/>
    </row>
    <row r="4408" spans="36:36" x14ac:dyDescent="0.35">
      <c r="AJ4408" s="213"/>
    </row>
    <row r="4409" spans="36:36" x14ac:dyDescent="0.35">
      <c r="AJ4409" s="213"/>
    </row>
    <row r="4410" spans="36:36" x14ac:dyDescent="0.35">
      <c r="AJ4410" s="213"/>
    </row>
    <row r="4411" spans="36:36" x14ac:dyDescent="0.35">
      <c r="AJ4411" s="213"/>
    </row>
    <row r="4412" spans="36:36" x14ac:dyDescent="0.35">
      <c r="AJ4412" s="213"/>
    </row>
    <row r="4413" spans="36:36" x14ac:dyDescent="0.35">
      <c r="AJ4413" s="213"/>
    </row>
    <row r="4414" spans="36:36" x14ac:dyDescent="0.35">
      <c r="AJ4414" s="213"/>
    </row>
    <row r="4415" spans="36:36" x14ac:dyDescent="0.35">
      <c r="AJ4415" s="213"/>
    </row>
    <row r="4416" spans="36:36" x14ac:dyDescent="0.35">
      <c r="AJ4416" s="213"/>
    </row>
    <row r="4417" spans="36:36" x14ac:dyDescent="0.35">
      <c r="AJ4417" s="213"/>
    </row>
    <row r="4418" spans="36:36" x14ac:dyDescent="0.35">
      <c r="AJ4418" s="213"/>
    </row>
    <row r="4419" spans="36:36" x14ac:dyDescent="0.35">
      <c r="AJ4419" s="213"/>
    </row>
    <row r="4420" spans="36:36" x14ac:dyDescent="0.35">
      <c r="AJ4420" s="213"/>
    </row>
    <row r="4421" spans="36:36" x14ac:dyDescent="0.35">
      <c r="AJ4421" s="213"/>
    </row>
    <row r="4422" spans="36:36" x14ac:dyDescent="0.35">
      <c r="AJ4422" s="213"/>
    </row>
    <row r="4423" spans="36:36" x14ac:dyDescent="0.35">
      <c r="AJ4423" s="213"/>
    </row>
    <row r="4424" spans="36:36" x14ac:dyDescent="0.35">
      <c r="AJ4424" s="213"/>
    </row>
    <row r="4425" spans="36:36" x14ac:dyDescent="0.35">
      <c r="AJ4425" s="213"/>
    </row>
    <row r="4426" spans="36:36" x14ac:dyDescent="0.35">
      <c r="AJ4426" s="213"/>
    </row>
    <row r="4427" spans="36:36" x14ac:dyDescent="0.35">
      <c r="AJ4427" s="213"/>
    </row>
    <row r="4428" spans="36:36" x14ac:dyDescent="0.35">
      <c r="AJ4428" s="213"/>
    </row>
    <row r="4429" spans="36:36" x14ac:dyDescent="0.35">
      <c r="AJ4429" s="213"/>
    </row>
    <row r="4430" spans="36:36" x14ac:dyDescent="0.35">
      <c r="AJ4430" s="213"/>
    </row>
    <row r="4431" spans="36:36" x14ac:dyDescent="0.35">
      <c r="AJ4431" s="213"/>
    </row>
    <row r="4432" spans="36:36" x14ac:dyDescent="0.35">
      <c r="AJ4432" s="213"/>
    </row>
    <row r="4433" spans="36:36" x14ac:dyDescent="0.35">
      <c r="AJ4433" s="213"/>
    </row>
    <row r="4434" spans="36:36" x14ac:dyDescent="0.35">
      <c r="AJ4434" s="213"/>
    </row>
    <row r="4435" spans="36:36" x14ac:dyDescent="0.35">
      <c r="AJ4435" s="213"/>
    </row>
    <row r="4436" spans="36:36" x14ac:dyDescent="0.35">
      <c r="AJ4436" s="213"/>
    </row>
    <row r="4437" spans="36:36" x14ac:dyDescent="0.35">
      <c r="AJ4437" s="213"/>
    </row>
    <row r="4438" spans="36:36" x14ac:dyDescent="0.35">
      <c r="AJ4438" s="213"/>
    </row>
    <row r="4439" spans="36:36" x14ac:dyDescent="0.35">
      <c r="AJ4439" s="213"/>
    </row>
    <row r="4440" spans="36:36" x14ac:dyDescent="0.35">
      <c r="AJ4440" s="213"/>
    </row>
    <row r="4441" spans="36:36" x14ac:dyDescent="0.35">
      <c r="AJ4441" s="213"/>
    </row>
    <row r="4442" spans="36:36" x14ac:dyDescent="0.35">
      <c r="AJ4442" s="213"/>
    </row>
    <row r="4443" spans="36:36" x14ac:dyDescent="0.35">
      <c r="AJ4443" s="213"/>
    </row>
    <row r="4444" spans="36:36" x14ac:dyDescent="0.35">
      <c r="AJ4444" s="213"/>
    </row>
    <row r="4445" spans="36:36" x14ac:dyDescent="0.35">
      <c r="AJ4445" s="213"/>
    </row>
    <row r="4446" spans="36:36" x14ac:dyDescent="0.35">
      <c r="AJ4446" s="213"/>
    </row>
    <row r="4447" spans="36:36" x14ac:dyDescent="0.35">
      <c r="AJ4447" s="213"/>
    </row>
    <row r="4448" spans="36:36" x14ac:dyDescent="0.35">
      <c r="AJ4448" s="213"/>
    </row>
    <row r="4449" spans="36:36" x14ac:dyDescent="0.35">
      <c r="AJ4449" s="213"/>
    </row>
    <row r="4450" spans="36:36" x14ac:dyDescent="0.35">
      <c r="AJ4450" s="213"/>
    </row>
    <row r="4451" spans="36:36" x14ac:dyDescent="0.35">
      <c r="AJ4451" s="213"/>
    </row>
    <row r="4452" spans="36:36" x14ac:dyDescent="0.35">
      <c r="AJ4452" s="213"/>
    </row>
    <row r="4453" spans="36:36" x14ac:dyDescent="0.35">
      <c r="AJ4453" s="213"/>
    </row>
    <row r="4454" spans="36:36" x14ac:dyDescent="0.35">
      <c r="AJ4454" s="213"/>
    </row>
    <row r="4455" spans="36:36" x14ac:dyDescent="0.35">
      <c r="AJ4455" s="213"/>
    </row>
    <row r="4456" spans="36:36" x14ac:dyDescent="0.35">
      <c r="AJ4456" s="213"/>
    </row>
    <row r="4457" spans="36:36" x14ac:dyDescent="0.35">
      <c r="AJ4457" s="213"/>
    </row>
    <row r="4458" spans="36:36" x14ac:dyDescent="0.35">
      <c r="AJ4458" s="213"/>
    </row>
    <row r="4459" spans="36:36" x14ac:dyDescent="0.35">
      <c r="AJ4459" s="213"/>
    </row>
    <row r="4460" spans="36:36" x14ac:dyDescent="0.35">
      <c r="AJ4460" s="213"/>
    </row>
    <row r="4461" spans="36:36" x14ac:dyDescent="0.35">
      <c r="AJ4461" s="213"/>
    </row>
    <row r="4462" spans="36:36" x14ac:dyDescent="0.35">
      <c r="AJ4462" s="213"/>
    </row>
    <row r="4463" spans="36:36" x14ac:dyDescent="0.35">
      <c r="AJ4463" s="213"/>
    </row>
    <row r="4464" spans="36:36" x14ac:dyDescent="0.35">
      <c r="AJ4464" s="213"/>
    </row>
    <row r="4465" spans="36:36" x14ac:dyDescent="0.35">
      <c r="AJ4465" s="213"/>
    </row>
    <row r="4466" spans="36:36" x14ac:dyDescent="0.35">
      <c r="AJ4466" s="213"/>
    </row>
    <row r="4467" spans="36:36" x14ac:dyDescent="0.35">
      <c r="AJ4467" s="213"/>
    </row>
    <row r="4468" spans="36:36" x14ac:dyDescent="0.35">
      <c r="AJ4468" s="213"/>
    </row>
    <row r="4469" spans="36:36" x14ac:dyDescent="0.35">
      <c r="AJ4469" s="213"/>
    </row>
    <row r="4470" spans="36:36" x14ac:dyDescent="0.35">
      <c r="AJ4470" s="213"/>
    </row>
    <row r="4471" spans="36:36" x14ac:dyDescent="0.35">
      <c r="AJ4471" s="213"/>
    </row>
    <row r="4472" spans="36:36" x14ac:dyDescent="0.35">
      <c r="AJ4472" s="213"/>
    </row>
    <row r="4473" spans="36:36" x14ac:dyDescent="0.35">
      <c r="AJ4473" s="213"/>
    </row>
    <row r="4474" spans="36:36" x14ac:dyDescent="0.35">
      <c r="AJ4474" s="213"/>
    </row>
    <row r="4475" spans="36:36" x14ac:dyDescent="0.35">
      <c r="AJ4475" s="213"/>
    </row>
    <row r="4476" spans="36:36" x14ac:dyDescent="0.35">
      <c r="AJ4476" s="213"/>
    </row>
    <row r="4477" spans="36:36" x14ac:dyDescent="0.35">
      <c r="AJ4477" s="213"/>
    </row>
    <row r="4478" spans="36:36" x14ac:dyDescent="0.35">
      <c r="AJ4478" s="213"/>
    </row>
    <row r="4479" spans="36:36" x14ac:dyDescent="0.35">
      <c r="AJ4479" s="213"/>
    </row>
    <row r="4480" spans="36:36" x14ac:dyDescent="0.35">
      <c r="AJ4480" s="213"/>
    </row>
    <row r="4481" spans="36:36" x14ac:dyDescent="0.35">
      <c r="AJ4481" s="213"/>
    </row>
    <row r="4482" spans="36:36" x14ac:dyDescent="0.35">
      <c r="AJ4482" s="213"/>
    </row>
    <row r="4483" spans="36:36" x14ac:dyDescent="0.35">
      <c r="AJ4483" s="213"/>
    </row>
    <row r="4484" spans="36:36" x14ac:dyDescent="0.35">
      <c r="AJ4484" s="213"/>
    </row>
    <row r="4485" spans="36:36" x14ac:dyDescent="0.35">
      <c r="AJ4485" s="213"/>
    </row>
    <row r="4486" spans="36:36" x14ac:dyDescent="0.35">
      <c r="AJ4486" s="213"/>
    </row>
    <row r="4487" spans="36:36" x14ac:dyDescent="0.35">
      <c r="AJ4487" s="213"/>
    </row>
    <row r="4488" spans="36:36" x14ac:dyDescent="0.35">
      <c r="AJ4488" s="213"/>
    </row>
    <row r="4489" spans="36:36" x14ac:dyDescent="0.35">
      <c r="AJ4489" s="213"/>
    </row>
    <row r="4490" spans="36:36" x14ac:dyDescent="0.35">
      <c r="AJ4490" s="213"/>
    </row>
    <row r="4491" spans="36:36" x14ac:dyDescent="0.35">
      <c r="AJ4491" s="213"/>
    </row>
    <row r="4492" spans="36:36" x14ac:dyDescent="0.35">
      <c r="AJ4492" s="213"/>
    </row>
    <row r="4493" spans="36:36" x14ac:dyDescent="0.35">
      <c r="AJ4493" s="213"/>
    </row>
    <row r="4494" spans="36:36" x14ac:dyDescent="0.35">
      <c r="AJ4494" s="213"/>
    </row>
    <row r="4495" spans="36:36" x14ac:dyDescent="0.35">
      <c r="AJ4495" s="213"/>
    </row>
    <row r="4496" spans="36:36" x14ac:dyDescent="0.35">
      <c r="AJ4496" s="213"/>
    </row>
    <row r="4497" spans="36:36" x14ac:dyDescent="0.35">
      <c r="AJ4497" s="213"/>
    </row>
    <row r="4498" spans="36:36" x14ac:dyDescent="0.35">
      <c r="AJ4498" s="213"/>
    </row>
    <row r="4499" spans="36:36" x14ac:dyDescent="0.35">
      <c r="AJ4499" s="213"/>
    </row>
    <row r="4500" spans="36:36" x14ac:dyDescent="0.35">
      <c r="AJ4500" s="213"/>
    </row>
    <row r="4501" spans="36:36" x14ac:dyDescent="0.35">
      <c r="AJ4501" s="213"/>
    </row>
    <row r="4502" spans="36:36" x14ac:dyDescent="0.35">
      <c r="AJ4502" s="213"/>
    </row>
    <row r="4503" spans="36:36" x14ac:dyDescent="0.35">
      <c r="AJ4503" s="213"/>
    </row>
    <row r="4504" spans="36:36" x14ac:dyDescent="0.35">
      <c r="AJ4504" s="213"/>
    </row>
    <row r="4505" spans="36:36" x14ac:dyDescent="0.35">
      <c r="AJ4505" s="213"/>
    </row>
    <row r="4506" spans="36:36" x14ac:dyDescent="0.35">
      <c r="AJ4506" s="213"/>
    </row>
    <row r="4507" spans="36:36" x14ac:dyDescent="0.35">
      <c r="AJ4507" s="213"/>
    </row>
    <row r="4508" spans="36:36" x14ac:dyDescent="0.35">
      <c r="AJ4508" s="213"/>
    </row>
    <row r="4509" spans="36:36" x14ac:dyDescent="0.35">
      <c r="AJ4509" s="213"/>
    </row>
    <row r="4510" spans="36:36" x14ac:dyDescent="0.35">
      <c r="AJ4510" s="213"/>
    </row>
    <row r="4511" spans="36:36" x14ac:dyDescent="0.35">
      <c r="AJ4511" s="213"/>
    </row>
    <row r="4512" spans="36:36" x14ac:dyDescent="0.35">
      <c r="AJ4512" s="213"/>
    </row>
    <row r="4513" spans="36:36" x14ac:dyDescent="0.35">
      <c r="AJ4513" s="213"/>
    </row>
    <row r="4514" spans="36:36" x14ac:dyDescent="0.35">
      <c r="AJ4514" s="213"/>
    </row>
    <row r="4515" spans="36:36" x14ac:dyDescent="0.35">
      <c r="AJ4515" s="213"/>
    </row>
    <row r="4516" spans="36:36" x14ac:dyDescent="0.35">
      <c r="AJ4516" s="213"/>
    </row>
    <row r="4517" spans="36:36" x14ac:dyDescent="0.35">
      <c r="AJ4517" s="213"/>
    </row>
    <row r="4518" spans="36:36" x14ac:dyDescent="0.35">
      <c r="AJ4518" s="213"/>
    </row>
    <row r="4519" spans="36:36" x14ac:dyDescent="0.35">
      <c r="AJ4519" s="213"/>
    </row>
    <row r="4520" spans="36:36" x14ac:dyDescent="0.35">
      <c r="AJ4520" s="213"/>
    </row>
    <row r="4521" spans="36:36" x14ac:dyDescent="0.35">
      <c r="AJ4521" s="213"/>
    </row>
    <row r="4522" spans="36:36" x14ac:dyDescent="0.35">
      <c r="AJ4522" s="213"/>
    </row>
    <row r="4523" spans="36:36" x14ac:dyDescent="0.35">
      <c r="AJ4523" s="213"/>
    </row>
    <row r="4524" spans="36:36" x14ac:dyDescent="0.35">
      <c r="AJ4524" s="213"/>
    </row>
    <row r="4525" spans="36:36" x14ac:dyDescent="0.35">
      <c r="AJ4525" s="213"/>
    </row>
    <row r="4526" spans="36:36" x14ac:dyDescent="0.35">
      <c r="AJ4526" s="213"/>
    </row>
    <row r="4527" spans="36:36" x14ac:dyDescent="0.35">
      <c r="AJ4527" s="213"/>
    </row>
    <row r="4528" spans="36:36" x14ac:dyDescent="0.35">
      <c r="AJ4528" s="213"/>
    </row>
    <row r="4529" spans="36:36" x14ac:dyDescent="0.35">
      <c r="AJ4529" s="213"/>
    </row>
    <row r="4530" spans="36:36" x14ac:dyDescent="0.35">
      <c r="AJ4530" s="213"/>
    </row>
    <row r="4531" spans="36:36" x14ac:dyDescent="0.35">
      <c r="AJ4531" s="213"/>
    </row>
    <row r="4532" spans="36:36" x14ac:dyDescent="0.35">
      <c r="AJ4532" s="213"/>
    </row>
    <row r="4533" spans="36:36" x14ac:dyDescent="0.35">
      <c r="AJ4533" s="213"/>
    </row>
    <row r="4534" spans="36:36" x14ac:dyDescent="0.35">
      <c r="AJ4534" s="213"/>
    </row>
    <row r="4535" spans="36:36" x14ac:dyDescent="0.35">
      <c r="AJ4535" s="213"/>
    </row>
    <row r="4536" spans="36:36" x14ac:dyDescent="0.35">
      <c r="AJ4536" s="213"/>
    </row>
    <row r="4537" spans="36:36" x14ac:dyDescent="0.35">
      <c r="AJ4537" s="213"/>
    </row>
    <row r="4538" spans="36:36" x14ac:dyDescent="0.35">
      <c r="AJ4538" s="213"/>
    </row>
    <row r="4539" spans="36:36" x14ac:dyDescent="0.35">
      <c r="AJ4539" s="213"/>
    </row>
    <row r="4540" spans="36:36" x14ac:dyDescent="0.35">
      <c r="AJ4540" s="213"/>
    </row>
    <row r="4541" spans="36:36" x14ac:dyDescent="0.35">
      <c r="AJ4541" s="213"/>
    </row>
    <row r="4542" spans="36:36" x14ac:dyDescent="0.35">
      <c r="AJ4542" s="213"/>
    </row>
    <row r="4543" spans="36:36" x14ac:dyDescent="0.35">
      <c r="AJ4543" s="213"/>
    </row>
    <row r="4544" spans="36:36" x14ac:dyDescent="0.35">
      <c r="AJ4544" s="213"/>
    </row>
    <row r="4545" spans="36:36" x14ac:dyDescent="0.35">
      <c r="AJ4545" s="213"/>
    </row>
    <row r="4546" spans="36:36" x14ac:dyDescent="0.35">
      <c r="AJ4546" s="213"/>
    </row>
    <row r="4547" spans="36:36" x14ac:dyDescent="0.35">
      <c r="AJ4547" s="213"/>
    </row>
    <row r="4548" spans="36:36" x14ac:dyDescent="0.35">
      <c r="AJ4548" s="213"/>
    </row>
    <row r="4549" spans="36:36" x14ac:dyDescent="0.35">
      <c r="AJ4549" s="213"/>
    </row>
    <row r="4550" spans="36:36" x14ac:dyDescent="0.35">
      <c r="AJ4550" s="213"/>
    </row>
    <row r="4551" spans="36:36" x14ac:dyDescent="0.35">
      <c r="AJ4551" s="213"/>
    </row>
    <row r="4552" spans="36:36" x14ac:dyDescent="0.35">
      <c r="AJ4552" s="213"/>
    </row>
    <row r="4553" spans="36:36" x14ac:dyDescent="0.35">
      <c r="AJ4553" s="213"/>
    </row>
    <row r="4554" spans="36:36" x14ac:dyDescent="0.35">
      <c r="AJ4554" s="213"/>
    </row>
    <row r="4555" spans="36:36" x14ac:dyDescent="0.35">
      <c r="AJ4555" s="213"/>
    </row>
    <row r="4556" spans="36:36" x14ac:dyDescent="0.35">
      <c r="AJ4556" s="213"/>
    </row>
    <row r="4557" spans="36:36" x14ac:dyDescent="0.35">
      <c r="AJ4557" s="213"/>
    </row>
    <row r="4558" spans="36:36" x14ac:dyDescent="0.35">
      <c r="AJ4558" s="213"/>
    </row>
    <row r="4559" spans="36:36" x14ac:dyDescent="0.35">
      <c r="AJ4559" s="213"/>
    </row>
    <row r="4560" spans="36:36" x14ac:dyDescent="0.35">
      <c r="AJ4560" s="213"/>
    </row>
    <row r="4561" spans="36:36" x14ac:dyDescent="0.35">
      <c r="AJ4561" s="213"/>
    </row>
    <row r="4562" spans="36:36" x14ac:dyDescent="0.35">
      <c r="AJ4562" s="213"/>
    </row>
    <row r="4563" spans="36:36" x14ac:dyDescent="0.35">
      <c r="AJ4563" s="213"/>
    </row>
    <row r="4564" spans="36:36" x14ac:dyDescent="0.35">
      <c r="AJ4564" s="213"/>
    </row>
    <row r="4565" spans="36:36" x14ac:dyDescent="0.35">
      <c r="AJ4565" s="213"/>
    </row>
    <row r="4566" spans="36:36" x14ac:dyDescent="0.35">
      <c r="AJ4566" s="213"/>
    </row>
    <row r="4567" spans="36:36" x14ac:dyDescent="0.35">
      <c r="AJ4567" s="213"/>
    </row>
    <row r="4568" spans="36:36" x14ac:dyDescent="0.35">
      <c r="AJ4568" s="213"/>
    </row>
    <row r="4569" spans="36:36" x14ac:dyDescent="0.35">
      <c r="AJ4569" s="213"/>
    </row>
    <row r="4570" spans="36:36" x14ac:dyDescent="0.35">
      <c r="AJ4570" s="213"/>
    </row>
    <row r="4571" spans="36:36" x14ac:dyDescent="0.35">
      <c r="AJ4571" s="213"/>
    </row>
    <row r="4572" spans="36:36" x14ac:dyDescent="0.35">
      <c r="AJ4572" s="213"/>
    </row>
    <row r="4573" spans="36:36" x14ac:dyDescent="0.35">
      <c r="AJ4573" s="213"/>
    </row>
    <row r="4574" spans="36:36" x14ac:dyDescent="0.35">
      <c r="AJ4574" s="213"/>
    </row>
    <row r="4575" spans="36:36" x14ac:dyDescent="0.35">
      <c r="AJ4575" s="213"/>
    </row>
    <row r="4576" spans="36:36" x14ac:dyDescent="0.35">
      <c r="AJ4576" s="213"/>
    </row>
    <row r="4577" spans="36:36" x14ac:dyDescent="0.35">
      <c r="AJ4577" s="213"/>
    </row>
    <row r="4578" spans="36:36" x14ac:dyDescent="0.35">
      <c r="AJ4578" s="213"/>
    </row>
    <row r="4579" spans="36:36" x14ac:dyDescent="0.35">
      <c r="AJ4579" s="213"/>
    </row>
    <row r="4580" spans="36:36" x14ac:dyDescent="0.35">
      <c r="AJ4580" s="213"/>
    </row>
    <row r="4581" spans="36:36" x14ac:dyDescent="0.35">
      <c r="AJ4581" s="213"/>
    </row>
    <row r="4582" spans="36:36" x14ac:dyDescent="0.35">
      <c r="AJ4582" s="213"/>
    </row>
    <row r="4583" spans="36:36" x14ac:dyDescent="0.35">
      <c r="AJ4583" s="213"/>
    </row>
    <row r="4584" spans="36:36" x14ac:dyDescent="0.35">
      <c r="AJ4584" s="213"/>
    </row>
    <row r="4585" spans="36:36" x14ac:dyDescent="0.35">
      <c r="AJ4585" s="213"/>
    </row>
    <row r="4586" spans="36:36" x14ac:dyDescent="0.35">
      <c r="AJ4586" s="213"/>
    </row>
    <row r="4587" spans="36:36" x14ac:dyDescent="0.35">
      <c r="AJ4587" s="213"/>
    </row>
    <row r="4588" spans="36:36" x14ac:dyDescent="0.35">
      <c r="AJ4588" s="213"/>
    </row>
    <row r="4589" spans="36:36" x14ac:dyDescent="0.35">
      <c r="AJ4589" s="213"/>
    </row>
    <row r="4590" spans="36:36" x14ac:dyDescent="0.35">
      <c r="AJ4590" s="213"/>
    </row>
    <row r="4591" spans="36:36" x14ac:dyDescent="0.35">
      <c r="AJ4591" s="213"/>
    </row>
    <row r="4592" spans="36:36" x14ac:dyDescent="0.35">
      <c r="AJ4592" s="213"/>
    </row>
    <row r="4593" spans="36:36" x14ac:dyDescent="0.35">
      <c r="AJ4593" s="213"/>
    </row>
    <row r="4594" spans="36:36" x14ac:dyDescent="0.35">
      <c r="AJ4594" s="213"/>
    </row>
    <row r="4595" spans="36:36" x14ac:dyDescent="0.35">
      <c r="AJ4595" s="213"/>
    </row>
    <row r="4596" spans="36:36" x14ac:dyDescent="0.35">
      <c r="AJ4596" s="213"/>
    </row>
    <row r="4597" spans="36:36" x14ac:dyDescent="0.35">
      <c r="AJ4597" s="213"/>
    </row>
    <row r="4598" spans="36:36" x14ac:dyDescent="0.35">
      <c r="AJ4598" s="213"/>
    </row>
    <row r="4599" spans="36:36" x14ac:dyDescent="0.35">
      <c r="AJ4599" s="213"/>
    </row>
    <row r="4600" spans="36:36" x14ac:dyDescent="0.35">
      <c r="AJ4600" s="213"/>
    </row>
    <row r="4601" spans="36:36" x14ac:dyDescent="0.35">
      <c r="AJ4601" s="213"/>
    </row>
    <row r="4602" spans="36:36" x14ac:dyDescent="0.35">
      <c r="AJ4602" s="213"/>
    </row>
    <row r="4603" spans="36:36" x14ac:dyDescent="0.35">
      <c r="AJ4603" s="213"/>
    </row>
    <row r="4604" spans="36:36" x14ac:dyDescent="0.35">
      <c r="AJ4604" s="213"/>
    </row>
    <row r="4605" spans="36:36" x14ac:dyDescent="0.35">
      <c r="AJ4605" s="213"/>
    </row>
    <row r="4606" spans="36:36" x14ac:dyDescent="0.35">
      <c r="AJ4606" s="213"/>
    </row>
    <row r="4607" spans="36:36" x14ac:dyDescent="0.35">
      <c r="AJ4607" s="213"/>
    </row>
    <row r="4608" spans="36:36" x14ac:dyDescent="0.35">
      <c r="AJ4608" s="213"/>
    </row>
    <row r="4609" spans="36:36" x14ac:dyDescent="0.35">
      <c r="AJ4609" s="213"/>
    </row>
    <row r="4610" spans="36:36" x14ac:dyDescent="0.35">
      <c r="AJ4610" s="213"/>
    </row>
    <row r="4611" spans="36:36" x14ac:dyDescent="0.35">
      <c r="AJ4611" s="213"/>
    </row>
    <row r="4612" spans="36:36" x14ac:dyDescent="0.35">
      <c r="AJ4612" s="213"/>
    </row>
    <row r="4613" spans="36:36" x14ac:dyDescent="0.35">
      <c r="AJ4613" s="213"/>
    </row>
    <row r="4614" spans="36:36" x14ac:dyDescent="0.35">
      <c r="AJ4614" s="213"/>
    </row>
    <row r="4615" spans="36:36" x14ac:dyDescent="0.35">
      <c r="AJ4615" s="213"/>
    </row>
    <row r="4616" spans="36:36" x14ac:dyDescent="0.35">
      <c r="AJ4616" s="213"/>
    </row>
    <row r="4617" spans="36:36" x14ac:dyDescent="0.35">
      <c r="AJ4617" s="213"/>
    </row>
    <row r="4618" spans="36:36" x14ac:dyDescent="0.35">
      <c r="AJ4618" s="213"/>
    </row>
    <row r="4619" spans="36:36" x14ac:dyDescent="0.35">
      <c r="AJ4619" s="213"/>
    </row>
    <row r="4620" spans="36:36" x14ac:dyDescent="0.35">
      <c r="AJ4620" s="213"/>
    </row>
    <row r="4621" spans="36:36" x14ac:dyDescent="0.35">
      <c r="AJ4621" s="213"/>
    </row>
    <row r="4622" spans="36:36" x14ac:dyDescent="0.35">
      <c r="AJ4622" s="213"/>
    </row>
    <row r="4623" spans="36:36" x14ac:dyDescent="0.35">
      <c r="AJ4623" s="213"/>
    </row>
    <row r="4624" spans="36:36" x14ac:dyDescent="0.35">
      <c r="AJ4624" s="213"/>
    </row>
    <row r="4625" spans="36:36" x14ac:dyDescent="0.35">
      <c r="AJ4625" s="213"/>
    </row>
    <row r="4626" spans="36:36" x14ac:dyDescent="0.35">
      <c r="AJ4626" s="213"/>
    </row>
    <row r="4627" spans="36:36" x14ac:dyDescent="0.35">
      <c r="AJ4627" s="213"/>
    </row>
    <row r="4628" spans="36:36" x14ac:dyDescent="0.35">
      <c r="AJ4628" s="213"/>
    </row>
    <row r="4629" spans="36:36" x14ac:dyDescent="0.35">
      <c r="AJ4629" s="213"/>
    </row>
    <row r="4630" spans="36:36" x14ac:dyDescent="0.35">
      <c r="AJ4630" s="213"/>
    </row>
    <row r="4631" spans="36:36" x14ac:dyDescent="0.35">
      <c r="AJ4631" s="213"/>
    </row>
    <row r="4632" spans="36:36" x14ac:dyDescent="0.35">
      <c r="AJ4632" s="213"/>
    </row>
    <row r="4633" spans="36:36" x14ac:dyDescent="0.35">
      <c r="AJ4633" s="213"/>
    </row>
    <row r="4634" spans="36:36" x14ac:dyDescent="0.35">
      <c r="AJ4634" s="213"/>
    </row>
    <row r="4635" spans="36:36" x14ac:dyDescent="0.35">
      <c r="AJ4635" s="213"/>
    </row>
    <row r="4636" spans="36:36" x14ac:dyDescent="0.35">
      <c r="AJ4636" s="213"/>
    </row>
    <row r="4637" spans="36:36" x14ac:dyDescent="0.35">
      <c r="AJ4637" s="213"/>
    </row>
    <row r="4638" spans="36:36" x14ac:dyDescent="0.35">
      <c r="AJ4638" s="213"/>
    </row>
    <row r="4639" spans="36:36" x14ac:dyDescent="0.35">
      <c r="AJ4639" s="213"/>
    </row>
    <row r="4640" spans="36:36" x14ac:dyDescent="0.35">
      <c r="AJ4640" s="213"/>
    </row>
    <row r="4641" spans="36:36" x14ac:dyDescent="0.35">
      <c r="AJ4641" s="213"/>
    </row>
    <row r="4642" spans="36:36" x14ac:dyDescent="0.35">
      <c r="AJ4642" s="213"/>
    </row>
    <row r="4643" spans="36:36" x14ac:dyDescent="0.35">
      <c r="AJ4643" s="213"/>
    </row>
    <row r="4644" spans="36:36" x14ac:dyDescent="0.35">
      <c r="AJ4644" s="213"/>
    </row>
    <row r="4645" spans="36:36" x14ac:dyDescent="0.35">
      <c r="AJ4645" s="213"/>
    </row>
    <row r="4646" spans="36:36" x14ac:dyDescent="0.35">
      <c r="AJ4646" s="213"/>
    </row>
    <row r="4647" spans="36:36" x14ac:dyDescent="0.35">
      <c r="AJ4647" s="213"/>
    </row>
    <row r="4648" spans="36:36" x14ac:dyDescent="0.35">
      <c r="AJ4648" s="213"/>
    </row>
    <row r="4649" spans="36:36" x14ac:dyDescent="0.35">
      <c r="AJ4649" s="213"/>
    </row>
    <row r="4650" spans="36:36" x14ac:dyDescent="0.35">
      <c r="AJ4650" s="213"/>
    </row>
    <row r="4651" spans="36:36" x14ac:dyDescent="0.35">
      <c r="AJ4651" s="213"/>
    </row>
    <row r="4652" spans="36:36" x14ac:dyDescent="0.35">
      <c r="AJ4652" s="213"/>
    </row>
    <row r="4653" spans="36:36" x14ac:dyDescent="0.35">
      <c r="AJ4653" s="213"/>
    </row>
    <row r="4654" spans="36:36" x14ac:dyDescent="0.35">
      <c r="AJ4654" s="213"/>
    </row>
    <row r="4655" spans="36:36" x14ac:dyDescent="0.35">
      <c r="AJ4655" s="213"/>
    </row>
    <row r="4656" spans="36:36" x14ac:dyDescent="0.35">
      <c r="AJ4656" s="213"/>
    </row>
    <row r="4657" spans="36:36" x14ac:dyDescent="0.35">
      <c r="AJ4657" s="213"/>
    </row>
    <row r="4658" spans="36:36" x14ac:dyDescent="0.35">
      <c r="AJ4658" s="213"/>
    </row>
    <row r="4659" spans="36:36" x14ac:dyDescent="0.35">
      <c r="AJ4659" s="213"/>
    </row>
    <row r="4660" spans="36:36" x14ac:dyDescent="0.35">
      <c r="AJ4660" s="213"/>
    </row>
    <row r="4661" spans="36:36" x14ac:dyDescent="0.35">
      <c r="AJ4661" s="213"/>
    </row>
    <row r="4662" spans="36:36" x14ac:dyDescent="0.35">
      <c r="AJ4662" s="213"/>
    </row>
    <row r="4663" spans="36:36" x14ac:dyDescent="0.35">
      <c r="AJ4663" s="213"/>
    </row>
    <row r="4664" spans="36:36" x14ac:dyDescent="0.35">
      <c r="AJ4664" s="213"/>
    </row>
    <row r="4665" spans="36:36" x14ac:dyDescent="0.35">
      <c r="AJ4665" s="213"/>
    </row>
    <row r="4666" spans="36:36" x14ac:dyDescent="0.35">
      <c r="AJ4666" s="213"/>
    </row>
    <row r="4667" spans="36:36" x14ac:dyDescent="0.35">
      <c r="AJ4667" s="213"/>
    </row>
    <row r="4668" spans="36:36" x14ac:dyDescent="0.35">
      <c r="AJ4668" s="213"/>
    </row>
    <row r="4669" spans="36:36" x14ac:dyDescent="0.35">
      <c r="AJ4669" s="213"/>
    </row>
    <row r="4670" spans="36:36" x14ac:dyDescent="0.35">
      <c r="AJ4670" s="213"/>
    </row>
    <row r="4671" spans="36:36" x14ac:dyDescent="0.35">
      <c r="AJ4671" s="213"/>
    </row>
    <row r="4672" spans="36:36" x14ac:dyDescent="0.35">
      <c r="AJ4672" s="213"/>
    </row>
    <row r="4673" spans="36:36" x14ac:dyDescent="0.35">
      <c r="AJ4673" s="213"/>
    </row>
    <row r="4674" spans="36:36" x14ac:dyDescent="0.35">
      <c r="AJ4674" s="213"/>
    </row>
    <row r="4675" spans="36:36" x14ac:dyDescent="0.35">
      <c r="AJ4675" s="213"/>
    </row>
    <row r="4676" spans="36:36" x14ac:dyDescent="0.35">
      <c r="AJ4676" s="213"/>
    </row>
    <row r="4677" spans="36:36" x14ac:dyDescent="0.35">
      <c r="AJ4677" s="213"/>
    </row>
    <row r="4678" spans="36:36" x14ac:dyDescent="0.35">
      <c r="AJ4678" s="213"/>
    </row>
    <row r="4679" spans="36:36" x14ac:dyDescent="0.35">
      <c r="AJ4679" s="213"/>
    </row>
    <row r="4680" spans="36:36" x14ac:dyDescent="0.35">
      <c r="AJ4680" s="213"/>
    </row>
    <row r="4681" spans="36:36" x14ac:dyDescent="0.35">
      <c r="AJ4681" s="213"/>
    </row>
    <row r="4682" spans="36:36" x14ac:dyDescent="0.35">
      <c r="AJ4682" s="213"/>
    </row>
    <row r="4683" spans="36:36" x14ac:dyDescent="0.35">
      <c r="AJ4683" s="213"/>
    </row>
    <row r="4684" spans="36:36" x14ac:dyDescent="0.35">
      <c r="AJ4684" s="213"/>
    </row>
    <row r="4685" spans="36:36" x14ac:dyDescent="0.35">
      <c r="AJ4685" s="213"/>
    </row>
    <row r="4686" spans="36:36" x14ac:dyDescent="0.35">
      <c r="AJ4686" s="213"/>
    </row>
    <row r="4687" spans="36:36" x14ac:dyDescent="0.35">
      <c r="AJ4687" s="213"/>
    </row>
    <row r="4688" spans="36:36" x14ac:dyDescent="0.35">
      <c r="AJ4688" s="213"/>
    </row>
    <row r="4689" spans="36:36" x14ac:dyDescent="0.35">
      <c r="AJ4689" s="213"/>
    </row>
    <row r="4690" spans="36:36" x14ac:dyDescent="0.35">
      <c r="AJ4690" s="213"/>
    </row>
    <row r="4691" spans="36:36" x14ac:dyDescent="0.35">
      <c r="AJ4691" s="213"/>
    </row>
    <row r="4692" spans="36:36" x14ac:dyDescent="0.35">
      <c r="AJ4692" s="213"/>
    </row>
    <row r="4693" spans="36:36" x14ac:dyDescent="0.35">
      <c r="AJ4693" s="213"/>
    </row>
    <row r="4694" spans="36:36" x14ac:dyDescent="0.35">
      <c r="AJ4694" s="213"/>
    </row>
    <row r="4695" spans="36:36" x14ac:dyDescent="0.35">
      <c r="AJ4695" s="213"/>
    </row>
    <row r="4696" spans="36:36" x14ac:dyDescent="0.35">
      <c r="AJ4696" s="213"/>
    </row>
    <row r="4697" spans="36:36" x14ac:dyDescent="0.35">
      <c r="AJ4697" s="213"/>
    </row>
    <row r="4698" spans="36:36" x14ac:dyDescent="0.35">
      <c r="AJ4698" s="213"/>
    </row>
    <row r="4699" spans="36:36" x14ac:dyDescent="0.35">
      <c r="AJ4699" s="213"/>
    </row>
    <row r="4700" spans="36:36" x14ac:dyDescent="0.35">
      <c r="AJ4700" s="213"/>
    </row>
    <row r="4701" spans="36:36" x14ac:dyDescent="0.35">
      <c r="AJ4701" s="213"/>
    </row>
    <row r="4702" spans="36:36" x14ac:dyDescent="0.35">
      <c r="AJ4702" s="213"/>
    </row>
    <row r="4703" spans="36:36" x14ac:dyDescent="0.35">
      <c r="AJ4703" s="213"/>
    </row>
    <row r="4704" spans="36:36" x14ac:dyDescent="0.35">
      <c r="AJ4704" s="213"/>
    </row>
    <row r="4705" spans="36:36" x14ac:dyDescent="0.35">
      <c r="AJ4705" s="213"/>
    </row>
    <row r="4706" spans="36:36" x14ac:dyDescent="0.35">
      <c r="AJ4706" s="213"/>
    </row>
    <row r="4707" spans="36:36" x14ac:dyDescent="0.35">
      <c r="AJ4707" s="213"/>
    </row>
    <row r="4708" spans="36:36" x14ac:dyDescent="0.35">
      <c r="AJ4708" s="213"/>
    </row>
    <row r="4709" spans="36:36" x14ac:dyDescent="0.35">
      <c r="AJ4709" s="213"/>
    </row>
    <row r="4710" spans="36:36" x14ac:dyDescent="0.35">
      <c r="AJ4710" s="213"/>
    </row>
    <row r="4711" spans="36:36" x14ac:dyDescent="0.35">
      <c r="AJ4711" s="213"/>
    </row>
    <row r="4712" spans="36:36" x14ac:dyDescent="0.35">
      <c r="AJ4712" s="213"/>
    </row>
    <row r="4713" spans="36:36" x14ac:dyDescent="0.35">
      <c r="AJ4713" s="213"/>
    </row>
    <row r="4714" spans="36:36" x14ac:dyDescent="0.35">
      <c r="AJ4714" s="213"/>
    </row>
    <row r="4715" spans="36:36" x14ac:dyDescent="0.35">
      <c r="AJ4715" s="213"/>
    </row>
    <row r="4716" spans="36:36" x14ac:dyDescent="0.35">
      <c r="AJ4716" s="213"/>
    </row>
    <row r="4717" spans="36:36" x14ac:dyDescent="0.35">
      <c r="AJ4717" s="213"/>
    </row>
    <row r="4718" spans="36:36" x14ac:dyDescent="0.35">
      <c r="AJ4718" s="213"/>
    </row>
    <row r="4719" spans="36:36" x14ac:dyDescent="0.35">
      <c r="AJ4719" s="213"/>
    </row>
    <row r="4720" spans="36:36" x14ac:dyDescent="0.35">
      <c r="AJ4720" s="213"/>
    </row>
    <row r="4721" spans="36:36" x14ac:dyDescent="0.35">
      <c r="AJ4721" s="213"/>
    </row>
    <row r="4722" spans="36:36" x14ac:dyDescent="0.35">
      <c r="AJ4722" s="213"/>
    </row>
    <row r="4723" spans="36:36" x14ac:dyDescent="0.35">
      <c r="AJ4723" s="213"/>
    </row>
    <row r="4724" spans="36:36" x14ac:dyDescent="0.35">
      <c r="AJ4724" s="213"/>
    </row>
    <row r="4725" spans="36:36" x14ac:dyDescent="0.35">
      <c r="AJ4725" s="213"/>
    </row>
    <row r="4726" spans="36:36" x14ac:dyDescent="0.35">
      <c r="AJ4726" s="213"/>
    </row>
    <row r="4727" spans="36:36" x14ac:dyDescent="0.35">
      <c r="AJ4727" s="213"/>
    </row>
    <row r="4728" spans="36:36" x14ac:dyDescent="0.35">
      <c r="AJ4728" s="213"/>
    </row>
    <row r="4729" spans="36:36" x14ac:dyDescent="0.35">
      <c r="AJ4729" s="213"/>
    </row>
    <row r="4730" spans="36:36" x14ac:dyDescent="0.35">
      <c r="AJ4730" s="213"/>
    </row>
    <row r="4731" spans="36:36" x14ac:dyDescent="0.35">
      <c r="AJ4731" s="213"/>
    </row>
    <row r="4732" spans="36:36" x14ac:dyDescent="0.35">
      <c r="AJ4732" s="213"/>
    </row>
    <row r="4733" spans="36:36" x14ac:dyDescent="0.35">
      <c r="AJ4733" s="213"/>
    </row>
    <row r="4734" spans="36:36" x14ac:dyDescent="0.35">
      <c r="AJ4734" s="213"/>
    </row>
    <row r="4735" spans="36:36" x14ac:dyDescent="0.35">
      <c r="AJ4735" s="213"/>
    </row>
    <row r="4736" spans="36:36" x14ac:dyDescent="0.35">
      <c r="AJ4736" s="213"/>
    </row>
    <row r="4737" spans="36:36" x14ac:dyDescent="0.35">
      <c r="AJ4737" s="213"/>
    </row>
    <row r="4738" spans="36:36" x14ac:dyDescent="0.35">
      <c r="AJ4738" s="213"/>
    </row>
    <row r="4739" spans="36:36" x14ac:dyDescent="0.35">
      <c r="AJ4739" s="213"/>
    </row>
    <row r="4740" spans="36:36" x14ac:dyDescent="0.35">
      <c r="AJ4740" s="213"/>
    </row>
    <row r="4741" spans="36:36" x14ac:dyDescent="0.35">
      <c r="AJ4741" s="213"/>
    </row>
    <row r="4742" spans="36:36" x14ac:dyDescent="0.35">
      <c r="AJ4742" s="213"/>
    </row>
    <row r="4743" spans="36:36" x14ac:dyDescent="0.35">
      <c r="AJ4743" s="213"/>
    </row>
    <row r="4744" spans="36:36" x14ac:dyDescent="0.35">
      <c r="AJ4744" s="213"/>
    </row>
    <row r="4745" spans="36:36" x14ac:dyDescent="0.35">
      <c r="AJ4745" s="213"/>
    </row>
    <row r="4746" spans="36:36" x14ac:dyDescent="0.35">
      <c r="AJ4746" s="213"/>
    </row>
    <row r="4747" spans="36:36" x14ac:dyDescent="0.35">
      <c r="AJ4747" s="213"/>
    </row>
    <row r="4748" spans="36:36" x14ac:dyDescent="0.35">
      <c r="AJ4748" s="213"/>
    </row>
    <row r="4749" spans="36:36" x14ac:dyDescent="0.35">
      <c r="AJ4749" s="213"/>
    </row>
    <row r="4750" spans="36:36" x14ac:dyDescent="0.35">
      <c r="AJ4750" s="213"/>
    </row>
    <row r="4751" spans="36:36" x14ac:dyDescent="0.35">
      <c r="AJ4751" s="213"/>
    </row>
    <row r="4752" spans="36:36" x14ac:dyDescent="0.35">
      <c r="AJ4752" s="213"/>
    </row>
    <row r="4753" spans="36:36" x14ac:dyDescent="0.35">
      <c r="AJ4753" s="213"/>
    </row>
    <row r="4754" spans="36:36" x14ac:dyDescent="0.35">
      <c r="AJ4754" s="213"/>
    </row>
    <row r="4755" spans="36:36" x14ac:dyDescent="0.35">
      <c r="AJ4755" s="213"/>
    </row>
    <row r="4756" spans="36:36" x14ac:dyDescent="0.35">
      <c r="AJ4756" s="213"/>
    </row>
    <row r="4757" spans="36:36" x14ac:dyDescent="0.35">
      <c r="AJ4757" s="213"/>
    </row>
    <row r="4758" spans="36:36" x14ac:dyDescent="0.35">
      <c r="AJ4758" s="213"/>
    </row>
    <row r="4759" spans="36:36" x14ac:dyDescent="0.35">
      <c r="AJ4759" s="213"/>
    </row>
    <row r="4760" spans="36:36" x14ac:dyDescent="0.35">
      <c r="AJ4760" s="213"/>
    </row>
    <row r="4761" spans="36:36" x14ac:dyDescent="0.35">
      <c r="AJ4761" s="213"/>
    </row>
    <row r="4762" spans="36:36" x14ac:dyDescent="0.35">
      <c r="AJ4762" s="213"/>
    </row>
    <row r="4763" spans="36:36" x14ac:dyDescent="0.35">
      <c r="AJ4763" s="213"/>
    </row>
    <row r="4764" spans="36:36" x14ac:dyDescent="0.35">
      <c r="AJ4764" s="213"/>
    </row>
    <row r="4765" spans="36:36" x14ac:dyDescent="0.35">
      <c r="AJ4765" s="213"/>
    </row>
    <row r="4766" spans="36:36" x14ac:dyDescent="0.35">
      <c r="AJ4766" s="213"/>
    </row>
    <row r="4767" spans="36:36" x14ac:dyDescent="0.35">
      <c r="AJ4767" s="213"/>
    </row>
    <row r="4768" spans="36:36" x14ac:dyDescent="0.35">
      <c r="AJ4768" s="213"/>
    </row>
    <row r="4769" spans="36:36" x14ac:dyDescent="0.35">
      <c r="AJ4769" s="213"/>
    </row>
    <row r="4770" spans="36:36" x14ac:dyDescent="0.35">
      <c r="AJ4770" s="213"/>
    </row>
    <row r="4771" spans="36:36" x14ac:dyDescent="0.35">
      <c r="AJ4771" s="213"/>
    </row>
    <row r="4772" spans="36:36" x14ac:dyDescent="0.35">
      <c r="AJ4772" s="213"/>
    </row>
    <row r="4773" spans="36:36" x14ac:dyDescent="0.35">
      <c r="AJ4773" s="213"/>
    </row>
    <row r="4774" spans="36:36" x14ac:dyDescent="0.35">
      <c r="AJ4774" s="213"/>
    </row>
    <row r="4775" spans="36:36" x14ac:dyDescent="0.35">
      <c r="AJ4775" s="213"/>
    </row>
    <row r="4776" spans="36:36" x14ac:dyDescent="0.35">
      <c r="AJ4776" s="213"/>
    </row>
    <row r="4777" spans="36:36" x14ac:dyDescent="0.35">
      <c r="AJ4777" s="213"/>
    </row>
    <row r="4778" spans="36:36" x14ac:dyDescent="0.35">
      <c r="AJ4778" s="213"/>
    </row>
    <row r="4779" spans="36:36" x14ac:dyDescent="0.35">
      <c r="AJ4779" s="213"/>
    </row>
    <row r="4780" spans="36:36" x14ac:dyDescent="0.35">
      <c r="AJ4780" s="213"/>
    </row>
    <row r="4781" spans="36:36" x14ac:dyDescent="0.35">
      <c r="AJ4781" s="213"/>
    </row>
    <row r="4782" spans="36:36" x14ac:dyDescent="0.35">
      <c r="AJ4782" s="213"/>
    </row>
    <row r="4783" spans="36:36" x14ac:dyDescent="0.35">
      <c r="AJ4783" s="213"/>
    </row>
    <row r="4784" spans="36:36" x14ac:dyDescent="0.35">
      <c r="AJ4784" s="213"/>
    </row>
    <row r="4785" spans="36:36" x14ac:dyDescent="0.35">
      <c r="AJ4785" s="213"/>
    </row>
    <row r="4786" spans="36:36" x14ac:dyDescent="0.35">
      <c r="AJ4786" s="213"/>
    </row>
    <row r="4787" spans="36:36" x14ac:dyDescent="0.35">
      <c r="AJ4787" s="213"/>
    </row>
    <row r="4788" spans="36:36" x14ac:dyDescent="0.35">
      <c r="AJ4788" s="213"/>
    </row>
    <row r="4789" spans="36:36" x14ac:dyDescent="0.35">
      <c r="AJ4789" s="213"/>
    </row>
    <row r="4790" spans="36:36" x14ac:dyDescent="0.35">
      <c r="AJ4790" s="213"/>
    </row>
    <row r="4791" spans="36:36" x14ac:dyDescent="0.35">
      <c r="AJ4791" s="213"/>
    </row>
    <row r="4792" spans="36:36" x14ac:dyDescent="0.35">
      <c r="AJ4792" s="213"/>
    </row>
    <row r="4793" spans="36:36" x14ac:dyDescent="0.35">
      <c r="AJ4793" s="213"/>
    </row>
    <row r="4794" spans="36:36" x14ac:dyDescent="0.35">
      <c r="AJ4794" s="213"/>
    </row>
    <row r="4795" spans="36:36" x14ac:dyDescent="0.35">
      <c r="AJ4795" s="213"/>
    </row>
    <row r="4796" spans="36:36" x14ac:dyDescent="0.35">
      <c r="AJ4796" s="213"/>
    </row>
    <row r="4797" spans="36:36" x14ac:dyDescent="0.35">
      <c r="AJ4797" s="213"/>
    </row>
    <row r="4798" spans="36:36" x14ac:dyDescent="0.35">
      <c r="AJ4798" s="213"/>
    </row>
    <row r="4799" spans="36:36" x14ac:dyDescent="0.35">
      <c r="AJ4799" s="213"/>
    </row>
    <row r="4800" spans="36:36" x14ac:dyDescent="0.35">
      <c r="AJ4800" s="213"/>
    </row>
    <row r="4801" spans="36:36" x14ac:dyDescent="0.35">
      <c r="AJ4801" s="213"/>
    </row>
    <row r="4802" spans="36:36" x14ac:dyDescent="0.35">
      <c r="AJ4802" s="213"/>
    </row>
    <row r="4803" spans="36:36" x14ac:dyDescent="0.35">
      <c r="AJ4803" s="213"/>
    </row>
    <row r="4804" spans="36:36" x14ac:dyDescent="0.35">
      <c r="AJ4804" s="213"/>
    </row>
    <row r="4805" spans="36:36" x14ac:dyDescent="0.35">
      <c r="AJ4805" s="213"/>
    </row>
    <row r="4806" spans="36:36" x14ac:dyDescent="0.35">
      <c r="AJ4806" s="213"/>
    </row>
    <row r="4807" spans="36:36" x14ac:dyDescent="0.35">
      <c r="AJ4807" s="213"/>
    </row>
    <row r="4808" spans="36:36" x14ac:dyDescent="0.35">
      <c r="AJ4808" s="213"/>
    </row>
    <row r="4809" spans="36:36" x14ac:dyDescent="0.35">
      <c r="AJ4809" s="213"/>
    </row>
    <row r="4810" spans="36:36" x14ac:dyDescent="0.35">
      <c r="AJ4810" s="213"/>
    </row>
    <row r="4811" spans="36:36" x14ac:dyDescent="0.35">
      <c r="AJ4811" s="213"/>
    </row>
    <row r="4812" spans="36:36" x14ac:dyDescent="0.35">
      <c r="AJ4812" s="213"/>
    </row>
    <row r="4813" spans="36:36" x14ac:dyDescent="0.35">
      <c r="AJ4813" s="213"/>
    </row>
    <row r="4814" spans="36:36" x14ac:dyDescent="0.35">
      <c r="AJ4814" s="213"/>
    </row>
    <row r="4815" spans="36:36" x14ac:dyDescent="0.35">
      <c r="AJ4815" s="213"/>
    </row>
    <row r="4816" spans="36:36" x14ac:dyDescent="0.35">
      <c r="AJ4816" s="213"/>
    </row>
    <row r="4817" spans="36:36" x14ac:dyDescent="0.35">
      <c r="AJ4817" s="213"/>
    </row>
    <row r="4818" spans="36:36" x14ac:dyDescent="0.35">
      <c r="AJ4818" s="213"/>
    </row>
    <row r="4819" spans="36:36" x14ac:dyDescent="0.35">
      <c r="AJ4819" s="213"/>
    </row>
    <row r="4820" spans="36:36" x14ac:dyDescent="0.35">
      <c r="AJ4820" s="213"/>
    </row>
    <row r="4821" spans="36:36" x14ac:dyDescent="0.35">
      <c r="AJ4821" s="213"/>
    </row>
    <row r="4822" spans="36:36" x14ac:dyDescent="0.35">
      <c r="AJ4822" s="213"/>
    </row>
    <row r="4823" spans="36:36" x14ac:dyDescent="0.35">
      <c r="AJ4823" s="213"/>
    </row>
    <row r="4824" spans="36:36" x14ac:dyDescent="0.35">
      <c r="AJ4824" s="213"/>
    </row>
    <row r="4825" spans="36:36" x14ac:dyDescent="0.35">
      <c r="AJ4825" s="213"/>
    </row>
    <row r="4826" spans="36:36" x14ac:dyDescent="0.35">
      <c r="AJ4826" s="213"/>
    </row>
    <row r="4827" spans="36:36" x14ac:dyDescent="0.35">
      <c r="AJ4827" s="213"/>
    </row>
    <row r="4828" spans="36:36" x14ac:dyDescent="0.35">
      <c r="AJ4828" s="213"/>
    </row>
    <row r="4829" spans="36:36" x14ac:dyDescent="0.35">
      <c r="AJ4829" s="213"/>
    </row>
    <row r="4830" spans="36:36" x14ac:dyDescent="0.35">
      <c r="AJ4830" s="213"/>
    </row>
    <row r="4831" spans="36:36" x14ac:dyDescent="0.35">
      <c r="AJ4831" s="213"/>
    </row>
    <row r="4832" spans="36:36" x14ac:dyDescent="0.35">
      <c r="AJ4832" s="213"/>
    </row>
    <row r="4833" spans="36:36" x14ac:dyDescent="0.35">
      <c r="AJ4833" s="213"/>
    </row>
    <row r="4834" spans="36:36" x14ac:dyDescent="0.35">
      <c r="AJ4834" s="213"/>
    </row>
    <row r="4835" spans="36:36" x14ac:dyDescent="0.35">
      <c r="AJ4835" s="213"/>
    </row>
    <row r="4836" spans="36:36" x14ac:dyDescent="0.35">
      <c r="AJ4836" s="213"/>
    </row>
    <row r="4837" spans="36:36" x14ac:dyDescent="0.35">
      <c r="AJ4837" s="213"/>
    </row>
    <row r="4838" spans="36:36" x14ac:dyDescent="0.35">
      <c r="AJ4838" s="213"/>
    </row>
    <row r="4839" spans="36:36" x14ac:dyDescent="0.35">
      <c r="AJ4839" s="213"/>
    </row>
    <row r="4840" spans="36:36" x14ac:dyDescent="0.35">
      <c r="AJ4840" s="213"/>
    </row>
    <row r="4841" spans="36:36" x14ac:dyDescent="0.35">
      <c r="AJ4841" s="213"/>
    </row>
    <row r="4842" spans="36:36" x14ac:dyDescent="0.35">
      <c r="AJ4842" s="213"/>
    </row>
    <row r="4843" spans="36:36" x14ac:dyDescent="0.35">
      <c r="AJ4843" s="213"/>
    </row>
    <row r="4844" spans="36:36" x14ac:dyDescent="0.35">
      <c r="AJ4844" s="213"/>
    </row>
    <row r="4845" spans="36:36" x14ac:dyDescent="0.35">
      <c r="AJ4845" s="213"/>
    </row>
    <row r="4846" spans="36:36" x14ac:dyDescent="0.35">
      <c r="AJ4846" s="213"/>
    </row>
    <row r="4847" spans="36:36" x14ac:dyDescent="0.35">
      <c r="AJ4847" s="213"/>
    </row>
    <row r="4848" spans="36:36" x14ac:dyDescent="0.35">
      <c r="AJ4848" s="213"/>
    </row>
    <row r="4849" spans="36:36" x14ac:dyDescent="0.35">
      <c r="AJ4849" s="213"/>
    </row>
    <row r="4850" spans="36:36" x14ac:dyDescent="0.35">
      <c r="AJ4850" s="213"/>
    </row>
    <row r="4851" spans="36:36" x14ac:dyDescent="0.35">
      <c r="AJ4851" s="213"/>
    </row>
    <row r="4852" spans="36:36" x14ac:dyDescent="0.35">
      <c r="AJ4852" s="213"/>
    </row>
    <row r="4853" spans="36:36" x14ac:dyDescent="0.35">
      <c r="AJ4853" s="213"/>
    </row>
    <row r="4854" spans="36:36" x14ac:dyDescent="0.35">
      <c r="AJ4854" s="213"/>
    </row>
    <row r="4855" spans="36:36" x14ac:dyDescent="0.35">
      <c r="AJ4855" s="213"/>
    </row>
    <row r="4856" spans="36:36" x14ac:dyDescent="0.35">
      <c r="AJ4856" s="213"/>
    </row>
    <row r="4857" spans="36:36" x14ac:dyDescent="0.35">
      <c r="AJ4857" s="213"/>
    </row>
    <row r="4858" spans="36:36" x14ac:dyDescent="0.35">
      <c r="AJ4858" s="213"/>
    </row>
    <row r="4859" spans="36:36" x14ac:dyDescent="0.35">
      <c r="AJ4859" s="213"/>
    </row>
    <row r="4860" spans="36:36" x14ac:dyDescent="0.35">
      <c r="AJ4860" s="213"/>
    </row>
    <row r="4861" spans="36:36" x14ac:dyDescent="0.35">
      <c r="AJ4861" s="213"/>
    </row>
    <row r="4862" spans="36:36" x14ac:dyDescent="0.35">
      <c r="AJ4862" s="213"/>
    </row>
    <row r="4863" spans="36:36" x14ac:dyDescent="0.35">
      <c r="AJ4863" s="213"/>
    </row>
    <row r="4864" spans="36:36" x14ac:dyDescent="0.35">
      <c r="AJ4864" s="213"/>
    </row>
    <row r="4865" spans="36:36" x14ac:dyDescent="0.35">
      <c r="AJ4865" s="213"/>
    </row>
    <row r="4866" spans="36:36" x14ac:dyDescent="0.35">
      <c r="AJ4866" s="213"/>
    </row>
    <row r="4867" spans="36:36" x14ac:dyDescent="0.35">
      <c r="AJ4867" s="213"/>
    </row>
    <row r="4868" spans="36:36" x14ac:dyDescent="0.35">
      <c r="AJ4868" s="213"/>
    </row>
    <row r="4869" spans="36:36" x14ac:dyDescent="0.35">
      <c r="AJ4869" s="213"/>
    </row>
    <row r="4870" spans="36:36" x14ac:dyDescent="0.35">
      <c r="AJ4870" s="213"/>
    </row>
    <row r="4871" spans="36:36" x14ac:dyDescent="0.35">
      <c r="AJ4871" s="213"/>
    </row>
    <row r="4872" spans="36:36" x14ac:dyDescent="0.35">
      <c r="AJ4872" s="213"/>
    </row>
    <row r="4873" spans="36:36" x14ac:dyDescent="0.35">
      <c r="AJ4873" s="213"/>
    </row>
    <row r="4874" spans="36:36" x14ac:dyDescent="0.35">
      <c r="AJ4874" s="213"/>
    </row>
    <row r="4875" spans="36:36" x14ac:dyDescent="0.35">
      <c r="AJ4875" s="213"/>
    </row>
    <row r="4876" spans="36:36" x14ac:dyDescent="0.35">
      <c r="AJ4876" s="213"/>
    </row>
    <row r="4877" spans="36:36" x14ac:dyDescent="0.35">
      <c r="AJ4877" s="213"/>
    </row>
    <row r="4878" spans="36:36" x14ac:dyDescent="0.35">
      <c r="AJ4878" s="213"/>
    </row>
    <row r="4879" spans="36:36" x14ac:dyDescent="0.35">
      <c r="AJ4879" s="213"/>
    </row>
    <row r="4880" spans="36:36" x14ac:dyDescent="0.35">
      <c r="AJ4880" s="213"/>
    </row>
    <row r="4881" spans="36:36" x14ac:dyDescent="0.35">
      <c r="AJ4881" s="213"/>
    </row>
    <row r="4882" spans="36:36" x14ac:dyDescent="0.35">
      <c r="AJ4882" s="213"/>
    </row>
    <row r="4883" spans="36:36" x14ac:dyDescent="0.35">
      <c r="AJ4883" s="213"/>
    </row>
    <row r="4884" spans="36:36" x14ac:dyDescent="0.35">
      <c r="AJ4884" s="213"/>
    </row>
    <row r="4885" spans="36:36" x14ac:dyDescent="0.35">
      <c r="AJ4885" s="213"/>
    </row>
    <row r="4886" spans="36:36" x14ac:dyDescent="0.35">
      <c r="AJ4886" s="213"/>
    </row>
    <row r="4887" spans="36:36" x14ac:dyDescent="0.35">
      <c r="AJ4887" s="213"/>
    </row>
    <row r="4888" spans="36:36" x14ac:dyDescent="0.35">
      <c r="AJ4888" s="213"/>
    </row>
    <row r="4889" spans="36:36" x14ac:dyDescent="0.35">
      <c r="AJ4889" s="213"/>
    </row>
    <row r="4890" spans="36:36" x14ac:dyDescent="0.35">
      <c r="AJ4890" s="213"/>
    </row>
    <row r="4891" spans="36:36" x14ac:dyDescent="0.35">
      <c r="AJ4891" s="213"/>
    </row>
    <row r="4892" spans="36:36" x14ac:dyDescent="0.35">
      <c r="AJ4892" s="213"/>
    </row>
    <row r="4893" spans="36:36" x14ac:dyDescent="0.35">
      <c r="AJ4893" s="213"/>
    </row>
    <row r="4894" spans="36:36" x14ac:dyDescent="0.35">
      <c r="AJ4894" s="213"/>
    </row>
    <row r="4895" spans="36:36" x14ac:dyDescent="0.35">
      <c r="AJ4895" s="213"/>
    </row>
    <row r="4896" spans="36:36" x14ac:dyDescent="0.35">
      <c r="AJ4896" s="213"/>
    </row>
    <row r="4897" spans="36:36" x14ac:dyDescent="0.35">
      <c r="AJ4897" s="213"/>
    </row>
    <row r="4898" spans="36:36" x14ac:dyDescent="0.35">
      <c r="AJ4898" s="213"/>
    </row>
    <row r="4899" spans="36:36" x14ac:dyDescent="0.35">
      <c r="AJ4899" s="213"/>
    </row>
    <row r="4900" spans="36:36" x14ac:dyDescent="0.35">
      <c r="AJ4900" s="213"/>
    </row>
    <row r="4901" spans="36:36" x14ac:dyDescent="0.35">
      <c r="AJ4901" s="213"/>
    </row>
    <row r="4902" spans="36:36" x14ac:dyDescent="0.35">
      <c r="AJ4902" s="213"/>
    </row>
    <row r="4903" spans="36:36" x14ac:dyDescent="0.35">
      <c r="AJ4903" s="213"/>
    </row>
    <row r="4904" spans="36:36" x14ac:dyDescent="0.35">
      <c r="AJ4904" s="213"/>
    </row>
    <row r="4905" spans="36:36" x14ac:dyDescent="0.35">
      <c r="AJ4905" s="213"/>
    </row>
    <row r="4906" spans="36:36" x14ac:dyDescent="0.35">
      <c r="AJ4906" s="213"/>
    </row>
    <row r="4907" spans="36:36" x14ac:dyDescent="0.35">
      <c r="AJ4907" s="213"/>
    </row>
    <row r="4908" spans="36:36" x14ac:dyDescent="0.35">
      <c r="AJ4908" s="213"/>
    </row>
    <row r="4909" spans="36:36" x14ac:dyDescent="0.35">
      <c r="AJ4909" s="213"/>
    </row>
    <row r="4910" spans="36:36" x14ac:dyDescent="0.35">
      <c r="AJ4910" s="213"/>
    </row>
    <row r="4911" spans="36:36" x14ac:dyDescent="0.35">
      <c r="AJ4911" s="213"/>
    </row>
    <row r="4912" spans="36:36" x14ac:dyDescent="0.35">
      <c r="AJ4912" s="213"/>
    </row>
    <row r="4913" spans="36:36" x14ac:dyDescent="0.35">
      <c r="AJ4913" s="213"/>
    </row>
    <row r="4914" spans="36:36" x14ac:dyDescent="0.35">
      <c r="AJ4914" s="213"/>
    </row>
    <row r="4915" spans="36:36" x14ac:dyDescent="0.35">
      <c r="AJ4915" s="213"/>
    </row>
    <row r="4916" spans="36:36" x14ac:dyDescent="0.35">
      <c r="AJ4916" s="213"/>
    </row>
    <row r="4917" spans="36:36" x14ac:dyDescent="0.35">
      <c r="AJ4917" s="213"/>
    </row>
    <row r="4918" spans="36:36" x14ac:dyDescent="0.35">
      <c r="AJ4918" s="213"/>
    </row>
    <row r="4919" spans="36:36" x14ac:dyDescent="0.35">
      <c r="AJ4919" s="213"/>
    </row>
    <row r="4920" spans="36:36" x14ac:dyDescent="0.35">
      <c r="AJ4920" s="213"/>
    </row>
    <row r="4921" spans="36:36" x14ac:dyDescent="0.35">
      <c r="AJ4921" s="213"/>
    </row>
    <row r="4922" spans="36:36" x14ac:dyDescent="0.35">
      <c r="AJ4922" s="213"/>
    </row>
    <row r="4923" spans="36:36" x14ac:dyDescent="0.35">
      <c r="AJ4923" s="213"/>
    </row>
    <row r="4924" spans="36:36" x14ac:dyDescent="0.35">
      <c r="AJ4924" s="213"/>
    </row>
    <row r="4925" spans="36:36" x14ac:dyDescent="0.35">
      <c r="AJ4925" s="213"/>
    </row>
    <row r="4926" spans="36:36" x14ac:dyDescent="0.35">
      <c r="AJ4926" s="213"/>
    </row>
    <row r="4927" spans="36:36" x14ac:dyDescent="0.35">
      <c r="AJ4927" s="213"/>
    </row>
    <row r="4928" spans="36:36" x14ac:dyDescent="0.35">
      <c r="AJ4928" s="213"/>
    </row>
    <row r="4929" spans="36:36" x14ac:dyDescent="0.35">
      <c r="AJ4929" s="213"/>
    </row>
    <row r="4930" spans="36:36" x14ac:dyDescent="0.35">
      <c r="AJ4930" s="213"/>
    </row>
    <row r="4931" spans="36:36" x14ac:dyDescent="0.35">
      <c r="AJ4931" s="213"/>
    </row>
    <row r="4932" spans="36:36" x14ac:dyDescent="0.35">
      <c r="AJ4932" s="213"/>
    </row>
    <row r="4933" spans="36:36" x14ac:dyDescent="0.35">
      <c r="AJ4933" s="213"/>
    </row>
    <row r="4934" spans="36:36" x14ac:dyDescent="0.35">
      <c r="AJ4934" s="213"/>
    </row>
    <row r="4935" spans="36:36" x14ac:dyDescent="0.35">
      <c r="AJ4935" s="213"/>
    </row>
    <row r="4936" spans="36:36" x14ac:dyDescent="0.35">
      <c r="AJ4936" s="213"/>
    </row>
    <row r="4937" spans="36:36" x14ac:dyDescent="0.35">
      <c r="AJ4937" s="213"/>
    </row>
    <row r="4938" spans="36:36" x14ac:dyDescent="0.35">
      <c r="AJ4938" s="213"/>
    </row>
    <row r="4939" spans="36:36" x14ac:dyDescent="0.35">
      <c r="AJ4939" s="213"/>
    </row>
    <row r="4940" spans="36:36" x14ac:dyDescent="0.35">
      <c r="AJ4940" s="213"/>
    </row>
    <row r="4941" spans="36:36" x14ac:dyDescent="0.35">
      <c r="AJ4941" s="213"/>
    </row>
    <row r="4942" spans="36:36" x14ac:dyDescent="0.35">
      <c r="AJ4942" s="213"/>
    </row>
    <row r="4943" spans="36:36" x14ac:dyDescent="0.35">
      <c r="AJ4943" s="213"/>
    </row>
    <row r="4944" spans="36:36" x14ac:dyDescent="0.35">
      <c r="AJ4944" s="213"/>
    </row>
    <row r="4945" spans="36:36" x14ac:dyDescent="0.35">
      <c r="AJ4945" s="213"/>
    </row>
    <row r="4946" spans="36:36" x14ac:dyDescent="0.35">
      <c r="AJ4946" s="213"/>
    </row>
    <row r="4947" spans="36:36" x14ac:dyDescent="0.35">
      <c r="AJ4947" s="213"/>
    </row>
    <row r="4948" spans="36:36" x14ac:dyDescent="0.35">
      <c r="AJ4948" s="213"/>
    </row>
    <row r="4949" spans="36:36" x14ac:dyDescent="0.35">
      <c r="AJ4949" s="213"/>
    </row>
    <row r="4950" spans="36:36" x14ac:dyDescent="0.35">
      <c r="AJ4950" s="213"/>
    </row>
    <row r="4951" spans="36:36" x14ac:dyDescent="0.35">
      <c r="AJ4951" s="213"/>
    </row>
    <row r="4952" spans="36:36" x14ac:dyDescent="0.35">
      <c r="AJ4952" s="213"/>
    </row>
    <row r="4953" spans="36:36" x14ac:dyDescent="0.35">
      <c r="AJ4953" s="213"/>
    </row>
    <row r="4954" spans="36:36" x14ac:dyDescent="0.35">
      <c r="AJ4954" s="213"/>
    </row>
    <row r="4955" spans="36:36" x14ac:dyDescent="0.35">
      <c r="AJ4955" s="213"/>
    </row>
    <row r="4956" spans="36:36" x14ac:dyDescent="0.35">
      <c r="AJ4956" s="213"/>
    </row>
    <row r="4957" spans="36:36" x14ac:dyDescent="0.35">
      <c r="AJ4957" s="213"/>
    </row>
    <row r="4958" spans="36:36" x14ac:dyDescent="0.35">
      <c r="AJ4958" s="213"/>
    </row>
    <row r="4959" spans="36:36" x14ac:dyDescent="0.35">
      <c r="AJ4959" s="213"/>
    </row>
    <row r="4960" spans="36:36" x14ac:dyDescent="0.35">
      <c r="AJ4960" s="213"/>
    </row>
    <row r="4961" spans="36:36" x14ac:dyDescent="0.35">
      <c r="AJ4961" s="213"/>
    </row>
    <row r="4962" spans="36:36" x14ac:dyDescent="0.35">
      <c r="AJ4962" s="213"/>
    </row>
    <row r="4963" spans="36:36" x14ac:dyDescent="0.35">
      <c r="AJ4963" s="213"/>
    </row>
    <row r="4964" spans="36:36" x14ac:dyDescent="0.35">
      <c r="AJ4964" s="213"/>
    </row>
    <row r="4965" spans="36:36" x14ac:dyDescent="0.35">
      <c r="AJ4965" s="213"/>
    </row>
    <row r="4966" spans="36:36" x14ac:dyDescent="0.35">
      <c r="AJ4966" s="213"/>
    </row>
    <row r="4967" spans="36:36" x14ac:dyDescent="0.35">
      <c r="AJ4967" s="213"/>
    </row>
    <row r="4968" spans="36:36" x14ac:dyDescent="0.35">
      <c r="AJ4968" s="213"/>
    </row>
    <row r="4969" spans="36:36" x14ac:dyDescent="0.35">
      <c r="AJ4969" s="213"/>
    </row>
    <row r="4970" spans="36:36" x14ac:dyDescent="0.35">
      <c r="AJ4970" s="213"/>
    </row>
    <row r="4971" spans="36:36" x14ac:dyDescent="0.35">
      <c r="AJ4971" s="213"/>
    </row>
    <row r="4972" spans="36:36" x14ac:dyDescent="0.35">
      <c r="AJ4972" s="213"/>
    </row>
    <row r="4973" spans="36:36" x14ac:dyDescent="0.35">
      <c r="AJ4973" s="213"/>
    </row>
    <row r="4974" spans="36:36" x14ac:dyDescent="0.35">
      <c r="AJ4974" s="213"/>
    </row>
    <row r="4975" spans="36:36" x14ac:dyDescent="0.35">
      <c r="AJ4975" s="213"/>
    </row>
    <row r="4976" spans="36:36" x14ac:dyDescent="0.35">
      <c r="AJ4976" s="213"/>
    </row>
    <row r="4977" spans="36:36" x14ac:dyDescent="0.35">
      <c r="AJ4977" s="213"/>
    </row>
    <row r="4978" spans="36:36" x14ac:dyDescent="0.35">
      <c r="AJ4978" s="213"/>
    </row>
    <row r="4979" spans="36:36" x14ac:dyDescent="0.35">
      <c r="AJ4979" s="213"/>
    </row>
    <row r="4980" spans="36:36" x14ac:dyDescent="0.35">
      <c r="AJ4980" s="213"/>
    </row>
    <row r="4981" spans="36:36" x14ac:dyDescent="0.35">
      <c r="AJ4981" s="213"/>
    </row>
    <row r="4982" spans="36:36" x14ac:dyDescent="0.35">
      <c r="AJ4982" s="213"/>
    </row>
    <row r="4983" spans="36:36" x14ac:dyDescent="0.35">
      <c r="AJ4983" s="213"/>
    </row>
    <row r="4984" spans="36:36" x14ac:dyDescent="0.35">
      <c r="AJ4984" s="213"/>
    </row>
    <row r="4985" spans="36:36" x14ac:dyDescent="0.35">
      <c r="AJ4985" s="213"/>
    </row>
    <row r="4986" spans="36:36" x14ac:dyDescent="0.35">
      <c r="AJ4986" s="213"/>
    </row>
    <row r="4987" spans="36:36" x14ac:dyDescent="0.35">
      <c r="AJ4987" s="213"/>
    </row>
    <row r="4988" spans="36:36" x14ac:dyDescent="0.35">
      <c r="AJ4988" s="213"/>
    </row>
    <row r="4989" spans="36:36" x14ac:dyDescent="0.35">
      <c r="AJ4989" s="213"/>
    </row>
    <row r="4990" spans="36:36" x14ac:dyDescent="0.35">
      <c r="AJ4990" s="213"/>
    </row>
    <row r="4991" spans="36:36" x14ac:dyDescent="0.35">
      <c r="AJ4991" s="213"/>
    </row>
    <row r="4992" spans="36:36" x14ac:dyDescent="0.35">
      <c r="AJ4992" s="213"/>
    </row>
    <row r="4993" spans="36:36" x14ac:dyDescent="0.35">
      <c r="AJ4993" s="213"/>
    </row>
    <row r="4994" spans="36:36" x14ac:dyDescent="0.35">
      <c r="AJ4994" s="213"/>
    </row>
    <row r="4995" spans="36:36" x14ac:dyDescent="0.35">
      <c r="AJ4995" s="213"/>
    </row>
    <row r="4996" spans="36:36" x14ac:dyDescent="0.35">
      <c r="AJ4996" s="213"/>
    </row>
    <row r="4997" spans="36:36" x14ac:dyDescent="0.35">
      <c r="AJ4997" s="213"/>
    </row>
    <row r="4998" spans="36:36" x14ac:dyDescent="0.35">
      <c r="AJ4998" s="213"/>
    </row>
    <row r="4999" spans="36:36" x14ac:dyDescent="0.35">
      <c r="AJ4999" s="213"/>
    </row>
    <row r="5000" spans="36:36" x14ac:dyDescent="0.35">
      <c r="AJ5000" s="213"/>
    </row>
    <row r="5001" spans="36:36" x14ac:dyDescent="0.35">
      <c r="AJ5001" s="213"/>
    </row>
    <row r="5002" spans="36:36" x14ac:dyDescent="0.35">
      <c r="AJ5002" s="213"/>
    </row>
    <row r="5003" spans="36:36" x14ac:dyDescent="0.35">
      <c r="AJ5003" s="213"/>
    </row>
    <row r="5004" spans="36:36" x14ac:dyDescent="0.35">
      <c r="AJ5004" s="213"/>
    </row>
    <row r="5005" spans="36:36" x14ac:dyDescent="0.35">
      <c r="AJ5005" s="213"/>
    </row>
    <row r="5006" spans="36:36" x14ac:dyDescent="0.35">
      <c r="AJ5006" s="213"/>
    </row>
    <row r="5007" spans="36:36" x14ac:dyDescent="0.35">
      <c r="AJ5007" s="213"/>
    </row>
    <row r="5008" spans="36:36" x14ac:dyDescent="0.35">
      <c r="AJ5008" s="213"/>
    </row>
    <row r="5009" spans="36:36" x14ac:dyDescent="0.35">
      <c r="AJ5009" s="213"/>
    </row>
    <row r="5010" spans="36:36" x14ac:dyDescent="0.35">
      <c r="AJ5010" s="213"/>
    </row>
    <row r="5011" spans="36:36" x14ac:dyDescent="0.35">
      <c r="AJ5011" s="213"/>
    </row>
    <row r="5012" spans="36:36" x14ac:dyDescent="0.35">
      <c r="AJ5012" s="213"/>
    </row>
    <row r="5013" spans="36:36" x14ac:dyDescent="0.35">
      <c r="AJ5013" s="213"/>
    </row>
    <row r="5014" spans="36:36" x14ac:dyDescent="0.35">
      <c r="AJ5014" s="213"/>
    </row>
    <row r="5015" spans="36:36" x14ac:dyDescent="0.35">
      <c r="AJ5015" s="213"/>
    </row>
    <row r="5016" spans="36:36" x14ac:dyDescent="0.35">
      <c r="AJ5016" s="213"/>
    </row>
    <row r="5017" spans="36:36" x14ac:dyDescent="0.35">
      <c r="AJ5017" s="213"/>
    </row>
    <row r="5018" spans="36:36" x14ac:dyDescent="0.35">
      <c r="AJ5018" s="213"/>
    </row>
    <row r="5019" spans="36:36" x14ac:dyDescent="0.35">
      <c r="AJ5019" s="213"/>
    </row>
    <row r="5020" spans="36:36" x14ac:dyDescent="0.35">
      <c r="AJ5020" s="213"/>
    </row>
    <row r="5021" spans="36:36" x14ac:dyDescent="0.35">
      <c r="AJ5021" s="213"/>
    </row>
    <row r="5022" spans="36:36" x14ac:dyDescent="0.35">
      <c r="AJ5022" s="213"/>
    </row>
    <row r="5023" spans="36:36" x14ac:dyDescent="0.35">
      <c r="AJ5023" s="213"/>
    </row>
    <row r="5024" spans="36:36" x14ac:dyDescent="0.35">
      <c r="AJ5024" s="213"/>
    </row>
    <row r="5025" spans="36:36" x14ac:dyDescent="0.35">
      <c r="AJ5025" s="213"/>
    </row>
    <row r="5026" spans="36:36" x14ac:dyDescent="0.35">
      <c r="AJ5026" s="213"/>
    </row>
    <row r="5027" spans="36:36" x14ac:dyDescent="0.35">
      <c r="AJ5027" s="213"/>
    </row>
    <row r="5028" spans="36:36" x14ac:dyDescent="0.35">
      <c r="AJ5028" s="213"/>
    </row>
    <row r="5029" spans="36:36" x14ac:dyDescent="0.35">
      <c r="AJ5029" s="213"/>
    </row>
    <row r="5030" spans="36:36" x14ac:dyDescent="0.35">
      <c r="AJ5030" s="213"/>
    </row>
    <row r="5031" spans="36:36" x14ac:dyDescent="0.35">
      <c r="AJ5031" s="213"/>
    </row>
    <row r="5032" spans="36:36" x14ac:dyDescent="0.35">
      <c r="AJ5032" s="213"/>
    </row>
    <row r="5033" spans="36:36" x14ac:dyDescent="0.35">
      <c r="AJ5033" s="213"/>
    </row>
    <row r="5034" spans="36:36" x14ac:dyDescent="0.35">
      <c r="AJ5034" s="213"/>
    </row>
    <row r="5035" spans="36:36" x14ac:dyDescent="0.35">
      <c r="AJ5035" s="213"/>
    </row>
    <row r="5036" spans="36:36" x14ac:dyDescent="0.35">
      <c r="AJ5036" s="213"/>
    </row>
    <row r="5037" spans="36:36" x14ac:dyDescent="0.35">
      <c r="AJ5037" s="213"/>
    </row>
    <row r="5038" spans="36:36" x14ac:dyDescent="0.35">
      <c r="AJ5038" s="213"/>
    </row>
    <row r="5039" spans="36:36" x14ac:dyDescent="0.35">
      <c r="AJ5039" s="213"/>
    </row>
    <row r="5040" spans="36:36" x14ac:dyDescent="0.35">
      <c r="AJ5040" s="213"/>
    </row>
    <row r="5041" spans="36:36" x14ac:dyDescent="0.35">
      <c r="AJ5041" s="213"/>
    </row>
    <row r="5042" spans="36:36" x14ac:dyDescent="0.35">
      <c r="AJ5042" s="213"/>
    </row>
    <row r="5043" spans="36:36" x14ac:dyDescent="0.35">
      <c r="AJ5043" s="213"/>
    </row>
    <row r="5044" spans="36:36" x14ac:dyDescent="0.35">
      <c r="AJ5044" s="213"/>
    </row>
    <row r="5045" spans="36:36" x14ac:dyDescent="0.35">
      <c r="AJ5045" s="213"/>
    </row>
    <row r="5046" spans="36:36" x14ac:dyDescent="0.35">
      <c r="AJ5046" s="213"/>
    </row>
    <row r="5047" spans="36:36" x14ac:dyDescent="0.35">
      <c r="AJ5047" s="213"/>
    </row>
    <row r="5048" spans="36:36" x14ac:dyDescent="0.35">
      <c r="AJ5048" s="213"/>
    </row>
    <row r="5049" spans="36:36" x14ac:dyDescent="0.35">
      <c r="AJ5049" s="213"/>
    </row>
    <row r="5050" spans="36:36" x14ac:dyDescent="0.35">
      <c r="AJ5050" s="213"/>
    </row>
    <row r="5051" spans="36:36" x14ac:dyDescent="0.35">
      <c r="AJ5051" s="213"/>
    </row>
    <row r="5052" spans="36:36" x14ac:dyDescent="0.35">
      <c r="AJ5052" s="213"/>
    </row>
    <row r="5053" spans="36:36" x14ac:dyDescent="0.35">
      <c r="AJ5053" s="213"/>
    </row>
    <row r="5054" spans="36:36" x14ac:dyDescent="0.35">
      <c r="AJ5054" s="213"/>
    </row>
    <row r="5055" spans="36:36" x14ac:dyDescent="0.35">
      <c r="AJ5055" s="213"/>
    </row>
    <row r="5056" spans="36:36" x14ac:dyDescent="0.35">
      <c r="AJ5056" s="213"/>
    </row>
    <row r="5057" spans="36:36" x14ac:dyDescent="0.35">
      <c r="AJ5057" s="213"/>
    </row>
    <row r="5058" spans="36:36" x14ac:dyDescent="0.35">
      <c r="AJ5058" s="213"/>
    </row>
    <row r="5059" spans="36:36" x14ac:dyDescent="0.35">
      <c r="AJ5059" s="213"/>
    </row>
    <row r="5060" spans="36:36" x14ac:dyDescent="0.35">
      <c r="AJ5060" s="213"/>
    </row>
    <row r="5061" spans="36:36" x14ac:dyDescent="0.35">
      <c r="AJ5061" s="213"/>
    </row>
    <row r="5062" spans="36:36" x14ac:dyDescent="0.35">
      <c r="AJ5062" s="213"/>
    </row>
    <row r="5063" spans="36:36" x14ac:dyDescent="0.35">
      <c r="AJ5063" s="213"/>
    </row>
    <row r="5064" spans="36:36" x14ac:dyDescent="0.35">
      <c r="AJ5064" s="213"/>
    </row>
    <row r="5065" spans="36:36" x14ac:dyDescent="0.35">
      <c r="AJ5065" s="213"/>
    </row>
    <row r="5066" spans="36:36" x14ac:dyDescent="0.35">
      <c r="AJ5066" s="213"/>
    </row>
    <row r="5067" spans="36:36" x14ac:dyDescent="0.35">
      <c r="AJ5067" s="213"/>
    </row>
    <row r="5068" spans="36:36" x14ac:dyDescent="0.35">
      <c r="AJ5068" s="213"/>
    </row>
    <row r="5069" spans="36:36" x14ac:dyDescent="0.35">
      <c r="AJ5069" s="213"/>
    </row>
    <row r="5070" spans="36:36" x14ac:dyDescent="0.35">
      <c r="AJ5070" s="213"/>
    </row>
    <row r="5071" spans="36:36" x14ac:dyDescent="0.35">
      <c r="AJ5071" s="213"/>
    </row>
    <row r="5072" spans="36:36" x14ac:dyDescent="0.35">
      <c r="AJ5072" s="213"/>
    </row>
    <row r="5073" spans="36:36" x14ac:dyDescent="0.35">
      <c r="AJ5073" s="213"/>
    </row>
    <row r="5074" spans="36:36" x14ac:dyDescent="0.35">
      <c r="AJ5074" s="213"/>
    </row>
    <row r="5075" spans="36:36" x14ac:dyDescent="0.35">
      <c r="AJ5075" s="213"/>
    </row>
    <row r="5076" spans="36:36" x14ac:dyDescent="0.35">
      <c r="AJ5076" s="213"/>
    </row>
    <row r="5077" spans="36:36" x14ac:dyDescent="0.35">
      <c r="AJ5077" s="213"/>
    </row>
    <row r="5078" spans="36:36" x14ac:dyDescent="0.35">
      <c r="AJ5078" s="213"/>
    </row>
    <row r="5079" spans="36:36" x14ac:dyDescent="0.35">
      <c r="AJ5079" s="213"/>
    </row>
    <row r="5080" spans="36:36" x14ac:dyDescent="0.35">
      <c r="AJ5080" s="213"/>
    </row>
    <row r="5081" spans="36:36" x14ac:dyDescent="0.35">
      <c r="AJ5081" s="213"/>
    </row>
    <row r="5082" spans="36:36" x14ac:dyDescent="0.35">
      <c r="AJ5082" s="213"/>
    </row>
    <row r="5083" spans="36:36" x14ac:dyDescent="0.35">
      <c r="AJ5083" s="213"/>
    </row>
    <row r="5084" spans="36:36" x14ac:dyDescent="0.35">
      <c r="AJ5084" s="213"/>
    </row>
    <row r="5085" spans="36:36" x14ac:dyDescent="0.35">
      <c r="AJ5085" s="213"/>
    </row>
    <row r="5086" spans="36:36" x14ac:dyDescent="0.35">
      <c r="AJ5086" s="213"/>
    </row>
    <row r="5087" spans="36:36" x14ac:dyDescent="0.35">
      <c r="AJ5087" s="213"/>
    </row>
    <row r="5088" spans="36:36" x14ac:dyDescent="0.35">
      <c r="AJ5088" s="213"/>
    </row>
    <row r="5089" spans="36:36" x14ac:dyDescent="0.35">
      <c r="AJ5089" s="213"/>
    </row>
    <row r="5090" spans="36:36" x14ac:dyDescent="0.35">
      <c r="AJ5090" s="213"/>
    </row>
    <row r="5091" spans="36:36" x14ac:dyDescent="0.35">
      <c r="AJ5091" s="213"/>
    </row>
    <row r="5092" spans="36:36" x14ac:dyDescent="0.35">
      <c r="AJ5092" s="213"/>
    </row>
    <row r="5093" spans="36:36" x14ac:dyDescent="0.35">
      <c r="AJ5093" s="213"/>
    </row>
    <row r="5094" spans="36:36" x14ac:dyDescent="0.35">
      <c r="AJ5094" s="213"/>
    </row>
    <row r="5095" spans="36:36" x14ac:dyDescent="0.35">
      <c r="AJ5095" s="213"/>
    </row>
    <row r="5096" spans="36:36" x14ac:dyDescent="0.35">
      <c r="AJ5096" s="213"/>
    </row>
    <row r="5097" spans="36:36" x14ac:dyDescent="0.35">
      <c r="AJ5097" s="213"/>
    </row>
    <row r="5098" spans="36:36" x14ac:dyDescent="0.35">
      <c r="AJ5098" s="213"/>
    </row>
    <row r="5099" spans="36:36" x14ac:dyDescent="0.35">
      <c r="AJ5099" s="213"/>
    </row>
    <row r="5100" spans="36:36" x14ac:dyDescent="0.35">
      <c r="AJ5100" s="213"/>
    </row>
    <row r="5101" spans="36:36" x14ac:dyDescent="0.35">
      <c r="AJ5101" s="213"/>
    </row>
    <row r="5102" spans="36:36" x14ac:dyDescent="0.35">
      <c r="AJ5102" s="213"/>
    </row>
    <row r="5103" spans="36:36" x14ac:dyDescent="0.35">
      <c r="AJ5103" s="213"/>
    </row>
    <row r="5104" spans="36:36" x14ac:dyDescent="0.35">
      <c r="AJ5104" s="213"/>
    </row>
    <row r="5105" spans="36:36" x14ac:dyDescent="0.35">
      <c r="AJ5105" s="213"/>
    </row>
    <row r="5106" spans="36:36" x14ac:dyDescent="0.35">
      <c r="AJ5106" s="213"/>
    </row>
    <row r="5107" spans="36:36" x14ac:dyDescent="0.35">
      <c r="AJ5107" s="213"/>
    </row>
    <row r="5108" spans="36:36" x14ac:dyDescent="0.35">
      <c r="AJ5108" s="213"/>
    </row>
    <row r="5109" spans="36:36" x14ac:dyDescent="0.35">
      <c r="AJ5109" s="213"/>
    </row>
    <row r="5110" spans="36:36" x14ac:dyDescent="0.35">
      <c r="AJ5110" s="213"/>
    </row>
    <row r="5111" spans="36:36" x14ac:dyDescent="0.35">
      <c r="AJ5111" s="213"/>
    </row>
    <row r="5112" spans="36:36" x14ac:dyDescent="0.35">
      <c r="AJ5112" s="213"/>
    </row>
    <row r="5113" spans="36:36" x14ac:dyDescent="0.35">
      <c r="AJ5113" s="213"/>
    </row>
    <row r="5114" spans="36:36" x14ac:dyDescent="0.35">
      <c r="AJ5114" s="213"/>
    </row>
    <row r="5115" spans="36:36" x14ac:dyDescent="0.35">
      <c r="AJ5115" s="213"/>
    </row>
    <row r="5116" spans="36:36" x14ac:dyDescent="0.35">
      <c r="AJ5116" s="213"/>
    </row>
    <row r="5117" spans="36:36" x14ac:dyDescent="0.35">
      <c r="AJ5117" s="213"/>
    </row>
    <row r="5118" spans="36:36" x14ac:dyDescent="0.35">
      <c r="AJ5118" s="213"/>
    </row>
    <row r="5119" spans="36:36" x14ac:dyDescent="0.35">
      <c r="AJ5119" s="213"/>
    </row>
    <row r="5120" spans="36:36" x14ac:dyDescent="0.35">
      <c r="AJ5120" s="213"/>
    </row>
    <row r="5121" spans="36:36" x14ac:dyDescent="0.35">
      <c r="AJ5121" s="213"/>
    </row>
    <row r="5122" spans="36:36" x14ac:dyDescent="0.35">
      <c r="AJ5122" s="213"/>
    </row>
    <row r="5123" spans="36:36" x14ac:dyDescent="0.35">
      <c r="AJ5123" s="213"/>
    </row>
    <row r="5124" spans="36:36" x14ac:dyDescent="0.35">
      <c r="AJ5124" s="213"/>
    </row>
    <row r="5125" spans="36:36" x14ac:dyDescent="0.35">
      <c r="AJ5125" s="213"/>
    </row>
    <row r="5126" spans="36:36" x14ac:dyDescent="0.35">
      <c r="AJ5126" s="213"/>
    </row>
    <row r="5127" spans="36:36" x14ac:dyDescent="0.35">
      <c r="AJ5127" s="213"/>
    </row>
    <row r="5128" spans="36:36" x14ac:dyDescent="0.35">
      <c r="AJ5128" s="213"/>
    </row>
    <row r="5129" spans="36:36" x14ac:dyDescent="0.35">
      <c r="AJ5129" s="213"/>
    </row>
    <row r="5130" spans="36:36" x14ac:dyDescent="0.35">
      <c r="AJ5130" s="213"/>
    </row>
    <row r="5131" spans="36:36" x14ac:dyDescent="0.35">
      <c r="AJ5131" s="213"/>
    </row>
    <row r="5132" spans="36:36" x14ac:dyDescent="0.35">
      <c r="AJ5132" s="213"/>
    </row>
    <row r="5133" spans="36:36" x14ac:dyDescent="0.35">
      <c r="AJ5133" s="213"/>
    </row>
    <row r="5134" spans="36:36" x14ac:dyDescent="0.35">
      <c r="AJ5134" s="213"/>
    </row>
    <row r="5135" spans="36:36" x14ac:dyDescent="0.35">
      <c r="AJ5135" s="213"/>
    </row>
    <row r="5136" spans="36:36" x14ac:dyDescent="0.35">
      <c r="AJ5136" s="213"/>
    </row>
    <row r="5137" spans="36:36" x14ac:dyDescent="0.35">
      <c r="AJ5137" s="213"/>
    </row>
    <row r="5138" spans="36:36" x14ac:dyDescent="0.35">
      <c r="AJ5138" s="213"/>
    </row>
    <row r="5139" spans="36:36" x14ac:dyDescent="0.35">
      <c r="AJ5139" s="213"/>
    </row>
    <row r="5140" spans="36:36" x14ac:dyDescent="0.35">
      <c r="AJ5140" s="213"/>
    </row>
    <row r="5141" spans="36:36" x14ac:dyDescent="0.35">
      <c r="AJ5141" s="213"/>
    </row>
    <row r="5142" spans="36:36" x14ac:dyDescent="0.35">
      <c r="AJ5142" s="213"/>
    </row>
    <row r="5143" spans="36:36" x14ac:dyDescent="0.35">
      <c r="AJ5143" s="213"/>
    </row>
    <row r="5144" spans="36:36" x14ac:dyDescent="0.35">
      <c r="AJ5144" s="213"/>
    </row>
    <row r="5145" spans="36:36" x14ac:dyDescent="0.35">
      <c r="AJ5145" s="213"/>
    </row>
    <row r="5146" spans="36:36" x14ac:dyDescent="0.35">
      <c r="AJ5146" s="213"/>
    </row>
    <row r="5147" spans="36:36" x14ac:dyDescent="0.35">
      <c r="AJ5147" s="213"/>
    </row>
    <row r="5148" spans="36:36" x14ac:dyDescent="0.35">
      <c r="AJ5148" s="213"/>
    </row>
    <row r="5149" spans="36:36" x14ac:dyDescent="0.35">
      <c r="AJ5149" s="213"/>
    </row>
    <row r="5150" spans="36:36" x14ac:dyDescent="0.35">
      <c r="AJ5150" s="213"/>
    </row>
    <row r="5151" spans="36:36" x14ac:dyDescent="0.35">
      <c r="AJ5151" s="213"/>
    </row>
    <row r="5152" spans="36:36" x14ac:dyDescent="0.35">
      <c r="AJ5152" s="213"/>
    </row>
    <row r="5153" spans="36:36" x14ac:dyDescent="0.35">
      <c r="AJ5153" s="213"/>
    </row>
    <row r="5154" spans="36:36" x14ac:dyDescent="0.35">
      <c r="AJ5154" s="213"/>
    </row>
    <row r="5155" spans="36:36" x14ac:dyDescent="0.35">
      <c r="AJ5155" s="213"/>
    </row>
    <row r="5156" spans="36:36" x14ac:dyDescent="0.35">
      <c r="AJ5156" s="213"/>
    </row>
    <row r="5157" spans="36:36" x14ac:dyDescent="0.35">
      <c r="AJ5157" s="213"/>
    </row>
    <row r="5158" spans="36:36" x14ac:dyDescent="0.35">
      <c r="AJ5158" s="213"/>
    </row>
    <row r="5159" spans="36:36" x14ac:dyDescent="0.35">
      <c r="AJ5159" s="213"/>
    </row>
    <row r="5160" spans="36:36" x14ac:dyDescent="0.35">
      <c r="AJ5160" s="213"/>
    </row>
    <row r="5161" spans="36:36" x14ac:dyDescent="0.35">
      <c r="AJ5161" s="213"/>
    </row>
    <row r="5162" spans="36:36" x14ac:dyDescent="0.35">
      <c r="AJ5162" s="213"/>
    </row>
    <row r="5163" spans="36:36" x14ac:dyDescent="0.35">
      <c r="AJ5163" s="213"/>
    </row>
    <row r="5164" spans="36:36" x14ac:dyDescent="0.35">
      <c r="AJ5164" s="213"/>
    </row>
    <row r="5165" spans="36:36" x14ac:dyDescent="0.35">
      <c r="AJ5165" s="213"/>
    </row>
    <row r="5166" spans="36:36" x14ac:dyDescent="0.35">
      <c r="AJ5166" s="213"/>
    </row>
    <row r="5167" spans="36:36" x14ac:dyDescent="0.35">
      <c r="AJ5167" s="213"/>
    </row>
    <row r="5168" spans="36:36" x14ac:dyDescent="0.35">
      <c r="AJ5168" s="213"/>
    </row>
    <row r="5169" spans="36:36" x14ac:dyDescent="0.35">
      <c r="AJ5169" s="213"/>
    </row>
    <row r="5170" spans="36:36" x14ac:dyDescent="0.35">
      <c r="AJ5170" s="213"/>
    </row>
    <row r="5171" spans="36:36" x14ac:dyDescent="0.35">
      <c r="AJ5171" s="213"/>
    </row>
    <row r="5172" spans="36:36" x14ac:dyDescent="0.35">
      <c r="AJ5172" s="213"/>
    </row>
    <row r="5173" spans="36:36" x14ac:dyDescent="0.35">
      <c r="AJ5173" s="213"/>
    </row>
    <row r="5174" spans="36:36" x14ac:dyDescent="0.35">
      <c r="AJ5174" s="213"/>
    </row>
    <row r="5175" spans="36:36" x14ac:dyDescent="0.35">
      <c r="AJ5175" s="213"/>
    </row>
    <row r="5176" spans="36:36" x14ac:dyDescent="0.35">
      <c r="AJ5176" s="213"/>
    </row>
    <row r="5177" spans="36:36" x14ac:dyDescent="0.35">
      <c r="AJ5177" s="213"/>
    </row>
    <row r="5178" spans="36:36" x14ac:dyDescent="0.35">
      <c r="AJ5178" s="213"/>
    </row>
    <row r="5179" spans="36:36" x14ac:dyDescent="0.35">
      <c r="AJ5179" s="213"/>
    </row>
    <row r="5180" spans="36:36" x14ac:dyDescent="0.35">
      <c r="AJ5180" s="213"/>
    </row>
    <row r="5181" spans="36:36" x14ac:dyDescent="0.35">
      <c r="AJ5181" s="213"/>
    </row>
    <row r="5182" spans="36:36" x14ac:dyDescent="0.35">
      <c r="AJ5182" s="213"/>
    </row>
    <row r="5183" spans="36:36" x14ac:dyDescent="0.35">
      <c r="AJ5183" s="213"/>
    </row>
    <row r="5184" spans="36:36" x14ac:dyDescent="0.35">
      <c r="AJ5184" s="213"/>
    </row>
    <row r="5185" spans="36:36" x14ac:dyDescent="0.35">
      <c r="AJ5185" s="213"/>
    </row>
    <row r="5186" spans="36:36" x14ac:dyDescent="0.35">
      <c r="AJ5186" s="213"/>
    </row>
    <row r="5187" spans="36:36" x14ac:dyDescent="0.35">
      <c r="AJ5187" s="213"/>
    </row>
    <row r="5188" spans="36:36" x14ac:dyDescent="0.35">
      <c r="AJ5188" s="213"/>
    </row>
    <row r="5189" spans="36:36" x14ac:dyDescent="0.35">
      <c r="AJ5189" s="213"/>
    </row>
    <row r="5190" spans="36:36" x14ac:dyDescent="0.35">
      <c r="AJ5190" s="213"/>
    </row>
    <row r="5191" spans="36:36" x14ac:dyDescent="0.35">
      <c r="AJ5191" s="213"/>
    </row>
    <row r="5192" spans="36:36" x14ac:dyDescent="0.35">
      <c r="AJ5192" s="213"/>
    </row>
    <row r="5193" spans="36:36" x14ac:dyDescent="0.35">
      <c r="AJ5193" s="213"/>
    </row>
    <row r="5194" spans="36:36" x14ac:dyDescent="0.35">
      <c r="AJ5194" s="213"/>
    </row>
    <row r="5195" spans="36:36" x14ac:dyDescent="0.35">
      <c r="AJ5195" s="213"/>
    </row>
    <row r="5196" spans="36:36" x14ac:dyDescent="0.35">
      <c r="AJ5196" s="213"/>
    </row>
    <row r="5197" spans="36:36" x14ac:dyDescent="0.35">
      <c r="AJ5197" s="213"/>
    </row>
    <row r="5198" spans="36:36" x14ac:dyDescent="0.35">
      <c r="AJ5198" s="213"/>
    </row>
    <row r="5199" spans="36:36" x14ac:dyDescent="0.35">
      <c r="AJ5199" s="213"/>
    </row>
    <row r="5200" spans="36:36" x14ac:dyDescent="0.35">
      <c r="AJ5200" s="213"/>
    </row>
    <row r="5201" spans="36:36" x14ac:dyDescent="0.35">
      <c r="AJ5201" s="213"/>
    </row>
    <row r="5202" spans="36:36" x14ac:dyDescent="0.35">
      <c r="AJ5202" s="213"/>
    </row>
    <row r="5203" spans="36:36" x14ac:dyDescent="0.35">
      <c r="AJ5203" s="213"/>
    </row>
    <row r="5204" spans="36:36" x14ac:dyDescent="0.35">
      <c r="AJ5204" s="213"/>
    </row>
    <row r="5205" spans="36:36" x14ac:dyDescent="0.35">
      <c r="AJ5205" s="213"/>
    </row>
    <row r="5206" spans="36:36" x14ac:dyDescent="0.35">
      <c r="AJ5206" s="213"/>
    </row>
    <row r="5207" spans="36:36" x14ac:dyDescent="0.35">
      <c r="AJ5207" s="213"/>
    </row>
    <row r="5208" spans="36:36" x14ac:dyDescent="0.35">
      <c r="AJ5208" s="213"/>
    </row>
    <row r="5209" spans="36:36" x14ac:dyDescent="0.35">
      <c r="AJ5209" s="213"/>
    </row>
    <row r="5210" spans="36:36" x14ac:dyDescent="0.35">
      <c r="AJ5210" s="213"/>
    </row>
    <row r="5211" spans="36:36" x14ac:dyDescent="0.35">
      <c r="AJ5211" s="213"/>
    </row>
    <row r="5212" spans="36:36" x14ac:dyDescent="0.35">
      <c r="AJ5212" s="213"/>
    </row>
    <row r="5213" spans="36:36" x14ac:dyDescent="0.35">
      <c r="AJ5213" s="213"/>
    </row>
    <row r="5214" spans="36:36" x14ac:dyDescent="0.35">
      <c r="AJ5214" s="213"/>
    </row>
    <row r="5215" spans="36:36" x14ac:dyDescent="0.35">
      <c r="AJ5215" s="213"/>
    </row>
    <row r="5216" spans="36:36" x14ac:dyDescent="0.35">
      <c r="AJ5216" s="213"/>
    </row>
    <row r="5217" spans="36:36" x14ac:dyDescent="0.35">
      <c r="AJ5217" s="213"/>
    </row>
    <row r="5218" spans="36:36" x14ac:dyDescent="0.35">
      <c r="AJ5218" s="213"/>
    </row>
    <row r="5219" spans="36:36" x14ac:dyDescent="0.35">
      <c r="AJ5219" s="213"/>
    </row>
    <row r="5220" spans="36:36" x14ac:dyDescent="0.35">
      <c r="AJ5220" s="213"/>
    </row>
    <row r="5221" spans="36:36" x14ac:dyDescent="0.35">
      <c r="AJ5221" s="213"/>
    </row>
    <row r="5222" spans="36:36" x14ac:dyDescent="0.35">
      <c r="AJ5222" s="213"/>
    </row>
    <row r="5223" spans="36:36" x14ac:dyDescent="0.35">
      <c r="AJ5223" s="213"/>
    </row>
    <row r="5224" spans="36:36" x14ac:dyDescent="0.35">
      <c r="AJ5224" s="213"/>
    </row>
    <row r="5225" spans="36:36" x14ac:dyDescent="0.35">
      <c r="AJ5225" s="213"/>
    </row>
    <row r="5226" spans="36:36" x14ac:dyDescent="0.35">
      <c r="AJ5226" s="213"/>
    </row>
    <row r="5227" spans="36:36" x14ac:dyDescent="0.35">
      <c r="AJ5227" s="213"/>
    </row>
    <row r="5228" spans="36:36" x14ac:dyDescent="0.35">
      <c r="AJ5228" s="213"/>
    </row>
    <row r="5229" spans="36:36" x14ac:dyDescent="0.35">
      <c r="AJ5229" s="213"/>
    </row>
    <row r="5230" spans="36:36" x14ac:dyDescent="0.35">
      <c r="AJ5230" s="213"/>
    </row>
    <row r="5231" spans="36:36" x14ac:dyDescent="0.35">
      <c r="AJ5231" s="213"/>
    </row>
    <row r="5232" spans="36:36" x14ac:dyDescent="0.35">
      <c r="AJ5232" s="213"/>
    </row>
    <row r="5233" spans="36:36" x14ac:dyDescent="0.35">
      <c r="AJ5233" s="213"/>
    </row>
    <row r="5234" spans="36:36" x14ac:dyDescent="0.35">
      <c r="AJ5234" s="213"/>
    </row>
    <row r="5235" spans="36:36" x14ac:dyDescent="0.35">
      <c r="AJ5235" s="213"/>
    </row>
    <row r="5236" spans="36:36" x14ac:dyDescent="0.35">
      <c r="AJ5236" s="213"/>
    </row>
    <row r="5237" spans="36:36" x14ac:dyDescent="0.35">
      <c r="AJ5237" s="213"/>
    </row>
    <row r="5238" spans="36:36" x14ac:dyDescent="0.35">
      <c r="AJ5238" s="213"/>
    </row>
    <row r="5239" spans="36:36" x14ac:dyDescent="0.35">
      <c r="AJ5239" s="213"/>
    </row>
    <row r="5240" spans="36:36" x14ac:dyDescent="0.35">
      <c r="AJ5240" s="213"/>
    </row>
    <row r="5241" spans="36:36" x14ac:dyDescent="0.35">
      <c r="AJ5241" s="213"/>
    </row>
    <row r="5242" spans="36:36" x14ac:dyDescent="0.35">
      <c r="AJ5242" s="213"/>
    </row>
    <row r="5243" spans="36:36" x14ac:dyDescent="0.35">
      <c r="AJ5243" s="213"/>
    </row>
    <row r="5244" spans="36:36" x14ac:dyDescent="0.35">
      <c r="AJ5244" s="213"/>
    </row>
    <row r="5245" spans="36:36" x14ac:dyDescent="0.35">
      <c r="AJ5245" s="213"/>
    </row>
    <row r="5246" spans="36:36" x14ac:dyDescent="0.35">
      <c r="AJ5246" s="213"/>
    </row>
    <row r="5247" spans="36:36" x14ac:dyDescent="0.35">
      <c r="AJ5247" s="213"/>
    </row>
    <row r="5248" spans="36:36" x14ac:dyDescent="0.35">
      <c r="AJ5248" s="213"/>
    </row>
    <row r="5249" spans="36:36" x14ac:dyDescent="0.35">
      <c r="AJ5249" s="213"/>
    </row>
    <row r="5250" spans="36:36" x14ac:dyDescent="0.35">
      <c r="AJ5250" s="213"/>
    </row>
    <row r="5251" spans="36:36" x14ac:dyDescent="0.35">
      <c r="AJ5251" s="213"/>
    </row>
    <row r="5252" spans="36:36" x14ac:dyDescent="0.35">
      <c r="AJ5252" s="213"/>
    </row>
    <row r="5253" spans="36:36" x14ac:dyDescent="0.35">
      <c r="AJ5253" s="213"/>
    </row>
    <row r="5254" spans="36:36" x14ac:dyDescent="0.35">
      <c r="AJ5254" s="213"/>
    </row>
    <row r="5255" spans="36:36" x14ac:dyDescent="0.35">
      <c r="AJ5255" s="213"/>
    </row>
    <row r="5256" spans="36:36" x14ac:dyDescent="0.35">
      <c r="AJ5256" s="213"/>
    </row>
    <row r="5257" spans="36:36" x14ac:dyDescent="0.35">
      <c r="AJ5257" s="213"/>
    </row>
    <row r="5258" spans="36:36" x14ac:dyDescent="0.35">
      <c r="AJ5258" s="213"/>
    </row>
    <row r="5259" spans="36:36" x14ac:dyDescent="0.35">
      <c r="AJ5259" s="213"/>
    </row>
    <row r="5260" spans="36:36" x14ac:dyDescent="0.35">
      <c r="AJ5260" s="213"/>
    </row>
    <row r="5261" spans="36:36" x14ac:dyDescent="0.35">
      <c r="AJ5261" s="213"/>
    </row>
    <row r="5262" spans="36:36" x14ac:dyDescent="0.35">
      <c r="AJ5262" s="213"/>
    </row>
    <row r="5263" spans="36:36" x14ac:dyDescent="0.35">
      <c r="AJ5263" s="213"/>
    </row>
    <row r="5264" spans="36:36" x14ac:dyDescent="0.35">
      <c r="AJ5264" s="213"/>
    </row>
    <row r="5265" spans="36:36" x14ac:dyDescent="0.35">
      <c r="AJ5265" s="213"/>
    </row>
    <row r="5266" spans="36:36" x14ac:dyDescent="0.35">
      <c r="AJ5266" s="213"/>
    </row>
    <row r="5267" spans="36:36" x14ac:dyDescent="0.35">
      <c r="AJ5267" s="213"/>
    </row>
    <row r="5268" spans="36:36" x14ac:dyDescent="0.35">
      <c r="AJ5268" s="213"/>
    </row>
    <row r="5269" spans="36:36" x14ac:dyDescent="0.35">
      <c r="AJ5269" s="213"/>
    </row>
    <row r="5270" spans="36:36" x14ac:dyDescent="0.35">
      <c r="AJ5270" s="213"/>
    </row>
    <row r="5271" spans="36:36" x14ac:dyDescent="0.35">
      <c r="AJ5271" s="213"/>
    </row>
    <row r="5272" spans="36:36" x14ac:dyDescent="0.35">
      <c r="AJ5272" s="213"/>
    </row>
    <row r="5273" spans="36:36" x14ac:dyDescent="0.35">
      <c r="AJ5273" s="213"/>
    </row>
    <row r="5274" spans="36:36" x14ac:dyDescent="0.35">
      <c r="AJ5274" s="213"/>
    </row>
    <row r="5275" spans="36:36" x14ac:dyDescent="0.35">
      <c r="AJ5275" s="213"/>
    </row>
    <row r="5276" spans="36:36" x14ac:dyDescent="0.35">
      <c r="AJ5276" s="213"/>
    </row>
    <row r="5277" spans="36:36" x14ac:dyDescent="0.35">
      <c r="AJ5277" s="213"/>
    </row>
    <row r="5278" spans="36:36" x14ac:dyDescent="0.35">
      <c r="AJ5278" s="213"/>
    </row>
    <row r="5279" spans="36:36" x14ac:dyDescent="0.35">
      <c r="AJ5279" s="213"/>
    </row>
    <row r="5280" spans="36:36" x14ac:dyDescent="0.35">
      <c r="AJ5280" s="213"/>
    </row>
    <row r="5281" spans="36:36" x14ac:dyDescent="0.35">
      <c r="AJ5281" s="213"/>
    </row>
    <row r="5282" spans="36:36" x14ac:dyDescent="0.35">
      <c r="AJ5282" s="213"/>
    </row>
    <row r="5283" spans="36:36" x14ac:dyDescent="0.35">
      <c r="AJ5283" s="213"/>
    </row>
    <row r="5284" spans="36:36" x14ac:dyDescent="0.35">
      <c r="AJ5284" s="213"/>
    </row>
    <row r="5285" spans="36:36" x14ac:dyDescent="0.35">
      <c r="AJ5285" s="213"/>
    </row>
    <row r="5286" spans="36:36" x14ac:dyDescent="0.35">
      <c r="AJ5286" s="213"/>
    </row>
    <row r="5287" spans="36:36" x14ac:dyDescent="0.35">
      <c r="AJ5287" s="213"/>
    </row>
    <row r="5288" spans="36:36" x14ac:dyDescent="0.35">
      <c r="AJ5288" s="213"/>
    </row>
    <row r="5289" spans="36:36" x14ac:dyDescent="0.35">
      <c r="AJ5289" s="213"/>
    </row>
    <row r="5290" spans="36:36" x14ac:dyDescent="0.35">
      <c r="AJ5290" s="213"/>
    </row>
    <row r="5291" spans="36:36" x14ac:dyDescent="0.35">
      <c r="AJ5291" s="213"/>
    </row>
    <row r="5292" spans="36:36" x14ac:dyDescent="0.35">
      <c r="AJ5292" s="213"/>
    </row>
    <row r="5293" spans="36:36" x14ac:dyDescent="0.35">
      <c r="AJ5293" s="213"/>
    </row>
    <row r="5294" spans="36:36" x14ac:dyDescent="0.35">
      <c r="AJ5294" s="213"/>
    </row>
    <row r="5295" spans="36:36" x14ac:dyDescent="0.35">
      <c r="AJ5295" s="213"/>
    </row>
    <row r="5296" spans="36:36" x14ac:dyDescent="0.35">
      <c r="AJ5296" s="213"/>
    </row>
    <row r="5297" spans="36:36" x14ac:dyDescent="0.35">
      <c r="AJ5297" s="213"/>
    </row>
    <row r="5298" spans="36:36" x14ac:dyDescent="0.35">
      <c r="AJ5298" s="213"/>
    </row>
    <row r="5299" spans="36:36" x14ac:dyDescent="0.35">
      <c r="AJ5299" s="213"/>
    </row>
    <row r="5300" spans="36:36" x14ac:dyDescent="0.35">
      <c r="AJ5300" s="213"/>
    </row>
    <row r="5301" spans="36:36" x14ac:dyDescent="0.35">
      <c r="AJ5301" s="213"/>
    </row>
    <row r="5302" spans="36:36" x14ac:dyDescent="0.35">
      <c r="AJ5302" s="213"/>
    </row>
    <row r="5303" spans="36:36" x14ac:dyDescent="0.35">
      <c r="AJ5303" s="213"/>
    </row>
    <row r="5304" spans="36:36" x14ac:dyDescent="0.35">
      <c r="AJ5304" s="213"/>
    </row>
    <row r="5305" spans="36:36" x14ac:dyDescent="0.35">
      <c r="AJ5305" s="213"/>
    </row>
    <row r="5306" spans="36:36" x14ac:dyDescent="0.35">
      <c r="AJ5306" s="213"/>
    </row>
    <row r="5307" spans="36:36" x14ac:dyDescent="0.35">
      <c r="AJ5307" s="213"/>
    </row>
    <row r="5308" spans="36:36" x14ac:dyDescent="0.35">
      <c r="AJ5308" s="213"/>
    </row>
    <row r="5309" spans="36:36" x14ac:dyDescent="0.35">
      <c r="AJ5309" s="213"/>
    </row>
    <row r="5310" spans="36:36" x14ac:dyDescent="0.35">
      <c r="AJ5310" s="213"/>
    </row>
    <row r="5311" spans="36:36" x14ac:dyDescent="0.35">
      <c r="AJ5311" s="213"/>
    </row>
    <row r="5312" spans="36:36" x14ac:dyDescent="0.35">
      <c r="AJ5312" s="213"/>
    </row>
    <row r="5313" spans="36:36" x14ac:dyDescent="0.35">
      <c r="AJ5313" s="213"/>
    </row>
    <row r="5314" spans="36:36" x14ac:dyDescent="0.35">
      <c r="AJ5314" s="213"/>
    </row>
    <row r="5315" spans="36:36" x14ac:dyDescent="0.35">
      <c r="AJ5315" s="213"/>
    </row>
    <row r="5316" spans="36:36" x14ac:dyDescent="0.35">
      <c r="AJ5316" s="213"/>
    </row>
    <row r="5317" spans="36:36" x14ac:dyDescent="0.35">
      <c r="AJ5317" s="213"/>
    </row>
    <row r="5318" spans="36:36" x14ac:dyDescent="0.35">
      <c r="AJ5318" s="213"/>
    </row>
    <row r="5319" spans="36:36" x14ac:dyDescent="0.35">
      <c r="AJ5319" s="213"/>
    </row>
    <row r="5320" spans="36:36" x14ac:dyDescent="0.35">
      <c r="AJ5320" s="213"/>
    </row>
    <row r="5321" spans="36:36" x14ac:dyDescent="0.35">
      <c r="AJ5321" s="213"/>
    </row>
    <row r="5322" spans="36:36" x14ac:dyDescent="0.35">
      <c r="AJ5322" s="213"/>
    </row>
    <row r="5323" spans="36:36" x14ac:dyDescent="0.35">
      <c r="AJ5323" s="213"/>
    </row>
    <row r="5324" spans="36:36" x14ac:dyDescent="0.35">
      <c r="AJ5324" s="213"/>
    </row>
    <row r="5325" spans="36:36" x14ac:dyDescent="0.35">
      <c r="AJ5325" s="213"/>
    </row>
    <row r="5326" spans="36:36" x14ac:dyDescent="0.35">
      <c r="AJ5326" s="213"/>
    </row>
    <row r="5327" spans="36:36" x14ac:dyDescent="0.35">
      <c r="AJ5327" s="213"/>
    </row>
    <row r="5328" spans="36:36" x14ac:dyDescent="0.35">
      <c r="AJ5328" s="213"/>
    </row>
    <row r="5329" spans="36:36" x14ac:dyDescent="0.35">
      <c r="AJ5329" s="213"/>
    </row>
    <row r="5330" spans="36:36" x14ac:dyDescent="0.35">
      <c r="AJ5330" s="213"/>
    </row>
    <row r="5331" spans="36:36" x14ac:dyDescent="0.35">
      <c r="AJ5331" s="213"/>
    </row>
    <row r="5332" spans="36:36" x14ac:dyDescent="0.35">
      <c r="AJ5332" s="213"/>
    </row>
    <row r="5333" spans="36:36" x14ac:dyDescent="0.35">
      <c r="AJ5333" s="213"/>
    </row>
    <row r="5334" spans="36:36" x14ac:dyDescent="0.35">
      <c r="AJ5334" s="213"/>
    </row>
    <row r="5335" spans="36:36" x14ac:dyDescent="0.35">
      <c r="AJ5335" s="213"/>
    </row>
    <row r="5336" spans="36:36" x14ac:dyDescent="0.35">
      <c r="AJ5336" s="213"/>
    </row>
    <row r="5337" spans="36:36" x14ac:dyDescent="0.35">
      <c r="AJ5337" s="213"/>
    </row>
    <row r="5338" spans="36:36" x14ac:dyDescent="0.35">
      <c r="AJ5338" s="213"/>
    </row>
    <row r="5339" spans="36:36" x14ac:dyDescent="0.35">
      <c r="AJ5339" s="213"/>
    </row>
    <row r="5340" spans="36:36" x14ac:dyDescent="0.35">
      <c r="AJ5340" s="213"/>
    </row>
    <row r="5341" spans="36:36" x14ac:dyDescent="0.35">
      <c r="AJ5341" s="213"/>
    </row>
    <row r="5342" spans="36:36" x14ac:dyDescent="0.35">
      <c r="AJ5342" s="213"/>
    </row>
    <row r="5343" spans="36:36" x14ac:dyDescent="0.35">
      <c r="AJ5343" s="213"/>
    </row>
    <row r="5344" spans="36:36" x14ac:dyDescent="0.35">
      <c r="AJ5344" s="213"/>
    </row>
    <row r="5345" spans="36:36" x14ac:dyDescent="0.35">
      <c r="AJ5345" s="213"/>
    </row>
    <row r="5346" spans="36:36" x14ac:dyDescent="0.35">
      <c r="AJ5346" s="213"/>
    </row>
    <row r="5347" spans="36:36" x14ac:dyDescent="0.35">
      <c r="AJ5347" s="213"/>
    </row>
    <row r="5348" spans="36:36" x14ac:dyDescent="0.35">
      <c r="AJ5348" s="213"/>
    </row>
    <row r="5349" spans="36:36" x14ac:dyDescent="0.35">
      <c r="AJ5349" s="213"/>
    </row>
    <row r="5350" spans="36:36" x14ac:dyDescent="0.35">
      <c r="AJ5350" s="213"/>
    </row>
    <row r="5351" spans="36:36" x14ac:dyDescent="0.35">
      <c r="AJ5351" s="213"/>
    </row>
    <row r="5352" spans="36:36" x14ac:dyDescent="0.35">
      <c r="AJ5352" s="213"/>
    </row>
    <row r="5353" spans="36:36" x14ac:dyDescent="0.35">
      <c r="AJ5353" s="213"/>
    </row>
    <row r="5354" spans="36:36" x14ac:dyDescent="0.35">
      <c r="AJ5354" s="213"/>
    </row>
    <row r="5355" spans="36:36" x14ac:dyDescent="0.35">
      <c r="AJ5355" s="213"/>
    </row>
    <row r="5356" spans="36:36" x14ac:dyDescent="0.35">
      <c r="AJ5356" s="213"/>
    </row>
    <row r="5357" spans="36:36" x14ac:dyDescent="0.35">
      <c r="AJ5357" s="213"/>
    </row>
    <row r="5358" spans="36:36" x14ac:dyDescent="0.35">
      <c r="AJ5358" s="213"/>
    </row>
    <row r="5359" spans="36:36" x14ac:dyDescent="0.35">
      <c r="AJ5359" s="213"/>
    </row>
    <row r="5360" spans="36:36" x14ac:dyDescent="0.35">
      <c r="AJ5360" s="213"/>
    </row>
    <row r="5361" spans="36:36" x14ac:dyDescent="0.35">
      <c r="AJ5361" s="213"/>
    </row>
    <row r="5362" spans="36:36" x14ac:dyDescent="0.35">
      <c r="AJ5362" s="213"/>
    </row>
    <row r="5363" spans="36:36" x14ac:dyDescent="0.35">
      <c r="AJ5363" s="213"/>
    </row>
    <row r="5364" spans="36:36" x14ac:dyDescent="0.35">
      <c r="AJ5364" s="213"/>
    </row>
    <row r="5365" spans="36:36" x14ac:dyDescent="0.35">
      <c r="AJ5365" s="213"/>
    </row>
    <row r="5366" spans="36:36" x14ac:dyDescent="0.35">
      <c r="AJ5366" s="213"/>
    </row>
    <row r="5367" spans="36:36" x14ac:dyDescent="0.35">
      <c r="AJ5367" s="213"/>
    </row>
    <row r="5368" spans="36:36" x14ac:dyDescent="0.35">
      <c r="AJ5368" s="213"/>
    </row>
    <row r="5369" spans="36:36" x14ac:dyDescent="0.35">
      <c r="AJ5369" s="213"/>
    </row>
    <row r="5370" spans="36:36" x14ac:dyDescent="0.35">
      <c r="AJ5370" s="213"/>
    </row>
    <row r="5371" spans="36:36" x14ac:dyDescent="0.35">
      <c r="AJ5371" s="213"/>
    </row>
    <row r="5372" spans="36:36" x14ac:dyDescent="0.35">
      <c r="AJ5372" s="213"/>
    </row>
    <row r="5373" spans="36:36" x14ac:dyDescent="0.35">
      <c r="AJ5373" s="213"/>
    </row>
    <row r="5374" spans="36:36" x14ac:dyDescent="0.35">
      <c r="AJ5374" s="213"/>
    </row>
    <row r="5375" spans="36:36" x14ac:dyDescent="0.35">
      <c r="AJ5375" s="213"/>
    </row>
    <row r="5376" spans="36:36" x14ac:dyDescent="0.35">
      <c r="AJ5376" s="213"/>
    </row>
    <row r="5377" spans="36:36" x14ac:dyDescent="0.35">
      <c r="AJ5377" s="213"/>
    </row>
    <row r="5378" spans="36:36" x14ac:dyDescent="0.35">
      <c r="AJ5378" s="213"/>
    </row>
    <row r="5379" spans="36:36" x14ac:dyDescent="0.35">
      <c r="AJ5379" s="213"/>
    </row>
    <row r="5380" spans="36:36" x14ac:dyDescent="0.35">
      <c r="AJ5380" s="213"/>
    </row>
    <row r="5381" spans="36:36" x14ac:dyDescent="0.35">
      <c r="AJ5381" s="213"/>
    </row>
    <row r="5382" spans="36:36" x14ac:dyDescent="0.35">
      <c r="AJ5382" s="213"/>
    </row>
    <row r="5383" spans="36:36" x14ac:dyDescent="0.35">
      <c r="AJ5383" s="213"/>
    </row>
    <row r="5384" spans="36:36" x14ac:dyDescent="0.35">
      <c r="AJ5384" s="213"/>
    </row>
    <row r="5385" spans="36:36" x14ac:dyDescent="0.35">
      <c r="AJ5385" s="213"/>
    </row>
    <row r="5386" spans="36:36" x14ac:dyDescent="0.35">
      <c r="AJ5386" s="213"/>
    </row>
    <row r="5387" spans="36:36" x14ac:dyDescent="0.35">
      <c r="AJ5387" s="213"/>
    </row>
    <row r="5388" spans="36:36" x14ac:dyDescent="0.35">
      <c r="AJ5388" s="213"/>
    </row>
    <row r="5389" spans="36:36" x14ac:dyDescent="0.35">
      <c r="AJ5389" s="213"/>
    </row>
    <row r="5390" spans="36:36" x14ac:dyDescent="0.35">
      <c r="AJ5390" s="213"/>
    </row>
    <row r="5391" spans="36:36" x14ac:dyDescent="0.35">
      <c r="AJ5391" s="213"/>
    </row>
    <row r="5392" spans="36:36" x14ac:dyDescent="0.35">
      <c r="AJ5392" s="213"/>
    </row>
    <row r="5393" spans="36:36" x14ac:dyDescent="0.35">
      <c r="AJ5393" s="213"/>
    </row>
    <row r="5394" spans="36:36" x14ac:dyDescent="0.35">
      <c r="AJ5394" s="213"/>
    </row>
    <row r="5395" spans="36:36" x14ac:dyDescent="0.35">
      <c r="AJ5395" s="213"/>
    </row>
    <row r="5396" spans="36:36" x14ac:dyDescent="0.35">
      <c r="AJ5396" s="213"/>
    </row>
    <row r="5397" spans="36:36" x14ac:dyDescent="0.35">
      <c r="AJ5397" s="213"/>
    </row>
    <row r="5398" spans="36:36" x14ac:dyDescent="0.35">
      <c r="AJ5398" s="213"/>
    </row>
    <row r="5399" spans="36:36" x14ac:dyDescent="0.35">
      <c r="AJ5399" s="213"/>
    </row>
    <row r="5400" spans="36:36" x14ac:dyDescent="0.35">
      <c r="AJ5400" s="213"/>
    </row>
    <row r="5401" spans="36:36" x14ac:dyDescent="0.35">
      <c r="AJ5401" s="213"/>
    </row>
    <row r="5402" spans="36:36" x14ac:dyDescent="0.35">
      <c r="AJ5402" s="213"/>
    </row>
    <row r="5403" spans="36:36" x14ac:dyDescent="0.35">
      <c r="AJ5403" s="213"/>
    </row>
    <row r="5404" spans="36:36" x14ac:dyDescent="0.35">
      <c r="AJ5404" s="213"/>
    </row>
    <row r="5405" spans="36:36" x14ac:dyDescent="0.35">
      <c r="AJ5405" s="213"/>
    </row>
    <row r="5406" spans="36:36" x14ac:dyDescent="0.35">
      <c r="AJ5406" s="213"/>
    </row>
    <row r="5407" spans="36:36" x14ac:dyDescent="0.35">
      <c r="AJ5407" s="213"/>
    </row>
    <row r="5408" spans="36:36" x14ac:dyDescent="0.35">
      <c r="AJ5408" s="213"/>
    </row>
    <row r="5409" spans="36:36" x14ac:dyDescent="0.35">
      <c r="AJ5409" s="213"/>
    </row>
    <row r="5410" spans="36:36" x14ac:dyDescent="0.35">
      <c r="AJ5410" s="213"/>
    </row>
    <row r="5411" spans="36:36" x14ac:dyDescent="0.35">
      <c r="AJ5411" s="213"/>
    </row>
    <row r="5412" spans="36:36" x14ac:dyDescent="0.35">
      <c r="AJ5412" s="213"/>
    </row>
    <row r="5413" spans="36:36" x14ac:dyDescent="0.35">
      <c r="AJ5413" s="213"/>
    </row>
    <row r="5414" spans="36:36" x14ac:dyDescent="0.35">
      <c r="AJ5414" s="213"/>
    </row>
    <row r="5415" spans="36:36" x14ac:dyDescent="0.35">
      <c r="AJ5415" s="213"/>
    </row>
    <row r="5416" spans="36:36" x14ac:dyDescent="0.35">
      <c r="AJ5416" s="213"/>
    </row>
    <row r="5417" spans="36:36" x14ac:dyDescent="0.35">
      <c r="AJ5417" s="213"/>
    </row>
    <row r="5418" spans="36:36" x14ac:dyDescent="0.35">
      <c r="AJ5418" s="213"/>
    </row>
    <row r="5419" spans="36:36" x14ac:dyDescent="0.35">
      <c r="AJ5419" s="213"/>
    </row>
    <row r="5420" spans="36:36" x14ac:dyDescent="0.35">
      <c r="AJ5420" s="213"/>
    </row>
    <row r="5421" spans="36:36" x14ac:dyDescent="0.35">
      <c r="AJ5421" s="213"/>
    </row>
    <row r="5422" spans="36:36" x14ac:dyDescent="0.35">
      <c r="AJ5422" s="213"/>
    </row>
    <row r="5423" spans="36:36" x14ac:dyDescent="0.35">
      <c r="AJ5423" s="213"/>
    </row>
    <row r="5424" spans="36:36" x14ac:dyDescent="0.35">
      <c r="AJ5424" s="213"/>
    </row>
    <row r="5425" spans="36:36" x14ac:dyDescent="0.35">
      <c r="AJ5425" s="213"/>
    </row>
    <row r="5426" spans="36:36" x14ac:dyDescent="0.35">
      <c r="AJ5426" s="213"/>
    </row>
    <row r="5427" spans="36:36" x14ac:dyDescent="0.35">
      <c r="AJ5427" s="213"/>
    </row>
    <row r="5428" spans="36:36" x14ac:dyDescent="0.35">
      <c r="AJ5428" s="213"/>
    </row>
    <row r="5429" spans="36:36" x14ac:dyDescent="0.35">
      <c r="AJ5429" s="213"/>
    </row>
    <row r="5430" spans="36:36" x14ac:dyDescent="0.35">
      <c r="AJ5430" s="213"/>
    </row>
    <row r="5431" spans="36:36" x14ac:dyDescent="0.35">
      <c r="AJ5431" s="213"/>
    </row>
    <row r="5432" spans="36:36" x14ac:dyDescent="0.35">
      <c r="AJ5432" s="213"/>
    </row>
    <row r="5433" spans="36:36" x14ac:dyDescent="0.35">
      <c r="AJ5433" s="213"/>
    </row>
    <row r="5434" spans="36:36" x14ac:dyDescent="0.35">
      <c r="AJ5434" s="213"/>
    </row>
    <row r="5435" spans="36:36" x14ac:dyDescent="0.35">
      <c r="AJ5435" s="213"/>
    </row>
    <row r="5436" spans="36:36" x14ac:dyDescent="0.35">
      <c r="AJ5436" s="213"/>
    </row>
    <row r="5437" spans="36:36" x14ac:dyDescent="0.35">
      <c r="AJ5437" s="213"/>
    </row>
    <row r="5438" spans="36:36" x14ac:dyDescent="0.35">
      <c r="AJ5438" s="213"/>
    </row>
    <row r="5439" spans="36:36" x14ac:dyDescent="0.35">
      <c r="AJ5439" s="213"/>
    </row>
    <row r="5440" spans="36:36" x14ac:dyDescent="0.35">
      <c r="AJ5440" s="213"/>
    </row>
    <row r="5441" spans="36:36" x14ac:dyDescent="0.35">
      <c r="AJ5441" s="213"/>
    </row>
    <row r="5442" spans="36:36" x14ac:dyDescent="0.35">
      <c r="AJ5442" s="213"/>
    </row>
    <row r="5443" spans="36:36" x14ac:dyDescent="0.35">
      <c r="AJ5443" s="213"/>
    </row>
    <row r="5444" spans="36:36" x14ac:dyDescent="0.35">
      <c r="AJ5444" s="213"/>
    </row>
    <row r="5445" spans="36:36" x14ac:dyDescent="0.35">
      <c r="AJ5445" s="213"/>
    </row>
    <row r="5446" spans="36:36" x14ac:dyDescent="0.35">
      <c r="AJ5446" s="213"/>
    </row>
    <row r="5447" spans="36:36" x14ac:dyDescent="0.35">
      <c r="AJ5447" s="213"/>
    </row>
    <row r="5448" spans="36:36" x14ac:dyDescent="0.35">
      <c r="AJ5448" s="213"/>
    </row>
    <row r="5449" spans="36:36" x14ac:dyDescent="0.35">
      <c r="AJ5449" s="213"/>
    </row>
    <row r="5450" spans="36:36" x14ac:dyDescent="0.35">
      <c r="AJ5450" s="213"/>
    </row>
    <row r="5451" spans="36:36" x14ac:dyDescent="0.35">
      <c r="AJ5451" s="213"/>
    </row>
    <row r="5452" spans="36:36" x14ac:dyDescent="0.35">
      <c r="AJ5452" s="213"/>
    </row>
    <row r="5453" spans="36:36" x14ac:dyDescent="0.35">
      <c r="AJ5453" s="213"/>
    </row>
    <row r="5454" spans="36:36" x14ac:dyDescent="0.35">
      <c r="AJ5454" s="213"/>
    </row>
    <row r="5455" spans="36:36" x14ac:dyDescent="0.35">
      <c r="AJ5455" s="213"/>
    </row>
    <row r="5456" spans="36:36" x14ac:dyDescent="0.35">
      <c r="AJ5456" s="213"/>
    </row>
    <row r="5457" spans="36:36" x14ac:dyDescent="0.35">
      <c r="AJ5457" s="213"/>
    </row>
    <row r="5458" spans="36:36" x14ac:dyDescent="0.35">
      <c r="AJ5458" s="213"/>
    </row>
    <row r="5459" spans="36:36" x14ac:dyDescent="0.35">
      <c r="AJ5459" s="213"/>
    </row>
    <row r="5460" spans="36:36" x14ac:dyDescent="0.35">
      <c r="AJ5460" s="213"/>
    </row>
    <row r="5461" spans="36:36" x14ac:dyDescent="0.35">
      <c r="AJ5461" s="213"/>
    </row>
    <row r="5462" spans="36:36" x14ac:dyDescent="0.35">
      <c r="AJ5462" s="213"/>
    </row>
    <row r="5463" spans="36:36" x14ac:dyDescent="0.35">
      <c r="AJ5463" s="213"/>
    </row>
    <row r="5464" spans="36:36" x14ac:dyDescent="0.35">
      <c r="AJ5464" s="213"/>
    </row>
    <row r="5465" spans="36:36" x14ac:dyDescent="0.35">
      <c r="AJ5465" s="213"/>
    </row>
    <row r="5466" spans="36:36" x14ac:dyDescent="0.35">
      <c r="AJ5466" s="213"/>
    </row>
    <row r="5467" spans="36:36" x14ac:dyDescent="0.35">
      <c r="AJ5467" s="213"/>
    </row>
    <row r="5468" spans="36:36" x14ac:dyDescent="0.35">
      <c r="AJ5468" s="213"/>
    </row>
    <row r="5469" spans="36:36" x14ac:dyDescent="0.35">
      <c r="AJ5469" s="213"/>
    </row>
    <row r="5470" spans="36:36" x14ac:dyDescent="0.35">
      <c r="AJ5470" s="213"/>
    </row>
    <row r="5471" spans="36:36" x14ac:dyDescent="0.35">
      <c r="AJ5471" s="213"/>
    </row>
    <row r="5472" spans="36:36" x14ac:dyDescent="0.35">
      <c r="AJ5472" s="213"/>
    </row>
    <row r="5473" spans="36:36" x14ac:dyDescent="0.35">
      <c r="AJ5473" s="213"/>
    </row>
    <row r="5474" spans="36:36" x14ac:dyDescent="0.35">
      <c r="AJ5474" s="213"/>
    </row>
    <row r="5475" spans="36:36" x14ac:dyDescent="0.35">
      <c r="AJ5475" s="213"/>
    </row>
    <row r="5476" spans="36:36" x14ac:dyDescent="0.35">
      <c r="AJ5476" s="213"/>
    </row>
    <row r="5477" spans="36:36" x14ac:dyDescent="0.35">
      <c r="AJ5477" s="213"/>
    </row>
    <row r="5478" spans="36:36" x14ac:dyDescent="0.35">
      <c r="AJ5478" s="213"/>
    </row>
    <row r="5479" spans="36:36" x14ac:dyDescent="0.35">
      <c r="AJ5479" s="213"/>
    </row>
    <row r="5480" spans="36:36" x14ac:dyDescent="0.35">
      <c r="AJ5480" s="213"/>
    </row>
    <row r="5481" spans="36:36" x14ac:dyDescent="0.35">
      <c r="AJ5481" s="213"/>
    </row>
    <row r="5482" spans="36:36" x14ac:dyDescent="0.35">
      <c r="AJ5482" s="213"/>
    </row>
    <row r="5483" spans="36:36" x14ac:dyDescent="0.35">
      <c r="AJ5483" s="213"/>
    </row>
    <row r="5484" spans="36:36" x14ac:dyDescent="0.35">
      <c r="AJ5484" s="213"/>
    </row>
    <row r="5485" spans="36:36" x14ac:dyDescent="0.35">
      <c r="AJ5485" s="213"/>
    </row>
    <row r="5486" spans="36:36" x14ac:dyDescent="0.35">
      <c r="AJ5486" s="213"/>
    </row>
    <row r="5487" spans="36:36" x14ac:dyDescent="0.35">
      <c r="AJ5487" s="213"/>
    </row>
    <row r="5488" spans="36:36" x14ac:dyDescent="0.35">
      <c r="AJ5488" s="213"/>
    </row>
    <row r="5489" spans="36:36" x14ac:dyDescent="0.35">
      <c r="AJ5489" s="213"/>
    </row>
    <row r="5490" spans="36:36" x14ac:dyDescent="0.35">
      <c r="AJ5490" s="213"/>
    </row>
    <row r="5491" spans="36:36" x14ac:dyDescent="0.35">
      <c r="AJ5491" s="213"/>
    </row>
    <row r="5492" spans="36:36" x14ac:dyDescent="0.35">
      <c r="AJ5492" s="213"/>
    </row>
    <row r="5493" spans="36:36" x14ac:dyDescent="0.35">
      <c r="AJ5493" s="213"/>
    </row>
    <row r="5494" spans="36:36" x14ac:dyDescent="0.35">
      <c r="AJ5494" s="213"/>
    </row>
    <row r="5495" spans="36:36" x14ac:dyDescent="0.35">
      <c r="AJ5495" s="213"/>
    </row>
    <row r="5496" spans="36:36" x14ac:dyDescent="0.35">
      <c r="AJ5496" s="213"/>
    </row>
    <row r="5497" spans="36:36" x14ac:dyDescent="0.35">
      <c r="AJ5497" s="213"/>
    </row>
    <row r="5498" spans="36:36" x14ac:dyDescent="0.35">
      <c r="AJ5498" s="213"/>
    </row>
    <row r="5499" spans="36:36" x14ac:dyDescent="0.35">
      <c r="AJ5499" s="213"/>
    </row>
    <row r="5500" spans="36:36" x14ac:dyDescent="0.35">
      <c r="AJ5500" s="213"/>
    </row>
    <row r="5501" spans="36:36" x14ac:dyDescent="0.35">
      <c r="AJ5501" s="213"/>
    </row>
    <row r="5502" spans="36:36" x14ac:dyDescent="0.35">
      <c r="AJ5502" s="213"/>
    </row>
    <row r="5503" spans="36:36" x14ac:dyDescent="0.35">
      <c r="AJ5503" s="213"/>
    </row>
    <row r="5504" spans="36:36" x14ac:dyDescent="0.35">
      <c r="AJ5504" s="213"/>
    </row>
    <row r="5505" spans="36:36" x14ac:dyDescent="0.35">
      <c r="AJ5505" s="213"/>
    </row>
    <row r="5506" spans="36:36" x14ac:dyDescent="0.35">
      <c r="AJ5506" s="213"/>
    </row>
    <row r="5507" spans="36:36" x14ac:dyDescent="0.35">
      <c r="AJ5507" s="213"/>
    </row>
    <row r="5508" spans="36:36" x14ac:dyDescent="0.35">
      <c r="AJ5508" s="213"/>
    </row>
    <row r="5509" spans="36:36" x14ac:dyDescent="0.35">
      <c r="AJ5509" s="213"/>
    </row>
    <row r="5510" spans="36:36" x14ac:dyDescent="0.35">
      <c r="AJ5510" s="213"/>
    </row>
    <row r="5511" spans="36:36" x14ac:dyDescent="0.35">
      <c r="AJ5511" s="213"/>
    </row>
    <row r="5512" spans="36:36" x14ac:dyDescent="0.35">
      <c r="AJ5512" s="213"/>
    </row>
    <row r="5513" spans="36:36" x14ac:dyDescent="0.35">
      <c r="AJ5513" s="213"/>
    </row>
    <row r="5514" spans="36:36" x14ac:dyDescent="0.35">
      <c r="AJ5514" s="213"/>
    </row>
    <row r="5515" spans="36:36" x14ac:dyDescent="0.35">
      <c r="AJ5515" s="213"/>
    </row>
    <row r="5516" spans="36:36" x14ac:dyDescent="0.35">
      <c r="AJ5516" s="213"/>
    </row>
    <row r="5517" spans="36:36" x14ac:dyDescent="0.35">
      <c r="AJ5517" s="213"/>
    </row>
    <row r="5518" spans="36:36" x14ac:dyDescent="0.35">
      <c r="AJ5518" s="213"/>
    </row>
    <row r="5519" spans="36:36" x14ac:dyDescent="0.35">
      <c r="AJ5519" s="213"/>
    </row>
    <row r="5520" spans="36:36" x14ac:dyDescent="0.35">
      <c r="AJ5520" s="213"/>
    </row>
    <row r="5521" spans="36:36" x14ac:dyDescent="0.35">
      <c r="AJ5521" s="213"/>
    </row>
    <row r="5522" spans="36:36" x14ac:dyDescent="0.35">
      <c r="AJ5522" s="213"/>
    </row>
    <row r="5523" spans="36:36" x14ac:dyDescent="0.35">
      <c r="AJ5523" s="213"/>
    </row>
    <row r="5524" spans="36:36" x14ac:dyDescent="0.35">
      <c r="AJ5524" s="213"/>
    </row>
    <row r="5525" spans="36:36" x14ac:dyDescent="0.35">
      <c r="AJ5525" s="213"/>
    </row>
    <row r="5526" spans="36:36" x14ac:dyDescent="0.35">
      <c r="AJ5526" s="213"/>
    </row>
    <row r="5527" spans="36:36" x14ac:dyDescent="0.35">
      <c r="AJ5527" s="213"/>
    </row>
    <row r="5528" spans="36:36" x14ac:dyDescent="0.35">
      <c r="AJ5528" s="213"/>
    </row>
    <row r="5529" spans="36:36" x14ac:dyDescent="0.35">
      <c r="AJ5529" s="213"/>
    </row>
    <row r="5530" spans="36:36" x14ac:dyDescent="0.35">
      <c r="AJ5530" s="213"/>
    </row>
    <row r="5531" spans="36:36" x14ac:dyDescent="0.35">
      <c r="AJ5531" s="213"/>
    </row>
    <row r="5532" spans="36:36" x14ac:dyDescent="0.35">
      <c r="AJ5532" s="213"/>
    </row>
    <row r="5533" spans="36:36" x14ac:dyDescent="0.35">
      <c r="AJ5533" s="213"/>
    </row>
    <row r="5534" spans="36:36" x14ac:dyDescent="0.35">
      <c r="AJ5534" s="213"/>
    </row>
    <row r="5535" spans="36:36" x14ac:dyDescent="0.35">
      <c r="AJ5535" s="213"/>
    </row>
    <row r="5536" spans="36:36" x14ac:dyDescent="0.35">
      <c r="AJ5536" s="213"/>
    </row>
    <row r="5537" spans="36:36" x14ac:dyDescent="0.35">
      <c r="AJ5537" s="213"/>
    </row>
    <row r="5538" spans="36:36" x14ac:dyDescent="0.35">
      <c r="AJ5538" s="213"/>
    </row>
    <row r="5539" spans="36:36" x14ac:dyDescent="0.35">
      <c r="AJ5539" s="213"/>
    </row>
    <row r="5540" spans="36:36" x14ac:dyDescent="0.35">
      <c r="AJ5540" s="213"/>
    </row>
    <row r="5541" spans="36:36" x14ac:dyDescent="0.35">
      <c r="AJ5541" s="213"/>
    </row>
    <row r="5542" spans="36:36" x14ac:dyDescent="0.35">
      <c r="AJ5542" s="213"/>
    </row>
    <row r="5543" spans="36:36" x14ac:dyDescent="0.35">
      <c r="AJ5543" s="213"/>
    </row>
    <row r="5544" spans="36:36" x14ac:dyDescent="0.35">
      <c r="AJ5544" s="213"/>
    </row>
    <row r="5545" spans="36:36" x14ac:dyDescent="0.35">
      <c r="AJ5545" s="213"/>
    </row>
    <row r="5546" spans="36:36" x14ac:dyDescent="0.35">
      <c r="AJ5546" s="213"/>
    </row>
    <row r="5547" spans="36:36" x14ac:dyDescent="0.35">
      <c r="AJ5547" s="213"/>
    </row>
    <row r="5548" spans="36:36" x14ac:dyDescent="0.35">
      <c r="AJ5548" s="213"/>
    </row>
    <row r="5549" spans="36:36" x14ac:dyDescent="0.35">
      <c r="AJ5549" s="213"/>
    </row>
    <row r="5550" spans="36:36" x14ac:dyDescent="0.35">
      <c r="AJ5550" s="213"/>
    </row>
    <row r="5551" spans="36:36" x14ac:dyDescent="0.35">
      <c r="AJ5551" s="213"/>
    </row>
    <row r="5552" spans="36:36" x14ac:dyDescent="0.35">
      <c r="AJ5552" s="213"/>
    </row>
    <row r="5553" spans="36:36" x14ac:dyDescent="0.35">
      <c r="AJ5553" s="213"/>
    </row>
    <row r="5554" spans="36:36" x14ac:dyDescent="0.35">
      <c r="AJ5554" s="213"/>
    </row>
    <row r="5555" spans="36:36" x14ac:dyDescent="0.35">
      <c r="AJ5555" s="213"/>
    </row>
    <row r="5556" spans="36:36" x14ac:dyDescent="0.35">
      <c r="AJ5556" s="213"/>
    </row>
    <row r="5557" spans="36:36" x14ac:dyDescent="0.35">
      <c r="AJ5557" s="213"/>
    </row>
    <row r="5558" spans="36:36" x14ac:dyDescent="0.35">
      <c r="AJ5558" s="213"/>
    </row>
    <row r="5559" spans="36:36" x14ac:dyDescent="0.35">
      <c r="AJ5559" s="213"/>
    </row>
    <row r="5560" spans="36:36" x14ac:dyDescent="0.35">
      <c r="AJ5560" s="213"/>
    </row>
    <row r="5561" spans="36:36" x14ac:dyDescent="0.35">
      <c r="AJ5561" s="213"/>
    </row>
    <row r="5562" spans="36:36" x14ac:dyDescent="0.35">
      <c r="AJ5562" s="213"/>
    </row>
    <row r="5563" spans="36:36" x14ac:dyDescent="0.35">
      <c r="AJ5563" s="213"/>
    </row>
    <row r="5564" spans="36:36" x14ac:dyDescent="0.35">
      <c r="AJ5564" s="213"/>
    </row>
    <row r="5565" spans="36:36" x14ac:dyDescent="0.35">
      <c r="AJ5565" s="213"/>
    </row>
    <row r="5566" spans="36:36" x14ac:dyDescent="0.35">
      <c r="AJ5566" s="213"/>
    </row>
    <row r="5567" spans="36:36" x14ac:dyDescent="0.35">
      <c r="AJ5567" s="213"/>
    </row>
    <row r="5568" spans="36:36" x14ac:dyDescent="0.35">
      <c r="AJ5568" s="213"/>
    </row>
    <row r="5569" spans="36:36" x14ac:dyDescent="0.35">
      <c r="AJ5569" s="213"/>
    </row>
    <row r="5570" spans="36:36" x14ac:dyDescent="0.35">
      <c r="AJ5570" s="213"/>
    </row>
    <row r="5571" spans="36:36" x14ac:dyDescent="0.35">
      <c r="AJ5571" s="213"/>
    </row>
    <row r="5572" spans="36:36" x14ac:dyDescent="0.35">
      <c r="AJ5572" s="213"/>
    </row>
    <row r="5573" spans="36:36" x14ac:dyDescent="0.35">
      <c r="AJ5573" s="213"/>
    </row>
    <row r="5574" spans="36:36" x14ac:dyDescent="0.35">
      <c r="AJ5574" s="213"/>
    </row>
    <row r="5575" spans="36:36" x14ac:dyDescent="0.35">
      <c r="AJ5575" s="213"/>
    </row>
    <row r="5576" spans="36:36" x14ac:dyDescent="0.35">
      <c r="AJ5576" s="213"/>
    </row>
    <row r="5577" spans="36:36" x14ac:dyDescent="0.35">
      <c r="AJ5577" s="213"/>
    </row>
    <row r="5578" spans="36:36" x14ac:dyDescent="0.35">
      <c r="AJ5578" s="213"/>
    </row>
    <row r="5579" spans="36:36" x14ac:dyDescent="0.35">
      <c r="AJ5579" s="213"/>
    </row>
    <row r="5580" spans="36:36" x14ac:dyDescent="0.35">
      <c r="AJ5580" s="213"/>
    </row>
    <row r="5581" spans="36:36" x14ac:dyDescent="0.35">
      <c r="AJ5581" s="213"/>
    </row>
    <row r="5582" spans="36:36" x14ac:dyDescent="0.35">
      <c r="AJ5582" s="213"/>
    </row>
    <row r="5583" spans="36:36" x14ac:dyDescent="0.35">
      <c r="AJ5583" s="213"/>
    </row>
    <row r="5584" spans="36:36" x14ac:dyDescent="0.35">
      <c r="AJ5584" s="213"/>
    </row>
    <row r="5585" spans="36:36" x14ac:dyDescent="0.35">
      <c r="AJ5585" s="213"/>
    </row>
    <row r="5586" spans="36:36" x14ac:dyDescent="0.35">
      <c r="AJ5586" s="213"/>
    </row>
    <row r="5587" spans="36:36" x14ac:dyDescent="0.35">
      <c r="AJ5587" s="213"/>
    </row>
    <row r="5588" spans="36:36" x14ac:dyDescent="0.35">
      <c r="AJ5588" s="213"/>
    </row>
    <row r="5589" spans="36:36" x14ac:dyDescent="0.35">
      <c r="AJ5589" s="213"/>
    </row>
    <row r="5590" spans="36:36" x14ac:dyDescent="0.35">
      <c r="AJ5590" s="213"/>
    </row>
    <row r="5591" spans="36:36" x14ac:dyDescent="0.35">
      <c r="AJ5591" s="213"/>
    </row>
    <row r="5592" spans="36:36" x14ac:dyDescent="0.35">
      <c r="AJ5592" s="213"/>
    </row>
    <row r="5593" spans="36:36" x14ac:dyDescent="0.35">
      <c r="AJ5593" s="213"/>
    </row>
    <row r="5594" spans="36:36" x14ac:dyDescent="0.35">
      <c r="AJ5594" s="213"/>
    </row>
    <row r="5595" spans="36:36" x14ac:dyDescent="0.35">
      <c r="AJ5595" s="213"/>
    </row>
    <row r="5596" spans="36:36" x14ac:dyDescent="0.35">
      <c r="AJ5596" s="213"/>
    </row>
    <row r="5597" spans="36:36" x14ac:dyDescent="0.35">
      <c r="AJ5597" s="213"/>
    </row>
    <row r="5598" spans="36:36" x14ac:dyDescent="0.35">
      <c r="AJ5598" s="213"/>
    </row>
    <row r="5599" spans="36:36" x14ac:dyDescent="0.35">
      <c r="AJ5599" s="213"/>
    </row>
    <row r="5600" spans="36:36" x14ac:dyDescent="0.35">
      <c r="AJ5600" s="213"/>
    </row>
    <row r="5601" spans="36:36" x14ac:dyDescent="0.35">
      <c r="AJ5601" s="213"/>
    </row>
    <row r="5602" spans="36:36" x14ac:dyDescent="0.35">
      <c r="AJ5602" s="213"/>
    </row>
    <row r="5603" spans="36:36" x14ac:dyDescent="0.35">
      <c r="AJ5603" s="213"/>
    </row>
    <row r="5604" spans="36:36" x14ac:dyDescent="0.35">
      <c r="AJ5604" s="213"/>
    </row>
    <row r="5605" spans="36:36" x14ac:dyDescent="0.35">
      <c r="AJ5605" s="213"/>
    </row>
    <row r="5606" spans="36:36" x14ac:dyDescent="0.35">
      <c r="AJ5606" s="213"/>
    </row>
    <row r="5607" spans="36:36" x14ac:dyDescent="0.35">
      <c r="AJ5607" s="213"/>
    </row>
    <row r="5608" spans="36:36" x14ac:dyDescent="0.35">
      <c r="AJ5608" s="213"/>
    </row>
    <row r="5609" spans="36:36" x14ac:dyDescent="0.35">
      <c r="AJ5609" s="213"/>
    </row>
    <row r="5610" spans="36:36" x14ac:dyDescent="0.35">
      <c r="AJ5610" s="213"/>
    </row>
    <row r="5611" spans="36:36" x14ac:dyDescent="0.35">
      <c r="AJ5611" s="213"/>
    </row>
    <row r="5612" spans="36:36" x14ac:dyDescent="0.35">
      <c r="AJ5612" s="213"/>
    </row>
    <row r="5613" spans="36:36" x14ac:dyDescent="0.35">
      <c r="AJ5613" s="213"/>
    </row>
    <row r="5614" spans="36:36" x14ac:dyDescent="0.35">
      <c r="AJ5614" s="213"/>
    </row>
    <row r="5615" spans="36:36" x14ac:dyDescent="0.35">
      <c r="AJ5615" s="213"/>
    </row>
    <row r="5616" spans="36:36" x14ac:dyDescent="0.35">
      <c r="AJ5616" s="213"/>
    </row>
    <row r="5617" spans="36:36" x14ac:dyDescent="0.35">
      <c r="AJ5617" s="213"/>
    </row>
    <row r="5618" spans="36:36" x14ac:dyDescent="0.35">
      <c r="AJ5618" s="213"/>
    </row>
    <row r="5619" spans="36:36" x14ac:dyDescent="0.35">
      <c r="AJ5619" s="213"/>
    </row>
    <row r="5620" spans="36:36" x14ac:dyDescent="0.35">
      <c r="AJ5620" s="213"/>
    </row>
    <row r="5621" spans="36:36" x14ac:dyDescent="0.35">
      <c r="AJ5621" s="213"/>
    </row>
    <row r="5622" spans="36:36" x14ac:dyDescent="0.35">
      <c r="AJ5622" s="213"/>
    </row>
    <row r="5623" spans="36:36" x14ac:dyDescent="0.35">
      <c r="AJ5623" s="213"/>
    </row>
    <row r="5624" spans="36:36" x14ac:dyDescent="0.35">
      <c r="AJ5624" s="213"/>
    </row>
    <row r="5625" spans="36:36" x14ac:dyDescent="0.35">
      <c r="AJ5625" s="213"/>
    </row>
    <row r="5626" spans="36:36" x14ac:dyDescent="0.35">
      <c r="AJ5626" s="213"/>
    </row>
    <row r="5627" spans="36:36" x14ac:dyDescent="0.35">
      <c r="AJ5627" s="213"/>
    </row>
    <row r="5628" spans="36:36" x14ac:dyDescent="0.35">
      <c r="AJ5628" s="213"/>
    </row>
    <row r="5629" spans="36:36" x14ac:dyDescent="0.35">
      <c r="AJ5629" s="213"/>
    </row>
    <row r="5630" spans="36:36" x14ac:dyDescent="0.35">
      <c r="AJ5630" s="213"/>
    </row>
    <row r="5631" spans="36:36" x14ac:dyDescent="0.35">
      <c r="AJ5631" s="213"/>
    </row>
    <row r="5632" spans="36:36" x14ac:dyDescent="0.35">
      <c r="AJ5632" s="213"/>
    </row>
    <row r="5633" spans="36:36" x14ac:dyDescent="0.35">
      <c r="AJ5633" s="213"/>
    </row>
    <row r="5634" spans="36:36" x14ac:dyDescent="0.35">
      <c r="AJ5634" s="213"/>
    </row>
    <row r="5635" spans="36:36" x14ac:dyDescent="0.35">
      <c r="AJ5635" s="213"/>
    </row>
    <row r="5636" spans="36:36" x14ac:dyDescent="0.35">
      <c r="AJ5636" s="213"/>
    </row>
    <row r="5637" spans="36:36" x14ac:dyDescent="0.35">
      <c r="AJ5637" s="213"/>
    </row>
    <row r="5638" spans="36:36" x14ac:dyDescent="0.35">
      <c r="AJ5638" s="213"/>
    </row>
    <row r="5639" spans="36:36" x14ac:dyDescent="0.35">
      <c r="AJ5639" s="213"/>
    </row>
    <row r="5640" spans="36:36" x14ac:dyDescent="0.35">
      <c r="AJ5640" s="213"/>
    </row>
    <row r="5641" spans="36:36" x14ac:dyDescent="0.35">
      <c r="AJ5641" s="213"/>
    </row>
    <row r="5642" spans="36:36" x14ac:dyDescent="0.35">
      <c r="AJ5642" s="213"/>
    </row>
    <row r="5643" spans="36:36" x14ac:dyDescent="0.35">
      <c r="AJ5643" s="213"/>
    </row>
    <row r="5644" spans="36:36" x14ac:dyDescent="0.35">
      <c r="AJ5644" s="213"/>
    </row>
    <row r="5645" spans="36:36" x14ac:dyDescent="0.35">
      <c r="AJ5645" s="213"/>
    </row>
    <row r="5646" spans="36:36" x14ac:dyDescent="0.35">
      <c r="AJ5646" s="213"/>
    </row>
    <row r="5647" spans="36:36" x14ac:dyDescent="0.35">
      <c r="AJ5647" s="213"/>
    </row>
    <row r="5648" spans="36:36" x14ac:dyDescent="0.35">
      <c r="AJ5648" s="213"/>
    </row>
    <row r="5649" spans="36:36" x14ac:dyDescent="0.35">
      <c r="AJ5649" s="213"/>
    </row>
    <row r="5650" spans="36:36" x14ac:dyDescent="0.35">
      <c r="AJ5650" s="213"/>
    </row>
    <row r="5651" spans="36:36" x14ac:dyDescent="0.35">
      <c r="AJ5651" s="213"/>
    </row>
    <row r="5652" spans="36:36" x14ac:dyDescent="0.35">
      <c r="AJ5652" s="213"/>
    </row>
    <row r="5653" spans="36:36" x14ac:dyDescent="0.35">
      <c r="AJ5653" s="213"/>
    </row>
    <row r="5654" spans="36:36" x14ac:dyDescent="0.35">
      <c r="AJ5654" s="213"/>
    </row>
    <row r="5655" spans="36:36" x14ac:dyDescent="0.35">
      <c r="AJ5655" s="213"/>
    </row>
    <row r="5656" spans="36:36" x14ac:dyDescent="0.35">
      <c r="AJ5656" s="213"/>
    </row>
    <row r="5657" spans="36:36" x14ac:dyDescent="0.35">
      <c r="AJ5657" s="213"/>
    </row>
    <row r="5658" spans="36:36" x14ac:dyDescent="0.35">
      <c r="AJ5658" s="213"/>
    </row>
    <row r="5659" spans="36:36" x14ac:dyDescent="0.35">
      <c r="AJ5659" s="213"/>
    </row>
    <row r="5660" spans="36:36" x14ac:dyDescent="0.35">
      <c r="AJ5660" s="213"/>
    </row>
    <row r="5661" spans="36:36" x14ac:dyDescent="0.35">
      <c r="AJ5661" s="213"/>
    </row>
    <row r="5662" spans="36:36" x14ac:dyDescent="0.35">
      <c r="AJ5662" s="213"/>
    </row>
    <row r="5663" spans="36:36" x14ac:dyDescent="0.35">
      <c r="AJ5663" s="213"/>
    </row>
    <row r="5664" spans="36:36" x14ac:dyDescent="0.35">
      <c r="AJ5664" s="213"/>
    </row>
    <row r="5665" spans="36:36" x14ac:dyDescent="0.35">
      <c r="AJ5665" s="213"/>
    </row>
    <row r="5666" spans="36:36" x14ac:dyDescent="0.35">
      <c r="AJ5666" s="213"/>
    </row>
    <row r="5667" spans="36:36" x14ac:dyDescent="0.35">
      <c r="AJ5667" s="213"/>
    </row>
    <row r="5668" spans="36:36" x14ac:dyDescent="0.35">
      <c r="AJ5668" s="213"/>
    </row>
    <row r="5669" spans="36:36" x14ac:dyDescent="0.35">
      <c r="AJ5669" s="213"/>
    </row>
    <row r="5670" spans="36:36" x14ac:dyDescent="0.35">
      <c r="AJ5670" s="213"/>
    </row>
    <row r="5671" spans="36:36" x14ac:dyDescent="0.35">
      <c r="AJ5671" s="213"/>
    </row>
    <row r="5672" spans="36:36" x14ac:dyDescent="0.35">
      <c r="AJ5672" s="213"/>
    </row>
    <row r="5673" spans="36:36" x14ac:dyDescent="0.35">
      <c r="AJ5673" s="213"/>
    </row>
    <row r="5674" spans="36:36" x14ac:dyDescent="0.35">
      <c r="AJ5674" s="213"/>
    </row>
    <row r="5675" spans="36:36" x14ac:dyDescent="0.35">
      <c r="AJ5675" s="213"/>
    </row>
    <row r="5676" spans="36:36" x14ac:dyDescent="0.35">
      <c r="AJ5676" s="213"/>
    </row>
    <row r="5677" spans="36:36" x14ac:dyDescent="0.35">
      <c r="AJ5677" s="213"/>
    </row>
    <row r="5678" spans="36:36" x14ac:dyDescent="0.35">
      <c r="AJ5678" s="213"/>
    </row>
    <row r="5679" spans="36:36" x14ac:dyDescent="0.35">
      <c r="AJ5679" s="213"/>
    </row>
    <row r="5680" spans="36:36" x14ac:dyDescent="0.35">
      <c r="AJ5680" s="213"/>
    </row>
    <row r="5681" spans="36:36" x14ac:dyDescent="0.35">
      <c r="AJ5681" s="213"/>
    </row>
    <row r="5682" spans="36:36" x14ac:dyDescent="0.35">
      <c r="AJ5682" s="213"/>
    </row>
    <row r="5683" spans="36:36" x14ac:dyDescent="0.35">
      <c r="AJ5683" s="213"/>
    </row>
    <row r="5684" spans="36:36" x14ac:dyDescent="0.35">
      <c r="AJ5684" s="213"/>
    </row>
    <row r="5685" spans="36:36" x14ac:dyDescent="0.35">
      <c r="AJ5685" s="213"/>
    </row>
    <row r="5686" spans="36:36" x14ac:dyDescent="0.35">
      <c r="AJ5686" s="213"/>
    </row>
    <row r="5687" spans="36:36" x14ac:dyDescent="0.35">
      <c r="AJ5687" s="213"/>
    </row>
    <row r="5688" spans="36:36" x14ac:dyDescent="0.35">
      <c r="AJ5688" s="213"/>
    </row>
    <row r="5689" spans="36:36" x14ac:dyDescent="0.35">
      <c r="AJ5689" s="213"/>
    </row>
    <row r="5690" spans="36:36" x14ac:dyDescent="0.35">
      <c r="AJ5690" s="213"/>
    </row>
    <row r="5691" spans="36:36" x14ac:dyDescent="0.35">
      <c r="AJ5691" s="213"/>
    </row>
    <row r="5692" spans="36:36" x14ac:dyDescent="0.35">
      <c r="AJ5692" s="213"/>
    </row>
    <row r="5693" spans="36:36" x14ac:dyDescent="0.35">
      <c r="AJ5693" s="213"/>
    </row>
    <row r="5694" spans="36:36" x14ac:dyDescent="0.35">
      <c r="AJ5694" s="213"/>
    </row>
    <row r="5695" spans="36:36" x14ac:dyDescent="0.35">
      <c r="AJ5695" s="213"/>
    </row>
    <row r="5696" spans="36:36" x14ac:dyDescent="0.35">
      <c r="AJ5696" s="213"/>
    </row>
    <row r="5697" spans="36:36" x14ac:dyDescent="0.35">
      <c r="AJ5697" s="213"/>
    </row>
    <row r="5698" spans="36:36" x14ac:dyDescent="0.35">
      <c r="AJ5698" s="213"/>
    </row>
    <row r="5699" spans="36:36" x14ac:dyDescent="0.35">
      <c r="AJ5699" s="213"/>
    </row>
    <row r="5700" spans="36:36" x14ac:dyDescent="0.35">
      <c r="AJ5700" s="213"/>
    </row>
    <row r="5701" spans="36:36" x14ac:dyDescent="0.35">
      <c r="AJ5701" s="213"/>
    </row>
    <row r="5702" spans="36:36" x14ac:dyDescent="0.35">
      <c r="AJ5702" s="213"/>
    </row>
    <row r="5703" spans="36:36" x14ac:dyDescent="0.35">
      <c r="AJ5703" s="213"/>
    </row>
    <row r="5704" spans="36:36" x14ac:dyDescent="0.35">
      <c r="AJ5704" s="213"/>
    </row>
    <row r="5705" spans="36:36" x14ac:dyDescent="0.35">
      <c r="AJ5705" s="213"/>
    </row>
    <row r="5706" spans="36:36" x14ac:dyDescent="0.35">
      <c r="AJ5706" s="213"/>
    </row>
    <row r="5707" spans="36:36" x14ac:dyDescent="0.35">
      <c r="AJ5707" s="213"/>
    </row>
    <row r="5708" spans="36:36" x14ac:dyDescent="0.35">
      <c r="AJ5708" s="213"/>
    </row>
    <row r="5709" spans="36:36" x14ac:dyDescent="0.35">
      <c r="AJ5709" s="213"/>
    </row>
    <row r="5710" spans="36:36" x14ac:dyDescent="0.35">
      <c r="AJ5710" s="213"/>
    </row>
    <row r="5711" spans="36:36" x14ac:dyDescent="0.35">
      <c r="AJ5711" s="213"/>
    </row>
    <row r="5712" spans="36:36" x14ac:dyDescent="0.35">
      <c r="AJ5712" s="213"/>
    </row>
    <row r="5713" spans="36:36" x14ac:dyDescent="0.35">
      <c r="AJ5713" s="213"/>
    </row>
    <row r="5714" spans="36:36" x14ac:dyDescent="0.35">
      <c r="AJ5714" s="213"/>
    </row>
    <row r="5715" spans="36:36" x14ac:dyDescent="0.35">
      <c r="AJ5715" s="213"/>
    </row>
    <row r="5716" spans="36:36" x14ac:dyDescent="0.35">
      <c r="AJ5716" s="213"/>
    </row>
    <row r="5717" spans="36:36" x14ac:dyDescent="0.35">
      <c r="AJ5717" s="213"/>
    </row>
    <row r="5718" spans="36:36" x14ac:dyDescent="0.35">
      <c r="AJ5718" s="213"/>
    </row>
    <row r="5719" spans="36:36" x14ac:dyDescent="0.35">
      <c r="AJ5719" s="213"/>
    </row>
    <row r="5720" spans="36:36" x14ac:dyDescent="0.35">
      <c r="AJ5720" s="213"/>
    </row>
    <row r="5721" spans="36:36" x14ac:dyDescent="0.35">
      <c r="AJ5721" s="213"/>
    </row>
    <row r="5722" spans="36:36" x14ac:dyDescent="0.35">
      <c r="AJ5722" s="213"/>
    </row>
    <row r="5723" spans="36:36" x14ac:dyDescent="0.35">
      <c r="AJ5723" s="213"/>
    </row>
    <row r="5724" spans="36:36" x14ac:dyDescent="0.35">
      <c r="AJ5724" s="213"/>
    </row>
    <row r="5725" spans="36:36" x14ac:dyDescent="0.35">
      <c r="AJ5725" s="213"/>
    </row>
    <row r="5726" spans="36:36" x14ac:dyDescent="0.35">
      <c r="AJ5726" s="213"/>
    </row>
    <row r="5727" spans="36:36" x14ac:dyDescent="0.35">
      <c r="AJ5727" s="213"/>
    </row>
    <row r="5728" spans="36:36" x14ac:dyDescent="0.35">
      <c r="AJ5728" s="213"/>
    </row>
    <row r="5729" spans="36:36" x14ac:dyDescent="0.35">
      <c r="AJ5729" s="213"/>
    </row>
    <row r="5730" spans="36:36" x14ac:dyDescent="0.35">
      <c r="AJ5730" s="213"/>
    </row>
    <row r="5731" spans="36:36" x14ac:dyDescent="0.35">
      <c r="AJ5731" s="213"/>
    </row>
    <row r="5732" spans="36:36" x14ac:dyDescent="0.35">
      <c r="AJ5732" s="213"/>
    </row>
    <row r="5733" spans="36:36" x14ac:dyDescent="0.35">
      <c r="AJ5733" s="213"/>
    </row>
    <row r="5734" spans="36:36" x14ac:dyDescent="0.35">
      <c r="AJ5734" s="213"/>
    </row>
    <row r="5735" spans="36:36" x14ac:dyDescent="0.35">
      <c r="AJ5735" s="213"/>
    </row>
    <row r="5736" spans="36:36" x14ac:dyDescent="0.35">
      <c r="AJ5736" s="213"/>
    </row>
    <row r="5737" spans="36:36" x14ac:dyDescent="0.35">
      <c r="AJ5737" s="213"/>
    </row>
    <row r="5738" spans="36:36" x14ac:dyDescent="0.35">
      <c r="AJ5738" s="213"/>
    </row>
    <row r="5739" spans="36:36" x14ac:dyDescent="0.35">
      <c r="AJ5739" s="213"/>
    </row>
    <row r="5740" spans="36:36" x14ac:dyDescent="0.35">
      <c r="AJ5740" s="213"/>
    </row>
    <row r="5741" spans="36:36" x14ac:dyDescent="0.35">
      <c r="AJ5741" s="213"/>
    </row>
    <row r="5742" spans="36:36" x14ac:dyDescent="0.35">
      <c r="AJ5742" s="213"/>
    </row>
    <row r="5743" spans="36:36" x14ac:dyDescent="0.35">
      <c r="AJ5743" s="213"/>
    </row>
    <row r="5744" spans="36:36" x14ac:dyDescent="0.35">
      <c r="AJ5744" s="213"/>
    </row>
    <row r="5745" spans="36:36" x14ac:dyDescent="0.35">
      <c r="AJ5745" s="213"/>
    </row>
    <row r="5746" spans="36:36" x14ac:dyDescent="0.35">
      <c r="AJ5746" s="213"/>
    </row>
    <row r="5747" spans="36:36" x14ac:dyDescent="0.35">
      <c r="AJ5747" s="213"/>
    </row>
    <row r="5748" spans="36:36" x14ac:dyDescent="0.35">
      <c r="AJ5748" s="213"/>
    </row>
    <row r="5749" spans="36:36" x14ac:dyDescent="0.35">
      <c r="AJ5749" s="213"/>
    </row>
    <row r="5750" spans="36:36" x14ac:dyDescent="0.35">
      <c r="AJ5750" s="213"/>
    </row>
    <row r="5751" spans="36:36" x14ac:dyDescent="0.35">
      <c r="AJ5751" s="213"/>
    </row>
    <row r="5752" spans="36:36" x14ac:dyDescent="0.35">
      <c r="AJ5752" s="213"/>
    </row>
    <row r="5753" spans="36:36" x14ac:dyDescent="0.35">
      <c r="AJ5753" s="213"/>
    </row>
    <row r="5754" spans="36:36" x14ac:dyDescent="0.35">
      <c r="AJ5754" s="213"/>
    </row>
    <row r="5755" spans="36:36" x14ac:dyDescent="0.35">
      <c r="AJ5755" s="213"/>
    </row>
    <row r="5756" spans="36:36" x14ac:dyDescent="0.35">
      <c r="AJ5756" s="213"/>
    </row>
    <row r="5757" spans="36:36" x14ac:dyDescent="0.35">
      <c r="AJ5757" s="213"/>
    </row>
    <row r="5758" spans="36:36" x14ac:dyDescent="0.35">
      <c r="AJ5758" s="213"/>
    </row>
    <row r="5759" spans="36:36" x14ac:dyDescent="0.35">
      <c r="AJ5759" s="213"/>
    </row>
    <row r="5760" spans="36:36" x14ac:dyDescent="0.35">
      <c r="AJ5760" s="213"/>
    </row>
    <row r="5761" spans="36:36" x14ac:dyDescent="0.35">
      <c r="AJ5761" s="213"/>
    </row>
    <row r="5762" spans="36:36" x14ac:dyDescent="0.35">
      <c r="AJ5762" s="213"/>
    </row>
    <row r="5763" spans="36:36" x14ac:dyDescent="0.35">
      <c r="AJ5763" s="213"/>
    </row>
    <row r="5764" spans="36:36" x14ac:dyDescent="0.35">
      <c r="AJ5764" s="213"/>
    </row>
    <row r="5765" spans="36:36" x14ac:dyDescent="0.35">
      <c r="AJ5765" s="213"/>
    </row>
    <row r="5766" spans="36:36" x14ac:dyDescent="0.35">
      <c r="AJ5766" s="213"/>
    </row>
    <row r="5767" spans="36:36" x14ac:dyDescent="0.35">
      <c r="AJ5767" s="213"/>
    </row>
    <row r="5768" spans="36:36" x14ac:dyDescent="0.35">
      <c r="AJ5768" s="213"/>
    </row>
    <row r="5769" spans="36:36" x14ac:dyDescent="0.35">
      <c r="AJ5769" s="213"/>
    </row>
    <row r="5770" spans="36:36" x14ac:dyDescent="0.35">
      <c r="AJ5770" s="213"/>
    </row>
    <row r="5771" spans="36:36" x14ac:dyDescent="0.35">
      <c r="AJ5771" s="213"/>
    </row>
    <row r="5772" spans="36:36" x14ac:dyDescent="0.35">
      <c r="AJ5772" s="213"/>
    </row>
    <row r="5773" spans="36:36" x14ac:dyDescent="0.35">
      <c r="AJ5773" s="213"/>
    </row>
    <row r="5774" spans="36:36" x14ac:dyDescent="0.35">
      <c r="AJ5774" s="213"/>
    </row>
    <row r="5775" spans="36:36" x14ac:dyDescent="0.35">
      <c r="AJ5775" s="213"/>
    </row>
    <row r="5776" spans="36:36" x14ac:dyDescent="0.35">
      <c r="AJ5776" s="213"/>
    </row>
    <row r="5777" spans="36:36" x14ac:dyDescent="0.35">
      <c r="AJ5777" s="213"/>
    </row>
    <row r="5778" spans="36:36" x14ac:dyDescent="0.35">
      <c r="AJ5778" s="213"/>
    </row>
    <row r="5779" spans="36:36" x14ac:dyDescent="0.35">
      <c r="AJ5779" s="213"/>
    </row>
    <row r="5780" spans="36:36" x14ac:dyDescent="0.35">
      <c r="AJ5780" s="213"/>
    </row>
    <row r="5781" spans="36:36" x14ac:dyDescent="0.35">
      <c r="AJ5781" s="213"/>
    </row>
    <row r="5782" spans="36:36" x14ac:dyDescent="0.35">
      <c r="AJ5782" s="213"/>
    </row>
    <row r="5783" spans="36:36" x14ac:dyDescent="0.35">
      <c r="AJ5783" s="213"/>
    </row>
    <row r="5784" spans="36:36" x14ac:dyDescent="0.35">
      <c r="AJ5784" s="213"/>
    </row>
    <row r="5785" spans="36:36" x14ac:dyDescent="0.35">
      <c r="AJ5785" s="213"/>
    </row>
    <row r="5786" spans="36:36" x14ac:dyDescent="0.35">
      <c r="AJ5786" s="213"/>
    </row>
    <row r="5787" spans="36:36" x14ac:dyDescent="0.35">
      <c r="AJ5787" s="213"/>
    </row>
    <row r="5788" spans="36:36" x14ac:dyDescent="0.35">
      <c r="AJ5788" s="213"/>
    </row>
    <row r="5789" spans="36:36" x14ac:dyDescent="0.35">
      <c r="AJ5789" s="213"/>
    </row>
    <row r="5790" spans="36:36" x14ac:dyDescent="0.35">
      <c r="AJ5790" s="213"/>
    </row>
    <row r="5791" spans="36:36" x14ac:dyDescent="0.35">
      <c r="AJ5791" s="213"/>
    </row>
    <row r="5792" spans="36:36" x14ac:dyDescent="0.35">
      <c r="AJ5792" s="213"/>
    </row>
    <row r="5793" spans="36:36" x14ac:dyDescent="0.35">
      <c r="AJ5793" s="213"/>
    </row>
    <row r="5794" spans="36:36" x14ac:dyDescent="0.35">
      <c r="AJ5794" s="213"/>
    </row>
    <row r="5795" spans="36:36" x14ac:dyDescent="0.35">
      <c r="AJ5795" s="213"/>
    </row>
    <row r="5796" spans="36:36" x14ac:dyDescent="0.35">
      <c r="AJ5796" s="213"/>
    </row>
    <row r="5797" spans="36:36" x14ac:dyDescent="0.35">
      <c r="AJ5797" s="213"/>
    </row>
    <row r="5798" spans="36:36" x14ac:dyDescent="0.35">
      <c r="AJ5798" s="213"/>
    </row>
    <row r="5799" spans="36:36" x14ac:dyDescent="0.35">
      <c r="AJ5799" s="213"/>
    </row>
    <row r="5800" spans="36:36" x14ac:dyDescent="0.35">
      <c r="AJ5800" s="213"/>
    </row>
    <row r="5801" spans="36:36" x14ac:dyDescent="0.35">
      <c r="AJ5801" s="213"/>
    </row>
    <row r="5802" spans="36:36" x14ac:dyDescent="0.35">
      <c r="AJ5802" s="213"/>
    </row>
    <row r="5803" spans="36:36" x14ac:dyDescent="0.35">
      <c r="AJ5803" s="213"/>
    </row>
    <row r="5804" spans="36:36" x14ac:dyDescent="0.35">
      <c r="AJ5804" s="213"/>
    </row>
    <row r="5805" spans="36:36" x14ac:dyDescent="0.35">
      <c r="AJ5805" s="213"/>
    </row>
    <row r="5806" spans="36:36" x14ac:dyDescent="0.35">
      <c r="AJ5806" s="213"/>
    </row>
    <row r="5807" spans="36:36" x14ac:dyDescent="0.35">
      <c r="AJ5807" s="213"/>
    </row>
    <row r="5808" spans="36:36" x14ac:dyDescent="0.35">
      <c r="AJ5808" s="213"/>
    </row>
    <row r="5809" spans="36:36" x14ac:dyDescent="0.35">
      <c r="AJ5809" s="213"/>
    </row>
    <row r="5810" spans="36:36" x14ac:dyDescent="0.35">
      <c r="AJ5810" s="213"/>
    </row>
    <row r="5811" spans="36:36" x14ac:dyDescent="0.35">
      <c r="AJ5811" s="213"/>
    </row>
    <row r="5812" spans="36:36" x14ac:dyDescent="0.35">
      <c r="AJ5812" s="213"/>
    </row>
    <row r="5813" spans="36:36" x14ac:dyDescent="0.35">
      <c r="AJ5813" s="213"/>
    </row>
    <row r="5814" spans="36:36" x14ac:dyDescent="0.35">
      <c r="AJ5814" s="213"/>
    </row>
    <row r="5815" spans="36:36" x14ac:dyDescent="0.35">
      <c r="AJ5815" s="213"/>
    </row>
    <row r="5816" spans="36:36" x14ac:dyDescent="0.35">
      <c r="AJ5816" s="213"/>
    </row>
    <row r="5817" spans="36:36" x14ac:dyDescent="0.35">
      <c r="AJ5817" s="213"/>
    </row>
    <row r="5818" spans="36:36" x14ac:dyDescent="0.35">
      <c r="AJ5818" s="213"/>
    </row>
    <row r="5819" spans="36:36" x14ac:dyDescent="0.35">
      <c r="AJ5819" s="213"/>
    </row>
    <row r="5820" spans="36:36" x14ac:dyDescent="0.35">
      <c r="AJ5820" s="213"/>
    </row>
    <row r="5821" spans="36:36" x14ac:dyDescent="0.35">
      <c r="AJ5821" s="213"/>
    </row>
    <row r="5822" spans="36:36" x14ac:dyDescent="0.35">
      <c r="AJ5822" s="213"/>
    </row>
    <row r="5823" spans="36:36" x14ac:dyDescent="0.35">
      <c r="AJ5823" s="213"/>
    </row>
    <row r="5824" spans="36:36" x14ac:dyDescent="0.35">
      <c r="AJ5824" s="213"/>
    </row>
    <row r="5825" spans="36:36" x14ac:dyDescent="0.35">
      <c r="AJ5825" s="213"/>
    </row>
    <row r="5826" spans="36:36" x14ac:dyDescent="0.35">
      <c r="AJ5826" s="213"/>
    </row>
    <row r="5827" spans="36:36" x14ac:dyDescent="0.35">
      <c r="AJ5827" s="213"/>
    </row>
    <row r="5828" spans="36:36" x14ac:dyDescent="0.35">
      <c r="AJ5828" s="213"/>
    </row>
    <row r="5829" spans="36:36" x14ac:dyDescent="0.35">
      <c r="AJ5829" s="213"/>
    </row>
    <row r="5830" spans="36:36" x14ac:dyDescent="0.35">
      <c r="AJ5830" s="213"/>
    </row>
    <row r="5831" spans="36:36" x14ac:dyDescent="0.35">
      <c r="AJ5831" s="213"/>
    </row>
    <row r="5832" spans="36:36" x14ac:dyDescent="0.35">
      <c r="AJ5832" s="213"/>
    </row>
    <row r="5833" spans="36:36" x14ac:dyDescent="0.35">
      <c r="AJ5833" s="213"/>
    </row>
    <row r="5834" spans="36:36" x14ac:dyDescent="0.35">
      <c r="AJ5834" s="213"/>
    </row>
    <row r="5835" spans="36:36" x14ac:dyDescent="0.35">
      <c r="AJ5835" s="213"/>
    </row>
    <row r="5836" spans="36:36" x14ac:dyDescent="0.35">
      <c r="AJ5836" s="213"/>
    </row>
    <row r="5837" spans="36:36" x14ac:dyDescent="0.35">
      <c r="AJ5837" s="213"/>
    </row>
    <row r="5838" spans="36:36" x14ac:dyDescent="0.35">
      <c r="AJ5838" s="213"/>
    </row>
    <row r="5839" spans="36:36" x14ac:dyDescent="0.35">
      <c r="AJ5839" s="213"/>
    </row>
    <row r="5840" spans="36:36" x14ac:dyDescent="0.35">
      <c r="AJ5840" s="213"/>
    </row>
    <row r="5841" spans="36:36" x14ac:dyDescent="0.35">
      <c r="AJ5841" s="213"/>
    </row>
    <row r="5842" spans="36:36" x14ac:dyDescent="0.35">
      <c r="AJ5842" s="213"/>
    </row>
    <row r="5843" spans="36:36" x14ac:dyDescent="0.35">
      <c r="AJ5843" s="213"/>
    </row>
    <row r="5844" spans="36:36" x14ac:dyDescent="0.35">
      <c r="AJ5844" s="213"/>
    </row>
    <row r="5845" spans="36:36" x14ac:dyDescent="0.35">
      <c r="AJ5845" s="213"/>
    </row>
    <row r="5846" spans="36:36" x14ac:dyDescent="0.35">
      <c r="AJ5846" s="213"/>
    </row>
    <row r="5847" spans="36:36" x14ac:dyDescent="0.35">
      <c r="AJ5847" s="213"/>
    </row>
    <row r="5848" spans="36:36" x14ac:dyDescent="0.35">
      <c r="AJ5848" s="213"/>
    </row>
    <row r="5849" spans="36:36" x14ac:dyDescent="0.35">
      <c r="AJ5849" s="213"/>
    </row>
    <row r="5850" spans="36:36" x14ac:dyDescent="0.35">
      <c r="AJ5850" s="213"/>
    </row>
    <row r="5851" spans="36:36" x14ac:dyDescent="0.35">
      <c r="AJ5851" s="213"/>
    </row>
    <row r="5852" spans="36:36" x14ac:dyDescent="0.35">
      <c r="AJ5852" s="213"/>
    </row>
    <row r="5853" spans="36:36" x14ac:dyDescent="0.35">
      <c r="AJ5853" s="213"/>
    </row>
    <row r="5854" spans="36:36" x14ac:dyDescent="0.35">
      <c r="AJ5854" s="213"/>
    </row>
    <row r="5855" spans="36:36" x14ac:dyDescent="0.35">
      <c r="AJ5855" s="213"/>
    </row>
    <row r="5856" spans="36:36" x14ac:dyDescent="0.35">
      <c r="AJ5856" s="213"/>
    </row>
    <row r="5857" spans="36:36" x14ac:dyDescent="0.35">
      <c r="AJ5857" s="213"/>
    </row>
    <row r="5858" spans="36:36" x14ac:dyDescent="0.35">
      <c r="AJ5858" s="213"/>
    </row>
    <row r="5859" spans="36:36" x14ac:dyDescent="0.35">
      <c r="AJ5859" s="213"/>
    </row>
    <row r="5860" spans="36:36" x14ac:dyDescent="0.35">
      <c r="AJ5860" s="213"/>
    </row>
    <row r="5861" spans="36:36" x14ac:dyDescent="0.35">
      <c r="AJ5861" s="213"/>
    </row>
    <row r="5862" spans="36:36" x14ac:dyDescent="0.35">
      <c r="AJ5862" s="213"/>
    </row>
    <row r="5863" spans="36:36" x14ac:dyDescent="0.35">
      <c r="AJ5863" s="213"/>
    </row>
    <row r="5864" spans="36:36" x14ac:dyDescent="0.35">
      <c r="AJ5864" s="213"/>
    </row>
    <row r="5865" spans="36:36" x14ac:dyDescent="0.35">
      <c r="AJ5865" s="213"/>
    </row>
    <row r="5866" spans="36:36" x14ac:dyDescent="0.35">
      <c r="AJ5866" s="213"/>
    </row>
    <row r="5867" spans="36:36" x14ac:dyDescent="0.35">
      <c r="AJ5867" s="213"/>
    </row>
    <row r="5868" spans="36:36" x14ac:dyDescent="0.35">
      <c r="AJ5868" s="213"/>
    </row>
    <row r="5869" spans="36:36" x14ac:dyDescent="0.35">
      <c r="AJ5869" s="213"/>
    </row>
    <row r="5870" spans="36:36" x14ac:dyDescent="0.35">
      <c r="AJ5870" s="213"/>
    </row>
    <row r="5871" spans="36:36" x14ac:dyDescent="0.35">
      <c r="AJ5871" s="213"/>
    </row>
    <row r="5872" spans="36:36" x14ac:dyDescent="0.35">
      <c r="AJ5872" s="213"/>
    </row>
    <row r="5873" spans="36:36" x14ac:dyDescent="0.35">
      <c r="AJ5873" s="213"/>
    </row>
    <row r="5874" spans="36:36" x14ac:dyDescent="0.35">
      <c r="AJ5874" s="213"/>
    </row>
    <row r="5875" spans="36:36" x14ac:dyDescent="0.35">
      <c r="AJ5875" s="213"/>
    </row>
    <row r="5876" spans="36:36" x14ac:dyDescent="0.35">
      <c r="AJ5876" s="213"/>
    </row>
    <row r="5877" spans="36:36" x14ac:dyDescent="0.35">
      <c r="AJ5877" s="213"/>
    </row>
    <row r="5878" spans="36:36" x14ac:dyDescent="0.35">
      <c r="AJ5878" s="213"/>
    </row>
    <row r="5879" spans="36:36" x14ac:dyDescent="0.35">
      <c r="AJ5879" s="213"/>
    </row>
    <row r="5880" spans="36:36" x14ac:dyDescent="0.35">
      <c r="AJ5880" s="213"/>
    </row>
    <row r="5881" spans="36:36" x14ac:dyDescent="0.35">
      <c r="AJ5881" s="213"/>
    </row>
    <row r="5882" spans="36:36" x14ac:dyDescent="0.35">
      <c r="AJ5882" s="213"/>
    </row>
    <row r="5883" spans="36:36" x14ac:dyDescent="0.35">
      <c r="AJ5883" s="213"/>
    </row>
    <row r="5884" spans="36:36" x14ac:dyDescent="0.35">
      <c r="AJ5884" s="213"/>
    </row>
    <row r="5885" spans="36:36" x14ac:dyDescent="0.35">
      <c r="AJ5885" s="213"/>
    </row>
    <row r="5886" spans="36:36" x14ac:dyDescent="0.35">
      <c r="AJ5886" s="213"/>
    </row>
    <row r="5887" spans="36:36" x14ac:dyDescent="0.35">
      <c r="AJ5887" s="213"/>
    </row>
    <row r="5888" spans="36:36" x14ac:dyDescent="0.35">
      <c r="AJ5888" s="213"/>
    </row>
    <row r="5889" spans="36:36" x14ac:dyDescent="0.35">
      <c r="AJ5889" s="213"/>
    </row>
    <row r="5890" spans="36:36" x14ac:dyDescent="0.35">
      <c r="AJ5890" s="213"/>
    </row>
    <row r="5891" spans="36:36" x14ac:dyDescent="0.35">
      <c r="AJ5891" s="213"/>
    </row>
    <row r="5892" spans="36:36" x14ac:dyDescent="0.35">
      <c r="AJ5892" s="213"/>
    </row>
    <row r="5893" spans="36:36" x14ac:dyDescent="0.35">
      <c r="AJ5893" s="213"/>
    </row>
    <row r="5894" spans="36:36" x14ac:dyDescent="0.35">
      <c r="AJ5894" s="213"/>
    </row>
    <row r="5895" spans="36:36" x14ac:dyDescent="0.35">
      <c r="AJ5895" s="213"/>
    </row>
    <row r="5896" spans="36:36" x14ac:dyDescent="0.35">
      <c r="AJ5896" s="213"/>
    </row>
    <row r="5897" spans="36:36" x14ac:dyDescent="0.35">
      <c r="AJ5897" s="213"/>
    </row>
    <row r="5898" spans="36:36" x14ac:dyDescent="0.35">
      <c r="AJ5898" s="213"/>
    </row>
    <row r="5899" spans="36:36" x14ac:dyDescent="0.35">
      <c r="AJ5899" s="213"/>
    </row>
    <row r="5900" spans="36:36" x14ac:dyDescent="0.35">
      <c r="AJ5900" s="213"/>
    </row>
    <row r="5901" spans="36:36" x14ac:dyDescent="0.35">
      <c r="AJ5901" s="213"/>
    </row>
    <row r="5902" spans="36:36" x14ac:dyDescent="0.35">
      <c r="AJ5902" s="213"/>
    </row>
    <row r="5903" spans="36:36" x14ac:dyDescent="0.35">
      <c r="AJ5903" s="213"/>
    </row>
    <row r="5904" spans="36:36" x14ac:dyDescent="0.35">
      <c r="AJ5904" s="213"/>
    </row>
    <row r="5905" spans="36:36" x14ac:dyDescent="0.35">
      <c r="AJ5905" s="213"/>
    </row>
    <row r="5906" spans="36:36" x14ac:dyDescent="0.35">
      <c r="AJ5906" s="213"/>
    </row>
    <row r="5907" spans="36:36" x14ac:dyDescent="0.35">
      <c r="AJ5907" s="213"/>
    </row>
    <row r="5908" spans="36:36" x14ac:dyDescent="0.35">
      <c r="AJ5908" s="213"/>
    </row>
    <row r="5909" spans="36:36" x14ac:dyDescent="0.35">
      <c r="AJ5909" s="213"/>
    </row>
    <row r="5910" spans="36:36" x14ac:dyDescent="0.35">
      <c r="AJ5910" s="213"/>
    </row>
    <row r="5911" spans="36:36" x14ac:dyDescent="0.35">
      <c r="AJ5911" s="213"/>
    </row>
    <row r="5912" spans="36:36" x14ac:dyDescent="0.35">
      <c r="AJ5912" s="213"/>
    </row>
    <row r="5913" spans="36:36" x14ac:dyDescent="0.35">
      <c r="AJ5913" s="213"/>
    </row>
    <row r="5914" spans="36:36" x14ac:dyDescent="0.35">
      <c r="AJ5914" s="213"/>
    </row>
    <row r="5915" spans="36:36" x14ac:dyDescent="0.35">
      <c r="AJ5915" s="213"/>
    </row>
    <row r="5916" spans="36:36" x14ac:dyDescent="0.35">
      <c r="AJ5916" s="213"/>
    </row>
    <row r="5917" spans="36:36" x14ac:dyDescent="0.35">
      <c r="AJ5917" s="213"/>
    </row>
    <row r="5918" spans="36:36" x14ac:dyDescent="0.35">
      <c r="AJ5918" s="213"/>
    </row>
    <row r="5919" spans="36:36" x14ac:dyDescent="0.35">
      <c r="AJ5919" s="213"/>
    </row>
    <row r="5920" spans="36:36" x14ac:dyDescent="0.35">
      <c r="AJ5920" s="213"/>
    </row>
    <row r="5921" spans="36:36" x14ac:dyDescent="0.35">
      <c r="AJ5921" s="213"/>
    </row>
    <row r="5922" spans="36:36" x14ac:dyDescent="0.35">
      <c r="AJ5922" s="213"/>
    </row>
    <row r="5923" spans="36:36" x14ac:dyDescent="0.35">
      <c r="AJ5923" s="213"/>
    </row>
    <row r="5924" spans="36:36" x14ac:dyDescent="0.35">
      <c r="AJ5924" s="213"/>
    </row>
    <row r="5925" spans="36:36" x14ac:dyDescent="0.35">
      <c r="AJ5925" s="213"/>
    </row>
    <row r="5926" spans="36:36" x14ac:dyDescent="0.35">
      <c r="AJ5926" s="213"/>
    </row>
    <row r="5927" spans="36:36" x14ac:dyDescent="0.35">
      <c r="AJ5927" s="213"/>
    </row>
    <row r="5928" spans="36:36" x14ac:dyDescent="0.35">
      <c r="AJ5928" s="213"/>
    </row>
    <row r="5929" spans="36:36" x14ac:dyDescent="0.35">
      <c r="AJ5929" s="213"/>
    </row>
    <row r="5930" spans="36:36" x14ac:dyDescent="0.35">
      <c r="AJ5930" s="213"/>
    </row>
    <row r="5931" spans="36:36" x14ac:dyDescent="0.35">
      <c r="AJ5931" s="213"/>
    </row>
    <row r="5932" spans="36:36" x14ac:dyDescent="0.35">
      <c r="AJ5932" s="213"/>
    </row>
    <row r="5933" spans="36:36" x14ac:dyDescent="0.35">
      <c r="AJ5933" s="213"/>
    </row>
    <row r="5934" spans="36:36" x14ac:dyDescent="0.35">
      <c r="AJ5934" s="213"/>
    </row>
    <row r="5935" spans="36:36" x14ac:dyDescent="0.35">
      <c r="AJ5935" s="213"/>
    </row>
    <row r="5936" spans="36:36" x14ac:dyDescent="0.35">
      <c r="AJ5936" s="213"/>
    </row>
    <row r="5937" spans="36:36" x14ac:dyDescent="0.35">
      <c r="AJ5937" s="213"/>
    </row>
    <row r="5938" spans="36:36" x14ac:dyDescent="0.35">
      <c r="AJ5938" s="213"/>
    </row>
    <row r="5939" spans="36:36" x14ac:dyDescent="0.35">
      <c r="AJ5939" s="213"/>
    </row>
    <row r="5940" spans="36:36" x14ac:dyDescent="0.35">
      <c r="AJ5940" s="213"/>
    </row>
    <row r="5941" spans="36:36" x14ac:dyDescent="0.35">
      <c r="AJ5941" s="213"/>
    </row>
    <row r="5942" spans="36:36" x14ac:dyDescent="0.35">
      <c r="AJ5942" s="213"/>
    </row>
    <row r="5943" spans="36:36" x14ac:dyDescent="0.35">
      <c r="AJ5943" s="213"/>
    </row>
    <row r="5944" spans="36:36" x14ac:dyDescent="0.35">
      <c r="AJ5944" s="213"/>
    </row>
    <row r="5945" spans="36:36" x14ac:dyDescent="0.35">
      <c r="AJ5945" s="213"/>
    </row>
    <row r="5946" spans="36:36" x14ac:dyDescent="0.35">
      <c r="AJ5946" s="213"/>
    </row>
    <row r="5947" spans="36:36" x14ac:dyDescent="0.35">
      <c r="AJ5947" s="213"/>
    </row>
    <row r="5948" spans="36:36" x14ac:dyDescent="0.35">
      <c r="AJ5948" s="213"/>
    </row>
    <row r="5949" spans="36:36" x14ac:dyDescent="0.35">
      <c r="AJ5949" s="213"/>
    </row>
    <row r="5950" spans="36:36" x14ac:dyDescent="0.35">
      <c r="AJ5950" s="213"/>
    </row>
    <row r="5951" spans="36:36" x14ac:dyDescent="0.35">
      <c r="AJ5951" s="213"/>
    </row>
    <row r="5952" spans="36:36" x14ac:dyDescent="0.35">
      <c r="AJ5952" s="213"/>
    </row>
    <row r="5953" spans="36:36" x14ac:dyDescent="0.35">
      <c r="AJ5953" s="213"/>
    </row>
    <row r="5954" spans="36:36" x14ac:dyDescent="0.35">
      <c r="AJ5954" s="213"/>
    </row>
    <row r="5955" spans="36:36" x14ac:dyDescent="0.35">
      <c r="AJ5955" s="213"/>
    </row>
    <row r="5956" spans="36:36" x14ac:dyDescent="0.35">
      <c r="AJ5956" s="213"/>
    </row>
    <row r="5957" spans="36:36" x14ac:dyDescent="0.35">
      <c r="AJ5957" s="213"/>
    </row>
    <row r="5958" spans="36:36" x14ac:dyDescent="0.35">
      <c r="AJ5958" s="213"/>
    </row>
    <row r="5959" spans="36:36" x14ac:dyDescent="0.35">
      <c r="AJ5959" s="213"/>
    </row>
    <row r="5960" spans="36:36" x14ac:dyDescent="0.35">
      <c r="AJ5960" s="213"/>
    </row>
    <row r="5961" spans="36:36" x14ac:dyDescent="0.35">
      <c r="AJ5961" s="213"/>
    </row>
    <row r="5962" spans="36:36" x14ac:dyDescent="0.35">
      <c r="AJ5962" s="213"/>
    </row>
    <row r="5963" spans="36:36" x14ac:dyDescent="0.35">
      <c r="AJ5963" s="213"/>
    </row>
    <row r="5964" spans="36:36" x14ac:dyDescent="0.35">
      <c r="AJ5964" s="213"/>
    </row>
    <row r="5965" spans="36:36" x14ac:dyDescent="0.35">
      <c r="AJ5965" s="213"/>
    </row>
    <row r="5966" spans="36:36" x14ac:dyDescent="0.35">
      <c r="AJ5966" s="213"/>
    </row>
    <row r="5967" spans="36:36" x14ac:dyDescent="0.35">
      <c r="AJ5967" s="213"/>
    </row>
    <row r="5968" spans="36:36" x14ac:dyDescent="0.35">
      <c r="AJ5968" s="213"/>
    </row>
    <row r="5969" spans="36:36" x14ac:dyDescent="0.35">
      <c r="AJ5969" s="213"/>
    </row>
    <row r="5970" spans="36:36" x14ac:dyDescent="0.35">
      <c r="AJ5970" s="213"/>
    </row>
    <row r="5971" spans="36:36" x14ac:dyDescent="0.35">
      <c r="AJ5971" s="213"/>
    </row>
    <row r="5972" spans="36:36" x14ac:dyDescent="0.35">
      <c r="AJ5972" s="213"/>
    </row>
    <row r="5973" spans="36:36" x14ac:dyDescent="0.35">
      <c r="AJ5973" s="213"/>
    </row>
    <row r="5974" spans="36:36" x14ac:dyDescent="0.35">
      <c r="AJ5974" s="213"/>
    </row>
    <row r="5975" spans="36:36" x14ac:dyDescent="0.35">
      <c r="AJ5975" s="213"/>
    </row>
    <row r="5976" spans="36:36" x14ac:dyDescent="0.35">
      <c r="AJ5976" s="213"/>
    </row>
    <row r="5977" spans="36:36" x14ac:dyDescent="0.35">
      <c r="AJ5977" s="213"/>
    </row>
    <row r="5978" spans="36:36" x14ac:dyDescent="0.35">
      <c r="AJ5978" s="213"/>
    </row>
    <row r="5979" spans="36:36" x14ac:dyDescent="0.35">
      <c r="AJ5979" s="213"/>
    </row>
    <row r="5980" spans="36:36" x14ac:dyDescent="0.35">
      <c r="AJ5980" s="213"/>
    </row>
    <row r="5981" spans="36:36" x14ac:dyDescent="0.35">
      <c r="AJ5981" s="213"/>
    </row>
    <row r="5982" spans="36:36" x14ac:dyDescent="0.35">
      <c r="AJ5982" s="213"/>
    </row>
    <row r="5983" spans="36:36" x14ac:dyDescent="0.35">
      <c r="AJ5983" s="213"/>
    </row>
    <row r="5984" spans="36:36" x14ac:dyDescent="0.35">
      <c r="AJ5984" s="213"/>
    </row>
    <row r="5985" spans="36:36" x14ac:dyDescent="0.35">
      <c r="AJ5985" s="213"/>
    </row>
    <row r="5986" spans="36:36" x14ac:dyDescent="0.35">
      <c r="AJ5986" s="213"/>
    </row>
    <row r="5987" spans="36:36" x14ac:dyDescent="0.35">
      <c r="AJ5987" s="213"/>
    </row>
    <row r="5988" spans="36:36" x14ac:dyDescent="0.35">
      <c r="AJ5988" s="213"/>
    </row>
    <row r="5989" spans="36:36" x14ac:dyDescent="0.35">
      <c r="AJ5989" s="213"/>
    </row>
    <row r="5990" spans="36:36" x14ac:dyDescent="0.35">
      <c r="AJ5990" s="213"/>
    </row>
    <row r="5991" spans="36:36" x14ac:dyDescent="0.35">
      <c r="AJ5991" s="213"/>
    </row>
    <row r="5992" spans="36:36" x14ac:dyDescent="0.35">
      <c r="AJ5992" s="213"/>
    </row>
    <row r="5993" spans="36:36" x14ac:dyDescent="0.35">
      <c r="AJ5993" s="213"/>
    </row>
    <row r="5994" spans="36:36" x14ac:dyDescent="0.35">
      <c r="AJ5994" s="213"/>
    </row>
    <row r="5995" spans="36:36" x14ac:dyDescent="0.35">
      <c r="AJ5995" s="213"/>
    </row>
    <row r="5996" spans="36:36" x14ac:dyDescent="0.35">
      <c r="AJ5996" s="213"/>
    </row>
    <row r="5997" spans="36:36" x14ac:dyDescent="0.35">
      <c r="AJ5997" s="213"/>
    </row>
    <row r="5998" spans="36:36" x14ac:dyDescent="0.35">
      <c r="AJ5998" s="213"/>
    </row>
    <row r="5999" spans="36:36" x14ac:dyDescent="0.35">
      <c r="AJ5999" s="213"/>
    </row>
    <row r="6000" spans="36:36" x14ac:dyDescent="0.35">
      <c r="AJ6000" s="213"/>
    </row>
    <row r="6001" spans="36:36" x14ac:dyDescent="0.35">
      <c r="AJ6001" s="213"/>
    </row>
    <row r="6002" spans="36:36" x14ac:dyDescent="0.35">
      <c r="AJ6002" s="213"/>
    </row>
    <row r="6003" spans="36:36" x14ac:dyDescent="0.35">
      <c r="AJ6003" s="213"/>
    </row>
    <row r="6004" spans="36:36" x14ac:dyDescent="0.35">
      <c r="AJ6004" s="213"/>
    </row>
    <row r="6005" spans="36:36" x14ac:dyDescent="0.35">
      <c r="AJ6005" s="213"/>
    </row>
    <row r="6006" spans="36:36" x14ac:dyDescent="0.35">
      <c r="AJ6006" s="213"/>
    </row>
    <row r="6007" spans="36:36" x14ac:dyDescent="0.35">
      <c r="AJ6007" s="213"/>
    </row>
    <row r="6008" spans="36:36" x14ac:dyDescent="0.35">
      <c r="AJ6008" s="213"/>
    </row>
    <row r="6009" spans="36:36" x14ac:dyDescent="0.35">
      <c r="AJ6009" s="213"/>
    </row>
    <row r="6010" spans="36:36" x14ac:dyDescent="0.35">
      <c r="AJ6010" s="213"/>
    </row>
    <row r="6011" spans="36:36" x14ac:dyDescent="0.35">
      <c r="AJ6011" s="213"/>
    </row>
    <row r="6012" spans="36:36" x14ac:dyDescent="0.35">
      <c r="AJ6012" s="213"/>
    </row>
    <row r="6013" spans="36:36" x14ac:dyDescent="0.35">
      <c r="AJ6013" s="213"/>
    </row>
    <row r="6014" spans="36:36" x14ac:dyDescent="0.35">
      <c r="AJ6014" s="213"/>
    </row>
    <row r="6015" spans="36:36" x14ac:dyDescent="0.35">
      <c r="AJ6015" s="213"/>
    </row>
    <row r="6016" spans="36:36" x14ac:dyDescent="0.35">
      <c r="AJ6016" s="213"/>
    </row>
    <row r="6017" spans="36:36" x14ac:dyDescent="0.35">
      <c r="AJ6017" s="213"/>
    </row>
    <row r="6018" spans="36:36" x14ac:dyDescent="0.35">
      <c r="AJ6018" s="213"/>
    </row>
    <row r="6019" spans="36:36" x14ac:dyDescent="0.35">
      <c r="AJ6019" s="213"/>
    </row>
    <row r="6020" spans="36:36" x14ac:dyDescent="0.35">
      <c r="AJ6020" s="213"/>
    </row>
    <row r="6021" spans="36:36" x14ac:dyDescent="0.35">
      <c r="AJ6021" s="213"/>
    </row>
    <row r="6022" spans="36:36" x14ac:dyDescent="0.35">
      <c r="AJ6022" s="213"/>
    </row>
    <row r="6023" spans="36:36" x14ac:dyDescent="0.35">
      <c r="AJ6023" s="213"/>
    </row>
    <row r="6024" spans="36:36" x14ac:dyDescent="0.35">
      <c r="AJ6024" s="213"/>
    </row>
    <row r="6025" spans="36:36" x14ac:dyDescent="0.35">
      <c r="AJ6025" s="213"/>
    </row>
    <row r="6026" spans="36:36" x14ac:dyDescent="0.35">
      <c r="AJ6026" s="213"/>
    </row>
    <row r="6027" spans="36:36" x14ac:dyDescent="0.35">
      <c r="AJ6027" s="213"/>
    </row>
    <row r="6028" spans="36:36" x14ac:dyDescent="0.35">
      <c r="AJ6028" s="213"/>
    </row>
    <row r="6029" spans="36:36" x14ac:dyDescent="0.35">
      <c r="AJ6029" s="213"/>
    </row>
    <row r="6030" spans="36:36" x14ac:dyDescent="0.35">
      <c r="AJ6030" s="213"/>
    </row>
    <row r="6031" spans="36:36" x14ac:dyDescent="0.35">
      <c r="AJ6031" s="213"/>
    </row>
    <row r="6032" spans="36:36" x14ac:dyDescent="0.35">
      <c r="AJ6032" s="213"/>
    </row>
    <row r="6033" spans="36:36" x14ac:dyDescent="0.35">
      <c r="AJ6033" s="213"/>
    </row>
    <row r="6034" spans="36:36" x14ac:dyDescent="0.35">
      <c r="AJ6034" s="213"/>
    </row>
    <row r="6035" spans="36:36" x14ac:dyDescent="0.35">
      <c r="AJ6035" s="213"/>
    </row>
    <row r="6036" spans="36:36" x14ac:dyDescent="0.35">
      <c r="AJ6036" s="213"/>
    </row>
    <row r="6037" spans="36:36" x14ac:dyDescent="0.35">
      <c r="AJ6037" s="213"/>
    </row>
    <row r="6038" spans="36:36" x14ac:dyDescent="0.35">
      <c r="AJ6038" s="213"/>
    </row>
    <row r="6039" spans="36:36" x14ac:dyDescent="0.35">
      <c r="AJ6039" s="213"/>
    </row>
    <row r="6040" spans="36:36" x14ac:dyDescent="0.35">
      <c r="AJ6040" s="213"/>
    </row>
    <row r="6041" spans="36:36" x14ac:dyDescent="0.35">
      <c r="AJ6041" s="213"/>
    </row>
    <row r="6042" spans="36:36" x14ac:dyDescent="0.35">
      <c r="AJ6042" s="213"/>
    </row>
    <row r="6043" spans="36:36" x14ac:dyDescent="0.35">
      <c r="AJ6043" s="213"/>
    </row>
    <row r="6044" spans="36:36" x14ac:dyDescent="0.35">
      <c r="AJ6044" s="213"/>
    </row>
    <row r="6045" spans="36:36" x14ac:dyDescent="0.35">
      <c r="AJ6045" s="213"/>
    </row>
    <row r="6046" spans="36:36" x14ac:dyDescent="0.35">
      <c r="AJ6046" s="213"/>
    </row>
    <row r="6047" spans="36:36" x14ac:dyDescent="0.35">
      <c r="AJ6047" s="213"/>
    </row>
    <row r="6048" spans="36:36" x14ac:dyDescent="0.35">
      <c r="AJ6048" s="213"/>
    </row>
    <row r="6049" spans="36:36" x14ac:dyDescent="0.35">
      <c r="AJ6049" s="213"/>
    </row>
    <row r="6050" spans="36:36" x14ac:dyDescent="0.35">
      <c r="AJ6050" s="213"/>
    </row>
    <row r="6051" spans="36:36" x14ac:dyDescent="0.35">
      <c r="AJ6051" s="213"/>
    </row>
    <row r="6052" spans="36:36" x14ac:dyDescent="0.35">
      <c r="AJ6052" s="213"/>
    </row>
    <row r="6053" spans="36:36" x14ac:dyDescent="0.35">
      <c r="AJ6053" s="213"/>
    </row>
    <row r="6054" spans="36:36" x14ac:dyDescent="0.35">
      <c r="AJ6054" s="213"/>
    </row>
    <row r="6055" spans="36:36" x14ac:dyDescent="0.35">
      <c r="AJ6055" s="213"/>
    </row>
    <row r="6056" spans="36:36" x14ac:dyDescent="0.35">
      <c r="AJ6056" s="213"/>
    </row>
    <row r="6057" spans="36:36" x14ac:dyDescent="0.35">
      <c r="AJ6057" s="213"/>
    </row>
    <row r="6058" spans="36:36" x14ac:dyDescent="0.35">
      <c r="AJ6058" s="213"/>
    </row>
    <row r="6059" spans="36:36" x14ac:dyDescent="0.35">
      <c r="AJ6059" s="213"/>
    </row>
    <row r="6060" spans="36:36" x14ac:dyDescent="0.35">
      <c r="AJ6060" s="213"/>
    </row>
    <row r="6061" spans="36:36" x14ac:dyDescent="0.35">
      <c r="AJ6061" s="213"/>
    </row>
    <row r="6062" spans="36:36" x14ac:dyDescent="0.35">
      <c r="AJ6062" s="213"/>
    </row>
    <row r="6063" spans="36:36" x14ac:dyDescent="0.35">
      <c r="AJ6063" s="213"/>
    </row>
    <row r="6064" spans="36:36" x14ac:dyDescent="0.35">
      <c r="AJ6064" s="213"/>
    </row>
    <row r="6065" spans="36:36" x14ac:dyDescent="0.35">
      <c r="AJ6065" s="213"/>
    </row>
    <row r="6066" spans="36:36" x14ac:dyDescent="0.35">
      <c r="AJ6066" s="213"/>
    </row>
    <row r="6067" spans="36:36" x14ac:dyDescent="0.35">
      <c r="AJ6067" s="213"/>
    </row>
    <row r="6068" spans="36:36" x14ac:dyDescent="0.35">
      <c r="AJ6068" s="213"/>
    </row>
    <row r="6069" spans="36:36" x14ac:dyDescent="0.35">
      <c r="AJ6069" s="213"/>
    </row>
    <row r="6070" spans="36:36" x14ac:dyDescent="0.35">
      <c r="AJ6070" s="213"/>
    </row>
    <row r="6071" spans="36:36" x14ac:dyDescent="0.35">
      <c r="AJ6071" s="213"/>
    </row>
    <row r="6072" spans="36:36" x14ac:dyDescent="0.35">
      <c r="AJ6072" s="213"/>
    </row>
    <row r="6073" spans="36:36" x14ac:dyDescent="0.35">
      <c r="AJ6073" s="213"/>
    </row>
    <row r="6074" spans="36:36" x14ac:dyDescent="0.35">
      <c r="AJ6074" s="213"/>
    </row>
    <row r="6075" spans="36:36" x14ac:dyDescent="0.35">
      <c r="AJ6075" s="213"/>
    </row>
    <row r="6076" spans="36:36" x14ac:dyDescent="0.35">
      <c r="AJ6076" s="213"/>
    </row>
    <row r="6077" spans="36:36" x14ac:dyDescent="0.35">
      <c r="AJ6077" s="213"/>
    </row>
    <row r="6078" spans="36:36" x14ac:dyDescent="0.35">
      <c r="AJ6078" s="213"/>
    </row>
    <row r="6079" spans="36:36" x14ac:dyDescent="0.35">
      <c r="AJ6079" s="213"/>
    </row>
    <row r="6080" spans="36:36" x14ac:dyDescent="0.35">
      <c r="AJ6080" s="213"/>
    </row>
    <row r="6081" spans="36:36" x14ac:dyDescent="0.35">
      <c r="AJ6081" s="213"/>
    </row>
    <row r="6082" spans="36:36" x14ac:dyDescent="0.35">
      <c r="AJ6082" s="213"/>
    </row>
    <row r="6083" spans="36:36" x14ac:dyDescent="0.35">
      <c r="AJ6083" s="213"/>
    </row>
    <row r="6084" spans="36:36" x14ac:dyDescent="0.35">
      <c r="AJ6084" s="213"/>
    </row>
    <row r="6085" spans="36:36" x14ac:dyDescent="0.35">
      <c r="AJ6085" s="213"/>
    </row>
    <row r="6086" spans="36:36" x14ac:dyDescent="0.35">
      <c r="AJ6086" s="213"/>
    </row>
    <row r="6087" spans="36:36" x14ac:dyDescent="0.35">
      <c r="AJ6087" s="213"/>
    </row>
    <row r="6088" spans="36:36" x14ac:dyDescent="0.35">
      <c r="AJ6088" s="213"/>
    </row>
    <row r="6089" spans="36:36" x14ac:dyDescent="0.35">
      <c r="AJ6089" s="213"/>
    </row>
    <row r="6090" spans="36:36" x14ac:dyDescent="0.35">
      <c r="AJ6090" s="213"/>
    </row>
    <row r="6091" spans="36:36" x14ac:dyDescent="0.35">
      <c r="AJ6091" s="213"/>
    </row>
    <row r="6092" spans="36:36" x14ac:dyDescent="0.35">
      <c r="AJ6092" s="213"/>
    </row>
    <row r="6093" spans="36:36" x14ac:dyDescent="0.35">
      <c r="AJ6093" s="213"/>
    </row>
    <row r="6094" spans="36:36" x14ac:dyDescent="0.35">
      <c r="AJ6094" s="213"/>
    </row>
    <row r="6095" spans="36:36" x14ac:dyDescent="0.35">
      <c r="AJ6095" s="213"/>
    </row>
    <row r="6096" spans="36:36" x14ac:dyDescent="0.35">
      <c r="AJ6096" s="213"/>
    </row>
    <row r="6097" spans="36:36" x14ac:dyDescent="0.35">
      <c r="AJ6097" s="213"/>
    </row>
    <row r="6098" spans="36:36" x14ac:dyDescent="0.35">
      <c r="AJ6098" s="213"/>
    </row>
    <row r="6099" spans="36:36" x14ac:dyDescent="0.35">
      <c r="AJ6099" s="213"/>
    </row>
    <row r="6100" spans="36:36" x14ac:dyDescent="0.35">
      <c r="AJ6100" s="213"/>
    </row>
    <row r="6101" spans="36:36" x14ac:dyDescent="0.35">
      <c r="AJ6101" s="213"/>
    </row>
    <row r="6102" spans="36:36" x14ac:dyDescent="0.35">
      <c r="AJ6102" s="213"/>
    </row>
    <row r="6103" spans="36:36" x14ac:dyDescent="0.35">
      <c r="AJ6103" s="213"/>
    </row>
    <row r="6104" spans="36:36" x14ac:dyDescent="0.35">
      <c r="AJ6104" s="213"/>
    </row>
    <row r="6105" spans="36:36" x14ac:dyDescent="0.35">
      <c r="AJ6105" s="213"/>
    </row>
    <row r="6106" spans="36:36" x14ac:dyDescent="0.35">
      <c r="AJ6106" s="213"/>
    </row>
    <row r="6107" spans="36:36" x14ac:dyDescent="0.35">
      <c r="AJ6107" s="213"/>
    </row>
    <row r="6108" spans="36:36" x14ac:dyDescent="0.35">
      <c r="AJ6108" s="213"/>
    </row>
    <row r="6109" spans="36:36" x14ac:dyDescent="0.35">
      <c r="AJ6109" s="213"/>
    </row>
    <row r="6110" spans="36:36" x14ac:dyDescent="0.35">
      <c r="AJ6110" s="213"/>
    </row>
    <row r="6111" spans="36:36" x14ac:dyDescent="0.35">
      <c r="AJ6111" s="213"/>
    </row>
    <row r="6112" spans="36:36" x14ac:dyDescent="0.35">
      <c r="AJ6112" s="213"/>
    </row>
    <row r="6113" spans="36:36" x14ac:dyDescent="0.35">
      <c r="AJ6113" s="213"/>
    </row>
    <row r="6114" spans="36:36" x14ac:dyDescent="0.35">
      <c r="AJ6114" s="213"/>
    </row>
    <row r="6115" spans="36:36" x14ac:dyDescent="0.35">
      <c r="AJ6115" s="213"/>
    </row>
    <row r="6116" spans="36:36" x14ac:dyDescent="0.35">
      <c r="AJ6116" s="213"/>
    </row>
    <row r="6117" spans="36:36" x14ac:dyDescent="0.35">
      <c r="AJ6117" s="213"/>
    </row>
    <row r="6118" spans="36:36" x14ac:dyDescent="0.35">
      <c r="AJ6118" s="213"/>
    </row>
    <row r="6119" spans="36:36" x14ac:dyDescent="0.35">
      <c r="AJ6119" s="213"/>
    </row>
    <row r="6120" spans="36:36" x14ac:dyDescent="0.35">
      <c r="AJ6120" s="213"/>
    </row>
    <row r="6121" spans="36:36" x14ac:dyDescent="0.35">
      <c r="AJ6121" s="213"/>
    </row>
    <row r="6122" spans="36:36" x14ac:dyDescent="0.35">
      <c r="AJ6122" s="213"/>
    </row>
    <row r="6123" spans="36:36" x14ac:dyDescent="0.35">
      <c r="AJ6123" s="213"/>
    </row>
    <row r="6124" spans="36:36" x14ac:dyDescent="0.35">
      <c r="AJ6124" s="213"/>
    </row>
    <row r="6125" spans="36:36" x14ac:dyDescent="0.35">
      <c r="AJ6125" s="213"/>
    </row>
    <row r="6126" spans="36:36" x14ac:dyDescent="0.35">
      <c r="AJ6126" s="213"/>
    </row>
    <row r="6127" spans="36:36" x14ac:dyDescent="0.35">
      <c r="AJ6127" s="213"/>
    </row>
    <row r="6128" spans="36:36" x14ac:dyDescent="0.35">
      <c r="AJ6128" s="213"/>
    </row>
    <row r="6129" spans="36:36" x14ac:dyDescent="0.35">
      <c r="AJ6129" s="213"/>
    </row>
    <row r="6130" spans="36:36" x14ac:dyDescent="0.35">
      <c r="AJ6130" s="213"/>
    </row>
    <row r="6131" spans="36:36" x14ac:dyDescent="0.35">
      <c r="AJ6131" s="213"/>
    </row>
    <row r="6132" spans="36:36" x14ac:dyDescent="0.35">
      <c r="AJ6132" s="213"/>
    </row>
    <row r="6133" spans="36:36" x14ac:dyDescent="0.35">
      <c r="AJ6133" s="213"/>
    </row>
    <row r="6134" spans="36:36" x14ac:dyDescent="0.35">
      <c r="AJ6134" s="213"/>
    </row>
    <row r="6135" spans="36:36" x14ac:dyDescent="0.35">
      <c r="AJ6135" s="213"/>
    </row>
    <row r="6136" spans="36:36" x14ac:dyDescent="0.35">
      <c r="AJ6136" s="213"/>
    </row>
    <row r="6137" spans="36:36" x14ac:dyDescent="0.35">
      <c r="AJ6137" s="213"/>
    </row>
    <row r="6138" spans="36:36" x14ac:dyDescent="0.35">
      <c r="AJ6138" s="213"/>
    </row>
    <row r="6139" spans="36:36" x14ac:dyDescent="0.35">
      <c r="AJ6139" s="213"/>
    </row>
    <row r="6140" spans="36:36" x14ac:dyDescent="0.35">
      <c r="AJ6140" s="213"/>
    </row>
    <row r="6141" spans="36:36" x14ac:dyDescent="0.35">
      <c r="AJ6141" s="213"/>
    </row>
    <row r="6142" spans="36:36" x14ac:dyDescent="0.35">
      <c r="AJ6142" s="213"/>
    </row>
    <row r="6143" spans="36:36" x14ac:dyDescent="0.35">
      <c r="AJ6143" s="213"/>
    </row>
    <row r="6144" spans="36:36" x14ac:dyDescent="0.35">
      <c r="AJ6144" s="213"/>
    </row>
    <row r="6145" spans="36:36" x14ac:dyDescent="0.35">
      <c r="AJ6145" s="213"/>
    </row>
    <row r="6146" spans="36:36" x14ac:dyDescent="0.35">
      <c r="AJ6146" s="213"/>
    </row>
    <row r="6147" spans="36:36" x14ac:dyDescent="0.35">
      <c r="AJ6147" s="213"/>
    </row>
    <row r="6148" spans="36:36" x14ac:dyDescent="0.35">
      <c r="AJ6148" s="213"/>
    </row>
    <row r="6149" spans="36:36" x14ac:dyDescent="0.35">
      <c r="AJ6149" s="213"/>
    </row>
    <row r="6150" spans="36:36" x14ac:dyDescent="0.35">
      <c r="AJ6150" s="213"/>
    </row>
    <row r="6151" spans="36:36" x14ac:dyDescent="0.35">
      <c r="AJ6151" s="213"/>
    </row>
    <row r="6152" spans="36:36" x14ac:dyDescent="0.35">
      <c r="AJ6152" s="213"/>
    </row>
    <row r="6153" spans="36:36" x14ac:dyDescent="0.35">
      <c r="AJ6153" s="213"/>
    </row>
    <row r="6154" spans="36:36" x14ac:dyDescent="0.35">
      <c r="AJ6154" s="213"/>
    </row>
    <row r="6155" spans="36:36" x14ac:dyDescent="0.35">
      <c r="AJ6155" s="213"/>
    </row>
    <row r="6156" spans="36:36" x14ac:dyDescent="0.35">
      <c r="AJ6156" s="213"/>
    </row>
    <row r="6157" spans="36:36" x14ac:dyDescent="0.35">
      <c r="AJ6157" s="213"/>
    </row>
    <row r="6158" spans="36:36" x14ac:dyDescent="0.35">
      <c r="AJ6158" s="213"/>
    </row>
    <row r="6159" spans="36:36" x14ac:dyDescent="0.35">
      <c r="AJ6159" s="213"/>
    </row>
    <row r="6160" spans="36:36" x14ac:dyDescent="0.35">
      <c r="AJ6160" s="213"/>
    </row>
    <row r="6161" spans="36:36" x14ac:dyDescent="0.35">
      <c r="AJ6161" s="213"/>
    </row>
    <row r="6162" spans="36:36" x14ac:dyDescent="0.35">
      <c r="AJ6162" s="213"/>
    </row>
    <row r="6163" spans="36:36" x14ac:dyDescent="0.35">
      <c r="AJ6163" s="213"/>
    </row>
    <row r="6164" spans="36:36" x14ac:dyDescent="0.35">
      <c r="AJ6164" s="213"/>
    </row>
    <row r="6165" spans="36:36" x14ac:dyDescent="0.35">
      <c r="AJ6165" s="213"/>
    </row>
    <row r="6166" spans="36:36" x14ac:dyDescent="0.35">
      <c r="AJ6166" s="213"/>
    </row>
    <row r="6167" spans="36:36" x14ac:dyDescent="0.35">
      <c r="AJ6167" s="213"/>
    </row>
    <row r="6168" spans="36:36" x14ac:dyDescent="0.35">
      <c r="AJ6168" s="213"/>
    </row>
    <row r="6169" spans="36:36" x14ac:dyDescent="0.35">
      <c r="AJ6169" s="213"/>
    </row>
    <row r="6170" spans="36:36" x14ac:dyDescent="0.35">
      <c r="AJ6170" s="213"/>
    </row>
    <row r="6171" spans="36:36" x14ac:dyDescent="0.35">
      <c r="AJ6171" s="213"/>
    </row>
    <row r="6172" spans="36:36" x14ac:dyDescent="0.35">
      <c r="AJ6172" s="213"/>
    </row>
    <row r="6173" spans="36:36" x14ac:dyDescent="0.35">
      <c r="AJ6173" s="213"/>
    </row>
    <row r="6174" spans="36:36" x14ac:dyDescent="0.35">
      <c r="AJ6174" s="213"/>
    </row>
    <row r="6175" spans="36:36" x14ac:dyDescent="0.35">
      <c r="AJ6175" s="213"/>
    </row>
    <row r="6176" spans="36:36" x14ac:dyDescent="0.35">
      <c r="AJ6176" s="213"/>
    </row>
    <row r="6177" spans="36:36" x14ac:dyDescent="0.35">
      <c r="AJ6177" s="213"/>
    </row>
    <row r="6178" spans="36:36" x14ac:dyDescent="0.35">
      <c r="AJ6178" s="213"/>
    </row>
    <row r="6179" spans="36:36" x14ac:dyDescent="0.35">
      <c r="AJ6179" s="213"/>
    </row>
    <row r="6180" spans="36:36" x14ac:dyDescent="0.35">
      <c r="AJ6180" s="213"/>
    </row>
    <row r="6181" spans="36:36" x14ac:dyDescent="0.35">
      <c r="AJ6181" s="213"/>
    </row>
    <row r="6182" spans="36:36" x14ac:dyDescent="0.35">
      <c r="AJ6182" s="213"/>
    </row>
    <row r="6183" spans="36:36" x14ac:dyDescent="0.35">
      <c r="AJ6183" s="213"/>
    </row>
    <row r="6184" spans="36:36" x14ac:dyDescent="0.35">
      <c r="AJ6184" s="213"/>
    </row>
    <row r="6185" spans="36:36" x14ac:dyDescent="0.35">
      <c r="AJ6185" s="213"/>
    </row>
    <row r="6186" spans="36:36" x14ac:dyDescent="0.35">
      <c r="AJ6186" s="213"/>
    </row>
    <row r="6187" spans="36:36" x14ac:dyDescent="0.35">
      <c r="AJ6187" s="213"/>
    </row>
    <row r="6188" spans="36:36" x14ac:dyDescent="0.35">
      <c r="AJ6188" s="213"/>
    </row>
    <row r="6189" spans="36:36" x14ac:dyDescent="0.35">
      <c r="AJ6189" s="213"/>
    </row>
    <row r="6190" spans="36:36" x14ac:dyDescent="0.35">
      <c r="AJ6190" s="213"/>
    </row>
    <row r="6191" spans="36:36" x14ac:dyDescent="0.35">
      <c r="AJ6191" s="213"/>
    </row>
    <row r="6192" spans="36:36" x14ac:dyDescent="0.35">
      <c r="AJ6192" s="213"/>
    </row>
    <row r="6193" spans="36:36" x14ac:dyDescent="0.35">
      <c r="AJ6193" s="213"/>
    </row>
    <row r="6194" spans="36:36" x14ac:dyDescent="0.35">
      <c r="AJ6194" s="213"/>
    </row>
    <row r="6195" spans="36:36" x14ac:dyDescent="0.35">
      <c r="AJ6195" s="213"/>
    </row>
    <row r="6196" spans="36:36" x14ac:dyDescent="0.35">
      <c r="AJ6196" s="213"/>
    </row>
    <row r="6197" spans="36:36" x14ac:dyDescent="0.35">
      <c r="AJ6197" s="213"/>
    </row>
    <row r="6198" spans="36:36" x14ac:dyDescent="0.35">
      <c r="AJ6198" s="213"/>
    </row>
    <row r="6199" spans="36:36" x14ac:dyDescent="0.35">
      <c r="AJ6199" s="213"/>
    </row>
    <row r="6200" spans="36:36" x14ac:dyDescent="0.35">
      <c r="AJ6200" s="213"/>
    </row>
    <row r="6201" spans="36:36" x14ac:dyDescent="0.35">
      <c r="AJ6201" s="213"/>
    </row>
    <row r="6202" spans="36:36" x14ac:dyDescent="0.35">
      <c r="AJ6202" s="213"/>
    </row>
    <row r="6203" spans="36:36" x14ac:dyDescent="0.35">
      <c r="AJ6203" s="213"/>
    </row>
    <row r="6204" spans="36:36" x14ac:dyDescent="0.35">
      <c r="AJ6204" s="213"/>
    </row>
    <row r="6205" spans="36:36" x14ac:dyDescent="0.35">
      <c r="AJ6205" s="213"/>
    </row>
    <row r="6206" spans="36:36" x14ac:dyDescent="0.35">
      <c r="AJ6206" s="213"/>
    </row>
    <row r="6207" spans="36:36" x14ac:dyDescent="0.35">
      <c r="AJ6207" s="213"/>
    </row>
    <row r="6208" spans="36:36" x14ac:dyDescent="0.35">
      <c r="AJ6208" s="213"/>
    </row>
    <row r="6209" spans="36:36" x14ac:dyDescent="0.35">
      <c r="AJ6209" s="213"/>
    </row>
    <row r="6210" spans="36:36" x14ac:dyDescent="0.35">
      <c r="AJ6210" s="213"/>
    </row>
    <row r="6211" spans="36:36" x14ac:dyDescent="0.35">
      <c r="AJ6211" s="213"/>
    </row>
    <row r="6212" spans="36:36" x14ac:dyDescent="0.35">
      <c r="AJ6212" s="213"/>
    </row>
    <row r="6213" spans="36:36" x14ac:dyDescent="0.35">
      <c r="AJ6213" s="213"/>
    </row>
    <row r="6214" spans="36:36" x14ac:dyDescent="0.35">
      <c r="AJ6214" s="213"/>
    </row>
    <row r="6215" spans="36:36" x14ac:dyDescent="0.35">
      <c r="AJ6215" s="213"/>
    </row>
    <row r="6216" spans="36:36" x14ac:dyDescent="0.35">
      <c r="AJ6216" s="213"/>
    </row>
    <row r="6217" spans="36:36" x14ac:dyDescent="0.35">
      <c r="AJ6217" s="213"/>
    </row>
    <row r="6218" spans="36:36" x14ac:dyDescent="0.35">
      <c r="AJ6218" s="213"/>
    </row>
    <row r="6219" spans="36:36" x14ac:dyDescent="0.35">
      <c r="AJ6219" s="213"/>
    </row>
    <row r="6220" spans="36:36" x14ac:dyDescent="0.35">
      <c r="AJ6220" s="213"/>
    </row>
    <row r="6221" spans="36:36" x14ac:dyDescent="0.35">
      <c r="AJ6221" s="213"/>
    </row>
    <row r="6222" spans="36:36" x14ac:dyDescent="0.35">
      <c r="AJ6222" s="213"/>
    </row>
    <row r="6223" spans="36:36" x14ac:dyDescent="0.35">
      <c r="AJ6223" s="213"/>
    </row>
    <row r="6224" spans="36:36" x14ac:dyDescent="0.35">
      <c r="AJ6224" s="213"/>
    </row>
    <row r="6225" spans="36:36" x14ac:dyDescent="0.35">
      <c r="AJ6225" s="213"/>
    </row>
    <row r="6226" spans="36:36" x14ac:dyDescent="0.35">
      <c r="AJ6226" s="213"/>
    </row>
    <row r="6227" spans="36:36" x14ac:dyDescent="0.35">
      <c r="AJ6227" s="213"/>
    </row>
    <row r="6228" spans="36:36" x14ac:dyDescent="0.35">
      <c r="AJ6228" s="213"/>
    </row>
    <row r="6229" spans="36:36" x14ac:dyDescent="0.35">
      <c r="AJ6229" s="213"/>
    </row>
    <row r="6230" spans="36:36" x14ac:dyDescent="0.35">
      <c r="AJ6230" s="213"/>
    </row>
    <row r="6231" spans="36:36" x14ac:dyDescent="0.35">
      <c r="AJ6231" s="213"/>
    </row>
    <row r="6232" spans="36:36" x14ac:dyDescent="0.35">
      <c r="AJ6232" s="213"/>
    </row>
    <row r="6233" spans="36:36" x14ac:dyDescent="0.35">
      <c r="AJ6233" s="213"/>
    </row>
    <row r="6234" spans="36:36" x14ac:dyDescent="0.35">
      <c r="AJ6234" s="213"/>
    </row>
    <row r="6235" spans="36:36" x14ac:dyDescent="0.35">
      <c r="AJ6235" s="213"/>
    </row>
    <row r="6236" spans="36:36" x14ac:dyDescent="0.35">
      <c r="AJ6236" s="213"/>
    </row>
    <row r="6237" spans="36:36" x14ac:dyDescent="0.35">
      <c r="AJ6237" s="213"/>
    </row>
    <row r="6238" spans="36:36" x14ac:dyDescent="0.35">
      <c r="AJ6238" s="213"/>
    </row>
    <row r="6239" spans="36:36" x14ac:dyDescent="0.35">
      <c r="AJ6239" s="213"/>
    </row>
    <row r="6240" spans="36:36" x14ac:dyDescent="0.35">
      <c r="AJ6240" s="213"/>
    </row>
    <row r="6241" spans="36:36" x14ac:dyDescent="0.35">
      <c r="AJ6241" s="213"/>
    </row>
    <row r="6242" spans="36:36" x14ac:dyDescent="0.35">
      <c r="AJ6242" s="213"/>
    </row>
    <row r="6243" spans="36:36" x14ac:dyDescent="0.35">
      <c r="AJ6243" s="213"/>
    </row>
    <row r="6244" spans="36:36" x14ac:dyDescent="0.35">
      <c r="AJ6244" s="213"/>
    </row>
    <row r="6245" spans="36:36" x14ac:dyDescent="0.35">
      <c r="AJ6245" s="213"/>
    </row>
    <row r="6246" spans="36:36" x14ac:dyDescent="0.35">
      <c r="AJ6246" s="213"/>
    </row>
    <row r="6247" spans="36:36" x14ac:dyDescent="0.35">
      <c r="AJ6247" s="213"/>
    </row>
    <row r="6248" spans="36:36" x14ac:dyDescent="0.35">
      <c r="AJ6248" s="213"/>
    </row>
    <row r="6249" spans="36:36" x14ac:dyDescent="0.35">
      <c r="AJ6249" s="213"/>
    </row>
    <row r="6250" spans="36:36" x14ac:dyDescent="0.35">
      <c r="AJ6250" s="213"/>
    </row>
    <row r="6251" spans="36:36" x14ac:dyDescent="0.35">
      <c r="AJ6251" s="213"/>
    </row>
    <row r="6252" spans="36:36" x14ac:dyDescent="0.35">
      <c r="AJ6252" s="213"/>
    </row>
    <row r="6253" spans="36:36" x14ac:dyDescent="0.35">
      <c r="AJ6253" s="213"/>
    </row>
    <row r="6254" spans="36:36" x14ac:dyDescent="0.35">
      <c r="AJ6254" s="213"/>
    </row>
    <row r="6255" spans="36:36" x14ac:dyDescent="0.35">
      <c r="AJ6255" s="213"/>
    </row>
    <row r="6256" spans="36:36" x14ac:dyDescent="0.35">
      <c r="AJ6256" s="213"/>
    </row>
    <row r="6257" spans="36:36" x14ac:dyDescent="0.35">
      <c r="AJ6257" s="213"/>
    </row>
    <row r="6258" spans="36:36" x14ac:dyDescent="0.35">
      <c r="AJ6258" s="213"/>
    </row>
    <row r="6259" spans="36:36" x14ac:dyDescent="0.35">
      <c r="AJ6259" s="213"/>
    </row>
    <row r="6260" spans="36:36" x14ac:dyDescent="0.35">
      <c r="AJ6260" s="213"/>
    </row>
    <row r="6261" spans="36:36" x14ac:dyDescent="0.35">
      <c r="AJ6261" s="213"/>
    </row>
    <row r="6262" spans="36:36" x14ac:dyDescent="0.35">
      <c r="AJ6262" s="213"/>
    </row>
    <row r="6263" spans="36:36" x14ac:dyDescent="0.35">
      <c r="AJ6263" s="213"/>
    </row>
    <row r="6264" spans="36:36" x14ac:dyDescent="0.35">
      <c r="AJ6264" s="213"/>
    </row>
    <row r="6265" spans="36:36" x14ac:dyDescent="0.35">
      <c r="AJ6265" s="213"/>
    </row>
    <row r="6266" spans="36:36" x14ac:dyDescent="0.35">
      <c r="AJ6266" s="213"/>
    </row>
    <row r="6267" spans="36:36" x14ac:dyDescent="0.35">
      <c r="AJ6267" s="213"/>
    </row>
    <row r="6268" spans="36:36" x14ac:dyDescent="0.35">
      <c r="AJ6268" s="213"/>
    </row>
    <row r="6269" spans="36:36" x14ac:dyDescent="0.35">
      <c r="AJ6269" s="213"/>
    </row>
    <row r="6270" spans="36:36" x14ac:dyDescent="0.35">
      <c r="AJ6270" s="213"/>
    </row>
    <row r="6271" spans="36:36" x14ac:dyDescent="0.35">
      <c r="AJ6271" s="213"/>
    </row>
    <row r="6272" spans="36:36" x14ac:dyDescent="0.35">
      <c r="AJ6272" s="213"/>
    </row>
    <row r="6273" spans="36:36" x14ac:dyDescent="0.35">
      <c r="AJ6273" s="213"/>
    </row>
    <row r="6274" spans="36:36" x14ac:dyDescent="0.35">
      <c r="AJ6274" s="213"/>
    </row>
    <row r="6275" spans="36:36" x14ac:dyDescent="0.35">
      <c r="AJ6275" s="213"/>
    </row>
    <row r="6276" spans="36:36" x14ac:dyDescent="0.35">
      <c r="AJ6276" s="213"/>
    </row>
    <row r="6277" spans="36:36" x14ac:dyDescent="0.35">
      <c r="AJ6277" s="213"/>
    </row>
    <row r="6278" spans="36:36" x14ac:dyDescent="0.35">
      <c r="AJ6278" s="213"/>
    </row>
    <row r="6279" spans="36:36" x14ac:dyDescent="0.35">
      <c r="AJ6279" s="213"/>
    </row>
    <row r="6280" spans="36:36" x14ac:dyDescent="0.35">
      <c r="AJ6280" s="213"/>
    </row>
    <row r="6281" spans="36:36" x14ac:dyDescent="0.35">
      <c r="AJ6281" s="213"/>
    </row>
    <row r="6282" spans="36:36" x14ac:dyDescent="0.35">
      <c r="AJ6282" s="213"/>
    </row>
    <row r="6283" spans="36:36" x14ac:dyDescent="0.35">
      <c r="AJ6283" s="213"/>
    </row>
    <row r="6284" spans="36:36" x14ac:dyDescent="0.35">
      <c r="AJ6284" s="213"/>
    </row>
    <row r="6285" spans="36:36" x14ac:dyDescent="0.35">
      <c r="AJ6285" s="213"/>
    </row>
    <row r="6286" spans="36:36" x14ac:dyDescent="0.35">
      <c r="AJ6286" s="213"/>
    </row>
    <row r="6287" spans="36:36" x14ac:dyDescent="0.35">
      <c r="AJ6287" s="213"/>
    </row>
    <row r="6288" spans="36:36" x14ac:dyDescent="0.35">
      <c r="AJ6288" s="213"/>
    </row>
    <row r="6289" spans="36:36" x14ac:dyDescent="0.35">
      <c r="AJ6289" s="213"/>
    </row>
    <row r="6290" spans="36:36" x14ac:dyDescent="0.35">
      <c r="AJ6290" s="213"/>
    </row>
    <row r="6291" spans="36:36" x14ac:dyDescent="0.35">
      <c r="AJ6291" s="213"/>
    </row>
    <row r="6292" spans="36:36" x14ac:dyDescent="0.35">
      <c r="AJ6292" s="213"/>
    </row>
    <row r="6293" spans="36:36" x14ac:dyDescent="0.35">
      <c r="AJ6293" s="213"/>
    </row>
    <row r="6294" spans="36:36" x14ac:dyDescent="0.35">
      <c r="AJ6294" s="213"/>
    </row>
    <row r="6295" spans="36:36" x14ac:dyDescent="0.35">
      <c r="AJ6295" s="213"/>
    </row>
    <row r="6296" spans="36:36" x14ac:dyDescent="0.35">
      <c r="AJ6296" s="213"/>
    </row>
    <row r="6297" spans="36:36" x14ac:dyDescent="0.35">
      <c r="AJ6297" s="213"/>
    </row>
    <row r="6298" spans="36:36" x14ac:dyDescent="0.35">
      <c r="AJ6298" s="213"/>
    </row>
    <row r="6299" spans="36:36" x14ac:dyDescent="0.35">
      <c r="AJ6299" s="213"/>
    </row>
    <row r="6300" spans="36:36" x14ac:dyDescent="0.35">
      <c r="AJ6300" s="213"/>
    </row>
    <row r="6301" spans="36:36" x14ac:dyDescent="0.35">
      <c r="AJ6301" s="213"/>
    </row>
    <row r="6302" spans="36:36" x14ac:dyDescent="0.35">
      <c r="AJ6302" s="213"/>
    </row>
    <row r="6303" spans="36:36" x14ac:dyDescent="0.35">
      <c r="AJ6303" s="213"/>
    </row>
    <row r="6304" spans="36:36" x14ac:dyDescent="0.35">
      <c r="AJ6304" s="213"/>
    </row>
    <row r="6305" spans="36:36" x14ac:dyDescent="0.35">
      <c r="AJ6305" s="213"/>
    </row>
    <row r="6306" spans="36:36" x14ac:dyDescent="0.35">
      <c r="AJ6306" s="213"/>
    </row>
    <row r="6307" spans="36:36" x14ac:dyDescent="0.35">
      <c r="AJ6307" s="213"/>
    </row>
    <row r="6308" spans="36:36" x14ac:dyDescent="0.35">
      <c r="AJ6308" s="213"/>
    </row>
    <row r="6309" spans="36:36" x14ac:dyDescent="0.35">
      <c r="AJ6309" s="213"/>
    </row>
    <row r="6310" spans="36:36" x14ac:dyDescent="0.35">
      <c r="AJ6310" s="213"/>
    </row>
    <row r="6311" spans="36:36" x14ac:dyDescent="0.35">
      <c r="AJ6311" s="213"/>
    </row>
    <row r="6312" spans="36:36" x14ac:dyDescent="0.35">
      <c r="AJ6312" s="213"/>
    </row>
    <row r="6313" spans="36:36" x14ac:dyDescent="0.35">
      <c r="AJ6313" s="213"/>
    </row>
    <row r="6314" spans="36:36" x14ac:dyDescent="0.35">
      <c r="AJ6314" s="213"/>
    </row>
    <row r="6315" spans="36:36" x14ac:dyDescent="0.35">
      <c r="AJ6315" s="213"/>
    </row>
    <row r="6316" spans="36:36" x14ac:dyDescent="0.35">
      <c r="AJ6316" s="213"/>
    </row>
    <row r="6317" spans="36:36" x14ac:dyDescent="0.35">
      <c r="AJ6317" s="213"/>
    </row>
    <row r="6318" spans="36:36" x14ac:dyDescent="0.35">
      <c r="AJ6318" s="213"/>
    </row>
    <row r="6319" spans="36:36" x14ac:dyDescent="0.35">
      <c r="AJ6319" s="213"/>
    </row>
    <row r="6320" spans="36:36" x14ac:dyDescent="0.35">
      <c r="AJ6320" s="213"/>
    </row>
    <row r="6321" spans="36:36" x14ac:dyDescent="0.35">
      <c r="AJ6321" s="213"/>
    </row>
    <row r="6322" spans="36:36" x14ac:dyDescent="0.35">
      <c r="AJ6322" s="213"/>
    </row>
    <row r="6323" spans="36:36" x14ac:dyDescent="0.35">
      <c r="AJ6323" s="213"/>
    </row>
    <row r="6324" spans="36:36" x14ac:dyDescent="0.35">
      <c r="AJ6324" s="213"/>
    </row>
    <row r="6325" spans="36:36" x14ac:dyDescent="0.35">
      <c r="AJ6325" s="213"/>
    </row>
    <row r="6326" spans="36:36" x14ac:dyDescent="0.35">
      <c r="AJ6326" s="213"/>
    </row>
    <row r="6327" spans="36:36" x14ac:dyDescent="0.35">
      <c r="AJ6327" s="213"/>
    </row>
    <row r="6328" spans="36:36" x14ac:dyDescent="0.35">
      <c r="AJ6328" s="213"/>
    </row>
    <row r="6329" spans="36:36" x14ac:dyDescent="0.35">
      <c r="AJ6329" s="213"/>
    </row>
    <row r="6330" spans="36:36" x14ac:dyDescent="0.35">
      <c r="AJ6330" s="213"/>
    </row>
    <row r="6331" spans="36:36" x14ac:dyDescent="0.35">
      <c r="AJ6331" s="213"/>
    </row>
    <row r="6332" spans="36:36" x14ac:dyDescent="0.35">
      <c r="AJ6332" s="213"/>
    </row>
    <row r="6333" spans="36:36" x14ac:dyDescent="0.35">
      <c r="AJ6333" s="213"/>
    </row>
    <row r="6334" spans="36:36" x14ac:dyDescent="0.35">
      <c r="AJ6334" s="213"/>
    </row>
    <row r="6335" spans="36:36" x14ac:dyDescent="0.35">
      <c r="AJ6335" s="213"/>
    </row>
    <row r="6336" spans="36:36" x14ac:dyDescent="0.35">
      <c r="AJ6336" s="213"/>
    </row>
    <row r="6337" spans="36:36" x14ac:dyDescent="0.35">
      <c r="AJ6337" s="213"/>
    </row>
    <row r="6338" spans="36:36" x14ac:dyDescent="0.35">
      <c r="AJ6338" s="213"/>
    </row>
    <row r="6339" spans="36:36" x14ac:dyDescent="0.35">
      <c r="AJ6339" s="213"/>
    </row>
    <row r="6340" spans="36:36" x14ac:dyDescent="0.35">
      <c r="AJ6340" s="213"/>
    </row>
    <row r="6341" spans="36:36" x14ac:dyDescent="0.35">
      <c r="AJ6341" s="213"/>
    </row>
    <row r="6342" spans="36:36" x14ac:dyDescent="0.35">
      <c r="AJ6342" s="213"/>
    </row>
    <row r="6343" spans="36:36" x14ac:dyDescent="0.35">
      <c r="AJ6343" s="213"/>
    </row>
    <row r="6344" spans="36:36" x14ac:dyDescent="0.35">
      <c r="AJ6344" s="213"/>
    </row>
    <row r="6345" spans="36:36" x14ac:dyDescent="0.35">
      <c r="AJ6345" s="213"/>
    </row>
    <row r="6346" spans="36:36" x14ac:dyDescent="0.35">
      <c r="AJ6346" s="213"/>
    </row>
    <row r="6347" spans="36:36" x14ac:dyDescent="0.35">
      <c r="AJ6347" s="213"/>
    </row>
    <row r="6348" spans="36:36" x14ac:dyDescent="0.35">
      <c r="AJ6348" s="213"/>
    </row>
    <row r="6349" spans="36:36" x14ac:dyDescent="0.35">
      <c r="AJ6349" s="213"/>
    </row>
    <row r="6350" spans="36:36" x14ac:dyDescent="0.35">
      <c r="AJ6350" s="213"/>
    </row>
    <row r="6351" spans="36:36" x14ac:dyDescent="0.35">
      <c r="AJ6351" s="213"/>
    </row>
    <row r="6352" spans="36:36" x14ac:dyDescent="0.35">
      <c r="AJ6352" s="213"/>
    </row>
    <row r="6353" spans="36:36" x14ac:dyDescent="0.35">
      <c r="AJ6353" s="213"/>
    </row>
    <row r="6354" spans="36:36" x14ac:dyDescent="0.35">
      <c r="AJ6354" s="213"/>
    </row>
    <row r="6355" spans="36:36" x14ac:dyDescent="0.35">
      <c r="AJ6355" s="213"/>
    </row>
    <row r="6356" spans="36:36" x14ac:dyDescent="0.35">
      <c r="AJ6356" s="213"/>
    </row>
    <row r="6357" spans="36:36" x14ac:dyDescent="0.35">
      <c r="AJ6357" s="213"/>
    </row>
    <row r="6358" spans="36:36" x14ac:dyDescent="0.35">
      <c r="AJ6358" s="213"/>
    </row>
    <row r="6359" spans="36:36" x14ac:dyDescent="0.35">
      <c r="AJ6359" s="213"/>
    </row>
    <row r="6360" spans="36:36" x14ac:dyDescent="0.35">
      <c r="AJ6360" s="213"/>
    </row>
    <row r="6361" spans="36:36" x14ac:dyDescent="0.35">
      <c r="AJ6361" s="213"/>
    </row>
    <row r="6362" spans="36:36" x14ac:dyDescent="0.35">
      <c r="AJ6362" s="213"/>
    </row>
    <row r="6363" spans="36:36" x14ac:dyDescent="0.35">
      <c r="AJ6363" s="213"/>
    </row>
    <row r="6364" spans="36:36" x14ac:dyDescent="0.35">
      <c r="AJ6364" s="213"/>
    </row>
    <row r="6365" spans="36:36" x14ac:dyDescent="0.35">
      <c r="AJ6365" s="213"/>
    </row>
    <row r="6366" spans="36:36" x14ac:dyDescent="0.35">
      <c r="AJ6366" s="213"/>
    </row>
    <row r="6367" spans="36:36" x14ac:dyDescent="0.35">
      <c r="AJ6367" s="213"/>
    </row>
    <row r="6368" spans="36:36" x14ac:dyDescent="0.35">
      <c r="AJ6368" s="213"/>
    </row>
    <row r="6369" spans="36:36" x14ac:dyDescent="0.35">
      <c r="AJ6369" s="213"/>
    </row>
    <row r="6370" spans="36:36" x14ac:dyDescent="0.35">
      <c r="AJ6370" s="213"/>
    </row>
    <row r="6371" spans="36:36" x14ac:dyDescent="0.35">
      <c r="AJ6371" s="213"/>
    </row>
    <row r="6372" spans="36:36" x14ac:dyDescent="0.35">
      <c r="AJ6372" s="213"/>
    </row>
    <row r="6373" spans="36:36" x14ac:dyDescent="0.35">
      <c r="AJ6373" s="213"/>
    </row>
    <row r="6374" spans="36:36" x14ac:dyDescent="0.35">
      <c r="AJ6374" s="213"/>
    </row>
    <row r="6375" spans="36:36" x14ac:dyDescent="0.35">
      <c r="AJ6375" s="213"/>
    </row>
    <row r="6376" spans="36:36" x14ac:dyDescent="0.35">
      <c r="AJ6376" s="213"/>
    </row>
    <row r="6377" spans="36:36" x14ac:dyDescent="0.35">
      <c r="AJ6377" s="213"/>
    </row>
    <row r="6378" spans="36:36" x14ac:dyDescent="0.35">
      <c r="AJ6378" s="213"/>
    </row>
    <row r="6379" spans="36:36" x14ac:dyDescent="0.35">
      <c r="AJ6379" s="213"/>
    </row>
    <row r="6380" spans="36:36" x14ac:dyDescent="0.35">
      <c r="AJ6380" s="213"/>
    </row>
    <row r="6381" spans="36:36" x14ac:dyDescent="0.35">
      <c r="AJ6381" s="213"/>
    </row>
    <row r="6382" spans="36:36" x14ac:dyDescent="0.35">
      <c r="AJ6382" s="213"/>
    </row>
    <row r="6383" spans="36:36" x14ac:dyDescent="0.35">
      <c r="AJ6383" s="213"/>
    </row>
    <row r="6384" spans="36:36" x14ac:dyDescent="0.35">
      <c r="AJ6384" s="213"/>
    </row>
    <row r="6385" spans="36:36" x14ac:dyDescent="0.35">
      <c r="AJ6385" s="213"/>
    </row>
    <row r="6386" spans="36:36" x14ac:dyDescent="0.35">
      <c r="AJ6386" s="213"/>
    </row>
    <row r="6387" spans="36:36" x14ac:dyDescent="0.35">
      <c r="AJ6387" s="213"/>
    </row>
    <row r="6388" spans="36:36" x14ac:dyDescent="0.35">
      <c r="AJ6388" s="213"/>
    </row>
    <row r="6389" spans="36:36" x14ac:dyDescent="0.35">
      <c r="AJ6389" s="213"/>
    </row>
    <row r="6390" spans="36:36" x14ac:dyDescent="0.35">
      <c r="AJ6390" s="213"/>
    </row>
    <row r="6391" spans="36:36" x14ac:dyDescent="0.35">
      <c r="AJ6391" s="213"/>
    </row>
    <row r="6392" spans="36:36" x14ac:dyDescent="0.35">
      <c r="AJ6392" s="213"/>
    </row>
    <row r="6393" spans="36:36" x14ac:dyDescent="0.35">
      <c r="AJ6393" s="213"/>
    </row>
    <row r="6394" spans="36:36" x14ac:dyDescent="0.35">
      <c r="AJ6394" s="213"/>
    </row>
    <row r="6395" spans="36:36" x14ac:dyDescent="0.35">
      <c r="AJ6395" s="213"/>
    </row>
    <row r="6396" spans="36:36" x14ac:dyDescent="0.35">
      <c r="AJ6396" s="213"/>
    </row>
    <row r="6397" spans="36:36" x14ac:dyDescent="0.35">
      <c r="AJ6397" s="213"/>
    </row>
    <row r="6398" spans="36:36" x14ac:dyDescent="0.35">
      <c r="AJ6398" s="213"/>
    </row>
    <row r="6399" spans="36:36" x14ac:dyDescent="0.35">
      <c r="AJ6399" s="213"/>
    </row>
    <row r="6400" spans="36:36" x14ac:dyDescent="0.35">
      <c r="AJ6400" s="213"/>
    </row>
    <row r="6401" spans="36:36" x14ac:dyDescent="0.35">
      <c r="AJ6401" s="213"/>
    </row>
    <row r="6402" spans="36:36" x14ac:dyDescent="0.35">
      <c r="AJ6402" s="213"/>
    </row>
    <row r="6403" spans="36:36" x14ac:dyDescent="0.35">
      <c r="AJ6403" s="213"/>
    </row>
    <row r="6404" spans="36:36" x14ac:dyDescent="0.35">
      <c r="AJ6404" s="213"/>
    </row>
    <row r="6405" spans="36:36" x14ac:dyDescent="0.35">
      <c r="AJ6405" s="213"/>
    </row>
    <row r="6406" spans="36:36" x14ac:dyDescent="0.35">
      <c r="AJ6406" s="213"/>
    </row>
    <row r="6407" spans="36:36" x14ac:dyDescent="0.35">
      <c r="AJ6407" s="213"/>
    </row>
    <row r="6408" spans="36:36" x14ac:dyDescent="0.35">
      <c r="AJ6408" s="213"/>
    </row>
    <row r="6409" spans="36:36" x14ac:dyDescent="0.35">
      <c r="AJ6409" s="213"/>
    </row>
    <row r="6410" spans="36:36" x14ac:dyDescent="0.35">
      <c r="AJ6410" s="213"/>
    </row>
    <row r="6411" spans="36:36" x14ac:dyDescent="0.35">
      <c r="AJ6411" s="213"/>
    </row>
    <row r="6412" spans="36:36" x14ac:dyDescent="0.35">
      <c r="AJ6412" s="213"/>
    </row>
    <row r="6413" spans="36:36" x14ac:dyDescent="0.35">
      <c r="AJ6413" s="213"/>
    </row>
    <row r="6414" spans="36:36" x14ac:dyDescent="0.35">
      <c r="AJ6414" s="213"/>
    </row>
    <row r="6415" spans="36:36" x14ac:dyDescent="0.35">
      <c r="AJ6415" s="213"/>
    </row>
    <row r="6416" spans="36:36" x14ac:dyDescent="0.35">
      <c r="AJ6416" s="213"/>
    </row>
    <row r="6417" spans="36:36" x14ac:dyDescent="0.35">
      <c r="AJ6417" s="213"/>
    </row>
    <row r="6418" spans="36:36" x14ac:dyDescent="0.35">
      <c r="AJ6418" s="213"/>
    </row>
    <row r="6419" spans="36:36" x14ac:dyDescent="0.35">
      <c r="AJ6419" s="213"/>
    </row>
    <row r="6420" spans="36:36" x14ac:dyDescent="0.35">
      <c r="AJ6420" s="213"/>
    </row>
    <row r="6421" spans="36:36" x14ac:dyDescent="0.35">
      <c r="AJ6421" s="213"/>
    </row>
    <row r="6422" spans="36:36" x14ac:dyDescent="0.35">
      <c r="AJ6422" s="213"/>
    </row>
    <row r="6423" spans="36:36" x14ac:dyDescent="0.35">
      <c r="AJ6423" s="213"/>
    </row>
    <row r="6424" spans="36:36" x14ac:dyDescent="0.35">
      <c r="AJ6424" s="213"/>
    </row>
    <row r="6425" spans="36:36" x14ac:dyDescent="0.35">
      <c r="AJ6425" s="213"/>
    </row>
    <row r="6426" spans="36:36" x14ac:dyDescent="0.35">
      <c r="AJ6426" s="213"/>
    </row>
    <row r="6427" spans="36:36" x14ac:dyDescent="0.35">
      <c r="AJ6427" s="213"/>
    </row>
    <row r="6428" spans="36:36" x14ac:dyDescent="0.35">
      <c r="AJ6428" s="213"/>
    </row>
    <row r="6429" spans="36:36" x14ac:dyDescent="0.35">
      <c r="AJ6429" s="213"/>
    </row>
    <row r="6430" spans="36:36" x14ac:dyDescent="0.35">
      <c r="AJ6430" s="213"/>
    </row>
    <row r="6431" spans="36:36" x14ac:dyDescent="0.35">
      <c r="AJ6431" s="213"/>
    </row>
    <row r="6432" spans="36:36" x14ac:dyDescent="0.35">
      <c r="AJ6432" s="213"/>
    </row>
    <row r="6433" spans="36:36" x14ac:dyDescent="0.35">
      <c r="AJ6433" s="213"/>
    </row>
    <row r="6434" spans="36:36" x14ac:dyDescent="0.35">
      <c r="AJ6434" s="213"/>
    </row>
    <row r="6435" spans="36:36" x14ac:dyDescent="0.35">
      <c r="AJ6435" s="213"/>
    </row>
    <row r="6436" spans="36:36" x14ac:dyDescent="0.35">
      <c r="AJ6436" s="213"/>
    </row>
    <row r="6437" spans="36:36" x14ac:dyDescent="0.35">
      <c r="AJ6437" s="213"/>
    </row>
    <row r="6438" spans="36:36" x14ac:dyDescent="0.35">
      <c r="AJ6438" s="213"/>
    </row>
    <row r="6439" spans="36:36" x14ac:dyDescent="0.35">
      <c r="AJ6439" s="213"/>
    </row>
    <row r="6440" spans="36:36" x14ac:dyDescent="0.35">
      <c r="AJ6440" s="213"/>
    </row>
    <row r="6441" spans="36:36" x14ac:dyDescent="0.35">
      <c r="AJ6441" s="213"/>
    </row>
    <row r="6442" spans="36:36" x14ac:dyDescent="0.35">
      <c r="AJ6442" s="213"/>
    </row>
    <row r="6443" spans="36:36" x14ac:dyDescent="0.35">
      <c r="AJ6443" s="213"/>
    </row>
    <row r="6444" spans="36:36" x14ac:dyDescent="0.35">
      <c r="AJ6444" s="213"/>
    </row>
    <row r="6445" spans="36:36" x14ac:dyDescent="0.35">
      <c r="AJ6445" s="213"/>
    </row>
    <row r="6446" spans="36:36" x14ac:dyDescent="0.35">
      <c r="AJ6446" s="213"/>
    </row>
    <row r="6447" spans="36:36" x14ac:dyDescent="0.35">
      <c r="AJ6447" s="213"/>
    </row>
    <row r="6448" spans="36:36" x14ac:dyDescent="0.35">
      <c r="AJ6448" s="213"/>
    </row>
    <row r="6449" spans="36:36" x14ac:dyDescent="0.35">
      <c r="AJ6449" s="213"/>
    </row>
    <row r="6450" spans="36:36" x14ac:dyDescent="0.35">
      <c r="AJ6450" s="213"/>
    </row>
    <row r="6451" spans="36:36" x14ac:dyDescent="0.35">
      <c r="AJ6451" s="213"/>
    </row>
    <row r="6452" spans="36:36" x14ac:dyDescent="0.35">
      <c r="AJ6452" s="213"/>
    </row>
    <row r="6453" spans="36:36" x14ac:dyDescent="0.35">
      <c r="AJ6453" s="213"/>
    </row>
    <row r="6454" spans="36:36" x14ac:dyDescent="0.35">
      <c r="AJ6454" s="213"/>
    </row>
    <row r="6455" spans="36:36" x14ac:dyDescent="0.35">
      <c r="AJ6455" s="213"/>
    </row>
    <row r="6456" spans="36:36" x14ac:dyDescent="0.35">
      <c r="AJ6456" s="213"/>
    </row>
    <row r="6457" spans="36:36" x14ac:dyDescent="0.35">
      <c r="AJ6457" s="213"/>
    </row>
    <row r="6458" spans="36:36" x14ac:dyDescent="0.35">
      <c r="AJ6458" s="213"/>
    </row>
    <row r="6459" spans="36:36" x14ac:dyDescent="0.35">
      <c r="AJ6459" s="213"/>
    </row>
    <row r="6460" spans="36:36" x14ac:dyDescent="0.35">
      <c r="AJ6460" s="213"/>
    </row>
    <row r="6461" spans="36:36" x14ac:dyDescent="0.35">
      <c r="AJ6461" s="213"/>
    </row>
    <row r="6462" spans="36:36" x14ac:dyDescent="0.35">
      <c r="AJ6462" s="213"/>
    </row>
    <row r="6463" spans="36:36" x14ac:dyDescent="0.35">
      <c r="AJ6463" s="213"/>
    </row>
    <row r="6464" spans="36:36" x14ac:dyDescent="0.35">
      <c r="AJ6464" s="213"/>
    </row>
    <row r="6465" spans="36:36" x14ac:dyDescent="0.35">
      <c r="AJ6465" s="213"/>
    </row>
    <row r="6466" spans="36:36" x14ac:dyDescent="0.35">
      <c r="AJ6466" s="213"/>
    </row>
    <row r="6467" spans="36:36" x14ac:dyDescent="0.35">
      <c r="AJ6467" s="213"/>
    </row>
    <row r="6468" spans="36:36" x14ac:dyDescent="0.35">
      <c r="AJ6468" s="213"/>
    </row>
    <row r="6469" spans="36:36" x14ac:dyDescent="0.35">
      <c r="AJ6469" s="213"/>
    </row>
    <row r="6470" spans="36:36" x14ac:dyDescent="0.35">
      <c r="AJ6470" s="213"/>
    </row>
    <row r="6471" spans="36:36" x14ac:dyDescent="0.35">
      <c r="AJ6471" s="213"/>
    </row>
    <row r="6472" spans="36:36" x14ac:dyDescent="0.35">
      <c r="AJ6472" s="213"/>
    </row>
    <row r="6473" spans="36:36" x14ac:dyDescent="0.35">
      <c r="AJ6473" s="213"/>
    </row>
    <row r="6474" spans="36:36" x14ac:dyDescent="0.35">
      <c r="AJ6474" s="213"/>
    </row>
    <row r="6475" spans="36:36" x14ac:dyDescent="0.35">
      <c r="AJ6475" s="213"/>
    </row>
    <row r="6476" spans="36:36" x14ac:dyDescent="0.35">
      <c r="AJ6476" s="213"/>
    </row>
    <row r="6477" spans="36:36" x14ac:dyDescent="0.35">
      <c r="AJ6477" s="213"/>
    </row>
    <row r="6478" spans="36:36" x14ac:dyDescent="0.35">
      <c r="AJ6478" s="213"/>
    </row>
    <row r="6479" spans="36:36" x14ac:dyDescent="0.35">
      <c r="AJ6479" s="213"/>
    </row>
    <row r="6480" spans="36:36" x14ac:dyDescent="0.35">
      <c r="AJ6480" s="213"/>
    </row>
    <row r="6481" spans="36:36" x14ac:dyDescent="0.35">
      <c r="AJ6481" s="213"/>
    </row>
    <row r="6482" spans="36:36" x14ac:dyDescent="0.35">
      <c r="AJ6482" s="213"/>
    </row>
    <row r="6483" spans="36:36" x14ac:dyDescent="0.35">
      <c r="AJ6483" s="213"/>
    </row>
    <row r="6484" spans="36:36" x14ac:dyDescent="0.35">
      <c r="AJ6484" s="213"/>
    </row>
    <row r="6485" spans="36:36" x14ac:dyDescent="0.35">
      <c r="AJ6485" s="213"/>
    </row>
    <row r="6486" spans="36:36" x14ac:dyDescent="0.35">
      <c r="AJ6486" s="213"/>
    </row>
    <row r="6487" spans="36:36" x14ac:dyDescent="0.35">
      <c r="AJ6487" s="213"/>
    </row>
    <row r="6488" spans="36:36" x14ac:dyDescent="0.35">
      <c r="AJ6488" s="213"/>
    </row>
    <row r="6489" spans="36:36" x14ac:dyDescent="0.35">
      <c r="AJ6489" s="213"/>
    </row>
    <row r="6490" spans="36:36" x14ac:dyDescent="0.35">
      <c r="AJ6490" s="213"/>
    </row>
    <row r="6491" spans="36:36" x14ac:dyDescent="0.35">
      <c r="AJ6491" s="213"/>
    </row>
    <row r="6492" spans="36:36" x14ac:dyDescent="0.35">
      <c r="AJ6492" s="213"/>
    </row>
    <row r="6493" spans="36:36" x14ac:dyDescent="0.35">
      <c r="AJ6493" s="213"/>
    </row>
    <row r="6494" spans="36:36" x14ac:dyDescent="0.35">
      <c r="AJ6494" s="213"/>
    </row>
    <row r="6495" spans="36:36" x14ac:dyDescent="0.35">
      <c r="AJ6495" s="213"/>
    </row>
    <row r="6496" spans="36:36" x14ac:dyDescent="0.35">
      <c r="AJ6496" s="213"/>
    </row>
    <row r="6497" spans="36:36" x14ac:dyDescent="0.35">
      <c r="AJ6497" s="213"/>
    </row>
    <row r="6498" spans="36:36" x14ac:dyDescent="0.35">
      <c r="AJ6498" s="213"/>
    </row>
    <row r="6499" spans="36:36" x14ac:dyDescent="0.35">
      <c r="AJ6499" s="213"/>
    </row>
    <row r="6500" spans="36:36" x14ac:dyDescent="0.35">
      <c r="AJ6500" s="213"/>
    </row>
    <row r="6501" spans="36:36" x14ac:dyDescent="0.35">
      <c r="AJ6501" s="213"/>
    </row>
    <row r="6502" spans="36:36" x14ac:dyDescent="0.35">
      <c r="AJ6502" s="213"/>
    </row>
    <row r="6503" spans="36:36" x14ac:dyDescent="0.35">
      <c r="AJ6503" s="213"/>
    </row>
    <row r="6504" spans="36:36" x14ac:dyDescent="0.35">
      <c r="AJ6504" s="213"/>
    </row>
    <row r="6505" spans="36:36" x14ac:dyDescent="0.35">
      <c r="AJ6505" s="213"/>
    </row>
    <row r="6506" spans="36:36" x14ac:dyDescent="0.35">
      <c r="AJ6506" s="213"/>
    </row>
    <row r="6507" spans="36:36" x14ac:dyDescent="0.35">
      <c r="AJ6507" s="213"/>
    </row>
    <row r="6508" spans="36:36" x14ac:dyDescent="0.35">
      <c r="AJ6508" s="213"/>
    </row>
    <row r="6509" spans="36:36" x14ac:dyDescent="0.35">
      <c r="AJ6509" s="213"/>
    </row>
    <row r="6510" spans="36:36" x14ac:dyDescent="0.35">
      <c r="AJ6510" s="213"/>
    </row>
    <row r="6511" spans="36:36" x14ac:dyDescent="0.35">
      <c r="AJ6511" s="213"/>
    </row>
    <row r="6512" spans="36:36" x14ac:dyDescent="0.35">
      <c r="AJ6512" s="213"/>
    </row>
    <row r="6513" spans="36:36" x14ac:dyDescent="0.35">
      <c r="AJ6513" s="213"/>
    </row>
    <row r="6514" spans="36:36" x14ac:dyDescent="0.35">
      <c r="AJ6514" s="213"/>
    </row>
    <row r="6515" spans="36:36" x14ac:dyDescent="0.35">
      <c r="AJ6515" s="213"/>
    </row>
    <row r="6516" spans="36:36" x14ac:dyDescent="0.35">
      <c r="AJ6516" s="213"/>
    </row>
    <row r="6517" spans="36:36" x14ac:dyDescent="0.35">
      <c r="AJ6517" s="213"/>
    </row>
    <row r="6518" spans="36:36" x14ac:dyDescent="0.35">
      <c r="AJ6518" s="213"/>
    </row>
    <row r="6519" spans="36:36" x14ac:dyDescent="0.35">
      <c r="AJ6519" s="213"/>
    </row>
    <row r="6520" spans="36:36" x14ac:dyDescent="0.35">
      <c r="AJ6520" s="213"/>
    </row>
    <row r="6521" spans="36:36" x14ac:dyDescent="0.35">
      <c r="AJ6521" s="213"/>
    </row>
    <row r="6522" spans="36:36" x14ac:dyDescent="0.35">
      <c r="AJ6522" s="213"/>
    </row>
    <row r="6523" spans="36:36" x14ac:dyDescent="0.35">
      <c r="AJ6523" s="213"/>
    </row>
    <row r="6524" spans="36:36" x14ac:dyDescent="0.35">
      <c r="AJ6524" s="213"/>
    </row>
    <row r="6525" spans="36:36" x14ac:dyDescent="0.35">
      <c r="AJ6525" s="213"/>
    </row>
    <row r="6526" spans="36:36" x14ac:dyDescent="0.35">
      <c r="AJ6526" s="213"/>
    </row>
    <row r="6527" spans="36:36" x14ac:dyDescent="0.35">
      <c r="AJ6527" s="213"/>
    </row>
    <row r="6528" spans="36:36" x14ac:dyDescent="0.35">
      <c r="AJ6528" s="213"/>
    </row>
    <row r="6529" spans="36:36" x14ac:dyDescent="0.35">
      <c r="AJ6529" s="213"/>
    </row>
    <row r="6530" spans="36:36" x14ac:dyDescent="0.35">
      <c r="AJ6530" s="213"/>
    </row>
    <row r="6531" spans="36:36" x14ac:dyDescent="0.35">
      <c r="AJ6531" s="213"/>
    </row>
    <row r="6532" spans="36:36" x14ac:dyDescent="0.35">
      <c r="AJ6532" s="213"/>
    </row>
    <row r="6533" spans="36:36" x14ac:dyDescent="0.35">
      <c r="AJ6533" s="213"/>
    </row>
    <row r="6534" spans="36:36" x14ac:dyDescent="0.35">
      <c r="AJ6534" s="213"/>
    </row>
    <row r="6535" spans="36:36" x14ac:dyDescent="0.35">
      <c r="AJ6535" s="213"/>
    </row>
    <row r="6536" spans="36:36" x14ac:dyDescent="0.35">
      <c r="AJ6536" s="213"/>
    </row>
    <row r="6537" spans="36:36" x14ac:dyDescent="0.35">
      <c r="AJ6537" s="213"/>
    </row>
    <row r="6538" spans="36:36" x14ac:dyDescent="0.35">
      <c r="AJ6538" s="213"/>
    </row>
    <row r="6539" spans="36:36" x14ac:dyDescent="0.35">
      <c r="AJ6539" s="213"/>
    </row>
    <row r="6540" spans="36:36" x14ac:dyDescent="0.35">
      <c r="AJ6540" s="213"/>
    </row>
    <row r="6541" spans="36:36" x14ac:dyDescent="0.35">
      <c r="AJ6541" s="213"/>
    </row>
    <row r="6542" spans="36:36" x14ac:dyDescent="0.35">
      <c r="AJ6542" s="213"/>
    </row>
    <row r="6543" spans="36:36" x14ac:dyDescent="0.35">
      <c r="AJ6543" s="213"/>
    </row>
    <row r="6544" spans="36:36" x14ac:dyDescent="0.35">
      <c r="AJ6544" s="213"/>
    </row>
    <row r="6545" spans="36:36" x14ac:dyDescent="0.35">
      <c r="AJ6545" s="213"/>
    </row>
    <row r="6546" spans="36:36" x14ac:dyDescent="0.35">
      <c r="AJ6546" s="213"/>
    </row>
    <row r="6547" spans="36:36" x14ac:dyDescent="0.35">
      <c r="AJ6547" s="213"/>
    </row>
    <row r="6548" spans="36:36" x14ac:dyDescent="0.35">
      <c r="AJ6548" s="213"/>
    </row>
    <row r="6549" spans="36:36" x14ac:dyDescent="0.35">
      <c r="AJ6549" s="213"/>
    </row>
    <row r="6550" spans="36:36" x14ac:dyDescent="0.35">
      <c r="AJ6550" s="213"/>
    </row>
    <row r="6551" spans="36:36" x14ac:dyDescent="0.35">
      <c r="AJ6551" s="213"/>
    </row>
    <row r="6552" spans="36:36" x14ac:dyDescent="0.35">
      <c r="AJ6552" s="213"/>
    </row>
    <row r="6553" spans="36:36" x14ac:dyDescent="0.35">
      <c r="AJ6553" s="213"/>
    </row>
    <row r="6554" spans="36:36" x14ac:dyDescent="0.35">
      <c r="AJ6554" s="213"/>
    </row>
    <row r="6555" spans="36:36" x14ac:dyDescent="0.35">
      <c r="AJ6555" s="213"/>
    </row>
    <row r="6556" spans="36:36" x14ac:dyDescent="0.35">
      <c r="AJ6556" s="213"/>
    </row>
    <row r="6557" spans="36:36" x14ac:dyDescent="0.35">
      <c r="AJ6557" s="213"/>
    </row>
    <row r="6558" spans="36:36" x14ac:dyDescent="0.35">
      <c r="AJ6558" s="213"/>
    </row>
    <row r="6559" spans="36:36" x14ac:dyDescent="0.35">
      <c r="AJ6559" s="213"/>
    </row>
    <row r="6560" spans="36:36" x14ac:dyDescent="0.35">
      <c r="AJ6560" s="213"/>
    </row>
    <row r="6561" spans="36:36" x14ac:dyDescent="0.35">
      <c r="AJ6561" s="213"/>
    </row>
    <row r="6562" spans="36:36" x14ac:dyDescent="0.35">
      <c r="AJ6562" s="213"/>
    </row>
    <row r="6563" spans="36:36" x14ac:dyDescent="0.35">
      <c r="AJ6563" s="213"/>
    </row>
    <row r="6564" spans="36:36" x14ac:dyDescent="0.35">
      <c r="AJ6564" s="213"/>
    </row>
    <row r="6565" spans="36:36" x14ac:dyDescent="0.35">
      <c r="AJ6565" s="213"/>
    </row>
    <row r="6566" spans="36:36" x14ac:dyDescent="0.35">
      <c r="AJ6566" s="213"/>
    </row>
    <row r="6567" spans="36:36" x14ac:dyDescent="0.35">
      <c r="AJ6567" s="213"/>
    </row>
    <row r="6568" spans="36:36" x14ac:dyDescent="0.35">
      <c r="AJ6568" s="213"/>
    </row>
    <row r="6569" spans="36:36" x14ac:dyDescent="0.35">
      <c r="AJ6569" s="213"/>
    </row>
    <row r="6570" spans="36:36" x14ac:dyDescent="0.35">
      <c r="AJ6570" s="213"/>
    </row>
    <row r="6571" spans="36:36" x14ac:dyDescent="0.35">
      <c r="AJ6571" s="213"/>
    </row>
    <row r="6572" spans="36:36" x14ac:dyDescent="0.35">
      <c r="AJ6572" s="213"/>
    </row>
    <row r="6573" spans="36:36" x14ac:dyDescent="0.35">
      <c r="AJ6573" s="213"/>
    </row>
    <row r="6574" spans="36:36" x14ac:dyDescent="0.35">
      <c r="AJ6574" s="213"/>
    </row>
    <row r="6575" spans="36:36" x14ac:dyDescent="0.35">
      <c r="AJ6575" s="213"/>
    </row>
    <row r="6576" spans="36:36" x14ac:dyDescent="0.35">
      <c r="AJ6576" s="213"/>
    </row>
    <row r="6577" spans="36:36" x14ac:dyDescent="0.35">
      <c r="AJ6577" s="213"/>
    </row>
    <row r="6578" spans="36:36" x14ac:dyDescent="0.35">
      <c r="AJ6578" s="213"/>
    </row>
    <row r="6579" spans="36:36" x14ac:dyDescent="0.35">
      <c r="AJ6579" s="213"/>
    </row>
    <row r="6580" spans="36:36" x14ac:dyDescent="0.35">
      <c r="AJ6580" s="213"/>
    </row>
    <row r="6581" spans="36:36" x14ac:dyDescent="0.35">
      <c r="AJ6581" s="213"/>
    </row>
    <row r="6582" spans="36:36" x14ac:dyDescent="0.35">
      <c r="AJ6582" s="213"/>
    </row>
    <row r="6583" spans="36:36" x14ac:dyDescent="0.35">
      <c r="AJ6583" s="213"/>
    </row>
    <row r="6584" spans="36:36" x14ac:dyDescent="0.35">
      <c r="AJ6584" s="213"/>
    </row>
    <row r="6585" spans="36:36" x14ac:dyDescent="0.35">
      <c r="AJ6585" s="213"/>
    </row>
    <row r="6586" spans="36:36" x14ac:dyDescent="0.35">
      <c r="AJ6586" s="213"/>
    </row>
    <row r="6587" spans="36:36" x14ac:dyDescent="0.35">
      <c r="AJ6587" s="213"/>
    </row>
    <row r="6588" spans="36:36" x14ac:dyDescent="0.35">
      <c r="AJ6588" s="213"/>
    </row>
    <row r="6589" spans="36:36" x14ac:dyDescent="0.35">
      <c r="AJ6589" s="213"/>
    </row>
    <row r="6590" spans="36:36" x14ac:dyDescent="0.35">
      <c r="AJ6590" s="213"/>
    </row>
    <row r="6591" spans="36:36" x14ac:dyDescent="0.35">
      <c r="AJ6591" s="213"/>
    </row>
    <row r="6592" spans="36:36" x14ac:dyDescent="0.35">
      <c r="AJ6592" s="213"/>
    </row>
    <row r="6593" spans="36:36" x14ac:dyDescent="0.35">
      <c r="AJ6593" s="213"/>
    </row>
    <row r="6594" spans="36:36" x14ac:dyDescent="0.35">
      <c r="AJ6594" s="213"/>
    </row>
    <row r="6595" spans="36:36" x14ac:dyDescent="0.35">
      <c r="AJ6595" s="213"/>
    </row>
    <row r="6596" spans="36:36" x14ac:dyDescent="0.35">
      <c r="AJ6596" s="213"/>
    </row>
    <row r="6597" spans="36:36" x14ac:dyDescent="0.35">
      <c r="AJ6597" s="213"/>
    </row>
    <row r="6598" spans="36:36" x14ac:dyDescent="0.35">
      <c r="AJ6598" s="213"/>
    </row>
    <row r="6599" spans="36:36" x14ac:dyDescent="0.35">
      <c r="AJ6599" s="213"/>
    </row>
    <row r="6600" spans="36:36" x14ac:dyDescent="0.35">
      <c r="AJ6600" s="213"/>
    </row>
    <row r="6601" spans="36:36" x14ac:dyDescent="0.35">
      <c r="AJ6601" s="213"/>
    </row>
    <row r="6602" spans="36:36" x14ac:dyDescent="0.35">
      <c r="AJ6602" s="213"/>
    </row>
    <row r="6603" spans="36:36" x14ac:dyDescent="0.35">
      <c r="AJ6603" s="213"/>
    </row>
    <row r="6604" spans="36:36" x14ac:dyDescent="0.35">
      <c r="AJ6604" s="213"/>
    </row>
    <row r="6605" spans="36:36" x14ac:dyDescent="0.35">
      <c r="AJ6605" s="213"/>
    </row>
    <row r="6606" spans="36:36" x14ac:dyDescent="0.35">
      <c r="AJ6606" s="213"/>
    </row>
    <row r="6607" spans="36:36" x14ac:dyDescent="0.35">
      <c r="AJ6607" s="213"/>
    </row>
    <row r="6608" spans="36:36" x14ac:dyDescent="0.35">
      <c r="AJ6608" s="213"/>
    </row>
    <row r="6609" spans="36:36" x14ac:dyDescent="0.35">
      <c r="AJ6609" s="213"/>
    </row>
    <row r="6610" spans="36:36" x14ac:dyDescent="0.35">
      <c r="AJ6610" s="213"/>
    </row>
    <row r="6611" spans="36:36" x14ac:dyDescent="0.35">
      <c r="AJ6611" s="213"/>
    </row>
    <row r="6612" spans="36:36" x14ac:dyDescent="0.35">
      <c r="AJ6612" s="213"/>
    </row>
    <row r="6613" spans="36:36" x14ac:dyDescent="0.35">
      <c r="AJ6613" s="213"/>
    </row>
    <row r="6614" spans="36:36" x14ac:dyDescent="0.35">
      <c r="AJ6614" s="213"/>
    </row>
    <row r="6615" spans="36:36" x14ac:dyDescent="0.35">
      <c r="AJ6615" s="213"/>
    </row>
    <row r="6616" spans="36:36" x14ac:dyDescent="0.35">
      <c r="AJ6616" s="213"/>
    </row>
    <row r="6617" spans="36:36" x14ac:dyDescent="0.35">
      <c r="AJ6617" s="213"/>
    </row>
    <row r="6618" spans="36:36" x14ac:dyDescent="0.35">
      <c r="AJ6618" s="213"/>
    </row>
    <row r="6619" spans="36:36" x14ac:dyDescent="0.35">
      <c r="AJ6619" s="213"/>
    </row>
    <row r="6620" spans="36:36" x14ac:dyDescent="0.35">
      <c r="AJ6620" s="213"/>
    </row>
    <row r="6621" spans="36:36" x14ac:dyDescent="0.35">
      <c r="AJ6621" s="213"/>
    </row>
    <row r="6622" spans="36:36" x14ac:dyDescent="0.35">
      <c r="AJ6622" s="213"/>
    </row>
    <row r="6623" spans="36:36" x14ac:dyDescent="0.35">
      <c r="AJ6623" s="213"/>
    </row>
    <row r="6624" spans="36:36" x14ac:dyDescent="0.35">
      <c r="AJ6624" s="213"/>
    </row>
    <row r="6625" spans="36:36" x14ac:dyDescent="0.35">
      <c r="AJ6625" s="213"/>
    </row>
    <row r="6626" spans="36:36" x14ac:dyDescent="0.35">
      <c r="AJ6626" s="213"/>
    </row>
    <row r="6627" spans="36:36" x14ac:dyDescent="0.35">
      <c r="AJ6627" s="213"/>
    </row>
    <row r="6628" spans="36:36" x14ac:dyDescent="0.35">
      <c r="AJ6628" s="213"/>
    </row>
    <row r="6629" spans="36:36" x14ac:dyDescent="0.35">
      <c r="AJ6629" s="213"/>
    </row>
    <row r="6630" spans="36:36" x14ac:dyDescent="0.35">
      <c r="AJ6630" s="213"/>
    </row>
    <row r="6631" spans="36:36" x14ac:dyDescent="0.35">
      <c r="AJ6631" s="213"/>
    </row>
    <row r="6632" spans="36:36" x14ac:dyDescent="0.35">
      <c r="AJ6632" s="213"/>
    </row>
    <row r="6633" spans="36:36" x14ac:dyDescent="0.35">
      <c r="AJ6633" s="213"/>
    </row>
    <row r="6634" spans="36:36" x14ac:dyDescent="0.35">
      <c r="AJ6634" s="213"/>
    </row>
    <row r="6635" spans="36:36" x14ac:dyDescent="0.35">
      <c r="AJ6635" s="213"/>
    </row>
    <row r="6636" spans="36:36" x14ac:dyDescent="0.35">
      <c r="AJ6636" s="213"/>
    </row>
    <row r="6637" spans="36:36" x14ac:dyDescent="0.35">
      <c r="AJ6637" s="213"/>
    </row>
    <row r="6638" spans="36:36" x14ac:dyDescent="0.35">
      <c r="AJ6638" s="213"/>
    </row>
    <row r="6639" spans="36:36" x14ac:dyDescent="0.35">
      <c r="AJ6639" s="213"/>
    </row>
    <row r="6640" spans="36:36" x14ac:dyDescent="0.35">
      <c r="AJ6640" s="213"/>
    </row>
    <row r="6641" spans="36:36" x14ac:dyDescent="0.35">
      <c r="AJ6641" s="213"/>
    </row>
    <row r="6642" spans="36:36" x14ac:dyDescent="0.35">
      <c r="AJ6642" s="213"/>
    </row>
    <row r="6643" spans="36:36" x14ac:dyDescent="0.35">
      <c r="AJ6643" s="213"/>
    </row>
    <row r="6644" spans="36:36" x14ac:dyDescent="0.35">
      <c r="AJ6644" s="213"/>
    </row>
    <row r="6645" spans="36:36" x14ac:dyDescent="0.35">
      <c r="AJ6645" s="213"/>
    </row>
    <row r="6646" spans="36:36" x14ac:dyDescent="0.35">
      <c r="AJ6646" s="213"/>
    </row>
    <row r="6647" spans="36:36" x14ac:dyDescent="0.35">
      <c r="AJ6647" s="213"/>
    </row>
    <row r="6648" spans="36:36" x14ac:dyDescent="0.35">
      <c r="AJ6648" s="213"/>
    </row>
    <row r="6649" spans="36:36" x14ac:dyDescent="0.35">
      <c r="AJ6649" s="213"/>
    </row>
    <row r="6650" spans="36:36" x14ac:dyDescent="0.35">
      <c r="AJ6650" s="213"/>
    </row>
    <row r="6651" spans="36:36" x14ac:dyDescent="0.35">
      <c r="AJ6651" s="213"/>
    </row>
    <row r="6652" spans="36:36" x14ac:dyDescent="0.35">
      <c r="AJ6652" s="213"/>
    </row>
    <row r="6653" spans="36:36" x14ac:dyDescent="0.35">
      <c r="AJ6653" s="213"/>
    </row>
    <row r="6654" spans="36:36" x14ac:dyDescent="0.35">
      <c r="AJ6654" s="213"/>
    </row>
    <row r="6655" spans="36:36" x14ac:dyDescent="0.35">
      <c r="AJ6655" s="213"/>
    </row>
    <row r="6656" spans="36:36" x14ac:dyDescent="0.35">
      <c r="AJ6656" s="213"/>
    </row>
    <row r="6657" spans="36:36" x14ac:dyDescent="0.35">
      <c r="AJ6657" s="213"/>
    </row>
    <row r="6658" spans="36:36" x14ac:dyDescent="0.35">
      <c r="AJ6658" s="213"/>
    </row>
    <row r="6659" spans="36:36" x14ac:dyDescent="0.35">
      <c r="AJ6659" s="213"/>
    </row>
    <row r="6660" spans="36:36" x14ac:dyDescent="0.35">
      <c r="AJ6660" s="213"/>
    </row>
    <row r="6661" spans="36:36" x14ac:dyDescent="0.35">
      <c r="AJ6661" s="213"/>
    </row>
    <row r="6662" spans="36:36" x14ac:dyDescent="0.35">
      <c r="AJ6662" s="213"/>
    </row>
    <row r="6663" spans="36:36" x14ac:dyDescent="0.35">
      <c r="AJ6663" s="213"/>
    </row>
    <row r="6664" spans="36:36" x14ac:dyDescent="0.35">
      <c r="AJ6664" s="213"/>
    </row>
    <row r="6665" spans="36:36" x14ac:dyDescent="0.35">
      <c r="AJ6665" s="213"/>
    </row>
    <row r="6666" spans="36:36" x14ac:dyDescent="0.35">
      <c r="AJ6666" s="213"/>
    </row>
    <row r="6667" spans="36:36" x14ac:dyDescent="0.35">
      <c r="AJ6667" s="213"/>
    </row>
    <row r="6668" spans="36:36" x14ac:dyDescent="0.35">
      <c r="AJ6668" s="213"/>
    </row>
    <row r="6669" spans="36:36" x14ac:dyDescent="0.35">
      <c r="AJ6669" s="213"/>
    </row>
    <row r="6670" spans="36:36" x14ac:dyDescent="0.35">
      <c r="AJ6670" s="213"/>
    </row>
    <row r="6671" spans="36:36" x14ac:dyDescent="0.35">
      <c r="AJ6671" s="213"/>
    </row>
    <row r="6672" spans="36:36" x14ac:dyDescent="0.35">
      <c r="AJ6672" s="213"/>
    </row>
    <row r="6673" spans="36:36" x14ac:dyDescent="0.35">
      <c r="AJ6673" s="213"/>
    </row>
    <row r="6674" spans="36:36" x14ac:dyDescent="0.35">
      <c r="AJ6674" s="213"/>
    </row>
    <row r="6675" spans="36:36" x14ac:dyDescent="0.35">
      <c r="AJ6675" s="213"/>
    </row>
    <row r="6676" spans="36:36" x14ac:dyDescent="0.35">
      <c r="AJ6676" s="213"/>
    </row>
    <row r="6677" spans="36:36" x14ac:dyDescent="0.35">
      <c r="AJ6677" s="213"/>
    </row>
    <row r="6678" spans="36:36" x14ac:dyDescent="0.35">
      <c r="AJ6678" s="213"/>
    </row>
    <row r="6679" spans="36:36" x14ac:dyDescent="0.35">
      <c r="AJ6679" s="213"/>
    </row>
    <row r="6680" spans="36:36" x14ac:dyDescent="0.35">
      <c r="AJ6680" s="213"/>
    </row>
    <row r="6681" spans="36:36" x14ac:dyDescent="0.35">
      <c r="AJ6681" s="213"/>
    </row>
    <row r="6682" spans="36:36" x14ac:dyDescent="0.35">
      <c r="AJ6682" s="213"/>
    </row>
    <row r="6683" spans="36:36" x14ac:dyDescent="0.35">
      <c r="AJ6683" s="213"/>
    </row>
    <row r="6684" spans="36:36" x14ac:dyDescent="0.35">
      <c r="AJ6684" s="213"/>
    </row>
    <row r="6685" spans="36:36" x14ac:dyDescent="0.35">
      <c r="AJ6685" s="213"/>
    </row>
    <row r="6686" spans="36:36" x14ac:dyDescent="0.35">
      <c r="AJ6686" s="213"/>
    </row>
    <row r="6687" spans="36:36" x14ac:dyDescent="0.35">
      <c r="AJ6687" s="213"/>
    </row>
    <row r="6688" spans="36:36" x14ac:dyDescent="0.35">
      <c r="AJ6688" s="213"/>
    </row>
    <row r="6689" spans="36:36" x14ac:dyDescent="0.35">
      <c r="AJ6689" s="213"/>
    </row>
    <row r="6690" spans="36:36" x14ac:dyDescent="0.35">
      <c r="AJ6690" s="213"/>
    </row>
    <row r="6691" spans="36:36" x14ac:dyDescent="0.35">
      <c r="AJ6691" s="213"/>
    </row>
    <row r="6692" spans="36:36" x14ac:dyDescent="0.35">
      <c r="AJ6692" s="213"/>
    </row>
    <row r="6693" spans="36:36" x14ac:dyDescent="0.35">
      <c r="AJ6693" s="213"/>
    </row>
    <row r="6694" spans="36:36" x14ac:dyDescent="0.35">
      <c r="AJ6694" s="213"/>
    </row>
    <row r="6695" spans="36:36" x14ac:dyDescent="0.35">
      <c r="AJ6695" s="213"/>
    </row>
    <row r="6696" spans="36:36" x14ac:dyDescent="0.35">
      <c r="AJ6696" s="213"/>
    </row>
    <row r="6697" spans="36:36" x14ac:dyDescent="0.35">
      <c r="AJ6697" s="213"/>
    </row>
    <row r="6698" spans="36:36" x14ac:dyDescent="0.35">
      <c r="AJ6698" s="213"/>
    </row>
    <row r="6699" spans="36:36" x14ac:dyDescent="0.35">
      <c r="AJ6699" s="213"/>
    </row>
    <row r="6700" spans="36:36" x14ac:dyDescent="0.35">
      <c r="AJ6700" s="213"/>
    </row>
    <row r="6701" spans="36:36" x14ac:dyDescent="0.35">
      <c r="AJ6701" s="213"/>
    </row>
    <row r="6702" spans="36:36" x14ac:dyDescent="0.35">
      <c r="AJ6702" s="213"/>
    </row>
    <row r="6703" spans="36:36" x14ac:dyDescent="0.35">
      <c r="AJ6703" s="213"/>
    </row>
    <row r="6704" spans="36:36" x14ac:dyDescent="0.35">
      <c r="AJ6704" s="213"/>
    </row>
    <row r="6705" spans="36:36" x14ac:dyDescent="0.35">
      <c r="AJ6705" s="213"/>
    </row>
    <row r="6706" spans="36:36" x14ac:dyDescent="0.35">
      <c r="AJ6706" s="213"/>
    </row>
    <row r="6707" spans="36:36" x14ac:dyDescent="0.35">
      <c r="AJ6707" s="213"/>
    </row>
    <row r="6708" spans="36:36" x14ac:dyDescent="0.35">
      <c r="AJ6708" s="213"/>
    </row>
    <row r="6709" spans="36:36" x14ac:dyDescent="0.35">
      <c r="AJ6709" s="213"/>
    </row>
    <row r="6710" spans="36:36" x14ac:dyDescent="0.35">
      <c r="AJ6710" s="213"/>
    </row>
    <row r="6711" spans="36:36" x14ac:dyDescent="0.35">
      <c r="AJ6711" s="213"/>
    </row>
    <row r="6712" spans="36:36" x14ac:dyDescent="0.35">
      <c r="AJ6712" s="213"/>
    </row>
    <row r="6713" spans="36:36" x14ac:dyDescent="0.35">
      <c r="AJ6713" s="213"/>
    </row>
    <row r="6714" spans="36:36" x14ac:dyDescent="0.35">
      <c r="AJ6714" s="213"/>
    </row>
    <row r="6715" spans="36:36" x14ac:dyDescent="0.35">
      <c r="AJ6715" s="213"/>
    </row>
    <row r="6716" spans="36:36" x14ac:dyDescent="0.35">
      <c r="AJ6716" s="213"/>
    </row>
    <row r="6717" spans="36:36" x14ac:dyDescent="0.35">
      <c r="AJ6717" s="213"/>
    </row>
    <row r="6718" spans="36:36" x14ac:dyDescent="0.35">
      <c r="AJ6718" s="213"/>
    </row>
    <row r="6719" spans="36:36" x14ac:dyDescent="0.35">
      <c r="AJ6719" s="213"/>
    </row>
    <row r="6720" spans="36:36" x14ac:dyDescent="0.35">
      <c r="AJ6720" s="213"/>
    </row>
    <row r="6721" spans="36:36" x14ac:dyDescent="0.35">
      <c r="AJ6721" s="213"/>
    </row>
    <row r="6722" spans="36:36" x14ac:dyDescent="0.35">
      <c r="AJ6722" s="213"/>
    </row>
    <row r="6723" spans="36:36" x14ac:dyDescent="0.35">
      <c r="AJ6723" s="213"/>
    </row>
    <row r="6724" spans="36:36" x14ac:dyDescent="0.35">
      <c r="AJ6724" s="213"/>
    </row>
    <row r="6725" spans="36:36" x14ac:dyDescent="0.35">
      <c r="AJ6725" s="213"/>
    </row>
    <row r="6726" spans="36:36" x14ac:dyDescent="0.35">
      <c r="AJ6726" s="213"/>
    </row>
    <row r="6727" spans="36:36" x14ac:dyDescent="0.35">
      <c r="AJ6727" s="213"/>
    </row>
    <row r="6728" spans="36:36" x14ac:dyDescent="0.35">
      <c r="AJ6728" s="213"/>
    </row>
    <row r="6729" spans="36:36" x14ac:dyDescent="0.35">
      <c r="AJ6729" s="213"/>
    </row>
    <row r="6730" spans="36:36" x14ac:dyDescent="0.35">
      <c r="AJ6730" s="213"/>
    </row>
    <row r="6731" spans="36:36" x14ac:dyDescent="0.35">
      <c r="AJ6731" s="213"/>
    </row>
    <row r="6732" spans="36:36" x14ac:dyDescent="0.35">
      <c r="AJ6732" s="213"/>
    </row>
    <row r="6733" spans="36:36" x14ac:dyDescent="0.35">
      <c r="AJ6733" s="213"/>
    </row>
    <row r="6734" spans="36:36" x14ac:dyDescent="0.35">
      <c r="AJ6734" s="213"/>
    </row>
    <row r="6735" spans="36:36" x14ac:dyDescent="0.35">
      <c r="AJ6735" s="213"/>
    </row>
    <row r="6736" spans="36:36" x14ac:dyDescent="0.35">
      <c r="AJ6736" s="213"/>
    </row>
    <row r="6737" spans="36:36" x14ac:dyDescent="0.35">
      <c r="AJ6737" s="213"/>
    </row>
    <row r="6738" spans="36:36" x14ac:dyDescent="0.35">
      <c r="AJ6738" s="213"/>
    </row>
    <row r="6739" spans="36:36" x14ac:dyDescent="0.35">
      <c r="AJ6739" s="213"/>
    </row>
    <row r="6740" spans="36:36" x14ac:dyDescent="0.35">
      <c r="AJ6740" s="213"/>
    </row>
    <row r="6741" spans="36:36" x14ac:dyDescent="0.35">
      <c r="AJ6741" s="213"/>
    </row>
    <row r="6742" spans="36:36" x14ac:dyDescent="0.35">
      <c r="AJ6742" s="213"/>
    </row>
    <row r="6743" spans="36:36" x14ac:dyDescent="0.35">
      <c r="AJ6743" s="213"/>
    </row>
    <row r="6744" spans="36:36" x14ac:dyDescent="0.35">
      <c r="AJ6744" s="213"/>
    </row>
    <row r="6745" spans="36:36" x14ac:dyDescent="0.35">
      <c r="AJ6745" s="213"/>
    </row>
    <row r="6746" spans="36:36" x14ac:dyDescent="0.35">
      <c r="AJ6746" s="213"/>
    </row>
    <row r="6747" spans="36:36" x14ac:dyDescent="0.35">
      <c r="AJ6747" s="213"/>
    </row>
    <row r="6748" spans="36:36" x14ac:dyDescent="0.35">
      <c r="AJ6748" s="213"/>
    </row>
    <row r="6749" spans="36:36" x14ac:dyDescent="0.35">
      <c r="AJ6749" s="213"/>
    </row>
    <row r="6750" spans="36:36" x14ac:dyDescent="0.35">
      <c r="AJ6750" s="213"/>
    </row>
    <row r="6751" spans="36:36" x14ac:dyDescent="0.35">
      <c r="AJ6751" s="213"/>
    </row>
    <row r="6752" spans="36:36" x14ac:dyDescent="0.35">
      <c r="AJ6752" s="213"/>
    </row>
    <row r="6753" spans="36:36" x14ac:dyDescent="0.35">
      <c r="AJ6753" s="213"/>
    </row>
    <row r="6754" spans="36:36" x14ac:dyDescent="0.35">
      <c r="AJ6754" s="213"/>
    </row>
    <row r="6755" spans="36:36" x14ac:dyDescent="0.35">
      <c r="AJ6755" s="213"/>
    </row>
    <row r="6756" spans="36:36" x14ac:dyDescent="0.35">
      <c r="AJ6756" s="213"/>
    </row>
    <row r="6757" spans="36:36" x14ac:dyDescent="0.35">
      <c r="AJ6757" s="213"/>
    </row>
    <row r="6758" spans="36:36" x14ac:dyDescent="0.35">
      <c r="AJ6758" s="213"/>
    </row>
    <row r="6759" spans="36:36" x14ac:dyDescent="0.35">
      <c r="AJ6759" s="213"/>
    </row>
    <row r="6760" spans="36:36" x14ac:dyDescent="0.35">
      <c r="AJ6760" s="213"/>
    </row>
    <row r="6761" spans="36:36" x14ac:dyDescent="0.35">
      <c r="AJ6761" s="213"/>
    </row>
    <row r="6762" spans="36:36" x14ac:dyDescent="0.35">
      <c r="AJ6762" s="213"/>
    </row>
    <row r="6763" spans="36:36" x14ac:dyDescent="0.35">
      <c r="AJ6763" s="213"/>
    </row>
    <row r="6764" spans="36:36" x14ac:dyDescent="0.35">
      <c r="AJ6764" s="213"/>
    </row>
    <row r="6765" spans="36:36" x14ac:dyDescent="0.35">
      <c r="AJ6765" s="213"/>
    </row>
    <row r="6766" spans="36:36" x14ac:dyDescent="0.35">
      <c r="AJ6766" s="213"/>
    </row>
    <row r="6767" spans="36:36" x14ac:dyDescent="0.35">
      <c r="AJ6767" s="213"/>
    </row>
    <row r="6768" spans="36:36" x14ac:dyDescent="0.35">
      <c r="AJ6768" s="213"/>
    </row>
    <row r="6769" spans="36:36" x14ac:dyDescent="0.35">
      <c r="AJ6769" s="213"/>
    </row>
    <row r="6770" spans="36:36" x14ac:dyDescent="0.35">
      <c r="AJ6770" s="213"/>
    </row>
    <row r="6771" spans="36:36" x14ac:dyDescent="0.35">
      <c r="AJ6771" s="213"/>
    </row>
    <row r="6772" spans="36:36" x14ac:dyDescent="0.35">
      <c r="AJ6772" s="213"/>
    </row>
    <row r="6773" spans="36:36" x14ac:dyDescent="0.35">
      <c r="AJ6773" s="213"/>
    </row>
    <row r="6774" spans="36:36" x14ac:dyDescent="0.35">
      <c r="AJ6774" s="213"/>
    </row>
    <row r="6775" spans="36:36" x14ac:dyDescent="0.35">
      <c r="AJ6775" s="213"/>
    </row>
    <row r="6776" spans="36:36" x14ac:dyDescent="0.35">
      <c r="AJ6776" s="213"/>
    </row>
    <row r="6777" spans="36:36" x14ac:dyDescent="0.35">
      <c r="AJ6777" s="213"/>
    </row>
    <row r="6778" spans="36:36" x14ac:dyDescent="0.35">
      <c r="AJ6778" s="213"/>
    </row>
    <row r="6779" spans="36:36" x14ac:dyDescent="0.35">
      <c r="AJ6779" s="213"/>
    </row>
    <row r="6780" spans="36:36" x14ac:dyDescent="0.35">
      <c r="AJ6780" s="213"/>
    </row>
    <row r="6781" spans="36:36" x14ac:dyDescent="0.35">
      <c r="AJ6781" s="213"/>
    </row>
    <row r="6782" spans="36:36" x14ac:dyDescent="0.35">
      <c r="AJ6782" s="213"/>
    </row>
    <row r="6783" spans="36:36" x14ac:dyDescent="0.35">
      <c r="AJ6783" s="213"/>
    </row>
    <row r="6784" spans="36:36" x14ac:dyDescent="0.35">
      <c r="AJ6784" s="213"/>
    </row>
    <row r="6785" spans="36:36" x14ac:dyDescent="0.35">
      <c r="AJ6785" s="213"/>
    </row>
    <row r="6786" spans="36:36" x14ac:dyDescent="0.35">
      <c r="AJ6786" s="213"/>
    </row>
    <row r="6787" spans="36:36" x14ac:dyDescent="0.35">
      <c r="AJ6787" s="213"/>
    </row>
    <row r="6788" spans="36:36" x14ac:dyDescent="0.35">
      <c r="AJ6788" s="213"/>
    </row>
    <row r="6789" spans="36:36" x14ac:dyDescent="0.35">
      <c r="AJ6789" s="213"/>
    </row>
    <row r="6790" spans="36:36" x14ac:dyDescent="0.35">
      <c r="AJ6790" s="213"/>
    </row>
    <row r="6791" spans="36:36" x14ac:dyDescent="0.35">
      <c r="AJ6791" s="213"/>
    </row>
    <row r="6792" spans="36:36" x14ac:dyDescent="0.35">
      <c r="AJ6792" s="213"/>
    </row>
    <row r="6793" spans="36:36" x14ac:dyDescent="0.35">
      <c r="AJ6793" s="213"/>
    </row>
    <row r="6794" spans="36:36" x14ac:dyDescent="0.35">
      <c r="AJ6794" s="213"/>
    </row>
    <row r="6795" spans="36:36" x14ac:dyDescent="0.35">
      <c r="AJ6795" s="213"/>
    </row>
    <row r="6796" spans="36:36" x14ac:dyDescent="0.35">
      <c r="AJ6796" s="213"/>
    </row>
    <row r="6797" spans="36:36" x14ac:dyDescent="0.35">
      <c r="AJ6797" s="213"/>
    </row>
    <row r="6798" spans="36:36" x14ac:dyDescent="0.35">
      <c r="AJ6798" s="213"/>
    </row>
    <row r="6799" spans="36:36" x14ac:dyDescent="0.35">
      <c r="AJ6799" s="213"/>
    </row>
    <row r="6800" spans="36:36" x14ac:dyDescent="0.35">
      <c r="AJ6800" s="213"/>
    </row>
    <row r="6801" spans="36:36" x14ac:dyDescent="0.35">
      <c r="AJ6801" s="213"/>
    </row>
    <row r="6802" spans="36:36" x14ac:dyDescent="0.35">
      <c r="AJ6802" s="213"/>
    </row>
    <row r="6803" spans="36:36" x14ac:dyDescent="0.35">
      <c r="AJ6803" s="213"/>
    </row>
    <row r="6804" spans="36:36" x14ac:dyDescent="0.35">
      <c r="AJ6804" s="213"/>
    </row>
    <row r="6805" spans="36:36" x14ac:dyDescent="0.35">
      <c r="AJ6805" s="213"/>
    </row>
    <row r="6806" spans="36:36" x14ac:dyDescent="0.35">
      <c r="AJ6806" s="213"/>
    </row>
    <row r="6807" spans="36:36" x14ac:dyDescent="0.35">
      <c r="AJ6807" s="213"/>
    </row>
    <row r="6808" spans="36:36" x14ac:dyDescent="0.35">
      <c r="AJ6808" s="213"/>
    </row>
    <row r="6809" spans="36:36" x14ac:dyDescent="0.35">
      <c r="AJ6809" s="213"/>
    </row>
    <row r="6810" spans="36:36" x14ac:dyDescent="0.35">
      <c r="AJ6810" s="213"/>
    </row>
    <row r="6811" spans="36:36" x14ac:dyDescent="0.35">
      <c r="AJ6811" s="213"/>
    </row>
    <row r="6812" spans="36:36" x14ac:dyDescent="0.35">
      <c r="AJ6812" s="213"/>
    </row>
    <row r="6813" spans="36:36" x14ac:dyDescent="0.35">
      <c r="AJ6813" s="213"/>
    </row>
    <row r="6814" spans="36:36" x14ac:dyDescent="0.35">
      <c r="AJ6814" s="213"/>
    </row>
    <row r="6815" spans="36:36" x14ac:dyDescent="0.35">
      <c r="AJ6815" s="213"/>
    </row>
    <row r="6816" spans="36:36" x14ac:dyDescent="0.35">
      <c r="AJ6816" s="213"/>
    </row>
    <row r="6817" spans="36:36" x14ac:dyDescent="0.35">
      <c r="AJ6817" s="213"/>
    </row>
    <row r="6818" spans="36:36" x14ac:dyDescent="0.35">
      <c r="AJ6818" s="213"/>
    </row>
    <row r="6819" spans="36:36" x14ac:dyDescent="0.35">
      <c r="AJ6819" s="213"/>
    </row>
    <row r="6820" spans="36:36" x14ac:dyDescent="0.35">
      <c r="AJ6820" s="213"/>
    </row>
    <row r="6821" spans="36:36" x14ac:dyDescent="0.35">
      <c r="AJ6821" s="213"/>
    </row>
    <row r="6822" spans="36:36" x14ac:dyDescent="0.35">
      <c r="AJ6822" s="213"/>
    </row>
    <row r="6823" spans="36:36" x14ac:dyDescent="0.35">
      <c r="AJ6823" s="213"/>
    </row>
    <row r="6824" spans="36:36" x14ac:dyDescent="0.35">
      <c r="AJ6824" s="213"/>
    </row>
    <row r="6825" spans="36:36" x14ac:dyDescent="0.35">
      <c r="AJ6825" s="213"/>
    </row>
    <row r="6826" spans="36:36" x14ac:dyDescent="0.35">
      <c r="AJ6826" s="213"/>
    </row>
    <row r="6827" spans="36:36" x14ac:dyDescent="0.35">
      <c r="AJ6827" s="213"/>
    </row>
    <row r="6828" spans="36:36" x14ac:dyDescent="0.35">
      <c r="AJ6828" s="213"/>
    </row>
    <row r="6829" spans="36:36" x14ac:dyDescent="0.35">
      <c r="AJ6829" s="213"/>
    </row>
    <row r="6830" spans="36:36" x14ac:dyDescent="0.35">
      <c r="AJ6830" s="213"/>
    </row>
    <row r="6831" spans="36:36" x14ac:dyDescent="0.35">
      <c r="AJ6831" s="213"/>
    </row>
    <row r="6832" spans="36:36" x14ac:dyDescent="0.35">
      <c r="AJ6832" s="213"/>
    </row>
    <row r="6833" spans="36:36" x14ac:dyDescent="0.35">
      <c r="AJ6833" s="213"/>
    </row>
    <row r="6834" spans="36:36" x14ac:dyDescent="0.35">
      <c r="AJ6834" s="213"/>
    </row>
    <row r="6835" spans="36:36" x14ac:dyDescent="0.35">
      <c r="AJ6835" s="213"/>
    </row>
    <row r="6836" spans="36:36" x14ac:dyDescent="0.35">
      <c r="AJ6836" s="213"/>
    </row>
    <row r="6837" spans="36:36" x14ac:dyDescent="0.35">
      <c r="AJ6837" s="213"/>
    </row>
    <row r="6838" spans="36:36" x14ac:dyDescent="0.35">
      <c r="AJ6838" s="213"/>
    </row>
    <row r="6839" spans="36:36" x14ac:dyDescent="0.35">
      <c r="AJ6839" s="213"/>
    </row>
    <row r="6840" spans="36:36" x14ac:dyDescent="0.35">
      <c r="AJ6840" s="213"/>
    </row>
    <row r="6841" spans="36:36" x14ac:dyDescent="0.35">
      <c r="AJ6841" s="213"/>
    </row>
    <row r="6842" spans="36:36" x14ac:dyDescent="0.35">
      <c r="AJ6842" s="213"/>
    </row>
    <row r="6843" spans="36:36" x14ac:dyDescent="0.35">
      <c r="AJ6843" s="213"/>
    </row>
    <row r="6844" spans="36:36" x14ac:dyDescent="0.35">
      <c r="AJ6844" s="213"/>
    </row>
    <row r="6845" spans="36:36" x14ac:dyDescent="0.35">
      <c r="AJ6845" s="213"/>
    </row>
    <row r="6846" spans="36:36" x14ac:dyDescent="0.35">
      <c r="AJ6846" s="213"/>
    </row>
    <row r="6847" spans="36:36" x14ac:dyDescent="0.35">
      <c r="AJ6847" s="213"/>
    </row>
    <row r="6848" spans="36:36" x14ac:dyDescent="0.35">
      <c r="AJ6848" s="213"/>
    </row>
    <row r="6849" spans="36:36" x14ac:dyDescent="0.35">
      <c r="AJ6849" s="213"/>
    </row>
    <row r="6850" spans="36:36" x14ac:dyDescent="0.35">
      <c r="AJ6850" s="213"/>
    </row>
    <row r="6851" spans="36:36" x14ac:dyDescent="0.35">
      <c r="AJ6851" s="213"/>
    </row>
    <row r="6852" spans="36:36" x14ac:dyDescent="0.35">
      <c r="AJ6852" s="213"/>
    </row>
    <row r="6853" spans="36:36" x14ac:dyDescent="0.35">
      <c r="AJ6853" s="213"/>
    </row>
    <row r="6854" spans="36:36" x14ac:dyDescent="0.35">
      <c r="AJ6854" s="213"/>
    </row>
    <row r="6855" spans="36:36" x14ac:dyDescent="0.35">
      <c r="AJ6855" s="213"/>
    </row>
    <row r="6856" spans="36:36" x14ac:dyDescent="0.35">
      <c r="AJ6856" s="213"/>
    </row>
    <row r="6857" spans="36:36" x14ac:dyDescent="0.35">
      <c r="AJ6857" s="213"/>
    </row>
    <row r="6858" spans="36:36" x14ac:dyDescent="0.35">
      <c r="AJ6858" s="213"/>
    </row>
    <row r="6859" spans="36:36" x14ac:dyDescent="0.35">
      <c r="AJ6859" s="213"/>
    </row>
    <row r="6860" spans="36:36" x14ac:dyDescent="0.35">
      <c r="AJ6860" s="213"/>
    </row>
    <row r="6861" spans="36:36" x14ac:dyDescent="0.35">
      <c r="AJ6861" s="213"/>
    </row>
    <row r="6862" spans="36:36" x14ac:dyDescent="0.35">
      <c r="AJ6862" s="213"/>
    </row>
    <row r="6863" spans="36:36" x14ac:dyDescent="0.35">
      <c r="AJ6863" s="213"/>
    </row>
    <row r="6864" spans="36:36" x14ac:dyDescent="0.35">
      <c r="AJ6864" s="213"/>
    </row>
    <row r="6865" spans="36:36" x14ac:dyDescent="0.35">
      <c r="AJ6865" s="213"/>
    </row>
    <row r="6866" spans="36:36" x14ac:dyDescent="0.35">
      <c r="AJ6866" s="213"/>
    </row>
    <row r="6867" spans="36:36" x14ac:dyDescent="0.35">
      <c r="AJ6867" s="213"/>
    </row>
    <row r="6868" spans="36:36" x14ac:dyDescent="0.35">
      <c r="AJ6868" s="213"/>
    </row>
    <row r="6869" spans="36:36" x14ac:dyDescent="0.35">
      <c r="AJ6869" s="213"/>
    </row>
    <row r="6870" spans="36:36" x14ac:dyDescent="0.35">
      <c r="AJ6870" s="213"/>
    </row>
    <row r="6871" spans="36:36" x14ac:dyDescent="0.35">
      <c r="AJ6871" s="213"/>
    </row>
    <row r="6872" spans="36:36" x14ac:dyDescent="0.35">
      <c r="AJ6872" s="213"/>
    </row>
    <row r="6873" spans="36:36" x14ac:dyDescent="0.35">
      <c r="AJ6873" s="213"/>
    </row>
    <row r="6874" spans="36:36" x14ac:dyDescent="0.35">
      <c r="AJ6874" s="213"/>
    </row>
    <row r="6875" spans="36:36" x14ac:dyDescent="0.35">
      <c r="AJ6875" s="213"/>
    </row>
    <row r="6876" spans="36:36" x14ac:dyDescent="0.35">
      <c r="AJ6876" s="213"/>
    </row>
    <row r="6877" spans="36:36" x14ac:dyDescent="0.35">
      <c r="AJ6877" s="213"/>
    </row>
    <row r="6878" spans="36:36" x14ac:dyDescent="0.35">
      <c r="AJ6878" s="213"/>
    </row>
    <row r="6879" spans="36:36" x14ac:dyDescent="0.35">
      <c r="AJ6879" s="213"/>
    </row>
    <row r="6880" spans="36:36" x14ac:dyDescent="0.35">
      <c r="AJ6880" s="213"/>
    </row>
    <row r="6881" spans="36:36" x14ac:dyDescent="0.35">
      <c r="AJ6881" s="213"/>
    </row>
    <row r="6882" spans="36:36" x14ac:dyDescent="0.35">
      <c r="AJ6882" s="213"/>
    </row>
    <row r="6883" spans="36:36" x14ac:dyDescent="0.35">
      <c r="AJ6883" s="213"/>
    </row>
    <row r="6884" spans="36:36" x14ac:dyDescent="0.35">
      <c r="AJ6884" s="213"/>
    </row>
    <row r="6885" spans="36:36" x14ac:dyDescent="0.35">
      <c r="AJ6885" s="213"/>
    </row>
    <row r="6886" spans="36:36" x14ac:dyDescent="0.35">
      <c r="AJ6886" s="213"/>
    </row>
    <row r="6887" spans="36:36" x14ac:dyDescent="0.35">
      <c r="AJ6887" s="213"/>
    </row>
    <row r="6888" spans="36:36" x14ac:dyDescent="0.35">
      <c r="AJ6888" s="213"/>
    </row>
    <row r="6889" spans="36:36" x14ac:dyDescent="0.35">
      <c r="AJ6889" s="213"/>
    </row>
    <row r="6890" spans="36:36" x14ac:dyDescent="0.35">
      <c r="AJ6890" s="213"/>
    </row>
    <row r="6891" spans="36:36" x14ac:dyDescent="0.35">
      <c r="AJ6891" s="213"/>
    </row>
    <row r="6892" spans="36:36" x14ac:dyDescent="0.35">
      <c r="AJ6892" s="213"/>
    </row>
    <row r="6893" spans="36:36" x14ac:dyDescent="0.35">
      <c r="AJ6893" s="213"/>
    </row>
    <row r="6894" spans="36:36" x14ac:dyDescent="0.35">
      <c r="AJ6894" s="213"/>
    </row>
    <row r="6895" spans="36:36" x14ac:dyDescent="0.35">
      <c r="AJ6895" s="213"/>
    </row>
    <row r="6896" spans="36:36" x14ac:dyDescent="0.35">
      <c r="AJ6896" s="213"/>
    </row>
    <row r="6897" spans="36:36" x14ac:dyDescent="0.35">
      <c r="AJ6897" s="213"/>
    </row>
    <row r="6898" spans="36:36" x14ac:dyDescent="0.35">
      <c r="AJ6898" s="213"/>
    </row>
    <row r="6899" spans="36:36" x14ac:dyDescent="0.35">
      <c r="AJ6899" s="213"/>
    </row>
    <row r="6900" spans="36:36" x14ac:dyDescent="0.35">
      <c r="AJ6900" s="213"/>
    </row>
    <row r="6901" spans="36:36" x14ac:dyDescent="0.35">
      <c r="AJ6901" s="213"/>
    </row>
    <row r="6902" spans="36:36" x14ac:dyDescent="0.35">
      <c r="AJ6902" s="213"/>
    </row>
    <row r="6903" spans="36:36" x14ac:dyDescent="0.35">
      <c r="AJ6903" s="213"/>
    </row>
    <row r="6904" spans="36:36" x14ac:dyDescent="0.35">
      <c r="AJ6904" s="213"/>
    </row>
    <row r="6905" spans="36:36" x14ac:dyDescent="0.35">
      <c r="AJ6905" s="213"/>
    </row>
    <row r="6906" spans="36:36" x14ac:dyDescent="0.35">
      <c r="AJ6906" s="213"/>
    </row>
    <row r="6907" spans="36:36" x14ac:dyDescent="0.35">
      <c r="AJ6907" s="213"/>
    </row>
    <row r="6908" spans="36:36" x14ac:dyDescent="0.35">
      <c r="AJ6908" s="213"/>
    </row>
    <row r="6909" spans="36:36" x14ac:dyDescent="0.35">
      <c r="AJ6909" s="213"/>
    </row>
    <row r="6910" spans="36:36" x14ac:dyDescent="0.35">
      <c r="AJ6910" s="213"/>
    </row>
    <row r="6911" spans="36:36" x14ac:dyDescent="0.35">
      <c r="AJ6911" s="213"/>
    </row>
    <row r="6912" spans="36:36" x14ac:dyDescent="0.35">
      <c r="AJ6912" s="213"/>
    </row>
    <row r="6913" spans="36:36" x14ac:dyDescent="0.35">
      <c r="AJ6913" s="213"/>
    </row>
    <row r="6914" spans="36:36" x14ac:dyDescent="0.35">
      <c r="AJ6914" s="213"/>
    </row>
    <row r="6915" spans="36:36" x14ac:dyDescent="0.35">
      <c r="AJ6915" s="213"/>
    </row>
    <row r="6916" spans="36:36" x14ac:dyDescent="0.35">
      <c r="AJ6916" s="213"/>
    </row>
    <row r="6917" spans="36:36" x14ac:dyDescent="0.35">
      <c r="AJ6917" s="213"/>
    </row>
    <row r="6918" spans="36:36" x14ac:dyDescent="0.35">
      <c r="AJ6918" s="213"/>
    </row>
    <row r="6919" spans="36:36" x14ac:dyDescent="0.35">
      <c r="AJ6919" s="213"/>
    </row>
    <row r="6920" spans="36:36" x14ac:dyDescent="0.35">
      <c r="AJ6920" s="213"/>
    </row>
    <row r="6921" spans="36:36" x14ac:dyDescent="0.35">
      <c r="AJ6921" s="213"/>
    </row>
    <row r="6922" spans="36:36" x14ac:dyDescent="0.35">
      <c r="AJ6922" s="213"/>
    </row>
    <row r="6923" spans="36:36" x14ac:dyDescent="0.35">
      <c r="AJ6923" s="213"/>
    </row>
    <row r="6924" spans="36:36" x14ac:dyDescent="0.35">
      <c r="AJ6924" s="213"/>
    </row>
    <row r="6925" spans="36:36" x14ac:dyDescent="0.35">
      <c r="AJ6925" s="213"/>
    </row>
    <row r="6926" spans="36:36" x14ac:dyDescent="0.35">
      <c r="AJ6926" s="213"/>
    </row>
    <row r="6927" spans="36:36" x14ac:dyDescent="0.35">
      <c r="AJ6927" s="213"/>
    </row>
    <row r="6928" spans="36:36" x14ac:dyDescent="0.35">
      <c r="AJ6928" s="213"/>
    </row>
    <row r="6929" spans="36:36" x14ac:dyDescent="0.35">
      <c r="AJ6929" s="213"/>
    </row>
    <row r="6930" spans="36:36" x14ac:dyDescent="0.35">
      <c r="AJ6930" s="213"/>
    </row>
    <row r="6931" spans="36:36" x14ac:dyDescent="0.35">
      <c r="AJ6931" s="213"/>
    </row>
    <row r="6932" spans="36:36" x14ac:dyDescent="0.35">
      <c r="AJ6932" s="213"/>
    </row>
    <row r="6933" spans="36:36" x14ac:dyDescent="0.35">
      <c r="AJ6933" s="213"/>
    </row>
    <row r="6934" spans="36:36" x14ac:dyDescent="0.35">
      <c r="AJ6934" s="213"/>
    </row>
    <row r="6935" spans="36:36" x14ac:dyDescent="0.35">
      <c r="AJ6935" s="213"/>
    </row>
    <row r="6936" spans="36:36" x14ac:dyDescent="0.35">
      <c r="AJ6936" s="213"/>
    </row>
    <row r="6937" spans="36:36" x14ac:dyDescent="0.35">
      <c r="AJ6937" s="213"/>
    </row>
    <row r="6938" spans="36:36" x14ac:dyDescent="0.35">
      <c r="AJ6938" s="213"/>
    </row>
    <row r="6939" spans="36:36" x14ac:dyDescent="0.35">
      <c r="AJ6939" s="213"/>
    </row>
    <row r="6940" spans="36:36" x14ac:dyDescent="0.35">
      <c r="AJ6940" s="213"/>
    </row>
    <row r="6941" spans="36:36" x14ac:dyDescent="0.35">
      <c r="AJ6941" s="213"/>
    </row>
    <row r="6942" spans="36:36" x14ac:dyDescent="0.35">
      <c r="AJ6942" s="213"/>
    </row>
    <row r="6943" spans="36:36" x14ac:dyDescent="0.35">
      <c r="AJ6943" s="213"/>
    </row>
    <row r="6944" spans="36:36" x14ac:dyDescent="0.35">
      <c r="AJ6944" s="213"/>
    </row>
    <row r="6945" spans="36:36" x14ac:dyDescent="0.35">
      <c r="AJ6945" s="213"/>
    </row>
    <row r="6946" spans="36:36" x14ac:dyDescent="0.35">
      <c r="AJ6946" s="213"/>
    </row>
    <row r="6947" spans="36:36" x14ac:dyDescent="0.35">
      <c r="AJ6947" s="213"/>
    </row>
    <row r="6948" spans="36:36" x14ac:dyDescent="0.35">
      <c r="AJ6948" s="213"/>
    </row>
    <row r="6949" spans="36:36" x14ac:dyDescent="0.35">
      <c r="AJ6949" s="213"/>
    </row>
    <row r="6950" spans="36:36" x14ac:dyDescent="0.35">
      <c r="AJ6950" s="213"/>
    </row>
    <row r="6951" spans="36:36" x14ac:dyDescent="0.35">
      <c r="AJ6951" s="213"/>
    </row>
    <row r="6952" spans="36:36" x14ac:dyDescent="0.35">
      <c r="AJ6952" s="213"/>
    </row>
    <row r="6953" spans="36:36" x14ac:dyDescent="0.35">
      <c r="AJ6953" s="213"/>
    </row>
    <row r="6954" spans="36:36" x14ac:dyDescent="0.35">
      <c r="AJ6954" s="213"/>
    </row>
    <row r="6955" spans="36:36" x14ac:dyDescent="0.35">
      <c r="AJ6955" s="213"/>
    </row>
    <row r="6956" spans="36:36" x14ac:dyDescent="0.35">
      <c r="AJ6956" s="213"/>
    </row>
    <row r="6957" spans="36:36" x14ac:dyDescent="0.35">
      <c r="AJ6957" s="213"/>
    </row>
    <row r="6958" spans="36:36" x14ac:dyDescent="0.35">
      <c r="AJ6958" s="213"/>
    </row>
    <row r="6959" spans="36:36" x14ac:dyDescent="0.35">
      <c r="AJ6959" s="213"/>
    </row>
    <row r="6960" spans="36:36" x14ac:dyDescent="0.35">
      <c r="AJ6960" s="213"/>
    </row>
    <row r="6961" spans="36:36" x14ac:dyDescent="0.35">
      <c r="AJ6961" s="213"/>
    </row>
    <row r="6962" spans="36:36" x14ac:dyDescent="0.35">
      <c r="AJ6962" s="213"/>
    </row>
    <row r="6963" spans="36:36" x14ac:dyDescent="0.35">
      <c r="AJ6963" s="213"/>
    </row>
    <row r="6964" spans="36:36" x14ac:dyDescent="0.35">
      <c r="AJ6964" s="213"/>
    </row>
    <row r="6965" spans="36:36" x14ac:dyDescent="0.35">
      <c r="AJ6965" s="213"/>
    </row>
    <row r="6966" spans="36:36" x14ac:dyDescent="0.35">
      <c r="AJ6966" s="213"/>
    </row>
    <row r="6967" spans="36:36" x14ac:dyDescent="0.35">
      <c r="AJ6967" s="213"/>
    </row>
    <row r="6968" spans="36:36" x14ac:dyDescent="0.35">
      <c r="AJ6968" s="213"/>
    </row>
    <row r="6969" spans="36:36" x14ac:dyDescent="0.35">
      <c r="AJ6969" s="213"/>
    </row>
    <row r="6970" spans="36:36" x14ac:dyDescent="0.35">
      <c r="AJ6970" s="213"/>
    </row>
    <row r="6971" spans="36:36" x14ac:dyDescent="0.35">
      <c r="AJ6971" s="213"/>
    </row>
    <row r="6972" spans="36:36" x14ac:dyDescent="0.35">
      <c r="AJ6972" s="213"/>
    </row>
    <row r="6973" spans="36:36" x14ac:dyDescent="0.35">
      <c r="AJ6973" s="213"/>
    </row>
    <row r="6974" spans="36:36" x14ac:dyDescent="0.35">
      <c r="AJ6974" s="213"/>
    </row>
    <row r="6975" spans="36:36" x14ac:dyDescent="0.35">
      <c r="AJ6975" s="213"/>
    </row>
    <row r="6976" spans="36:36" x14ac:dyDescent="0.35">
      <c r="AJ6976" s="213"/>
    </row>
    <row r="6977" spans="36:36" x14ac:dyDescent="0.35">
      <c r="AJ6977" s="213"/>
    </row>
    <row r="6978" spans="36:36" x14ac:dyDescent="0.35">
      <c r="AJ6978" s="213"/>
    </row>
    <row r="6979" spans="36:36" x14ac:dyDescent="0.35">
      <c r="AJ6979" s="213"/>
    </row>
    <row r="6980" spans="36:36" x14ac:dyDescent="0.35">
      <c r="AJ6980" s="213"/>
    </row>
    <row r="6981" spans="36:36" x14ac:dyDescent="0.35">
      <c r="AJ6981" s="213"/>
    </row>
    <row r="6982" spans="36:36" x14ac:dyDescent="0.35">
      <c r="AJ6982" s="213"/>
    </row>
    <row r="6983" spans="36:36" x14ac:dyDescent="0.35">
      <c r="AJ6983" s="213"/>
    </row>
    <row r="6984" spans="36:36" x14ac:dyDescent="0.35">
      <c r="AJ6984" s="213"/>
    </row>
    <row r="6985" spans="36:36" x14ac:dyDescent="0.35">
      <c r="AJ6985" s="213"/>
    </row>
    <row r="6986" spans="36:36" x14ac:dyDescent="0.35">
      <c r="AJ6986" s="213"/>
    </row>
    <row r="6987" spans="36:36" x14ac:dyDescent="0.35">
      <c r="AJ6987" s="213"/>
    </row>
    <row r="6988" spans="36:36" x14ac:dyDescent="0.35">
      <c r="AJ6988" s="213"/>
    </row>
    <row r="6989" spans="36:36" x14ac:dyDescent="0.35">
      <c r="AJ6989" s="213"/>
    </row>
    <row r="6990" spans="36:36" x14ac:dyDescent="0.35">
      <c r="AJ6990" s="213"/>
    </row>
    <row r="6991" spans="36:36" x14ac:dyDescent="0.35">
      <c r="AJ6991" s="213"/>
    </row>
    <row r="6992" spans="36:36" x14ac:dyDescent="0.35">
      <c r="AJ6992" s="213"/>
    </row>
    <row r="6993" spans="36:36" x14ac:dyDescent="0.35">
      <c r="AJ6993" s="213"/>
    </row>
    <row r="6994" spans="36:36" x14ac:dyDescent="0.35">
      <c r="AJ6994" s="213"/>
    </row>
    <row r="6995" spans="36:36" x14ac:dyDescent="0.35">
      <c r="AJ6995" s="213"/>
    </row>
    <row r="6996" spans="36:36" x14ac:dyDescent="0.35">
      <c r="AJ6996" s="213"/>
    </row>
    <row r="6997" spans="36:36" x14ac:dyDescent="0.35">
      <c r="AJ6997" s="213"/>
    </row>
    <row r="6998" spans="36:36" x14ac:dyDescent="0.35">
      <c r="AJ6998" s="213"/>
    </row>
    <row r="6999" spans="36:36" x14ac:dyDescent="0.35">
      <c r="AJ6999" s="213"/>
    </row>
    <row r="7000" spans="36:36" x14ac:dyDescent="0.35">
      <c r="AJ7000" s="213"/>
    </row>
    <row r="7001" spans="36:36" x14ac:dyDescent="0.35">
      <c r="AJ7001" s="213"/>
    </row>
    <row r="7002" spans="36:36" x14ac:dyDescent="0.35">
      <c r="AJ7002" s="213"/>
    </row>
    <row r="7003" spans="36:36" x14ac:dyDescent="0.35">
      <c r="AJ7003" s="213"/>
    </row>
    <row r="7004" spans="36:36" x14ac:dyDescent="0.35">
      <c r="AJ7004" s="213"/>
    </row>
    <row r="7005" spans="36:36" x14ac:dyDescent="0.35">
      <c r="AJ7005" s="213"/>
    </row>
    <row r="7006" spans="36:36" x14ac:dyDescent="0.35">
      <c r="AJ7006" s="213"/>
    </row>
    <row r="7007" spans="36:36" x14ac:dyDescent="0.35">
      <c r="AJ7007" s="213"/>
    </row>
    <row r="7008" spans="36:36" x14ac:dyDescent="0.35">
      <c r="AJ7008" s="213"/>
    </row>
    <row r="7009" spans="36:36" x14ac:dyDescent="0.35">
      <c r="AJ7009" s="213"/>
    </row>
    <row r="7010" spans="36:36" x14ac:dyDescent="0.35">
      <c r="AJ7010" s="213"/>
    </row>
    <row r="7011" spans="36:36" x14ac:dyDescent="0.35">
      <c r="AJ7011" s="213"/>
    </row>
    <row r="7012" spans="36:36" x14ac:dyDescent="0.35">
      <c r="AJ7012" s="213"/>
    </row>
    <row r="7013" spans="36:36" x14ac:dyDescent="0.35">
      <c r="AJ7013" s="213"/>
    </row>
    <row r="7014" spans="36:36" x14ac:dyDescent="0.35">
      <c r="AJ7014" s="213"/>
    </row>
    <row r="7015" spans="36:36" x14ac:dyDescent="0.35">
      <c r="AJ7015" s="213"/>
    </row>
    <row r="7016" spans="36:36" x14ac:dyDescent="0.35">
      <c r="AJ7016" s="213"/>
    </row>
    <row r="7017" spans="36:36" x14ac:dyDescent="0.35">
      <c r="AJ7017" s="213"/>
    </row>
    <row r="7018" spans="36:36" x14ac:dyDescent="0.35">
      <c r="AJ7018" s="213"/>
    </row>
    <row r="7019" spans="36:36" x14ac:dyDescent="0.35">
      <c r="AJ7019" s="213"/>
    </row>
    <row r="7020" spans="36:36" x14ac:dyDescent="0.35">
      <c r="AJ7020" s="213"/>
    </row>
    <row r="7021" spans="36:36" x14ac:dyDescent="0.35">
      <c r="AJ7021" s="213"/>
    </row>
    <row r="7022" spans="36:36" x14ac:dyDescent="0.35">
      <c r="AJ7022" s="213"/>
    </row>
    <row r="7023" spans="36:36" x14ac:dyDescent="0.35">
      <c r="AJ7023" s="213"/>
    </row>
    <row r="7024" spans="36:36" x14ac:dyDescent="0.35">
      <c r="AJ7024" s="213"/>
    </row>
    <row r="7025" spans="36:36" x14ac:dyDescent="0.35">
      <c r="AJ7025" s="213"/>
    </row>
    <row r="7026" spans="36:36" x14ac:dyDescent="0.35">
      <c r="AJ7026" s="213"/>
    </row>
    <row r="7027" spans="36:36" x14ac:dyDescent="0.35">
      <c r="AJ7027" s="213"/>
    </row>
    <row r="7028" spans="36:36" x14ac:dyDescent="0.35">
      <c r="AJ7028" s="213"/>
    </row>
    <row r="7029" spans="36:36" x14ac:dyDescent="0.35">
      <c r="AJ7029" s="213"/>
    </row>
    <row r="7030" spans="36:36" x14ac:dyDescent="0.35">
      <c r="AJ7030" s="213"/>
    </row>
    <row r="7031" spans="36:36" x14ac:dyDescent="0.35">
      <c r="AJ7031" s="213"/>
    </row>
    <row r="7032" spans="36:36" x14ac:dyDescent="0.35">
      <c r="AJ7032" s="213"/>
    </row>
    <row r="7033" spans="36:36" x14ac:dyDescent="0.35">
      <c r="AJ7033" s="213"/>
    </row>
    <row r="7034" spans="36:36" x14ac:dyDescent="0.35">
      <c r="AJ7034" s="213"/>
    </row>
    <row r="7035" spans="36:36" x14ac:dyDescent="0.35">
      <c r="AJ7035" s="213"/>
    </row>
    <row r="7036" spans="36:36" x14ac:dyDescent="0.35">
      <c r="AJ7036" s="213"/>
    </row>
    <row r="7037" spans="36:36" x14ac:dyDescent="0.35">
      <c r="AJ7037" s="213"/>
    </row>
    <row r="7038" spans="36:36" x14ac:dyDescent="0.35">
      <c r="AJ7038" s="213"/>
    </row>
    <row r="7039" spans="36:36" x14ac:dyDescent="0.35">
      <c r="AJ7039" s="213"/>
    </row>
    <row r="7040" spans="36:36" x14ac:dyDescent="0.35">
      <c r="AJ7040" s="213"/>
    </row>
    <row r="7041" spans="36:36" x14ac:dyDescent="0.35">
      <c r="AJ7041" s="213"/>
    </row>
    <row r="7042" spans="36:36" x14ac:dyDescent="0.35">
      <c r="AJ7042" s="213"/>
    </row>
    <row r="7043" spans="36:36" x14ac:dyDescent="0.35">
      <c r="AJ7043" s="213"/>
    </row>
    <row r="7044" spans="36:36" x14ac:dyDescent="0.35">
      <c r="AJ7044" s="213"/>
    </row>
    <row r="7045" spans="36:36" x14ac:dyDescent="0.35">
      <c r="AJ7045" s="213"/>
    </row>
    <row r="7046" spans="36:36" x14ac:dyDescent="0.35">
      <c r="AJ7046" s="213"/>
    </row>
    <row r="7047" spans="36:36" x14ac:dyDescent="0.35">
      <c r="AJ7047" s="213"/>
    </row>
    <row r="7048" spans="36:36" x14ac:dyDescent="0.35">
      <c r="AJ7048" s="213"/>
    </row>
    <row r="7049" spans="36:36" x14ac:dyDescent="0.35">
      <c r="AJ7049" s="213"/>
    </row>
    <row r="7050" spans="36:36" x14ac:dyDescent="0.35">
      <c r="AJ7050" s="213"/>
    </row>
    <row r="7051" spans="36:36" x14ac:dyDescent="0.35">
      <c r="AJ7051" s="213"/>
    </row>
    <row r="7052" spans="36:36" x14ac:dyDescent="0.35">
      <c r="AJ7052" s="213"/>
    </row>
    <row r="7053" spans="36:36" x14ac:dyDescent="0.35">
      <c r="AJ7053" s="213"/>
    </row>
    <row r="7054" spans="36:36" x14ac:dyDescent="0.35">
      <c r="AJ7054" s="213"/>
    </row>
    <row r="7055" spans="36:36" x14ac:dyDescent="0.35">
      <c r="AJ7055" s="213"/>
    </row>
    <row r="7056" spans="36:36" x14ac:dyDescent="0.35">
      <c r="AJ7056" s="213"/>
    </row>
    <row r="7057" spans="36:36" x14ac:dyDescent="0.35">
      <c r="AJ7057" s="213"/>
    </row>
    <row r="7058" spans="36:36" x14ac:dyDescent="0.35">
      <c r="AJ7058" s="213"/>
    </row>
    <row r="7059" spans="36:36" x14ac:dyDescent="0.35">
      <c r="AJ7059" s="213"/>
    </row>
    <row r="7060" spans="36:36" x14ac:dyDescent="0.35">
      <c r="AJ7060" s="213"/>
    </row>
    <row r="7061" spans="36:36" x14ac:dyDescent="0.35">
      <c r="AJ7061" s="213"/>
    </row>
    <row r="7062" spans="36:36" x14ac:dyDescent="0.35">
      <c r="AJ7062" s="213"/>
    </row>
    <row r="7063" spans="36:36" x14ac:dyDescent="0.35">
      <c r="AJ7063" s="213"/>
    </row>
    <row r="7064" spans="36:36" x14ac:dyDescent="0.35">
      <c r="AJ7064" s="213"/>
    </row>
    <row r="7065" spans="36:36" x14ac:dyDescent="0.35">
      <c r="AJ7065" s="213"/>
    </row>
    <row r="7066" spans="36:36" x14ac:dyDescent="0.35">
      <c r="AJ7066" s="213"/>
    </row>
    <row r="7067" spans="36:36" x14ac:dyDescent="0.35">
      <c r="AJ7067" s="213"/>
    </row>
    <row r="7068" spans="36:36" x14ac:dyDescent="0.35">
      <c r="AJ7068" s="213"/>
    </row>
    <row r="7069" spans="36:36" x14ac:dyDescent="0.35">
      <c r="AJ7069" s="213"/>
    </row>
    <row r="7070" spans="36:36" x14ac:dyDescent="0.35">
      <c r="AJ7070" s="213"/>
    </row>
    <row r="7071" spans="36:36" x14ac:dyDescent="0.35">
      <c r="AJ7071" s="213"/>
    </row>
    <row r="7072" spans="36:36" x14ac:dyDescent="0.35">
      <c r="AJ7072" s="213"/>
    </row>
    <row r="7073" spans="36:36" x14ac:dyDescent="0.35">
      <c r="AJ7073" s="213"/>
    </row>
    <row r="7074" spans="36:36" x14ac:dyDescent="0.35">
      <c r="AJ7074" s="213"/>
    </row>
    <row r="7075" spans="36:36" x14ac:dyDescent="0.35">
      <c r="AJ7075" s="213"/>
    </row>
    <row r="7076" spans="36:36" x14ac:dyDescent="0.35">
      <c r="AJ7076" s="213"/>
    </row>
    <row r="7077" spans="36:36" x14ac:dyDescent="0.35">
      <c r="AJ7077" s="213"/>
    </row>
    <row r="7078" spans="36:36" x14ac:dyDescent="0.35">
      <c r="AJ7078" s="213"/>
    </row>
    <row r="7079" spans="36:36" x14ac:dyDescent="0.35">
      <c r="AJ7079" s="213"/>
    </row>
    <row r="7080" spans="36:36" x14ac:dyDescent="0.35">
      <c r="AJ7080" s="213"/>
    </row>
    <row r="7081" spans="36:36" x14ac:dyDescent="0.35">
      <c r="AJ7081" s="213"/>
    </row>
    <row r="7082" spans="36:36" x14ac:dyDescent="0.35">
      <c r="AJ7082" s="213"/>
    </row>
    <row r="7083" spans="36:36" x14ac:dyDescent="0.35">
      <c r="AJ7083" s="213"/>
    </row>
    <row r="7084" spans="36:36" x14ac:dyDescent="0.35">
      <c r="AJ7084" s="213"/>
    </row>
    <row r="7085" spans="36:36" x14ac:dyDescent="0.35">
      <c r="AJ7085" s="213"/>
    </row>
    <row r="7086" spans="36:36" x14ac:dyDescent="0.35">
      <c r="AJ7086" s="213"/>
    </row>
    <row r="7087" spans="36:36" x14ac:dyDescent="0.35">
      <c r="AJ7087" s="213"/>
    </row>
    <row r="7088" spans="36:36" x14ac:dyDescent="0.35">
      <c r="AJ7088" s="213"/>
    </row>
    <row r="7089" spans="36:36" x14ac:dyDescent="0.35">
      <c r="AJ7089" s="213"/>
    </row>
    <row r="7090" spans="36:36" x14ac:dyDescent="0.35">
      <c r="AJ7090" s="213"/>
    </row>
    <row r="7091" spans="36:36" x14ac:dyDescent="0.35">
      <c r="AJ7091" s="213"/>
    </row>
    <row r="7092" spans="36:36" x14ac:dyDescent="0.35">
      <c r="AJ7092" s="213"/>
    </row>
    <row r="7093" spans="36:36" x14ac:dyDescent="0.35">
      <c r="AJ7093" s="213"/>
    </row>
    <row r="7094" spans="36:36" x14ac:dyDescent="0.35">
      <c r="AJ7094" s="213"/>
    </row>
    <row r="7095" spans="36:36" x14ac:dyDescent="0.35">
      <c r="AJ7095" s="213"/>
    </row>
    <row r="7096" spans="36:36" x14ac:dyDescent="0.35">
      <c r="AJ7096" s="213"/>
    </row>
    <row r="7097" spans="36:36" x14ac:dyDescent="0.35">
      <c r="AJ7097" s="213"/>
    </row>
    <row r="7098" spans="36:36" x14ac:dyDescent="0.35">
      <c r="AJ7098" s="213"/>
    </row>
    <row r="7099" spans="36:36" x14ac:dyDescent="0.35">
      <c r="AJ7099" s="213"/>
    </row>
    <row r="7100" spans="36:36" x14ac:dyDescent="0.35">
      <c r="AJ7100" s="213"/>
    </row>
    <row r="7101" spans="36:36" x14ac:dyDescent="0.35">
      <c r="AJ7101" s="213"/>
    </row>
    <row r="7102" spans="36:36" x14ac:dyDescent="0.35">
      <c r="AJ7102" s="213"/>
    </row>
    <row r="7103" spans="36:36" x14ac:dyDescent="0.35">
      <c r="AJ7103" s="213"/>
    </row>
    <row r="7104" spans="36:36" x14ac:dyDescent="0.35">
      <c r="AJ7104" s="213"/>
    </row>
    <row r="7105" spans="36:36" x14ac:dyDescent="0.35">
      <c r="AJ7105" s="213"/>
    </row>
    <row r="7106" spans="36:36" x14ac:dyDescent="0.35">
      <c r="AJ7106" s="213"/>
    </row>
    <row r="7107" spans="36:36" x14ac:dyDescent="0.35">
      <c r="AJ7107" s="213"/>
    </row>
    <row r="7108" spans="36:36" x14ac:dyDescent="0.35">
      <c r="AJ7108" s="213"/>
    </row>
    <row r="7109" spans="36:36" x14ac:dyDescent="0.35">
      <c r="AJ7109" s="213"/>
    </row>
    <row r="7110" spans="36:36" x14ac:dyDescent="0.35">
      <c r="AJ7110" s="213"/>
    </row>
    <row r="7111" spans="36:36" x14ac:dyDescent="0.35">
      <c r="AJ7111" s="213"/>
    </row>
    <row r="7112" spans="36:36" x14ac:dyDescent="0.35">
      <c r="AJ7112" s="213"/>
    </row>
    <row r="7113" spans="36:36" x14ac:dyDescent="0.35">
      <c r="AJ7113" s="213"/>
    </row>
    <row r="7114" spans="36:36" x14ac:dyDescent="0.35">
      <c r="AJ7114" s="213"/>
    </row>
    <row r="7115" spans="36:36" x14ac:dyDescent="0.35">
      <c r="AJ7115" s="213"/>
    </row>
    <row r="7116" spans="36:36" x14ac:dyDescent="0.35">
      <c r="AJ7116" s="213"/>
    </row>
    <row r="7117" spans="36:36" x14ac:dyDescent="0.35">
      <c r="AJ7117" s="213"/>
    </row>
    <row r="7118" spans="36:36" x14ac:dyDescent="0.35">
      <c r="AJ7118" s="213"/>
    </row>
    <row r="7119" spans="36:36" x14ac:dyDescent="0.35">
      <c r="AJ7119" s="213"/>
    </row>
    <row r="7120" spans="36:36" x14ac:dyDescent="0.35">
      <c r="AJ7120" s="213"/>
    </row>
    <row r="7121" spans="36:36" x14ac:dyDescent="0.35">
      <c r="AJ7121" s="213"/>
    </row>
    <row r="7122" spans="36:36" x14ac:dyDescent="0.35">
      <c r="AJ7122" s="213"/>
    </row>
    <row r="7123" spans="36:36" x14ac:dyDescent="0.35">
      <c r="AJ7123" s="213"/>
    </row>
    <row r="7124" spans="36:36" x14ac:dyDescent="0.35">
      <c r="AJ7124" s="213"/>
    </row>
    <row r="7125" spans="36:36" x14ac:dyDescent="0.35">
      <c r="AJ7125" s="213"/>
    </row>
    <row r="7126" spans="36:36" x14ac:dyDescent="0.35">
      <c r="AJ7126" s="213"/>
    </row>
    <row r="7127" spans="36:36" x14ac:dyDescent="0.35">
      <c r="AJ7127" s="213"/>
    </row>
    <row r="7128" spans="36:36" x14ac:dyDescent="0.35">
      <c r="AJ7128" s="213"/>
    </row>
    <row r="7129" spans="36:36" x14ac:dyDescent="0.35">
      <c r="AJ7129" s="213"/>
    </row>
    <row r="7130" spans="36:36" x14ac:dyDescent="0.35">
      <c r="AJ7130" s="213"/>
    </row>
    <row r="7131" spans="36:36" x14ac:dyDescent="0.35">
      <c r="AJ7131" s="213"/>
    </row>
    <row r="7132" spans="36:36" x14ac:dyDescent="0.35">
      <c r="AJ7132" s="213"/>
    </row>
    <row r="7133" spans="36:36" x14ac:dyDescent="0.35">
      <c r="AJ7133" s="213"/>
    </row>
    <row r="7134" spans="36:36" x14ac:dyDescent="0.35">
      <c r="AJ7134" s="213"/>
    </row>
    <row r="7135" spans="36:36" x14ac:dyDescent="0.35">
      <c r="AJ7135" s="213"/>
    </row>
    <row r="7136" spans="36:36" x14ac:dyDescent="0.35">
      <c r="AJ7136" s="213"/>
    </row>
    <row r="7137" spans="36:36" x14ac:dyDescent="0.35">
      <c r="AJ7137" s="213"/>
    </row>
    <row r="7138" spans="36:36" x14ac:dyDescent="0.35">
      <c r="AJ7138" s="213"/>
    </row>
    <row r="7139" spans="36:36" x14ac:dyDescent="0.35">
      <c r="AJ7139" s="213"/>
    </row>
    <row r="7140" spans="36:36" x14ac:dyDescent="0.35">
      <c r="AJ7140" s="213"/>
    </row>
    <row r="7141" spans="36:36" x14ac:dyDescent="0.35">
      <c r="AJ7141" s="213"/>
    </row>
    <row r="7142" spans="36:36" x14ac:dyDescent="0.35">
      <c r="AJ7142" s="213"/>
    </row>
    <row r="7143" spans="36:36" x14ac:dyDescent="0.35">
      <c r="AJ7143" s="213"/>
    </row>
    <row r="7144" spans="36:36" x14ac:dyDescent="0.35">
      <c r="AJ7144" s="213"/>
    </row>
    <row r="7145" spans="36:36" x14ac:dyDescent="0.35">
      <c r="AJ7145" s="213"/>
    </row>
    <row r="7146" spans="36:36" x14ac:dyDescent="0.35">
      <c r="AJ7146" s="213"/>
    </row>
    <row r="7147" spans="36:36" x14ac:dyDescent="0.35">
      <c r="AJ7147" s="213"/>
    </row>
    <row r="7148" spans="36:36" x14ac:dyDescent="0.35">
      <c r="AJ7148" s="213"/>
    </row>
    <row r="7149" spans="36:36" x14ac:dyDescent="0.35">
      <c r="AJ7149" s="213"/>
    </row>
    <row r="7150" spans="36:36" x14ac:dyDescent="0.35">
      <c r="AJ7150" s="213"/>
    </row>
    <row r="7151" spans="36:36" x14ac:dyDescent="0.35">
      <c r="AJ7151" s="213"/>
    </row>
    <row r="7152" spans="36:36" x14ac:dyDescent="0.35">
      <c r="AJ7152" s="213"/>
    </row>
    <row r="7153" spans="36:36" x14ac:dyDescent="0.35">
      <c r="AJ7153" s="213"/>
    </row>
    <row r="7154" spans="36:36" x14ac:dyDescent="0.35">
      <c r="AJ7154" s="213"/>
    </row>
    <row r="7155" spans="36:36" x14ac:dyDescent="0.35">
      <c r="AJ7155" s="213"/>
    </row>
    <row r="7156" spans="36:36" x14ac:dyDescent="0.35">
      <c r="AJ7156" s="213"/>
    </row>
    <row r="7157" spans="36:36" x14ac:dyDescent="0.35">
      <c r="AJ7157" s="213"/>
    </row>
    <row r="7158" spans="36:36" x14ac:dyDescent="0.35">
      <c r="AJ7158" s="213"/>
    </row>
    <row r="7159" spans="36:36" x14ac:dyDescent="0.35">
      <c r="AJ7159" s="213"/>
    </row>
    <row r="7160" spans="36:36" x14ac:dyDescent="0.35">
      <c r="AJ7160" s="213"/>
    </row>
    <row r="7161" spans="36:36" x14ac:dyDescent="0.35">
      <c r="AJ7161" s="213"/>
    </row>
    <row r="7162" spans="36:36" x14ac:dyDescent="0.35">
      <c r="AJ7162" s="213"/>
    </row>
    <row r="7163" spans="36:36" x14ac:dyDescent="0.35">
      <c r="AJ7163" s="213"/>
    </row>
    <row r="7164" spans="36:36" x14ac:dyDescent="0.35">
      <c r="AJ7164" s="213"/>
    </row>
    <row r="7165" spans="36:36" x14ac:dyDescent="0.35">
      <c r="AJ7165" s="213"/>
    </row>
    <row r="7166" spans="36:36" x14ac:dyDescent="0.35">
      <c r="AJ7166" s="213"/>
    </row>
    <row r="7167" spans="36:36" x14ac:dyDescent="0.35">
      <c r="AJ7167" s="213"/>
    </row>
    <row r="7168" spans="36:36" x14ac:dyDescent="0.35">
      <c r="AJ7168" s="213"/>
    </row>
    <row r="7169" spans="36:36" x14ac:dyDescent="0.35">
      <c r="AJ7169" s="213"/>
    </row>
    <row r="7170" spans="36:36" x14ac:dyDescent="0.35">
      <c r="AJ7170" s="213"/>
    </row>
    <row r="7171" spans="36:36" x14ac:dyDescent="0.35">
      <c r="AJ7171" s="213"/>
    </row>
    <row r="7172" spans="36:36" x14ac:dyDescent="0.35">
      <c r="AJ7172" s="213"/>
    </row>
    <row r="7173" spans="36:36" x14ac:dyDescent="0.35">
      <c r="AJ7173" s="213"/>
    </row>
    <row r="7174" spans="36:36" x14ac:dyDescent="0.35">
      <c r="AJ7174" s="213"/>
    </row>
    <row r="7175" spans="36:36" x14ac:dyDescent="0.35">
      <c r="AJ7175" s="213"/>
    </row>
    <row r="7176" spans="36:36" x14ac:dyDescent="0.35">
      <c r="AJ7176" s="213"/>
    </row>
    <row r="7177" spans="36:36" x14ac:dyDescent="0.35">
      <c r="AJ7177" s="213"/>
    </row>
    <row r="7178" spans="36:36" x14ac:dyDescent="0.35">
      <c r="AJ7178" s="213"/>
    </row>
    <row r="7179" spans="36:36" x14ac:dyDescent="0.35">
      <c r="AJ7179" s="213"/>
    </row>
    <row r="7180" spans="36:36" x14ac:dyDescent="0.35">
      <c r="AJ7180" s="213"/>
    </row>
    <row r="7181" spans="36:36" x14ac:dyDescent="0.35">
      <c r="AJ7181" s="213"/>
    </row>
    <row r="7182" spans="36:36" x14ac:dyDescent="0.35">
      <c r="AJ7182" s="213"/>
    </row>
    <row r="7183" spans="36:36" x14ac:dyDescent="0.35">
      <c r="AJ7183" s="213"/>
    </row>
    <row r="7184" spans="36:36" x14ac:dyDescent="0.35">
      <c r="AJ7184" s="213"/>
    </row>
    <row r="7185" spans="36:36" x14ac:dyDescent="0.35">
      <c r="AJ7185" s="213"/>
    </row>
    <row r="7186" spans="36:36" x14ac:dyDescent="0.35">
      <c r="AJ7186" s="213"/>
    </row>
    <row r="7187" spans="36:36" x14ac:dyDescent="0.35">
      <c r="AJ7187" s="213"/>
    </row>
    <row r="7188" spans="36:36" x14ac:dyDescent="0.35">
      <c r="AJ7188" s="213"/>
    </row>
    <row r="7189" spans="36:36" x14ac:dyDescent="0.35">
      <c r="AJ7189" s="213"/>
    </row>
    <row r="7190" spans="36:36" x14ac:dyDescent="0.35">
      <c r="AJ7190" s="213"/>
    </row>
    <row r="7191" spans="36:36" x14ac:dyDescent="0.35">
      <c r="AJ7191" s="213"/>
    </row>
    <row r="7192" spans="36:36" x14ac:dyDescent="0.35">
      <c r="AJ7192" s="213"/>
    </row>
    <row r="7193" spans="36:36" x14ac:dyDescent="0.35">
      <c r="AJ7193" s="213"/>
    </row>
    <row r="7194" spans="36:36" x14ac:dyDescent="0.35">
      <c r="AJ7194" s="213"/>
    </row>
    <row r="7195" spans="36:36" x14ac:dyDescent="0.35">
      <c r="AJ7195" s="213"/>
    </row>
    <row r="7196" spans="36:36" x14ac:dyDescent="0.35">
      <c r="AJ7196" s="213"/>
    </row>
    <row r="7197" spans="36:36" x14ac:dyDescent="0.35">
      <c r="AJ7197" s="213"/>
    </row>
    <row r="7198" spans="36:36" x14ac:dyDescent="0.35">
      <c r="AJ7198" s="213"/>
    </row>
    <row r="7199" spans="36:36" x14ac:dyDescent="0.35">
      <c r="AJ7199" s="213"/>
    </row>
    <row r="7200" spans="36:36" x14ac:dyDescent="0.35">
      <c r="AJ7200" s="213"/>
    </row>
    <row r="7201" spans="36:36" x14ac:dyDescent="0.35">
      <c r="AJ7201" s="213"/>
    </row>
    <row r="7202" spans="36:36" x14ac:dyDescent="0.35">
      <c r="AJ7202" s="213"/>
    </row>
    <row r="7203" spans="36:36" x14ac:dyDescent="0.35">
      <c r="AJ7203" s="213"/>
    </row>
    <row r="7204" spans="36:36" x14ac:dyDescent="0.35">
      <c r="AJ7204" s="213"/>
    </row>
    <row r="7205" spans="36:36" x14ac:dyDescent="0.35">
      <c r="AJ7205" s="213"/>
    </row>
    <row r="7206" spans="36:36" x14ac:dyDescent="0.35">
      <c r="AJ7206" s="213"/>
    </row>
    <row r="7207" spans="36:36" x14ac:dyDescent="0.35">
      <c r="AJ7207" s="213"/>
    </row>
    <row r="7208" spans="36:36" x14ac:dyDescent="0.35">
      <c r="AJ7208" s="213"/>
    </row>
    <row r="7209" spans="36:36" x14ac:dyDescent="0.35">
      <c r="AJ7209" s="213"/>
    </row>
    <row r="7210" spans="36:36" x14ac:dyDescent="0.35">
      <c r="AJ7210" s="213"/>
    </row>
    <row r="7211" spans="36:36" x14ac:dyDescent="0.35">
      <c r="AJ7211" s="213"/>
    </row>
    <row r="7212" spans="36:36" x14ac:dyDescent="0.35">
      <c r="AJ7212" s="213"/>
    </row>
    <row r="7213" spans="36:36" x14ac:dyDescent="0.35">
      <c r="AJ7213" s="213"/>
    </row>
    <row r="7214" spans="36:36" x14ac:dyDescent="0.35">
      <c r="AJ7214" s="213"/>
    </row>
    <row r="7215" spans="36:36" x14ac:dyDescent="0.35">
      <c r="AJ7215" s="213"/>
    </row>
    <row r="7216" spans="36:36" x14ac:dyDescent="0.35">
      <c r="AJ7216" s="213"/>
    </row>
    <row r="7217" spans="36:36" x14ac:dyDescent="0.35">
      <c r="AJ7217" s="213"/>
    </row>
    <row r="7218" spans="36:36" x14ac:dyDescent="0.35">
      <c r="AJ7218" s="213"/>
    </row>
    <row r="7219" spans="36:36" x14ac:dyDescent="0.35">
      <c r="AJ7219" s="213"/>
    </row>
    <row r="7220" spans="36:36" x14ac:dyDescent="0.35">
      <c r="AJ7220" s="213"/>
    </row>
    <row r="7221" spans="36:36" x14ac:dyDescent="0.35">
      <c r="AJ7221" s="213"/>
    </row>
    <row r="7222" spans="36:36" x14ac:dyDescent="0.35">
      <c r="AJ7222" s="213"/>
    </row>
    <row r="7223" spans="36:36" x14ac:dyDescent="0.35">
      <c r="AJ7223" s="213"/>
    </row>
    <row r="7224" spans="36:36" x14ac:dyDescent="0.35">
      <c r="AJ7224" s="213"/>
    </row>
    <row r="7225" spans="36:36" x14ac:dyDescent="0.35">
      <c r="AJ7225" s="213"/>
    </row>
    <row r="7226" spans="36:36" x14ac:dyDescent="0.35">
      <c r="AJ7226" s="213"/>
    </row>
    <row r="7227" spans="36:36" x14ac:dyDescent="0.35">
      <c r="AJ7227" s="213"/>
    </row>
    <row r="7228" spans="36:36" x14ac:dyDescent="0.35">
      <c r="AJ7228" s="213"/>
    </row>
    <row r="7229" spans="36:36" x14ac:dyDescent="0.35">
      <c r="AJ7229" s="213"/>
    </row>
    <row r="7230" spans="36:36" x14ac:dyDescent="0.35">
      <c r="AJ7230" s="213"/>
    </row>
    <row r="7231" spans="36:36" x14ac:dyDescent="0.35">
      <c r="AJ7231" s="213"/>
    </row>
    <row r="7232" spans="36:36" x14ac:dyDescent="0.35">
      <c r="AJ7232" s="213"/>
    </row>
    <row r="7233" spans="36:36" x14ac:dyDescent="0.35">
      <c r="AJ7233" s="213"/>
    </row>
    <row r="7234" spans="36:36" x14ac:dyDescent="0.35">
      <c r="AJ7234" s="213"/>
    </row>
    <row r="7235" spans="36:36" x14ac:dyDescent="0.35">
      <c r="AJ7235" s="213"/>
    </row>
    <row r="7236" spans="36:36" x14ac:dyDescent="0.35">
      <c r="AJ7236" s="213"/>
    </row>
    <row r="7237" spans="36:36" x14ac:dyDescent="0.35">
      <c r="AJ7237" s="213"/>
    </row>
    <row r="7238" spans="36:36" x14ac:dyDescent="0.35">
      <c r="AJ7238" s="213"/>
    </row>
    <row r="7239" spans="36:36" x14ac:dyDescent="0.35">
      <c r="AJ7239" s="213"/>
    </row>
    <row r="7240" spans="36:36" x14ac:dyDescent="0.35">
      <c r="AJ7240" s="213"/>
    </row>
    <row r="7241" spans="36:36" x14ac:dyDescent="0.35">
      <c r="AJ7241" s="213"/>
    </row>
    <row r="7242" spans="36:36" x14ac:dyDescent="0.35">
      <c r="AJ7242" s="213"/>
    </row>
    <row r="7243" spans="36:36" x14ac:dyDescent="0.35">
      <c r="AJ7243" s="213"/>
    </row>
    <row r="7244" spans="36:36" x14ac:dyDescent="0.35">
      <c r="AJ7244" s="213"/>
    </row>
    <row r="7245" spans="36:36" x14ac:dyDescent="0.35">
      <c r="AJ7245" s="213"/>
    </row>
    <row r="7246" spans="36:36" x14ac:dyDescent="0.35">
      <c r="AJ7246" s="213"/>
    </row>
    <row r="7247" spans="36:36" x14ac:dyDescent="0.35">
      <c r="AJ7247" s="213"/>
    </row>
    <row r="7248" spans="36:36" x14ac:dyDescent="0.35">
      <c r="AJ7248" s="213"/>
    </row>
    <row r="7249" spans="36:36" x14ac:dyDescent="0.35">
      <c r="AJ7249" s="213"/>
    </row>
    <row r="7250" spans="36:36" x14ac:dyDescent="0.35">
      <c r="AJ7250" s="213"/>
    </row>
    <row r="7251" spans="36:36" x14ac:dyDescent="0.35">
      <c r="AJ7251" s="213"/>
    </row>
    <row r="7252" spans="36:36" x14ac:dyDescent="0.35">
      <c r="AJ7252" s="213"/>
    </row>
    <row r="7253" spans="36:36" x14ac:dyDescent="0.35">
      <c r="AJ7253" s="213"/>
    </row>
    <row r="7254" spans="36:36" x14ac:dyDescent="0.35">
      <c r="AJ7254" s="213"/>
    </row>
    <row r="7255" spans="36:36" x14ac:dyDescent="0.35">
      <c r="AJ7255" s="213"/>
    </row>
    <row r="7256" spans="36:36" x14ac:dyDescent="0.35">
      <c r="AJ7256" s="213"/>
    </row>
    <row r="7257" spans="36:36" x14ac:dyDescent="0.35">
      <c r="AJ7257" s="213"/>
    </row>
    <row r="7258" spans="36:36" x14ac:dyDescent="0.35">
      <c r="AJ7258" s="213"/>
    </row>
    <row r="7259" spans="36:36" x14ac:dyDescent="0.35">
      <c r="AJ7259" s="213"/>
    </row>
    <row r="7260" spans="36:36" x14ac:dyDescent="0.35">
      <c r="AJ7260" s="213"/>
    </row>
    <row r="7261" spans="36:36" x14ac:dyDescent="0.35">
      <c r="AJ7261" s="213"/>
    </row>
    <row r="7262" spans="36:36" x14ac:dyDescent="0.35">
      <c r="AJ7262" s="213"/>
    </row>
    <row r="7263" spans="36:36" x14ac:dyDescent="0.35">
      <c r="AJ7263" s="213"/>
    </row>
    <row r="7264" spans="36:36" x14ac:dyDescent="0.35">
      <c r="AJ7264" s="213"/>
    </row>
    <row r="7265" spans="36:36" x14ac:dyDescent="0.35">
      <c r="AJ7265" s="213"/>
    </row>
    <row r="7266" spans="36:36" x14ac:dyDescent="0.35">
      <c r="AJ7266" s="213"/>
    </row>
    <row r="7267" spans="36:36" x14ac:dyDescent="0.35">
      <c r="AJ7267" s="213"/>
    </row>
    <row r="7268" spans="36:36" x14ac:dyDescent="0.35">
      <c r="AJ7268" s="213"/>
    </row>
    <row r="7269" spans="36:36" x14ac:dyDescent="0.35">
      <c r="AJ7269" s="213"/>
    </row>
    <row r="7270" spans="36:36" x14ac:dyDescent="0.35">
      <c r="AJ7270" s="213"/>
    </row>
    <row r="7271" spans="36:36" x14ac:dyDescent="0.35">
      <c r="AJ7271" s="213"/>
    </row>
    <row r="7272" spans="36:36" x14ac:dyDescent="0.35">
      <c r="AJ7272" s="213"/>
    </row>
    <row r="7273" spans="36:36" x14ac:dyDescent="0.35">
      <c r="AJ7273" s="213"/>
    </row>
    <row r="7274" spans="36:36" x14ac:dyDescent="0.35">
      <c r="AJ7274" s="213"/>
    </row>
    <row r="7275" spans="36:36" x14ac:dyDescent="0.35">
      <c r="AJ7275" s="213"/>
    </row>
    <row r="7276" spans="36:36" x14ac:dyDescent="0.35">
      <c r="AJ7276" s="213"/>
    </row>
    <row r="7277" spans="36:36" x14ac:dyDescent="0.35">
      <c r="AJ7277" s="213"/>
    </row>
    <row r="7278" spans="36:36" x14ac:dyDescent="0.35">
      <c r="AJ7278" s="213"/>
    </row>
    <row r="7279" spans="36:36" x14ac:dyDescent="0.35">
      <c r="AJ7279" s="213"/>
    </row>
    <row r="7280" spans="36:36" x14ac:dyDescent="0.35">
      <c r="AJ7280" s="213"/>
    </row>
    <row r="7281" spans="36:36" x14ac:dyDescent="0.35">
      <c r="AJ7281" s="213"/>
    </row>
    <row r="7282" spans="36:36" x14ac:dyDescent="0.35">
      <c r="AJ7282" s="213"/>
    </row>
    <row r="7283" spans="36:36" x14ac:dyDescent="0.35">
      <c r="AJ7283" s="213"/>
    </row>
    <row r="7284" spans="36:36" x14ac:dyDescent="0.35">
      <c r="AJ7284" s="213"/>
    </row>
    <row r="7285" spans="36:36" x14ac:dyDescent="0.35">
      <c r="AJ7285" s="213"/>
    </row>
    <row r="7286" spans="36:36" x14ac:dyDescent="0.35">
      <c r="AJ7286" s="213"/>
    </row>
    <row r="7287" spans="36:36" x14ac:dyDescent="0.35">
      <c r="AJ7287" s="213"/>
    </row>
    <row r="7288" spans="36:36" x14ac:dyDescent="0.35">
      <c r="AJ7288" s="213"/>
    </row>
    <row r="7289" spans="36:36" x14ac:dyDescent="0.35">
      <c r="AJ7289" s="213"/>
    </row>
    <row r="7290" spans="36:36" x14ac:dyDescent="0.35">
      <c r="AJ7290" s="213"/>
    </row>
    <row r="7291" spans="36:36" x14ac:dyDescent="0.35">
      <c r="AJ7291" s="213"/>
    </row>
    <row r="7292" spans="36:36" x14ac:dyDescent="0.35">
      <c r="AJ7292" s="213"/>
    </row>
    <row r="7293" spans="36:36" x14ac:dyDescent="0.35">
      <c r="AJ7293" s="213"/>
    </row>
    <row r="7294" spans="36:36" x14ac:dyDescent="0.35">
      <c r="AJ7294" s="213"/>
    </row>
    <row r="7295" spans="36:36" x14ac:dyDescent="0.35">
      <c r="AJ7295" s="213"/>
    </row>
    <row r="7296" spans="36:36" x14ac:dyDescent="0.35">
      <c r="AJ7296" s="213"/>
    </row>
    <row r="7297" spans="36:36" x14ac:dyDescent="0.35">
      <c r="AJ7297" s="213"/>
    </row>
    <row r="7298" spans="36:36" x14ac:dyDescent="0.35">
      <c r="AJ7298" s="213"/>
    </row>
    <row r="7299" spans="36:36" x14ac:dyDescent="0.35">
      <c r="AJ7299" s="213"/>
    </row>
    <row r="7300" spans="36:36" x14ac:dyDescent="0.35">
      <c r="AJ7300" s="213"/>
    </row>
    <row r="7301" spans="36:36" x14ac:dyDescent="0.35">
      <c r="AJ7301" s="213"/>
    </row>
    <row r="7302" spans="36:36" x14ac:dyDescent="0.35">
      <c r="AJ7302" s="213"/>
    </row>
    <row r="7303" spans="36:36" x14ac:dyDescent="0.35">
      <c r="AJ7303" s="213"/>
    </row>
    <row r="7304" spans="36:36" x14ac:dyDescent="0.35">
      <c r="AJ7304" s="213"/>
    </row>
    <row r="7305" spans="36:36" x14ac:dyDescent="0.35">
      <c r="AJ7305" s="213"/>
    </row>
    <row r="7306" spans="36:36" x14ac:dyDescent="0.35">
      <c r="AJ7306" s="213"/>
    </row>
    <row r="7307" spans="36:36" x14ac:dyDescent="0.35">
      <c r="AJ7307" s="213"/>
    </row>
    <row r="7308" spans="36:36" x14ac:dyDescent="0.35">
      <c r="AJ7308" s="213"/>
    </row>
    <row r="7309" spans="36:36" x14ac:dyDescent="0.35">
      <c r="AJ7309" s="213"/>
    </row>
    <row r="7310" spans="36:36" x14ac:dyDescent="0.35">
      <c r="AJ7310" s="213"/>
    </row>
    <row r="7311" spans="36:36" x14ac:dyDescent="0.35">
      <c r="AJ7311" s="213"/>
    </row>
    <row r="7312" spans="36:36" x14ac:dyDescent="0.35">
      <c r="AJ7312" s="213"/>
    </row>
    <row r="7313" spans="36:36" x14ac:dyDescent="0.35">
      <c r="AJ7313" s="213"/>
    </row>
    <row r="7314" spans="36:36" x14ac:dyDescent="0.35">
      <c r="AJ7314" s="213"/>
    </row>
    <row r="7315" spans="36:36" x14ac:dyDescent="0.35">
      <c r="AJ7315" s="213"/>
    </row>
    <row r="7316" spans="36:36" x14ac:dyDescent="0.35">
      <c r="AJ7316" s="213"/>
    </row>
    <row r="7317" spans="36:36" x14ac:dyDescent="0.35">
      <c r="AJ7317" s="213"/>
    </row>
    <row r="7318" spans="36:36" x14ac:dyDescent="0.35">
      <c r="AJ7318" s="213"/>
    </row>
    <row r="7319" spans="36:36" x14ac:dyDescent="0.35">
      <c r="AJ7319" s="213"/>
    </row>
    <row r="7320" spans="36:36" x14ac:dyDescent="0.35">
      <c r="AJ7320" s="213"/>
    </row>
    <row r="7321" spans="36:36" x14ac:dyDescent="0.35">
      <c r="AJ7321" s="213"/>
    </row>
    <row r="7322" spans="36:36" x14ac:dyDescent="0.35">
      <c r="AJ7322" s="213"/>
    </row>
    <row r="7323" spans="36:36" x14ac:dyDescent="0.35">
      <c r="AJ7323" s="213"/>
    </row>
    <row r="7324" spans="36:36" x14ac:dyDescent="0.35">
      <c r="AJ7324" s="213"/>
    </row>
    <row r="7325" spans="36:36" x14ac:dyDescent="0.35">
      <c r="AJ7325" s="213"/>
    </row>
    <row r="7326" spans="36:36" x14ac:dyDescent="0.35">
      <c r="AJ7326" s="213"/>
    </row>
    <row r="7327" spans="36:36" x14ac:dyDescent="0.35">
      <c r="AJ7327" s="213"/>
    </row>
    <row r="7328" spans="36:36" x14ac:dyDescent="0.35">
      <c r="AJ7328" s="213"/>
    </row>
    <row r="7329" spans="36:36" x14ac:dyDescent="0.35">
      <c r="AJ7329" s="213"/>
    </row>
    <row r="7330" spans="36:36" x14ac:dyDescent="0.35">
      <c r="AJ7330" s="213"/>
    </row>
    <row r="7331" spans="36:36" x14ac:dyDescent="0.35">
      <c r="AJ7331" s="213"/>
    </row>
    <row r="7332" spans="36:36" x14ac:dyDescent="0.35">
      <c r="AJ7332" s="213"/>
    </row>
    <row r="7333" spans="36:36" x14ac:dyDescent="0.35">
      <c r="AJ7333" s="213"/>
    </row>
    <row r="7334" spans="36:36" x14ac:dyDescent="0.35">
      <c r="AJ7334" s="213"/>
    </row>
    <row r="7335" spans="36:36" x14ac:dyDescent="0.35">
      <c r="AJ7335" s="213"/>
    </row>
    <row r="7336" spans="36:36" x14ac:dyDescent="0.35">
      <c r="AJ7336" s="213"/>
    </row>
    <row r="7337" spans="36:36" x14ac:dyDescent="0.35">
      <c r="AJ7337" s="213"/>
    </row>
    <row r="7338" spans="36:36" x14ac:dyDescent="0.35">
      <c r="AJ7338" s="213"/>
    </row>
    <row r="7339" spans="36:36" x14ac:dyDescent="0.35">
      <c r="AJ7339" s="213"/>
    </row>
    <row r="7340" spans="36:36" x14ac:dyDescent="0.35">
      <c r="AJ7340" s="213"/>
    </row>
    <row r="7341" spans="36:36" x14ac:dyDescent="0.35">
      <c r="AJ7341" s="213"/>
    </row>
    <row r="7342" spans="36:36" x14ac:dyDescent="0.35">
      <c r="AJ7342" s="213"/>
    </row>
    <row r="7343" spans="36:36" x14ac:dyDescent="0.35">
      <c r="AJ7343" s="213"/>
    </row>
    <row r="7344" spans="36:36" x14ac:dyDescent="0.35">
      <c r="AJ7344" s="213"/>
    </row>
    <row r="7345" spans="36:36" x14ac:dyDescent="0.35">
      <c r="AJ7345" s="213"/>
    </row>
    <row r="7346" spans="36:36" x14ac:dyDescent="0.35">
      <c r="AJ7346" s="213"/>
    </row>
    <row r="7347" spans="36:36" x14ac:dyDescent="0.35">
      <c r="AJ7347" s="213"/>
    </row>
    <row r="7348" spans="36:36" x14ac:dyDescent="0.35">
      <c r="AJ7348" s="213"/>
    </row>
    <row r="7349" spans="36:36" x14ac:dyDescent="0.35">
      <c r="AJ7349" s="213"/>
    </row>
    <row r="7350" spans="36:36" x14ac:dyDescent="0.35">
      <c r="AJ7350" s="213"/>
    </row>
    <row r="7351" spans="36:36" x14ac:dyDescent="0.35">
      <c r="AJ7351" s="213"/>
    </row>
    <row r="7352" spans="36:36" x14ac:dyDescent="0.35">
      <c r="AJ7352" s="213"/>
    </row>
    <row r="7353" spans="36:36" x14ac:dyDescent="0.35">
      <c r="AJ7353" s="213"/>
    </row>
    <row r="7354" spans="36:36" x14ac:dyDescent="0.35">
      <c r="AJ7354" s="213"/>
    </row>
    <row r="7355" spans="36:36" x14ac:dyDescent="0.35">
      <c r="AJ7355" s="213"/>
    </row>
    <row r="7356" spans="36:36" x14ac:dyDescent="0.35">
      <c r="AJ7356" s="213"/>
    </row>
    <row r="7357" spans="36:36" x14ac:dyDescent="0.35">
      <c r="AJ7357" s="213"/>
    </row>
    <row r="7358" spans="36:36" x14ac:dyDescent="0.35">
      <c r="AJ7358" s="213"/>
    </row>
    <row r="7359" spans="36:36" x14ac:dyDescent="0.35">
      <c r="AJ7359" s="213"/>
    </row>
    <row r="7360" spans="36:36" x14ac:dyDescent="0.35">
      <c r="AJ7360" s="213"/>
    </row>
    <row r="7361" spans="36:36" x14ac:dyDescent="0.35">
      <c r="AJ7361" s="213"/>
    </row>
    <row r="7362" spans="36:36" x14ac:dyDescent="0.35">
      <c r="AJ7362" s="213"/>
    </row>
    <row r="7363" spans="36:36" x14ac:dyDescent="0.35">
      <c r="AJ7363" s="213"/>
    </row>
    <row r="7364" spans="36:36" x14ac:dyDescent="0.35">
      <c r="AJ7364" s="213"/>
    </row>
    <row r="7365" spans="36:36" x14ac:dyDescent="0.35">
      <c r="AJ7365" s="213"/>
    </row>
    <row r="7366" spans="36:36" x14ac:dyDescent="0.35">
      <c r="AJ7366" s="213"/>
    </row>
    <row r="7367" spans="36:36" x14ac:dyDescent="0.35">
      <c r="AJ7367" s="213"/>
    </row>
    <row r="7368" spans="36:36" x14ac:dyDescent="0.35">
      <c r="AJ7368" s="213"/>
    </row>
    <row r="7369" spans="36:36" x14ac:dyDescent="0.35">
      <c r="AJ7369" s="213"/>
    </row>
    <row r="7370" spans="36:36" x14ac:dyDescent="0.35">
      <c r="AJ7370" s="213"/>
    </row>
    <row r="7371" spans="36:36" x14ac:dyDescent="0.35">
      <c r="AJ7371" s="213"/>
    </row>
    <row r="7372" spans="36:36" x14ac:dyDescent="0.35">
      <c r="AJ7372" s="213"/>
    </row>
    <row r="7373" spans="36:36" x14ac:dyDescent="0.35">
      <c r="AJ7373" s="213"/>
    </row>
    <row r="7374" spans="36:36" x14ac:dyDescent="0.35">
      <c r="AJ7374" s="213"/>
    </row>
    <row r="7375" spans="36:36" x14ac:dyDescent="0.35">
      <c r="AJ7375" s="213"/>
    </row>
    <row r="7376" spans="36:36" x14ac:dyDescent="0.35">
      <c r="AJ7376" s="213"/>
    </row>
    <row r="7377" spans="36:36" x14ac:dyDescent="0.35">
      <c r="AJ7377" s="213"/>
    </row>
    <row r="7378" spans="36:36" x14ac:dyDescent="0.35">
      <c r="AJ7378" s="213"/>
    </row>
    <row r="7379" spans="36:36" x14ac:dyDescent="0.35">
      <c r="AJ7379" s="213"/>
    </row>
    <row r="7380" spans="36:36" x14ac:dyDescent="0.35">
      <c r="AJ7380" s="213"/>
    </row>
    <row r="7381" spans="36:36" x14ac:dyDescent="0.35">
      <c r="AJ7381" s="213"/>
    </row>
    <row r="7382" spans="36:36" x14ac:dyDescent="0.35">
      <c r="AJ7382" s="213"/>
    </row>
    <row r="7383" spans="36:36" x14ac:dyDescent="0.35">
      <c r="AJ7383" s="213"/>
    </row>
    <row r="7384" spans="36:36" x14ac:dyDescent="0.35">
      <c r="AJ7384" s="213"/>
    </row>
    <row r="7385" spans="36:36" x14ac:dyDescent="0.35">
      <c r="AJ7385" s="213"/>
    </row>
    <row r="7386" spans="36:36" x14ac:dyDescent="0.35">
      <c r="AJ7386" s="213"/>
    </row>
    <row r="7387" spans="36:36" x14ac:dyDescent="0.35">
      <c r="AJ7387" s="213"/>
    </row>
    <row r="7388" spans="36:36" x14ac:dyDescent="0.35">
      <c r="AJ7388" s="213"/>
    </row>
    <row r="7389" spans="36:36" x14ac:dyDescent="0.35">
      <c r="AJ7389" s="213"/>
    </row>
    <row r="7390" spans="36:36" x14ac:dyDescent="0.35">
      <c r="AJ7390" s="213"/>
    </row>
    <row r="7391" spans="36:36" x14ac:dyDescent="0.35">
      <c r="AJ7391" s="213"/>
    </row>
    <row r="7392" spans="36:36" x14ac:dyDescent="0.35">
      <c r="AJ7392" s="213"/>
    </row>
    <row r="7393" spans="36:36" x14ac:dyDescent="0.35">
      <c r="AJ7393" s="213"/>
    </row>
    <row r="7394" spans="36:36" x14ac:dyDescent="0.35">
      <c r="AJ7394" s="213"/>
    </row>
    <row r="7395" spans="36:36" x14ac:dyDescent="0.35">
      <c r="AJ7395" s="213"/>
    </row>
    <row r="7396" spans="36:36" x14ac:dyDescent="0.35">
      <c r="AJ7396" s="213"/>
    </row>
    <row r="7397" spans="36:36" x14ac:dyDescent="0.35">
      <c r="AJ7397" s="213"/>
    </row>
    <row r="7398" spans="36:36" x14ac:dyDescent="0.35">
      <c r="AJ7398" s="213"/>
    </row>
    <row r="7399" spans="36:36" x14ac:dyDescent="0.35">
      <c r="AJ7399" s="213"/>
    </row>
    <row r="7400" spans="36:36" x14ac:dyDescent="0.35">
      <c r="AJ7400" s="213"/>
    </row>
    <row r="7401" spans="36:36" x14ac:dyDescent="0.35">
      <c r="AJ7401" s="213"/>
    </row>
    <row r="7402" spans="36:36" x14ac:dyDescent="0.35">
      <c r="AJ7402" s="213"/>
    </row>
    <row r="7403" spans="36:36" x14ac:dyDescent="0.35">
      <c r="AJ7403" s="213"/>
    </row>
    <row r="7404" spans="36:36" x14ac:dyDescent="0.35">
      <c r="AJ7404" s="213"/>
    </row>
    <row r="7405" spans="36:36" x14ac:dyDescent="0.35">
      <c r="AJ7405" s="213"/>
    </row>
    <row r="7406" spans="36:36" x14ac:dyDescent="0.35">
      <c r="AJ7406" s="213"/>
    </row>
    <row r="7407" spans="36:36" x14ac:dyDescent="0.35">
      <c r="AJ7407" s="213"/>
    </row>
    <row r="7408" spans="36:36" x14ac:dyDescent="0.35">
      <c r="AJ7408" s="213"/>
    </row>
    <row r="7409" spans="36:36" x14ac:dyDescent="0.35">
      <c r="AJ7409" s="213"/>
    </row>
    <row r="7410" spans="36:36" x14ac:dyDescent="0.35">
      <c r="AJ7410" s="213"/>
    </row>
    <row r="7411" spans="36:36" x14ac:dyDescent="0.35">
      <c r="AJ7411" s="213"/>
    </row>
    <row r="7412" spans="36:36" x14ac:dyDescent="0.35">
      <c r="AJ7412" s="213"/>
    </row>
    <row r="7413" spans="36:36" x14ac:dyDescent="0.35">
      <c r="AJ7413" s="213"/>
    </row>
    <row r="7414" spans="36:36" x14ac:dyDescent="0.35">
      <c r="AJ7414" s="213"/>
    </row>
    <row r="7415" spans="36:36" x14ac:dyDescent="0.35">
      <c r="AJ7415" s="213"/>
    </row>
    <row r="7416" spans="36:36" x14ac:dyDescent="0.35">
      <c r="AJ7416" s="213"/>
    </row>
    <row r="7417" spans="36:36" x14ac:dyDescent="0.35">
      <c r="AJ7417" s="213"/>
    </row>
    <row r="7418" spans="36:36" x14ac:dyDescent="0.35">
      <c r="AJ7418" s="213"/>
    </row>
    <row r="7419" spans="36:36" x14ac:dyDescent="0.35">
      <c r="AJ7419" s="213"/>
    </row>
    <row r="7420" spans="36:36" x14ac:dyDescent="0.35">
      <c r="AJ7420" s="213"/>
    </row>
    <row r="7421" spans="36:36" x14ac:dyDescent="0.35">
      <c r="AJ7421" s="213"/>
    </row>
    <row r="7422" spans="36:36" x14ac:dyDescent="0.35">
      <c r="AJ7422" s="213"/>
    </row>
    <row r="7423" spans="36:36" x14ac:dyDescent="0.35">
      <c r="AJ7423" s="213"/>
    </row>
    <row r="7424" spans="36:36" x14ac:dyDescent="0.35">
      <c r="AJ7424" s="213"/>
    </row>
    <row r="7425" spans="36:36" x14ac:dyDescent="0.35">
      <c r="AJ7425" s="213"/>
    </row>
    <row r="7426" spans="36:36" x14ac:dyDescent="0.35">
      <c r="AJ7426" s="213"/>
    </row>
    <row r="7427" spans="36:36" x14ac:dyDescent="0.35">
      <c r="AJ7427" s="213"/>
    </row>
    <row r="7428" spans="36:36" x14ac:dyDescent="0.35">
      <c r="AJ7428" s="213"/>
    </row>
    <row r="7429" spans="36:36" x14ac:dyDescent="0.35">
      <c r="AJ7429" s="213"/>
    </row>
    <row r="7430" spans="36:36" x14ac:dyDescent="0.35">
      <c r="AJ7430" s="213"/>
    </row>
    <row r="7431" spans="36:36" x14ac:dyDescent="0.35">
      <c r="AJ7431" s="213"/>
    </row>
    <row r="7432" spans="36:36" x14ac:dyDescent="0.35">
      <c r="AJ7432" s="213"/>
    </row>
    <row r="7433" spans="36:36" x14ac:dyDescent="0.35">
      <c r="AJ7433" s="213"/>
    </row>
    <row r="7434" spans="36:36" x14ac:dyDescent="0.35">
      <c r="AJ7434" s="213"/>
    </row>
    <row r="7435" spans="36:36" x14ac:dyDescent="0.35">
      <c r="AJ7435" s="213"/>
    </row>
    <row r="7436" spans="36:36" x14ac:dyDescent="0.35">
      <c r="AJ7436" s="213"/>
    </row>
    <row r="7437" spans="36:36" x14ac:dyDescent="0.35">
      <c r="AJ7437" s="213"/>
    </row>
    <row r="7438" spans="36:36" x14ac:dyDescent="0.35">
      <c r="AJ7438" s="213"/>
    </row>
    <row r="7439" spans="36:36" x14ac:dyDescent="0.35">
      <c r="AJ7439" s="213"/>
    </row>
    <row r="7440" spans="36:36" x14ac:dyDescent="0.35">
      <c r="AJ7440" s="213"/>
    </row>
    <row r="7441" spans="36:36" x14ac:dyDescent="0.35">
      <c r="AJ7441" s="213"/>
    </row>
    <row r="7442" spans="36:36" x14ac:dyDescent="0.35">
      <c r="AJ7442" s="213"/>
    </row>
    <row r="7443" spans="36:36" x14ac:dyDescent="0.35">
      <c r="AJ7443" s="213"/>
    </row>
    <row r="7444" spans="36:36" x14ac:dyDescent="0.35">
      <c r="AJ7444" s="213"/>
    </row>
    <row r="7445" spans="36:36" x14ac:dyDescent="0.35">
      <c r="AJ7445" s="213"/>
    </row>
    <row r="7446" spans="36:36" x14ac:dyDescent="0.35">
      <c r="AJ7446" s="213"/>
    </row>
    <row r="7447" spans="36:36" x14ac:dyDescent="0.35">
      <c r="AJ7447" s="213"/>
    </row>
    <row r="7448" spans="36:36" x14ac:dyDescent="0.35">
      <c r="AJ7448" s="213"/>
    </row>
    <row r="7449" spans="36:36" x14ac:dyDescent="0.35">
      <c r="AJ7449" s="213"/>
    </row>
    <row r="7450" spans="36:36" x14ac:dyDescent="0.35">
      <c r="AJ7450" s="213"/>
    </row>
    <row r="7451" spans="36:36" x14ac:dyDescent="0.35">
      <c r="AJ7451" s="213"/>
    </row>
    <row r="7452" spans="36:36" x14ac:dyDescent="0.35">
      <c r="AJ7452" s="213"/>
    </row>
    <row r="7453" spans="36:36" x14ac:dyDescent="0.35">
      <c r="AJ7453" s="213"/>
    </row>
    <row r="7454" spans="36:36" x14ac:dyDescent="0.35">
      <c r="AJ7454" s="213"/>
    </row>
    <row r="7455" spans="36:36" x14ac:dyDescent="0.35">
      <c r="AJ7455" s="213"/>
    </row>
    <row r="7456" spans="36:36" x14ac:dyDescent="0.35">
      <c r="AJ7456" s="213"/>
    </row>
    <row r="7457" spans="36:36" x14ac:dyDescent="0.35">
      <c r="AJ7457" s="213"/>
    </row>
    <row r="7458" spans="36:36" x14ac:dyDescent="0.35">
      <c r="AJ7458" s="213"/>
    </row>
    <row r="7459" spans="36:36" x14ac:dyDescent="0.35">
      <c r="AJ7459" s="213"/>
    </row>
    <row r="7460" spans="36:36" x14ac:dyDescent="0.35">
      <c r="AJ7460" s="213"/>
    </row>
    <row r="7461" spans="36:36" x14ac:dyDescent="0.35">
      <c r="AJ7461" s="213"/>
    </row>
    <row r="7462" spans="36:36" x14ac:dyDescent="0.35">
      <c r="AJ7462" s="213"/>
    </row>
    <row r="7463" spans="36:36" x14ac:dyDescent="0.35">
      <c r="AJ7463" s="213"/>
    </row>
    <row r="7464" spans="36:36" x14ac:dyDescent="0.35">
      <c r="AJ7464" s="213"/>
    </row>
    <row r="7465" spans="36:36" x14ac:dyDescent="0.35">
      <c r="AJ7465" s="213"/>
    </row>
    <row r="7466" spans="36:36" x14ac:dyDescent="0.35">
      <c r="AJ7466" s="213"/>
    </row>
    <row r="7467" spans="36:36" x14ac:dyDescent="0.35">
      <c r="AJ7467" s="213"/>
    </row>
    <row r="7468" spans="36:36" x14ac:dyDescent="0.35">
      <c r="AJ7468" s="213"/>
    </row>
    <row r="7469" spans="36:36" x14ac:dyDescent="0.35">
      <c r="AJ7469" s="213"/>
    </row>
    <row r="7470" spans="36:36" x14ac:dyDescent="0.35">
      <c r="AJ7470" s="213"/>
    </row>
    <row r="7471" spans="36:36" x14ac:dyDescent="0.35">
      <c r="AJ7471" s="213"/>
    </row>
    <row r="7472" spans="36:36" x14ac:dyDescent="0.35">
      <c r="AJ7472" s="213"/>
    </row>
    <row r="7473" spans="36:36" x14ac:dyDescent="0.35">
      <c r="AJ7473" s="213"/>
    </row>
    <row r="7474" spans="36:36" x14ac:dyDescent="0.35">
      <c r="AJ7474" s="213"/>
    </row>
    <row r="7475" spans="36:36" x14ac:dyDescent="0.35">
      <c r="AJ7475" s="213"/>
    </row>
    <row r="7476" spans="36:36" x14ac:dyDescent="0.35">
      <c r="AJ7476" s="213"/>
    </row>
    <row r="7477" spans="36:36" x14ac:dyDescent="0.35">
      <c r="AJ7477" s="213"/>
    </row>
    <row r="7478" spans="36:36" x14ac:dyDescent="0.35">
      <c r="AJ7478" s="213"/>
    </row>
    <row r="7479" spans="36:36" x14ac:dyDescent="0.35">
      <c r="AJ7479" s="213"/>
    </row>
    <row r="7480" spans="36:36" x14ac:dyDescent="0.35">
      <c r="AJ7480" s="213"/>
    </row>
    <row r="7481" spans="36:36" x14ac:dyDescent="0.35">
      <c r="AJ7481" s="213"/>
    </row>
    <row r="7482" spans="36:36" x14ac:dyDescent="0.35">
      <c r="AJ7482" s="213"/>
    </row>
    <row r="7483" spans="36:36" x14ac:dyDescent="0.35">
      <c r="AJ7483" s="213"/>
    </row>
    <row r="7484" spans="36:36" x14ac:dyDescent="0.35">
      <c r="AJ7484" s="213"/>
    </row>
    <row r="7485" spans="36:36" x14ac:dyDescent="0.35">
      <c r="AJ7485" s="213"/>
    </row>
    <row r="7486" spans="36:36" x14ac:dyDescent="0.35">
      <c r="AJ7486" s="213"/>
    </row>
    <row r="7487" spans="36:36" x14ac:dyDescent="0.35">
      <c r="AJ7487" s="213"/>
    </row>
    <row r="7488" spans="36:36" x14ac:dyDescent="0.35">
      <c r="AJ7488" s="213"/>
    </row>
    <row r="7489" spans="36:36" x14ac:dyDescent="0.35">
      <c r="AJ7489" s="213"/>
    </row>
    <row r="7490" spans="36:36" x14ac:dyDescent="0.35">
      <c r="AJ7490" s="213"/>
    </row>
    <row r="7491" spans="36:36" x14ac:dyDescent="0.35">
      <c r="AJ7491" s="213"/>
    </row>
    <row r="7492" spans="36:36" x14ac:dyDescent="0.35">
      <c r="AJ7492" s="213"/>
    </row>
    <row r="7493" spans="36:36" x14ac:dyDescent="0.35">
      <c r="AJ7493" s="213"/>
    </row>
    <row r="7494" spans="36:36" x14ac:dyDescent="0.35">
      <c r="AJ7494" s="213"/>
    </row>
    <row r="7495" spans="36:36" x14ac:dyDescent="0.35">
      <c r="AJ7495" s="213"/>
    </row>
    <row r="7496" spans="36:36" x14ac:dyDescent="0.35">
      <c r="AJ7496" s="213"/>
    </row>
    <row r="7497" spans="36:36" x14ac:dyDescent="0.35">
      <c r="AJ7497" s="213"/>
    </row>
    <row r="7498" spans="36:36" x14ac:dyDescent="0.35">
      <c r="AJ7498" s="213"/>
    </row>
    <row r="7499" spans="36:36" x14ac:dyDescent="0.35">
      <c r="AJ7499" s="213"/>
    </row>
    <row r="7500" spans="36:36" x14ac:dyDescent="0.35">
      <c r="AJ7500" s="213"/>
    </row>
    <row r="7501" spans="36:36" x14ac:dyDescent="0.35">
      <c r="AJ7501" s="213"/>
    </row>
    <row r="7502" spans="36:36" x14ac:dyDescent="0.35">
      <c r="AJ7502" s="213"/>
    </row>
    <row r="7503" spans="36:36" x14ac:dyDescent="0.35">
      <c r="AJ7503" s="213"/>
    </row>
    <row r="7504" spans="36:36" x14ac:dyDescent="0.35">
      <c r="AJ7504" s="213"/>
    </row>
    <row r="7505" spans="36:36" x14ac:dyDescent="0.35">
      <c r="AJ7505" s="213"/>
    </row>
    <row r="7506" spans="36:36" x14ac:dyDescent="0.35">
      <c r="AJ7506" s="213"/>
    </row>
    <row r="7507" spans="36:36" x14ac:dyDescent="0.35">
      <c r="AJ7507" s="213"/>
    </row>
    <row r="7508" spans="36:36" x14ac:dyDescent="0.35">
      <c r="AJ7508" s="213"/>
    </row>
    <row r="7509" spans="36:36" x14ac:dyDescent="0.35">
      <c r="AJ7509" s="213"/>
    </row>
    <row r="7510" spans="36:36" x14ac:dyDescent="0.35">
      <c r="AJ7510" s="213"/>
    </row>
    <row r="7511" spans="36:36" x14ac:dyDescent="0.35">
      <c r="AJ7511" s="213"/>
    </row>
    <row r="7512" spans="36:36" x14ac:dyDescent="0.35">
      <c r="AJ7512" s="213"/>
    </row>
    <row r="7513" spans="36:36" x14ac:dyDescent="0.35">
      <c r="AJ7513" s="213"/>
    </row>
    <row r="7514" spans="36:36" x14ac:dyDescent="0.35">
      <c r="AJ7514" s="213"/>
    </row>
    <row r="7515" spans="36:36" x14ac:dyDescent="0.35">
      <c r="AJ7515" s="213"/>
    </row>
    <row r="7516" spans="36:36" x14ac:dyDescent="0.35">
      <c r="AJ7516" s="213"/>
    </row>
    <row r="7517" spans="36:36" x14ac:dyDescent="0.35">
      <c r="AJ7517" s="213"/>
    </row>
    <row r="7518" spans="36:36" x14ac:dyDescent="0.35">
      <c r="AJ7518" s="213"/>
    </row>
    <row r="7519" spans="36:36" x14ac:dyDescent="0.35">
      <c r="AJ7519" s="213"/>
    </row>
    <row r="7520" spans="36:36" x14ac:dyDescent="0.35">
      <c r="AJ7520" s="213"/>
    </row>
    <row r="7521" spans="36:36" x14ac:dyDescent="0.35">
      <c r="AJ7521" s="213"/>
    </row>
    <row r="7522" spans="36:36" x14ac:dyDescent="0.35">
      <c r="AJ7522" s="213"/>
    </row>
    <row r="7523" spans="36:36" x14ac:dyDescent="0.35">
      <c r="AJ7523" s="213"/>
    </row>
    <row r="7524" spans="36:36" x14ac:dyDescent="0.35">
      <c r="AJ7524" s="213"/>
    </row>
    <row r="7525" spans="36:36" x14ac:dyDescent="0.35">
      <c r="AJ7525" s="213"/>
    </row>
    <row r="7526" spans="36:36" x14ac:dyDescent="0.35">
      <c r="AJ7526" s="213"/>
    </row>
    <row r="7527" spans="36:36" x14ac:dyDescent="0.35">
      <c r="AJ7527" s="213"/>
    </row>
    <row r="7528" spans="36:36" x14ac:dyDescent="0.35">
      <c r="AJ7528" s="213"/>
    </row>
    <row r="7529" spans="36:36" x14ac:dyDescent="0.35">
      <c r="AJ7529" s="213"/>
    </row>
    <row r="7530" spans="36:36" x14ac:dyDescent="0.35">
      <c r="AJ7530" s="213"/>
    </row>
    <row r="7531" spans="36:36" x14ac:dyDescent="0.35">
      <c r="AJ7531" s="213"/>
    </row>
    <row r="7532" spans="36:36" x14ac:dyDescent="0.35">
      <c r="AJ7532" s="213"/>
    </row>
    <row r="7533" spans="36:36" x14ac:dyDescent="0.35">
      <c r="AJ7533" s="213"/>
    </row>
    <row r="7534" spans="36:36" x14ac:dyDescent="0.35">
      <c r="AJ7534" s="213"/>
    </row>
    <row r="7535" spans="36:36" x14ac:dyDescent="0.35">
      <c r="AJ7535" s="213"/>
    </row>
    <row r="7536" spans="36:36" x14ac:dyDescent="0.35">
      <c r="AJ7536" s="213"/>
    </row>
    <row r="7537" spans="36:36" x14ac:dyDescent="0.35">
      <c r="AJ7537" s="213"/>
    </row>
    <row r="7538" spans="36:36" x14ac:dyDescent="0.35">
      <c r="AJ7538" s="213"/>
    </row>
    <row r="7539" spans="36:36" x14ac:dyDescent="0.35">
      <c r="AJ7539" s="213"/>
    </row>
    <row r="7540" spans="36:36" x14ac:dyDescent="0.35">
      <c r="AJ7540" s="213"/>
    </row>
    <row r="7541" spans="36:36" x14ac:dyDescent="0.35">
      <c r="AJ7541" s="213"/>
    </row>
    <row r="7542" spans="36:36" x14ac:dyDescent="0.35">
      <c r="AJ7542" s="213"/>
    </row>
    <row r="7543" spans="36:36" x14ac:dyDescent="0.35">
      <c r="AJ7543" s="213"/>
    </row>
    <row r="7544" spans="36:36" x14ac:dyDescent="0.35">
      <c r="AJ7544" s="213"/>
    </row>
    <row r="7545" spans="36:36" x14ac:dyDescent="0.35">
      <c r="AJ7545" s="213"/>
    </row>
    <row r="7546" spans="36:36" x14ac:dyDescent="0.35">
      <c r="AJ7546" s="213"/>
    </row>
    <row r="7547" spans="36:36" x14ac:dyDescent="0.35">
      <c r="AJ7547" s="213"/>
    </row>
    <row r="7548" spans="36:36" x14ac:dyDescent="0.35">
      <c r="AJ7548" s="213"/>
    </row>
    <row r="7549" spans="36:36" x14ac:dyDescent="0.35">
      <c r="AJ7549" s="213"/>
    </row>
    <row r="7550" spans="36:36" x14ac:dyDescent="0.35">
      <c r="AJ7550" s="213"/>
    </row>
    <row r="7551" spans="36:36" x14ac:dyDescent="0.35">
      <c r="AJ7551" s="213"/>
    </row>
    <row r="7552" spans="36:36" x14ac:dyDescent="0.35">
      <c r="AJ7552" s="213"/>
    </row>
    <row r="7553" spans="36:36" x14ac:dyDescent="0.35">
      <c r="AJ7553" s="213"/>
    </row>
    <row r="7554" spans="36:36" x14ac:dyDescent="0.35">
      <c r="AJ7554" s="213"/>
    </row>
    <row r="7555" spans="36:36" x14ac:dyDescent="0.35">
      <c r="AJ7555" s="213"/>
    </row>
    <row r="7556" spans="36:36" x14ac:dyDescent="0.35">
      <c r="AJ7556" s="213"/>
    </row>
    <row r="7557" spans="36:36" x14ac:dyDescent="0.35">
      <c r="AJ7557" s="213"/>
    </row>
    <row r="7558" spans="36:36" x14ac:dyDescent="0.35">
      <c r="AJ7558" s="213"/>
    </row>
    <row r="7559" spans="36:36" x14ac:dyDescent="0.35">
      <c r="AJ7559" s="213"/>
    </row>
    <row r="7560" spans="36:36" x14ac:dyDescent="0.35">
      <c r="AJ7560" s="213"/>
    </row>
    <row r="7561" spans="36:36" x14ac:dyDescent="0.35">
      <c r="AJ7561" s="213"/>
    </row>
    <row r="7562" spans="36:36" x14ac:dyDescent="0.35">
      <c r="AJ7562" s="213"/>
    </row>
    <row r="7563" spans="36:36" x14ac:dyDescent="0.35">
      <c r="AJ7563" s="213"/>
    </row>
    <row r="7564" spans="36:36" x14ac:dyDescent="0.35">
      <c r="AJ7564" s="213"/>
    </row>
    <row r="7565" spans="36:36" x14ac:dyDescent="0.35">
      <c r="AJ7565" s="213"/>
    </row>
    <row r="7566" spans="36:36" x14ac:dyDescent="0.35">
      <c r="AJ7566" s="213"/>
    </row>
    <row r="7567" spans="36:36" x14ac:dyDescent="0.35">
      <c r="AJ7567" s="213"/>
    </row>
    <row r="7568" spans="36:36" x14ac:dyDescent="0.35">
      <c r="AJ7568" s="213"/>
    </row>
    <row r="7569" spans="36:36" x14ac:dyDescent="0.35">
      <c r="AJ7569" s="213"/>
    </row>
    <row r="7570" spans="36:36" x14ac:dyDescent="0.35">
      <c r="AJ7570" s="213"/>
    </row>
    <row r="7571" spans="36:36" x14ac:dyDescent="0.35">
      <c r="AJ7571" s="213"/>
    </row>
    <row r="7572" spans="36:36" x14ac:dyDescent="0.35">
      <c r="AJ7572" s="213"/>
    </row>
    <row r="7573" spans="36:36" x14ac:dyDescent="0.35">
      <c r="AJ7573" s="213"/>
    </row>
    <row r="7574" spans="36:36" x14ac:dyDescent="0.35">
      <c r="AJ7574" s="213"/>
    </row>
    <row r="7575" spans="36:36" x14ac:dyDescent="0.35">
      <c r="AJ7575" s="213"/>
    </row>
    <row r="7576" spans="36:36" x14ac:dyDescent="0.35">
      <c r="AJ7576" s="213"/>
    </row>
    <row r="7577" spans="36:36" x14ac:dyDescent="0.35">
      <c r="AJ7577" s="213"/>
    </row>
    <row r="7578" spans="36:36" x14ac:dyDescent="0.35">
      <c r="AJ7578" s="213"/>
    </row>
    <row r="7579" spans="36:36" x14ac:dyDescent="0.35">
      <c r="AJ7579" s="213"/>
    </row>
    <row r="7580" spans="36:36" x14ac:dyDescent="0.35">
      <c r="AJ7580" s="213"/>
    </row>
    <row r="7581" spans="36:36" x14ac:dyDescent="0.35">
      <c r="AJ7581" s="213"/>
    </row>
    <row r="7582" spans="36:36" x14ac:dyDescent="0.35">
      <c r="AJ7582" s="213"/>
    </row>
    <row r="7583" spans="36:36" x14ac:dyDescent="0.35">
      <c r="AJ7583" s="213"/>
    </row>
    <row r="7584" spans="36:36" x14ac:dyDescent="0.35">
      <c r="AJ7584" s="213"/>
    </row>
    <row r="7585" spans="36:36" x14ac:dyDescent="0.35">
      <c r="AJ7585" s="213"/>
    </row>
    <row r="7586" spans="36:36" x14ac:dyDescent="0.35">
      <c r="AJ7586" s="213"/>
    </row>
    <row r="7587" spans="36:36" x14ac:dyDescent="0.35">
      <c r="AJ7587" s="213"/>
    </row>
    <row r="7588" spans="36:36" x14ac:dyDescent="0.35">
      <c r="AJ7588" s="213"/>
    </row>
    <row r="7589" spans="36:36" x14ac:dyDescent="0.35">
      <c r="AJ7589" s="213"/>
    </row>
    <row r="7590" spans="36:36" x14ac:dyDescent="0.35">
      <c r="AJ7590" s="213"/>
    </row>
    <row r="7591" spans="36:36" x14ac:dyDescent="0.35">
      <c r="AJ7591" s="213"/>
    </row>
    <row r="7592" spans="36:36" x14ac:dyDescent="0.35">
      <c r="AJ7592" s="213"/>
    </row>
    <row r="7593" spans="36:36" x14ac:dyDescent="0.35">
      <c r="AJ7593" s="213"/>
    </row>
    <row r="7594" spans="36:36" x14ac:dyDescent="0.35">
      <c r="AJ7594" s="213"/>
    </row>
    <row r="7595" spans="36:36" x14ac:dyDescent="0.35">
      <c r="AJ7595" s="213"/>
    </row>
    <row r="7596" spans="36:36" x14ac:dyDescent="0.35">
      <c r="AJ7596" s="213"/>
    </row>
    <row r="7597" spans="36:36" x14ac:dyDescent="0.35">
      <c r="AJ7597" s="213"/>
    </row>
    <row r="7598" spans="36:36" x14ac:dyDescent="0.35">
      <c r="AJ7598" s="213"/>
    </row>
    <row r="7599" spans="36:36" x14ac:dyDescent="0.35">
      <c r="AJ7599" s="213"/>
    </row>
    <row r="7600" spans="36:36" x14ac:dyDescent="0.35">
      <c r="AJ7600" s="213"/>
    </row>
    <row r="7601" spans="36:36" x14ac:dyDescent="0.35">
      <c r="AJ7601" s="213"/>
    </row>
    <row r="7602" spans="36:36" x14ac:dyDescent="0.35">
      <c r="AJ7602" s="213"/>
    </row>
    <row r="7603" spans="36:36" x14ac:dyDescent="0.35">
      <c r="AJ7603" s="213"/>
    </row>
    <row r="7604" spans="36:36" x14ac:dyDescent="0.35">
      <c r="AJ7604" s="213"/>
    </row>
    <row r="7605" spans="36:36" x14ac:dyDescent="0.35">
      <c r="AJ7605" s="213"/>
    </row>
    <row r="7606" spans="36:36" x14ac:dyDescent="0.35">
      <c r="AJ7606" s="213"/>
    </row>
    <row r="7607" spans="36:36" x14ac:dyDescent="0.35">
      <c r="AJ7607" s="213"/>
    </row>
    <row r="7608" spans="36:36" x14ac:dyDescent="0.35">
      <c r="AJ7608" s="213"/>
    </row>
    <row r="7609" spans="36:36" x14ac:dyDescent="0.35">
      <c r="AJ7609" s="213"/>
    </row>
    <row r="7610" spans="36:36" x14ac:dyDescent="0.35">
      <c r="AJ7610" s="213"/>
    </row>
    <row r="7611" spans="36:36" x14ac:dyDescent="0.35">
      <c r="AJ7611" s="213"/>
    </row>
    <row r="7612" spans="36:36" x14ac:dyDescent="0.35">
      <c r="AJ7612" s="213"/>
    </row>
    <row r="7613" spans="36:36" x14ac:dyDescent="0.35">
      <c r="AJ7613" s="213"/>
    </row>
    <row r="7614" spans="36:36" x14ac:dyDescent="0.35">
      <c r="AJ7614" s="213"/>
    </row>
    <row r="7615" spans="36:36" x14ac:dyDescent="0.35">
      <c r="AJ7615" s="213"/>
    </row>
    <row r="7616" spans="36:36" x14ac:dyDescent="0.35">
      <c r="AJ7616" s="213"/>
    </row>
    <row r="7617" spans="36:36" x14ac:dyDescent="0.35">
      <c r="AJ7617" s="213"/>
    </row>
    <row r="7618" spans="36:36" x14ac:dyDescent="0.35">
      <c r="AJ7618" s="213"/>
    </row>
    <row r="7619" spans="36:36" x14ac:dyDescent="0.35">
      <c r="AJ7619" s="213"/>
    </row>
    <row r="7620" spans="36:36" x14ac:dyDescent="0.35">
      <c r="AJ7620" s="213"/>
    </row>
    <row r="7621" spans="36:36" x14ac:dyDescent="0.35">
      <c r="AJ7621" s="213"/>
    </row>
    <row r="7622" spans="36:36" x14ac:dyDescent="0.35">
      <c r="AJ7622" s="213"/>
    </row>
    <row r="7623" spans="36:36" x14ac:dyDescent="0.35">
      <c r="AJ7623" s="213"/>
    </row>
    <row r="7624" spans="36:36" x14ac:dyDescent="0.35">
      <c r="AJ7624" s="213"/>
    </row>
    <row r="7625" spans="36:36" x14ac:dyDescent="0.35">
      <c r="AJ7625" s="213"/>
    </row>
    <row r="7626" spans="36:36" x14ac:dyDescent="0.35">
      <c r="AJ7626" s="213"/>
    </row>
    <row r="7627" spans="36:36" x14ac:dyDescent="0.35">
      <c r="AJ7627" s="213"/>
    </row>
    <row r="7628" spans="36:36" x14ac:dyDescent="0.35">
      <c r="AJ7628" s="213"/>
    </row>
    <row r="7629" spans="36:36" x14ac:dyDescent="0.35">
      <c r="AJ7629" s="213"/>
    </row>
    <row r="7630" spans="36:36" x14ac:dyDescent="0.35">
      <c r="AJ7630" s="213"/>
    </row>
    <row r="7631" spans="36:36" x14ac:dyDescent="0.35">
      <c r="AJ7631" s="213"/>
    </row>
    <row r="7632" spans="36:36" x14ac:dyDescent="0.35">
      <c r="AJ7632" s="213"/>
    </row>
    <row r="7633" spans="36:36" x14ac:dyDescent="0.35">
      <c r="AJ7633" s="213"/>
    </row>
    <row r="7634" spans="36:36" x14ac:dyDescent="0.35">
      <c r="AJ7634" s="213"/>
    </row>
    <row r="7635" spans="36:36" x14ac:dyDescent="0.35">
      <c r="AJ7635" s="213"/>
    </row>
    <row r="7636" spans="36:36" x14ac:dyDescent="0.35">
      <c r="AJ7636" s="213"/>
    </row>
    <row r="7637" spans="36:36" x14ac:dyDescent="0.35">
      <c r="AJ7637" s="213"/>
    </row>
    <row r="7638" spans="36:36" x14ac:dyDescent="0.35">
      <c r="AJ7638" s="213"/>
    </row>
    <row r="7639" spans="36:36" x14ac:dyDescent="0.35">
      <c r="AJ7639" s="213"/>
    </row>
    <row r="7640" spans="36:36" x14ac:dyDescent="0.35">
      <c r="AJ7640" s="213"/>
    </row>
    <row r="7641" spans="36:36" x14ac:dyDescent="0.35">
      <c r="AJ7641" s="213"/>
    </row>
    <row r="7642" spans="36:36" x14ac:dyDescent="0.35">
      <c r="AJ7642" s="213"/>
    </row>
    <row r="7643" spans="36:36" x14ac:dyDescent="0.35">
      <c r="AJ7643" s="213"/>
    </row>
    <row r="7644" spans="36:36" x14ac:dyDescent="0.35">
      <c r="AJ7644" s="213"/>
    </row>
    <row r="7645" spans="36:36" x14ac:dyDescent="0.35">
      <c r="AJ7645" s="213"/>
    </row>
    <row r="7646" spans="36:36" x14ac:dyDescent="0.35">
      <c r="AJ7646" s="213"/>
    </row>
    <row r="7647" spans="36:36" x14ac:dyDescent="0.35">
      <c r="AJ7647" s="213"/>
    </row>
    <row r="7648" spans="36:36" x14ac:dyDescent="0.35">
      <c r="AJ7648" s="213"/>
    </row>
    <row r="7649" spans="36:36" x14ac:dyDescent="0.35">
      <c r="AJ7649" s="213"/>
    </row>
    <row r="7650" spans="36:36" x14ac:dyDescent="0.35">
      <c r="AJ7650" s="213"/>
    </row>
    <row r="7651" spans="36:36" x14ac:dyDescent="0.35">
      <c r="AJ7651" s="213"/>
    </row>
    <row r="7652" spans="36:36" x14ac:dyDescent="0.35">
      <c r="AJ7652" s="213"/>
    </row>
    <row r="7653" spans="36:36" x14ac:dyDescent="0.35">
      <c r="AJ7653" s="213"/>
    </row>
    <row r="7654" spans="36:36" x14ac:dyDescent="0.35">
      <c r="AJ7654" s="213"/>
    </row>
    <row r="7655" spans="36:36" x14ac:dyDescent="0.35">
      <c r="AJ7655" s="213"/>
    </row>
    <row r="7656" spans="36:36" x14ac:dyDescent="0.35">
      <c r="AJ7656" s="213"/>
    </row>
    <row r="7657" spans="36:36" x14ac:dyDescent="0.35">
      <c r="AJ7657" s="213"/>
    </row>
    <row r="7658" spans="36:36" x14ac:dyDescent="0.35">
      <c r="AJ7658" s="213"/>
    </row>
    <row r="7659" spans="36:36" x14ac:dyDescent="0.35">
      <c r="AJ7659" s="213"/>
    </row>
    <row r="7660" spans="36:36" x14ac:dyDescent="0.35">
      <c r="AJ7660" s="213"/>
    </row>
    <row r="7661" spans="36:36" x14ac:dyDescent="0.35">
      <c r="AJ7661" s="213"/>
    </row>
    <row r="7662" spans="36:36" x14ac:dyDescent="0.35">
      <c r="AJ7662" s="213"/>
    </row>
    <row r="7663" spans="36:36" x14ac:dyDescent="0.35">
      <c r="AJ7663" s="213"/>
    </row>
    <row r="7664" spans="36:36" x14ac:dyDescent="0.35">
      <c r="AJ7664" s="213"/>
    </row>
    <row r="7665" spans="36:36" x14ac:dyDescent="0.35">
      <c r="AJ7665" s="213"/>
    </row>
    <row r="7666" spans="36:36" x14ac:dyDescent="0.35">
      <c r="AJ7666" s="213"/>
    </row>
    <row r="7667" spans="36:36" x14ac:dyDescent="0.35">
      <c r="AJ7667" s="213"/>
    </row>
    <row r="7668" spans="36:36" x14ac:dyDescent="0.35">
      <c r="AJ7668" s="213"/>
    </row>
    <row r="7669" spans="36:36" x14ac:dyDescent="0.35">
      <c r="AJ7669" s="213"/>
    </row>
    <row r="7670" spans="36:36" x14ac:dyDescent="0.35">
      <c r="AJ7670" s="213"/>
    </row>
    <row r="7671" spans="36:36" x14ac:dyDescent="0.35">
      <c r="AJ7671" s="213"/>
    </row>
    <row r="7672" spans="36:36" x14ac:dyDescent="0.35">
      <c r="AJ7672" s="213"/>
    </row>
    <row r="7673" spans="36:36" x14ac:dyDescent="0.35">
      <c r="AJ7673" s="213"/>
    </row>
    <row r="7674" spans="36:36" x14ac:dyDescent="0.35">
      <c r="AJ7674" s="213"/>
    </row>
    <row r="7675" spans="36:36" x14ac:dyDescent="0.35">
      <c r="AJ7675" s="213"/>
    </row>
    <row r="7676" spans="36:36" x14ac:dyDescent="0.35">
      <c r="AJ7676" s="213"/>
    </row>
    <row r="7677" spans="36:36" x14ac:dyDescent="0.35">
      <c r="AJ7677" s="213"/>
    </row>
    <row r="7678" spans="36:36" x14ac:dyDescent="0.35">
      <c r="AJ7678" s="213"/>
    </row>
    <row r="7679" spans="36:36" x14ac:dyDescent="0.35">
      <c r="AJ7679" s="213"/>
    </row>
    <row r="7680" spans="36:36" x14ac:dyDescent="0.35">
      <c r="AJ7680" s="213"/>
    </row>
    <row r="7681" spans="36:36" x14ac:dyDescent="0.35">
      <c r="AJ7681" s="213"/>
    </row>
    <row r="7682" spans="36:36" x14ac:dyDescent="0.35">
      <c r="AJ7682" s="213"/>
    </row>
    <row r="7683" spans="36:36" x14ac:dyDescent="0.35">
      <c r="AJ7683" s="213"/>
    </row>
    <row r="7684" spans="36:36" x14ac:dyDescent="0.35">
      <c r="AJ7684" s="213"/>
    </row>
    <row r="7685" spans="36:36" x14ac:dyDescent="0.35">
      <c r="AJ7685" s="213"/>
    </row>
    <row r="7686" spans="36:36" x14ac:dyDescent="0.35">
      <c r="AJ7686" s="213"/>
    </row>
    <row r="7687" spans="36:36" x14ac:dyDescent="0.35">
      <c r="AJ7687" s="213"/>
    </row>
    <row r="7688" spans="36:36" x14ac:dyDescent="0.35">
      <c r="AJ7688" s="213"/>
    </row>
    <row r="7689" spans="36:36" x14ac:dyDescent="0.35">
      <c r="AJ7689" s="213"/>
    </row>
    <row r="7690" spans="36:36" x14ac:dyDescent="0.35">
      <c r="AJ7690" s="213"/>
    </row>
    <row r="7691" spans="36:36" x14ac:dyDescent="0.35">
      <c r="AJ7691" s="213"/>
    </row>
    <row r="7692" spans="36:36" x14ac:dyDescent="0.35">
      <c r="AJ7692" s="213"/>
    </row>
    <row r="7693" spans="36:36" x14ac:dyDescent="0.35">
      <c r="AJ7693" s="213"/>
    </row>
    <row r="7694" spans="36:36" x14ac:dyDescent="0.35">
      <c r="AJ7694" s="213"/>
    </row>
    <row r="7695" spans="36:36" x14ac:dyDescent="0.35">
      <c r="AJ7695" s="213"/>
    </row>
    <row r="7696" spans="36:36" x14ac:dyDescent="0.35">
      <c r="AJ7696" s="213"/>
    </row>
    <row r="7697" spans="36:36" x14ac:dyDescent="0.35">
      <c r="AJ7697" s="213"/>
    </row>
    <row r="7698" spans="36:36" x14ac:dyDescent="0.35">
      <c r="AJ7698" s="213"/>
    </row>
    <row r="7699" spans="36:36" x14ac:dyDescent="0.35">
      <c r="AJ7699" s="213"/>
    </row>
    <row r="7700" spans="36:36" x14ac:dyDescent="0.35">
      <c r="AJ7700" s="213"/>
    </row>
    <row r="7701" spans="36:36" x14ac:dyDescent="0.35">
      <c r="AJ7701" s="213"/>
    </row>
    <row r="7702" spans="36:36" x14ac:dyDescent="0.35">
      <c r="AJ7702" s="213"/>
    </row>
    <row r="7703" spans="36:36" x14ac:dyDescent="0.35">
      <c r="AJ7703" s="213"/>
    </row>
    <row r="7704" spans="36:36" x14ac:dyDescent="0.35">
      <c r="AJ7704" s="213"/>
    </row>
    <row r="7705" spans="36:36" x14ac:dyDescent="0.35">
      <c r="AJ7705" s="213"/>
    </row>
    <row r="7706" spans="36:36" x14ac:dyDescent="0.35">
      <c r="AJ7706" s="213"/>
    </row>
    <row r="7707" spans="36:36" x14ac:dyDescent="0.35">
      <c r="AJ7707" s="213"/>
    </row>
    <row r="7708" spans="36:36" x14ac:dyDescent="0.35">
      <c r="AJ7708" s="213"/>
    </row>
    <row r="7709" spans="36:36" x14ac:dyDescent="0.35">
      <c r="AJ7709" s="213"/>
    </row>
    <row r="7710" spans="36:36" x14ac:dyDescent="0.35">
      <c r="AJ7710" s="213"/>
    </row>
    <row r="7711" spans="36:36" x14ac:dyDescent="0.35">
      <c r="AJ7711" s="213"/>
    </row>
    <row r="7712" spans="36:36" x14ac:dyDescent="0.35">
      <c r="AJ7712" s="213"/>
    </row>
    <row r="7713" spans="36:36" x14ac:dyDescent="0.35">
      <c r="AJ7713" s="213"/>
    </row>
    <row r="7714" spans="36:36" x14ac:dyDescent="0.35">
      <c r="AJ7714" s="213"/>
    </row>
    <row r="7715" spans="36:36" x14ac:dyDescent="0.35">
      <c r="AJ7715" s="213"/>
    </row>
    <row r="7716" spans="36:36" x14ac:dyDescent="0.35">
      <c r="AJ7716" s="213"/>
    </row>
    <row r="7717" spans="36:36" x14ac:dyDescent="0.35">
      <c r="AJ7717" s="213"/>
    </row>
    <row r="7718" spans="36:36" x14ac:dyDescent="0.35">
      <c r="AJ7718" s="213"/>
    </row>
    <row r="7719" spans="36:36" x14ac:dyDescent="0.35">
      <c r="AJ7719" s="213"/>
    </row>
    <row r="7720" spans="36:36" x14ac:dyDescent="0.35">
      <c r="AJ7720" s="213"/>
    </row>
    <row r="7721" spans="36:36" x14ac:dyDescent="0.35">
      <c r="AJ7721" s="213"/>
    </row>
    <row r="7722" spans="36:36" x14ac:dyDescent="0.35">
      <c r="AJ7722" s="213"/>
    </row>
    <row r="7723" spans="36:36" x14ac:dyDescent="0.35">
      <c r="AJ7723" s="213"/>
    </row>
    <row r="7724" spans="36:36" x14ac:dyDescent="0.35">
      <c r="AJ7724" s="213"/>
    </row>
    <row r="7725" spans="36:36" x14ac:dyDescent="0.35">
      <c r="AJ7725" s="213"/>
    </row>
    <row r="7726" spans="36:36" x14ac:dyDescent="0.35">
      <c r="AJ7726" s="213"/>
    </row>
    <row r="7727" spans="36:36" x14ac:dyDescent="0.35">
      <c r="AJ7727" s="213"/>
    </row>
    <row r="7728" spans="36:36" x14ac:dyDescent="0.35">
      <c r="AJ7728" s="213"/>
    </row>
    <row r="7729" spans="36:36" x14ac:dyDescent="0.35">
      <c r="AJ7729" s="213"/>
    </row>
    <row r="7730" spans="36:36" x14ac:dyDescent="0.35">
      <c r="AJ7730" s="213"/>
    </row>
    <row r="7731" spans="36:36" x14ac:dyDescent="0.35">
      <c r="AJ7731" s="213"/>
    </row>
    <row r="7732" spans="36:36" x14ac:dyDescent="0.35">
      <c r="AJ7732" s="213"/>
    </row>
    <row r="7733" spans="36:36" x14ac:dyDescent="0.35">
      <c r="AJ7733" s="213"/>
    </row>
    <row r="7734" spans="36:36" x14ac:dyDescent="0.35">
      <c r="AJ7734" s="213"/>
    </row>
    <row r="7735" spans="36:36" x14ac:dyDescent="0.35">
      <c r="AJ7735" s="213"/>
    </row>
    <row r="7736" spans="36:36" x14ac:dyDescent="0.35">
      <c r="AJ7736" s="213"/>
    </row>
    <row r="7737" spans="36:36" x14ac:dyDescent="0.35">
      <c r="AJ7737" s="213"/>
    </row>
    <row r="7738" spans="36:36" x14ac:dyDescent="0.35">
      <c r="AJ7738" s="213"/>
    </row>
    <row r="7739" spans="36:36" x14ac:dyDescent="0.35">
      <c r="AJ7739" s="213"/>
    </row>
    <row r="7740" spans="36:36" x14ac:dyDescent="0.35">
      <c r="AJ7740" s="213"/>
    </row>
    <row r="7741" spans="36:36" x14ac:dyDescent="0.35">
      <c r="AJ7741" s="213"/>
    </row>
    <row r="7742" spans="36:36" x14ac:dyDescent="0.35">
      <c r="AJ7742" s="213"/>
    </row>
    <row r="7743" spans="36:36" x14ac:dyDescent="0.35">
      <c r="AJ7743" s="213"/>
    </row>
    <row r="7744" spans="36:36" x14ac:dyDescent="0.35">
      <c r="AJ7744" s="213"/>
    </row>
    <row r="7745" spans="36:36" x14ac:dyDescent="0.35">
      <c r="AJ7745" s="213"/>
    </row>
    <row r="7746" spans="36:36" x14ac:dyDescent="0.35">
      <c r="AJ7746" s="213"/>
    </row>
    <row r="7747" spans="36:36" x14ac:dyDescent="0.35">
      <c r="AJ7747" s="213"/>
    </row>
    <row r="7748" spans="36:36" x14ac:dyDescent="0.35">
      <c r="AJ7748" s="213"/>
    </row>
    <row r="7749" spans="36:36" x14ac:dyDescent="0.35">
      <c r="AJ7749" s="213"/>
    </row>
    <row r="7750" spans="36:36" x14ac:dyDescent="0.35">
      <c r="AJ7750" s="213"/>
    </row>
    <row r="7751" spans="36:36" x14ac:dyDescent="0.35">
      <c r="AJ7751" s="213"/>
    </row>
    <row r="7752" spans="36:36" x14ac:dyDescent="0.35">
      <c r="AJ7752" s="213"/>
    </row>
    <row r="7753" spans="36:36" x14ac:dyDescent="0.35">
      <c r="AJ7753" s="213"/>
    </row>
    <row r="7754" spans="36:36" x14ac:dyDescent="0.35">
      <c r="AJ7754" s="213"/>
    </row>
    <row r="7755" spans="36:36" x14ac:dyDescent="0.35">
      <c r="AJ7755" s="213"/>
    </row>
    <row r="7756" spans="36:36" x14ac:dyDescent="0.35">
      <c r="AJ7756" s="213"/>
    </row>
    <row r="7757" spans="36:36" x14ac:dyDescent="0.35">
      <c r="AJ7757" s="213"/>
    </row>
    <row r="7758" spans="36:36" x14ac:dyDescent="0.35">
      <c r="AJ7758" s="213"/>
    </row>
    <row r="7759" spans="36:36" x14ac:dyDescent="0.35">
      <c r="AJ7759" s="213"/>
    </row>
    <row r="7760" spans="36:36" x14ac:dyDescent="0.35">
      <c r="AJ7760" s="213"/>
    </row>
    <row r="7761" spans="36:36" x14ac:dyDescent="0.35">
      <c r="AJ7761" s="213"/>
    </row>
    <row r="7762" spans="36:36" x14ac:dyDescent="0.35">
      <c r="AJ7762" s="213"/>
    </row>
    <row r="7763" spans="36:36" x14ac:dyDescent="0.35">
      <c r="AJ7763" s="213"/>
    </row>
    <row r="7764" spans="36:36" x14ac:dyDescent="0.35">
      <c r="AJ7764" s="213"/>
    </row>
    <row r="7765" spans="36:36" x14ac:dyDescent="0.35">
      <c r="AJ7765" s="213"/>
    </row>
    <row r="7766" spans="36:36" x14ac:dyDescent="0.35">
      <c r="AJ7766" s="213"/>
    </row>
    <row r="7767" spans="36:36" x14ac:dyDescent="0.35">
      <c r="AJ7767" s="213"/>
    </row>
    <row r="7768" spans="36:36" x14ac:dyDescent="0.35">
      <c r="AJ7768" s="213"/>
    </row>
    <row r="7769" spans="36:36" x14ac:dyDescent="0.35">
      <c r="AJ7769" s="213"/>
    </row>
    <row r="7770" spans="36:36" x14ac:dyDescent="0.35">
      <c r="AJ7770" s="213"/>
    </row>
    <row r="7771" spans="36:36" x14ac:dyDescent="0.35">
      <c r="AJ7771" s="213"/>
    </row>
    <row r="7772" spans="36:36" x14ac:dyDescent="0.35">
      <c r="AJ7772" s="213"/>
    </row>
    <row r="7773" spans="36:36" x14ac:dyDescent="0.35">
      <c r="AJ7773" s="213"/>
    </row>
    <row r="7774" spans="36:36" x14ac:dyDescent="0.35">
      <c r="AJ7774" s="213"/>
    </row>
    <row r="7775" spans="36:36" x14ac:dyDescent="0.35">
      <c r="AJ7775" s="213"/>
    </row>
    <row r="7776" spans="36:36" x14ac:dyDescent="0.35">
      <c r="AJ7776" s="213"/>
    </row>
    <row r="7777" spans="36:36" x14ac:dyDescent="0.35">
      <c r="AJ7777" s="213"/>
    </row>
    <row r="7778" spans="36:36" x14ac:dyDescent="0.35">
      <c r="AJ7778" s="213"/>
    </row>
    <row r="7779" spans="36:36" x14ac:dyDescent="0.35">
      <c r="AJ7779" s="213"/>
    </row>
    <row r="7780" spans="36:36" x14ac:dyDescent="0.35">
      <c r="AJ7780" s="213"/>
    </row>
    <row r="7781" spans="36:36" x14ac:dyDescent="0.35">
      <c r="AJ7781" s="213"/>
    </row>
    <row r="7782" spans="36:36" x14ac:dyDescent="0.35">
      <c r="AJ7782" s="213"/>
    </row>
    <row r="7783" spans="36:36" x14ac:dyDescent="0.35">
      <c r="AJ7783" s="213"/>
    </row>
    <row r="7784" spans="36:36" x14ac:dyDescent="0.35">
      <c r="AJ7784" s="213"/>
    </row>
    <row r="7785" spans="36:36" x14ac:dyDescent="0.35">
      <c r="AJ7785" s="213"/>
    </row>
    <row r="7786" spans="36:36" x14ac:dyDescent="0.35">
      <c r="AJ7786" s="213"/>
    </row>
    <row r="7787" spans="36:36" x14ac:dyDescent="0.35">
      <c r="AJ7787" s="213"/>
    </row>
    <row r="7788" spans="36:36" x14ac:dyDescent="0.35">
      <c r="AJ7788" s="213"/>
    </row>
    <row r="7789" spans="36:36" x14ac:dyDescent="0.35">
      <c r="AJ7789" s="213"/>
    </row>
    <row r="7790" spans="36:36" x14ac:dyDescent="0.35">
      <c r="AJ7790" s="213"/>
    </row>
    <row r="7791" spans="36:36" x14ac:dyDescent="0.35">
      <c r="AJ7791" s="213"/>
    </row>
    <row r="7792" spans="36:36" x14ac:dyDescent="0.35">
      <c r="AJ7792" s="213"/>
    </row>
    <row r="7793" spans="36:36" x14ac:dyDescent="0.35">
      <c r="AJ7793" s="213"/>
    </row>
    <row r="7794" spans="36:36" x14ac:dyDescent="0.35">
      <c r="AJ7794" s="213"/>
    </row>
    <row r="7795" spans="36:36" x14ac:dyDescent="0.35">
      <c r="AJ7795" s="213"/>
    </row>
    <row r="7796" spans="36:36" x14ac:dyDescent="0.35">
      <c r="AJ7796" s="213"/>
    </row>
    <row r="7797" spans="36:36" x14ac:dyDescent="0.35">
      <c r="AJ7797" s="213"/>
    </row>
    <row r="7798" spans="36:36" x14ac:dyDescent="0.35">
      <c r="AJ7798" s="213"/>
    </row>
    <row r="7799" spans="36:36" x14ac:dyDescent="0.35">
      <c r="AJ7799" s="213"/>
    </row>
    <row r="7800" spans="36:36" x14ac:dyDescent="0.35">
      <c r="AJ7800" s="213"/>
    </row>
    <row r="7801" spans="36:36" x14ac:dyDescent="0.35">
      <c r="AJ7801" s="213"/>
    </row>
    <row r="7802" spans="36:36" x14ac:dyDescent="0.35">
      <c r="AJ7802" s="213"/>
    </row>
    <row r="7803" spans="36:36" x14ac:dyDescent="0.35">
      <c r="AJ7803" s="213"/>
    </row>
    <row r="7804" spans="36:36" x14ac:dyDescent="0.35">
      <c r="AJ7804" s="213"/>
    </row>
    <row r="7805" spans="36:36" x14ac:dyDescent="0.35">
      <c r="AJ7805" s="213"/>
    </row>
    <row r="7806" spans="36:36" x14ac:dyDescent="0.35">
      <c r="AJ7806" s="213"/>
    </row>
    <row r="7807" spans="36:36" x14ac:dyDescent="0.35">
      <c r="AJ7807" s="213"/>
    </row>
    <row r="7808" spans="36:36" x14ac:dyDescent="0.35">
      <c r="AJ7808" s="213"/>
    </row>
    <row r="7809" spans="36:36" x14ac:dyDescent="0.35">
      <c r="AJ7809" s="213"/>
    </row>
    <row r="7810" spans="36:36" x14ac:dyDescent="0.35">
      <c r="AJ7810" s="213"/>
    </row>
    <row r="7811" spans="36:36" x14ac:dyDescent="0.35">
      <c r="AJ7811" s="213"/>
    </row>
    <row r="7812" spans="36:36" x14ac:dyDescent="0.35">
      <c r="AJ7812" s="213"/>
    </row>
    <row r="7813" spans="36:36" x14ac:dyDescent="0.35">
      <c r="AJ7813" s="213"/>
    </row>
    <row r="7814" spans="36:36" x14ac:dyDescent="0.35">
      <c r="AJ7814" s="213"/>
    </row>
    <row r="7815" spans="36:36" x14ac:dyDescent="0.35">
      <c r="AJ7815" s="213"/>
    </row>
    <row r="7816" spans="36:36" x14ac:dyDescent="0.35">
      <c r="AJ7816" s="213"/>
    </row>
    <row r="7817" spans="36:36" x14ac:dyDescent="0.35">
      <c r="AJ7817" s="213"/>
    </row>
    <row r="7818" spans="36:36" x14ac:dyDescent="0.35">
      <c r="AJ7818" s="213"/>
    </row>
    <row r="7819" spans="36:36" x14ac:dyDescent="0.35">
      <c r="AJ7819" s="213"/>
    </row>
    <row r="7820" spans="36:36" x14ac:dyDescent="0.35">
      <c r="AJ7820" s="213"/>
    </row>
    <row r="7821" spans="36:36" x14ac:dyDescent="0.35">
      <c r="AJ7821" s="213"/>
    </row>
    <row r="7822" spans="36:36" x14ac:dyDescent="0.35">
      <c r="AJ7822" s="213"/>
    </row>
    <row r="7823" spans="36:36" x14ac:dyDescent="0.35">
      <c r="AJ7823" s="213"/>
    </row>
    <row r="7824" spans="36:36" x14ac:dyDescent="0.35">
      <c r="AJ7824" s="213"/>
    </row>
    <row r="7825" spans="36:36" x14ac:dyDescent="0.35">
      <c r="AJ7825" s="213"/>
    </row>
    <row r="7826" spans="36:36" x14ac:dyDescent="0.35">
      <c r="AJ7826" s="213"/>
    </row>
    <row r="7827" spans="36:36" x14ac:dyDescent="0.35">
      <c r="AJ7827" s="213"/>
    </row>
    <row r="7828" spans="36:36" x14ac:dyDescent="0.35">
      <c r="AJ7828" s="213"/>
    </row>
    <row r="7829" spans="36:36" x14ac:dyDescent="0.35">
      <c r="AJ7829" s="213"/>
    </row>
    <row r="7830" spans="36:36" x14ac:dyDescent="0.35">
      <c r="AJ7830" s="213"/>
    </row>
    <row r="7831" spans="36:36" x14ac:dyDescent="0.35">
      <c r="AJ7831" s="213"/>
    </row>
    <row r="7832" spans="36:36" x14ac:dyDescent="0.35">
      <c r="AJ7832" s="213"/>
    </row>
    <row r="7833" spans="36:36" x14ac:dyDescent="0.35">
      <c r="AJ7833" s="213"/>
    </row>
    <row r="7834" spans="36:36" x14ac:dyDescent="0.35">
      <c r="AJ7834" s="213"/>
    </row>
    <row r="7835" spans="36:36" x14ac:dyDescent="0.35">
      <c r="AJ7835" s="213"/>
    </row>
    <row r="7836" spans="36:36" x14ac:dyDescent="0.35">
      <c r="AJ7836" s="213"/>
    </row>
    <row r="7837" spans="36:36" x14ac:dyDescent="0.35">
      <c r="AJ7837" s="213"/>
    </row>
    <row r="7838" spans="36:36" x14ac:dyDescent="0.35">
      <c r="AJ7838" s="213"/>
    </row>
    <row r="7839" spans="36:36" x14ac:dyDescent="0.35">
      <c r="AJ7839" s="213"/>
    </row>
    <row r="7840" spans="36:36" x14ac:dyDescent="0.35">
      <c r="AJ7840" s="213"/>
    </row>
    <row r="7841" spans="36:36" x14ac:dyDescent="0.35">
      <c r="AJ7841" s="213"/>
    </row>
    <row r="7842" spans="36:36" x14ac:dyDescent="0.35">
      <c r="AJ7842" s="213"/>
    </row>
    <row r="7843" spans="36:36" x14ac:dyDescent="0.35">
      <c r="AJ7843" s="213"/>
    </row>
    <row r="7844" spans="36:36" x14ac:dyDescent="0.35">
      <c r="AJ7844" s="213"/>
    </row>
    <row r="7845" spans="36:36" x14ac:dyDescent="0.35">
      <c r="AJ7845" s="213"/>
    </row>
    <row r="7846" spans="36:36" x14ac:dyDescent="0.35">
      <c r="AJ7846" s="213"/>
    </row>
    <row r="7847" spans="36:36" x14ac:dyDescent="0.35">
      <c r="AJ7847" s="213"/>
    </row>
    <row r="7848" spans="36:36" x14ac:dyDescent="0.35">
      <c r="AJ7848" s="213"/>
    </row>
    <row r="7849" spans="36:36" x14ac:dyDescent="0.35">
      <c r="AJ7849" s="213"/>
    </row>
    <row r="7850" spans="36:36" x14ac:dyDescent="0.35">
      <c r="AJ7850" s="213"/>
    </row>
    <row r="7851" spans="36:36" x14ac:dyDescent="0.35">
      <c r="AJ7851" s="213"/>
    </row>
    <row r="7852" spans="36:36" x14ac:dyDescent="0.35">
      <c r="AJ7852" s="213"/>
    </row>
    <row r="7853" spans="36:36" x14ac:dyDescent="0.35">
      <c r="AJ7853" s="213"/>
    </row>
    <row r="7854" spans="36:36" x14ac:dyDescent="0.35">
      <c r="AJ7854" s="213"/>
    </row>
    <row r="7855" spans="36:36" x14ac:dyDescent="0.35">
      <c r="AJ7855" s="213"/>
    </row>
    <row r="7856" spans="36:36" x14ac:dyDescent="0.35">
      <c r="AJ7856" s="213"/>
    </row>
    <row r="7857" spans="36:36" x14ac:dyDescent="0.35">
      <c r="AJ7857" s="213"/>
    </row>
    <row r="7858" spans="36:36" x14ac:dyDescent="0.35">
      <c r="AJ7858" s="213"/>
    </row>
    <row r="7859" spans="36:36" x14ac:dyDescent="0.35">
      <c r="AJ7859" s="213"/>
    </row>
    <row r="7860" spans="36:36" x14ac:dyDescent="0.35">
      <c r="AJ7860" s="213"/>
    </row>
    <row r="7861" spans="36:36" x14ac:dyDescent="0.35">
      <c r="AJ7861" s="213"/>
    </row>
    <row r="7862" spans="36:36" x14ac:dyDescent="0.35">
      <c r="AJ7862" s="213"/>
    </row>
    <row r="7863" spans="36:36" x14ac:dyDescent="0.35">
      <c r="AJ7863" s="213"/>
    </row>
    <row r="7864" spans="36:36" x14ac:dyDescent="0.35">
      <c r="AJ7864" s="213"/>
    </row>
    <row r="7865" spans="36:36" x14ac:dyDescent="0.35">
      <c r="AJ7865" s="213"/>
    </row>
    <row r="7866" spans="36:36" x14ac:dyDescent="0.35">
      <c r="AJ7866" s="213"/>
    </row>
    <row r="7867" spans="36:36" x14ac:dyDescent="0.35">
      <c r="AJ7867" s="213"/>
    </row>
    <row r="7868" spans="36:36" x14ac:dyDescent="0.35">
      <c r="AJ7868" s="213"/>
    </row>
    <row r="7869" spans="36:36" x14ac:dyDescent="0.35">
      <c r="AJ7869" s="213"/>
    </row>
    <row r="7870" spans="36:36" x14ac:dyDescent="0.35">
      <c r="AJ7870" s="213"/>
    </row>
    <row r="7871" spans="36:36" x14ac:dyDescent="0.35">
      <c r="AJ7871" s="213"/>
    </row>
    <row r="7872" spans="36:36" x14ac:dyDescent="0.35">
      <c r="AJ7872" s="213"/>
    </row>
    <row r="7873" spans="36:36" x14ac:dyDescent="0.35">
      <c r="AJ7873" s="213"/>
    </row>
    <row r="7874" spans="36:36" x14ac:dyDescent="0.35">
      <c r="AJ7874" s="213"/>
    </row>
    <row r="7875" spans="36:36" x14ac:dyDescent="0.35">
      <c r="AJ7875" s="213"/>
    </row>
    <row r="7876" spans="36:36" x14ac:dyDescent="0.35">
      <c r="AJ7876" s="213"/>
    </row>
    <row r="7877" spans="36:36" x14ac:dyDescent="0.35">
      <c r="AJ7877" s="213"/>
    </row>
    <row r="7878" spans="36:36" x14ac:dyDescent="0.35">
      <c r="AJ7878" s="213"/>
    </row>
    <row r="7879" spans="36:36" x14ac:dyDescent="0.35">
      <c r="AJ7879" s="213"/>
    </row>
    <row r="7880" spans="36:36" x14ac:dyDescent="0.35">
      <c r="AJ7880" s="213"/>
    </row>
    <row r="7881" spans="36:36" x14ac:dyDescent="0.35">
      <c r="AJ7881" s="213"/>
    </row>
    <row r="7882" spans="36:36" x14ac:dyDescent="0.35">
      <c r="AJ7882" s="213"/>
    </row>
    <row r="7883" spans="36:36" x14ac:dyDescent="0.35">
      <c r="AJ7883" s="213"/>
    </row>
    <row r="7884" spans="36:36" x14ac:dyDescent="0.35">
      <c r="AJ7884" s="213"/>
    </row>
    <row r="7885" spans="36:36" x14ac:dyDescent="0.35">
      <c r="AJ7885" s="213"/>
    </row>
    <row r="7886" spans="36:36" x14ac:dyDescent="0.35">
      <c r="AJ7886" s="213"/>
    </row>
    <row r="7887" spans="36:36" x14ac:dyDescent="0.35">
      <c r="AJ7887" s="213"/>
    </row>
    <row r="7888" spans="36:36" x14ac:dyDescent="0.35">
      <c r="AJ7888" s="213"/>
    </row>
    <row r="7889" spans="36:36" x14ac:dyDescent="0.35">
      <c r="AJ7889" s="213"/>
    </row>
    <row r="7890" spans="36:36" x14ac:dyDescent="0.35">
      <c r="AJ7890" s="213"/>
    </row>
    <row r="7891" spans="36:36" x14ac:dyDescent="0.35">
      <c r="AJ7891" s="213"/>
    </row>
    <row r="7892" spans="36:36" x14ac:dyDescent="0.35">
      <c r="AJ7892" s="213"/>
    </row>
    <row r="7893" spans="36:36" x14ac:dyDescent="0.35">
      <c r="AJ7893" s="213"/>
    </row>
    <row r="7894" spans="36:36" x14ac:dyDescent="0.35">
      <c r="AJ7894" s="213"/>
    </row>
    <row r="7895" spans="36:36" x14ac:dyDescent="0.35">
      <c r="AJ7895" s="213"/>
    </row>
    <row r="7896" spans="36:36" x14ac:dyDescent="0.35">
      <c r="AJ7896" s="213"/>
    </row>
    <row r="7897" spans="36:36" x14ac:dyDescent="0.35">
      <c r="AJ7897" s="213"/>
    </row>
    <row r="7898" spans="36:36" x14ac:dyDescent="0.35">
      <c r="AJ7898" s="213"/>
    </row>
    <row r="7899" spans="36:36" x14ac:dyDescent="0.35">
      <c r="AJ7899" s="213"/>
    </row>
    <row r="7900" spans="36:36" x14ac:dyDescent="0.35">
      <c r="AJ7900" s="213"/>
    </row>
    <row r="7901" spans="36:36" x14ac:dyDescent="0.35">
      <c r="AJ7901" s="213"/>
    </row>
    <row r="7902" spans="36:36" x14ac:dyDescent="0.35">
      <c r="AJ7902" s="213"/>
    </row>
    <row r="7903" spans="36:36" x14ac:dyDescent="0.35">
      <c r="AJ7903" s="213"/>
    </row>
    <row r="7904" spans="36:36" x14ac:dyDescent="0.35">
      <c r="AJ7904" s="213"/>
    </row>
    <row r="7905" spans="36:36" x14ac:dyDescent="0.35">
      <c r="AJ7905" s="213"/>
    </row>
    <row r="7906" spans="36:36" x14ac:dyDescent="0.35">
      <c r="AJ7906" s="213"/>
    </row>
    <row r="7907" spans="36:36" x14ac:dyDescent="0.35">
      <c r="AJ7907" s="213"/>
    </row>
    <row r="7908" spans="36:36" x14ac:dyDescent="0.35">
      <c r="AJ7908" s="213"/>
    </row>
    <row r="7909" spans="36:36" x14ac:dyDescent="0.35">
      <c r="AJ7909" s="213"/>
    </row>
    <row r="7910" spans="36:36" x14ac:dyDescent="0.35">
      <c r="AJ7910" s="213"/>
    </row>
    <row r="7911" spans="36:36" x14ac:dyDescent="0.35">
      <c r="AJ7911" s="213"/>
    </row>
    <row r="7912" spans="36:36" x14ac:dyDescent="0.35">
      <c r="AJ7912" s="213"/>
    </row>
    <row r="7913" spans="36:36" x14ac:dyDescent="0.35">
      <c r="AJ7913" s="213"/>
    </row>
    <row r="7914" spans="36:36" x14ac:dyDescent="0.35">
      <c r="AJ7914" s="213"/>
    </row>
    <row r="7915" spans="36:36" x14ac:dyDescent="0.35">
      <c r="AJ7915" s="213"/>
    </row>
    <row r="7916" spans="36:36" x14ac:dyDescent="0.35">
      <c r="AJ7916" s="213"/>
    </row>
    <row r="7917" spans="36:36" x14ac:dyDescent="0.35">
      <c r="AJ7917" s="213"/>
    </row>
    <row r="7918" spans="36:36" x14ac:dyDescent="0.35">
      <c r="AJ7918" s="213"/>
    </row>
    <row r="7919" spans="36:36" x14ac:dyDescent="0.35">
      <c r="AJ7919" s="213"/>
    </row>
    <row r="7920" spans="36:36" x14ac:dyDescent="0.35">
      <c r="AJ7920" s="213"/>
    </row>
    <row r="7921" spans="36:36" x14ac:dyDescent="0.35">
      <c r="AJ7921" s="213"/>
    </row>
    <row r="7922" spans="36:36" x14ac:dyDescent="0.35">
      <c r="AJ7922" s="213"/>
    </row>
    <row r="7923" spans="36:36" x14ac:dyDescent="0.35">
      <c r="AJ7923" s="213"/>
    </row>
    <row r="7924" spans="36:36" x14ac:dyDescent="0.35">
      <c r="AJ7924" s="213"/>
    </row>
    <row r="7925" spans="36:36" x14ac:dyDescent="0.35">
      <c r="AJ7925" s="213"/>
    </row>
    <row r="7926" spans="36:36" x14ac:dyDescent="0.35">
      <c r="AJ7926" s="213"/>
    </row>
    <row r="7927" spans="36:36" x14ac:dyDescent="0.35">
      <c r="AJ7927" s="213"/>
    </row>
    <row r="7928" spans="36:36" x14ac:dyDescent="0.35">
      <c r="AJ7928" s="213"/>
    </row>
    <row r="7929" spans="36:36" x14ac:dyDescent="0.35">
      <c r="AJ7929" s="213"/>
    </row>
    <row r="7930" spans="36:36" x14ac:dyDescent="0.35">
      <c r="AJ7930" s="213"/>
    </row>
    <row r="7931" spans="36:36" x14ac:dyDescent="0.35">
      <c r="AJ7931" s="213"/>
    </row>
    <row r="7932" spans="36:36" x14ac:dyDescent="0.35">
      <c r="AJ7932" s="213"/>
    </row>
    <row r="7933" spans="36:36" x14ac:dyDescent="0.35">
      <c r="AJ7933" s="213"/>
    </row>
    <row r="7934" spans="36:36" x14ac:dyDescent="0.35">
      <c r="AJ7934" s="213"/>
    </row>
    <row r="7935" spans="36:36" x14ac:dyDescent="0.35">
      <c r="AJ7935" s="213"/>
    </row>
    <row r="7936" spans="36:36" x14ac:dyDescent="0.35">
      <c r="AJ7936" s="213"/>
    </row>
    <row r="7937" spans="36:36" x14ac:dyDescent="0.35">
      <c r="AJ7937" s="213"/>
    </row>
    <row r="7938" spans="36:36" x14ac:dyDescent="0.35">
      <c r="AJ7938" s="213"/>
    </row>
    <row r="7939" spans="36:36" x14ac:dyDescent="0.35">
      <c r="AJ7939" s="213"/>
    </row>
    <row r="7940" spans="36:36" x14ac:dyDescent="0.35">
      <c r="AJ7940" s="213"/>
    </row>
    <row r="7941" spans="36:36" x14ac:dyDescent="0.35">
      <c r="AJ7941" s="213"/>
    </row>
    <row r="7942" spans="36:36" x14ac:dyDescent="0.35">
      <c r="AJ7942" s="213"/>
    </row>
    <row r="7943" spans="36:36" x14ac:dyDescent="0.35">
      <c r="AJ7943" s="213"/>
    </row>
    <row r="7944" spans="36:36" x14ac:dyDescent="0.35">
      <c r="AJ7944" s="213"/>
    </row>
    <row r="7945" spans="36:36" x14ac:dyDescent="0.35">
      <c r="AJ7945" s="213"/>
    </row>
    <row r="7946" spans="36:36" x14ac:dyDescent="0.35">
      <c r="AJ7946" s="213"/>
    </row>
    <row r="7947" spans="36:36" x14ac:dyDescent="0.35">
      <c r="AJ7947" s="213"/>
    </row>
    <row r="7948" spans="36:36" x14ac:dyDescent="0.35">
      <c r="AJ7948" s="213"/>
    </row>
    <row r="7949" spans="36:36" x14ac:dyDescent="0.35">
      <c r="AJ7949" s="213"/>
    </row>
    <row r="7950" spans="36:36" x14ac:dyDescent="0.35">
      <c r="AJ7950" s="213"/>
    </row>
    <row r="7951" spans="36:36" x14ac:dyDescent="0.35">
      <c r="AJ7951" s="213"/>
    </row>
    <row r="7952" spans="36:36" x14ac:dyDescent="0.35">
      <c r="AJ7952" s="213"/>
    </row>
    <row r="7953" spans="36:36" x14ac:dyDescent="0.35">
      <c r="AJ7953" s="213"/>
    </row>
    <row r="7954" spans="36:36" x14ac:dyDescent="0.35">
      <c r="AJ7954" s="213"/>
    </row>
    <row r="7955" spans="36:36" x14ac:dyDescent="0.35">
      <c r="AJ7955" s="213"/>
    </row>
    <row r="7956" spans="36:36" x14ac:dyDescent="0.35">
      <c r="AJ7956" s="213"/>
    </row>
    <row r="7957" spans="36:36" x14ac:dyDescent="0.35">
      <c r="AJ7957" s="213"/>
    </row>
    <row r="7958" spans="36:36" x14ac:dyDescent="0.35">
      <c r="AJ7958" s="213"/>
    </row>
    <row r="7959" spans="36:36" x14ac:dyDescent="0.35">
      <c r="AJ7959" s="213"/>
    </row>
    <row r="7960" spans="36:36" x14ac:dyDescent="0.35">
      <c r="AJ7960" s="213"/>
    </row>
    <row r="7961" spans="36:36" x14ac:dyDescent="0.35">
      <c r="AJ7961" s="213"/>
    </row>
    <row r="7962" spans="36:36" x14ac:dyDescent="0.35">
      <c r="AJ7962" s="213"/>
    </row>
    <row r="7963" spans="36:36" x14ac:dyDescent="0.35">
      <c r="AJ7963" s="213"/>
    </row>
    <row r="7964" spans="36:36" x14ac:dyDescent="0.35">
      <c r="AJ7964" s="213"/>
    </row>
    <row r="7965" spans="36:36" x14ac:dyDescent="0.35">
      <c r="AJ7965" s="213"/>
    </row>
    <row r="7966" spans="36:36" x14ac:dyDescent="0.35">
      <c r="AJ7966" s="213"/>
    </row>
    <row r="7967" spans="36:36" x14ac:dyDescent="0.35">
      <c r="AJ7967" s="213"/>
    </row>
    <row r="7968" spans="36:36" x14ac:dyDescent="0.35">
      <c r="AJ7968" s="213"/>
    </row>
    <row r="7969" spans="36:36" x14ac:dyDescent="0.35">
      <c r="AJ7969" s="213"/>
    </row>
    <row r="7970" spans="36:36" x14ac:dyDescent="0.35">
      <c r="AJ7970" s="213"/>
    </row>
    <row r="7971" spans="36:36" x14ac:dyDescent="0.35">
      <c r="AJ7971" s="213"/>
    </row>
    <row r="7972" spans="36:36" x14ac:dyDescent="0.35">
      <c r="AJ7972" s="213"/>
    </row>
    <row r="7973" spans="36:36" x14ac:dyDescent="0.35">
      <c r="AJ7973" s="213"/>
    </row>
    <row r="7974" spans="36:36" x14ac:dyDescent="0.35">
      <c r="AJ7974" s="213"/>
    </row>
    <row r="7975" spans="36:36" x14ac:dyDescent="0.35">
      <c r="AJ7975" s="213"/>
    </row>
    <row r="7976" spans="36:36" x14ac:dyDescent="0.35">
      <c r="AJ7976" s="213"/>
    </row>
    <row r="7977" spans="36:36" x14ac:dyDescent="0.35">
      <c r="AJ7977" s="213"/>
    </row>
    <row r="7978" spans="36:36" x14ac:dyDescent="0.35">
      <c r="AJ7978" s="213"/>
    </row>
    <row r="7979" spans="36:36" x14ac:dyDescent="0.35">
      <c r="AJ7979" s="213"/>
    </row>
    <row r="7980" spans="36:36" x14ac:dyDescent="0.35">
      <c r="AJ7980" s="213"/>
    </row>
    <row r="7981" spans="36:36" x14ac:dyDescent="0.35">
      <c r="AJ7981" s="213"/>
    </row>
    <row r="7982" spans="36:36" x14ac:dyDescent="0.35">
      <c r="AJ7982" s="213"/>
    </row>
    <row r="7983" spans="36:36" x14ac:dyDescent="0.35">
      <c r="AJ7983" s="213"/>
    </row>
    <row r="7984" spans="36:36" x14ac:dyDescent="0.35">
      <c r="AJ7984" s="213"/>
    </row>
    <row r="7985" spans="36:36" x14ac:dyDescent="0.35">
      <c r="AJ7985" s="213"/>
    </row>
    <row r="7986" spans="36:36" x14ac:dyDescent="0.35">
      <c r="AJ7986" s="213"/>
    </row>
    <row r="7987" spans="36:36" x14ac:dyDescent="0.35">
      <c r="AJ7987" s="213"/>
    </row>
    <row r="7988" spans="36:36" x14ac:dyDescent="0.35">
      <c r="AJ7988" s="213"/>
    </row>
    <row r="7989" spans="36:36" x14ac:dyDescent="0.35">
      <c r="AJ7989" s="213"/>
    </row>
    <row r="7990" spans="36:36" x14ac:dyDescent="0.35">
      <c r="AJ7990" s="213"/>
    </row>
    <row r="7991" spans="36:36" x14ac:dyDescent="0.35">
      <c r="AJ7991" s="213"/>
    </row>
    <row r="7992" spans="36:36" x14ac:dyDescent="0.35">
      <c r="AJ7992" s="213"/>
    </row>
    <row r="7993" spans="36:36" x14ac:dyDescent="0.35">
      <c r="AJ7993" s="213"/>
    </row>
    <row r="7994" spans="36:36" x14ac:dyDescent="0.35">
      <c r="AJ7994" s="213"/>
    </row>
    <row r="7995" spans="36:36" x14ac:dyDescent="0.35">
      <c r="AJ7995" s="213"/>
    </row>
    <row r="7996" spans="36:36" x14ac:dyDescent="0.35">
      <c r="AJ7996" s="213"/>
    </row>
    <row r="7997" spans="36:36" x14ac:dyDescent="0.35">
      <c r="AJ7997" s="213"/>
    </row>
    <row r="7998" spans="36:36" x14ac:dyDescent="0.35">
      <c r="AJ7998" s="213"/>
    </row>
    <row r="7999" spans="36:36" x14ac:dyDescent="0.35">
      <c r="AJ7999" s="213"/>
    </row>
    <row r="8000" spans="36:36" x14ac:dyDescent="0.35">
      <c r="AJ8000" s="213"/>
    </row>
    <row r="8001" spans="36:36" x14ac:dyDescent="0.35">
      <c r="AJ8001" s="213"/>
    </row>
    <row r="8002" spans="36:36" x14ac:dyDescent="0.35">
      <c r="AJ8002" s="213"/>
    </row>
    <row r="8003" spans="36:36" x14ac:dyDescent="0.35">
      <c r="AJ8003" s="213"/>
    </row>
    <row r="8004" spans="36:36" x14ac:dyDescent="0.35">
      <c r="AJ8004" s="213"/>
    </row>
    <row r="8005" spans="36:36" x14ac:dyDescent="0.35">
      <c r="AJ8005" s="213"/>
    </row>
    <row r="8006" spans="36:36" x14ac:dyDescent="0.35">
      <c r="AJ8006" s="213"/>
    </row>
    <row r="8007" spans="36:36" x14ac:dyDescent="0.35">
      <c r="AJ8007" s="213"/>
    </row>
    <row r="8008" spans="36:36" x14ac:dyDescent="0.35">
      <c r="AJ8008" s="213"/>
    </row>
    <row r="8009" spans="36:36" x14ac:dyDescent="0.35">
      <c r="AJ8009" s="213"/>
    </row>
    <row r="8010" spans="36:36" x14ac:dyDescent="0.35">
      <c r="AJ8010" s="213"/>
    </row>
    <row r="8011" spans="36:36" x14ac:dyDescent="0.35">
      <c r="AJ8011" s="213"/>
    </row>
    <row r="8012" spans="36:36" x14ac:dyDescent="0.35">
      <c r="AJ8012" s="213"/>
    </row>
    <row r="8013" spans="36:36" x14ac:dyDescent="0.35">
      <c r="AJ8013" s="213"/>
    </row>
    <row r="8014" spans="36:36" x14ac:dyDescent="0.35">
      <c r="AJ8014" s="213"/>
    </row>
    <row r="8015" spans="36:36" x14ac:dyDescent="0.35">
      <c r="AJ8015" s="213"/>
    </row>
    <row r="8016" spans="36:36" x14ac:dyDescent="0.35">
      <c r="AJ8016" s="213"/>
    </row>
    <row r="8017" spans="36:36" x14ac:dyDescent="0.35">
      <c r="AJ8017" s="213"/>
    </row>
    <row r="8018" spans="36:36" x14ac:dyDescent="0.35">
      <c r="AJ8018" s="213"/>
    </row>
    <row r="8019" spans="36:36" x14ac:dyDescent="0.35">
      <c r="AJ8019" s="213"/>
    </row>
    <row r="8020" spans="36:36" x14ac:dyDescent="0.35">
      <c r="AJ8020" s="213"/>
    </row>
    <row r="8021" spans="36:36" x14ac:dyDescent="0.35">
      <c r="AJ8021" s="213"/>
    </row>
    <row r="8022" spans="36:36" x14ac:dyDescent="0.35">
      <c r="AJ8022" s="213"/>
    </row>
    <row r="8023" spans="36:36" x14ac:dyDescent="0.35">
      <c r="AJ8023" s="213"/>
    </row>
    <row r="8024" spans="36:36" x14ac:dyDescent="0.35">
      <c r="AJ8024" s="213"/>
    </row>
    <row r="8025" spans="36:36" x14ac:dyDescent="0.35">
      <c r="AJ8025" s="213"/>
    </row>
    <row r="8026" spans="36:36" x14ac:dyDescent="0.35">
      <c r="AJ8026" s="213"/>
    </row>
    <row r="8027" spans="36:36" x14ac:dyDescent="0.35">
      <c r="AJ8027" s="213"/>
    </row>
    <row r="8028" spans="36:36" x14ac:dyDescent="0.35">
      <c r="AJ8028" s="213"/>
    </row>
    <row r="8029" spans="36:36" x14ac:dyDescent="0.35">
      <c r="AJ8029" s="213"/>
    </row>
    <row r="8030" spans="36:36" x14ac:dyDescent="0.35">
      <c r="AJ8030" s="213"/>
    </row>
    <row r="8031" spans="36:36" x14ac:dyDescent="0.35">
      <c r="AJ8031" s="213"/>
    </row>
    <row r="8032" spans="36:36" x14ac:dyDescent="0.35">
      <c r="AJ8032" s="213"/>
    </row>
    <row r="8033" spans="36:36" x14ac:dyDescent="0.35">
      <c r="AJ8033" s="213"/>
    </row>
    <row r="8034" spans="36:36" x14ac:dyDescent="0.35">
      <c r="AJ8034" s="213"/>
    </row>
    <row r="8035" spans="36:36" x14ac:dyDescent="0.35">
      <c r="AJ8035" s="213"/>
    </row>
    <row r="8036" spans="36:36" x14ac:dyDescent="0.35">
      <c r="AJ8036" s="213"/>
    </row>
    <row r="8037" spans="36:36" x14ac:dyDescent="0.35">
      <c r="AJ8037" s="213"/>
    </row>
    <row r="8038" spans="36:36" x14ac:dyDescent="0.35">
      <c r="AJ8038" s="213"/>
    </row>
    <row r="8039" spans="36:36" x14ac:dyDescent="0.35">
      <c r="AJ8039" s="213"/>
    </row>
    <row r="8040" spans="36:36" x14ac:dyDescent="0.35">
      <c r="AJ8040" s="213"/>
    </row>
    <row r="8041" spans="36:36" x14ac:dyDescent="0.35">
      <c r="AJ8041" s="213"/>
    </row>
    <row r="8042" spans="36:36" x14ac:dyDescent="0.35">
      <c r="AJ8042" s="213"/>
    </row>
    <row r="8043" spans="36:36" x14ac:dyDescent="0.35">
      <c r="AJ8043" s="213"/>
    </row>
    <row r="8044" spans="36:36" x14ac:dyDescent="0.35">
      <c r="AJ8044" s="213"/>
    </row>
    <row r="8045" spans="36:36" x14ac:dyDescent="0.35">
      <c r="AJ8045" s="213"/>
    </row>
    <row r="8046" spans="36:36" x14ac:dyDescent="0.35">
      <c r="AJ8046" s="213"/>
    </row>
    <row r="8047" spans="36:36" x14ac:dyDescent="0.35">
      <c r="AJ8047" s="213"/>
    </row>
    <row r="8048" spans="36:36" x14ac:dyDescent="0.35">
      <c r="AJ8048" s="213"/>
    </row>
    <row r="8049" spans="36:36" x14ac:dyDescent="0.35">
      <c r="AJ8049" s="213"/>
    </row>
    <row r="8050" spans="36:36" x14ac:dyDescent="0.35">
      <c r="AJ8050" s="213"/>
    </row>
    <row r="8051" spans="36:36" x14ac:dyDescent="0.35">
      <c r="AJ8051" s="213"/>
    </row>
    <row r="8052" spans="36:36" x14ac:dyDescent="0.35">
      <c r="AJ8052" s="213"/>
    </row>
    <row r="8053" spans="36:36" x14ac:dyDescent="0.35">
      <c r="AJ8053" s="213"/>
    </row>
    <row r="8054" spans="36:36" x14ac:dyDescent="0.35">
      <c r="AJ8054" s="213"/>
    </row>
    <row r="8055" spans="36:36" x14ac:dyDescent="0.35">
      <c r="AJ8055" s="213"/>
    </row>
    <row r="8056" spans="36:36" x14ac:dyDescent="0.35">
      <c r="AJ8056" s="213"/>
    </row>
    <row r="8057" spans="36:36" x14ac:dyDescent="0.35">
      <c r="AJ8057" s="213"/>
    </row>
    <row r="8058" spans="36:36" x14ac:dyDescent="0.35">
      <c r="AJ8058" s="213"/>
    </row>
    <row r="8059" spans="36:36" x14ac:dyDescent="0.35">
      <c r="AJ8059" s="213"/>
    </row>
    <row r="8060" spans="36:36" x14ac:dyDescent="0.35">
      <c r="AJ8060" s="213"/>
    </row>
    <row r="8061" spans="36:36" x14ac:dyDescent="0.35">
      <c r="AJ8061" s="213"/>
    </row>
    <row r="8062" spans="36:36" x14ac:dyDescent="0.35">
      <c r="AJ8062" s="213"/>
    </row>
    <row r="8063" spans="36:36" x14ac:dyDescent="0.35">
      <c r="AJ8063" s="213"/>
    </row>
    <row r="8064" spans="36:36" x14ac:dyDescent="0.35">
      <c r="AJ8064" s="213"/>
    </row>
    <row r="8065" spans="36:36" x14ac:dyDescent="0.35">
      <c r="AJ8065" s="213"/>
    </row>
    <row r="8066" spans="36:36" x14ac:dyDescent="0.35">
      <c r="AJ8066" s="213"/>
    </row>
    <row r="8067" spans="36:36" x14ac:dyDescent="0.35">
      <c r="AJ8067" s="213"/>
    </row>
    <row r="8068" spans="36:36" x14ac:dyDescent="0.35">
      <c r="AJ8068" s="213"/>
    </row>
    <row r="8069" spans="36:36" x14ac:dyDescent="0.35">
      <c r="AJ8069" s="213"/>
    </row>
    <row r="8070" spans="36:36" x14ac:dyDescent="0.35">
      <c r="AJ8070" s="213"/>
    </row>
    <row r="8071" spans="36:36" x14ac:dyDescent="0.35">
      <c r="AJ8071" s="213"/>
    </row>
    <row r="8072" spans="36:36" x14ac:dyDescent="0.35">
      <c r="AJ8072" s="213"/>
    </row>
    <row r="8073" spans="36:36" x14ac:dyDescent="0.35">
      <c r="AJ8073" s="213"/>
    </row>
    <row r="8074" spans="36:36" x14ac:dyDescent="0.35">
      <c r="AJ8074" s="213"/>
    </row>
    <row r="8075" spans="36:36" x14ac:dyDescent="0.35">
      <c r="AJ8075" s="213"/>
    </row>
    <row r="8076" spans="36:36" x14ac:dyDescent="0.35">
      <c r="AJ8076" s="213"/>
    </row>
    <row r="8077" spans="36:36" x14ac:dyDescent="0.35">
      <c r="AJ8077" s="213"/>
    </row>
    <row r="8078" spans="36:36" x14ac:dyDescent="0.35">
      <c r="AJ8078" s="213"/>
    </row>
    <row r="8079" spans="36:36" x14ac:dyDescent="0.35">
      <c r="AJ8079" s="213"/>
    </row>
    <row r="8080" spans="36:36" x14ac:dyDescent="0.35">
      <c r="AJ8080" s="213"/>
    </row>
    <row r="8081" spans="36:36" x14ac:dyDescent="0.35">
      <c r="AJ8081" s="213"/>
    </row>
    <row r="8082" spans="36:36" x14ac:dyDescent="0.35">
      <c r="AJ8082" s="213"/>
    </row>
    <row r="8083" spans="36:36" x14ac:dyDescent="0.35">
      <c r="AJ8083" s="213"/>
    </row>
    <row r="8084" spans="36:36" x14ac:dyDescent="0.35">
      <c r="AJ8084" s="213"/>
    </row>
    <row r="8085" spans="36:36" x14ac:dyDescent="0.35">
      <c r="AJ8085" s="213"/>
    </row>
    <row r="8086" spans="36:36" x14ac:dyDescent="0.35">
      <c r="AJ8086" s="213"/>
    </row>
    <row r="8087" spans="36:36" x14ac:dyDescent="0.35">
      <c r="AJ8087" s="213"/>
    </row>
    <row r="8088" spans="36:36" x14ac:dyDescent="0.35">
      <c r="AJ8088" s="213"/>
    </row>
    <row r="8089" spans="36:36" x14ac:dyDescent="0.35">
      <c r="AJ8089" s="213"/>
    </row>
    <row r="8090" spans="36:36" x14ac:dyDescent="0.35">
      <c r="AJ8090" s="213"/>
    </row>
    <row r="8091" spans="36:36" x14ac:dyDescent="0.35">
      <c r="AJ8091" s="213"/>
    </row>
    <row r="8092" spans="36:36" x14ac:dyDescent="0.35">
      <c r="AJ8092" s="213"/>
    </row>
    <row r="8093" spans="36:36" x14ac:dyDescent="0.35">
      <c r="AJ8093" s="213"/>
    </row>
    <row r="8094" spans="36:36" x14ac:dyDescent="0.35">
      <c r="AJ8094" s="213"/>
    </row>
    <row r="8095" spans="36:36" x14ac:dyDescent="0.35">
      <c r="AJ8095" s="213"/>
    </row>
    <row r="8096" spans="36:36" x14ac:dyDescent="0.35">
      <c r="AJ8096" s="213"/>
    </row>
    <row r="8097" spans="36:36" x14ac:dyDescent="0.35">
      <c r="AJ8097" s="213"/>
    </row>
    <row r="8098" spans="36:36" x14ac:dyDescent="0.35">
      <c r="AJ8098" s="213"/>
    </row>
    <row r="8099" spans="36:36" x14ac:dyDescent="0.35">
      <c r="AJ8099" s="213"/>
    </row>
    <row r="8100" spans="36:36" x14ac:dyDescent="0.35">
      <c r="AJ8100" s="213"/>
    </row>
    <row r="8101" spans="36:36" x14ac:dyDescent="0.35">
      <c r="AJ8101" s="213"/>
    </row>
    <row r="8102" spans="36:36" x14ac:dyDescent="0.35">
      <c r="AJ8102" s="213"/>
    </row>
    <row r="8103" spans="36:36" x14ac:dyDescent="0.35">
      <c r="AJ8103" s="213"/>
    </row>
    <row r="8104" spans="36:36" x14ac:dyDescent="0.35">
      <c r="AJ8104" s="213"/>
    </row>
    <row r="8105" spans="36:36" x14ac:dyDescent="0.35">
      <c r="AJ8105" s="213"/>
    </row>
    <row r="8106" spans="36:36" x14ac:dyDescent="0.35">
      <c r="AJ8106" s="213"/>
    </row>
    <row r="8107" spans="36:36" x14ac:dyDescent="0.35">
      <c r="AJ8107" s="213"/>
    </row>
    <row r="8108" spans="36:36" x14ac:dyDescent="0.35">
      <c r="AJ8108" s="213"/>
    </row>
    <row r="8109" spans="36:36" x14ac:dyDescent="0.35">
      <c r="AJ8109" s="213"/>
    </row>
    <row r="8110" spans="36:36" x14ac:dyDescent="0.35">
      <c r="AJ8110" s="213"/>
    </row>
    <row r="8111" spans="36:36" x14ac:dyDescent="0.35">
      <c r="AJ8111" s="213"/>
    </row>
    <row r="8112" spans="36:36" x14ac:dyDescent="0.35">
      <c r="AJ8112" s="213"/>
    </row>
    <row r="8113" spans="36:36" x14ac:dyDescent="0.35">
      <c r="AJ8113" s="213"/>
    </row>
    <row r="8114" spans="36:36" x14ac:dyDescent="0.35">
      <c r="AJ8114" s="213"/>
    </row>
    <row r="8115" spans="36:36" x14ac:dyDescent="0.35">
      <c r="AJ8115" s="213"/>
    </row>
    <row r="8116" spans="36:36" x14ac:dyDescent="0.35">
      <c r="AJ8116" s="213"/>
    </row>
    <row r="8117" spans="36:36" x14ac:dyDescent="0.35">
      <c r="AJ8117" s="213"/>
    </row>
    <row r="8118" spans="36:36" x14ac:dyDescent="0.35">
      <c r="AJ8118" s="213"/>
    </row>
    <row r="8119" spans="36:36" x14ac:dyDescent="0.35">
      <c r="AJ8119" s="213"/>
    </row>
    <row r="8120" spans="36:36" x14ac:dyDescent="0.35">
      <c r="AJ8120" s="213"/>
    </row>
    <row r="8121" spans="36:36" x14ac:dyDescent="0.35">
      <c r="AJ8121" s="213"/>
    </row>
    <row r="8122" spans="36:36" x14ac:dyDescent="0.35">
      <c r="AJ8122" s="213"/>
    </row>
    <row r="8123" spans="36:36" x14ac:dyDescent="0.35">
      <c r="AJ8123" s="213"/>
    </row>
    <row r="8124" spans="36:36" x14ac:dyDescent="0.35">
      <c r="AJ8124" s="213"/>
    </row>
    <row r="8125" spans="36:36" x14ac:dyDescent="0.35">
      <c r="AJ8125" s="213"/>
    </row>
    <row r="8126" spans="36:36" x14ac:dyDescent="0.35">
      <c r="AJ8126" s="213"/>
    </row>
    <row r="8127" spans="36:36" x14ac:dyDescent="0.35">
      <c r="AJ8127" s="213"/>
    </row>
    <row r="8128" spans="36:36" x14ac:dyDescent="0.35">
      <c r="AJ8128" s="213"/>
    </row>
    <row r="8129" spans="36:36" x14ac:dyDescent="0.35">
      <c r="AJ8129" s="213"/>
    </row>
    <row r="8130" spans="36:36" x14ac:dyDescent="0.35">
      <c r="AJ8130" s="213"/>
    </row>
    <row r="8131" spans="36:36" x14ac:dyDescent="0.35">
      <c r="AJ8131" s="213"/>
    </row>
    <row r="8132" spans="36:36" x14ac:dyDescent="0.35">
      <c r="AJ8132" s="213"/>
    </row>
    <row r="8133" spans="36:36" x14ac:dyDescent="0.35">
      <c r="AJ8133" s="213"/>
    </row>
    <row r="8134" spans="36:36" x14ac:dyDescent="0.35">
      <c r="AJ8134" s="213"/>
    </row>
    <row r="8135" spans="36:36" x14ac:dyDescent="0.35">
      <c r="AJ8135" s="213"/>
    </row>
    <row r="8136" spans="36:36" x14ac:dyDescent="0.35">
      <c r="AJ8136" s="213"/>
    </row>
    <row r="8137" spans="36:36" x14ac:dyDescent="0.35">
      <c r="AJ8137" s="213"/>
    </row>
    <row r="8138" spans="36:36" x14ac:dyDescent="0.35">
      <c r="AJ8138" s="213"/>
    </row>
    <row r="8139" spans="36:36" x14ac:dyDescent="0.35">
      <c r="AJ8139" s="213"/>
    </row>
    <row r="8140" spans="36:36" x14ac:dyDescent="0.35">
      <c r="AJ8140" s="213"/>
    </row>
    <row r="8141" spans="36:36" x14ac:dyDescent="0.35">
      <c r="AJ8141" s="213"/>
    </row>
    <row r="8142" spans="36:36" x14ac:dyDescent="0.35">
      <c r="AJ8142" s="213"/>
    </row>
    <row r="8143" spans="36:36" x14ac:dyDescent="0.35">
      <c r="AJ8143" s="213"/>
    </row>
    <row r="8144" spans="36:36" x14ac:dyDescent="0.35">
      <c r="AJ8144" s="213"/>
    </row>
    <row r="8145" spans="36:36" x14ac:dyDescent="0.35">
      <c r="AJ8145" s="213"/>
    </row>
    <row r="8146" spans="36:36" x14ac:dyDescent="0.35">
      <c r="AJ8146" s="213"/>
    </row>
    <row r="8147" spans="36:36" x14ac:dyDescent="0.35">
      <c r="AJ8147" s="213"/>
    </row>
    <row r="8148" spans="36:36" x14ac:dyDescent="0.35">
      <c r="AJ8148" s="213"/>
    </row>
    <row r="8149" spans="36:36" x14ac:dyDescent="0.35">
      <c r="AJ8149" s="213"/>
    </row>
    <row r="8150" spans="36:36" x14ac:dyDescent="0.35">
      <c r="AJ8150" s="213"/>
    </row>
    <row r="8151" spans="36:36" x14ac:dyDescent="0.35">
      <c r="AJ8151" s="213"/>
    </row>
    <row r="8152" spans="36:36" x14ac:dyDescent="0.35">
      <c r="AJ8152" s="213"/>
    </row>
    <row r="8153" spans="36:36" x14ac:dyDescent="0.35">
      <c r="AJ8153" s="213"/>
    </row>
    <row r="8154" spans="36:36" x14ac:dyDescent="0.35">
      <c r="AJ8154" s="213"/>
    </row>
    <row r="8155" spans="36:36" x14ac:dyDescent="0.35">
      <c r="AJ8155" s="213"/>
    </row>
    <row r="8156" spans="36:36" x14ac:dyDescent="0.35">
      <c r="AJ8156" s="213"/>
    </row>
    <row r="8157" spans="36:36" x14ac:dyDescent="0.35">
      <c r="AJ8157" s="213"/>
    </row>
    <row r="8158" spans="36:36" x14ac:dyDescent="0.35">
      <c r="AJ8158" s="213"/>
    </row>
    <row r="8159" spans="36:36" x14ac:dyDescent="0.35">
      <c r="AJ8159" s="213"/>
    </row>
    <row r="8160" spans="36:36" x14ac:dyDescent="0.35">
      <c r="AJ8160" s="213"/>
    </row>
    <row r="8161" spans="36:36" x14ac:dyDescent="0.35">
      <c r="AJ8161" s="213"/>
    </row>
    <row r="8162" spans="36:36" x14ac:dyDescent="0.35">
      <c r="AJ8162" s="213"/>
    </row>
    <row r="8163" spans="36:36" x14ac:dyDescent="0.35">
      <c r="AJ8163" s="213"/>
    </row>
    <row r="8164" spans="36:36" x14ac:dyDescent="0.35">
      <c r="AJ8164" s="213"/>
    </row>
    <row r="8165" spans="36:36" x14ac:dyDescent="0.35">
      <c r="AJ8165" s="213"/>
    </row>
    <row r="8166" spans="36:36" x14ac:dyDescent="0.35">
      <c r="AJ8166" s="213"/>
    </row>
    <row r="8167" spans="36:36" x14ac:dyDescent="0.35">
      <c r="AJ8167" s="213"/>
    </row>
    <row r="8168" spans="36:36" x14ac:dyDescent="0.35">
      <c r="AJ8168" s="213"/>
    </row>
    <row r="8169" spans="36:36" x14ac:dyDescent="0.35">
      <c r="AJ8169" s="213"/>
    </row>
    <row r="8170" spans="36:36" x14ac:dyDescent="0.35">
      <c r="AJ8170" s="213"/>
    </row>
    <row r="8171" spans="36:36" x14ac:dyDescent="0.35">
      <c r="AJ8171" s="213"/>
    </row>
    <row r="8172" spans="36:36" x14ac:dyDescent="0.35">
      <c r="AJ8172" s="213"/>
    </row>
    <row r="8173" spans="36:36" x14ac:dyDescent="0.35">
      <c r="AJ8173" s="213"/>
    </row>
    <row r="8174" spans="36:36" x14ac:dyDescent="0.35">
      <c r="AJ8174" s="213"/>
    </row>
    <row r="8175" spans="36:36" x14ac:dyDescent="0.35">
      <c r="AJ8175" s="213"/>
    </row>
    <row r="8176" spans="36:36" x14ac:dyDescent="0.35">
      <c r="AJ8176" s="213"/>
    </row>
    <row r="8177" spans="36:36" x14ac:dyDescent="0.35">
      <c r="AJ8177" s="213"/>
    </row>
    <row r="8178" spans="36:36" x14ac:dyDescent="0.35">
      <c r="AJ8178" s="213"/>
    </row>
    <row r="8179" spans="36:36" x14ac:dyDescent="0.35">
      <c r="AJ8179" s="213"/>
    </row>
    <row r="8180" spans="36:36" x14ac:dyDescent="0.35">
      <c r="AJ8180" s="213"/>
    </row>
    <row r="8181" spans="36:36" x14ac:dyDescent="0.35">
      <c r="AJ8181" s="213"/>
    </row>
    <row r="8182" spans="36:36" x14ac:dyDescent="0.35">
      <c r="AJ8182" s="213"/>
    </row>
    <row r="8183" spans="36:36" x14ac:dyDescent="0.35">
      <c r="AJ8183" s="213"/>
    </row>
    <row r="8184" spans="36:36" x14ac:dyDescent="0.35">
      <c r="AJ8184" s="213"/>
    </row>
    <row r="8185" spans="36:36" x14ac:dyDescent="0.35">
      <c r="AJ8185" s="213"/>
    </row>
    <row r="8186" spans="36:36" x14ac:dyDescent="0.35">
      <c r="AJ8186" s="213"/>
    </row>
    <row r="8187" spans="36:36" x14ac:dyDescent="0.35">
      <c r="AJ8187" s="213"/>
    </row>
    <row r="8188" spans="36:36" x14ac:dyDescent="0.35">
      <c r="AJ8188" s="213"/>
    </row>
    <row r="8189" spans="36:36" x14ac:dyDescent="0.35">
      <c r="AJ8189" s="213"/>
    </row>
    <row r="8190" spans="36:36" x14ac:dyDescent="0.35">
      <c r="AJ8190" s="213"/>
    </row>
    <row r="8191" spans="36:36" x14ac:dyDescent="0.35">
      <c r="AJ8191" s="213"/>
    </row>
    <row r="8192" spans="36:36" x14ac:dyDescent="0.35">
      <c r="AJ8192" s="213"/>
    </row>
    <row r="8193" spans="36:36" x14ac:dyDescent="0.35">
      <c r="AJ8193" s="213"/>
    </row>
    <row r="8194" spans="36:36" x14ac:dyDescent="0.35">
      <c r="AJ8194" s="213"/>
    </row>
    <row r="8195" spans="36:36" x14ac:dyDescent="0.35">
      <c r="AJ8195" s="213"/>
    </row>
    <row r="8196" spans="36:36" x14ac:dyDescent="0.35">
      <c r="AJ8196" s="213"/>
    </row>
    <row r="8197" spans="36:36" x14ac:dyDescent="0.35">
      <c r="AJ8197" s="213"/>
    </row>
    <row r="8198" spans="36:36" x14ac:dyDescent="0.35">
      <c r="AJ8198" s="213"/>
    </row>
    <row r="8199" spans="36:36" x14ac:dyDescent="0.35">
      <c r="AJ8199" s="213"/>
    </row>
    <row r="8200" spans="36:36" x14ac:dyDescent="0.35">
      <c r="AJ8200" s="213"/>
    </row>
    <row r="8201" spans="36:36" x14ac:dyDescent="0.35">
      <c r="AJ8201" s="213"/>
    </row>
    <row r="8202" spans="36:36" x14ac:dyDescent="0.35">
      <c r="AJ8202" s="213"/>
    </row>
    <row r="8203" spans="36:36" x14ac:dyDescent="0.35">
      <c r="AJ8203" s="213"/>
    </row>
    <row r="8204" spans="36:36" x14ac:dyDescent="0.35">
      <c r="AJ8204" s="213"/>
    </row>
    <row r="8205" spans="36:36" x14ac:dyDescent="0.35">
      <c r="AJ8205" s="213"/>
    </row>
    <row r="8206" spans="36:36" x14ac:dyDescent="0.35">
      <c r="AJ8206" s="213"/>
    </row>
    <row r="8207" spans="36:36" x14ac:dyDescent="0.35">
      <c r="AJ8207" s="213"/>
    </row>
    <row r="8208" spans="36:36" x14ac:dyDescent="0.35">
      <c r="AJ8208" s="213"/>
    </row>
    <row r="8209" spans="36:36" x14ac:dyDescent="0.35">
      <c r="AJ8209" s="213"/>
    </row>
    <row r="8210" spans="36:36" x14ac:dyDescent="0.35">
      <c r="AJ8210" s="213"/>
    </row>
    <row r="8211" spans="36:36" x14ac:dyDescent="0.35">
      <c r="AJ8211" s="213"/>
    </row>
    <row r="8212" spans="36:36" x14ac:dyDescent="0.35">
      <c r="AJ8212" s="213"/>
    </row>
    <row r="8213" spans="36:36" x14ac:dyDescent="0.35">
      <c r="AJ8213" s="213"/>
    </row>
    <row r="8214" spans="36:36" x14ac:dyDescent="0.35">
      <c r="AJ8214" s="213"/>
    </row>
    <row r="8215" spans="36:36" x14ac:dyDescent="0.35">
      <c r="AJ8215" s="213"/>
    </row>
    <row r="8216" spans="36:36" x14ac:dyDescent="0.35">
      <c r="AJ8216" s="213"/>
    </row>
    <row r="8217" spans="36:36" x14ac:dyDescent="0.35">
      <c r="AJ8217" s="213"/>
    </row>
    <row r="8218" spans="36:36" x14ac:dyDescent="0.35">
      <c r="AJ8218" s="213"/>
    </row>
    <row r="8219" spans="36:36" x14ac:dyDescent="0.35">
      <c r="AJ8219" s="213"/>
    </row>
    <row r="8220" spans="36:36" x14ac:dyDescent="0.35">
      <c r="AJ8220" s="213"/>
    </row>
    <row r="8221" spans="36:36" x14ac:dyDescent="0.35">
      <c r="AJ8221" s="213"/>
    </row>
    <row r="8222" spans="36:36" x14ac:dyDescent="0.35">
      <c r="AJ8222" s="213"/>
    </row>
    <row r="8223" spans="36:36" x14ac:dyDescent="0.35">
      <c r="AJ8223" s="213"/>
    </row>
    <row r="8224" spans="36:36" x14ac:dyDescent="0.35">
      <c r="AJ8224" s="213"/>
    </row>
    <row r="8225" spans="36:36" x14ac:dyDescent="0.35">
      <c r="AJ8225" s="213"/>
    </row>
    <row r="8226" spans="36:36" x14ac:dyDescent="0.35">
      <c r="AJ8226" s="213"/>
    </row>
    <row r="8227" spans="36:36" x14ac:dyDescent="0.35">
      <c r="AJ8227" s="213"/>
    </row>
    <row r="8228" spans="36:36" x14ac:dyDescent="0.35">
      <c r="AJ8228" s="213"/>
    </row>
    <row r="8229" spans="36:36" x14ac:dyDescent="0.35">
      <c r="AJ8229" s="213"/>
    </row>
    <row r="8230" spans="36:36" x14ac:dyDescent="0.35">
      <c r="AJ8230" s="213"/>
    </row>
    <row r="8231" spans="36:36" x14ac:dyDescent="0.35">
      <c r="AJ8231" s="213"/>
    </row>
    <row r="8232" spans="36:36" x14ac:dyDescent="0.35">
      <c r="AJ8232" s="213"/>
    </row>
    <row r="8233" spans="36:36" x14ac:dyDescent="0.35">
      <c r="AJ8233" s="213"/>
    </row>
    <row r="8234" spans="36:36" x14ac:dyDescent="0.35">
      <c r="AJ8234" s="213"/>
    </row>
    <row r="8235" spans="36:36" x14ac:dyDescent="0.35">
      <c r="AJ8235" s="213"/>
    </row>
    <row r="8236" spans="36:36" x14ac:dyDescent="0.35">
      <c r="AJ8236" s="213"/>
    </row>
    <row r="8237" spans="36:36" x14ac:dyDescent="0.35">
      <c r="AJ8237" s="213"/>
    </row>
    <row r="8238" spans="36:36" x14ac:dyDescent="0.35">
      <c r="AJ8238" s="213"/>
    </row>
    <row r="8239" spans="36:36" x14ac:dyDescent="0.35">
      <c r="AJ8239" s="213"/>
    </row>
    <row r="8240" spans="36:36" x14ac:dyDescent="0.35">
      <c r="AJ8240" s="213"/>
    </row>
    <row r="8241" spans="36:36" x14ac:dyDescent="0.35">
      <c r="AJ8241" s="213"/>
    </row>
    <row r="8242" spans="36:36" x14ac:dyDescent="0.35">
      <c r="AJ8242" s="213"/>
    </row>
    <row r="8243" spans="36:36" x14ac:dyDescent="0.35">
      <c r="AJ8243" s="213"/>
    </row>
    <row r="8244" spans="36:36" x14ac:dyDescent="0.35">
      <c r="AJ8244" s="213"/>
    </row>
    <row r="8245" spans="36:36" x14ac:dyDescent="0.35">
      <c r="AJ8245" s="213"/>
    </row>
    <row r="8246" spans="36:36" x14ac:dyDescent="0.35">
      <c r="AJ8246" s="213"/>
    </row>
    <row r="8247" spans="36:36" x14ac:dyDescent="0.35">
      <c r="AJ8247" s="213"/>
    </row>
    <row r="8248" spans="36:36" x14ac:dyDescent="0.35">
      <c r="AJ8248" s="213"/>
    </row>
    <row r="8249" spans="36:36" x14ac:dyDescent="0.35">
      <c r="AJ8249" s="213"/>
    </row>
    <row r="8250" spans="36:36" x14ac:dyDescent="0.35">
      <c r="AJ8250" s="213"/>
    </row>
    <row r="8251" spans="36:36" x14ac:dyDescent="0.35">
      <c r="AJ8251" s="213"/>
    </row>
    <row r="8252" spans="36:36" x14ac:dyDescent="0.35">
      <c r="AJ8252" s="213"/>
    </row>
    <row r="8253" spans="36:36" x14ac:dyDescent="0.35">
      <c r="AJ8253" s="213"/>
    </row>
    <row r="8254" spans="36:36" x14ac:dyDescent="0.35">
      <c r="AJ8254" s="213"/>
    </row>
    <row r="8255" spans="36:36" x14ac:dyDescent="0.35">
      <c r="AJ8255" s="213"/>
    </row>
    <row r="8256" spans="36:36" x14ac:dyDescent="0.35">
      <c r="AJ8256" s="213"/>
    </row>
    <row r="8257" spans="36:36" x14ac:dyDescent="0.35">
      <c r="AJ8257" s="213"/>
    </row>
    <row r="8258" spans="36:36" x14ac:dyDescent="0.35">
      <c r="AJ8258" s="213"/>
    </row>
    <row r="8259" spans="36:36" x14ac:dyDescent="0.35">
      <c r="AJ8259" s="213"/>
    </row>
    <row r="8260" spans="36:36" x14ac:dyDescent="0.35">
      <c r="AJ8260" s="213"/>
    </row>
    <row r="8261" spans="36:36" x14ac:dyDescent="0.35">
      <c r="AJ8261" s="213"/>
    </row>
    <row r="8262" spans="36:36" x14ac:dyDescent="0.35">
      <c r="AJ8262" s="213"/>
    </row>
    <row r="8263" spans="36:36" x14ac:dyDescent="0.35">
      <c r="AJ8263" s="213"/>
    </row>
    <row r="8264" spans="36:36" x14ac:dyDescent="0.35">
      <c r="AJ8264" s="213"/>
    </row>
    <row r="8265" spans="36:36" x14ac:dyDescent="0.35">
      <c r="AJ8265" s="213"/>
    </row>
    <row r="8266" spans="36:36" x14ac:dyDescent="0.35">
      <c r="AJ8266" s="213"/>
    </row>
    <row r="8267" spans="36:36" x14ac:dyDescent="0.35">
      <c r="AJ8267" s="213"/>
    </row>
    <row r="8268" spans="36:36" x14ac:dyDescent="0.35">
      <c r="AJ8268" s="213"/>
    </row>
    <row r="8269" spans="36:36" x14ac:dyDescent="0.35">
      <c r="AJ8269" s="213"/>
    </row>
    <row r="8270" spans="36:36" x14ac:dyDescent="0.35">
      <c r="AJ8270" s="213"/>
    </row>
    <row r="8271" spans="36:36" x14ac:dyDescent="0.35">
      <c r="AJ8271" s="213"/>
    </row>
    <row r="8272" spans="36:36" x14ac:dyDescent="0.35">
      <c r="AJ8272" s="213"/>
    </row>
    <row r="8273" spans="36:36" x14ac:dyDescent="0.35">
      <c r="AJ8273" s="213"/>
    </row>
    <row r="8274" spans="36:36" x14ac:dyDescent="0.35">
      <c r="AJ8274" s="213"/>
    </row>
    <row r="8275" spans="36:36" x14ac:dyDescent="0.35">
      <c r="AJ8275" s="213"/>
    </row>
    <row r="8276" spans="36:36" x14ac:dyDescent="0.35">
      <c r="AJ8276" s="213"/>
    </row>
    <row r="8277" spans="36:36" x14ac:dyDescent="0.35">
      <c r="AJ8277" s="213"/>
    </row>
    <row r="8278" spans="36:36" x14ac:dyDescent="0.35">
      <c r="AJ8278" s="213"/>
    </row>
    <row r="8279" spans="36:36" x14ac:dyDescent="0.35">
      <c r="AJ8279" s="213"/>
    </row>
    <row r="8280" spans="36:36" x14ac:dyDescent="0.35">
      <c r="AJ8280" s="213"/>
    </row>
    <row r="8281" spans="36:36" x14ac:dyDescent="0.35">
      <c r="AJ8281" s="213"/>
    </row>
    <row r="8282" spans="36:36" x14ac:dyDescent="0.35">
      <c r="AJ8282" s="213"/>
    </row>
    <row r="8283" spans="36:36" x14ac:dyDescent="0.35">
      <c r="AJ8283" s="213"/>
    </row>
    <row r="8284" spans="36:36" x14ac:dyDescent="0.35">
      <c r="AJ8284" s="213"/>
    </row>
    <row r="8285" spans="36:36" x14ac:dyDescent="0.35">
      <c r="AJ8285" s="213"/>
    </row>
    <row r="8286" spans="36:36" x14ac:dyDescent="0.35">
      <c r="AJ8286" s="213"/>
    </row>
    <row r="8287" spans="36:36" x14ac:dyDescent="0.35">
      <c r="AJ8287" s="213"/>
    </row>
    <row r="8288" spans="36:36" x14ac:dyDescent="0.35">
      <c r="AJ8288" s="213"/>
    </row>
    <row r="8289" spans="36:36" x14ac:dyDescent="0.35">
      <c r="AJ8289" s="213"/>
    </row>
    <row r="8290" spans="36:36" x14ac:dyDescent="0.35">
      <c r="AJ8290" s="213"/>
    </row>
    <row r="8291" spans="36:36" x14ac:dyDescent="0.35">
      <c r="AJ8291" s="213"/>
    </row>
    <row r="8292" spans="36:36" x14ac:dyDescent="0.35">
      <c r="AJ8292" s="213"/>
    </row>
    <row r="8293" spans="36:36" x14ac:dyDescent="0.35">
      <c r="AJ8293" s="213"/>
    </row>
    <row r="8294" spans="36:36" x14ac:dyDescent="0.35">
      <c r="AJ8294" s="213"/>
    </row>
    <row r="8295" spans="36:36" x14ac:dyDescent="0.35">
      <c r="AJ8295" s="213"/>
    </row>
    <row r="8296" spans="36:36" x14ac:dyDescent="0.35">
      <c r="AJ8296" s="213"/>
    </row>
    <row r="8297" spans="36:36" x14ac:dyDescent="0.35">
      <c r="AJ8297" s="213"/>
    </row>
    <row r="8298" spans="36:36" x14ac:dyDescent="0.35">
      <c r="AJ8298" s="213"/>
    </row>
    <row r="8299" spans="36:36" x14ac:dyDescent="0.35">
      <c r="AJ8299" s="213"/>
    </row>
    <row r="8300" spans="36:36" x14ac:dyDescent="0.35">
      <c r="AJ8300" s="213"/>
    </row>
    <row r="8301" spans="36:36" x14ac:dyDescent="0.35">
      <c r="AJ8301" s="213"/>
    </row>
    <row r="8302" spans="36:36" x14ac:dyDescent="0.35">
      <c r="AJ8302" s="213"/>
    </row>
    <row r="8303" spans="36:36" x14ac:dyDescent="0.35">
      <c r="AJ8303" s="213"/>
    </row>
    <row r="8304" spans="36:36" x14ac:dyDescent="0.35">
      <c r="AJ8304" s="213"/>
    </row>
    <row r="8305" spans="36:36" x14ac:dyDescent="0.35">
      <c r="AJ8305" s="213"/>
    </row>
    <row r="8306" spans="36:36" x14ac:dyDescent="0.35">
      <c r="AJ8306" s="213"/>
    </row>
    <row r="8307" spans="36:36" x14ac:dyDescent="0.35">
      <c r="AJ8307" s="213"/>
    </row>
    <row r="8308" spans="36:36" x14ac:dyDescent="0.35">
      <c r="AJ8308" s="213"/>
    </row>
    <row r="8309" spans="36:36" x14ac:dyDescent="0.35">
      <c r="AJ8309" s="213"/>
    </row>
    <row r="8310" spans="36:36" x14ac:dyDescent="0.35">
      <c r="AJ8310" s="213"/>
    </row>
    <row r="8311" spans="36:36" x14ac:dyDescent="0.35">
      <c r="AJ8311" s="213"/>
    </row>
    <row r="8312" spans="36:36" x14ac:dyDescent="0.35">
      <c r="AJ8312" s="213"/>
    </row>
    <row r="8313" spans="36:36" x14ac:dyDescent="0.35">
      <c r="AJ8313" s="213"/>
    </row>
    <row r="8314" spans="36:36" x14ac:dyDescent="0.35">
      <c r="AJ8314" s="213"/>
    </row>
    <row r="8315" spans="36:36" x14ac:dyDescent="0.35">
      <c r="AJ8315" s="213"/>
    </row>
    <row r="8316" spans="36:36" x14ac:dyDescent="0.35">
      <c r="AJ8316" s="213"/>
    </row>
    <row r="8317" spans="36:36" x14ac:dyDescent="0.35">
      <c r="AJ8317" s="213"/>
    </row>
    <row r="8318" spans="36:36" x14ac:dyDescent="0.35">
      <c r="AJ8318" s="213"/>
    </row>
    <row r="8319" spans="36:36" x14ac:dyDescent="0.35">
      <c r="AJ8319" s="213"/>
    </row>
    <row r="8320" spans="36:36" x14ac:dyDescent="0.35">
      <c r="AJ8320" s="213"/>
    </row>
    <row r="8321" spans="36:36" x14ac:dyDescent="0.35">
      <c r="AJ8321" s="213"/>
    </row>
    <row r="8322" spans="36:36" x14ac:dyDescent="0.35">
      <c r="AJ8322" s="213"/>
    </row>
    <row r="8323" spans="36:36" x14ac:dyDescent="0.35">
      <c r="AJ8323" s="213"/>
    </row>
    <row r="8324" spans="36:36" x14ac:dyDescent="0.35">
      <c r="AJ8324" s="213"/>
    </row>
    <row r="8325" spans="36:36" x14ac:dyDescent="0.35">
      <c r="AJ8325" s="213"/>
    </row>
    <row r="8326" spans="36:36" x14ac:dyDescent="0.35">
      <c r="AJ8326" s="213"/>
    </row>
    <row r="8327" spans="36:36" x14ac:dyDescent="0.35">
      <c r="AJ8327" s="213"/>
    </row>
    <row r="8328" spans="36:36" x14ac:dyDescent="0.35">
      <c r="AJ8328" s="213"/>
    </row>
    <row r="8329" spans="36:36" x14ac:dyDescent="0.35">
      <c r="AJ8329" s="213"/>
    </row>
    <row r="8330" spans="36:36" x14ac:dyDescent="0.35">
      <c r="AJ8330" s="213"/>
    </row>
    <row r="8331" spans="36:36" x14ac:dyDescent="0.35">
      <c r="AJ8331" s="213"/>
    </row>
    <row r="8332" spans="36:36" x14ac:dyDescent="0.35">
      <c r="AJ8332" s="213"/>
    </row>
    <row r="8333" spans="36:36" x14ac:dyDescent="0.35">
      <c r="AJ8333" s="213"/>
    </row>
    <row r="8334" spans="36:36" x14ac:dyDescent="0.35">
      <c r="AJ8334" s="213"/>
    </row>
    <row r="8335" spans="36:36" x14ac:dyDescent="0.35">
      <c r="AJ8335" s="213"/>
    </row>
    <row r="8336" spans="36:36" x14ac:dyDescent="0.35">
      <c r="AJ8336" s="213"/>
    </row>
    <row r="8337" spans="36:36" x14ac:dyDescent="0.35">
      <c r="AJ8337" s="213"/>
    </row>
    <row r="8338" spans="36:36" x14ac:dyDescent="0.35">
      <c r="AJ8338" s="213"/>
    </row>
    <row r="8339" spans="36:36" x14ac:dyDescent="0.35">
      <c r="AJ8339" s="213"/>
    </row>
    <row r="8340" spans="36:36" x14ac:dyDescent="0.35">
      <c r="AJ8340" s="213"/>
    </row>
    <row r="8341" spans="36:36" x14ac:dyDescent="0.35">
      <c r="AJ8341" s="213"/>
    </row>
    <row r="8342" spans="36:36" x14ac:dyDescent="0.35">
      <c r="AJ8342" s="213"/>
    </row>
    <row r="8343" spans="36:36" x14ac:dyDescent="0.35">
      <c r="AJ8343" s="213"/>
    </row>
    <row r="8344" spans="36:36" x14ac:dyDescent="0.35">
      <c r="AJ8344" s="213"/>
    </row>
    <row r="8345" spans="36:36" x14ac:dyDescent="0.35">
      <c r="AJ8345" s="213"/>
    </row>
    <row r="8346" spans="36:36" x14ac:dyDescent="0.35">
      <c r="AJ8346" s="213"/>
    </row>
    <row r="8347" spans="36:36" x14ac:dyDescent="0.35">
      <c r="AJ8347" s="213"/>
    </row>
    <row r="8348" spans="36:36" x14ac:dyDescent="0.35">
      <c r="AJ8348" s="213"/>
    </row>
    <row r="8349" spans="36:36" x14ac:dyDescent="0.35">
      <c r="AJ8349" s="213"/>
    </row>
    <row r="8350" spans="36:36" x14ac:dyDescent="0.35">
      <c r="AJ8350" s="213"/>
    </row>
    <row r="8351" spans="36:36" x14ac:dyDescent="0.35">
      <c r="AJ8351" s="213"/>
    </row>
    <row r="8352" spans="36:36" x14ac:dyDescent="0.35">
      <c r="AJ8352" s="213"/>
    </row>
    <row r="8353" spans="36:36" x14ac:dyDescent="0.35">
      <c r="AJ8353" s="213"/>
    </row>
    <row r="8354" spans="36:36" x14ac:dyDescent="0.35">
      <c r="AJ8354" s="213"/>
    </row>
    <row r="8355" spans="36:36" x14ac:dyDescent="0.35">
      <c r="AJ8355" s="213"/>
    </row>
    <row r="8356" spans="36:36" x14ac:dyDescent="0.35">
      <c r="AJ8356" s="213"/>
    </row>
    <row r="8357" spans="36:36" x14ac:dyDescent="0.35">
      <c r="AJ8357" s="213"/>
    </row>
    <row r="8358" spans="36:36" x14ac:dyDescent="0.35">
      <c r="AJ8358" s="213"/>
    </row>
    <row r="8359" spans="36:36" x14ac:dyDescent="0.35">
      <c r="AJ8359" s="213"/>
    </row>
    <row r="8360" spans="36:36" x14ac:dyDescent="0.35">
      <c r="AJ8360" s="213"/>
    </row>
    <row r="8361" spans="36:36" x14ac:dyDescent="0.35">
      <c r="AJ8361" s="213"/>
    </row>
    <row r="8362" spans="36:36" x14ac:dyDescent="0.35">
      <c r="AJ8362" s="213"/>
    </row>
    <row r="8363" spans="36:36" x14ac:dyDescent="0.35">
      <c r="AJ8363" s="213"/>
    </row>
    <row r="8364" spans="36:36" x14ac:dyDescent="0.35">
      <c r="AJ8364" s="213"/>
    </row>
    <row r="8365" spans="36:36" x14ac:dyDescent="0.35">
      <c r="AJ8365" s="213"/>
    </row>
    <row r="8366" spans="36:36" x14ac:dyDescent="0.35">
      <c r="AJ8366" s="213"/>
    </row>
    <row r="8367" spans="36:36" x14ac:dyDescent="0.35">
      <c r="AJ8367" s="213"/>
    </row>
    <row r="8368" spans="36:36" x14ac:dyDescent="0.35">
      <c r="AJ8368" s="213"/>
    </row>
    <row r="8369" spans="36:36" x14ac:dyDescent="0.35">
      <c r="AJ8369" s="213"/>
    </row>
    <row r="8370" spans="36:36" x14ac:dyDescent="0.35">
      <c r="AJ8370" s="213"/>
    </row>
    <row r="8371" spans="36:36" x14ac:dyDescent="0.35">
      <c r="AJ8371" s="213"/>
    </row>
    <row r="8372" spans="36:36" x14ac:dyDescent="0.35">
      <c r="AJ8372" s="213"/>
    </row>
    <row r="8373" spans="36:36" x14ac:dyDescent="0.35">
      <c r="AJ8373" s="213"/>
    </row>
    <row r="8374" spans="36:36" x14ac:dyDescent="0.35">
      <c r="AJ8374" s="213"/>
    </row>
    <row r="8375" spans="36:36" x14ac:dyDescent="0.35">
      <c r="AJ8375" s="213"/>
    </row>
    <row r="8376" spans="36:36" x14ac:dyDescent="0.35">
      <c r="AJ8376" s="213"/>
    </row>
    <row r="8377" spans="36:36" x14ac:dyDescent="0.35">
      <c r="AJ8377" s="213"/>
    </row>
    <row r="8378" spans="36:36" x14ac:dyDescent="0.35">
      <c r="AJ8378" s="213"/>
    </row>
    <row r="8379" spans="36:36" x14ac:dyDescent="0.35">
      <c r="AJ8379" s="213"/>
    </row>
    <row r="8380" spans="36:36" x14ac:dyDescent="0.35">
      <c r="AJ8380" s="213"/>
    </row>
    <row r="8381" spans="36:36" x14ac:dyDescent="0.35">
      <c r="AJ8381" s="213"/>
    </row>
    <row r="8382" spans="36:36" x14ac:dyDescent="0.35">
      <c r="AJ8382" s="213"/>
    </row>
    <row r="8383" spans="36:36" x14ac:dyDescent="0.35">
      <c r="AJ8383" s="213"/>
    </row>
    <row r="8384" spans="36:36" x14ac:dyDescent="0.35">
      <c r="AJ8384" s="213"/>
    </row>
    <row r="8385" spans="36:36" x14ac:dyDescent="0.35">
      <c r="AJ8385" s="213"/>
    </row>
    <row r="8386" spans="36:36" x14ac:dyDescent="0.35">
      <c r="AJ8386" s="213"/>
    </row>
    <row r="8387" spans="36:36" x14ac:dyDescent="0.35">
      <c r="AJ8387" s="213"/>
    </row>
    <row r="8388" spans="36:36" x14ac:dyDescent="0.35">
      <c r="AJ8388" s="213"/>
    </row>
    <row r="8389" spans="36:36" x14ac:dyDescent="0.35">
      <c r="AJ8389" s="213"/>
    </row>
    <row r="8390" spans="36:36" x14ac:dyDescent="0.35">
      <c r="AJ8390" s="213"/>
    </row>
    <row r="8391" spans="36:36" x14ac:dyDescent="0.35">
      <c r="AJ8391" s="213"/>
    </row>
    <row r="8392" spans="36:36" x14ac:dyDescent="0.35">
      <c r="AJ8392" s="213"/>
    </row>
    <row r="8393" spans="36:36" x14ac:dyDescent="0.35">
      <c r="AJ8393" s="213"/>
    </row>
    <row r="8394" spans="36:36" x14ac:dyDescent="0.35">
      <c r="AJ8394" s="213"/>
    </row>
    <row r="8395" spans="36:36" x14ac:dyDescent="0.35">
      <c r="AJ8395" s="213"/>
    </row>
    <row r="8396" spans="36:36" x14ac:dyDescent="0.35">
      <c r="AJ8396" s="213"/>
    </row>
    <row r="8397" spans="36:36" x14ac:dyDescent="0.35">
      <c r="AJ8397" s="213"/>
    </row>
    <row r="8398" spans="36:36" x14ac:dyDescent="0.35">
      <c r="AJ8398" s="213"/>
    </row>
    <row r="8399" spans="36:36" x14ac:dyDescent="0.35">
      <c r="AJ8399" s="213"/>
    </row>
    <row r="8400" spans="36:36" x14ac:dyDescent="0.35">
      <c r="AJ8400" s="213"/>
    </row>
    <row r="8401" spans="36:36" x14ac:dyDescent="0.35">
      <c r="AJ8401" s="213"/>
    </row>
    <row r="8402" spans="36:36" x14ac:dyDescent="0.35">
      <c r="AJ8402" s="213"/>
    </row>
    <row r="8403" spans="36:36" x14ac:dyDescent="0.35">
      <c r="AJ8403" s="213"/>
    </row>
    <row r="8404" spans="36:36" x14ac:dyDescent="0.35">
      <c r="AJ8404" s="213"/>
    </row>
    <row r="8405" spans="36:36" x14ac:dyDescent="0.35">
      <c r="AJ8405" s="213"/>
    </row>
    <row r="8406" spans="36:36" x14ac:dyDescent="0.35">
      <c r="AJ8406" s="213"/>
    </row>
    <row r="8407" spans="36:36" x14ac:dyDescent="0.35">
      <c r="AJ8407" s="213"/>
    </row>
    <row r="8408" spans="36:36" x14ac:dyDescent="0.35">
      <c r="AJ8408" s="213"/>
    </row>
    <row r="8409" spans="36:36" x14ac:dyDescent="0.35">
      <c r="AJ8409" s="213"/>
    </row>
    <row r="8410" spans="36:36" x14ac:dyDescent="0.35">
      <c r="AJ8410" s="213"/>
    </row>
    <row r="8411" spans="36:36" x14ac:dyDescent="0.35">
      <c r="AJ8411" s="213"/>
    </row>
    <row r="8412" spans="36:36" x14ac:dyDescent="0.35">
      <c r="AJ8412" s="213"/>
    </row>
    <row r="8413" spans="36:36" x14ac:dyDescent="0.35">
      <c r="AJ8413" s="213"/>
    </row>
    <row r="8414" spans="36:36" x14ac:dyDescent="0.35">
      <c r="AJ8414" s="213"/>
    </row>
    <row r="8415" spans="36:36" x14ac:dyDescent="0.35">
      <c r="AJ8415" s="213"/>
    </row>
    <row r="8416" spans="36:36" x14ac:dyDescent="0.35">
      <c r="AJ8416" s="213"/>
    </row>
    <row r="8417" spans="36:36" x14ac:dyDescent="0.35">
      <c r="AJ8417" s="213"/>
    </row>
    <row r="8418" spans="36:36" x14ac:dyDescent="0.35">
      <c r="AJ8418" s="213"/>
    </row>
    <row r="8419" spans="36:36" x14ac:dyDescent="0.35">
      <c r="AJ8419" s="213"/>
    </row>
    <row r="8420" spans="36:36" x14ac:dyDescent="0.35">
      <c r="AJ8420" s="213"/>
    </row>
    <row r="8421" spans="36:36" x14ac:dyDescent="0.35">
      <c r="AJ8421" s="213"/>
    </row>
    <row r="8422" spans="36:36" x14ac:dyDescent="0.35">
      <c r="AJ8422" s="213"/>
    </row>
    <row r="8423" spans="36:36" x14ac:dyDescent="0.35">
      <c r="AJ8423" s="213"/>
    </row>
    <row r="8424" spans="36:36" x14ac:dyDescent="0.35">
      <c r="AJ8424" s="213"/>
    </row>
    <row r="8425" spans="36:36" x14ac:dyDescent="0.35">
      <c r="AJ8425" s="213"/>
    </row>
    <row r="8426" spans="36:36" x14ac:dyDescent="0.35">
      <c r="AJ8426" s="213"/>
    </row>
    <row r="8427" spans="36:36" x14ac:dyDescent="0.35">
      <c r="AJ8427" s="213"/>
    </row>
    <row r="8428" spans="36:36" x14ac:dyDescent="0.35">
      <c r="AJ8428" s="213"/>
    </row>
    <row r="8429" spans="36:36" x14ac:dyDescent="0.35">
      <c r="AJ8429" s="213"/>
    </row>
    <row r="8430" spans="36:36" x14ac:dyDescent="0.35">
      <c r="AJ8430" s="213"/>
    </row>
    <row r="8431" spans="36:36" x14ac:dyDescent="0.35">
      <c r="AJ8431" s="213"/>
    </row>
    <row r="8432" spans="36:36" x14ac:dyDescent="0.35">
      <c r="AJ8432" s="213"/>
    </row>
    <row r="8433" spans="36:36" x14ac:dyDescent="0.35">
      <c r="AJ8433" s="213"/>
    </row>
    <row r="8434" spans="36:36" x14ac:dyDescent="0.35">
      <c r="AJ8434" s="213"/>
    </row>
    <row r="8435" spans="36:36" x14ac:dyDescent="0.35">
      <c r="AJ8435" s="213"/>
    </row>
    <row r="8436" spans="36:36" x14ac:dyDescent="0.35">
      <c r="AJ8436" s="213"/>
    </row>
    <row r="8437" spans="36:36" x14ac:dyDescent="0.35">
      <c r="AJ8437" s="213"/>
    </row>
    <row r="8438" spans="36:36" x14ac:dyDescent="0.35">
      <c r="AJ8438" s="213"/>
    </row>
    <row r="8439" spans="36:36" x14ac:dyDescent="0.35">
      <c r="AJ8439" s="213"/>
    </row>
    <row r="8440" spans="36:36" x14ac:dyDescent="0.35">
      <c r="AJ8440" s="213"/>
    </row>
    <row r="8441" spans="36:36" x14ac:dyDescent="0.35">
      <c r="AJ8441" s="213"/>
    </row>
    <row r="8442" spans="36:36" x14ac:dyDescent="0.35">
      <c r="AJ8442" s="213"/>
    </row>
    <row r="8443" spans="36:36" x14ac:dyDescent="0.35">
      <c r="AJ8443" s="213"/>
    </row>
    <row r="8444" spans="36:36" x14ac:dyDescent="0.35">
      <c r="AJ8444" s="213"/>
    </row>
    <row r="8445" spans="36:36" x14ac:dyDescent="0.35">
      <c r="AJ8445" s="213"/>
    </row>
    <row r="8446" spans="36:36" x14ac:dyDescent="0.35">
      <c r="AJ8446" s="213"/>
    </row>
    <row r="8447" spans="36:36" x14ac:dyDescent="0.35">
      <c r="AJ8447" s="213"/>
    </row>
    <row r="8448" spans="36:36" x14ac:dyDescent="0.35">
      <c r="AJ8448" s="213"/>
    </row>
    <row r="8449" spans="36:36" x14ac:dyDescent="0.35">
      <c r="AJ8449" s="213"/>
    </row>
    <row r="8450" spans="36:36" x14ac:dyDescent="0.35">
      <c r="AJ8450" s="213"/>
    </row>
    <row r="8451" spans="36:36" x14ac:dyDescent="0.35">
      <c r="AJ8451" s="213"/>
    </row>
    <row r="8452" spans="36:36" x14ac:dyDescent="0.35">
      <c r="AJ8452" s="213"/>
    </row>
    <row r="8453" spans="36:36" x14ac:dyDescent="0.35">
      <c r="AJ8453" s="213"/>
    </row>
    <row r="8454" spans="36:36" x14ac:dyDescent="0.35">
      <c r="AJ8454" s="213"/>
    </row>
    <row r="8455" spans="36:36" x14ac:dyDescent="0.35">
      <c r="AJ8455" s="213"/>
    </row>
    <row r="8456" spans="36:36" x14ac:dyDescent="0.35">
      <c r="AJ8456" s="213"/>
    </row>
    <row r="8457" spans="36:36" x14ac:dyDescent="0.35">
      <c r="AJ8457" s="213"/>
    </row>
    <row r="8458" spans="36:36" x14ac:dyDescent="0.35">
      <c r="AJ8458" s="213"/>
    </row>
    <row r="8459" spans="36:36" x14ac:dyDescent="0.35">
      <c r="AJ8459" s="213"/>
    </row>
    <row r="8460" spans="36:36" x14ac:dyDescent="0.35">
      <c r="AJ8460" s="213"/>
    </row>
    <row r="8461" spans="36:36" x14ac:dyDescent="0.35">
      <c r="AJ8461" s="213"/>
    </row>
    <row r="8462" spans="36:36" x14ac:dyDescent="0.35">
      <c r="AJ8462" s="213"/>
    </row>
    <row r="8463" spans="36:36" x14ac:dyDescent="0.35">
      <c r="AJ8463" s="213"/>
    </row>
    <row r="8464" spans="36:36" x14ac:dyDescent="0.35">
      <c r="AJ8464" s="213"/>
    </row>
    <row r="8465" spans="36:36" x14ac:dyDescent="0.35">
      <c r="AJ8465" s="213"/>
    </row>
    <row r="8466" spans="36:36" x14ac:dyDescent="0.35">
      <c r="AJ8466" s="213"/>
    </row>
    <row r="8467" spans="36:36" x14ac:dyDescent="0.35">
      <c r="AJ8467" s="213"/>
    </row>
    <row r="8468" spans="36:36" x14ac:dyDescent="0.35">
      <c r="AJ8468" s="213"/>
    </row>
    <row r="8469" spans="36:36" x14ac:dyDescent="0.35">
      <c r="AJ8469" s="213"/>
    </row>
    <row r="8470" spans="36:36" x14ac:dyDescent="0.35">
      <c r="AJ8470" s="213"/>
    </row>
    <row r="8471" spans="36:36" x14ac:dyDescent="0.35">
      <c r="AJ8471" s="213"/>
    </row>
    <row r="8472" spans="36:36" x14ac:dyDescent="0.35">
      <c r="AJ8472" s="213"/>
    </row>
    <row r="8473" spans="36:36" x14ac:dyDescent="0.35">
      <c r="AJ8473" s="213"/>
    </row>
    <row r="8474" spans="36:36" x14ac:dyDescent="0.35">
      <c r="AJ8474" s="213"/>
    </row>
    <row r="8475" spans="36:36" x14ac:dyDescent="0.35">
      <c r="AJ8475" s="213"/>
    </row>
    <row r="8476" spans="36:36" x14ac:dyDescent="0.35">
      <c r="AJ8476" s="213"/>
    </row>
    <row r="8477" spans="36:36" x14ac:dyDescent="0.35">
      <c r="AJ8477" s="213"/>
    </row>
    <row r="8478" spans="36:36" x14ac:dyDescent="0.35">
      <c r="AJ8478" s="213"/>
    </row>
    <row r="8479" spans="36:36" x14ac:dyDescent="0.35">
      <c r="AJ8479" s="213"/>
    </row>
    <row r="8480" spans="36:36" x14ac:dyDescent="0.35">
      <c r="AJ8480" s="213"/>
    </row>
    <row r="8481" spans="36:36" x14ac:dyDescent="0.35">
      <c r="AJ8481" s="213"/>
    </row>
    <row r="8482" spans="36:36" x14ac:dyDescent="0.35">
      <c r="AJ8482" s="213"/>
    </row>
    <row r="8483" spans="36:36" x14ac:dyDescent="0.35">
      <c r="AJ8483" s="213"/>
    </row>
    <row r="8484" spans="36:36" x14ac:dyDescent="0.35">
      <c r="AJ8484" s="213"/>
    </row>
    <row r="8485" spans="36:36" x14ac:dyDescent="0.35">
      <c r="AJ8485" s="213"/>
    </row>
    <row r="8486" spans="36:36" x14ac:dyDescent="0.35">
      <c r="AJ8486" s="213"/>
    </row>
    <row r="8487" spans="36:36" x14ac:dyDescent="0.35">
      <c r="AJ8487" s="213"/>
    </row>
    <row r="8488" spans="36:36" x14ac:dyDescent="0.35">
      <c r="AJ8488" s="213"/>
    </row>
    <row r="8489" spans="36:36" x14ac:dyDescent="0.35">
      <c r="AJ8489" s="213"/>
    </row>
    <row r="8490" spans="36:36" x14ac:dyDescent="0.35">
      <c r="AJ8490" s="213"/>
    </row>
    <row r="8491" spans="36:36" x14ac:dyDescent="0.35">
      <c r="AJ8491" s="213"/>
    </row>
    <row r="8492" spans="36:36" x14ac:dyDescent="0.35">
      <c r="AJ8492" s="213"/>
    </row>
    <row r="8493" spans="36:36" x14ac:dyDescent="0.35">
      <c r="AJ8493" s="213"/>
    </row>
    <row r="8494" spans="36:36" x14ac:dyDescent="0.35">
      <c r="AJ8494" s="213"/>
    </row>
    <row r="8495" spans="36:36" x14ac:dyDescent="0.35">
      <c r="AJ8495" s="213"/>
    </row>
    <row r="8496" spans="36:36" x14ac:dyDescent="0.35">
      <c r="AJ8496" s="213"/>
    </row>
    <row r="8497" spans="36:36" x14ac:dyDescent="0.35">
      <c r="AJ8497" s="213"/>
    </row>
    <row r="8498" spans="36:36" x14ac:dyDescent="0.35">
      <c r="AJ8498" s="213"/>
    </row>
    <row r="8499" spans="36:36" x14ac:dyDescent="0.35">
      <c r="AJ8499" s="213"/>
    </row>
    <row r="8500" spans="36:36" x14ac:dyDescent="0.35">
      <c r="AJ8500" s="213"/>
    </row>
    <row r="8501" spans="36:36" x14ac:dyDescent="0.35">
      <c r="AJ8501" s="213"/>
    </row>
    <row r="8502" spans="36:36" x14ac:dyDescent="0.35">
      <c r="AJ8502" s="213"/>
    </row>
    <row r="8503" spans="36:36" x14ac:dyDescent="0.35">
      <c r="AJ8503" s="213"/>
    </row>
    <row r="8504" spans="36:36" x14ac:dyDescent="0.35">
      <c r="AJ8504" s="213"/>
    </row>
    <row r="8505" spans="36:36" x14ac:dyDescent="0.35">
      <c r="AJ8505" s="213"/>
    </row>
    <row r="8506" spans="36:36" x14ac:dyDescent="0.35">
      <c r="AJ8506" s="213"/>
    </row>
    <row r="8507" spans="36:36" x14ac:dyDescent="0.35">
      <c r="AJ8507" s="213"/>
    </row>
    <row r="8508" spans="36:36" x14ac:dyDescent="0.35">
      <c r="AJ8508" s="213"/>
    </row>
    <row r="8509" spans="36:36" x14ac:dyDescent="0.35">
      <c r="AJ8509" s="213"/>
    </row>
    <row r="8510" spans="36:36" x14ac:dyDescent="0.35">
      <c r="AJ8510" s="213"/>
    </row>
    <row r="8511" spans="36:36" x14ac:dyDescent="0.35">
      <c r="AJ8511" s="213"/>
    </row>
    <row r="8512" spans="36:36" x14ac:dyDescent="0.35">
      <c r="AJ8512" s="213"/>
    </row>
    <row r="8513" spans="36:36" x14ac:dyDescent="0.35">
      <c r="AJ8513" s="213"/>
    </row>
    <row r="8514" spans="36:36" x14ac:dyDescent="0.35">
      <c r="AJ8514" s="213"/>
    </row>
    <row r="8515" spans="36:36" x14ac:dyDescent="0.35">
      <c r="AJ8515" s="213"/>
    </row>
    <row r="8516" spans="36:36" x14ac:dyDescent="0.35">
      <c r="AJ8516" s="213"/>
    </row>
    <row r="8517" spans="36:36" x14ac:dyDescent="0.35">
      <c r="AJ8517" s="213"/>
    </row>
    <row r="8518" spans="36:36" x14ac:dyDescent="0.35">
      <c r="AJ8518" s="213"/>
    </row>
    <row r="8519" spans="36:36" x14ac:dyDescent="0.35">
      <c r="AJ8519" s="213"/>
    </row>
    <row r="8520" spans="36:36" x14ac:dyDescent="0.35">
      <c r="AJ8520" s="213"/>
    </row>
    <row r="8521" spans="36:36" x14ac:dyDescent="0.35">
      <c r="AJ8521" s="213"/>
    </row>
    <row r="8522" spans="36:36" x14ac:dyDescent="0.35">
      <c r="AJ8522" s="213"/>
    </row>
    <row r="8523" spans="36:36" x14ac:dyDescent="0.35">
      <c r="AJ8523" s="213"/>
    </row>
    <row r="8524" spans="36:36" x14ac:dyDescent="0.35">
      <c r="AJ8524" s="213"/>
    </row>
    <row r="8525" spans="36:36" x14ac:dyDescent="0.35">
      <c r="AJ8525" s="213"/>
    </row>
    <row r="8526" spans="36:36" x14ac:dyDescent="0.35">
      <c r="AJ8526" s="213"/>
    </row>
    <row r="8527" spans="36:36" x14ac:dyDescent="0.35">
      <c r="AJ8527" s="213"/>
    </row>
    <row r="8528" spans="36:36" x14ac:dyDescent="0.35">
      <c r="AJ8528" s="213"/>
    </row>
    <row r="8529" spans="36:36" x14ac:dyDescent="0.35">
      <c r="AJ8529" s="213"/>
    </row>
    <row r="8530" spans="36:36" x14ac:dyDescent="0.35">
      <c r="AJ8530" s="213"/>
    </row>
    <row r="8531" spans="36:36" x14ac:dyDescent="0.35">
      <c r="AJ8531" s="213"/>
    </row>
    <row r="8532" spans="36:36" x14ac:dyDescent="0.35">
      <c r="AJ8532" s="213"/>
    </row>
    <row r="8533" spans="36:36" x14ac:dyDescent="0.35">
      <c r="AJ8533" s="213"/>
    </row>
    <row r="8534" spans="36:36" x14ac:dyDescent="0.35">
      <c r="AJ8534" s="213"/>
    </row>
    <row r="8535" spans="36:36" x14ac:dyDescent="0.35">
      <c r="AJ8535" s="213"/>
    </row>
    <row r="8536" spans="36:36" x14ac:dyDescent="0.35">
      <c r="AJ8536" s="213"/>
    </row>
    <row r="8537" spans="36:36" x14ac:dyDescent="0.35">
      <c r="AJ8537" s="213"/>
    </row>
    <row r="8538" spans="36:36" x14ac:dyDescent="0.35">
      <c r="AJ8538" s="213"/>
    </row>
    <row r="8539" spans="36:36" x14ac:dyDescent="0.35">
      <c r="AJ8539" s="213"/>
    </row>
    <row r="8540" spans="36:36" x14ac:dyDescent="0.35">
      <c r="AJ8540" s="213"/>
    </row>
    <row r="8541" spans="36:36" x14ac:dyDescent="0.35">
      <c r="AJ8541" s="213"/>
    </row>
    <row r="8542" spans="36:36" x14ac:dyDescent="0.35">
      <c r="AJ8542" s="213"/>
    </row>
    <row r="8543" spans="36:36" x14ac:dyDescent="0.35">
      <c r="AJ8543" s="213"/>
    </row>
    <row r="8544" spans="36:36" x14ac:dyDescent="0.35">
      <c r="AJ8544" s="213"/>
    </row>
    <row r="8545" spans="36:36" x14ac:dyDescent="0.35">
      <c r="AJ8545" s="213"/>
    </row>
    <row r="8546" spans="36:36" x14ac:dyDescent="0.35">
      <c r="AJ8546" s="213"/>
    </row>
    <row r="8547" spans="36:36" x14ac:dyDescent="0.35">
      <c r="AJ8547" s="213"/>
    </row>
    <row r="8548" spans="36:36" x14ac:dyDescent="0.35">
      <c r="AJ8548" s="213"/>
    </row>
    <row r="8549" spans="36:36" x14ac:dyDescent="0.35">
      <c r="AJ8549" s="213"/>
    </row>
    <row r="8550" spans="36:36" x14ac:dyDescent="0.35">
      <c r="AJ8550" s="213"/>
    </row>
    <row r="8551" spans="36:36" x14ac:dyDescent="0.35">
      <c r="AJ8551" s="213"/>
    </row>
    <row r="8552" spans="36:36" x14ac:dyDescent="0.35">
      <c r="AJ8552" s="213"/>
    </row>
    <row r="8553" spans="36:36" x14ac:dyDescent="0.35">
      <c r="AJ8553" s="213"/>
    </row>
    <row r="8554" spans="36:36" x14ac:dyDescent="0.35">
      <c r="AJ8554" s="213"/>
    </row>
    <row r="8555" spans="36:36" x14ac:dyDescent="0.35">
      <c r="AJ8555" s="213"/>
    </row>
    <row r="8556" spans="36:36" x14ac:dyDescent="0.35">
      <c r="AJ8556" s="213"/>
    </row>
    <row r="8557" spans="36:36" x14ac:dyDescent="0.35">
      <c r="AJ8557" s="213"/>
    </row>
    <row r="8558" spans="36:36" x14ac:dyDescent="0.35">
      <c r="AJ8558" s="213"/>
    </row>
    <row r="8559" spans="36:36" x14ac:dyDescent="0.35">
      <c r="AJ8559" s="213"/>
    </row>
    <row r="8560" spans="36:36" x14ac:dyDescent="0.35">
      <c r="AJ8560" s="213"/>
    </row>
    <row r="8561" spans="36:36" x14ac:dyDescent="0.35">
      <c r="AJ8561" s="213"/>
    </row>
    <row r="8562" spans="36:36" x14ac:dyDescent="0.35">
      <c r="AJ8562" s="213"/>
    </row>
    <row r="8563" spans="36:36" x14ac:dyDescent="0.35">
      <c r="AJ8563" s="213"/>
    </row>
    <row r="8564" spans="36:36" x14ac:dyDescent="0.35">
      <c r="AJ8564" s="213"/>
    </row>
    <row r="8565" spans="36:36" x14ac:dyDescent="0.35">
      <c r="AJ8565" s="213"/>
    </row>
    <row r="8566" spans="36:36" x14ac:dyDescent="0.35">
      <c r="AJ8566" s="213"/>
    </row>
    <row r="8567" spans="36:36" x14ac:dyDescent="0.35">
      <c r="AJ8567" s="213"/>
    </row>
    <row r="8568" spans="36:36" x14ac:dyDescent="0.35">
      <c r="AJ8568" s="213"/>
    </row>
    <row r="8569" spans="36:36" x14ac:dyDescent="0.35">
      <c r="AJ8569" s="213"/>
    </row>
    <row r="8570" spans="36:36" x14ac:dyDescent="0.35">
      <c r="AJ8570" s="213"/>
    </row>
    <row r="8571" spans="36:36" x14ac:dyDescent="0.35">
      <c r="AJ8571" s="213"/>
    </row>
    <row r="8572" spans="36:36" x14ac:dyDescent="0.35">
      <c r="AJ8572" s="213"/>
    </row>
    <row r="8573" spans="36:36" x14ac:dyDescent="0.35">
      <c r="AJ8573" s="213"/>
    </row>
    <row r="8574" spans="36:36" x14ac:dyDescent="0.35">
      <c r="AJ8574" s="213"/>
    </row>
    <row r="8575" spans="36:36" x14ac:dyDescent="0.35">
      <c r="AJ8575" s="213"/>
    </row>
    <row r="8576" spans="36:36" x14ac:dyDescent="0.35">
      <c r="AJ8576" s="213"/>
    </row>
    <row r="8577" spans="36:36" x14ac:dyDescent="0.35">
      <c r="AJ8577" s="213"/>
    </row>
    <row r="8578" spans="36:36" x14ac:dyDescent="0.35">
      <c r="AJ8578" s="213"/>
    </row>
    <row r="8579" spans="36:36" x14ac:dyDescent="0.35">
      <c r="AJ8579" s="213"/>
    </row>
    <row r="8580" spans="36:36" x14ac:dyDescent="0.35">
      <c r="AJ8580" s="213"/>
    </row>
    <row r="8581" spans="36:36" x14ac:dyDescent="0.35">
      <c r="AJ8581" s="213"/>
    </row>
    <row r="8582" spans="36:36" x14ac:dyDescent="0.35">
      <c r="AJ8582" s="213"/>
    </row>
    <row r="8583" spans="36:36" x14ac:dyDescent="0.35">
      <c r="AJ8583" s="213"/>
    </row>
    <row r="8584" spans="36:36" x14ac:dyDescent="0.35">
      <c r="AJ8584" s="213"/>
    </row>
    <row r="8585" spans="36:36" x14ac:dyDescent="0.35">
      <c r="AJ8585" s="213"/>
    </row>
    <row r="8586" spans="36:36" x14ac:dyDescent="0.35">
      <c r="AJ8586" s="213"/>
    </row>
    <row r="8587" spans="36:36" x14ac:dyDescent="0.35">
      <c r="AJ8587" s="213"/>
    </row>
    <row r="8588" spans="36:36" x14ac:dyDescent="0.35">
      <c r="AJ8588" s="213"/>
    </row>
    <row r="8589" spans="36:36" x14ac:dyDescent="0.35">
      <c r="AJ8589" s="213"/>
    </row>
    <row r="8590" spans="36:36" x14ac:dyDescent="0.35">
      <c r="AJ8590" s="213"/>
    </row>
    <row r="8591" spans="36:36" x14ac:dyDescent="0.35">
      <c r="AJ8591" s="213"/>
    </row>
    <row r="8592" spans="36:36" x14ac:dyDescent="0.35">
      <c r="AJ8592" s="213"/>
    </row>
    <row r="8593" spans="36:36" x14ac:dyDescent="0.35">
      <c r="AJ8593" s="213"/>
    </row>
    <row r="8594" spans="36:36" x14ac:dyDescent="0.35">
      <c r="AJ8594" s="213"/>
    </row>
    <row r="8595" spans="36:36" x14ac:dyDescent="0.35">
      <c r="AJ8595" s="213"/>
    </row>
    <row r="8596" spans="36:36" x14ac:dyDescent="0.35">
      <c r="AJ8596" s="213"/>
    </row>
    <row r="8597" spans="36:36" x14ac:dyDescent="0.35">
      <c r="AJ8597" s="213"/>
    </row>
    <row r="8598" spans="36:36" x14ac:dyDescent="0.35">
      <c r="AJ8598" s="213"/>
    </row>
    <row r="8599" spans="36:36" x14ac:dyDescent="0.35">
      <c r="AJ8599" s="213"/>
    </row>
    <row r="8600" spans="36:36" x14ac:dyDescent="0.35">
      <c r="AJ8600" s="213"/>
    </row>
    <row r="8601" spans="36:36" x14ac:dyDescent="0.35">
      <c r="AJ8601" s="213"/>
    </row>
    <row r="8602" spans="36:36" x14ac:dyDescent="0.35">
      <c r="AJ8602" s="213"/>
    </row>
    <row r="8603" spans="36:36" x14ac:dyDescent="0.35">
      <c r="AJ8603" s="213"/>
    </row>
    <row r="8604" spans="36:36" x14ac:dyDescent="0.35">
      <c r="AJ8604" s="213"/>
    </row>
    <row r="8605" spans="36:36" x14ac:dyDescent="0.35">
      <c r="AJ8605" s="213"/>
    </row>
    <row r="8606" spans="36:36" x14ac:dyDescent="0.35">
      <c r="AJ8606" s="213"/>
    </row>
    <row r="8607" spans="36:36" x14ac:dyDescent="0.35">
      <c r="AJ8607" s="213"/>
    </row>
    <row r="8608" spans="36:36" x14ac:dyDescent="0.35">
      <c r="AJ8608" s="213"/>
    </row>
    <row r="8609" spans="36:36" x14ac:dyDescent="0.35">
      <c r="AJ8609" s="213"/>
    </row>
    <row r="8610" spans="36:36" x14ac:dyDescent="0.35">
      <c r="AJ8610" s="213"/>
    </row>
    <row r="8611" spans="36:36" x14ac:dyDescent="0.35">
      <c r="AJ8611" s="213"/>
    </row>
    <row r="8612" spans="36:36" x14ac:dyDescent="0.35">
      <c r="AJ8612" s="213"/>
    </row>
    <row r="8613" spans="36:36" x14ac:dyDescent="0.35">
      <c r="AJ8613" s="213"/>
    </row>
    <row r="8614" spans="36:36" x14ac:dyDescent="0.35">
      <c r="AJ8614" s="213"/>
    </row>
    <row r="8615" spans="36:36" x14ac:dyDescent="0.35">
      <c r="AJ8615" s="213"/>
    </row>
    <row r="8616" spans="36:36" x14ac:dyDescent="0.35">
      <c r="AJ8616" s="213"/>
    </row>
    <row r="8617" spans="36:36" x14ac:dyDescent="0.35">
      <c r="AJ8617" s="213"/>
    </row>
    <row r="8618" spans="36:36" x14ac:dyDescent="0.35">
      <c r="AJ8618" s="213"/>
    </row>
    <row r="8619" spans="36:36" x14ac:dyDescent="0.35">
      <c r="AJ8619" s="213"/>
    </row>
    <row r="8620" spans="36:36" x14ac:dyDescent="0.35">
      <c r="AJ8620" s="213"/>
    </row>
    <row r="8621" spans="36:36" x14ac:dyDescent="0.35">
      <c r="AJ8621" s="213"/>
    </row>
    <row r="8622" spans="36:36" x14ac:dyDescent="0.35">
      <c r="AJ8622" s="213"/>
    </row>
    <row r="8623" spans="36:36" x14ac:dyDescent="0.35">
      <c r="AJ8623" s="213"/>
    </row>
    <row r="8624" spans="36:36" x14ac:dyDescent="0.35">
      <c r="AJ8624" s="213"/>
    </row>
    <row r="8625" spans="36:36" x14ac:dyDescent="0.35">
      <c r="AJ8625" s="213"/>
    </row>
    <row r="8626" spans="36:36" x14ac:dyDescent="0.35">
      <c r="AJ8626" s="213"/>
    </row>
    <row r="8627" spans="36:36" x14ac:dyDescent="0.35">
      <c r="AJ8627" s="213"/>
    </row>
    <row r="8628" spans="36:36" x14ac:dyDescent="0.35">
      <c r="AJ8628" s="213"/>
    </row>
    <row r="8629" spans="36:36" x14ac:dyDescent="0.35">
      <c r="AJ8629" s="213"/>
    </row>
    <row r="8630" spans="36:36" x14ac:dyDescent="0.35">
      <c r="AJ8630" s="213"/>
    </row>
    <row r="8631" spans="36:36" x14ac:dyDescent="0.35">
      <c r="AJ8631" s="213"/>
    </row>
    <row r="8632" spans="36:36" x14ac:dyDescent="0.35">
      <c r="AJ8632" s="213"/>
    </row>
    <row r="8633" spans="36:36" x14ac:dyDescent="0.35">
      <c r="AJ8633" s="213"/>
    </row>
    <row r="8634" spans="36:36" x14ac:dyDescent="0.35">
      <c r="AJ8634" s="213"/>
    </row>
    <row r="8635" spans="36:36" x14ac:dyDescent="0.35">
      <c r="AJ8635" s="213"/>
    </row>
    <row r="8636" spans="36:36" x14ac:dyDescent="0.35">
      <c r="AJ8636" s="213"/>
    </row>
    <row r="8637" spans="36:36" x14ac:dyDescent="0.35">
      <c r="AJ8637" s="213"/>
    </row>
    <row r="8638" spans="36:36" x14ac:dyDescent="0.35">
      <c r="AJ8638" s="213"/>
    </row>
    <row r="8639" spans="36:36" x14ac:dyDescent="0.35">
      <c r="AJ8639" s="213"/>
    </row>
    <row r="8640" spans="36:36" x14ac:dyDescent="0.35">
      <c r="AJ8640" s="213"/>
    </row>
    <row r="8641" spans="36:36" x14ac:dyDescent="0.35">
      <c r="AJ8641" s="213"/>
    </row>
    <row r="8642" spans="36:36" x14ac:dyDescent="0.35">
      <c r="AJ8642" s="213"/>
    </row>
    <row r="8643" spans="36:36" x14ac:dyDescent="0.35">
      <c r="AJ8643" s="213"/>
    </row>
    <row r="8644" spans="36:36" x14ac:dyDescent="0.35">
      <c r="AJ8644" s="213"/>
    </row>
    <row r="8645" spans="36:36" x14ac:dyDescent="0.35">
      <c r="AJ8645" s="213"/>
    </row>
    <row r="8646" spans="36:36" x14ac:dyDescent="0.35">
      <c r="AJ8646" s="213"/>
    </row>
    <row r="8647" spans="36:36" x14ac:dyDescent="0.35">
      <c r="AJ8647" s="213"/>
    </row>
    <row r="8648" spans="36:36" x14ac:dyDescent="0.35">
      <c r="AJ8648" s="213"/>
    </row>
    <row r="8649" spans="36:36" x14ac:dyDescent="0.35">
      <c r="AJ8649" s="213"/>
    </row>
    <row r="8650" spans="36:36" x14ac:dyDescent="0.35">
      <c r="AJ8650" s="213"/>
    </row>
    <row r="8651" spans="36:36" x14ac:dyDescent="0.35">
      <c r="AJ8651" s="213"/>
    </row>
    <row r="8652" spans="36:36" x14ac:dyDescent="0.35">
      <c r="AJ8652" s="213"/>
    </row>
    <row r="8653" spans="36:36" x14ac:dyDescent="0.35">
      <c r="AJ8653" s="213"/>
    </row>
    <row r="8654" spans="36:36" x14ac:dyDescent="0.35">
      <c r="AJ8654" s="213"/>
    </row>
    <row r="8655" spans="36:36" x14ac:dyDescent="0.35">
      <c r="AJ8655" s="213"/>
    </row>
    <row r="8656" spans="36:36" x14ac:dyDescent="0.35">
      <c r="AJ8656" s="213"/>
    </row>
    <row r="8657" spans="36:36" x14ac:dyDescent="0.35">
      <c r="AJ8657" s="213"/>
    </row>
    <row r="8658" spans="36:36" x14ac:dyDescent="0.35">
      <c r="AJ8658" s="213"/>
    </row>
    <row r="8659" spans="36:36" x14ac:dyDescent="0.35">
      <c r="AJ8659" s="213"/>
    </row>
    <row r="8660" spans="36:36" x14ac:dyDescent="0.35">
      <c r="AJ8660" s="213"/>
    </row>
    <row r="8661" spans="36:36" x14ac:dyDescent="0.35">
      <c r="AJ8661" s="213"/>
    </row>
    <row r="8662" spans="36:36" x14ac:dyDescent="0.35">
      <c r="AJ8662" s="213"/>
    </row>
    <row r="8663" spans="36:36" x14ac:dyDescent="0.35">
      <c r="AJ8663" s="213"/>
    </row>
    <row r="8664" spans="36:36" x14ac:dyDescent="0.35">
      <c r="AJ8664" s="213"/>
    </row>
    <row r="8665" spans="36:36" x14ac:dyDescent="0.35">
      <c r="AJ8665" s="213"/>
    </row>
    <row r="8666" spans="36:36" x14ac:dyDescent="0.35">
      <c r="AJ8666" s="213"/>
    </row>
    <row r="8667" spans="36:36" x14ac:dyDescent="0.35">
      <c r="AJ8667" s="213"/>
    </row>
    <row r="8668" spans="36:36" x14ac:dyDescent="0.35">
      <c r="AJ8668" s="213"/>
    </row>
    <row r="8669" spans="36:36" x14ac:dyDescent="0.35">
      <c r="AJ8669" s="213"/>
    </row>
    <row r="8670" spans="36:36" x14ac:dyDescent="0.35">
      <c r="AJ8670" s="213"/>
    </row>
    <row r="8671" spans="36:36" x14ac:dyDescent="0.35">
      <c r="AJ8671" s="213"/>
    </row>
    <row r="8672" spans="36:36" x14ac:dyDescent="0.35">
      <c r="AJ8672" s="213"/>
    </row>
    <row r="8673" spans="36:36" x14ac:dyDescent="0.35">
      <c r="AJ8673" s="213"/>
    </row>
    <row r="8674" spans="36:36" x14ac:dyDescent="0.35">
      <c r="AJ8674" s="213"/>
    </row>
    <row r="8675" spans="36:36" x14ac:dyDescent="0.35">
      <c r="AJ8675" s="213"/>
    </row>
    <row r="8676" spans="36:36" x14ac:dyDescent="0.35">
      <c r="AJ8676" s="213"/>
    </row>
    <row r="8677" spans="36:36" x14ac:dyDescent="0.35">
      <c r="AJ8677" s="213"/>
    </row>
    <row r="8678" spans="36:36" x14ac:dyDescent="0.35">
      <c r="AJ8678" s="213"/>
    </row>
    <row r="8679" spans="36:36" x14ac:dyDescent="0.35">
      <c r="AJ8679" s="213"/>
    </row>
    <row r="8680" spans="36:36" x14ac:dyDescent="0.35">
      <c r="AJ8680" s="213"/>
    </row>
    <row r="8681" spans="36:36" x14ac:dyDescent="0.35">
      <c r="AJ8681" s="213"/>
    </row>
    <row r="8682" spans="36:36" x14ac:dyDescent="0.35">
      <c r="AJ8682" s="213"/>
    </row>
    <row r="8683" spans="36:36" x14ac:dyDescent="0.35">
      <c r="AJ8683" s="213"/>
    </row>
    <row r="8684" spans="36:36" x14ac:dyDescent="0.35">
      <c r="AJ8684" s="213"/>
    </row>
    <row r="8685" spans="36:36" x14ac:dyDescent="0.35">
      <c r="AJ8685" s="213"/>
    </row>
    <row r="8686" spans="36:36" x14ac:dyDescent="0.35">
      <c r="AJ8686" s="213"/>
    </row>
    <row r="8687" spans="36:36" x14ac:dyDescent="0.35">
      <c r="AJ8687" s="213"/>
    </row>
    <row r="8688" spans="36:36" x14ac:dyDescent="0.35">
      <c r="AJ8688" s="213"/>
    </row>
    <row r="8689" spans="36:36" x14ac:dyDescent="0.35">
      <c r="AJ8689" s="213"/>
    </row>
    <row r="8690" spans="36:36" x14ac:dyDescent="0.35">
      <c r="AJ8690" s="213"/>
    </row>
    <row r="8691" spans="36:36" x14ac:dyDescent="0.35">
      <c r="AJ8691" s="213"/>
    </row>
    <row r="8692" spans="36:36" x14ac:dyDescent="0.35">
      <c r="AJ8692" s="213"/>
    </row>
    <row r="8693" spans="36:36" x14ac:dyDescent="0.35">
      <c r="AJ8693" s="213"/>
    </row>
    <row r="8694" spans="36:36" x14ac:dyDescent="0.35">
      <c r="AJ8694" s="213"/>
    </row>
    <row r="8695" spans="36:36" x14ac:dyDescent="0.35">
      <c r="AJ8695" s="213"/>
    </row>
    <row r="8696" spans="36:36" x14ac:dyDescent="0.35">
      <c r="AJ8696" s="213"/>
    </row>
    <row r="8697" spans="36:36" x14ac:dyDescent="0.35">
      <c r="AJ8697" s="213"/>
    </row>
    <row r="8698" spans="36:36" x14ac:dyDescent="0.35">
      <c r="AJ8698" s="213"/>
    </row>
    <row r="8699" spans="36:36" x14ac:dyDescent="0.35">
      <c r="AJ8699" s="213"/>
    </row>
    <row r="8700" spans="36:36" x14ac:dyDescent="0.35">
      <c r="AJ8700" s="213"/>
    </row>
    <row r="8701" spans="36:36" x14ac:dyDescent="0.35">
      <c r="AJ8701" s="213"/>
    </row>
    <row r="8702" spans="36:36" x14ac:dyDescent="0.35">
      <c r="AJ8702" s="213"/>
    </row>
    <row r="8703" spans="36:36" x14ac:dyDescent="0.35">
      <c r="AJ8703" s="213"/>
    </row>
    <row r="8704" spans="36:36" x14ac:dyDescent="0.35">
      <c r="AJ8704" s="213"/>
    </row>
    <row r="8705" spans="36:36" x14ac:dyDescent="0.35">
      <c r="AJ8705" s="213"/>
    </row>
    <row r="8706" spans="36:36" x14ac:dyDescent="0.35">
      <c r="AJ8706" s="213"/>
    </row>
    <row r="8707" spans="36:36" x14ac:dyDescent="0.35">
      <c r="AJ8707" s="213"/>
    </row>
    <row r="8708" spans="36:36" x14ac:dyDescent="0.35">
      <c r="AJ8708" s="213"/>
    </row>
    <row r="8709" spans="36:36" x14ac:dyDescent="0.35">
      <c r="AJ8709" s="213"/>
    </row>
    <row r="8710" spans="36:36" x14ac:dyDescent="0.35">
      <c r="AJ8710" s="213"/>
    </row>
    <row r="8711" spans="36:36" x14ac:dyDescent="0.35">
      <c r="AJ8711" s="213"/>
    </row>
    <row r="8712" spans="36:36" x14ac:dyDescent="0.35">
      <c r="AJ8712" s="213"/>
    </row>
    <row r="8713" spans="36:36" x14ac:dyDescent="0.35">
      <c r="AJ8713" s="213"/>
    </row>
    <row r="8714" spans="36:36" x14ac:dyDescent="0.35">
      <c r="AJ8714" s="213"/>
    </row>
    <row r="8715" spans="36:36" x14ac:dyDescent="0.35">
      <c r="AJ8715" s="213"/>
    </row>
    <row r="8716" spans="36:36" x14ac:dyDescent="0.35">
      <c r="AJ8716" s="213"/>
    </row>
    <row r="8717" spans="36:36" x14ac:dyDescent="0.35">
      <c r="AJ8717" s="213"/>
    </row>
    <row r="8718" spans="36:36" x14ac:dyDescent="0.35">
      <c r="AJ8718" s="213"/>
    </row>
    <row r="8719" spans="36:36" x14ac:dyDescent="0.35">
      <c r="AJ8719" s="213"/>
    </row>
    <row r="8720" spans="36:36" x14ac:dyDescent="0.35">
      <c r="AJ8720" s="213"/>
    </row>
    <row r="8721" spans="36:36" x14ac:dyDescent="0.35">
      <c r="AJ8721" s="213"/>
    </row>
    <row r="8722" spans="36:36" x14ac:dyDescent="0.35">
      <c r="AJ8722" s="213"/>
    </row>
    <row r="8723" spans="36:36" x14ac:dyDescent="0.35">
      <c r="AJ8723" s="213"/>
    </row>
    <row r="8724" spans="36:36" x14ac:dyDescent="0.35">
      <c r="AJ8724" s="213"/>
    </row>
    <row r="8725" spans="36:36" x14ac:dyDescent="0.35">
      <c r="AJ8725" s="213"/>
    </row>
    <row r="8726" spans="36:36" x14ac:dyDescent="0.35">
      <c r="AJ8726" s="213"/>
    </row>
    <row r="8727" spans="36:36" x14ac:dyDescent="0.35">
      <c r="AJ8727" s="213"/>
    </row>
    <row r="8728" spans="36:36" x14ac:dyDescent="0.35">
      <c r="AJ8728" s="213"/>
    </row>
    <row r="8729" spans="36:36" x14ac:dyDescent="0.35">
      <c r="AJ8729" s="213"/>
    </row>
    <row r="8730" spans="36:36" x14ac:dyDescent="0.35">
      <c r="AJ8730" s="213"/>
    </row>
    <row r="8731" spans="36:36" x14ac:dyDescent="0.35">
      <c r="AJ8731" s="213"/>
    </row>
    <row r="8732" spans="36:36" x14ac:dyDescent="0.35">
      <c r="AJ8732" s="213"/>
    </row>
    <row r="8733" spans="36:36" x14ac:dyDescent="0.35">
      <c r="AJ8733" s="213"/>
    </row>
    <row r="8734" spans="36:36" x14ac:dyDescent="0.35">
      <c r="AJ8734" s="213"/>
    </row>
    <row r="8735" spans="36:36" x14ac:dyDescent="0.35">
      <c r="AJ8735" s="213"/>
    </row>
    <row r="8736" spans="36:36" x14ac:dyDescent="0.35">
      <c r="AJ8736" s="213"/>
    </row>
    <row r="8737" spans="36:36" x14ac:dyDescent="0.35">
      <c r="AJ8737" s="213"/>
    </row>
    <row r="8738" spans="36:36" x14ac:dyDescent="0.35">
      <c r="AJ8738" s="213"/>
    </row>
    <row r="8739" spans="36:36" x14ac:dyDescent="0.35">
      <c r="AJ8739" s="213"/>
    </row>
    <row r="8740" spans="36:36" x14ac:dyDescent="0.35">
      <c r="AJ8740" s="213"/>
    </row>
    <row r="8741" spans="36:36" x14ac:dyDescent="0.35">
      <c r="AJ8741" s="213"/>
    </row>
    <row r="8742" spans="36:36" x14ac:dyDescent="0.35">
      <c r="AJ8742" s="213"/>
    </row>
    <row r="8743" spans="36:36" x14ac:dyDescent="0.35">
      <c r="AJ8743" s="213"/>
    </row>
    <row r="8744" spans="36:36" x14ac:dyDescent="0.35">
      <c r="AJ8744" s="213"/>
    </row>
    <row r="8745" spans="36:36" x14ac:dyDescent="0.35">
      <c r="AJ8745" s="213"/>
    </row>
    <row r="8746" spans="36:36" x14ac:dyDescent="0.35">
      <c r="AJ8746" s="213"/>
    </row>
    <row r="8747" spans="36:36" x14ac:dyDescent="0.35">
      <c r="AJ8747" s="213"/>
    </row>
    <row r="8748" spans="36:36" x14ac:dyDescent="0.35">
      <c r="AJ8748" s="213"/>
    </row>
    <row r="8749" spans="36:36" x14ac:dyDescent="0.35">
      <c r="AJ8749" s="213"/>
    </row>
    <row r="8750" spans="36:36" x14ac:dyDescent="0.35">
      <c r="AJ8750" s="213"/>
    </row>
    <row r="8751" spans="36:36" x14ac:dyDescent="0.35">
      <c r="AJ8751" s="213"/>
    </row>
    <row r="8752" spans="36:36" x14ac:dyDescent="0.35">
      <c r="AJ8752" s="213"/>
    </row>
    <row r="8753" spans="36:36" x14ac:dyDescent="0.35">
      <c r="AJ8753" s="213"/>
    </row>
    <row r="8754" spans="36:36" x14ac:dyDescent="0.35">
      <c r="AJ8754" s="213"/>
    </row>
    <row r="8755" spans="36:36" x14ac:dyDescent="0.35">
      <c r="AJ8755" s="213"/>
    </row>
    <row r="8756" spans="36:36" x14ac:dyDescent="0.35">
      <c r="AJ8756" s="213"/>
    </row>
    <row r="8757" spans="36:36" x14ac:dyDescent="0.35">
      <c r="AJ8757" s="213"/>
    </row>
    <row r="8758" spans="36:36" x14ac:dyDescent="0.35">
      <c r="AJ8758" s="213"/>
    </row>
    <row r="8759" spans="36:36" x14ac:dyDescent="0.35">
      <c r="AJ8759" s="213"/>
    </row>
    <row r="8760" spans="36:36" x14ac:dyDescent="0.35">
      <c r="AJ8760" s="213"/>
    </row>
    <row r="8761" spans="36:36" x14ac:dyDescent="0.35">
      <c r="AJ8761" s="213"/>
    </row>
    <row r="8762" spans="36:36" x14ac:dyDescent="0.35">
      <c r="AJ8762" s="213"/>
    </row>
    <row r="8763" spans="36:36" x14ac:dyDescent="0.35">
      <c r="AJ8763" s="213"/>
    </row>
    <row r="8764" spans="36:36" x14ac:dyDescent="0.35">
      <c r="AJ8764" s="213"/>
    </row>
    <row r="8765" spans="36:36" x14ac:dyDescent="0.35">
      <c r="AJ8765" s="213"/>
    </row>
    <row r="8766" spans="36:36" x14ac:dyDescent="0.35">
      <c r="AJ8766" s="213"/>
    </row>
    <row r="8767" spans="36:36" x14ac:dyDescent="0.35">
      <c r="AJ8767" s="213"/>
    </row>
    <row r="8768" spans="36:36" x14ac:dyDescent="0.35">
      <c r="AJ8768" s="213"/>
    </row>
    <row r="8769" spans="36:36" x14ac:dyDescent="0.35">
      <c r="AJ8769" s="213"/>
    </row>
    <row r="8770" spans="36:36" x14ac:dyDescent="0.35">
      <c r="AJ8770" s="213"/>
    </row>
    <row r="8771" spans="36:36" x14ac:dyDescent="0.35">
      <c r="AJ8771" s="213"/>
    </row>
    <row r="8772" spans="36:36" x14ac:dyDescent="0.35">
      <c r="AJ8772" s="213"/>
    </row>
    <row r="8773" spans="36:36" x14ac:dyDescent="0.35">
      <c r="AJ8773" s="213"/>
    </row>
    <row r="8774" spans="36:36" x14ac:dyDescent="0.35">
      <c r="AJ8774" s="213"/>
    </row>
    <row r="8775" spans="36:36" x14ac:dyDescent="0.35">
      <c r="AJ8775" s="213"/>
    </row>
    <row r="8776" spans="36:36" x14ac:dyDescent="0.35">
      <c r="AJ8776" s="213"/>
    </row>
    <row r="8777" spans="36:36" x14ac:dyDescent="0.35">
      <c r="AJ8777" s="213"/>
    </row>
    <row r="8778" spans="36:36" x14ac:dyDescent="0.35">
      <c r="AJ8778" s="213"/>
    </row>
    <row r="8779" spans="36:36" x14ac:dyDescent="0.35">
      <c r="AJ8779" s="213"/>
    </row>
    <row r="8780" spans="36:36" x14ac:dyDescent="0.35">
      <c r="AJ8780" s="213"/>
    </row>
    <row r="8781" spans="36:36" x14ac:dyDescent="0.35">
      <c r="AJ8781" s="213"/>
    </row>
    <row r="8782" spans="36:36" x14ac:dyDescent="0.35">
      <c r="AJ8782" s="213"/>
    </row>
    <row r="8783" spans="36:36" x14ac:dyDescent="0.35">
      <c r="AJ8783" s="213"/>
    </row>
    <row r="8784" spans="36:36" x14ac:dyDescent="0.35">
      <c r="AJ8784" s="213"/>
    </row>
    <row r="8785" spans="36:36" x14ac:dyDescent="0.35">
      <c r="AJ8785" s="213"/>
    </row>
    <row r="8786" spans="36:36" x14ac:dyDescent="0.35">
      <c r="AJ8786" s="213"/>
    </row>
    <row r="8787" spans="36:36" x14ac:dyDescent="0.35">
      <c r="AJ8787" s="213"/>
    </row>
    <row r="8788" spans="36:36" x14ac:dyDescent="0.35">
      <c r="AJ8788" s="213"/>
    </row>
    <row r="8789" spans="36:36" x14ac:dyDescent="0.35">
      <c r="AJ8789" s="213"/>
    </row>
    <row r="8790" spans="36:36" x14ac:dyDescent="0.35">
      <c r="AJ8790" s="213"/>
    </row>
    <row r="8791" spans="36:36" x14ac:dyDescent="0.35">
      <c r="AJ8791" s="213"/>
    </row>
    <row r="8792" spans="36:36" x14ac:dyDescent="0.35">
      <c r="AJ8792" s="213"/>
    </row>
    <row r="8793" spans="36:36" x14ac:dyDescent="0.35">
      <c r="AJ8793" s="213"/>
    </row>
    <row r="8794" spans="36:36" x14ac:dyDescent="0.35">
      <c r="AJ8794" s="213"/>
    </row>
    <row r="8795" spans="36:36" x14ac:dyDescent="0.35">
      <c r="AJ8795" s="213"/>
    </row>
    <row r="8796" spans="36:36" x14ac:dyDescent="0.35">
      <c r="AJ8796" s="213"/>
    </row>
    <row r="8797" spans="36:36" x14ac:dyDescent="0.35">
      <c r="AJ8797" s="213"/>
    </row>
    <row r="8798" spans="36:36" x14ac:dyDescent="0.35">
      <c r="AJ8798" s="213"/>
    </row>
    <row r="8799" spans="36:36" x14ac:dyDescent="0.35">
      <c r="AJ8799" s="213"/>
    </row>
    <row r="8800" spans="36:36" x14ac:dyDescent="0.35">
      <c r="AJ8800" s="213"/>
    </row>
    <row r="8801" spans="36:36" x14ac:dyDescent="0.35">
      <c r="AJ8801" s="213"/>
    </row>
    <row r="8802" spans="36:36" x14ac:dyDescent="0.35">
      <c r="AJ8802" s="213"/>
    </row>
    <row r="8803" spans="36:36" x14ac:dyDescent="0.35">
      <c r="AJ8803" s="213"/>
    </row>
    <row r="8804" spans="36:36" x14ac:dyDescent="0.35">
      <c r="AJ8804" s="213"/>
    </row>
    <row r="8805" spans="36:36" x14ac:dyDescent="0.35">
      <c r="AJ8805" s="213"/>
    </row>
    <row r="8806" spans="36:36" x14ac:dyDescent="0.35">
      <c r="AJ8806" s="213"/>
    </row>
    <row r="8807" spans="36:36" x14ac:dyDescent="0.35">
      <c r="AJ8807" s="213"/>
    </row>
    <row r="8808" spans="36:36" x14ac:dyDescent="0.35">
      <c r="AJ8808" s="213"/>
    </row>
    <row r="8809" spans="36:36" x14ac:dyDescent="0.35">
      <c r="AJ8809" s="213"/>
    </row>
    <row r="8810" spans="36:36" x14ac:dyDescent="0.35">
      <c r="AJ8810" s="213"/>
    </row>
    <row r="8811" spans="36:36" x14ac:dyDescent="0.35">
      <c r="AJ8811" s="213"/>
    </row>
    <row r="8812" spans="36:36" x14ac:dyDescent="0.35">
      <c r="AJ8812" s="213"/>
    </row>
    <row r="8813" spans="36:36" x14ac:dyDescent="0.35">
      <c r="AJ8813" s="213"/>
    </row>
    <row r="8814" spans="36:36" x14ac:dyDescent="0.35">
      <c r="AJ8814" s="213"/>
    </row>
    <row r="8815" spans="36:36" x14ac:dyDescent="0.35">
      <c r="AJ8815" s="213"/>
    </row>
    <row r="8816" spans="36:36" x14ac:dyDescent="0.35">
      <c r="AJ8816" s="213"/>
    </row>
    <row r="8817" spans="36:36" x14ac:dyDescent="0.35">
      <c r="AJ8817" s="213"/>
    </row>
    <row r="8818" spans="36:36" x14ac:dyDescent="0.35">
      <c r="AJ8818" s="213"/>
    </row>
    <row r="8819" spans="36:36" x14ac:dyDescent="0.35">
      <c r="AJ8819" s="213"/>
    </row>
    <row r="8820" spans="36:36" x14ac:dyDescent="0.35">
      <c r="AJ8820" s="213"/>
    </row>
    <row r="8821" spans="36:36" x14ac:dyDescent="0.35">
      <c r="AJ8821" s="213"/>
    </row>
    <row r="8822" spans="36:36" x14ac:dyDescent="0.35">
      <c r="AJ8822" s="213"/>
    </row>
    <row r="8823" spans="36:36" x14ac:dyDescent="0.35">
      <c r="AJ8823" s="213"/>
    </row>
    <row r="8824" spans="36:36" x14ac:dyDescent="0.35">
      <c r="AJ8824" s="213"/>
    </row>
    <row r="8825" spans="36:36" x14ac:dyDescent="0.35">
      <c r="AJ8825" s="213"/>
    </row>
    <row r="8826" spans="36:36" x14ac:dyDescent="0.35">
      <c r="AJ8826" s="213"/>
    </row>
    <row r="8827" spans="36:36" x14ac:dyDescent="0.35">
      <c r="AJ8827" s="213"/>
    </row>
    <row r="8828" spans="36:36" x14ac:dyDescent="0.35">
      <c r="AJ8828" s="213"/>
    </row>
    <row r="8829" spans="36:36" x14ac:dyDescent="0.35">
      <c r="AJ8829" s="213"/>
    </row>
    <row r="8830" spans="36:36" x14ac:dyDescent="0.35">
      <c r="AJ8830" s="213"/>
    </row>
    <row r="8831" spans="36:36" x14ac:dyDescent="0.35">
      <c r="AJ8831" s="213"/>
    </row>
    <row r="8832" spans="36:36" x14ac:dyDescent="0.35">
      <c r="AJ8832" s="213"/>
    </row>
    <row r="8833" spans="36:36" x14ac:dyDescent="0.35">
      <c r="AJ8833" s="213"/>
    </row>
    <row r="8834" spans="36:36" x14ac:dyDescent="0.35">
      <c r="AJ8834" s="213"/>
    </row>
    <row r="8835" spans="36:36" x14ac:dyDescent="0.35">
      <c r="AJ8835" s="213"/>
    </row>
    <row r="8836" spans="36:36" x14ac:dyDescent="0.35">
      <c r="AJ8836" s="213"/>
    </row>
    <row r="8837" spans="36:36" x14ac:dyDescent="0.35">
      <c r="AJ8837" s="213"/>
    </row>
    <row r="8838" spans="36:36" x14ac:dyDescent="0.35">
      <c r="AJ8838" s="213"/>
    </row>
    <row r="8839" spans="36:36" x14ac:dyDescent="0.35">
      <c r="AJ8839" s="213"/>
    </row>
    <row r="8840" spans="36:36" x14ac:dyDescent="0.35">
      <c r="AJ8840" s="213"/>
    </row>
    <row r="8841" spans="36:36" x14ac:dyDescent="0.35">
      <c r="AJ8841" s="213"/>
    </row>
    <row r="8842" spans="36:36" x14ac:dyDescent="0.35">
      <c r="AJ8842" s="213"/>
    </row>
    <row r="8843" spans="36:36" x14ac:dyDescent="0.35">
      <c r="AJ8843" s="213"/>
    </row>
    <row r="8844" spans="36:36" x14ac:dyDescent="0.35">
      <c r="AJ8844" s="213"/>
    </row>
    <row r="8845" spans="36:36" x14ac:dyDescent="0.35">
      <c r="AJ8845" s="213"/>
    </row>
    <row r="8846" spans="36:36" x14ac:dyDescent="0.35">
      <c r="AJ8846" s="213"/>
    </row>
    <row r="8847" spans="36:36" x14ac:dyDescent="0.35">
      <c r="AJ8847" s="213"/>
    </row>
    <row r="8848" spans="36:36" x14ac:dyDescent="0.35">
      <c r="AJ8848" s="213"/>
    </row>
    <row r="8849" spans="36:36" x14ac:dyDescent="0.35">
      <c r="AJ8849" s="213"/>
    </row>
    <row r="8850" spans="36:36" x14ac:dyDescent="0.35">
      <c r="AJ8850" s="213"/>
    </row>
    <row r="8851" spans="36:36" x14ac:dyDescent="0.35">
      <c r="AJ8851" s="213"/>
    </row>
    <row r="8852" spans="36:36" x14ac:dyDescent="0.35">
      <c r="AJ8852" s="213"/>
    </row>
    <row r="8853" spans="36:36" x14ac:dyDescent="0.35">
      <c r="AJ8853" s="213"/>
    </row>
    <row r="8854" spans="36:36" x14ac:dyDescent="0.35">
      <c r="AJ8854" s="213"/>
    </row>
    <row r="8855" spans="36:36" x14ac:dyDescent="0.35">
      <c r="AJ8855" s="213"/>
    </row>
    <row r="8856" spans="36:36" x14ac:dyDescent="0.35">
      <c r="AJ8856" s="213"/>
    </row>
    <row r="8857" spans="36:36" x14ac:dyDescent="0.35">
      <c r="AJ8857" s="213"/>
    </row>
    <row r="8858" spans="36:36" x14ac:dyDescent="0.35">
      <c r="AJ8858" s="213"/>
    </row>
    <row r="8859" spans="36:36" x14ac:dyDescent="0.35">
      <c r="AJ8859" s="213"/>
    </row>
    <row r="8860" spans="36:36" x14ac:dyDescent="0.35">
      <c r="AJ8860" s="213"/>
    </row>
    <row r="8861" spans="36:36" x14ac:dyDescent="0.35">
      <c r="AJ8861" s="213"/>
    </row>
    <row r="8862" spans="36:36" x14ac:dyDescent="0.35">
      <c r="AJ8862" s="213"/>
    </row>
    <row r="8863" spans="36:36" x14ac:dyDescent="0.35">
      <c r="AJ8863" s="213"/>
    </row>
    <row r="8864" spans="36:36" x14ac:dyDescent="0.35">
      <c r="AJ8864" s="213"/>
    </row>
    <row r="8865" spans="36:36" x14ac:dyDescent="0.35">
      <c r="AJ8865" s="213"/>
    </row>
    <row r="8866" spans="36:36" x14ac:dyDescent="0.35">
      <c r="AJ8866" s="213"/>
    </row>
    <row r="8867" spans="36:36" x14ac:dyDescent="0.35">
      <c r="AJ8867" s="213"/>
    </row>
    <row r="8868" spans="36:36" x14ac:dyDescent="0.35">
      <c r="AJ8868" s="213"/>
    </row>
    <row r="8869" spans="36:36" x14ac:dyDescent="0.35">
      <c r="AJ8869" s="213"/>
    </row>
    <row r="8870" spans="36:36" x14ac:dyDescent="0.35">
      <c r="AJ8870" s="213"/>
    </row>
    <row r="8871" spans="36:36" x14ac:dyDescent="0.35">
      <c r="AJ8871" s="213"/>
    </row>
    <row r="8872" spans="36:36" x14ac:dyDescent="0.35">
      <c r="AJ8872" s="213"/>
    </row>
    <row r="8873" spans="36:36" x14ac:dyDescent="0.35">
      <c r="AJ8873" s="213"/>
    </row>
    <row r="8874" spans="36:36" x14ac:dyDescent="0.35">
      <c r="AJ8874" s="213"/>
    </row>
    <row r="8875" spans="36:36" x14ac:dyDescent="0.35">
      <c r="AJ8875" s="213"/>
    </row>
    <row r="8876" spans="36:36" x14ac:dyDescent="0.35">
      <c r="AJ8876" s="213"/>
    </row>
    <row r="8877" spans="36:36" x14ac:dyDescent="0.35">
      <c r="AJ8877" s="213"/>
    </row>
    <row r="8878" spans="36:36" x14ac:dyDescent="0.35">
      <c r="AJ8878" s="213"/>
    </row>
    <row r="8879" spans="36:36" x14ac:dyDescent="0.35">
      <c r="AJ8879" s="213"/>
    </row>
    <row r="8880" spans="36:36" x14ac:dyDescent="0.35">
      <c r="AJ8880" s="213"/>
    </row>
    <row r="8881" spans="36:36" x14ac:dyDescent="0.35">
      <c r="AJ8881" s="213"/>
    </row>
    <row r="8882" spans="36:36" x14ac:dyDescent="0.35">
      <c r="AJ8882" s="213"/>
    </row>
    <row r="8883" spans="36:36" x14ac:dyDescent="0.35">
      <c r="AJ8883" s="213"/>
    </row>
    <row r="8884" spans="36:36" x14ac:dyDescent="0.35">
      <c r="AJ8884" s="213"/>
    </row>
    <row r="8885" spans="36:36" x14ac:dyDescent="0.35">
      <c r="AJ8885" s="213"/>
    </row>
    <row r="8886" spans="36:36" x14ac:dyDescent="0.35">
      <c r="AJ8886" s="213"/>
    </row>
    <row r="8887" spans="36:36" x14ac:dyDescent="0.35">
      <c r="AJ8887" s="213"/>
    </row>
    <row r="8888" spans="36:36" x14ac:dyDescent="0.35">
      <c r="AJ8888" s="213"/>
    </row>
    <row r="8889" spans="36:36" x14ac:dyDescent="0.35">
      <c r="AJ8889" s="213"/>
    </row>
    <row r="8890" spans="36:36" x14ac:dyDescent="0.35">
      <c r="AJ8890" s="213"/>
    </row>
    <row r="8891" spans="36:36" x14ac:dyDescent="0.35">
      <c r="AJ8891" s="213"/>
    </row>
    <row r="8892" spans="36:36" x14ac:dyDescent="0.35">
      <c r="AJ8892" s="213"/>
    </row>
    <row r="8893" spans="36:36" x14ac:dyDescent="0.35">
      <c r="AJ8893" s="213"/>
    </row>
    <row r="8894" spans="36:36" x14ac:dyDescent="0.35">
      <c r="AJ8894" s="213"/>
    </row>
    <row r="8895" spans="36:36" x14ac:dyDescent="0.35">
      <c r="AJ8895" s="213"/>
    </row>
    <row r="8896" spans="36:36" x14ac:dyDescent="0.35">
      <c r="AJ8896" s="213"/>
    </row>
    <row r="8897" spans="36:36" x14ac:dyDescent="0.35">
      <c r="AJ8897" s="213"/>
    </row>
    <row r="8898" spans="36:36" x14ac:dyDescent="0.35">
      <c r="AJ8898" s="213"/>
    </row>
    <row r="8899" spans="36:36" x14ac:dyDescent="0.35">
      <c r="AJ8899" s="213"/>
    </row>
    <row r="8900" spans="36:36" x14ac:dyDescent="0.35">
      <c r="AJ8900" s="213"/>
    </row>
    <row r="8901" spans="36:36" x14ac:dyDescent="0.35">
      <c r="AJ8901" s="213"/>
    </row>
    <row r="8902" spans="36:36" x14ac:dyDescent="0.35">
      <c r="AJ8902" s="213"/>
    </row>
    <row r="8903" spans="36:36" x14ac:dyDescent="0.35">
      <c r="AJ8903" s="213"/>
    </row>
    <row r="8904" spans="36:36" x14ac:dyDescent="0.35">
      <c r="AJ8904" s="213"/>
    </row>
    <row r="8905" spans="36:36" x14ac:dyDescent="0.35">
      <c r="AJ8905" s="213"/>
    </row>
    <row r="8906" spans="36:36" x14ac:dyDescent="0.35">
      <c r="AJ8906" s="213"/>
    </row>
    <row r="8907" spans="36:36" x14ac:dyDescent="0.35">
      <c r="AJ8907" s="213"/>
    </row>
    <row r="8908" spans="36:36" x14ac:dyDescent="0.35">
      <c r="AJ8908" s="213"/>
    </row>
    <row r="8909" spans="36:36" x14ac:dyDescent="0.35">
      <c r="AJ8909" s="213"/>
    </row>
    <row r="8910" spans="36:36" x14ac:dyDescent="0.35">
      <c r="AJ8910" s="213"/>
    </row>
    <row r="8911" spans="36:36" x14ac:dyDescent="0.35">
      <c r="AJ8911" s="213"/>
    </row>
    <row r="8912" spans="36:36" x14ac:dyDescent="0.35">
      <c r="AJ8912" s="213"/>
    </row>
    <row r="8913" spans="36:36" x14ac:dyDescent="0.35">
      <c r="AJ8913" s="213"/>
    </row>
    <row r="8914" spans="36:36" x14ac:dyDescent="0.35">
      <c r="AJ8914" s="213"/>
    </row>
    <row r="8915" spans="36:36" x14ac:dyDescent="0.35">
      <c r="AJ8915" s="213"/>
    </row>
    <row r="8916" spans="36:36" x14ac:dyDescent="0.35">
      <c r="AJ8916" s="213"/>
    </row>
    <row r="8917" spans="36:36" x14ac:dyDescent="0.35">
      <c r="AJ8917" s="213"/>
    </row>
    <row r="8918" spans="36:36" x14ac:dyDescent="0.35">
      <c r="AJ8918" s="213"/>
    </row>
    <row r="8919" spans="36:36" x14ac:dyDescent="0.35">
      <c r="AJ8919" s="213"/>
    </row>
    <row r="8920" spans="36:36" x14ac:dyDescent="0.35">
      <c r="AJ8920" s="213"/>
    </row>
    <row r="8921" spans="36:36" x14ac:dyDescent="0.35">
      <c r="AJ8921" s="213"/>
    </row>
    <row r="8922" spans="36:36" x14ac:dyDescent="0.35">
      <c r="AJ8922" s="213"/>
    </row>
    <row r="8923" spans="36:36" x14ac:dyDescent="0.35">
      <c r="AJ8923" s="213"/>
    </row>
    <row r="8924" spans="36:36" x14ac:dyDescent="0.35">
      <c r="AJ8924" s="213"/>
    </row>
    <row r="8925" spans="36:36" x14ac:dyDescent="0.35">
      <c r="AJ8925" s="213"/>
    </row>
    <row r="8926" spans="36:36" x14ac:dyDescent="0.35">
      <c r="AJ8926" s="213"/>
    </row>
    <row r="8927" spans="36:36" x14ac:dyDescent="0.35">
      <c r="AJ8927" s="213"/>
    </row>
    <row r="8928" spans="36:36" x14ac:dyDescent="0.35">
      <c r="AJ8928" s="213"/>
    </row>
    <row r="8929" spans="36:36" x14ac:dyDescent="0.35">
      <c r="AJ8929" s="213"/>
    </row>
    <row r="8930" spans="36:36" x14ac:dyDescent="0.35">
      <c r="AJ8930" s="213"/>
    </row>
    <row r="8931" spans="36:36" x14ac:dyDescent="0.35">
      <c r="AJ8931" s="213"/>
    </row>
    <row r="8932" spans="36:36" x14ac:dyDescent="0.35">
      <c r="AJ8932" s="213"/>
    </row>
    <row r="8933" spans="36:36" x14ac:dyDescent="0.35">
      <c r="AJ8933" s="213"/>
    </row>
    <row r="8934" spans="36:36" x14ac:dyDescent="0.35">
      <c r="AJ8934" s="213"/>
    </row>
    <row r="8935" spans="36:36" x14ac:dyDescent="0.35">
      <c r="AJ8935" s="213"/>
    </row>
    <row r="8936" spans="36:36" x14ac:dyDescent="0.35">
      <c r="AJ8936" s="213"/>
    </row>
    <row r="8937" spans="36:36" x14ac:dyDescent="0.35">
      <c r="AJ8937" s="213"/>
    </row>
    <row r="8938" spans="36:36" x14ac:dyDescent="0.35">
      <c r="AJ8938" s="213"/>
    </row>
    <row r="8939" spans="36:36" x14ac:dyDescent="0.35">
      <c r="AJ8939" s="213"/>
    </row>
    <row r="8940" spans="36:36" x14ac:dyDescent="0.35">
      <c r="AJ8940" s="213"/>
    </row>
    <row r="8941" spans="36:36" x14ac:dyDescent="0.35">
      <c r="AJ8941" s="213"/>
    </row>
    <row r="8942" spans="36:36" x14ac:dyDescent="0.35">
      <c r="AJ8942" s="213"/>
    </row>
    <row r="8943" spans="36:36" x14ac:dyDescent="0.35">
      <c r="AJ8943" s="213"/>
    </row>
    <row r="8944" spans="36:36" x14ac:dyDescent="0.35">
      <c r="AJ8944" s="213"/>
    </row>
    <row r="8945" spans="36:36" x14ac:dyDescent="0.35">
      <c r="AJ8945" s="213"/>
    </row>
    <row r="8946" spans="36:36" x14ac:dyDescent="0.35">
      <c r="AJ8946" s="213"/>
    </row>
    <row r="8947" spans="36:36" x14ac:dyDescent="0.35">
      <c r="AJ8947" s="213"/>
    </row>
    <row r="8948" spans="36:36" x14ac:dyDescent="0.35">
      <c r="AJ8948" s="213"/>
    </row>
    <row r="8949" spans="36:36" x14ac:dyDescent="0.35">
      <c r="AJ8949" s="213"/>
    </row>
    <row r="8950" spans="36:36" x14ac:dyDescent="0.35">
      <c r="AJ8950" s="213"/>
    </row>
    <row r="8951" spans="36:36" x14ac:dyDescent="0.35">
      <c r="AJ8951" s="213"/>
    </row>
    <row r="8952" spans="36:36" x14ac:dyDescent="0.35">
      <c r="AJ8952" s="213"/>
    </row>
    <row r="8953" spans="36:36" x14ac:dyDescent="0.35">
      <c r="AJ8953" s="213"/>
    </row>
    <row r="8954" spans="36:36" x14ac:dyDescent="0.35">
      <c r="AJ8954" s="213"/>
    </row>
    <row r="8955" spans="36:36" x14ac:dyDescent="0.35">
      <c r="AJ8955" s="213"/>
    </row>
    <row r="8956" spans="36:36" x14ac:dyDescent="0.35">
      <c r="AJ8956" s="213"/>
    </row>
    <row r="8957" spans="36:36" x14ac:dyDescent="0.35">
      <c r="AJ8957" s="213"/>
    </row>
    <row r="8958" spans="36:36" x14ac:dyDescent="0.35">
      <c r="AJ8958" s="213"/>
    </row>
    <row r="8959" spans="36:36" x14ac:dyDescent="0.35">
      <c r="AJ8959" s="213"/>
    </row>
    <row r="8960" spans="36:36" x14ac:dyDescent="0.35">
      <c r="AJ8960" s="213"/>
    </row>
    <row r="8961" spans="36:36" x14ac:dyDescent="0.35">
      <c r="AJ8961" s="213"/>
    </row>
    <row r="8962" spans="36:36" x14ac:dyDescent="0.35">
      <c r="AJ8962" s="213"/>
    </row>
    <row r="8963" spans="36:36" x14ac:dyDescent="0.35">
      <c r="AJ8963" s="213"/>
    </row>
    <row r="8964" spans="36:36" x14ac:dyDescent="0.35">
      <c r="AJ8964" s="213"/>
    </row>
    <row r="8965" spans="36:36" x14ac:dyDescent="0.35">
      <c r="AJ8965" s="213"/>
    </row>
    <row r="8966" spans="36:36" x14ac:dyDescent="0.35">
      <c r="AJ8966" s="213"/>
    </row>
    <row r="8967" spans="36:36" x14ac:dyDescent="0.35">
      <c r="AJ8967" s="213"/>
    </row>
    <row r="8968" spans="36:36" x14ac:dyDescent="0.35">
      <c r="AJ8968" s="213"/>
    </row>
    <row r="8969" spans="36:36" x14ac:dyDescent="0.35">
      <c r="AJ8969" s="213"/>
    </row>
    <row r="8970" spans="36:36" x14ac:dyDescent="0.35">
      <c r="AJ8970" s="213"/>
    </row>
    <row r="8971" spans="36:36" x14ac:dyDescent="0.35">
      <c r="AJ8971" s="213"/>
    </row>
    <row r="8972" spans="36:36" x14ac:dyDescent="0.35">
      <c r="AJ8972" s="213"/>
    </row>
    <row r="8973" spans="36:36" x14ac:dyDescent="0.35">
      <c r="AJ8973" s="213"/>
    </row>
    <row r="8974" spans="36:36" x14ac:dyDescent="0.35">
      <c r="AJ8974" s="213"/>
    </row>
    <row r="8975" spans="36:36" x14ac:dyDescent="0.35">
      <c r="AJ8975" s="213"/>
    </row>
    <row r="8976" spans="36:36" x14ac:dyDescent="0.35">
      <c r="AJ8976" s="213"/>
    </row>
    <row r="8977" spans="36:36" x14ac:dyDescent="0.35">
      <c r="AJ8977" s="213"/>
    </row>
    <row r="8978" spans="36:36" x14ac:dyDescent="0.35">
      <c r="AJ8978" s="213"/>
    </row>
    <row r="8979" spans="36:36" x14ac:dyDescent="0.35">
      <c r="AJ8979" s="213"/>
    </row>
    <row r="8980" spans="36:36" x14ac:dyDescent="0.35">
      <c r="AJ8980" s="213"/>
    </row>
    <row r="8981" spans="36:36" x14ac:dyDescent="0.35">
      <c r="AJ8981" s="213"/>
    </row>
    <row r="8982" spans="36:36" x14ac:dyDescent="0.35">
      <c r="AJ8982" s="213"/>
    </row>
    <row r="8983" spans="36:36" x14ac:dyDescent="0.35">
      <c r="AJ8983" s="213"/>
    </row>
    <row r="8984" spans="36:36" x14ac:dyDescent="0.35">
      <c r="AJ8984" s="213"/>
    </row>
    <row r="8985" spans="36:36" x14ac:dyDescent="0.35">
      <c r="AJ8985" s="213"/>
    </row>
    <row r="8986" spans="36:36" x14ac:dyDescent="0.35">
      <c r="AJ8986" s="213"/>
    </row>
    <row r="8987" spans="36:36" x14ac:dyDescent="0.35">
      <c r="AJ8987" s="213"/>
    </row>
    <row r="8988" spans="36:36" x14ac:dyDescent="0.35">
      <c r="AJ8988" s="213"/>
    </row>
    <row r="8989" spans="36:36" x14ac:dyDescent="0.35">
      <c r="AJ8989" s="213"/>
    </row>
    <row r="8990" spans="36:36" x14ac:dyDescent="0.35">
      <c r="AJ8990" s="213"/>
    </row>
    <row r="8991" spans="36:36" x14ac:dyDescent="0.35">
      <c r="AJ8991" s="213"/>
    </row>
    <row r="8992" spans="36:36" x14ac:dyDescent="0.35">
      <c r="AJ8992" s="213"/>
    </row>
    <row r="8993" spans="36:36" x14ac:dyDescent="0.35">
      <c r="AJ8993" s="213"/>
    </row>
    <row r="8994" spans="36:36" x14ac:dyDescent="0.35">
      <c r="AJ8994" s="213"/>
    </row>
    <row r="8995" spans="36:36" x14ac:dyDescent="0.35">
      <c r="AJ8995" s="213"/>
    </row>
    <row r="8996" spans="36:36" x14ac:dyDescent="0.35">
      <c r="AJ8996" s="213"/>
    </row>
    <row r="8997" spans="36:36" x14ac:dyDescent="0.35">
      <c r="AJ8997" s="213"/>
    </row>
    <row r="8998" spans="36:36" x14ac:dyDescent="0.35">
      <c r="AJ8998" s="213"/>
    </row>
    <row r="8999" spans="36:36" x14ac:dyDescent="0.35">
      <c r="AJ8999" s="213"/>
    </row>
    <row r="9000" spans="36:36" x14ac:dyDescent="0.35">
      <c r="AJ9000" s="213"/>
    </row>
    <row r="9001" spans="36:36" x14ac:dyDescent="0.35">
      <c r="AJ9001" s="213"/>
    </row>
    <row r="9002" spans="36:36" x14ac:dyDescent="0.35">
      <c r="AJ9002" s="213"/>
    </row>
    <row r="9003" spans="36:36" x14ac:dyDescent="0.35">
      <c r="AJ9003" s="213"/>
    </row>
    <row r="9004" spans="36:36" x14ac:dyDescent="0.35">
      <c r="AJ9004" s="213"/>
    </row>
    <row r="9005" spans="36:36" x14ac:dyDescent="0.35">
      <c r="AJ9005" s="213"/>
    </row>
    <row r="9006" spans="36:36" x14ac:dyDescent="0.35">
      <c r="AJ9006" s="213"/>
    </row>
    <row r="9007" spans="36:36" x14ac:dyDescent="0.35">
      <c r="AJ9007" s="213"/>
    </row>
    <row r="9008" spans="36:36" x14ac:dyDescent="0.35">
      <c r="AJ9008" s="213"/>
    </row>
    <row r="9009" spans="36:36" x14ac:dyDescent="0.35">
      <c r="AJ9009" s="213"/>
    </row>
    <row r="9010" spans="36:36" x14ac:dyDescent="0.35">
      <c r="AJ9010" s="213"/>
    </row>
    <row r="9011" spans="36:36" x14ac:dyDescent="0.35">
      <c r="AJ9011" s="213"/>
    </row>
    <row r="9012" spans="36:36" x14ac:dyDescent="0.35">
      <c r="AJ9012" s="213"/>
    </row>
    <row r="9013" spans="36:36" x14ac:dyDescent="0.35">
      <c r="AJ9013" s="213"/>
    </row>
    <row r="9014" spans="36:36" x14ac:dyDescent="0.35">
      <c r="AJ9014" s="213"/>
    </row>
    <row r="9015" spans="36:36" x14ac:dyDescent="0.35">
      <c r="AJ9015" s="213"/>
    </row>
    <row r="9016" spans="36:36" x14ac:dyDescent="0.35">
      <c r="AJ9016" s="213"/>
    </row>
    <row r="9017" spans="36:36" x14ac:dyDescent="0.35">
      <c r="AJ9017" s="213"/>
    </row>
    <row r="9018" spans="36:36" x14ac:dyDescent="0.35">
      <c r="AJ9018" s="213"/>
    </row>
    <row r="9019" spans="36:36" x14ac:dyDescent="0.35">
      <c r="AJ9019" s="213"/>
    </row>
    <row r="9020" spans="36:36" x14ac:dyDescent="0.35">
      <c r="AJ9020" s="213"/>
    </row>
    <row r="9021" spans="36:36" x14ac:dyDescent="0.35">
      <c r="AJ9021" s="213"/>
    </row>
    <row r="9022" spans="36:36" x14ac:dyDescent="0.35">
      <c r="AJ9022" s="213"/>
    </row>
    <row r="9023" spans="36:36" x14ac:dyDescent="0.35">
      <c r="AJ9023" s="213"/>
    </row>
    <row r="9024" spans="36:36" x14ac:dyDescent="0.35">
      <c r="AJ9024" s="213"/>
    </row>
    <row r="9025" spans="36:36" x14ac:dyDescent="0.35">
      <c r="AJ9025" s="213"/>
    </row>
    <row r="9026" spans="36:36" x14ac:dyDescent="0.35">
      <c r="AJ9026" s="213"/>
    </row>
    <row r="9027" spans="36:36" x14ac:dyDescent="0.35">
      <c r="AJ9027" s="213"/>
    </row>
    <row r="9028" spans="36:36" x14ac:dyDescent="0.35">
      <c r="AJ9028" s="213"/>
    </row>
    <row r="9029" spans="36:36" x14ac:dyDescent="0.35">
      <c r="AJ9029" s="213"/>
    </row>
    <row r="9030" spans="36:36" x14ac:dyDescent="0.35">
      <c r="AJ9030" s="213"/>
    </row>
    <row r="9031" spans="36:36" x14ac:dyDescent="0.35">
      <c r="AJ9031" s="213"/>
    </row>
    <row r="9032" spans="36:36" x14ac:dyDescent="0.35">
      <c r="AJ9032" s="213"/>
    </row>
    <row r="9033" spans="36:36" x14ac:dyDescent="0.35">
      <c r="AJ9033" s="213"/>
    </row>
    <row r="9034" spans="36:36" x14ac:dyDescent="0.35">
      <c r="AJ9034" s="213"/>
    </row>
    <row r="9035" spans="36:36" x14ac:dyDescent="0.35">
      <c r="AJ9035" s="213"/>
    </row>
    <row r="9036" spans="36:36" x14ac:dyDescent="0.35">
      <c r="AJ9036" s="213"/>
    </row>
    <row r="9037" spans="36:36" x14ac:dyDescent="0.35">
      <c r="AJ9037" s="213"/>
    </row>
    <row r="9038" spans="36:36" x14ac:dyDescent="0.35">
      <c r="AJ9038" s="213"/>
    </row>
    <row r="9039" spans="36:36" x14ac:dyDescent="0.35">
      <c r="AJ9039" s="213"/>
    </row>
    <row r="9040" spans="36:36" x14ac:dyDescent="0.35">
      <c r="AJ9040" s="213"/>
    </row>
    <row r="9041" spans="36:36" x14ac:dyDescent="0.35">
      <c r="AJ9041" s="213"/>
    </row>
    <row r="9042" spans="36:36" x14ac:dyDescent="0.35">
      <c r="AJ9042" s="213"/>
    </row>
    <row r="9043" spans="36:36" x14ac:dyDescent="0.35">
      <c r="AJ9043" s="213"/>
    </row>
    <row r="9044" spans="36:36" x14ac:dyDescent="0.35">
      <c r="AJ9044" s="213"/>
    </row>
    <row r="9045" spans="36:36" x14ac:dyDescent="0.35">
      <c r="AJ9045" s="213"/>
    </row>
    <row r="9046" spans="36:36" x14ac:dyDescent="0.35">
      <c r="AJ9046" s="213"/>
    </row>
    <row r="9047" spans="36:36" x14ac:dyDescent="0.35">
      <c r="AJ9047" s="213"/>
    </row>
    <row r="9048" spans="36:36" x14ac:dyDescent="0.35">
      <c r="AJ9048" s="213"/>
    </row>
    <row r="9049" spans="36:36" x14ac:dyDescent="0.35">
      <c r="AJ9049" s="213"/>
    </row>
    <row r="9050" spans="36:36" x14ac:dyDescent="0.35">
      <c r="AJ9050" s="213"/>
    </row>
    <row r="9051" spans="36:36" x14ac:dyDescent="0.35">
      <c r="AJ9051" s="213"/>
    </row>
    <row r="9052" spans="36:36" x14ac:dyDescent="0.35">
      <c r="AJ9052" s="213"/>
    </row>
    <row r="9053" spans="36:36" x14ac:dyDescent="0.35">
      <c r="AJ9053" s="213"/>
    </row>
    <row r="9054" spans="36:36" x14ac:dyDescent="0.35">
      <c r="AJ9054" s="213"/>
    </row>
    <row r="9055" spans="36:36" x14ac:dyDescent="0.35">
      <c r="AJ9055" s="213"/>
    </row>
    <row r="9056" spans="36:36" x14ac:dyDescent="0.35">
      <c r="AJ9056" s="213"/>
    </row>
    <row r="9057" spans="36:36" x14ac:dyDescent="0.35">
      <c r="AJ9057" s="213"/>
    </row>
    <row r="9058" spans="36:36" x14ac:dyDescent="0.35">
      <c r="AJ9058" s="213"/>
    </row>
    <row r="9059" spans="36:36" x14ac:dyDescent="0.35">
      <c r="AJ9059" s="213"/>
    </row>
    <row r="9060" spans="36:36" x14ac:dyDescent="0.35">
      <c r="AJ9060" s="213"/>
    </row>
    <row r="9061" spans="36:36" x14ac:dyDescent="0.35">
      <c r="AJ9061" s="213"/>
    </row>
    <row r="9062" spans="36:36" x14ac:dyDescent="0.35">
      <c r="AJ9062" s="213"/>
    </row>
    <row r="9063" spans="36:36" x14ac:dyDescent="0.35">
      <c r="AJ9063" s="213"/>
    </row>
    <row r="9064" spans="36:36" x14ac:dyDescent="0.35">
      <c r="AJ9064" s="213"/>
    </row>
    <row r="9065" spans="36:36" x14ac:dyDescent="0.35">
      <c r="AJ9065" s="213"/>
    </row>
    <row r="9066" spans="36:36" x14ac:dyDescent="0.35">
      <c r="AJ9066" s="213"/>
    </row>
    <row r="9067" spans="36:36" x14ac:dyDescent="0.35">
      <c r="AJ9067" s="213"/>
    </row>
    <row r="9068" spans="36:36" x14ac:dyDescent="0.35">
      <c r="AJ9068" s="213"/>
    </row>
    <row r="9069" spans="36:36" x14ac:dyDescent="0.35">
      <c r="AJ9069" s="213"/>
    </row>
    <row r="9070" spans="36:36" x14ac:dyDescent="0.35">
      <c r="AJ9070" s="213"/>
    </row>
    <row r="9071" spans="36:36" x14ac:dyDescent="0.35">
      <c r="AJ9071" s="213"/>
    </row>
    <row r="9072" spans="36:36" x14ac:dyDescent="0.35">
      <c r="AJ9072" s="213"/>
    </row>
    <row r="9073" spans="36:36" x14ac:dyDescent="0.35">
      <c r="AJ9073" s="213"/>
    </row>
    <row r="9074" spans="36:36" x14ac:dyDescent="0.35">
      <c r="AJ9074" s="213"/>
    </row>
    <row r="9075" spans="36:36" x14ac:dyDescent="0.35">
      <c r="AJ9075" s="213"/>
    </row>
    <row r="9076" spans="36:36" x14ac:dyDescent="0.35">
      <c r="AJ9076" s="213"/>
    </row>
    <row r="9077" spans="36:36" x14ac:dyDescent="0.35">
      <c r="AJ9077" s="213"/>
    </row>
    <row r="9078" spans="36:36" x14ac:dyDescent="0.35">
      <c r="AJ9078" s="213"/>
    </row>
    <row r="9079" spans="36:36" x14ac:dyDescent="0.35">
      <c r="AJ9079" s="213"/>
    </row>
    <row r="9080" spans="36:36" x14ac:dyDescent="0.35">
      <c r="AJ9080" s="213"/>
    </row>
    <row r="9081" spans="36:36" x14ac:dyDescent="0.35">
      <c r="AJ9081" s="213"/>
    </row>
    <row r="9082" spans="36:36" x14ac:dyDescent="0.35">
      <c r="AJ9082" s="213"/>
    </row>
    <row r="9083" spans="36:36" x14ac:dyDescent="0.35">
      <c r="AJ9083" s="213"/>
    </row>
    <row r="9084" spans="36:36" x14ac:dyDescent="0.35">
      <c r="AJ9084" s="213"/>
    </row>
    <row r="9085" spans="36:36" x14ac:dyDescent="0.35">
      <c r="AJ9085" s="213"/>
    </row>
    <row r="9086" spans="36:36" x14ac:dyDescent="0.35">
      <c r="AJ9086" s="213"/>
    </row>
    <row r="9087" spans="36:36" x14ac:dyDescent="0.35">
      <c r="AJ9087" s="213"/>
    </row>
    <row r="9088" spans="36:36" x14ac:dyDescent="0.35">
      <c r="AJ9088" s="213"/>
    </row>
    <row r="9089" spans="36:36" x14ac:dyDescent="0.35">
      <c r="AJ9089" s="213"/>
    </row>
    <row r="9090" spans="36:36" x14ac:dyDescent="0.35">
      <c r="AJ9090" s="213"/>
    </row>
    <row r="9091" spans="36:36" x14ac:dyDescent="0.35">
      <c r="AJ9091" s="213"/>
    </row>
    <row r="9092" spans="36:36" x14ac:dyDescent="0.35">
      <c r="AJ9092" s="213"/>
    </row>
    <row r="9093" spans="36:36" x14ac:dyDescent="0.35">
      <c r="AJ9093" s="213"/>
    </row>
    <row r="9094" spans="36:36" x14ac:dyDescent="0.35">
      <c r="AJ9094" s="213"/>
    </row>
    <row r="9095" spans="36:36" x14ac:dyDescent="0.35">
      <c r="AJ9095" s="213"/>
    </row>
    <row r="9096" spans="36:36" x14ac:dyDescent="0.35">
      <c r="AJ9096" s="213"/>
    </row>
    <row r="9097" spans="36:36" x14ac:dyDescent="0.35">
      <c r="AJ9097" s="213"/>
    </row>
    <row r="9098" spans="36:36" x14ac:dyDescent="0.35">
      <c r="AJ9098" s="213"/>
    </row>
    <row r="9099" spans="36:36" x14ac:dyDescent="0.35">
      <c r="AJ9099" s="213"/>
    </row>
    <row r="9100" spans="36:36" x14ac:dyDescent="0.35">
      <c r="AJ9100" s="213"/>
    </row>
    <row r="9101" spans="36:36" x14ac:dyDescent="0.35">
      <c r="AJ9101" s="213"/>
    </row>
    <row r="9102" spans="36:36" x14ac:dyDescent="0.35">
      <c r="AJ9102" s="213"/>
    </row>
    <row r="9103" spans="36:36" x14ac:dyDescent="0.35">
      <c r="AJ9103" s="213"/>
    </row>
    <row r="9104" spans="36:36" x14ac:dyDescent="0.35">
      <c r="AJ9104" s="213"/>
    </row>
    <row r="9105" spans="36:36" x14ac:dyDescent="0.35">
      <c r="AJ9105" s="213"/>
    </row>
    <row r="9106" spans="36:36" x14ac:dyDescent="0.35">
      <c r="AJ9106" s="213"/>
    </row>
    <row r="9107" spans="36:36" x14ac:dyDescent="0.35">
      <c r="AJ9107" s="213"/>
    </row>
    <row r="9108" spans="36:36" x14ac:dyDescent="0.35">
      <c r="AJ9108" s="213"/>
    </row>
    <row r="9109" spans="36:36" x14ac:dyDescent="0.35">
      <c r="AJ9109" s="213"/>
    </row>
    <row r="9110" spans="36:36" x14ac:dyDescent="0.35">
      <c r="AJ9110" s="213"/>
    </row>
    <row r="9111" spans="36:36" x14ac:dyDescent="0.35">
      <c r="AJ9111" s="213"/>
    </row>
    <row r="9112" spans="36:36" x14ac:dyDescent="0.35">
      <c r="AJ9112" s="213"/>
    </row>
    <row r="9113" spans="36:36" x14ac:dyDescent="0.35">
      <c r="AJ9113" s="213"/>
    </row>
    <row r="9114" spans="36:36" x14ac:dyDescent="0.35">
      <c r="AJ9114" s="213"/>
    </row>
    <row r="9115" spans="36:36" x14ac:dyDescent="0.35">
      <c r="AJ9115" s="213"/>
    </row>
    <row r="9116" spans="36:36" x14ac:dyDescent="0.35">
      <c r="AJ9116" s="213"/>
    </row>
    <row r="9117" spans="36:36" x14ac:dyDescent="0.35">
      <c r="AJ9117" s="213"/>
    </row>
    <row r="9118" spans="36:36" x14ac:dyDescent="0.35">
      <c r="AJ9118" s="213"/>
    </row>
    <row r="9119" spans="36:36" x14ac:dyDescent="0.35">
      <c r="AJ9119" s="213"/>
    </row>
    <row r="9120" spans="36:36" x14ac:dyDescent="0.35">
      <c r="AJ9120" s="213"/>
    </row>
    <row r="9121" spans="36:36" x14ac:dyDescent="0.35">
      <c r="AJ9121" s="213"/>
    </row>
    <row r="9122" spans="36:36" x14ac:dyDescent="0.35">
      <c r="AJ9122" s="213"/>
    </row>
    <row r="9123" spans="36:36" x14ac:dyDescent="0.35">
      <c r="AJ9123" s="213"/>
    </row>
    <row r="9124" spans="36:36" x14ac:dyDescent="0.35">
      <c r="AJ9124" s="213"/>
    </row>
    <row r="9125" spans="36:36" x14ac:dyDescent="0.35">
      <c r="AJ9125" s="213"/>
    </row>
    <row r="9126" spans="36:36" x14ac:dyDescent="0.35">
      <c r="AJ9126" s="213"/>
    </row>
    <row r="9127" spans="36:36" x14ac:dyDescent="0.35">
      <c r="AJ9127" s="213"/>
    </row>
    <row r="9128" spans="36:36" x14ac:dyDescent="0.35">
      <c r="AJ9128" s="213"/>
    </row>
    <row r="9129" spans="36:36" x14ac:dyDescent="0.35">
      <c r="AJ9129" s="213"/>
    </row>
    <row r="9130" spans="36:36" x14ac:dyDescent="0.35">
      <c r="AJ9130" s="213"/>
    </row>
    <row r="9131" spans="36:36" x14ac:dyDescent="0.35">
      <c r="AJ9131" s="213"/>
    </row>
    <row r="9132" spans="36:36" x14ac:dyDescent="0.35">
      <c r="AJ9132" s="213"/>
    </row>
    <row r="9133" spans="36:36" x14ac:dyDescent="0.35">
      <c r="AJ9133" s="213"/>
    </row>
    <row r="9134" spans="36:36" x14ac:dyDescent="0.35">
      <c r="AJ9134" s="213"/>
    </row>
    <row r="9135" spans="36:36" x14ac:dyDescent="0.35">
      <c r="AJ9135" s="213"/>
    </row>
    <row r="9136" spans="36:36" x14ac:dyDescent="0.35">
      <c r="AJ9136" s="213"/>
    </row>
    <row r="9137" spans="36:36" x14ac:dyDescent="0.35">
      <c r="AJ9137" s="213"/>
    </row>
    <row r="9138" spans="36:36" x14ac:dyDescent="0.35">
      <c r="AJ9138" s="213"/>
    </row>
    <row r="9139" spans="36:36" x14ac:dyDescent="0.35">
      <c r="AJ9139" s="213"/>
    </row>
    <row r="9140" spans="36:36" x14ac:dyDescent="0.35">
      <c r="AJ9140" s="213"/>
    </row>
    <row r="9141" spans="36:36" x14ac:dyDescent="0.35">
      <c r="AJ9141" s="213"/>
    </row>
    <row r="9142" spans="36:36" x14ac:dyDescent="0.35">
      <c r="AJ9142" s="213"/>
    </row>
    <row r="9143" spans="36:36" x14ac:dyDescent="0.35">
      <c r="AJ9143" s="213"/>
    </row>
    <row r="9144" spans="36:36" x14ac:dyDescent="0.35">
      <c r="AJ9144" s="213"/>
    </row>
    <row r="9145" spans="36:36" x14ac:dyDescent="0.35">
      <c r="AJ9145" s="213"/>
    </row>
    <row r="9146" spans="36:36" x14ac:dyDescent="0.35">
      <c r="AJ9146" s="213"/>
    </row>
    <row r="9147" spans="36:36" x14ac:dyDescent="0.35">
      <c r="AJ9147" s="213"/>
    </row>
    <row r="9148" spans="36:36" x14ac:dyDescent="0.35">
      <c r="AJ9148" s="213"/>
    </row>
    <row r="9149" spans="36:36" x14ac:dyDescent="0.35">
      <c r="AJ9149" s="213"/>
    </row>
    <row r="9150" spans="36:36" x14ac:dyDescent="0.35">
      <c r="AJ9150" s="213"/>
    </row>
    <row r="9151" spans="36:36" x14ac:dyDescent="0.35">
      <c r="AJ9151" s="213"/>
    </row>
    <row r="9152" spans="36:36" x14ac:dyDescent="0.35">
      <c r="AJ9152" s="213"/>
    </row>
    <row r="9153" spans="36:36" x14ac:dyDescent="0.35">
      <c r="AJ9153" s="213"/>
    </row>
    <row r="9154" spans="36:36" x14ac:dyDescent="0.35">
      <c r="AJ9154" s="213"/>
    </row>
    <row r="9155" spans="36:36" x14ac:dyDescent="0.35">
      <c r="AJ9155" s="213"/>
    </row>
    <row r="9156" spans="36:36" x14ac:dyDescent="0.35">
      <c r="AJ9156" s="213"/>
    </row>
    <row r="9157" spans="36:36" x14ac:dyDescent="0.35">
      <c r="AJ9157" s="213"/>
    </row>
    <row r="9158" spans="36:36" x14ac:dyDescent="0.35">
      <c r="AJ9158" s="213"/>
    </row>
    <row r="9159" spans="36:36" x14ac:dyDescent="0.35">
      <c r="AJ9159" s="213"/>
    </row>
    <row r="9160" spans="36:36" x14ac:dyDescent="0.35">
      <c r="AJ9160" s="213"/>
    </row>
    <row r="9161" spans="36:36" x14ac:dyDescent="0.35">
      <c r="AJ9161" s="213"/>
    </row>
    <row r="9162" spans="36:36" x14ac:dyDescent="0.35">
      <c r="AJ9162" s="213"/>
    </row>
    <row r="9163" spans="36:36" x14ac:dyDescent="0.35">
      <c r="AJ9163" s="213"/>
    </row>
    <row r="9164" spans="36:36" x14ac:dyDescent="0.35">
      <c r="AJ9164" s="213"/>
    </row>
    <row r="9165" spans="36:36" x14ac:dyDescent="0.35">
      <c r="AJ9165" s="213"/>
    </row>
    <row r="9166" spans="36:36" x14ac:dyDescent="0.35">
      <c r="AJ9166" s="213"/>
    </row>
    <row r="9167" spans="36:36" x14ac:dyDescent="0.35">
      <c r="AJ9167" s="213"/>
    </row>
    <row r="9168" spans="36:36" x14ac:dyDescent="0.35">
      <c r="AJ9168" s="213"/>
    </row>
    <row r="9169" spans="36:36" x14ac:dyDescent="0.35">
      <c r="AJ9169" s="213"/>
    </row>
    <row r="9170" spans="36:36" x14ac:dyDescent="0.35">
      <c r="AJ9170" s="213"/>
    </row>
    <row r="9171" spans="36:36" x14ac:dyDescent="0.35">
      <c r="AJ9171" s="213"/>
    </row>
    <row r="9172" spans="36:36" x14ac:dyDescent="0.35">
      <c r="AJ9172" s="213"/>
    </row>
    <row r="9173" spans="36:36" x14ac:dyDescent="0.35">
      <c r="AJ9173" s="213"/>
    </row>
    <row r="9174" spans="36:36" x14ac:dyDescent="0.35">
      <c r="AJ9174" s="213"/>
    </row>
    <row r="9175" spans="36:36" x14ac:dyDescent="0.35">
      <c r="AJ9175" s="213"/>
    </row>
    <row r="9176" spans="36:36" x14ac:dyDescent="0.35">
      <c r="AJ9176" s="213"/>
    </row>
    <row r="9177" spans="36:36" x14ac:dyDescent="0.35">
      <c r="AJ9177" s="213"/>
    </row>
    <row r="9178" spans="36:36" x14ac:dyDescent="0.35">
      <c r="AJ9178" s="213"/>
    </row>
    <row r="9179" spans="36:36" x14ac:dyDescent="0.35">
      <c r="AJ9179" s="213"/>
    </row>
    <row r="9180" spans="36:36" x14ac:dyDescent="0.35">
      <c r="AJ9180" s="213"/>
    </row>
    <row r="9181" spans="36:36" x14ac:dyDescent="0.35">
      <c r="AJ9181" s="213"/>
    </row>
    <row r="9182" spans="36:36" x14ac:dyDescent="0.35">
      <c r="AJ9182" s="213"/>
    </row>
    <row r="9183" spans="36:36" x14ac:dyDescent="0.35">
      <c r="AJ9183" s="213"/>
    </row>
    <row r="9184" spans="36:36" x14ac:dyDescent="0.35">
      <c r="AJ9184" s="213"/>
    </row>
    <row r="9185" spans="36:36" x14ac:dyDescent="0.35">
      <c r="AJ9185" s="213"/>
    </row>
    <row r="9186" spans="36:36" x14ac:dyDescent="0.35">
      <c r="AJ9186" s="213"/>
    </row>
    <row r="9187" spans="36:36" x14ac:dyDescent="0.35">
      <c r="AJ9187" s="213"/>
    </row>
    <row r="9188" spans="36:36" x14ac:dyDescent="0.35">
      <c r="AJ9188" s="213"/>
    </row>
    <row r="9189" spans="36:36" x14ac:dyDescent="0.35">
      <c r="AJ9189" s="213"/>
    </row>
    <row r="9190" spans="36:36" x14ac:dyDescent="0.35">
      <c r="AJ9190" s="213"/>
    </row>
    <row r="9191" spans="36:36" x14ac:dyDescent="0.35">
      <c r="AJ9191" s="213"/>
    </row>
    <row r="9192" spans="36:36" x14ac:dyDescent="0.35">
      <c r="AJ9192" s="213"/>
    </row>
    <row r="9193" spans="36:36" x14ac:dyDescent="0.35">
      <c r="AJ9193" s="213"/>
    </row>
    <row r="9194" spans="36:36" x14ac:dyDescent="0.35">
      <c r="AJ9194" s="213"/>
    </row>
    <row r="9195" spans="36:36" x14ac:dyDescent="0.35">
      <c r="AJ9195" s="213"/>
    </row>
    <row r="9196" spans="36:36" x14ac:dyDescent="0.35">
      <c r="AJ9196" s="213"/>
    </row>
    <row r="9197" spans="36:36" x14ac:dyDescent="0.35">
      <c r="AJ9197" s="213"/>
    </row>
    <row r="9198" spans="36:36" x14ac:dyDescent="0.35">
      <c r="AJ9198" s="213"/>
    </row>
    <row r="9199" spans="36:36" x14ac:dyDescent="0.35">
      <c r="AJ9199" s="213"/>
    </row>
    <row r="9200" spans="36:36" x14ac:dyDescent="0.35">
      <c r="AJ9200" s="213"/>
    </row>
    <row r="9201" spans="36:36" x14ac:dyDescent="0.35">
      <c r="AJ9201" s="213"/>
    </row>
    <row r="9202" spans="36:36" x14ac:dyDescent="0.35">
      <c r="AJ9202" s="213"/>
    </row>
    <row r="9203" spans="36:36" x14ac:dyDescent="0.35">
      <c r="AJ9203" s="213"/>
    </row>
    <row r="9204" spans="36:36" x14ac:dyDescent="0.35">
      <c r="AJ9204" s="213"/>
    </row>
    <row r="9205" spans="36:36" x14ac:dyDescent="0.35">
      <c r="AJ9205" s="213"/>
    </row>
    <row r="9206" spans="36:36" x14ac:dyDescent="0.35">
      <c r="AJ9206" s="213"/>
    </row>
    <row r="9207" spans="36:36" x14ac:dyDescent="0.35">
      <c r="AJ9207" s="213"/>
    </row>
    <row r="9208" spans="36:36" x14ac:dyDescent="0.35">
      <c r="AJ9208" s="213"/>
    </row>
    <row r="9209" spans="36:36" x14ac:dyDescent="0.35">
      <c r="AJ9209" s="213"/>
    </row>
    <row r="9210" spans="36:36" x14ac:dyDescent="0.35">
      <c r="AJ9210" s="213"/>
    </row>
    <row r="9211" spans="36:36" x14ac:dyDescent="0.35">
      <c r="AJ9211" s="213"/>
    </row>
    <row r="9212" spans="36:36" x14ac:dyDescent="0.35">
      <c r="AJ9212" s="213"/>
    </row>
    <row r="9213" spans="36:36" x14ac:dyDescent="0.35">
      <c r="AJ9213" s="213"/>
    </row>
    <row r="9214" spans="36:36" x14ac:dyDescent="0.35">
      <c r="AJ9214" s="213"/>
    </row>
    <row r="9215" spans="36:36" x14ac:dyDescent="0.35">
      <c r="AJ9215" s="213"/>
    </row>
    <row r="9216" spans="36:36" x14ac:dyDescent="0.35">
      <c r="AJ9216" s="213"/>
    </row>
    <row r="9217" spans="36:36" x14ac:dyDescent="0.35">
      <c r="AJ9217" s="213"/>
    </row>
    <row r="9218" spans="36:36" x14ac:dyDescent="0.35">
      <c r="AJ9218" s="213"/>
    </row>
    <row r="9219" spans="36:36" x14ac:dyDescent="0.35">
      <c r="AJ9219" s="213"/>
    </row>
    <row r="9220" spans="36:36" x14ac:dyDescent="0.35">
      <c r="AJ9220" s="213"/>
    </row>
    <row r="9221" spans="36:36" x14ac:dyDescent="0.35">
      <c r="AJ9221" s="213"/>
    </row>
    <row r="9222" spans="36:36" x14ac:dyDescent="0.35">
      <c r="AJ9222" s="213"/>
    </row>
    <row r="9223" spans="36:36" x14ac:dyDescent="0.35">
      <c r="AJ9223" s="213"/>
    </row>
    <row r="9224" spans="36:36" x14ac:dyDescent="0.35">
      <c r="AJ9224" s="213"/>
    </row>
    <row r="9225" spans="36:36" x14ac:dyDescent="0.35">
      <c r="AJ9225" s="213"/>
    </row>
    <row r="9226" spans="36:36" x14ac:dyDescent="0.35">
      <c r="AJ9226" s="213"/>
    </row>
    <row r="9227" spans="36:36" x14ac:dyDescent="0.35">
      <c r="AJ9227" s="213"/>
    </row>
    <row r="9228" spans="36:36" x14ac:dyDescent="0.35">
      <c r="AJ9228" s="213"/>
    </row>
    <row r="9229" spans="36:36" x14ac:dyDescent="0.35">
      <c r="AJ9229" s="213"/>
    </row>
    <row r="9230" spans="36:36" x14ac:dyDescent="0.35">
      <c r="AJ9230" s="213"/>
    </row>
    <row r="9231" spans="36:36" x14ac:dyDescent="0.35">
      <c r="AJ9231" s="213"/>
    </row>
    <row r="9232" spans="36:36" x14ac:dyDescent="0.35">
      <c r="AJ9232" s="213"/>
    </row>
    <row r="9233" spans="36:36" x14ac:dyDescent="0.35">
      <c r="AJ9233" s="213"/>
    </row>
    <row r="9234" spans="36:36" x14ac:dyDescent="0.35">
      <c r="AJ9234" s="213"/>
    </row>
    <row r="9235" spans="36:36" x14ac:dyDescent="0.35">
      <c r="AJ9235" s="213"/>
    </row>
    <row r="9236" spans="36:36" x14ac:dyDescent="0.35">
      <c r="AJ9236" s="213"/>
    </row>
    <row r="9237" spans="36:36" x14ac:dyDescent="0.35">
      <c r="AJ9237" s="213"/>
    </row>
    <row r="9238" spans="36:36" x14ac:dyDescent="0.35">
      <c r="AJ9238" s="213"/>
    </row>
    <row r="9239" spans="36:36" x14ac:dyDescent="0.35">
      <c r="AJ9239" s="213"/>
    </row>
    <row r="9240" spans="36:36" x14ac:dyDescent="0.35">
      <c r="AJ9240" s="213"/>
    </row>
    <row r="9241" spans="36:36" x14ac:dyDescent="0.35">
      <c r="AJ9241" s="213"/>
    </row>
    <row r="9242" spans="36:36" x14ac:dyDescent="0.35">
      <c r="AJ9242" s="213"/>
    </row>
    <row r="9243" spans="36:36" x14ac:dyDescent="0.35">
      <c r="AJ9243" s="213"/>
    </row>
    <row r="9244" spans="36:36" x14ac:dyDescent="0.35">
      <c r="AJ9244" s="213"/>
    </row>
    <row r="9245" spans="36:36" x14ac:dyDescent="0.35">
      <c r="AJ9245" s="213"/>
    </row>
    <row r="9246" spans="36:36" x14ac:dyDescent="0.35">
      <c r="AJ9246" s="213"/>
    </row>
    <row r="9247" spans="36:36" x14ac:dyDescent="0.35">
      <c r="AJ9247" s="213"/>
    </row>
    <row r="9248" spans="36:36" x14ac:dyDescent="0.35">
      <c r="AJ9248" s="213"/>
    </row>
    <row r="9249" spans="36:36" x14ac:dyDescent="0.35">
      <c r="AJ9249" s="213"/>
    </row>
    <row r="9250" spans="36:36" x14ac:dyDescent="0.35">
      <c r="AJ9250" s="213"/>
    </row>
    <row r="9251" spans="36:36" x14ac:dyDescent="0.35">
      <c r="AJ9251" s="213"/>
    </row>
    <row r="9252" spans="36:36" x14ac:dyDescent="0.35">
      <c r="AJ9252" s="213"/>
    </row>
    <row r="9253" spans="36:36" x14ac:dyDescent="0.35">
      <c r="AJ9253" s="213"/>
    </row>
    <row r="9254" spans="36:36" x14ac:dyDescent="0.35">
      <c r="AJ9254" s="213"/>
    </row>
    <row r="9255" spans="36:36" x14ac:dyDescent="0.35">
      <c r="AJ9255" s="213"/>
    </row>
    <row r="9256" spans="36:36" x14ac:dyDescent="0.35">
      <c r="AJ9256" s="213"/>
    </row>
    <row r="9257" spans="36:36" x14ac:dyDescent="0.35">
      <c r="AJ9257" s="213"/>
    </row>
    <row r="9258" spans="36:36" x14ac:dyDescent="0.35">
      <c r="AJ9258" s="213"/>
    </row>
    <row r="9259" spans="36:36" x14ac:dyDescent="0.35">
      <c r="AJ9259" s="213"/>
    </row>
    <row r="9260" spans="36:36" x14ac:dyDescent="0.35">
      <c r="AJ9260" s="213"/>
    </row>
    <row r="9261" spans="36:36" x14ac:dyDescent="0.35">
      <c r="AJ9261" s="213"/>
    </row>
    <row r="9262" spans="36:36" x14ac:dyDescent="0.35">
      <c r="AJ9262" s="213"/>
    </row>
    <row r="9263" spans="36:36" x14ac:dyDescent="0.35">
      <c r="AJ9263" s="213"/>
    </row>
    <row r="9264" spans="36:36" x14ac:dyDescent="0.35">
      <c r="AJ9264" s="213"/>
    </row>
    <row r="9265" spans="36:36" x14ac:dyDescent="0.35">
      <c r="AJ9265" s="213"/>
    </row>
    <row r="9266" spans="36:36" x14ac:dyDescent="0.35">
      <c r="AJ9266" s="213"/>
    </row>
    <row r="9267" spans="36:36" x14ac:dyDescent="0.35">
      <c r="AJ9267" s="213"/>
    </row>
    <row r="9268" spans="36:36" x14ac:dyDescent="0.35">
      <c r="AJ9268" s="213"/>
    </row>
    <row r="9269" spans="36:36" x14ac:dyDescent="0.35">
      <c r="AJ9269" s="213"/>
    </row>
    <row r="9270" spans="36:36" x14ac:dyDescent="0.35">
      <c r="AJ9270" s="213"/>
    </row>
    <row r="9271" spans="36:36" x14ac:dyDescent="0.35">
      <c r="AJ9271" s="213"/>
    </row>
    <row r="9272" spans="36:36" x14ac:dyDescent="0.35">
      <c r="AJ9272" s="213"/>
    </row>
    <row r="9273" spans="36:36" x14ac:dyDescent="0.35">
      <c r="AJ9273" s="213"/>
    </row>
    <row r="9274" spans="36:36" x14ac:dyDescent="0.35">
      <c r="AJ9274" s="213"/>
    </row>
    <row r="9275" spans="36:36" x14ac:dyDescent="0.35">
      <c r="AJ9275" s="213"/>
    </row>
    <row r="9276" spans="36:36" x14ac:dyDescent="0.35">
      <c r="AJ9276" s="213"/>
    </row>
    <row r="9277" spans="36:36" x14ac:dyDescent="0.35">
      <c r="AJ9277" s="213"/>
    </row>
    <row r="9278" spans="36:36" x14ac:dyDescent="0.35">
      <c r="AJ9278" s="213"/>
    </row>
    <row r="9279" spans="36:36" x14ac:dyDescent="0.35">
      <c r="AJ9279" s="213"/>
    </row>
    <row r="9280" spans="36:36" x14ac:dyDescent="0.35">
      <c r="AJ9280" s="213"/>
    </row>
    <row r="9281" spans="36:36" x14ac:dyDescent="0.35">
      <c r="AJ9281" s="213"/>
    </row>
    <row r="9282" spans="36:36" x14ac:dyDescent="0.35">
      <c r="AJ9282" s="213"/>
    </row>
    <row r="9283" spans="36:36" x14ac:dyDescent="0.35">
      <c r="AJ9283" s="213"/>
    </row>
    <row r="9284" spans="36:36" x14ac:dyDescent="0.35">
      <c r="AJ9284" s="213"/>
    </row>
    <row r="9285" spans="36:36" x14ac:dyDescent="0.35">
      <c r="AJ9285" s="213"/>
    </row>
    <row r="9286" spans="36:36" x14ac:dyDescent="0.35">
      <c r="AJ9286" s="213"/>
    </row>
    <row r="9287" spans="36:36" x14ac:dyDescent="0.35">
      <c r="AJ9287" s="213"/>
    </row>
    <row r="9288" spans="36:36" x14ac:dyDescent="0.35">
      <c r="AJ9288" s="213"/>
    </row>
    <row r="9289" spans="36:36" x14ac:dyDescent="0.35">
      <c r="AJ9289" s="213"/>
    </row>
    <row r="9290" spans="36:36" x14ac:dyDescent="0.35">
      <c r="AJ9290" s="213"/>
    </row>
    <row r="9291" spans="36:36" x14ac:dyDescent="0.35">
      <c r="AJ9291" s="213"/>
    </row>
    <row r="9292" spans="36:36" x14ac:dyDescent="0.35">
      <c r="AJ9292" s="213"/>
    </row>
    <row r="9293" spans="36:36" x14ac:dyDescent="0.35">
      <c r="AJ9293" s="213"/>
    </row>
    <row r="9294" spans="36:36" x14ac:dyDescent="0.35">
      <c r="AJ9294" s="213"/>
    </row>
    <row r="9295" spans="36:36" x14ac:dyDescent="0.35">
      <c r="AJ9295" s="213"/>
    </row>
    <row r="9296" spans="36:36" x14ac:dyDescent="0.35">
      <c r="AJ9296" s="213"/>
    </row>
    <row r="9297" spans="36:36" x14ac:dyDescent="0.35">
      <c r="AJ9297" s="213"/>
    </row>
    <row r="9298" spans="36:36" x14ac:dyDescent="0.35">
      <c r="AJ9298" s="213"/>
    </row>
    <row r="9299" spans="36:36" x14ac:dyDescent="0.35">
      <c r="AJ9299" s="213"/>
    </row>
    <row r="9300" spans="36:36" x14ac:dyDescent="0.35">
      <c r="AJ9300" s="213"/>
    </row>
    <row r="9301" spans="36:36" x14ac:dyDescent="0.35">
      <c r="AJ9301" s="213"/>
    </row>
    <row r="9302" spans="36:36" x14ac:dyDescent="0.35">
      <c r="AJ9302" s="213"/>
    </row>
    <row r="9303" spans="36:36" x14ac:dyDescent="0.35">
      <c r="AJ9303" s="213"/>
    </row>
    <row r="9304" spans="36:36" x14ac:dyDescent="0.35">
      <c r="AJ9304" s="213"/>
    </row>
    <row r="9305" spans="36:36" x14ac:dyDescent="0.35">
      <c r="AJ9305" s="213"/>
    </row>
    <row r="9306" spans="36:36" x14ac:dyDescent="0.35">
      <c r="AJ9306" s="213"/>
    </row>
    <row r="9307" spans="36:36" x14ac:dyDescent="0.35">
      <c r="AJ9307" s="213"/>
    </row>
    <row r="9308" spans="36:36" x14ac:dyDescent="0.35">
      <c r="AJ9308" s="213"/>
    </row>
    <row r="9309" spans="36:36" x14ac:dyDescent="0.35">
      <c r="AJ9309" s="213"/>
    </row>
    <row r="9310" spans="36:36" x14ac:dyDescent="0.35">
      <c r="AJ9310" s="213"/>
    </row>
    <row r="9311" spans="36:36" x14ac:dyDescent="0.35">
      <c r="AJ9311" s="213"/>
    </row>
    <row r="9312" spans="36:36" x14ac:dyDescent="0.35">
      <c r="AJ9312" s="213"/>
    </row>
    <row r="9313" spans="36:36" x14ac:dyDescent="0.35">
      <c r="AJ9313" s="213"/>
    </row>
    <row r="9314" spans="36:36" x14ac:dyDescent="0.35">
      <c r="AJ9314" s="213"/>
    </row>
    <row r="9315" spans="36:36" x14ac:dyDescent="0.35">
      <c r="AJ9315" s="213"/>
    </row>
    <row r="9316" spans="36:36" x14ac:dyDescent="0.35">
      <c r="AJ9316" s="213"/>
    </row>
    <row r="9317" spans="36:36" x14ac:dyDescent="0.35">
      <c r="AJ9317" s="213"/>
    </row>
    <row r="9318" spans="36:36" x14ac:dyDescent="0.35">
      <c r="AJ9318" s="213"/>
    </row>
    <row r="9319" spans="36:36" x14ac:dyDescent="0.35">
      <c r="AJ9319" s="213"/>
    </row>
    <row r="9320" spans="36:36" x14ac:dyDescent="0.35">
      <c r="AJ9320" s="213"/>
    </row>
    <row r="9321" spans="36:36" x14ac:dyDescent="0.35">
      <c r="AJ9321" s="213"/>
    </row>
    <row r="9322" spans="36:36" x14ac:dyDescent="0.35">
      <c r="AJ9322" s="213"/>
    </row>
    <row r="9323" spans="36:36" x14ac:dyDescent="0.35">
      <c r="AJ9323" s="213"/>
    </row>
    <row r="9324" spans="36:36" x14ac:dyDescent="0.35">
      <c r="AJ9324" s="213"/>
    </row>
    <row r="9325" spans="36:36" x14ac:dyDescent="0.35">
      <c r="AJ9325" s="213"/>
    </row>
    <row r="9326" spans="36:36" x14ac:dyDescent="0.35">
      <c r="AJ9326" s="213"/>
    </row>
    <row r="9327" spans="36:36" x14ac:dyDescent="0.35">
      <c r="AJ9327" s="213"/>
    </row>
    <row r="9328" spans="36:36" x14ac:dyDescent="0.35">
      <c r="AJ9328" s="213"/>
    </row>
    <row r="9329" spans="36:36" x14ac:dyDescent="0.35">
      <c r="AJ9329" s="213"/>
    </row>
    <row r="9330" spans="36:36" x14ac:dyDescent="0.35">
      <c r="AJ9330" s="213"/>
    </row>
    <row r="9331" spans="36:36" x14ac:dyDescent="0.35">
      <c r="AJ9331" s="213"/>
    </row>
    <row r="9332" spans="36:36" x14ac:dyDescent="0.35">
      <c r="AJ9332" s="213"/>
    </row>
    <row r="9333" spans="36:36" x14ac:dyDescent="0.35">
      <c r="AJ9333" s="213"/>
    </row>
    <row r="9334" spans="36:36" x14ac:dyDescent="0.35">
      <c r="AJ9334" s="213"/>
    </row>
    <row r="9335" spans="36:36" x14ac:dyDescent="0.35">
      <c r="AJ9335" s="213"/>
    </row>
    <row r="9336" spans="36:36" x14ac:dyDescent="0.35">
      <c r="AJ9336" s="213"/>
    </row>
    <row r="9337" spans="36:36" x14ac:dyDescent="0.35">
      <c r="AJ9337" s="213"/>
    </row>
    <row r="9338" spans="36:36" x14ac:dyDescent="0.35">
      <c r="AJ9338" s="213"/>
    </row>
    <row r="9339" spans="36:36" x14ac:dyDescent="0.35">
      <c r="AJ9339" s="213"/>
    </row>
    <row r="9340" spans="36:36" x14ac:dyDescent="0.35">
      <c r="AJ9340" s="213"/>
    </row>
    <row r="9341" spans="36:36" x14ac:dyDescent="0.35">
      <c r="AJ9341" s="213"/>
    </row>
    <row r="9342" spans="36:36" x14ac:dyDescent="0.35">
      <c r="AJ9342" s="213"/>
    </row>
    <row r="9343" spans="36:36" x14ac:dyDescent="0.35">
      <c r="AJ9343" s="213"/>
    </row>
    <row r="9344" spans="36:36" x14ac:dyDescent="0.35">
      <c r="AJ9344" s="213"/>
    </row>
    <row r="9345" spans="36:36" x14ac:dyDescent="0.35">
      <c r="AJ9345" s="213"/>
    </row>
    <row r="9346" spans="36:36" x14ac:dyDescent="0.35">
      <c r="AJ9346" s="213"/>
    </row>
    <row r="9347" spans="36:36" x14ac:dyDescent="0.35">
      <c r="AJ9347" s="213"/>
    </row>
    <row r="9348" spans="36:36" x14ac:dyDescent="0.35">
      <c r="AJ9348" s="213"/>
    </row>
    <row r="9349" spans="36:36" x14ac:dyDescent="0.35">
      <c r="AJ9349" s="213"/>
    </row>
    <row r="9350" spans="36:36" x14ac:dyDescent="0.35">
      <c r="AJ9350" s="213"/>
    </row>
    <row r="9351" spans="36:36" x14ac:dyDescent="0.35">
      <c r="AJ9351" s="213"/>
    </row>
    <row r="9352" spans="36:36" x14ac:dyDescent="0.35">
      <c r="AJ9352" s="213"/>
    </row>
    <row r="9353" spans="36:36" x14ac:dyDescent="0.35">
      <c r="AJ9353" s="213"/>
    </row>
    <row r="9354" spans="36:36" x14ac:dyDescent="0.35">
      <c r="AJ9354" s="213"/>
    </row>
    <row r="9355" spans="36:36" x14ac:dyDescent="0.35">
      <c r="AJ9355" s="213"/>
    </row>
    <row r="9356" spans="36:36" x14ac:dyDescent="0.35">
      <c r="AJ9356" s="213"/>
    </row>
    <row r="9357" spans="36:36" x14ac:dyDescent="0.35">
      <c r="AJ9357" s="213"/>
    </row>
    <row r="9358" spans="36:36" x14ac:dyDescent="0.35">
      <c r="AJ9358" s="213"/>
    </row>
    <row r="9359" spans="36:36" x14ac:dyDescent="0.35">
      <c r="AJ9359" s="213"/>
    </row>
    <row r="9360" spans="36:36" x14ac:dyDescent="0.35">
      <c r="AJ9360" s="213"/>
    </row>
    <row r="9361" spans="36:36" x14ac:dyDescent="0.35">
      <c r="AJ9361" s="213"/>
    </row>
    <row r="9362" spans="36:36" x14ac:dyDescent="0.35">
      <c r="AJ9362" s="213"/>
    </row>
    <row r="9363" spans="36:36" x14ac:dyDescent="0.35">
      <c r="AJ9363" s="213"/>
    </row>
    <row r="9364" spans="36:36" x14ac:dyDescent="0.35">
      <c r="AJ9364" s="213"/>
    </row>
    <row r="9365" spans="36:36" x14ac:dyDescent="0.35">
      <c r="AJ9365" s="213"/>
    </row>
    <row r="9366" spans="36:36" x14ac:dyDescent="0.35">
      <c r="AJ9366" s="213"/>
    </row>
    <row r="9367" spans="36:36" x14ac:dyDescent="0.35">
      <c r="AJ9367" s="213"/>
    </row>
    <row r="9368" spans="36:36" x14ac:dyDescent="0.35">
      <c r="AJ9368" s="213"/>
    </row>
    <row r="9369" spans="36:36" x14ac:dyDescent="0.35">
      <c r="AJ9369" s="213"/>
    </row>
    <row r="9370" spans="36:36" x14ac:dyDescent="0.35">
      <c r="AJ9370" s="213"/>
    </row>
    <row r="9371" spans="36:36" x14ac:dyDescent="0.35">
      <c r="AJ9371" s="213"/>
    </row>
    <row r="9372" spans="36:36" x14ac:dyDescent="0.35">
      <c r="AJ9372" s="213"/>
    </row>
    <row r="9373" spans="36:36" x14ac:dyDescent="0.35">
      <c r="AJ9373" s="213"/>
    </row>
    <row r="9374" spans="36:36" x14ac:dyDescent="0.35">
      <c r="AJ9374" s="213"/>
    </row>
    <row r="9375" spans="36:36" x14ac:dyDescent="0.35">
      <c r="AJ9375" s="213"/>
    </row>
    <row r="9376" spans="36:36" x14ac:dyDescent="0.35">
      <c r="AJ9376" s="213"/>
    </row>
    <row r="9377" spans="36:36" x14ac:dyDescent="0.35">
      <c r="AJ9377" s="213"/>
    </row>
    <row r="9378" spans="36:36" x14ac:dyDescent="0.35">
      <c r="AJ9378" s="213"/>
    </row>
    <row r="9379" spans="36:36" x14ac:dyDescent="0.35">
      <c r="AJ9379" s="213"/>
    </row>
    <row r="9380" spans="36:36" x14ac:dyDescent="0.35">
      <c r="AJ9380" s="213"/>
    </row>
    <row r="9381" spans="36:36" x14ac:dyDescent="0.35">
      <c r="AJ9381" s="213"/>
    </row>
    <row r="9382" spans="36:36" x14ac:dyDescent="0.35">
      <c r="AJ9382" s="213"/>
    </row>
    <row r="9383" spans="36:36" x14ac:dyDescent="0.35">
      <c r="AJ9383" s="213"/>
    </row>
    <row r="9384" spans="36:36" x14ac:dyDescent="0.35">
      <c r="AJ9384" s="213"/>
    </row>
    <row r="9385" spans="36:36" x14ac:dyDescent="0.35">
      <c r="AJ9385" s="213"/>
    </row>
    <row r="9386" spans="36:36" x14ac:dyDescent="0.35">
      <c r="AJ9386" s="213"/>
    </row>
    <row r="9387" spans="36:36" x14ac:dyDescent="0.35">
      <c r="AJ9387" s="213"/>
    </row>
    <row r="9388" spans="36:36" x14ac:dyDescent="0.35">
      <c r="AJ9388" s="213"/>
    </row>
    <row r="9389" spans="36:36" x14ac:dyDescent="0.35">
      <c r="AJ9389" s="213"/>
    </row>
    <row r="9390" spans="36:36" x14ac:dyDescent="0.35">
      <c r="AJ9390" s="213"/>
    </row>
    <row r="9391" spans="36:36" x14ac:dyDescent="0.35">
      <c r="AJ9391" s="213"/>
    </row>
    <row r="9392" spans="36:36" x14ac:dyDescent="0.35">
      <c r="AJ9392" s="213"/>
    </row>
    <row r="9393" spans="36:36" x14ac:dyDescent="0.35">
      <c r="AJ9393" s="213"/>
    </row>
    <row r="9394" spans="36:36" x14ac:dyDescent="0.35">
      <c r="AJ9394" s="213"/>
    </row>
    <row r="9395" spans="36:36" x14ac:dyDescent="0.35">
      <c r="AJ9395" s="213"/>
    </row>
    <row r="9396" spans="36:36" x14ac:dyDescent="0.35">
      <c r="AJ9396" s="213"/>
    </row>
    <row r="9397" spans="36:36" x14ac:dyDescent="0.35">
      <c r="AJ9397" s="213"/>
    </row>
    <row r="9398" spans="36:36" x14ac:dyDescent="0.35">
      <c r="AJ9398" s="213"/>
    </row>
    <row r="9399" spans="36:36" x14ac:dyDescent="0.35">
      <c r="AJ9399" s="213"/>
    </row>
    <row r="9400" spans="36:36" x14ac:dyDescent="0.35">
      <c r="AJ9400" s="213"/>
    </row>
    <row r="9401" spans="36:36" x14ac:dyDescent="0.35">
      <c r="AJ9401" s="213"/>
    </row>
    <row r="9402" spans="36:36" x14ac:dyDescent="0.35">
      <c r="AJ9402" s="213"/>
    </row>
    <row r="9403" spans="36:36" x14ac:dyDescent="0.35">
      <c r="AJ9403" s="213"/>
    </row>
    <row r="9404" spans="36:36" x14ac:dyDescent="0.35">
      <c r="AJ9404" s="213"/>
    </row>
    <row r="9405" spans="36:36" x14ac:dyDescent="0.35">
      <c r="AJ9405" s="213"/>
    </row>
    <row r="9406" spans="36:36" x14ac:dyDescent="0.35">
      <c r="AJ9406" s="213"/>
    </row>
    <row r="9407" spans="36:36" x14ac:dyDescent="0.35">
      <c r="AJ9407" s="213"/>
    </row>
    <row r="9408" spans="36:36" x14ac:dyDescent="0.35">
      <c r="AJ9408" s="213"/>
    </row>
    <row r="9409" spans="36:36" x14ac:dyDescent="0.35">
      <c r="AJ9409" s="213"/>
    </row>
    <row r="9410" spans="36:36" x14ac:dyDescent="0.35">
      <c r="AJ9410" s="213"/>
    </row>
    <row r="9411" spans="36:36" x14ac:dyDescent="0.35">
      <c r="AJ9411" s="213"/>
    </row>
    <row r="9412" spans="36:36" x14ac:dyDescent="0.35">
      <c r="AJ9412" s="213"/>
    </row>
    <row r="9413" spans="36:36" x14ac:dyDescent="0.35">
      <c r="AJ9413" s="213"/>
    </row>
    <row r="9414" spans="36:36" x14ac:dyDescent="0.35">
      <c r="AJ9414" s="213"/>
    </row>
    <row r="9415" spans="36:36" x14ac:dyDescent="0.35">
      <c r="AJ9415" s="213"/>
    </row>
    <row r="9416" spans="36:36" x14ac:dyDescent="0.35">
      <c r="AJ9416" s="213"/>
    </row>
    <row r="9417" spans="36:36" x14ac:dyDescent="0.35">
      <c r="AJ9417" s="213"/>
    </row>
    <row r="9418" spans="36:36" x14ac:dyDescent="0.35">
      <c r="AJ9418" s="213"/>
    </row>
    <row r="9419" spans="36:36" x14ac:dyDescent="0.35">
      <c r="AJ9419" s="213"/>
    </row>
    <row r="9420" spans="36:36" x14ac:dyDescent="0.35">
      <c r="AJ9420" s="213"/>
    </row>
    <row r="9421" spans="36:36" x14ac:dyDescent="0.35">
      <c r="AJ9421" s="213"/>
    </row>
    <row r="9422" spans="36:36" x14ac:dyDescent="0.35">
      <c r="AJ9422" s="213"/>
    </row>
    <row r="9423" spans="36:36" x14ac:dyDescent="0.35">
      <c r="AJ9423" s="213"/>
    </row>
    <row r="9424" spans="36:36" x14ac:dyDescent="0.35">
      <c r="AJ9424" s="213"/>
    </row>
    <row r="9425" spans="36:36" x14ac:dyDescent="0.35">
      <c r="AJ9425" s="213"/>
    </row>
    <row r="9426" spans="36:36" x14ac:dyDescent="0.35">
      <c r="AJ9426" s="213"/>
    </row>
    <row r="9427" spans="36:36" x14ac:dyDescent="0.35">
      <c r="AJ9427" s="213"/>
    </row>
    <row r="9428" spans="36:36" x14ac:dyDescent="0.35">
      <c r="AJ9428" s="213"/>
    </row>
    <row r="9429" spans="36:36" x14ac:dyDescent="0.35">
      <c r="AJ9429" s="213"/>
    </row>
    <row r="9430" spans="36:36" x14ac:dyDescent="0.35">
      <c r="AJ9430" s="213"/>
    </row>
    <row r="9431" spans="36:36" x14ac:dyDescent="0.35">
      <c r="AJ9431" s="213"/>
    </row>
    <row r="9432" spans="36:36" x14ac:dyDescent="0.35">
      <c r="AJ9432" s="213"/>
    </row>
    <row r="9433" spans="36:36" x14ac:dyDescent="0.35">
      <c r="AJ9433" s="213"/>
    </row>
    <row r="9434" spans="36:36" x14ac:dyDescent="0.35">
      <c r="AJ9434" s="213"/>
    </row>
    <row r="9435" spans="36:36" x14ac:dyDescent="0.35">
      <c r="AJ9435" s="213"/>
    </row>
    <row r="9436" spans="36:36" x14ac:dyDescent="0.35">
      <c r="AJ9436" s="213"/>
    </row>
    <row r="9437" spans="36:36" x14ac:dyDescent="0.35">
      <c r="AJ9437" s="213"/>
    </row>
    <row r="9438" spans="36:36" x14ac:dyDescent="0.35">
      <c r="AJ9438" s="213"/>
    </row>
    <row r="9439" spans="36:36" x14ac:dyDescent="0.35">
      <c r="AJ9439" s="213"/>
    </row>
    <row r="9440" spans="36:36" x14ac:dyDescent="0.35">
      <c r="AJ9440" s="213"/>
    </row>
    <row r="9441" spans="36:36" x14ac:dyDescent="0.35">
      <c r="AJ9441" s="213"/>
    </row>
    <row r="9442" spans="36:36" x14ac:dyDescent="0.35">
      <c r="AJ9442" s="213"/>
    </row>
    <row r="9443" spans="36:36" x14ac:dyDescent="0.35">
      <c r="AJ9443" s="213"/>
    </row>
    <row r="9444" spans="36:36" x14ac:dyDescent="0.35">
      <c r="AJ9444" s="213"/>
    </row>
    <row r="9445" spans="36:36" x14ac:dyDescent="0.35">
      <c r="AJ9445" s="213"/>
    </row>
    <row r="9446" spans="36:36" x14ac:dyDescent="0.35">
      <c r="AJ9446" s="213"/>
    </row>
    <row r="9447" spans="36:36" x14ac:dyDescent="0.35">
      <c r="AJ9447" s="213"/>
    </row>
    <row r="9448" spans="36:36" x14ac:dyDescent="0.35">
      <c r="AJ9448" s="213"/>
    </row>
    <row r="9449" spans="36:36" x14ac:dyDescent="0.35">
      <c r="AJ9449" s="213"/>
    </row>
    <row r="9450" spans="36:36" x14ac:dyDescent="0.35">
      <c r="AJ9450" s="213"/>
    </row>
    <row r="9451" spans="36:36" x14ac:dyDescent="0.35">
      <c r="AJ9451" s="213"/>
    </row>
    <row r="9452" spans="36:36" x14ac:dyDescent="0.35">
      <c r="AJ9452" s="213"/>
    </row>
    <row r="9453" spans="36:36" x14ac:dyDescent="0.35">
      <c r="AJ9453" s="213"/>
    </row>
    <row r="9454" spans="36:36" x14ac:dyDescent="0.35">
      <c r="AJ9454" s="213"/>
    </row>
    <row r="9455" spans="36:36" x14ac:dyDescent="0.35">
      <c r="AJ9455" s="213"/>
    </row>
    <row r="9456" spans="36:36" x14ac:dyDescent="0.35">
      <c r="AJ9456" s="213"/>
    </row>
    <row r="9457" spans="36:36" x14ac:dyDescent="0.35">
      <c r="AJ9457" s="213"/>
    </row>
    <row r="9458" spans="36:36" x14ac:dyDescent="0.35">
      <c r="AJ9458" s="213"/>
    </row>
    <row r="9459" spans="36:36" x14ac:dyDescent="0.35">
      <c r="AJ9459" s="213"/>
    </row>
    <row r="9460" spans="36:36" x14ac:dyDescent="0.35">
      <c r="AJ9460" s="213"/>
    </row>
    <row r="9461" spans="36:36" x14ac:dyDescent="0.35">
      <c r="AJ9461" s="213"/>
    </row>
    <row r="9462" spans="36:36" x14ac:dyDescent="0.35">
      <c r="AJ9462" s="213"/>
    </row>
    <row r="9463" spans="36:36" x14ac:dyDescent="0.35">
      <c r="AJ9463" s="213"/>
    </row>
    <row r="9464" spans="36:36" x14ac:dyDescent="0.35">
      <c r="AJ9464" s="213"/>
    </row>
    <row r="9465" spans="36:36" x14ac:dyDescent="0.35">
      <c r="AJ9465" s="213"/>
    </row>
    <row r="9466" spans="36:36" x14ac:dyDescent="0.35">
      <c r="AJ9466" s="213"/>
    </row>
    <row r="9467" spans="36:36" x14ac:dyDescent="0.35">
      <c r="AJ9467" s="213"/>
    </row>
    <row r="9468" spans="36:36" x14ac:dyDescent="0.35">
      <c r="AJ9468" s="213"/>
    </row>
    <row r="9469" spans="36:36" x14ac:dyDescent="0.35">
      <c r="AJ9469" s="213"/>
    </row>
    <row r="9470" spans="36:36" x14ac:dyDescent="0.35">
      <c r="AJ9470" s="213"/>
    </row>
    <row r="9471" spans="36:36" x14ac:dyDescent="0.35">
      <c r="AJ9471" s="213"/>
    </row>
    <row r="9472" spans="36:36" x14ac:dyDescent="0.35">
      <c r="AJ9472" s="213"/>
    </row>
    <row r="9473" spans="36:36" x14ac:dyDescent="0.35">
      <c r="AJ9473" s="213"/>
    </row>
    <row r="9474" spans="36:36" x14ac:dyDescent="0.35">
      <c r="AJ9474" s="213"/>
    </row>
    <row r="9475" spans="36:36" x14ac:dyDescent="0.35">
      <c r="AJ9475" s="213"/>
    </row>
    <row r="9476" spans="36:36" x14ac:dyDescent="0.35">
      <c r="AJ9476" s="213"/>
    </row>
    <row r="9477" spans="36:36" x14ac:dyDescent="0.35">
      <c r="AJ9477" s="213"/>
    </row>
    <row r="9478" spans="36:36" x14ac:dyDescent="0.35">
      <c r="AJ9478" s="213"/>
    </row>
    <row r="9479" spans="36:36" x14ac:dyDescent="0.35">
      <c r="AJ9479" s="213"/>
    </row>
    <row r="9480" spans="36:36" x14ac:dyDescent="0.35">
      <c r="AJ9480" s="213"/>
    </row>
    <row r="9481" spans="36:36" x14ac:dyDescent="0.35">
      <c r="AJ9481" s="213"/>
    </row>
    <row r="9482" spans="36:36" x14ac:dyDescent="0.35">
      <c r="AJ9482" s="213"/>
    </row>
    <row r="9483" spans="36:36" x14ac:dyDescent="0.35">
      <c r="AJ9483" s="213"/>
    </row>
    <row r="9484" spans="36:36" x14ac:dyDescent="0.35">
      <c r="AJ9484" s="213"/>
    </row>
    <row r="9485" spans="36:36" x14ac:dyDescent="0.35">
      <c r="AJ9485" s="213"/>
    </row>
    <row r="9486" spans="36:36" x14ac:dyDescent="0.35">
      <c r="AJ9486" s="213"/>
    </row>
    <row r="9487" spans="36:36" x14ac:dyDescent="0.35">
      <c r="AJ9487" s="213"/>
    </row>
    <row r="9488" spans="36:36" x14ac:dyDescent="0.35">
      <c r="AJ9488" s="213"/>
    </row>
    <row r="9489" spans="36:36" x14ac:dyDescent="0.35">
      <c r="AJ9489" s="213"/>
    </row>
    <row r="9490" spans="36:36" x14ac:dyDescent="0.35">
      <c r="AJ9490" s="213"/>
    </row>
    <row r="9491" spans="36:36" x14ac:dyDescent="0.35">
      <c r="AJ9491" s="213"/>
    </row>
    <row r="9492" spans="36:36" x14ac:dyDescent="0.35">
      <c r="AJ9492" s="213"/>
    </row>
    <row r="9493" spans="36:36" x14ac:dyDescent="0.35">
      <c r="AJ9493" s="213"/>
    </row>
    <row r="9494" spans="36:36" x14ac:dyDescent="0.35">
      <c r="AJ9494" s="213"/>
    </row>
    <row r="9495" spans="36:36" x14ac:dyDescent="0.35">
      <c r="AJ9495" s="213"/>
    </row>
    <row r="9496" spans="36:36" x14ac:dyDescent="0.35">
      <c r="AJ9496" s="213"/>
    </row>
    <row r="9497" spans="36:36" x14ac:dyDescent="0.35">
      <c r="AJ9497" s="213"/>
    </row>
    <row r="9498" spans="36:36" x14ac:dyDescent="0.35">
      <c r="AJ9498" s="213"/>
    </row>
    <row r="9499" spans="36:36" x14ac:dyDescent="0.35">
      <c r="AJ9499" s="213"/>
    </row>
    <row r="9500" spans="36:36" x14ac:dyDescent="0.35">
      <c r="AJ9500" s="213"/>
    </row>
    <row r="9501" spans="36:36" x14ac:dyDescent="0.35">
      <c r="AJ9501" s="213"/>
    </row>
    <row r="9502" spans="36:36" x14ac:dyDescent="0.35">
      <c r="AJ9502" s="213"/>
    </row>
    <row r="9503" spans="36:36" x14ac:dyDescent="0.35">
      <c r="AJ9503" s="213"/>
    </row>
    <row r="9504" spans="36:36" x14ac:dyDescent="0.35">
      <c r="AJ9504" s="213"/>
    </row>
    <row r="9505" spans="36:36" x14ac:dyDescent="0.35">
      <c r="AJ9505" s="213"/>
    </row>
    <row r="9506" spans="36:36" x14ac:dyDescent="0.35">
      <c r="AJ9506" s="213"/>
    </row>
    <row r="9507" spans="36:36" x14ac:dyDescent="0.35">
      <c r="AJ9507" s="213"/>
    </row>
    <row r="9508" spans="36:36" x14ac:dyDescent="0.35">
      <c r="AJ9508" s="213"/>
    </row>
    <row r="9509" spans="36:36" x14ac:dyDescent="0.35">
      <c r="AJ9509" s="213"/>
    </row>
    <row r="9510" spans="36:36" x14ac:dyDescent="0.35">
      <c r="AJ9510" s="213"/>
    </row>
    <row r="9511" spans="36:36" x14ac:dyDescent="0.35">
      <c r="AJ9511" s="213"/>
    </row>
    <row r="9512" spans="36:36" x14ac:dyDescent="0.35">
      <c r="AJ9512" s="213"/>
    </row>
    <row r="9513" spans="36:36" x14ac:dyDescent="0.35">
      <c r="AJ9513" s="213"/>
    </row>
    <row r="9514" spans="36:36" x14ac:dyDescent="0.35">
      <c r="AJ9514" s="213"/>
    </row>
    <row r="9515" spans="36:36" x14ac:dyDescent="0.35">
      <c r="AJ9515" s="213"/>
    </row>
    <row r="9516" spans="36:36" x14ac:dyDescent="0.35">
      <c r="AJ9516" s="213"/>
    </row>
    <row r="9517" spans="36:36" x14ac:dyDescent="0.35">
      <c r="AJ9517" s="213"/>
    </row>
    <row r="9518" spans="36:36" x14ac:dyDescent="0.35">
      <c r="AJ9518" s="213"/>
    </row>
    <row r="9519" spans="36:36" x14ac:dyDescent="0.35">
      <c r="AJ9519" s="213"/>
    </row>
    <row r="9520" spans="36:36" x14ac:dyDescent="0.35">
      <c r="AJ9520" s="213"/>
    </row>
    <row r="9521" spans="36:36" x14ac:dyDescent="0.35">
      <c r="AJ9521" s="213"/>
    </row>
    <row r="9522" spans="36:36" x14ac:dyDescent="0.35">
      <c r="AJ9522" s="213"/>
    </row>
    <row r="9523" spans="36:36" x14ac:dyDescent="0.35">
      <c r="AJ9523" s="213"/>
    </row>
    <row r="9524" spans="36:36" x14ac:dyDescent="0.35">
      <c r="AJ9524" s="213"/>
    </row>
    <row r="9525" spans="36:36" x14ac:dyDescent="0.35">
      <c r="AJ9525" s="213"/>
    </row>
    <row r="9526" spans="36:36" x14ac:dyDescent="0.35">
      <c r="AJ9526" s="213"/>
    </row>
    <row r="9527" spans="36:36" x14ac:dyDescent="0.35">
      <c r="AJ9527" s="213"/>
    </row>
    <row r="9528" spans="36:36" x14ac:dyDescent="0.35">
      <c r="AJ9528" s="213"/>
    </row>
    <row r="9529" spans="36:36" x14ac:dyDescent="0.35">
      <c r="AJ9529" s="213"/>
    </row>
    <row r="9530" spans="36:36" x14ac:dyDescent="0.35">
      <c r="AJ9530" s="213"/>
    </row>
    <row r="9531" spans="36:36" x14ac:dyDescent="0.35">
      <c r="AJ9531" s="213"/>
    </row>
    <row r="9532" spans="36:36" x14ac:dyDescent="0.35">
      <c r="AJ9532" s="213"/>
    </row>
    <row r="9533" spans="36:36" x14ac:dyDescent="0.35">
      <c r="AJ9533" s="213"/>
    </row>
    <row r="9534" spans="36:36" x14ac:dyDescent="0.35">
      <c r="AJ9534" s="213"/>
    </row>
    <row r="9535" spans="36:36" x14ac:dyDescent="0.35">
      <c r="AJ9535" s="213"/>
    </row>
    <row r="9536" spans="36:36" x14ac:dyDescent="0.35">
      <c r="AJ9536" s="213"/>
    </row>
    <row r="9537" spans="36:36" x14ac:dyDescent="0.35">
      <c r="AJ9537" s="213"/>
    </row>
    <row r="9538" spans="36:36" x14ac:dyDescent="0.35">
      <c r="AJ9538" s="213"/>
    </row>
    <row r="9539" spans="36:36" x14ac:dyDescent="0.35">
      <c r="AJ9539" s="213"/>
    </row>
    <row r="9540" spans="36:36" x14ac:dyDescent="0.35">
      <c r="AJ9540" s="213"/>
    </row>
    <row r="9541" spans="36:36" x14ac:dyDescent="0.35">
      <c r="AJ9541" s="213"/>
    </row>
    <row r="9542" spans="36:36" x14ac:dyDescent="0.35">
      <c r="AJ9542" s="213"/>
    </row>
    <row r="9543" spans="36:36" x14ac:dyDescent="0.35">
      <c r="AJ9543" s="213"/>
    </row>
    <row r="9544" spans="36:36" x14ac:dyDescent="0.35">
      <c r="AJ9544" s="213"/>
    </row>
    <row r="9545" spans="36:36" x14ac:dyDescent="0.35">
      <c r="AJ9545" s="213"/>
    </row>
    <row r="9546" spans="36:36" x14ac:dyDescent="0.35">
      <c r="AJ9546" s="213"/>
    </row>
    <row r="9547" spans="36:36" x14ac:dyDescent="0.35">
      <c r="AJ9547" s="213"/>
    </row>
    <row r="9548" spans="36:36" x14ac:dyDescent="0.35">
      <c r="AJ9548" s="213"/>
    </row>
    <row r="9549" spans="36:36" x14ac:dyDescent="0.35">
      <c r="AJ9549" s="213"/>
    </row>
    <row r="9550" spans="36:36" x14ac:dyDescent="0.35">
      <c r="AJ9550" s="213"/>
    </row>
    <row r="9551" spans="36:36" x14ac:dyDescent="0.35">
      <c r="AJ9551" s="213"/>
    </row>
    <row r="9552" spans="36:36" x14ac:dyDescent="0.35">
      <c r="AJ9552" s="213"/>
    </row>
    <row r="9553" spans="36:36" x14ac:dyDescent="0.35">
      <c r="AJ9553" s="213"/>
    </row>
    <row r="9554" spans="36:36" x14ac:dyDescent="0.35">
      <c r="AJ9554" s="213"/>
    </row>
    <row r="9555" spans="36:36" x14ac:dyDescent="0.35">
      <c r="AJ9555" s="213"/>
    </row>
    <row r="9556" spans="36:36" x14ac:dyDescent="0.35">
      <c r="AJ9556" s="213"/>
    </row>
    <row r="9557" spans="36:36" x14ac:dyDescent="0.35">
      <c r="AJ9557" s="213"/>
    </row>
    <row r="9558" spans="36:36" x14ac:dyDescent="0.35">
      <c r="AJ9558" s="213"/>
    </row>
    <row r="9559" spans="36:36" x14ac:dyDescent="0.35">
      <c r="AJ9559" s="213"/>
    </row>
    <row r="9560" spans="36:36" x14ac:dyDescent="0.35">
      <c r="AJ9560" s="213"/>
    </row>
    <row r="9561" spans="36:36" x14ac:dyDescent="0.35">
      <c r="AJ9561" s="213"/>
    </row>
    <row r="9562" spans="36:36" x14ac:dyDescent="0.35">
      <c r="AJ9562" s="213"/>
    </row>
    <row r="9563" spans="36:36" x14ac:dyDescent="0.35">
      <c r="AJ9563" s="213"/>
    </row>
    <row r="9564" spans="36:36" x14ac:dyDescent="0.35">
      <c r="AJ9564" s="213"/>
    </row>
    <row r="9565" spans="36:36" x14ac:dyDescent="0.35">
      <c r="AJ9565" s="213"/>
    </row>
    <row r="9566" spans="36:36" x14ac:dyDescent="0.35">
      <c r="AJ9566" s="213"/>
    </row>
    <row r="9567" spans="36:36" x14ac:dyDescent="0.35">
      <c r="AJ9567" s="213"/>
    </row>
    <row r="9568" spans="36:36" x14ac:dyDescent="0.35">
      <c r="AJ9568" s="213"/>
    </row>
    <row r="9569" spans="36:36" x14ac:dyDescent="0.35">
      <c r="AJ9569" s="213"/>
    </row>
    <row r="9570" spans="36:36" x14ac:dyDescent="0.35">
      <c r="AJ9570" s="213"/>
    </row>
    <row r="9571" spans="36:36" x14ac:dyDescent="0.35">
      <c r="AJ9571" s="213"/>
    </row>
    <row r="9572" spans="36:36" x14ac:dyDescent="0.35">
      <c r="AJ9572" s="213"/>
    </row>
    <row r="9573" spans="36:36" x14ac:dyDescent="0.35">
      <c r="AJ9573" s="213"/>
    </row>
    <row r="9574" spans="36:36" x14ac:dyDescent="0.35">
      <c r="AJ9574" s="213"/>
    </row>
    <row r="9575" spans="36:36" x14ac:dyDescent="0.35">
      <c r="AJ9575" s="213"/>
    </row>
    <row r="9576" spans="36:36" x14ac:dyDescent="0.35">
      <c r="AJ9576" s="213"/>
    </row>
    <row r="9577" spans="36:36" x14ac:dyDescent="0.35">
      <c r="AJ9577" s="213"/>
    </row>
    <row r="9578" spans="36:36" x14ac:dyDescent="0.35">
      <c r="AJ9578" s="213"/>
    </row>
    <row r="9579" spans="36:36" x14ac:dyDescent="0.35">
      <c r="AJ9579" s="213"/>
    </row>
    <row r="9580" spans="36:36" x14ac:dyDescent="0.35">
      <c r="AJ9580" s="213"/>
    </row>
    <row r="9581" spans="36:36" x14ac:dyDescent="0.35">
      <c r="AJ9581" s="213"/>
    </row>
    <row r="9582" spans="36:36" x14ac:dyDescent="0.35">
      <c r="AJ9582" s="213"/>
    </row>
    <row r="9583" spans="36:36" x14ac:dyDescent="0.35">
      <c r="AJ9583" s="213"/>
    </row>
    <row r="9584" spans="36:36" x14ac:dyDescent="0.35">
      <c r="AJ9584" s="213"/>
    </row>
    <row r="9585" spans="36:36" x14ac:dyDescent="0.35">
      <c r="AJ9585" s="213"/>
    </row>
    <row r="9586" spans="36:36" x14ac:dyDescent="0.35">
      <c r="AJ9586" s="213"/>
    </row>
    <row r="9587" spans="36:36" x14ac:dyDescent="0.35">
      <c r="AJ9587" s="213"/>
    </row>
    <row r="9588" spans="36:36" x14ac:dyDescent="0.35">
      <c r="AJ9588" s="213"/>
    </row>
    <row r="9589" spans="36:36" x14ac:dyDescent="0.35">
      <c r="AJ9589" s="213"/>
    </row>
    <row r="9590" spans="36:36" x14ac:dyDescent="0.35">
      <c r="AJ9590" s="213"/>
    </row>
    <row r="9591" spans="36:36" x14ac:dyDescent="0.35">
      <c r="AJ9591" s="213"/>
    </row>
    <row r="9592" spans="36:36" x14ac:dyDescent="0.35">
      <c r="AJ9592" s="213"/>
    </row>
    <row r="9593" spans="36:36" x14ac:dyDescent="0.35">
      <c r="AJ9593" s="213"/>
    </row>
    <row r="9594" spans="36:36" x14ac:dyDescent="0.35">
      <c r="AJ9594" s="213"/>
    </row>
    <row r="9595" spans="36:36" x14ac:dyDescent="0.35">
      <c r="AJ9595" s="213"/>
    </row>
    <row r="9596" spans="36:36" x14ac:dyDescent="0.35">
      <c r="AJ9596" s="213"/>
    </row>
    <row r="9597" spans="36:36" x14ac:dyDescent="0.35">
      <c r="AJ9597" s="213"/>
    </row>
    <row r="9598" spans="36:36" x14ac:dyDescent="0.35">
      <c r="AJ9598" s="213"/>
    </row>
    <row r="9599" spans="36:36" x14ac:dyDescent="0.35">
      <c r="AJ9599" s="213"/>
    </row>
    <row r="9600" spans="36:36" x14ac:dyDescent="0.35">
      <c r="AJ9600" s="213"/>
    </row>
    <row r="9601" spans="36:36" x14ac:dyDescent="0.35">
      <c r="AJ9601" s="213"/>
    </row>
    <row r="9602" spans="36:36" x14ac:dyDescent="0.35">
      <c r="AJ9602" s="213"/>
    </row>
    <row r="9603" spans="36:36" x14ac:dyDescent="0.35">
      <c r="AJ9603" s="213"/>
    </row>
    <row r="9604" spans="36:36" x14ac:dyDescent="0.35">
      <c r="AJ9604" s="213"/>
    </row>
    <row r="9605" spans="36:36" x14ac:dyDescent="0.35">
      <c r="AJ9605" s="213"/>
    </row>
    <row r="9606" spans="36:36" x14ac:dyDescent="0.35">
      <c r="AJ9606" s="213"/>
    </row>
    <row r="9607" spans="36:36" x14ac:dyDescent="0.35">
      <c r="AJ9607" s="213"/>
    </row>
    <row r="9608" spans="36:36" x14ac:dyDescent="0.35">
      <c r="AJ9608" s="213"/>
    </row>
    <row r="9609" spans="36:36" x14ac:dyDescent="0.35">
      <c r="AJ9609" s="213"/>
    </row>
    <row r="9610" spans="36:36" x14ac:dyDescent="0.35">
      <c r="AJ9610" s="213"/>
    </row>
    <row r="9611" spans="36:36" x14ac:dyDescent="0.35">
      <c r="AJ9611" s="213"/>
    </row>
    <row r="9612" spans="36:36" x14ac:dyDescent="0.35">
      <c r="AJ9612" s="213"/>
    </row>
    <row r="9613" spans="36:36" x14ac:dyDescent="0.35">
      <c r="AJ9613" s="213"/>
    </row>
    <row r="9614" spans="36:36" x14ac:dyDescent="0.35">
      <c r="AJ9614" s="213"/>
    </row>
    <row r="9615" spans="36:36" x14ac:dyDescent="0.35">
      <c r="AJ9615" s="213"/>
    </row>
    <row r="9616" spans="36:36" x14ac:dyDescent="0.35">
      <c r="AJ9616" s="213"/>
    </row>
    <row r="9617" spans="36:36" x14ac:dyDescent="0.35">
      <c r="AJ9617" s="213"/>
    </row>
    <row r="9618" spans="36:36" x14ac:dyDescent="0.35">
      <c r="AJ9618" s="213"/>
    </row>
    <row r="9619" spans="36:36" x14ac:dyDescent="0.35">
      <c r="AJ9619" s="213"/>
    </row>
    <row r="9620" spans="36:36" x14ac:dyDescent="0.35">
      <c r="AJ9620" s="213"/>
    </row>
    <row r="9621" spans="36:36" x14ac:dyDescent="0.35">
      <c r="AJ9621" s="213"/>
    </row>
    <row r="9622" spans="36:36" x14ac:dyDescent="0.35">
      <c r="AJ9622" s="213"/>
    </row>
    <row r="9623" spans="36:36" x14ac:dyDescent="0.35">
      <c r="AJ9623" s="213"/>
    </row>
    <row r="9624" spans="36:36" x14ac:dyDescent="0.35">
      <c r="AJ9624" s="213"/>
    </row>
    <row r="9625" spans="36:36" x14ac:dyDescent="0.35">
      <c r="AJ9625" s="213"/>
    </row>
    <row r="9626" spans="36:36" x14ac:dyDescent="0.35">
      <c r="AJ9626" s="213"/>
    </row>
    <row r="9627" spans="36:36" x14ac:dyDescent="0.35">
      <c r="AJ9627" s="213"/>
    </row>
    <row r="9628" spans="36:36" x14ac:dyDescent="0.35">
      <c r="AJ9628" s="213"/>
    </row>
    <row r="9629" spans="36:36" x14ac:dyDescent="0.35">
      <c r="AJ9629" s="213"/>
    </row>
    <row r="9630" spans="36:36" x14ac:dyDescent="0.35">
      <c r="AJ9630" s="213"/>
    </row>
    <row r="9631" spans="36:36" x14ac:dyDescent="0.35">
      <c r="AJ9631" s="213"/>
    </row>
    <row r="9632" spans="36:36" x14ac:dyDescent="0.35">
      <c r="AJ9632" s="213"/>
    </row>
    <row r="9633" spans="36:36" x14ac:dyDescent="0.35">
      <c r="AJ9633" s="213"/>
    </row>
    <row r="9634" spans="36:36" x14ac:dyDescent="0.35">
      <c r="AJ9634" s="213"/>
    </row>
    <row r="9635" spans="36:36" x14ac:dyDescent="0.35">
      <c r="AJ9635" s="213"/>
    </row>
    <row r="9636" spans="36:36" x14ac:dyDescent="0.35">
      <c r="AJ9636" s="213"/>
    </row>
    <row r="9637" spans="36:36" x14ac:dyDescent="0.35">
      <c r="AJ9637" s="213"/>
    </row>
    <row r="9638" spans="36:36" x14ac:dyDescent="0.35">
      <c r="AJ9638" s="213"/>
    </row>
    <row r="9639" spans="36:36" x14ac:dyDescent="0.35">
      <c r="AJ9639" s="213"/>
    </row>
    <row r="9640" spans="36:36" x14ac:dyDescent="0.35">
      <c r="AJ9640" s="213"/>
    </row>
    <row r="9641" spans="36:36" x14ac:dyDescent="0.35">
      <c r="AJ9641" s="213"/>
    </row>
    <row r="9642" spans="36:36" x14ac:dyDescent="0.35">
      <c r="AJ9642" s="213"/>
    </row>
    <row r="9643" spans="36:36" x14ac:dyDescent="0.35">
      <c r="AJ9643" s="213"/>
    </row>
    <row r="9644" spans="36:36" x14ac:dyDescent="0.35">
      <c r="AJ9644" s="213"/>
    </row>
    <row r="9645" spans="36:36" x14ac:dyDescent="0.35">
      <c r="AJ9645" s="213"/>
    </row>
    <row r="9646" spans="36:36" x14ac:dyDescent="0.35">
      <c r="AJ9646" s="213"/>
    </row>
    <row r="9647" spans="36:36" x14ac:dyDescent="0.35">
      <c r="AJ9647" s="213"/>
    </row>
    <row r="9648" spans="36:36" x14ac:dyDescent="0.35">
      <c r="AJ9648" s="213"/>
    </row>
    <row r="9649" spans="36:36" x14ac:dyDescent="0.35">
      <c r="AJ9649" s="213"/>
    </row>
    <row r="9650" spans="36:36" x14ac:dyDescent="0.35">
      <c r="AJ9650" s="213"/>
    </row>
    <row r="9651" spans="36:36" x14ac:dyDescent="0.35">
      <c r="AJ9651" s="213"/>
    </row>
    <row r="9652" spans="36:36" x14ac:dyDescent="0.35">
      <c r="AJ9652" s="213"/>
    </row>
    <row r="9653" spans="36:36" x14ac:dyDescent="0.35">
      <c r="AJ9653" s="213"/>
    </row>
    <row r="9654" spans="36:36" x14ac:dyDescent="0.35">
      <c r="AJ9654" s="213"/>
    </row>
    <row r="9655" spans="36:36" x14ac:dyDescent="0.35">
      <c r="AJ9655" s="213"/>
    </row>
    <row r="9656" spans="36:36" x14ac:dyDescent="0.35">
      <c r="AJ9656" s="213"/>
    </row>
    <row r="9657" spans="36:36" x14ac:dyDescent="0.35">
      <c r="AJ9657" s="213"/>
    </row>
    <row r="9658" spans="36:36" x14ac:dyDescent="0.35">
      <c r="AJ9658" s="213"/>
    </row>
    <row r="9659" spans="36:36" x14ac:dyDescent="0.35">
      <c r="AJ9659" s="213"/>
    </row>
    <row r="9660" spans="36:36" x14ac:dyDescent="0.35">
      <c r="AJ9660" s="213"/>
    </row>
    <row r="9661" spans="36:36" x14ac:dyDescent="0.35">
      <c r="AJ9661" s="213"/>
    </row>
    <row r="9662" spans="36:36" x14ac:dyDescent="0.35">
      <c r="AJ9662" s="213"/>
    </row>
    <row r="9663" spans="36:36" x14ac:dyDescent="0.35">
      <c r="AJ9663" s="213"/>
    </row>
    <row r="9664" spans="36:36" x14ac:dyDescent="0.35">
      <c r="AJ9664" s="213"/>
    </row>
    <row r="9665" spans="36:36" x14ac:dyDescent="0.35">
      <c r="AJ9665" s="213"/>
    </row>
    <row r="9666" spans="36:36" x14ac:dyDescent="0.35">
      <c r="AJ9666" s="213"/>
    </row>
    <row r="9667" spans="36:36" x14ac:dyDescent="0.35">
      <c r="AJ9667" s="213"/>
    </row>
    <row r="9668" spans="36:36" x14ac:dyDescent="0.35">
      <c r="AJ9668" s="213"/>
    </row>
    <row r="9669" spans="36:36" x14ac:dyDescent="0.35">
      <c r="AJ9669" s="213"/>
    </row>
    <row r="9670" spans="36:36" x14ac:dyDescent="0.35">
      <c r="AJ9670" s="213"/>
    </row>
    <row r="9671" spans="36:36" x14ac:dyDescent="0.35">
      <c r="AJ9671" s="213"/>
    </row>
    <row r="9672" spans="36:36" x14ac:dyDescent="0.35">
      <c r="AJ9672" s="213"/>
    </row>
    <row r="9673" spans="36:36" x14ac:dyDescent="0.35">
      <c r="AJ9673" s="213"/>
    </row>
    <row r="9674" spans="36:36" x14ac:dyDescent="0.35">
      <c r="AJ9674" s="213"/>
    </row>
    <row r="9675" spans="36:36" x14ac:dyDescent="0.35">
      <c r="AJ9675" s="213"/>
    </row>
    <row r="9676" spans="36:36" x14ac:dyDescent="0.35">
      <c r="AJ9676" s="213"/>
    </row>
    <row r="9677" spans="36:36" x14ac:dyDescent="0.35">
      <c r="AJ9677" s="213"/>
    </row>
    <row r="9678" spans="36:36" x14ac:dyDescent="0.35">
      <c r="AJ9678" s="213"/>
    </row>
    <row r="9679" spans="36:36" x14ac:dyDescent="0.35">
      <c r="AJ9679" s="213"/>
    </row>
    <row r="9680" spans="36:36" x14ac:dyDescent="0.35">
      <c r="AJ9680" s="213"/>
    </row>
    <row r="9681" spans="36:36" x14ac:dyDescent="0.35">
      <c r="AJ9681" s="213"/>
    </row>
    <row r="9682" spans="36:36" x14ac:dyDescent="0.35">
      <c r="AJ9682" s="213"/>
    </row>
    <row r="9683" spans="36:36" x14ac:dyDescent="0.35">
      <c r="AJ9683" s="213"/>
    </row>
    <row r="9684" spans="36:36" x14ac:dyDescent="0.35">
      <c r="AJ9684" s="213"/>
    </row>
    <row r="9685" spans="36:36" x14ac:dyDescent="0.35">
      <c r="AJ9685" s="213"/>
    </row>
    <row r="9686" spans="36:36" x14ac:dyDescent="0.35">
      <c r="AJ9686" s="213"/>
    </row>
    <row r="9687" spans="36:36" x14ac:dyDescent="0.35">
      <c r="AJ9687" s="213"/>
    </row>
    <row r="9688" spans="36:36" x14ac:dyDescent="0.35">
      <c r="AJ9688" s="213"/>
    </row>
    <row r="9689" spans="36:36" x14ac:dyDescent="0.35">
      <c r="AJ9689" s="213"/>
    </row>
    <row r="9690" spans="36:36" x14ac:dyDescent="0.35">
      <c r="AJ9690" s="213"/>
    </row>
    <row r="9691" spans="36:36" x14ac:dyDescent="0.35">
      <c r="AJ9691" s="213"/>
    </row>
    <row r="9692" spans="36:36" x14ac:dyDescent="0.35">
      <c r="AJ9692" s="213"/>
    </row>
    <row r="9693" spans="36:36" x14ac:dyDescent="0.35">
      <c r="AJ9693" s="213"/>
    </row>
    <row r="9694" spans="36:36" x14ac:dyDescent="0.35">
      <c r="AJ9694" s="213"/>
    </row>
    <row r="9695" spans="36:36" x14ac:dyDescent="0.35">
      <c r="AJ9695" s="213"/>
    </row>
    <row r="9696" spans="36:36" x14ac:dyDescent="0.35">
      <c r="AJ9696" s="213"/>
    </row>
    <row r="9697" spans="36:36" x14ac:dyDescent="0.35">
      <c r="AJ9697" s="213"/>
    </row>
    <row r="9698" spans="36:36" x14ac:dyDescent="0.35">
      <c r="AJ9698" s="213"/>
    </row>
    <row r="9699" spans="36:36" x14ac:dyDescent="0.35">
      <c r="AJ9699" s="213"/>
    </row>
    <row r="9700" spans="36:36" x14ac:dyDescent="0.35">
      <c r="AJ9700" s="213"/>
    </row>
    <row r="9701" spans="36:36" x14ac:dyDescent="0.35">
      <c r="AJ9701" s="213"/>
    </row>
    <row r="9702" spans="36:36" x14ac:dyDescent="0.35">
      <c r="AJ9702" s="213"/>
    </row>
    <row r="9703" spans="36:36" x14ac:dyDescent="0.35">
      <c r="AJ9703" s="213"/>
    </row>
    <row r="9704" spans="36:36" x14ac:dyDescent="0.35">
      <c r="AJ9704" s="213"/>
    </row>
    <row r="9705" spans="36:36" x14ac:dyDescent="0.35">
      <c r="AJ9705" s="213"/>
    </row>
    <row r="9706" spans="36:36" x14ac:dyDescent="0.35">
      <c r="AJ9706" s="213"/>
    </row>
    <row r="9707" spans="36:36" x14ac:dyDescent="0.35">
      <c r="AJ9707" s="213"/>
    </row>
    <row r="9708" spans="36:36" x14ac:dyDescent="0.35">
      <c r="AJ9708" s="213"/>
    </row>
    <row r="9709" spans="36:36" x14ac:dyDescent="0.35">
      <c r="AJ9709" s="213"/>
    </row>
    <row r="9710" spans="36:36" x14ac:dyDescent="0.35">
      <c r="AJ9710" s="213"/>
    </row>
    <row r="9711" spans="36:36" x14ac:dyDescent="0.35">
      <c r="AJ9711" s="213"/>
    </row>
    <row r="9712" spans="36:36" x14ac:dyDescent="0.35">
      <c r="AJ9712" s="213"/>
    </row>
    <row r="9713" spans="36:36" x14ac:dyDescent="0.35">
      <c r="AJ9713" s="213"/>
    </row>
    <row r="9714" spans="36:36" x14ac:dyDescent="0.35">
      <c r="AJ9714" s="213"/>
    </row>
    <row r="9715" spans="36:36" x14ac:dyDescent="0.35">
      <c r="AJ9715" s="213"/>
    </row>
    <row r="9716" spans="36:36" x14ac:dyDescent="0.35">
      <c r="AJ9716" s="213"/>
    </row>
    <row r="9717" spans="36:36" x14ac:dyDescent="0.35">
      <c r="AJ9717" s="213"/>
    </row>
    <row r="9718" spans="36:36" x14ac:dyDescent="0.35">
      <c r="AJ9718" s="213"/>
    </row>
    <row r="9719" spans="36:36" x14ac:dyDescent="0.35">
      <c r="AJ9719" s="213"/>
    </row>
    <row r="9720" spans="36:36" x14ac:dyDescent="0.35">
      <c r="AJ9720" s="213"/>
    </row>
    <row r="9721" spans="36:36" x14ac:dyDescent="0.35">
      <c r="AJ9721" s="213"/>
    </row>
    <row r="9722" spans="36:36" x14ac:dyDescent="0.35">
      <c r="AJ9722" s="213"/>
    </row>
    <row r="9723" spans="36:36" x14ac:dyDescent="0.35">
      <c r="AJ9723" s="213"/>
    </row>
    <row r="9724" spans="36:36" x14ac:dyDescent="0.35">
      <c r="AJ9724" s="213"/>
    </row>
    <row r="9725" spans="36:36" x14ac:dyDescent="0.35">
      <c r="AJ9725" s="213"/>
    </row>
    <row r="9726" spans="36:36" x14ac:dyDescent="0.35">
      <c r="AJ9726" s="213"/>
    </row>
    <row r="9727" spans="36:36" x14ac:dyDescent="0.35">
      <c r="AJ9727" s="213"/>
    </row>
    <row r="9728" spans="36:36" x14ac:dyDescent="0.35">
      <c r="AJ9728" s="213"/>
    </row>
    <row r="9729" spans="36:36" x14ac:dyDescent="0.35">
      <c r="AJ9729" s="213"/>
    </row>
    <row r="9730" spans="36:36" x14ac:dyDescent="0.35">
      <c r="AJ9730" s="213"/>
    </row>
    <row r="9731" spans="36:36" x14ac:dyDescent="0.35">
      <c r="AJ9731" s="213"/>
    </row>
    <row r="9732" spans="36:36" x14ac:dyDescent="0.35">
      <c r="AJ9732" s="213"/>
    </row>
    <row r="9733" spans="36:36" x14ac:dyDescent="0.35">
      <c r="AJ9733" s="213"/>
    </row>
    <row r="9734" spans="36:36" x14ac:dyDescent="0.35">
      <c r="AJ9734" s="213"/>
    </row>
    <row r="9735" spans="36:36" x14ac:dyDescent="0.35">
      <c r="AJ9735" s="213"/>
    </row>
    <row r="9736" spans="36:36" x14ac:dyDescent="0.35">
      <c r="AJ9736" s="213"/>
    </row>
    <row r="9737" spans="36:36" x14ac:dyDescent="0.35">
      <c r="AJ9737" s="213"/>
    </row>
    <row r="9738" spans="36:36" x14ac:dyDescent="0.35">
      <c r="AJ9738" s="213"/>
    </row>
    <row r="9739" spans="36:36" x14ac:dyDescent="0.35">
      <c r="AJ9739" s="213"/>
    </row>
    <row r="9740" spans="36:36" x14ac:dyDescent="0.35">
      <c r="AJ9740" s="213"/>
    </row>
    <row r="9741" spans="36:36" x14ac:dyDescent="0.35">
      <c r="AJ9741" s="213"/>
    </row>
    <row r="9742" spans="36:36" x14ac:dyDescent="0.35">
      <c r="AJ9742" s="213"/>
    </row>
    <row r="9743" spans="36:36" x14ac:dyDescent="0.35">
      <c r="AJ9743" s="213"/>
    </row>
    <row r="9744" spans="36:36" x14ac:dyDescent="0.35">
      <c r="AJ9744" s="213"/>
    </row>
    <row r="9745" spans="36:36" x14ac:dyDescent="0.35">
      <c r="AJ9745" s="213"/>
    </row>
    <row r="9746" spans="36:36" x14ac:dyDescent="0.35">
      <c r="AJ9746" s="213"/>
    </row>
    <row r="9747" spans="36:36" x14ac:dyDescent="0.35">
      <c r="AJ9747" s="213"/>
    </row>
    <row r="9748" spans="36:36" x14ac:dyDescent="0.35">
      <c r="AJ9748" s="213"/>
    </row>
    <row r="9749" spans="36:36" x14ac:dyDescent="0.35">
      <c r="AJ9749" s="213"/>
    </row>
    <row r="9750" spans="36:36" x14ac:dyDescent="0.35">
      <c r="AJ9750" s="213"/>
    </row>
    <row r="9751" spans="36:36" x14ac:dyDescent="0.35">
      <c r="AJ9751" s="213"/>
    </row>
    <row r="9752" spans="36:36" x14ac:dyDescent="0.35">
      <c r="AJ9752" s="213"/>
    </row>
    <row r="9753" spans="36:36" x14ac:dyDescent="0.35">
      <c r="AJ9753" s="213"/>
    </row>
    <row r="9754" spans="36:36" x14ac:dyDescent="0.35">
      <c r="AJ9754" s="213"/>
    </row>
    <row r="9755" spans="36:36" x14ac:dyDescent="0.35">
      <c r="AJ9755" s="213"/>
    </row>
    <row r="9756" spans="36:36" x14ac:dyDescent="0.35">
      <c r="AJ9756" s="213"/>
    </row>
    <row r="9757" spans="36:36" x14ac:dyDescent="0.35">
      <c r="AJ9757" s="213"/>
    </row>
    <row r="9758" spans="36:36" x14ac:dyDescent="0.35">
      <c r="AJ9758" s="213"/>
    </row>
    <row r="9759" spans="36:36" x14ac:dyDescent="0.35">
      <c r="AJ9759" s="213"/>
    </row>
    <row r="9760" spans="36:36" x14ac:dyDescent="0.35">
      <c r="AJ9760" s="213"/>
    </row>
    <row r="9761" spans="36:36" x14ac:dyDescent="0.35">
      <c r="AJ9761" s="213"/>
    </row>
    <row r="9762" spans="36:36" x14ac:dyDescent="0.35">
      <c r="AJ9762" s="213"/>
    </row>
    <row r="9763" spans="36:36" x14ac:dyDescent="0.35">
      <c r="AJ9763" s="213"/>
    </row>
    <row r="9764" spans="36:36" x14ac:dyDescent="0.35">
      <c r="AJ9764" s="213"/>
    </row>
    <row r="9765" spans="36:36" x14ac:dyDescent="0.35">
      <c r="AJ9765" s="213"/>
    </row>
    <row r="9766" spans="36:36" x14ac:dyDescent="0.35">
      <c r="AJ9766" s="213"/>
    </row>
    <row r="9767" spans="36:36" x14ac:dyDescent="0.35">
      <c r="AJ9767" s="213"/>
    </row>
    <row r="9768" spans="36:36" x14ac:dyDescent="0.35">
      <c r="AJ9768" s="213"/>
    </row>
    <row r="9769" spans="36:36" x14ac:dyDescent="0.35">
      <c r="AJ9769" s="213"/>
    </row>
    <row r="9770" spans="36:36" x14ac:dyDescent="0.35">
      <c r="AJ9770" s="213"/>
    </row>
    <row r="9771" spans="36:36" x14ac:dyDescent="0.35">
      <c r="AJ9771" s="213"/>
    </row>
    <row r="9772" spans="36:36" x14ac:dyDescent="0.35">
      <c r="AJ9772" s="213"/>
    </row>
    <row r="9773" spans="36:36" x14ac:dyDescent="0.35">
      <c r="AJ9773" s="213"/>
    </row>
    <row r="9774" spans="36:36" x14ac:dyDescent="0.35">
      <c r="AJ9774" s="213"/>
    </row>
    <row r="9775" spans="36:36" x14ac:dyDescent="0.35">
      <c r="AJ9775" s="213"/>
    </row>
    <row r="9776" spans="36:36" x14ac:dyDescent="0.35">
      <c r="AJ9776" s="213"/>
    </row>
    <row r="9777" spans="36:36" x14ac:dyDescent="0.35">
      <c r="AJ9777" s="213"/>
    </row>
    <row r="9778" spans="36:36" x14ac:dyDescent="0.35">
      <c r="AJ9778" s="213"/>
    </row>
    <row r="9779" spans="36:36" x14ac:dyDescent="0.35">
      <c r="AJ9779" s="213"/>
    </row>
    <row r="9780" spans="36:36" x14ac:dyDescent="0.35">
      <c r="AJ9780" s="213"/>
    </row>
    <row r="9781" spans="36:36" x14ac:dyDescent="0.35">
      <c r="AJ9781" s="213"/>
    </row>
    <row r="9782" spans="36:36" x14ac:dyDescent="0.35">
      <c r="AJ9782" s="213"/>
    </row>
    <row r="9783" spans="36:36" x14ac:dyDescent="0.35">
      <c r="AJ9783" s="213"/>
    </row>
    <row r="9784" spans="36:36" x14ac:dyDescent="0.35">
      <c r="AJ9784" s="213"/>
    </row>
    <row r="9785" spans="36:36" x14ac:dyDescent="0.35">
      <c r="AJ9785" s="213"/>
    </row>
    <row r="9786" spans="36:36" x14ac:dyDescent="0.35">
      <c r="AJ9786" s="213"/>
    </row>
    <row r="9787" spans="36:36" x14ac:dyDescent="0.35">
      <c r="AJ9787" s="213"/>
    </row>
    <row r="9788" spans="36:36" x14ac:dyDescent="0.35">
      <c r="AJ9788" s="213"/>
    </row>
    <row r="9789" spans="36:36" x14ac:dyDescent="0.35">
      <c r="AJ9789" s="213"/>
    </row>
    <row r="9790" spans="36:36" x14ac:dyDescent="0.35">
      <c r="AJ9790" s="213"/>
    </row>
    <row r="9791" spans="36:36" x14ac:dyDescent="0.35">
      <c r="AJ9791" s="213"/>
    </row>
    <row r="9792" spans="36:36" x14ac:dyDescent="0.35">
      <c r="AJ9792" s="213"/>
    </row>
    <row r="9793" spans="36:36" x14ac:dyDescent="0.35">
      <c r="AJ9793" s="213"/>
    </row>
    <row r="9794" spans="36:36" x14ac:dyDescent="0.35">
      <c r="AJ9794" s="213"/>
    </row>
    <row r="9795" spans="36:36" x14ac:dyDescent="0.35">
      <c r="AJ9795" s="213"/>
    </row>
    <row r="9796" spans="36:36" x14ac:dyDescent="0.35">
      <c r="AJ9796" s="213"/>
    </row>
    <row r="9797" spans="36:36" x14ac:dyDescent="0.35">
      <c r="AJ9797" s="213"/>
    </row>
    <row r="9798" spans="36:36" x14ac:dyDescent="0.35">
      <c r="AJ9798" s="213"/>
    </row>
    <row r="9799" spans="36:36" x14ac:dyDescent="0.35">
      <c r="AJ9799" s="213"/>
    </row>
    <row r="9800" spans="36:36" x14ac:dyDescent="0.35">
      <c r="AJ9800" s="213"/>
    </row>
    <row r="9801" spans="36:36" x14ac:dyDescent="0.35">
      <c r="AJ9801" s="213"/>
    </row>
    <row r="9802" spans="36:36" x14ac:dyDescent="0.35">
      <c r="AJ9802" s="213"/>
    </row>
    <row r="9803" spans="36:36" x14ac:dyDescent="0.35">
      <c r="AJ9803" s="213"/>
    </row>
    <row r="9804" spans="36:36" x14ac:dyDescent="0.35">
      <c r="AJ9804" s="213"/>
    </row>
    <row r="9805" spans="36:36" x14ac:dyDescent="0.35">
      <c r="AJ9805" s="213"/>
    </row>
    <row r="9806" spans="36:36" x14ac:dyDescent="0.35">
      <c r="AJ9806" s="213"/>
    </row>
    <row r="9807" spans="36:36" x14ac:dyDescent="0.35">
      <c r="AJ9807" s="213"/>
    </row>
    <row r="9808" spans="36:36" x14ac:dyDescent="0.35">
      <c r="AJ9808" s="213"/>
    </row>
    <row r="9809" spans="36:36" x14ac:dyDescent="0.35">
      <c r="AJ9809" s="213"/>
    </row>
    <row r="9810" spans="36:36" x14ac:dyDescent="0.35">
      <c r="AJ9810" s="213"/>
    </row>
    <row r="9811" spans="36:36" x14ac:dyDescent="0.35">
      <c r="AJ9811" s="213"/>
    </row>
    <row r="9812" spans="36:36" x14ac:dyDescent="0.35">
      <c r="AJ9812" s="213"/>
    </row>
    <row r="9813" spans="36:36" x14ac:dyDescent="0.35">
      <c r="AJ9813" s="213"/>
    </row>
    <row r="9814" spans="36:36" x14ac:dyDescent="0.35">
      <c r="AJ9814" s="213"/>
    </row>
    <row r="9815" spans="36:36" x14ac:dyDescent="0.35">
      <c r="AJ9815" s="213"/>
    </row>
    <row r="9816" spans="36:36" x14ac:dyDescent="0.35">
      <c r="AJ9816" s="213"/>
    </row>
    <row r="9817" spans="36:36" x14ac:dyDescent="0.35">
      <c r="AJ9817" s="213"/>
    </row>
    <row r="9818" spans="36:36" x14ac:dyDescent="0.35">
      <c r="AJ9818" s="213"/>
    </row>
    <row r="9819" spans="36:36" x14ac:dyDescent="0.35">
      <c r="AJ9819" s="213"/>
    </row>
    <row r="9820" spans="36:36" x14ac:dyDescent="0.35">
      <c r="AJ9820" s="213"/>
    </row>
    <row r="9821" spans="36:36" x14ac:dyDescent="0.35">
      <c r="AJ9821" s="213"/>
    </row>
    <row r="9822" spans="36:36" x14ac:dyDescent="0.35">
      <c r="AJ9822" s="213"/>
    </row>
    <row r="9823" spans="36:36" x14ac:dyDescent="0.35">
      <c r="AJ9823" s="213"/>
    </row>
    <row r="9824" spans="36:36" x14ac:dyDescent="0.35">
      <c r="AJ9824" s="213"/>
    </row>
    <row r="9825" spans="36:36" x14ac:dyDescent="0.35">
      <c r="AJ9825" s="213"/>
    </row>
    <row r="9826" spans="36:36" x14ac:dyDescent="0.35">
      <c r="AJ9826" s="213"/>
    </row>
    <row r="9827" spans="36:36" x14ac:dyDescent="0.35">
      <c r="AJ9827" s="213"/>
    </row>
    <row r="9828" spans="36:36" x14ac:dyDescent="0.35">
      <c r="AJ9828" s="213"/>
    </row>
    <row r="9829" spans="36:36" x14ac:dyDescent="0.35">
      <c r="AJ9829" s="213"/>
    </row>
    <row r="9830" spans="36:36" x14ac:dyDescent="0.35">
      <c r="AJ9830" s="213"/>
    </row>
    <row r="9831" spans="36:36" x14ac:dyDescent="0.35">
      <c r="AJ9831" s="213"/>
    </row>
    <row r="9832" spans="36:36" x14ac:dyDescent="0.35">
      <c r="AJ9832" s="213"/>
    </row>
    <row r="9833" spans="36:36" x14ac:dyDescent="0.35">
      <c r="AJ9833" s="213"/>
    </row>
    <row r="9834" spans="36:36" x14ac:dyDescent="0.35">
      <c r="AJ9834" s="213"/>
    </row>
    <row r="9835" spans="36:36" x14ac:dyDescent="0.35">
      <c r="AJ9835" s="213"/>
    </row>
    <row r="9836" spans="36:36" x14ac:dyDescent="0.35">
      <c r="AJ9836" s="213"/>
    </row>
    <row r="9837" spans="36:36" x14ac:dyDescent="0.35">
      <c r="AJ9837" s="213"/>
    </row>
    <row r="9838" spans="36:36" x14ac:dyDescent="0.35">
      <c r="AJ9838" s="213"/>
    </row>
    <row r="9839" spans="36:36" x14ac:dyDescent="0.35">
      <c r="AJ9839" s="213"/>
    </row>
    <row r="9840" spans="36:36" x14ac:dyDescent="0.35">
      <c r="AJ9840" s="213"/>
    </row>
    <row r="9841" spans="36:36" x14ac:dyDescent="0.35">
      <c r="AJ9841" s="213"/>
    </row>
    <row r="9842" spans="36:36" x14ac:dyDescent="0.35">
      <c r="AJ9842" s="213"/>
    </row>
    <row r="9843" spans="36:36" x14ac:dyDescent="0.35">
      <c r="AJ9843" s="213"/>
    </row>
    <row r="9844" spans="36:36" x14ac:dyDescent="0.35">
      <c r="AJ9844" s="213"/>
    </row>
    <row r="9845" spans="36:36" x14ac:dyDescent="0.35">
      <c r="AJ9845" s="213"/>
    </row>
    <row r="9846" spans="36:36" x14ac:dyDescent="0.35">
      <c r="AJ9846" s="213"/>
    </row>
    <row r="9847" spans="36:36" x14ac:dyDescent="0.35">
      <c r="AJ9847" s="213"/>
    </row>
    <row r="9848" spans="36:36" x14ac:dyDescent="0.35">
      <c r="AJ9848" s="213"/>
    </row>
    <row r="9849" spans="36:36" x14ac:dyDescent="0.35">
      <c r="AJ9849" s="213"/>
    </row>
    <row r="9850" spans="36:36" x14ac:dyDescent="0.35">
      <c r="AJ9850" s="213"/>
    </row>
    <row r="9851" spans="36:36" x14ac:dyDescent="0.35">
      <c r="AJ9851" s="213"/>
    </row>
    <row r="9852" spans="36:36" x14ac:dyDescent="0.35">
      <c r="AJ9852" s="213"/>
    </row>
    <row r="9853" spans="36:36" x14ac:dyDescent="0.35">
      <c r="AJ9853" s="213"/>
    </row>
    <row r="9854" spans="36:36" x14ac:dyDescent="0.35">
      <c r="AJ9854" s="213"/>
    </row>
    <row r="9855" spans="36:36" x14ac:dyDescent="0.35">
      <c r="AJ9855" s="213"/>
    </row>
    <row r="9856" spans="36:36" x14ac:dyDescent="0.35">
      <c r="AJ9856" s="213"/>
    </row>
    <row r="9857" spans="36:36" x14ac:dyDescent="0.35">
      <c r="AJ9857" s="213"/>
    </row>
    <row r="9858" spans="36:36" x14ac:dyDescent="0.35">
      <c r="AJ9858" s="213"/>
    </row>
    <row r="9859" spans="36:36" x14ac:dyDescent="0.35">
      <c r="AJ9859" s="213"/>
    </row>
    <row r="9860" spans="36:36" x14ac:dyDescent="0.35">
      <c r="AJ9860" s="213"/>
    </row>
    <row r="9861" spans="36:36" x14ac:dyDescent="0.35">
      <c r="AJ9861" s="213"/>
    </row>
    <row r="9862" spans="36:36" x14ac:dyDescent="0.35">
      <c r="AJ9862" s="213"/>
    </row>
    <row r="9863" spans="36:36" x14ac:dyDescent="0.35">
      <c r="AJ9863" s="213"/>
    </row>
    <row r="9864" spans="36:36" x14ac:dyDescent="0.35">
      <c r="AJ9864" s="213"/>
    </row>
    <row r="9865" spans="36:36" x14ac:dyDescent="0.35">
      <c r="AJ9865" s="213"/>
    </row>
    <row r="9866" spans="36:36" x14ac:dyDescent="0.35">
      <c r="AJ9866" s="213"/>
    </row>
    <row r="9867" spans="36:36" x14ac:dyDescent="0.35">
      <c r="AJ9867" s="213"/>
    </row>
    <row r="9868" spans="36:36" x14ac:dyDescent="0.35">
      <c r="AJ9868" s="213"/>
    </row>
    <row r="9869" spans="36:36" x14ac:dyDescent="0.35">
      <c r="AJ9869" s="213"/>
    </row>
    <row r="9870" spans="36:36" x14ac:dyDescent="0.35">
      <c r="AJ9870" s="213"/>
    </row>
    <row r="9871" spans="36:36" x14ac:dyDescent="0.35">
      <c r="AJ9871" s="213"/>
    </row>
    <row r="9872" spans="36:36" x14ac:dyDescent="0.35">
      <c r="AJ9872" s="213"/>
    </row>
    <row r="9873" spans="36:36" x14ac:dyDescent="0.35">
      <c r="AJ9873" s="213"/>
    </row>
    <row r="9874" spans="36:36" x14ac:dyDescent="0.35">
      <c r="AJ9874" s="213"/>
    </row>
    <row r="9875" spans="36:36" x14ac:dyDescent="0.35">
      <c r="AJ9875" s="213"/>
    </row>
    <row r="9876" spans="36:36" x14ac:dyDescent="0.35">
      <c r="AJ9876" s="213"/>
    </row>
    <row r="9877" spans="36:36" x14ac:dyDescent="0.35">
      <c r="AJ9877" s="213"/>
    </row>
    <row r="9878" spans="36:36" x14ac:dyDescent="0.35">
      <c r="AJ9878" s="213"/>
    </row>
    <row r="9879" spans="36:36" x14ac:dyDescent="0.35">
      <c r="AJ9879" s="213"/>
    </row>
    <row r="9880" spans="36:36" x14ac:dyDescent="0.35">
      <c r="AJ9880" s="213"/>
    </row>
    <row r="9881" spans="36:36" x14ac:dyDescent="0.35">
      <c r="AJ9881" s="213"/>
    </row>
    <row r="9882" spans="36:36" x14ac:dyDescent="0.35">
      <c r="AJ9882" s="213"/>
    </row>
    <row r="9883" spans="36:36" x14ac:dyDescent="0.35">
      <c r="AJ9883" s="213"/>
    </row>
    <row r="9884" spans="36:36" x14ac:dyDescent="0.35">
      <c r="AJ9884" s="213"/>
    </row>
    <row r="9885" spans="36:36" x14ac:dyDescent="0.35">
      <c r="AJ9885" s="213"/>
    </row>
    <row r="9886" spans="36:36" x14ac:dyDescent="0.35">
      <c r="AJ9886" s="213"/>
    </row>
    <row r="9887" spans="36:36" x14ac:dyDescent="0.35">
      <c r="AJ9887" s="213"/>
    </row>
    <row r="9888" spans="36:36" x14ac:dyDescent="0.35">
      <c r="AJ9888" s="213"/>
    </row>
    <row r="9889" spans="36:36" x14ac:dyDescent="0.35">
      <c r="AJ9889" s="213"/>
    </row>
    <row r="9890" spans="36:36" x14ac:dyDescent="0.35">
      <c r="AJ9890" s="213"/>
    </row>
    <row r="9891" spans="36:36" x14ac:dyDescent="0.35">
      <c r="AJ9891" s="213"/>
    </row>
    <row r="9892" spans="36:36" x14ac:dyDescent="0.35">
      <c r="AJ9892" s="213"/>
    </row>
    <row r="9893" spans="36:36" x14ac:dyDescent="0.35">
      <c r="AJ9893" s="213"/>
    </row>
    <row r="9894" spans="36:36" x14ac:dyDescent="0.35">
      <c r="AJ9894" s="213"/>
    </row>
    <row r="9895" spans="36:36" x14ac:dyDescent="0.35">
      <c r="AJ9895" s="213"/>
    </row>
    <row r="9896" spans="36:36" x14ac:dyDescent="0.35">
      <c r="AJ9896" s="213"/>
    </row>
    <row r="9897" spans="36:36" x14ac:dyDescent="0.35">
      <c r="AJ9897" s="213"/>
    </row>
    <row r="9898" spans="36:36" x14ac:dyDescent="0.35">
      <c r="AJ9898" s="213"/>
    </row>
    <row r="9899" spans="36:36" x14ac:dyDescent="0.35">
      <c r="AJ9899" s="213"/>
    </row>
    <row r="9900" spans="36:36" x14ac:dyDescent="0.35">
      <c r="AJ9900" s="213"/>
    </row>
    <row r="9901" spans="36:36" x14ac:dyDescent="0.35">
      <c r="AJ9901" s="213"/>
    </row>
    <row r="9902" spans="36:36" x14ac:dyDescent="0.35">
      <c r="AJ9902" s="213"/>
    </row>
    <row r="9903" spans="36:36" x14ac:dyDescent="0.35">
      <c r="AJ9903" s="213"/>
    </row>
    <row r="9904" spans="36:36" x14ac:dyDescent="0.35">
      <c r="AJ9904" s="213"/>
    </row>
    <row r="9905" spans="36:36" x14ac:dyDescent="0.35">
      <c r="AJ9905" s="213"/>
    </row>
    <row r="9906" spans="36:36" x14ac:dyDescent="0.35">
      <c r="AJ9906" s="213"/>
    </row>
    <row r="9907" spans="36:36" x14ac:dyDescent="0.35">
      <c r="AJ9907" s="213"/>
    </row>
    <row r="9908" spans="36:36" x14ac:dyDescent="0.35">
      <c r="AJ9908" s="213"/>
    </row>
    <row r="9909" spans="36:36" x14ac:dyDescent="0.35">
      <c r="AJ9909" s="213"/>
    </row>
    <row r="9910" spans="36:36" x14ac:dyDescent="0.35">
      <c r="AJ9910" s="213"/>
    </row>
    <row r="9911" spans="36:36" x14ac:dyDescent="0.35">
      <c r="AJ9911" s="213"/>
    </row>
    <row r="9912" spans="36:36" x14ac:dyDescent="0.35">
      <c r="AJ9912" s="213"/>
    </row>
    <row r="9913" spans="36:36" x14ac:dyDescent="0.35">
      <c r="AJ9913" s="213"/>
    </row>
    <row r="9914" spans="36:36" x14ac:dyDescent="0.35">
      <c r="AJ9914" s="213"/>
    </row>
    <row r="9915" spans="36:36" x14ac:dyDescent="0.35">
      <c r="AJ9915" s="213"/>
    </row>
    <row r="9916" spans="36:36" x14ac:dyDescent="0.35">
      <c r="AJ9916" s="213"/>
    </row>
    <row r="9917" spans="36:36" x14ac:dyDescent="0.35">
      <c r="AJ9917" s="213"/>
    </row>
    <row r="9918" spans="36:36" x14ac:dyDescent="0.35">
      <c r="AJ9918" s="213"/>
    </row>
    <row r="9919" spans="36:36" x14ac:dyDescent="0.35">
      <c r="AJ9919" s="213"/>
    </row>
    <row r="9920" spans="36:36" x14ac:dyDescent="0.35">
      <c r="AJ9920" s="213"/>
    </row>
    <row r="9921" spans="36:36" x14ac:dyDescent="0.35">
      <c r="AJ9921" s="213"/>
    </row>
    <row r="9922" spans="36:36" x14ac:dyDescent="0.35">
      <c r="AJ9922" s="213"/>
    </row>
    <row r="9923" spans="36:36" x14ac:dyDescent="0.35">
      <c r="AJ9923" s="213"/>
    </row>
    <row r="9924" spans="36:36" x14ac:dyDescent="0.35">
      <c r="AJ9924" s="213"/>
    </row>
    <row r="9925" spans="36:36" x14ac:dyDescent="0.35">
      <c r="AJ9925" s="213"/>
    </row>
    <row r="9926" spans="36:36" x14ac:dyDescent="0.35">
      <c r="AJ9926" s="213"/>
    </row>
    <row r="9927" spans="36:36" x14ac:dyDescent="0.35">
      <c r="AJ9927" s="213"/>
    </row>
    <row r="9928" spans="36:36" x14ac:dyDescent="0.35">
      <c r="AJ9928" s="213"/>
    </row>
    <row r="9929" spans="36:36" x14ac:dyDescent="0.35">
      <c r="AJ9929" s="213"/>
    </row>
    <row r="9930" spans="36:36" x14ac:dyDescent="0.35">
      <c r="AJ9930" s="213"/>
    </row>
    <row r="9931" spans="36:36" x14ac:dyDescent="0.35">
      <c r="AJ9931" s="213"/>
    </row>
    <row r="9932" spans="36:36" x14ac:dyDescent="0.35">
      <c r="AJ9932" s="213"/>
    </row>
    <row r="9933" spans="36:36" x14ac:dyDescent="0.35">
      <c r="AJ9933" s="213"/>
    </row>
    <row r="9934" spans="36:36" x14ac:dyDescent="0.35">
      <c r="AJ9934" s="213"/>
    </row>
    <row r="9935" spans="36:36" x14ac:dyDescent="0.35">
      <c r="AJ9935" s="213"/>
    </row>
    <row r="9936" spans="36:36" x14ac:dyDescent="0.35">
      <c r="AJ9936" s="213"/>
    </row>
    <row r="9937" spans="36:36" x14ac:dyDescent="0.35">
      <c r="AJ9937" s="213"/>
    </row>
    <row r="9938" spans="36:36" x14ac:dyDescent="0.35">
      <c r="AJ9938" s="213"/>
    </row>
    <row r="9939" spans="36:36" x14ac:dyDescent="0.35">
      <c r="AJ9939" s="213"/>
    </row>
    <row r="9940" spans="36:36" x14ac:dyDescent="0.35">
      <c r="AJ9940" s="213"/>
    </row>
    <row r="9941" spans="36:36" x14ac:dyDescent="0.35">
      <c r="AJ9941" s="213"/>
    </row>
    <row r="9942" spans="36:36" x14ac:dyDescent="0.35">
      <c r="AJ9942" s="213"/>
    </row>
    <row r="9943" spans="36:36" x14ac:dyDescent="0.35">
      <c r="AJ9943" s="213"/>
    </row>
    <row r="9944" spans="36:36" x14ac:dyDescent="0.35">
      <c r="AJ9944" s="213"/>
    </row>
    <row r="9945" spans="36:36" x14ac:dyDescent="0.35">
      <c r="AJ9945" s="213"/>
    </row>
    <row r="9946" spans="36:36" x14ac:dyDescent="0.35">
      <c r="AJ9946" s="213"/>
    </row>
    <row r="9947" spans="36:36" x14ac:dyDescent="0.35">
      <c r="AJ9947" s="213"/>
    </row>
    <row r="9948" spans="36:36" x14ac:dyDescent="0.35">
      <c r="AJ9948" s="213"/>
    </row>
    <row r="9949" spans="36:36" x14ac:dyDescent="0.35">
      <c r="AJ9949" s="213"/>
    </row>
    <row r="9950" spans="36:36" x14ac:dyDescent="0.35">
      <c r="AJ9950" s="213"/>
    </row>
    <row r="9951" spans="36:36" x14ac:dyDescent="0.35">
      <c r="AJ9951" s="213"/>
    </row>
    <row r="9952" spans="36:36" x14ac:dyDescent="0.35">
      <c r="AJ9952" s="213"/>
    </row>
    <row r="9953" spans="36:36" x14ac:dyDescent="0.35">
      <c r="AJ9953" s="213"/>
    </row>
    <row r="9954" spans="36:36" x14ac:dyDescent="0.35">
      <c r="AJ9954" s="213"/>
    </row>
    <row r="9955" spans="36:36" x14ac:dyDescent="0.35">
      <c r="AJ9955" s="213"/>
    </row>
    <row r="9956" spans="36:36" x14ac:dyDescent="0.35">
      <c r="AJ9956" s="213"/>
    </row>
    <row r="9957" spans="36:36" x14ac:dyDescent="0.35">
      <c r="AJ9957" s="213"/>
    </row>
    <row r="9958" spans="36:36" x14ac:dyDescent="0.35">
      <c r="AJ9958" s="213"/>
    </row>
    <row r="9959" spans="36:36" x14ac:dyDescent="0.35">
      <c r="AJ9959" s="213"/>
    </row>
    <row r="9960" spans="36:36" x14ac:dyDescent="0.35">
      <c r="AJ9960" s="213"/>
    </row>
    <row r="9961" spans="36:36" x14ac:dyDescent="0.35">
      <c r="AJ9961" s="213"/>
    </row>
    <row r="9962" spans="36:36" x14ac:dyDescent="0.35">
      <c r="AJ9962" s="213"/>
    </row>
    <row r="9963" spans="36:36" x14ac:dyDescent="0.35">
      <c r="AJ9963" s="213"/>
    </row>
    <row r="9964" spans="36:36" x14ac:dyDescent="0.35">
      <c r="AJ9964" s="213"/>
    </row>
    <row r="9965" spans="36:36" x14ac:dyDescent="0.35">
      <c r="AJ9965" s="213"/>
    </row>
    <row r="9966" spans="36:36" x14ac:dyDescent="0.35">
      <c r="AJ9966" s="213"/>
    </row>
    <row r="9967" spans="36:36" x14ac:dyDescent="0.35">
      <c r="AJ9967" s="213"/>
    </row>
    <row r="9968" spans="36:36" x14ac:dyDescent="0.35">
      <c r="AJ9968" s="213"/>
    </row>
    <row r="9969" spans="36:36" x14ac:dyDescent="0.35">
      <c r="AJ9969" s="213"/>
    </row>
    <row r="9970" spans="36:36" x14ac:dyDescent="0.35">
      <c r="AJ9970" s="213"/>
    </row>
    <row r="9971" spans="36:36" x14ac:dyDescent="0.35">
      <c r="AJ9971" s="213"/>
    </row>
    <row r="9972" spans="36:36" x14ac:dyDescent="0.35">
      <c r="AJ9972" s="213"/>
    </row>
    <row r="9973" spans="36:36" x14ac:dyDescent="0.35">
      <c r="AJ9973" s="213"/>
    </row>
    <row r="9974" spans="36:36" x14ac:dyDescent="0.35">
      <c r="AJ9974" s="213"/>
    </row>
    <row r="9975" spans="36:36" x14ac:dyDescent="0.35">
      <c r="AJ9975" s="213"/>
    </row>
    <row r="9976" spans="36:36" x14ac:dyDescent="0.35">
      <c r="AJ9976" s="213"/>
    </row>
    <row r="9977" spans="36:36" x14ac:dyDescent="0.35">
      <c r="AJ9977" s="213"/>
    </row>
    <row r="9978" spans="36:36" x14ac:dyDescent="0.35">
      <c r="AJ9978" s="213"/>
    </row>
    <row r="9979" spans="36:36" x14ac:dyDescent="0.35">
      <c r="AJ9979" s="213"/>
    </row>
    <row r="9980" spans="36:36" x14ac:dyDescent="0.35">
      <c r="AJ9980" s="213"/>
    </row>
    <row r="9981" spans="36:36" x14ac:dyDescent="0.35">
      <c r="AJ9981" s="213"/>
    </row>
    <row r="9982" spans="36:36" x14ac:dyDescent="0.35">
      <c r="AJ9982" s="213"/>
    </row>
    <row r="9983" spans="36:36" x14ac:dyDescent="0.35">
      <c r="AJ9983" s="213"/>
    </row>
    <row r="9984" spans="36:36" x14ac:dyDescent="0.35">
      <c r="AJ9984" s="213"/>
    </row>
    <row r="9985" spans="36:36" x14ac:dyDescent="0.35">
      <c r="AJ9985" s="213"/>
    </row>
    <row r="9986" spans="36:36" x14ac:dyDescent="0.35">
      <c r="AJ9986" s="213"/>
    </row>
    <row r="9987" spans="36:36" x14ac:dyDescent="0.35">
      <c r="AJ9987" s="213"/>
    </row>
    <row r="9988" spans="36:36" x14ac:dyDescent="0.35">
      <c r="AJ9988" s="213"/>
    </row>
    <row r="9989" spans="36:36" x14ac:dyDescent="0.35">
      <c r="AJ9989" s="213"/>
    </row>
    <row r="9990" spans="36:36" x14ac:dyDescent="0.35">
      <c r="AJ9990" s="213"/>
    </row>
    <row r="9991" spans="36:36" x14ac:dyDescent="0.35">
      <c r="AJ9991" s="213"/>
    </row>
    <row r="9992" spans="36:36" x14ac:dyDescent="0.35">
      <c r="AJ9992" s="213"/>
    </row>
    <row r="9993" spans="36:36" x14ac:dyDescent="0.35">
      <c r="AJ9993" s="213"/>
    </row>
    <row r="9994" spans="36:36" x14ac:dyDescent="0.35">
      <c r="AJ9994" s="213"/>
    </row>
    <row r="9995" spans="36:36" x14ac:dyDescent="0.35">
      <c r="AJ9995" s="213"/>
    </row>
    <row r="9996" spans="36:36" x14ac:dyDescent="0.35">
      <c r="AJ9996" s="213"/>
    </row>
    <row r="9997" spans="36:36" x14ac:dyDescent="0.35">
      <c r="AJ9997" s="213"/>
    </row>
    <row r="9998" spans="36:36" x14ac:dyDescent="0.35">
      <c r="AJ9998" s="213"/>
    </row>
    <row r="9999" spans="36:36" x14ac:dyDescent="0.35">
      <c r="AJ9999" s="213"/>
    </row>
    <row r="10000" spans="36:36" x14ac:dyDescent="0.35">
      <c r="AJ10000" s="213"/>
    </row>
    <row r="10001" spans="36:36" x14ac:dyDescent="0.35">
      <c r="AJ10001" s="213"/>
    </row>
    <row r="10002" spans="36:36" x14ac:dyDescent="0.35">
      <c r="AJ10002" s="213"/>
    </row>
    <row r="10003" spans="36:36" x14ac:dyDescent="0.35">
      <c r="AJ10003" s="213"/>
    </row>
    <row r="10004" spans="36:36" x14ac:dyDescent="0.35">
      <c r="AJ10004" s="213"/>
    </row>
    <row r="10005" spans="36:36" x14ac:dyDescent="0.35">
      <c r="AJ10005" s="213"/>
    </row>
    <row r="10006" spans="36:36" x14ac:dyDescent="0.35">
      <c r="AJ10006" s="213"/>
    </row>
    <row r="10007" spans="36:36" x14ac:dyDescent="0.35">
      <c r="AJ10007" s="213"/>
    </row>
    <row r="10008" spans="36:36" x14ac:dyDescent="0.35">
      <c r="AJ10008" s="213"/>
    </row>
    <row r="10009" spans="36:36" x14ac:dyDescent="0.35">
      <c r="AJ10009" s="213"/>
    </row>
    <row r="10010" spans="36:36" x14ac:dyDescent="0.35">
      <c r="AJ10010" s="213"/>
    </row>
    <row r="10011" spans="36:36" x14ac:dyDescent="0.35">
      <c r="AJ10011" s="213"/>
    </row>
    <row r="10012" spans="36:36" x14ac:dyDescent="0.35">
      <c r="AJ10012" s="213"/>
    </row>
    <row r="10013" spans="36:36" x14ac:dyDescent="0.35">
      <c r="AJ10013" s="213"/>
    </row>
    <row r="10014" spans="36:36" x14ac:dyDescent="0.35">
      <c r="AJ10014" s="213"/>
    </row>
    <row r="10015" spans="36:36" x14ac:dyDescent="0.35">
      <c r="AJ10015" s="213"/>
    </row>
    <row r="10016" spans="36:36" x14ac:dyDescent="0.35">
      <c r="AJ10016" s="213"/>
    </row>
    <row r="10017" spans="36:36" x14ac:dyDescent="0.35">
      <c r="AJ10017" s="213"/>
    </row>
    <row r="10018" spans="36:36" x14ac:dyDescent="0.35">
      <c r="AJ10018" s="213"/>
    </row>
    <row r="10019" spans="36:36" x14ac:dyDescent="0.35">
      <c r="AJ10019" s="213"/>
    </row>
    <row r="10020" spans="36:36" x14ac:dyDescent="0.35">
      <c r="AJ10020" s="213"/>
    </row>
    <row r="10021" spans="36:36" x14ac:dyDescent="0.35">
      <c r="AJ10021" s="213"/>
    </row>
    <row r="10022" spans="36:36" x14ac:dyDescent="0.35">
      <c r="AJ10022" s="213"/>
    </row>
    <row r="10023" spans="36:36" x14ac:dyDescent="0.35">
      <c r="AJ10023" s="213"/>
    </row>
    <row r="10024" spans="36:36" x14ac:dyDescent="0.35">
      <c r="AJ10024" s="213"/>
    </row>
    <row r="10025" spans="36:36" x14ac:dyDescent="0.35">
      <c r="AJ10025" s="213"/>
    </row>
    <row r="10026" spans="36:36" x14ac:dyDescent="0.35">
      <c r="AJ10026" s="213"/>
    </row>
    <row r="10027" spans="36:36" x14ac:dyDescent="0.35">
      <c r="AJ10027" s="213"/>
    </row>
    <row r="10028" spans="36:36" x14ac:dyDescent="0.35">
      <c r="AJ10028" s="213"/>
    </row>
    <row r="10029" spans="36:36" x14ac:dyDescent="0.35">
      <c r="AJ10029" s="213"/>
    </row>
    <row r="10030" spans="36:36" x14ac:dyDescent="0.35">
      <c r="AJ10030" s="213"/>
    </row>
    <row r="10031" spans="36:36" x14ac:dyDescent="0.35">
      <c r="AJ10031" s="213"/>
    </row>
    <row r="10032" spans="36:36" x14ac:dyDescent="0.35">
      <c r="AJ10032" s="213"/>
    </row>
    <row r="10033" spans="36:36" x14ac:dyDescent="0.35">
      <c r="AJ10033" s="213"/>
    </row>
    <row r="10034" spans="36:36" x14ac:dyDescent="0.35">
      <c r="AJ10034" s="213"/>
    </row>
    <row r="10035" spans="36:36" x14ac:dyDescent="0.35">
      <c r="AJ10035" s="213"/>
    </row>
    <row r="10036" spans="36:36" x14ac:dyDescent="0.35">
      <c r="AJ10036" s="213"/>
    </row>
    <row r="10037" spans="36:36" x14ac:dyDescent="0.35">
      <c r="AJ10037" s="213"/>
    </row>
    <row r="10038" spans="36:36" x14ac:dyDescent="0.35">
      <c r="AJ10038" s="213"/>
    </row>
    <row r="10039" spans="36:36" x14ac:dyDescent="0.35">
      <c r="AJ10039" s="213"/>
    </row>
    <row r="10040" spans="36:36" x14ac:dyDescent="0.35">
      <c r="AJ10040" s="213"/>
    </row>
    <row r="10041" spans="36:36" x14ac:dyDescent="0.35">
      <c r="AJ10041" s="213"/>
    </row>
    <row r="10042" spans="36:36" x14ac:dyDescent="0.35">
      <c r="AJ10042" s="213"/>
    </row>
    <row r="10043" spans="36:36" x14ac:dyDescent="0.35">
      <c r="AJ10043" s="213"/>
    </row>
    <row r="10044" spans="36:36" x14ac:dyDescent="0.35">
      <c r="AJ10044" s="213"/>
    </row>
    <row r="10045" spans="36:36" x14ac:dyDescent="0.35">
      <c r="AJ10045" s="213"/>
    </row>
    <row r="10046" spans="36:36" x14ac:dyDescent="0.35">
      <c r="AJ10046" s="213"/>
    </row>
    <row r="10047" spans="36:36" x14ac:dyDescent="0.35">
      <c r="AJ10047" s="213"/>
    </row>
    <row r="10048" spans="36:36" x14ac:dyDescent="0.35">
      <c r="AJ10048" s="213"/>
    </row>
    <row r="10049" spans="36:36" x14ac:dyDescent="0.35">
      <c r="AJ10049" s="213"/>
    </row>
    <row r="10050" spans="36:36" x14ac:dyDescent="0.35">
      <c r="AJ10050" s="213"/>
    </row>
    <row r="10051" spans="36:36" x14ac:dyDescent="0.35">
      <c r="AJ10051" s="213"/>
    </row>
    <row r="10052" spans="36:36" x14ac:dyDescent="0.35">
      <c r="AJ10052" s="213"/>
    </row>
    <row r="10053" spans="36:36" x14ac:dyDescent="0.35">
      <c r="AJ10053" s="213"/>
    </row>
    <row r="10054" spans="36:36" x14ac:dyDescent="0.35">
      <c r="AJ10054" s="213"/>
    </row>
    <row r="10055" spans="36:36" x14ac:dyDescent="0.35">
      <c r="AJ10055" s="213"/>
    </row>
    <row r="10056" spans="36:36" x14ac:dyDescent="0.35">
      <c r="AJ10056" s="213"/>
    </row>
    <row r="10057" spans="36:36" x14ac:dyDescent="0.35">
      <c r="AJ10057" s="213"/>
    </row>
    <row r="10058" spans="36:36" x14ac:dyDescent="0.35">
      <c r="AJ10058" s="213"/>
    </row>
    <row r="10059" spans="36:36" x14ac:dyDescent="0.35">
      <c r="AJ10059" s="213"/>
    </row>
    <row r="10060" spans="36:36" x14ac:dyDescent="0.35">
      <c r="AJ10060" s="213"/>
    </row>
    <row r="10061" spans="36:36" x14ac:dyDescent="0.35">
      <c r="AJ10061" s="213"/>
    </row>
    <row r="10062" spans="36:36" x14ac:dyDescent="0.35">
      <c r="AJ10062" s="213"/>
    </row>
    <row r="10063" spans="36:36" x14ac:dyDescent="0.35">
      <c r="AJ10063" s="213"/>
    </row>
    <row r="10064" spans="36:36" x14ac:dyDescent="0.35">
      <c r="AJ10064" s="213"/>
    </row>
    <row r="10065" spans="36:36" x14ac:dyDescent="0.35">
      <c r="AJ10065" s="213"/>
    </row>
    <row r="10066" spans="36:36" x14ac:dyDescent="0.35">
      <c r="AJ10066" s="213"/>
    </row>
    <row r="10067" spans="36:36" x14ac:dyDescent="0.35">
      <c r="AJ10067" s="213"/>
    </row>
    <row r="10068" spans="36:36" x14ac:dyDescent="0.35">
      <c r="AJ10068" s="213"/>
    </row>
    <row r="10069" spans="36:36" x14ac:dyDescent="0.35">
      <c r="AJ10069" s="213"/>
    </row>
    <row r="10070" spans="36:36" x14ac:dyDescent="0.35">
      <c r="AJ10070" s="213"/>
    </row>
    <row r="10071" spans="36:36" x14ac:dyDescent="0.35">
      <c r="AJ10071" s="213"/>
    </row>
    <row r="10072" spans="36:36" x14ac:dyDescent="0.35">
      <c r="AJ10072" s="213"/>
    </row>
    <row r="10073" spans="36:36" x14ac:dyDescent="0.35">
      <c r="AJ10073" s="213"/>
    </row>
    <row r="10074" spans="36:36" x14ac:dyDescent="0.35">
      <c r="AJ10074" s="213"/>
    </row>
    <row r="10075" spans="36:36" x14ac:dyDescent="0.35">
      <c r="AJ10075" s="213"/>
    </row>
    <row r="10076" spans="36:36" x14ac:dyDescent="0.35">
      <c r="AJ10076" s="213"/>
    </row>
    <row r="10077" spans="36:36" x14ac:dyDescent="0.35">
      <c r="AJ10077" s="213"/>
    </row>
    <row r="10078" spans="36:36" x14ac:dyDescent="0.35">
      <c r="AJ10078" s="213"/>
    </row>
    <row r="10079" spans="36:36" x14ac:dyDescent="0.35">
      <c r="AJ10079" s="213"/>
    </row>
    <row r="10080" spans="36:36" x14ac:dyDescent="0.35">
      <c r="AJ10080" s="213"/>
    </row>
    <row r="10081" spans="36:36" x14ac:dyDescent="0.35">
      <c r="AJ10081" s="213"/>
    </row>
    <row r="10082" spans="36:36" x14ac:dyDescent="0.35">
      <c r="AJ10082" s="213"/>
    </row>
    <row r="10083" spans="36:36" x14ac:dyDescent="0.35">
      <c r="AJ10083" s="213"/>
    </row>
    <row r="10084" spans="36:36" x14ac:dyDescent="0.35">
      <c r="AJ10084" s="213"/>
    </row>
    <row r="10085" spans="36:36" x14ac:dyDescent="0.35">
      <c r="AJ10085" s="213"/>
    </row>
    <row r="10086" spans="36:36" x14ac:dyDescent="0.35">
      <c r="AJ10086" s="213"/>
    </row>
    <row r="10087" spans="36:36" x14ac:dyDescent="0.35">
      <c r="AJ10087" s="213"/>
    </row>
    <row r="10088" spans="36:36" x14ac:dyDescent="0.35">
      <c r="AJ10088" s="213"/>
    </row>
    <row r="10089" spans="36:36" x14ac:dyDescent="0.35">
      <c r="AJ10089" s="213"/>
    </row>
    <row r="10090" spans="36:36" x14ac:dyDescent="0.35">
      <c r="AJ10090" s="213"/>
    </row>
    <row r="10091" spans="36:36" x14ac:dyDescent="0.35">
      <c r="AJ10091" s="213"/>
    </row>
    <row r="10092" spans="36:36" x14ac:dyDescent="0.35">
      <c r="AJ10092" s="213"/>
    </row>
    <row r="10093" spans="36:36" x14ac:dyDescent="0.35">
      <c r="AJ10093" s="213"/>
    </row>
    <row r="10094" spans="36:36" x14ac:dyDescent="0.35">
      <c r="AJ10094" s="213"/>
    </row>
    <row r="10095" spans="36:36" x14ac:dyDescent="0.35">
      <c r="AJ10095" s="213"/>
    </row>
    <row r="10096" spans="36:36" x14ac:dyDescent="0.35">
      <c r="AJ10096" s="213"/>
    </row>
    <row r="10097" spans="36:36" x14ac:dyDescent="0.35">
      <c r="AJ10097" s="213"/>
    </row>
    <row r="10098" spans="36:36" x14ac:dyDescent="0.35">
      <c r="AJ10098" s="213"/>
    </row>
    <row r="10099" spans="36:36" x14ac:dyDescent="0.35">
      <c r="AJ10099" s="213"/>
    </row>
    <row r="10100" spans="36:36" x14ac:dyDescent="0.35">
      <c r="AJ10100" s="213"/>
    </row>
    <row r="10101" spans="36:36" x14ac:dyDescent="0.35">
      <c r="AJ10101" s="213"/>
    </row>
    <row r="10102" spans="36:36" x14ac:dyDescent="0.35">
      <c r="AJ10102" s="213"/>
    </row>
    <row r="10103" spans="36:36" x14ac:dyDescent="0.35">
      <c r="AJ10103" s="213"/>
    </row>
    <row r="10104" spans="36:36" x14ac:dyDescent="0.35">
      <c r="AJ10104" s="213"/>
    </row>
    <row r="10105" spans="36:36" x14ac:dyDescent="0.35">
      <c r="AJ10105" s="213"/>
    </row>
    <row r="10106" spans="36:36" x14ac:dyDescent="0.35">
      <c r="AJ10106" s="213"/>
    </row>
    <row r="10107" spans="36:36" x14ac:dyDescent="0.35">
      <c r="AJ10107" s="213"/>
    </row>
    <row r="10108" spans="36:36" x14ac:dyDescent="0.35">
      <c r="AJ10108" s="213"/>
    </row>
    <row r="10109" spans="36:36" x14ac:dyDescent="0.35">
      <c r="AJ10109" s="213"/>
    </row>
    <row r="10110" spans="36:36" x14ac:dyDescent="0.35">
      <c r="AJ10110" s="213"/>
    </row>
    <row r="10111" spans="36:36" x14ac:dyDescent="0.35">
      <c r="AJ10111" s="213"/>
    </row>
    <row r="10112" spans="36:36" x14ac:dyDescent="0.35">
      <c r="AJ10112" s="213"/>
    </row>
    <row r="10113" spans="36:36" x14ac:dyDescent="0.35">
      <c r="AJ10113" s="213"/>
    </row>
    <row r="10114" spans="36:36" x14ac:dyDescent="0.35">
      <c r="AJ10114" s="213"/>
    </row>
    <row r="10115" spans="36:36" x14ac:dyDescent="0.35">
      <c r="AJ10115" s="213"/>
    </row>
    <row r="10116" spans="36:36" x14ac:dyDescent="0.35">
      <c r="AJ10116" s="213"/>
    </row>
    <row r="10117" spans="36:36" x14ac:dyDescent="0.35">
      <c r="AJ10117" s="213"/>
    </row>
    <row r="10118" spans="36:36" x14ac:dyDescent="0.35">
      <c r="AJ10118" s="213"/>
    </row>
    <row r="10119" spans="36:36" x14ac:dyDescent="0.35">
      <c r="AJ10119" s="213"/>
    </row>
    <row r="10120" spans="36:36" x14ac:dyDescent="0.35">
      <c r="AJ10120" s="213"/>
    </row>
    <row r="10121" spans="36:36" x14ac:dyDescent="0.35">
      <c r="AJ10121" s="213"/>
    </row>
    <row r="10122" spans="36:36" x14ac:dyDescent="0.35">
      <c r="AJ10122" s="213"/>
    </row>
    <row r="10123" spans="36:36" x14ac:dyDescent="0.35">
      <c r="AJ10123" s="213"/>
    </row>
    <row r="10124" spans="36:36" x14ac:dyDescent="0.35">
      <c r="AJ10124" s="213"/>
    </row>
    <row r="10125" spans="36:36" x14ac:dyDescent="0.35">
      <c r="AJ10125" s="213"/>
    </row>
    <row r="10126" spans="36:36" x14ac:dyDescent="0.35">
      <c r="AJ10126" s="213"/>
    </row>
    <row r="10127" spans="36:36" x14ac:dyDescent="0.35">
      <c r="AJ10127" s="213"/>
    </row>
    <row r="10128" spans="36:36" x14ac:dyDescent="0.35">
      <c r="AJ10128" s="213"/>
    </row>
    <row r="10129" spans="36:36" x14ac:dyDescent="0.35">
      <c r="AJ10129" s="213"/>
    </row>
    <row r="10130" spans="36:36" x14ac:dyDescent="0.35">
      <c r="AJ10130" s="213"/>
    </row>
    <row r="10131" spans="36:36" x14ac:dyDescent="0.35">
      <c r="AJ10131" s="213"/>
    </row>
    <row r="10132" spans="36:36" x14ac:dyDescent="0.35">
      <c r="AJ10132" s="213"/>
    </row>
    <row r="10133" spans="36:36" x14ac:dyDescent="0.35">
      <c r="AJ10133" s="213"/>
    </row>
    <row r="10134" spans="36:36" x14ac:dyDescent="0.35">
      <c r="AJ10134" s="213"/>
    </row>
    <row r="10135" spans="36:36" x14ac:dyDescent="0.35">
      <c r="AJ10135" s="213"/>
    </row>
    <row r="10136" spans="36:36" x14ac:dyDescent="0.35">
      <c r="AJ10136" s="213"/>
    </row>
    <row r="10137" spans="36:36" x14ac:dyDescent="0.35">
      <c r="AJ10137" s="213"/>
    </row>
    <row r="10138" spans="36:36" x14ac:dyDescent="0.35">
      <c r="AJ10138" s="213"/>
    </row>
    <row r="10139" spans="36:36" x14ac:dyDescent="0.35">
      <c r="AJ10139" s="213"/>
    </row>
    <row r="10140" spans="36:36" x14ac:dyDescent="0.35">
      <c r="AJ10140" s="213"/>
    </row>
    <row r="10141" spans="36:36" x14ac:dyDescent="0.35">
      <c r="AJ10141" s="213"/>
    </row>
    <row r="10142" spans="36:36" x14ac:dyDescent="0.35">
      <c r="AJ10142" s="213"/>
    </row>
    <row r="10143" spans="36:36" x14ac:dyDescent="0.35">
      <c r="AJ10143" s="213"/>
    </row>
    <row r="10144" spans="36:36" x14ac:dyDescent="0.35">
      <c r="AJ10144" s="213"/>
    </row>
    <row r="10145" spans="36:36" x14ac:dyDescent="0.35">
      <c r="AJ10145" s="213"/>
    </row>
    <row r="10146" spans="36:36" x14ac:dyDescent="0.35">
      <c r="AJ10146" s="213"/>
    </row>
    <row r="10147" spans="36:36" x14ac:dyDescent="0.35">
      <c r="AJ10147" s="213"/>
    </row>
    <row r="10148" spans="36:36" x14ac:dyDescent="0.35">
      <c r="AJ10148" s="213"/>
    </row>
    <row r="10149" spans="36:36" x14ac:dyDescent="0.35">
      <c r="AJ10149" s="213"/>
    </row>
    <row r="10150" spans="36:36" x14ac:dyDescent="0.35">
      <c r="AJ10150" s="213"/>
    </row>
    <row r="10151" spans="36:36" x14ac:dyDescent="0.35">
      <c r="AJ10151" s="213"/>
    </row>
    <row r="10152" spans="36:36" x14ac:dyDescent="0.35">
      <c r="AJ10152" s="213"/>
    </row>
    <row r="10153" spans="36:36" x14ac:dyDescent="0.35">
      <c r="AJ10153" s="213"/>
    </row>
    <row r="10154" spans="36:36" x14ac:dyDescent="0.35">
      <c r="AJ10154" s="213"/>
    </row>
    <row r="10155" spans="36:36" x14ac:dyDescent="0.35">
      <c r="AJ10155" s="213"/>
    </row>
    <row r="10156" spans="36:36" x14ac:dyDescent="0.35">
      <c r="AJ10156" s="213"/>
    </row>
    <row r="10157" spans="36:36" x14ac:dyDescent="0.35">
      <c r="AJ10157" s="213"/>
    </row>
    <row r="10158" spans="36:36" x14ac:dyDescent="0.35">
      <c r="AJ10158" s="213"/>
    </row>
    <row r="10159" spans="36:36" x14ac:dyDescent="0.35">
      <c r="AJ10159" s="213"/>
    </row>
    <row r="10160" spans="36:36" x14ac:dyDescent="0.35">
      <c r="AJ10160" s="213"/>
    </row>
    <row r="10161" spans="36:36" x14ac:dyDescent="0.35">
      <c r="AJ10161" s="213"/>
    </row>
    <row r="10162" spans="36:36" x14ac:dyDescent="0.35">
      <c r="AJ10162" s="213"/>
    </row>
    <row r="10163" spans="36:36" x14ac:dyDescent="0.35">
      <c r="AJ10163" s="213"/>
    </row>
    <row r="10164" spans="36:36" x14ac:dyDescent="0.35">
      <c r="AJ10164" s="213"/>
    </row>
    <row r="10165" spans="36:36" x14ac:dyDescent="0.35">
      <c r="AJ10165" s="213"/>
    </row>
    <row r="10166" spans="36:36" x14ac:dyDescent="0.35">
      <c r="AJ10166" s="213"/>
    </row>
    <row r="10167" spans="36:36" x14ac:dyDescent="0.35">
      <c r="AJ10167" s="213"/>
    </row>
    <row r="10168" spans="36:36" x14ac:dyDescent="0.35">
      <c r="AJ10168" s="213"/>
    </row>
    <row r="10169" spans="36:36" x14ac:dyDescent="0.35">
      <c r="AJ10169" s="213"/>
    </row>
    <row r="10170" spans="36:36" x14ac:dyDescent="0.35">
      <c r="AJ10170" s="213"/>
    </row>
    <row r="10171" spans="36:36" x14ac:dyDescent="0.35">
      <c r="AJ10171" s="213"/>
    </row>
    <row r="10172" spans="36:36" x14ac:dyDescent="0.35">
      <c r="AJ10172" s="213"/>
    </row>
    <row r="10173" spans="36:36" x14ac:dyDescent="0.35">
      <c r="AJ10173" s="213"/>
    </row>
    <row r="10174" spans="36:36" x14ac:dyDescent="0.35">
      <c r="AJ10174" s="213"/>
    </row>
    <row r="10175" spans="36:36" x14ac:dyDescent="0.35">
      <c r="AJ10175" s="213"/>
    </row>
    <row r="10176" spans="36:36" x14ac:dyDescent="0.35">
      <c r="AJ10176" s="213"/>
    </row>
    <row r="10177" spans="36:36" x14ac:dyDescent="0.35">
      <c r="AJ10177" s="213"/>
    </row>
    <row r="10178" spans="36:36" x14ac:dyDescent="0.35">
      <c r="AJ10178" s="213"/>
    </row>
    <row r="10179" spans="36:36" x14ac:dyDescent="0.35">
      <c r="AJ10179" s="213"/>
    </row>
    <row r="10180" spans="36:36" x14ac:dyDescent="0.35">
      <c r="AJ10180" s="213"/>
    </row>
    <row r="10181" spans="36:36" x14ac:dyDescent="0.35">
      <c r="AJ10181" s="213"/>
    </row>
    <row r="10182" spans="36:36" x14ac:dyDescent="0.35">
      <c r="AJ10182" s="213"/>
    </row>
    <row r="10183" spans="36:36" x14ac:dyDescent="0.35">
      <c r="AJ10183" s="213"/>
    </row>
    <row r="10184" spans="36:36" x14ac:dyDescent="0.35">
      <c r="AJ10184" s="213"/>
    </row>
    <row r="10185" spans="36:36" x14ac:dyDescent="0.35">
      <c r="AJ10185" s="213"/>
    </row>
    <row r="10186" spans="36:36" x14ac:dyDescent="0.35">
      <c r="AJ10186" s="213"/>
    </row>
    <row r="10187" spans="36:36" x14ac:dyDescent="0.35">
      <c r="AJ10187" s="213"/>
    </row>
    <row r="10188" spans="36:36" x14ac:dyDescent="0.35">
      <c r="AJ10188" s="213"/>
    </row>
    <row r="10189" spans="36:36" x14ac:dyDescent="0.35">
      <c r="AJ10189" s="213"/>
    </row>
    <row r="10190" spans="36:36" x14ac:dyDescent="0.35">
      <c r="AJ10190" s="213"/>
    </row>
    <row r="10191" spans="36:36" x14ac:dyDescent="0.35">
      <c r="AJ10191" s="213"/>
    </row>
    <row r="10192" spans="36:36" x14ac:dyDescent="0.35">
      <c r="AJ10192" s="213"/>
    </row>
    <row r="10193" spans="36:36" x14ac:dyDescent="0.35">
      <c r="AJ10193" s="213"/>
    </row>
    <row r="10194" spans="36:36" x14ac:dyDescent="0.35">
      <c r="AJ10194" s="213"/>
    </row>
    <row r="10195" spans="36:36" x14ac:dyDescent="0.35">
      <c r="AJ10195" s="213"/>
    </row>
    <row r="10196" spans="36:36" x14ac:dyDescent="0.35">
      <c r="AJ10196" s="213"/>
    </row>
    <row r="10197" spans="36:36" x14ac:dyDescent="0.35">
      <c r="AJ10197" s="213"/>
    </row>
    <row r="10198" spans="36:36" x14ac:dyDescent="0.35">
      <c r="AJ10198" s="213"/>
    </row>
    <row r="10199" spans="36:36" x14ac:dyDescent="0.35">
      <c r="AJ10199" s="213"/>
    </row>
    <row r="10200" spans="36:36" x14ac:dyDescent="0.35">
      <c r="AJ10200" s="213"/>
    </row>
    <row r="10201" spans="36:36" x14ac:dyDescent="0.35">
      <c r="AJ10201" s="213"/>
    </row>
    <row r="10202" spans="36:36" x14ac:dyDescent="0.35">
      <c r="AJ10202" s="213"/>
    </row>
    <row r="10203" spans="36:36" x14ac:dyDescent="0.35">
      <c r="AJ10203" s="213"/>
    </row>
    <row r="10204" spans="36:36" x14ac:dyDescent="0.35">
      <c r="AJ10204" s="213"/>
    </row>
    <row r="10205" spans="36:36" x14ac:dyDescent="0.35">
      <c r="AJ10205" s="213"/>
    </row>
    <row r="10206" spans="36:36" x14ac:dyDescent="0.35">
      <c r="AJ10206" s="213"/>
    </row>
    <row r="10207" spans="36:36" x14ac:dyDescent="0.35">
      <c r="AJ10207" s="213"/>
    </row>
    <row r="10208" spans="36:36" x14ac:dyDescent="0.35">
      <c r="AJ10208" s="213"/>
    </row>
    <row r="10209" spans="36:36" x14ac:dyDescent="0.35">
      <c r="AJ10209" s="213"/>
    </row>
    <row r="10210" spans="36:36" x14ac:dyDescent="0.35">
      <c r="AJ10210" s="213"/>
    </row>
    <row r="10211" spans="36:36" x14ac:dyDescent="0.35">
      <c r="AJ10211" s="213"/>
    </row>
    <row r="10212" spans="36:36" x14ac:dyDescent="0.35">
      <c r="AJ10212" s="213"/>
    </row>
    <row r="10213" spans="36:36" x14ac:dyDescent="0.35">
      <c r="AJ10213" s="213"/>
    </row>
    <row r="10214" spans="36:36" x14ac:dyDescent="0.35">
      <c r="AJ10214" s="213"/>
    </row>
    <row r="10215" spans="36:36" x14ac:dyDescent="0.35">
      <c r="AJ10215" s="213"/>
    </row>
    <row r="10216" spans="36:36" x14ac:dyDescent="0.35">
      <c r="AJ10216" s="213"/>
    </row>
    <row r="10217" spans="36:36" x14ac:dyDescent="0.35">
      <c r="AJ10217" s="213"/>
    </row>
    <row r="10218" spans="36:36" x14ac:dyDescent="0.35">
      <c r="AJ10218" s="213"/>
    </row>
    <row r="10219" spans="36:36" x14ac:dyDescent="0.35">
      <c r="AJ10219" s="213"/>
    </row>
    <row r="10220" spans="36:36" x14ac:dyDescent="0.35">
      <c r="AJ10220" s="213"/>
    </row>
    <row r="10221" spans="36:36" x14ac:dyDescent="0.35">
      <c r="AJ10221" s="213"/>
    </row>
    <row r="10222" spans="36:36" x14ac:dyDescent="0.35">
      <c r="AJ10222" s="213"/>
    </row>
    <row r="10223" spans="36:36" x14ac:dyDescent="0.35">
      <c r="AJ10223" s="213"/>
    </row>
    <row r="10224" spans="36:36" x14ac:dyDescent="0.35">
      <c r="AJ10224" s="213"/>
    </row>
    <row r="10225" spans="36:36" x14ac:dyDescent="0.35">
      <c r="AJ10225" s="213"/>
    </row>
    <row r="10226" spans="36:36" x14ac:dyDescent="0.35">
      <c r="AJ10226" s="213"/>
    </row>
    <row r="10227" spans="36:36" x14ac:dyDescent="0.35">
      <c r="AJ10227" s="213"/>
    </row>
    <row r="10228" spans="36:36" x14ac:dyDescent="0.35">
      <c r="AJ10228" s="213"/>
    </row>
    <row r="10229" spans="36:36" x14ac:dyDescent="0.35">
      <c r="AJ10229" s="213"/>
    </row>
    <row r="10230" spans="36:36" x14ac:dyDescent="0.35">
      <c r="AJ10230" s="213"/>
    </row>
    <row r="10231" spans="36:36" x14ac:dyDescent="0.35">
      <c r="AJ10231" s="213"/>
    </row>
    <row r="10232" spans="36:36" x14ac:dyDescent="0.35">
      <c r="AJ10232" s="213"/>
    </row>
    <row r="10233" spans="36:36" x14ac:dyDescent="0.35">
      <c r="AJ10233" s="213"/>
    </row>
    <row r="10234" spans="36:36" x14ac:dyDescent="0.35">
      <c r="AJ10234" s="213"/>
    </row>
    <row r="10235" spans="36:36" x14ac:dyDescent="0.35">
      <c r="AJ10235" s="213"/>
    </row>
    <row r="10236" spans="36:36" x14ac:dyDescent="0.35">
      <c r="AJ10236" s="213"/>
    </row>
    <row r="10237" spans="36:36" x14ac:dyDescent="0.35">
      <c r="AJ10237" s="213"/>
    </row>
    <row r="10238" spans="36:36" x14ac:dyDescent="0.35">
      <c r="AJ10238" s="213"/>
    </row>
    <row r="10239" spans="36:36" x14ac:dyDescent="0.35">
      <c r="AJ10239" s="213"/>
    </row>
    <row r="10240" spans="36:36" x14ac:dyDescent="0.35">
      <c r="AJ10240" s="213"/>
    </row>
    <row r="10241" spans="36:36" x14ac:dyDescent="0.35">
      <c r="AJ10241" s="213"/>
    </row>
    <row r="10242" spans="36:36" x14ac:dyDescent="0.35">
      <c r="AJ10242" s="213"/>
    </row>
    <row r="10243" spans="36:36" x14ac:dyDescent="0.35">
      <c r="AJ10243" s="213"/>
    </row>
    <row r="10244" spans="36:36" x14ac:dyDescent="0.35">
      <c r="AJ10244" s="213"/>
    </row>
    <row r="10245" spans="36:36" x14ac:dyDescent="0.35">
      <c r="AJ10245" s="213"/>
    </row>
    <row r="10246" spans="36:36" x14ac:dyDescent="0.35">
      <c r="AJ10246" s="213"/>
    </row>
    <row r="10247" spans="36:36" x14ac:dyDescent="0.35">
      <c r="AJ10247" s="213"/>
    </row>
    <row r="10248" spans="36:36" x14ac:dyDescent="0.35">
      <c r="AJ10248" s="213"/>
    </row>
    <row r="10249" spans="36:36" x14ac:dyDescent="0.35">
      <c r="AJ10249" s="213"/>
    </row>
    <row r="10250" spans="36:36" x14ac:dyDescent="0.35">
      <c r="AJ10250" s="213"/>
    </row>
    <row r="10251" spans="36:36" x14ac:dyDescent="0.35">
      <c r="AJ10251" s="213"/>
    </row>
    <row r="10252" spans="36:36" x14ac:dyDescent="0.35">
      <c r="AJ10252" s="213"/>
    </row>
    <row r="10253" spans="36:36" x14ac:dyDescent="0.35">
      <c r="AJ10253" s="213"/>
    </row>
    <row r="10254" spans="36:36" x14ac:dyDescent="0.35">
      <c r="AJ10254" s="213"/>
    </row>
    <row r="10255" spans="36:36" x14ac:dyDescent="0.35">
      <c r="AJ10255" s="213"/>
    </row>
    <row r="10256" spans="36:36" x14ac:dyDescent="0.35">
      <c r="AJ10256" s="213"/>
    </row>
    <row r="10257" spans="36:36" x14ac:dyDescent="0.35">
      <c r="AJ10257" s="213"/>
    </row>
    <row r="10258" spans="36:36" x14ac:dyDescent="0.35">
      <c r="AJ10258" s="213"/>
    </row>
    <row r="10259" spans="36:36" x14ac:dyDescent="0.35">
      <c r="AJ10259" s="213"/>
    </row>
    <row r="10260" spans="36:36" x14ac:dyDescent="0.35">
      <c r="AJ10260" s="213"/>
    </row>
    <row r="10261" spans="36:36" x14ac:dyDescent="0.35">
      <c r="AJ10261" s="213"/>
    </row>
    <row r="10262" spans="36:36" x14ac:dyDescent="0.35">
      <c r="AJ10262" s="213"/>
    </row>
    <row r="10263" spans="36:36" x14ac:dyDescent="0.35">
      <c r="AJ10263" s="213"/>
    </row>
    <row r="10264" spans="36:36" x14ac:dyDescent="0.35">
      <c r="AJ10264" s="213"/>
    </row>
    <row r="10265" spans="36:36" x14ac:dyDescent="0.35">
      <c r="AJ10265" s="213"/>
    </row>
    <row r="10266" spans="36:36" x14ac:dyDescent="0.35">
      <c r="AJ10266" s="213"/>
    </row>
    <row r="10267" spans="36:36" x14ac:dyDescent="0.35">
      <c r="AJ10267" s="213"/>
    </row>
    <row r="10268" spans="36:36" x14ac:dyDescent="0.35">
      <c r="AJ10268" s="213"/>
    </row>
    <row r="10269" spans="36:36" x14ac:dyDescent="0.35">
      <c r="AJ10269" s="213"/>
    </row>
    <row r="10270" spans="36:36" x14ac:dyDescent="0.35">
      <c r="AJ10270" s="213"/>
    </row>
    <row r="10271" spans="36:36" x14ac:dyDescent="0.35">
      <c r="AJ10271" s="213"/>
    </row>
    <row r="10272" spans="36:36" x14ac:dyDescent="0.35">
      <c r="AJ10272" s="213"/>
    </row>
    <row r="10273" spans="36:36" x14ac:dyDescent="0.35">
      <c r="AJ10273" s="213"/>
    </row>
    <row r="10274" spans="36:36" x14ac:dyDescent="0.35">
      <c r="AJ10274" s="213"/>
    </row>
    <row r="10275" spans="36:36" x14ac:dyDescent="0.35">
      <c r="AJ10275" s="213"/>
    </row>
    <row r="10276" spans="36:36" x14ac:dyDescent="0.35">
      <c r="AJ10276" s="213"/>
    </row>
    <row r="10277" spans="36:36" x14ac:dyDescent="0.35">
      <c r="AJ10277" s="213"/>
    </row>
    <row r="10278" spans="36:36" x14ac:dyDescent="0.35">
      <c r="AJ10278" s="213"/>
    </row>
    <row r="10279" spans="36:36" x14ac:dyDescent="0.35">
      <c r="AJ10279" s="213"/>
    </row>
    <row r="10280" spans="36:36" x14ac:dyDescent="0.35">
      <c r="AJ10280" s="213"/>
    </row>
    <row r="10281" spans="36:36" x14ac:dyDescent="0.35">
      <c r="AJ10281" s="213"/>
    </row>
    <row r="10282" spans="36:36" x14ac:dyDescent="0.35">
      <c r="AJ10282" s="213"/>
    </row>
    <row r="10283" spans="36:36" x14ac:dyDescent="0.35">
      <c r="AJ10283" s="213"/>
    </row>
    <row r="10284" spans="36:36" x14ac:dyDescent="0.35">
      <c r="AJ10284" s="213"/>
    </row>
    <row r="10285" spans="36:36" x14ac:dyDescent="0.35">
      <c r="AJ10285" s="213"/>
    </row>
    <row r="10286" spans="36:36" x14ac:dyDescent="0.35">
      <c r="AJ10286" s="213"/>
    </row>
    <row r="10287" spans="36:36" x14ac:dyDescent="0.35">
      <c r="AJ10287" s="213"/>
    </row>
    <row r="10288" spans="36:36" x14ac:dyDescent="0.35">
      <c r="AJ10288" s="213"/>
    </row>
    <row r="10289" spans="36:36" x14ac:dyDescent="0.35">
      <c r="AJ10289" s="213"/>
    </row>
    <row r="10290" spans="36:36" x14ac:dyDescent="0.35">
      <c r="AJ10290" s="213"/>
    </row>
    <row r="10291" spans="36:36" x14ac:dyDescent="0.35">
      <c r="AJ10291" s="213"/>
    </row>
    <row r="10292" spans="36:36" x14ac:dyDescent="0.35">
      <c r="AJ10292" s="213"/>
    </row>
    <row r="10293" spans="36:36" x14ac:dyDescent="0.35">
      <c r="AJ10293" s="213"/>
    </row>
    <row r="10294" spans="36:36" x14ac:dyDescent="0.35">
      <c r="AJ10294" s="213"/>
    </row>
    <row r="10295" spans="36:36" x14ac:dyDescent="0.35">
      <c r="AJ10295" s="213"/>
    </row>
    <row r="10296" spans="36:36" x14ac:dyDescent="0.35">
      <c r="AJ10296" s="213"/>
    </row>
    <row r="10297" spans="36:36" x14ac:dyDescent="0.35">
      <c r="AJ10297" s="213"/>
    </row>
    <row r="10298" spans="36:36" x14ac:dyDescent="0.35">
      <c r="AJ10298" s="213"/>
    </row>
    <row r="10299" spans="36:36" x14ac:dyDescent="0.35">
      <c r="AJ10299" s="213"/>
    </row>
    <row r="10300" spans="36:36" x14ac:dyDescent="0.35">
      <c r="AJ10300" s="213"/>
    </row>
    <row r="10301" spans="36:36" x14ac:dyDescent="0.35">
      <c r="AJ10301" s="213"/>
    </row>
    <row r="10302" spans="36:36" x14ac:dyDescent="0.35">
      <c r="AJ10302" s="213"/>
    </row>
    <row r="10303" spans="36:36" x14ac:dyDescent="0.35">
      <c r="AJ10303" s="213"/>
    </row>
    <row r="10304" spans="36:36" x14ac:dyDescent="0.35">
      <c r="AJ10304" s="213"/>
    </row>
    <row r="10305" spans="36:36" x14ac:dyDescent="0.35">
      <c r="AJ10305" s="213"/>
    </row>
    <row r="10306" spans="36:36" x14ac:dyDescent="0.35">
      <c r="AJ10306" s="213"/>
    </row>
    <row r="10307" spans="36:36" x14ac:dyDescent="0.35">
      <c r="AJ10307" s="213"/>
    </row>
    <row r="10308" spans="36:36" x14ac:dyDescent="0.35">
      <c r="AJ10308" s="213"/>
    </row>
    <row r="10309" spans="36:36" x14ac:dyDescent="0.35">
      <c r="AJ10309" s="213"/>
    </row>
    <row r="10310" spans="36:36" x14ac:dyDescent="0.35">
      <c r="AJ10310" s="213"/>
    </row>
    <row r="10311" spans="36:36" x14ac:dyDescent="0.35">
      <c r="AJ10311" s="213"/>
    </row>
    <row r="10312" spans="36:36" x14ac:dyDescent="0.35">
      <c r="AJ10312" s="213"/>
    </row>
    <row r="10313" spans="36:36" x14ac:dyDescent="0.35">
      <c r="AJ10313" s="213"/>
    </row>
    <row r="10314" spans="36:36" x14ac:dyDescent="0.35">
      <c r="AJ10314" s="213"/>
    </row>
    <row r="10315" spans="36:36" x14ac:dyDescent="0.35">
      <c r="AJ10315" s="213"/>
    </row>
    <row r="10316" spans="36:36" x14ac:dyDescent="0.35">
      <c r="AJ10316" s="213"/>
    </row>
    <row r="10317" spans="36:36" x14ac:dyDescent="0.35">
      <c r="AJ10317" s="213"/>
    </row>
    <row r="10318" spans="36:36" x14ac:dyDescent="0.35">
      <c r="AJ10318" s="213"/>
    </row>
    <row r="10319" spans="36:36" x14ac:dyDescent="0.35">
      <c r="AJ10319" s="213"/>
    </row>
    <row r="10320" spans="36:36" x14ac:dyDescent="0.35">
      <c r="AJ10320" s="213"/>
    </row>
    <row r="10321" spans="36:36" x14ac:dyDescent="0.35">
      <c r="AJ10321" s="213"/>
    </row>
    <row r="10322" spans="36:36" x14ac:dyDescent="0.35">
      <c r="AJ10322" s="213"/>
    </row>
    <row r="10323" spans="36:36" x14ac:dyDescent="0.35">
      <c r="AJ10323" s="213"/>
    </row>
    <row r="10324" spans="36:36" x14ac:dyDescent="0.35">
      <c r="AJ10324" s="213"/>
    </row>
    <row r="10325" spans="36:36" x14ac:dyDescent="0.35">
      <c r="AJ10325" s="213"/>
    </row>
    <row r="10326" spans="36:36" x14ac:dyDescent="0.35">
      <c r="AJ10326" s="213"/>
    </row>
    <row r="10327" spans="36:36" x14ac:dyDescent="0.35">
      <c r="AJ10327" s="213"/>
    </row>
    <row r="10328" spans="36:36" x14ac:dyDescent="0.35">
      <c r="AJ10328" s="213"/>
    </row>
    <row r="10329" spans="36:36" x14ac:dyDescent="0.35">
      <c r="AJ10329" s="213"/>
    </row>
    <row r="10330" spans="36:36" x14ac:dyDescent="0.35">
      <c r="AJ10330" s="213"/>
    </row>
    <row r="10331" spans="36:36" x14ac:dyDescent="0.35">
      <c r="AJ10331" s="213"/>
    </row>
    <row r="10332" spans="36:36" x14ac:dyDescent="0.35">
      <c r="AJ10332" s="213"/>
    </row>
    <row r="10333" spans="36:36" x14ac:dyDescent="0.35">
      <c r="AJ10333" s="213"/>
    </row>
    <row r="10334" spans="36:36" x14ac:dyDescent="0.35">
      <c r="AJ10334" s="213"/>
    </row>
    <row r="10335" spans="36:36" x14ac:dyDescent="0.35">
      <c r="AJ10335" s="213"/>
    </row>
    <row r="10336" spans="36:36" x14ac:dyDescent="0.35">
      <c r="AJ10336" s="213"/>
    </row>
    <row r="10337" spans="36:36" x14ac:dyDescent="0.35">
      <c r="AJ10337" s="213"/>
    </row>
    <row r="10338" spans="36:36" x14ac:dyDescent="0.35">
      <c r="AJ10338" s="213"/>
    </row>
    <row r="10339" spans="36:36" x14ac:dyDescent="0.35">
      <c r="AJ10339" s="213"/>
    </row>
    <row r="10340" spans="36:36" x14ac:dyDescent="0.35">
      <c r="AJ10340" s="213"/>
    </row>
    <row r="10341" spans="36:36" x14ac:dyDescent="0.35">
      <c r="AJ10341" s="213"/>
    </row>
    <row r="10342" spans="36:36" x14ac:dyDescent="0.35">
      <c r="AJ10342" s="213"/>
    </row>
    <row r="10343" spans="36:36" x14ac:dyDescent="0.35">
      <c r="AJ10343" s="213"/>
    </row>
    <row r="10344" spans="36:36" x14ac:dyDescent="0.35">
      <c r="AJ10344" s="213"/>
    </row>
    <row r="10345" spans="36:36" x14ac:dyDescent="0.35">
      <c r="AJ10345" s="213"/>
    </row>
    <row r="10346" spans="36:36" x14ac:dyDescent="0.35">
      <c r="AJ10346" s="213"/>
    </row>
    <row r="10347" spans="36:36" x14ac:dyDescent="0.35">
      <c r="AJ10347" s="213"/>
    </row>
    <row r="10348" spans="36:36" x14ac:dyDescent="0.35">
      <c r="AJ10348" s="213"/>
    </row>
    <row r="10349" spans="36:36" x14ac:dyDescent="0.35">
      <c r="AJ10349" s="213"/>
    </row>
    <row r="10350" spans="36:36" x14ac:dyDescent="0.35">
      <c r="AJ10350" s="213"/>
    </row>
    <row r="10351" spans="36:36" x14ac:dyDescent="0.35">
      <c r="AJ10351" s="213"/>
    </row>
    <row r="10352" spans="36:36" x14ac:dyDescent="0.35">
      <c r="AJ10352" s="213"/>
    </row>
    <row r="10353" spans="36:36" x14ac:dyDescent="0.35">
      <c r="AJ10353" s="213"/>
    </row>
    <row r="10354" spans="36:36" x14ac:dyDescent="0.35">
      <c r="AJ10354" s="213"/>
    </row>
    <row r="10355" spans="36:36" x14ac:dyDescent="0.35">
      <c r="AJ10355" s="213"/>
    </row>
    <row r="10356" spans="36:36" x14ac:dyDescent="0.35">
      <c r="AJ10356" s="213"/>
    </row>
    <row r="10357" spans="36:36" x14ac:dyDescent="0.35">
      <c r="AJ10357" s="213"/>
    </row>
    <row r="10358" spans="36:36" x14ac:dyDescent="0.35">
      <c r="AJ10358" s="213"/>
    </row>
    <row r="10359" spans="36:36" x14ac:dyDescent="0.35">
      <c r="AJ10359" s="213"/>
    </row>
    <row r="10360" spans="36:36" x14ac:dyDescent="0.35">
      <c r="AJ10360" s="213"/>
    </row>
    <row r="10361" spans="36:36" x14ac:dyDescent="0.35">
      <c r="AJ10361" s="213"/>
    </row>
    <row r="10362" spans="36:36" x14ac:dyDescent="0.35">
      <c r="AJ10362" s="213"/>
    </row>
    <row r="10363" spans="36:36" x14ac:dyDescent="0.35">
      <c r="AJ10363" s="213"/>
    </row>
    <row r="10364" spans="36:36" x14ac:dyDescent="0.35">
      <c r="AJ10364" s="213"/>
    </row>
    <row r="10365" spans="36:36" x14ac:dyDescent="0.35">
      <c r="AJ10365" s="213"/>
    </row>
    <row r="10366" spans="36:36" x14ac:dyDescent="0.35">
      <c r="AJ10366" s="213"/>
    </row>
    <row r="10367" spans="36:36" x14ac:dyDescent="0.35">
      <c r="AJ10367" s="213"/>
    </row>
    <row r="10368" spans="36:36" x14ac:dyDescent="0.35">
      <c r="AJ10368" s="213"/>
    </row>
    <row r="10369" spans="36:36" x14ac:dyDescent="0.35">
      <c r="AJ10369" s="213"/>
    </row>
    <row r="10370" spans="36:36" x14ac:dyDescent="0.35">
      <c r="AJ10370" s="213"/>
    </row>
    <row r="10371" spans="36:36" x14ac:dyDescent="0.35">
      <c r="AJ10371" s="213"/>
    </row>
    <row r="10372" spans="36:36" x14ac:dyDescent="0.35">
      <c r="AJ10372" s="213"/>
    </row>
    <row r="10373" spans="36:36" x14ac:dyDescent="0.35">
      <c r="AJ10373" s="213"/>
    </row>
    <row r="10374" spans="36:36" x14ac:dyDescent="0.35">
      <c r="AJ10374" s="213"/>
    </row>
    <row r="10375" spans="36:36" x14ac:dyDescent="0.35">
      <c r="AJ10375" s="213"/>
    </row>
    <row r="10376" spans="36:36" x14ac:dyDescent="0.35">
      <c r="AJ10376" s="213"/>
    </row>
    <row r="10377" spans="36:36" x14ac:dyDescent="0.35">
      <c r="AJ10377" s="213"/>
    </row>
    <row r="10378" spans="36:36" x14ac:dyDescent="0.35">
      <c r="AJ10378" s="213"/>
    </row>
    <row r="10379" spans="36:36" x14ac:dyDescent="0.35">
      <c r="AJ10379" s="213"/>
    </row>
    <row r="10380" spans="36:36" x14ac:dyDescent="0.35">
      <c r="AJ10380" s="213"/>
    </row>
    <row r="10381" spans="36:36" x14ac:dyDescent="0.35">
      <c r="AJ10381" s="213"/>
    </row>
    <row r="10382" spans="36:36" x14ac:dyDescent="0.35">
      <c r="AJ10382" s="213"/>
    </row>
    <row r="10383" spans="36:36" x14ac:dyDescent="0.35">
      <c r="AJ10383" s="213"/>
    </row>
    <row r="10384" spans="36:36" x14ac:dyDescent="0.35">
      <c r="AJ10384" s="213"/>
    </row>
    <row r="10385" spans="36:36" x14ac:dyDescent="0.35">
      <c r="AJ10385" s="213"/>
    </row>
    <row r="10386" spans="36:36" x14ac:dyDescent="0.35">
      <c r="AJ10386" s="213"/>
    </row>
    <row r="10387" spans="36:36" x14ac:dyDescent="0.35">
      <c r="AJ10387" s="213"/>
    </row>
    <row r="10388" spans="36:36" x14ac:dyDescent="0.35">
      <c r="AJ10388" s="213"/>
    </row>
    <row r="10389" spans="36:36" x14ac:dyDescent="0.35">
      <c r="AJ10389" s="213"/>
    </row>
    <row r="10390" spans="36:36" x14ac:dyDescent="0.35">
      <c r="AJ10390" s="213"/>
    </row>
    <row r="10391" spans="36:36" x14ac:dyDescent="0.35">
      <c r="AJ10391" s="213"/>
    </row>
    <row r="10392" spans="36:36" x14ac:dyDescent="0.35">
      <c r="AJ10392" s="213"/>
    </row>
    <row r="10393" spans="36:36" x14ac:dyDescent="0.35">
      <c r="AJ10393" s="213"/>
    </row>
    <row r="10394" spans="36:36" x14ac:dyDescent="0.35">
      <c r="AJ10394" s="213"/>
    </row>
    <row r="10395" spans="36:36" x14ac:dyDescent="0.35">
      <c r="AJ10395" s="213"/>
    </row>
    <row r="10396" spans="36:36" x14ac:dyDescent="0.35">
      <c r="AJ10396" s="213"/>
    </row>
    <row r="10397" spans="36:36" x14ac:dyDescent="0.35">
      <c r="AJ10397" s="213"/>
    </row>
    <row r="10398" spans="36:36" x14ac:dyDescent="0.35">
      <c r="AJ10398" s="213"/>
    </row>
    <row r="10399" spans="36:36" x14ac:dyDescent="0.35">
      <c r="AJ10399" s="213"/>
    </row>
    <row r="10400" spans="36:36" x14ac:dyDescent="0.35">
      <c r="AJ10400" s="213"/>
    </row>
    <row r="10401" spans="36:36" x14ac:dyDescent="0.35">
      <c r="AJ10401" s="213"/>
    </row>
    <row r="10402" spans="36:36" x14ac:dyDescent="0.35">
      <c r="AJ10402" s="213"/>
    </row>
    <row r="10403" spans="36:36" x14ac:dyDescent="0.35">
      <c r="AJ10403" s="213"/>
    </row>
    <row r="10404" spans="36:36" x14ac:dyDescent="0.35">
      <c r="AJ10404" s="213"/>
    </row>
    <row r="10405" spans="36:36" x14ac:dyDescent="0.35">
      <c r="AJ10405" s="213"/>
    </row>
    <row r="10406" spans="36:36" x14ac:dyDescent="0.35">
      <c r="AJ10406" s="213"/>
    </row>
    <row r="10407" spans="36:36" x14ac:dyDescent="0.35">
      <c r="AJ10407" s="213"/>
    </row>
    <row r="10408" spans="36:36" x14ac:dyDescent="0.35">
      <c r="AJ10408" s="213"/>
    </row>
    <row r="10409" spans="36:36" x14ac:dyDescent="0.35">
      <c r="AJ10409" s="213"/>
    </row>
    <row r="10410" spans="36:36" x14ac:dyDescent="0.35">
      <c r="AJ10410" s="213"/>
    </row>
    <row r="10411" spans="36:36" x14ac:dyDescent="0.35">
      <c r="AJ10411" s="213"/>
    </row>
    <row r="10412" spans="36:36" x14ac:dyDescent="0.35">
      <c r="AJ10412" s="213"/>
    </row>
    <row r="10413" spans="36:36" x14ac:dyDescent="0.35">
      <c r="AJ10413" s="213"/>
    </row>
    <row r="10414" spans="36:36" x14ac:dyDescent="0.35">
      <c r="AJ10414" s="213"/>
    </row>
    <row r="10415" spans="36:36" x14ac:dyDescent="0.35">
      <c r="AJ10415" s="213"/>
    </row>
    <row r="10416" spans="36:36" x14ac:dyDescent="0.35">
      <c r="AJ10416" s="213"/>
    </row>
    <row r="10417" spans="36:36" x14ac:dyDescent="0.35">
      <c r="AJ10417" s="213"/>
    </row>
    <row r="10418" spans="36:36" x14ac:dyDescent="0.35">
      <c r="AJ10418" s="213"/>
    </row>
    <row r="10419" spans="36:36" x14ac:dyDescent="0.35">
      <c r="AJ10419" s="213"/>
    </row>
    <row r="10420" spans="36:36" x14ac:dyDescent="0.35">
      <c r="AJ10420" s="213"/>
    </row>
    <row r="10421" spans="36:36" x14ac:dyDescent="0.35">
      <c r="AJ10421" s="213"/>
    </row>
    <row r="10422" spans="36:36" x14ac:dyDescent="0.35">
      <c r="AJ10422" s="213"/>
    </row>
    <row r="10423" spans="36:36" x14ac:dyDescent="0.35">
      <c r="AJ10423" s="213"/>
    </row>
    <row r="10424" spans="36:36" x14ac:dyDescent="0.35">
      <c r="AJ10424" s="213"/>
    </row>
    <row r="10425" spans="36:36" x14ac:dyDescent="0.35">
      <c r="AJ10425" s="213"/>
    </row>
    <row r="10426" spans="36:36" x14ac:dyDescent="0.35">
      <c r="AJ10426" s="213"/>
    </row>
    <row r="10427" spans="36:36" x14ac:dyDescent="0.35">
      <c r="AJ10427" s="213"/>
    </row>
    <row r="10428" spans="36:36" x14ac:dyDescent="0.35">
      <c r="AJ10428" s="213"/>
    </row>
    <row r="10429" spans="36:36" x14ac:dyDescent="0.35">
      <c r="AJ10429" s="213"/>
    </row>
    <row r="10430" spans="36:36" x14ac:dyDescent="0.35">
      <c r="AJ10430" s="213"/>
    </row>
    <row r="10431" spans="36:36" x14ac:dyDescent="0.35">
      <c r="AJ10431" s="213"/>
    </row>
    <row r="10432" spans="36:36" x14ac:dyDescent="0.35">
      <c r="AJ10432" s="213"/>
    </row>
    <row r="10433" spans="36:36" x14ac:dyDescent="0.35">
      <c r="AJ10433" s="213"/>
    </row>
    <row r="10434" spans="36:36" x14ac:dyDescent="0.35">
      <c r="AJ10434" s="213"/>
    </row>
    <row r="10435" spans="36:36" x14ac:dyDescent="0.35">
      <c r="AJ10435" s="213"/>
    </row>
    <row r="10436" spans="36:36" x14ac:dyDescent="0.35">
      <c r="AJ10436" s="213"/>
    </row>
    <row r="10437" spans="36:36" x14ac:dyDescent="0.35">
      <c r="AJ10437" s="213"/>
    </row>
    <row r="10438" spans="36:36" x14ac:dyDescent="0.35">
      <c r="AJ10438" s="213"/>
    </row>
    <row r="10439" spans="36:36" x14ac:dyDescent="0.35">
      <c r="AJ10439" s="213"/>
    </row>
    <row r="10440" spans="36:36" x14ac:dyDescent="0.35">
      <c r="AJ10440" s="213"/>
    </row>
    <row r="10441" spans="36:36" x14ac:dyDescent="0.35">
      <c r="AJ10441" s="213"/>
    </row>
    <row r="10442" spans="36:36" x14ac:dyDescent="0.35">
      <c r="AJ10442" s="213"/>
    </row>
    <row r="10443" spans="36:36" x14ac:dyDescent="0.35">
      <c r="AJ10443" s="213"/>
    </row>
    <row r="10444" spans="36:36" x14ac:dyDescent="0.35">
      <c r="AJ10444" s="213"/>
    </row>
    <row r="10445" spans="36:36" x14ac:dyDescent="0.35">
      <c r="AJ10445" s="213"/>
    </row>
    <row r="10446" spans="36:36" x14ac:dyDescent="0.35">
      <c r="AJ10446" s="213"/>
    </row>
    <row r="10447" spans="36:36" x14ac:dyDescent="0.35">
      <c r="AJ10447" s="213"/>
    </row>
    <row r="10448" spans="36:36" x14ac:dyDescent="0.35">
      <c r="AJ10448" s="213"/>
    </row>
    <row r="10449" spans="36:36" x14ac:dyDescent="0.35">
      <c r="AJ10449" s="213"/>
    </row>
    <row r="10450" spans="36:36" x14ac:dyDescent="0.35">
      <c r="AJ10450" s="213"/>
    </row>
    <row r="10451" spans="36:36" x14ac:dyDescent="0.35">
      <c r="AJ10451" s="213"/>
    </row>
    <row r="10452" spans="36:36" x14ac:dyDescent="0.35">
      <c r="AJ10452" s="213"/>
    </row>
    <row r="10453" spans="36:36" x14ac:dyDescent="0.35">
      <c r="AJ10453" s="213"/>
    </row>
    <row r="10454" spans="36:36" x14ac:dyDescent="0.35">
      <c r="AJ10454" s="213"/>
    </row>
    <row r="10455" spans="36:36" x14ac:dyDescent="0.35">
      <c r="AJ10455" s="213"/>
    </row>
    <row r="10456" spans="36:36" x14ac:dyDescent="0.35">
      <c r="AJ10456" s="213"/>
    </row>
    <row r="10457" spans="36:36" x14ac:dyDescent="0.35">
      <c r="AJ10457" s="213"/>
    </row>
    <row r="10458" spans="36:36" x14ac:dyDescent="0.35">
      <c r="AJ10458" s="213"/>
    </row>
    <row r="10459" spans="36:36" x14ac:dyDescent="0.35">
      <c r="AJ10459" s="213"/>
    </row>
    <row r="10460" spans="36:36" x14ac:dyDescent="0.35">
      <c r="AJ10460" s="213"/>
    </row>
    <row r="10461" spans="36:36" x14ac:dyDescent="0.35">
      <c r="AJ10461" s="213"/>
    </row>
    <row r="10462" spans="36:36" x14ac:dyDescent="0.35">
      <c r="AJ10462" s="213"/>
    </row>
    <row r="10463" spans="36:36" x14ac:dyDescent="0.35">
      <c r="AJ10463" s="213"/>
    </row>
    <row r="10464" spans="36:36" x14ac:dyDescent="0.35">
      <c r="AJ10464" s="213"/>
    </row>
    <row r="10465" spans="36:36" x14ac:dyDescent="0.35">
      <c r="AJ10465" s="213"/>
    </row>
    <row r="10466" spans="36:36" x14ac:dyDescent="0.35">
      <c r="AJ10466" s="213"/>
    </row>
    <row r="10467" spans="36:36" x14ac:dyDescent="0.35">
      <c r="AJ10467" s="213"/>
    </row>
    <row r="10468" spans="36:36" x14ac:dyDescent="0.35">
      <c r="AJ10468" s="213"/>
    </row>
    <row r="10469" spans="36:36" x14ac:dyDescent="0.35">
      <c r="AJ10469" s="213"/>
    </row>
    <row r="10470" spans="36:36" x14ac:dyDescent="0.35">
      <c r="AJ10470" s="213"/>
    </row>
    <row r="10471" spans="36:36" x14ac:dyDescent="0.35">
      <c r="AJ10471" s="213"/>
    </row>
    <row r="10472" spans="36:36" x14ac:dyDescent="0.35">
      <c r="AJ10472" s="213"/>
    </row>
    <row r="10473" spans="36:36" x14ac:dyDescent="0.35">
      <c r="AJ10473" s="213"/>
    </row>
    <row r="10474" spans="36:36" x14ac:dyDescent="0.35">
      <c r="AJ10474" s="213"/>
    </row>
    <row r="10475" spans="36:36" x14ac:dyDescent="0.35">
      <c r="AJ10475" s="213"/>
    </row>
    <row r="10476" spans="36:36" x14ac:dyDescent="0.35">
      <c r="AJ10476" s="213"/>
    </row>
    <row r="10477" spans="36:36" x14ac:dyDescent="0.35">
      <c r="AJ10477" s="213"/>
    </row>
    <row r="10478" spans="36:36" x14ac:dyDescent="0.35">
      <c r="AJ10478" s="213"/>
    </row>
    <row r="10479" spans="36:36" x14ac:dyDescent="0.35">
      <c r="AJ10479" s="213"/>
    </row>
    <row r="10480" spans="36:36" x14ac:dyDescent="0.35">
      <c r="AJ10480" s="213"/>
    </row>
    <row r="10481" spans="36:36" x14ac:dyDescent="0.35">
      <c r="AJ10481" s="213"/>
    </row>
    <row r="10482" spans="36:36" x14ac:dyDescent="0.35">
      <c r="AJ10482" s="213"/>
    </row>
    <row r="10483" spans="36:36" x14ac:dyDescent="0.35">
      <c r="AJ10483" s="213"/>
    </row>
    <row r="10484" spans="36:36" x14ac:dyDescent="0.35">
      <c r="AJ10484" s="213"/>
    </row>
    <row r="10485" spans="36:36" x14ac:dyDescent="0.35">
      <c r="AJ10485" s="213"/>
    </row>
    <row r="10486" spans="36:36" x14ac:dyDescent="0.35">
      <c r="AJ10486" s="213"/>
    </row>
    <row r="10487" spans="36:36" x14ac:dyDescent="0.35">
      <c r="AJ10487" s="213"/>
    </row>
    <row r="10488" spans="36:36" x14ac:dyDescent="0.35">
      <c r="AJ10488" s="213"/>
    </row>
    <row r="10489" spans="36:36" x14ac:dyDescent="0.35">
      <c r="AJ10489" s="213"/>
    </row>
    <row r="10490" spans="36:36" x14ac:dyDescent="0.35">
      <c r="AJ10490" s="213"/>
    </row>
    <row r="10491" spans="36:36" x14ac:dyDescent="0.35">
      <c r="AJ10491" s="213"/>
    </row>
    <row r="10492" spans="36:36" x14ac:dyDescent="0.35">
      <c r="AJ10492" s="213"/>
    </row>
    <row r="10493" spans="36:36" x14ac:dyDescent="0.35">
      <c r="AJ10493" s="213"/>
    </row>
    <row r="10494" spans="36:36" x14ac:dyDescent="0.35">
      <c r="AJ10494" s="213"/>
    </row>
    <row r="10495" spans="36:36" x14ac:dyDescent="0.35">
      <c r="AJ10495" s="213"/>
    </row>
    <row r="10496" spans="36:36" x14ac:dyDescent="0.35">
      <c r="AJ10496" s="213"/>
    </row>
    <row r="10497" spans="36:36" x14ac:dyDescent="0.35">
      <c r="AJ10497" s="213"/>
    </row>
    <row r="10498" spans="36:36" x14ac:dyDescent="0.35">
      <c r="AJ10498" s="213"/>
    </row>
    <row r="10499" spans="36:36" x14ac:dyDescent="0.35">
      <c r="AJ10499" s="213"/>
    </row>
    <row r="10500" spans="36:36" x14ac:dyDescent="0.35">
      <c r="AJ10500" s="213"/>
    </row>
    <row r="10501" spans="36:36" x14ac:dyDescent="0.35">
      <c r="AJ10501" s="213"/>
    </row>
    <row r="10502" spans="36:36" x14ac:dyDescent="0.35">
      <c r="AJ10502" s="213"/>
    </row>
    <row r="10503" spans="36:36" x14ac:dyDescent="0.35">
      <c r="AJ10503" s="213"/>
    </row>
    <row r="10504" spans="36:36" x14ac:dyDescent="0.35">
      <c r="AJ10504" s="213"/>
    </row>
    <row r="10505" spans="36:36" x14ac:dyDescent="0.35">
      <c r="AJ10505" s="213"/>
    </row>
    <row r="10506" spans="36:36" x14ac:dyDescent="0.35">
      <c r="AJ10506" s="213"/>
    </row>
    <row r="10507" spans="36:36" x14ac:dyDescent="0.35">
      <c r="AJ10507" s="213"/>
    </row>
    <row r="10508" spans="36:36" x14ac:dyDescent="0.35">
      <c r="AJ10508" s="213"/>
    </row>
    <row r="10509" spans="36:36" x14ac:dyDescent="0.35">
      <c r="AJ10509" s="213"/>
    </row>
    <row r="10510" spans="36:36" x14ac:dyDescent="0.35">
      <c r="AJ10510" s="213"/>
    </row>
    <row r="10511" spans="36:36" x14ac:dyDescent="0.35">
      <c r="AJ10511" s="213"/>
    </row>
    <row r="10512" spans="36:36" x14ac:dyDescent="0.35">
      <c r="AJ10512" s="213"/>
    </row>
    <row r="10513" spans="36:36" x14ac:dyDescent="0.35">
      <c r="AJ10513" s="213"/>
    </row>
    <row r="10514" spans="36:36" x14ac:dyDescent="0.35">
      <c r="AJ10514" s="213"/>
    </row>
    <row r="10515" spans="36:36" x14ac:dyDescent="0.35">
      <c r="AJ10515" s="213"/>
    </row>
    <row r="10516" spans="36:36" x14ac:dyDescent="0.35">
      <c r="AJ10516" s="213"/>
    </row>
    <row r="10517" spans="36:36" x14ac:dyDescent="0.35">
      <c r="AJ10517" s="213"/>
    </row>
    <row r="10518" spans="36:36" x14ac:dyDescent="0.35">
      <c r="AJ10518" s="213"/>
    </row>
    <row r="10519" spans="36:36" x14ac:dyDescent="0.35">
      <c r="AJ10519" s="213"/>
    </row>
    <row r="10520" spans="36:36" x14ac:dyDescent="0.35">
      <c r="AJ10520" s="213"/>
    </row>
    <row r="10521" spans="36:36" x14ac:dyDescent="0.35">
      <c r="AJ10521" s="213"/>
    </row>
    <row r="10522" spans="36:36" x14ac:dyDescent="0.35">
      <c r="AJ10522" s="213"/>
    </row>
    <row r="10523" spans="36:36" x14ac:dyDescent="0.35">
      <c r="AJ10523" s="213"/>
    </row>
    <row r="10524" spans="36:36" x14ac:dyDescent="0.35">
      <c r="AJ10524" s="213"/>
    </row>
    <row r="10525" spans="36:36" x14ac:dyDescent="0.35">
      <c r="AJ10525" s="213"/>
    </row>
    <row r="10526" spans="36:36" x14ac:dyDescent="0.35">
      <c r="AJ10526" s="213"/>
    </row>
    <row r="10527" spans="36:36" x14ac:dyDescent="0.35">
      <c r="AJ10527" s="213"/>
    </row>
    <row r="10528" spans="36:36" x14ac:dyDescent="0.35">
      <c r="AJ10528" s="213"/>
    </row>
    <row r="10529" spans="36:36" x14ac:dyDescent="0.35">
      <c r="AJ10529" s="213"/>
    </row>
    <row r="10530" spans="36:36" x14ac:dyDescent="0.35">
      <c r="AJ10530" s="213"/>
    </row>
    <row r="10531" spans="36:36" x14ac:dyDescent="0.35">
      <c r="AJ10531" s="213"/>
    </row>
    <row r="10532" spans="36:36" x14ac:dyDescent="0.35">
      <c r="AJ10532" s="213"/>
    </row>
    <row r="10533" spans="36:36" x14ac:dyDescent="0.35">
      <c r="AJ10533" s="213"/>
    </row>
    <row r="10534" spans="36:36" x14ac:dyDescent="0.35">
      <c r="AJ10534" s="213"/>
    </row>
    <row r="10535" spans="36:36" x14ac:dyDescent="0.35">
      <c r="AJ10535" s="213"/>
    </row>
    <row r="10536" spans="36:36" x14ac:dyDescent="0.35">
      <c r="AJ10536" s="213"/>
    </row>
    <row r="10537" spans="36:36" x14ac:dyDescent="0.35">
      <c r="AJ10537" s="213"/>
    </row>
    <row r="10538" spans="36:36" x14ac:dyDescent="0.35">
      <c r="AJ10538" s="213"/>
    </row>
    <row r="10539" spans="36:36" x14ac:dyDescent="0.35">
      <c r="AJ10539" s="213"/>
    </row>
    <row r="10540" spans="36:36" x14ac:dyDescent="0.35">
      <c r="AJ10540" s="213"/>
    </row>
    <row r="10541" spans="36:36" x14ac:dyDescent="0.35">
      <c r="AJ10541" s="213"/>
    </row>
    <row r="10542" spans="36:36" x14ac:dyDescent="0.35">
      <c r="AJ10542" s="213"/>
    </row>
    <row r="10543" spans="36:36" x14ac:dyDescent="0.35">
      <c r="AJ10543" s="213"/>
    </row>
    <row r="10544" spans="36:36" x14ac:dyDescent="0.35">
      <c r="AJ10544" s="213"/>
    </row>
    <row r="10545" spans="36:36" x14ac:dyDescent="0.35">
      <c r="AJ10545" s="213"/>
    </row>
    <row r="10546" spans="36:36" x14ac:dyDescent="0.35">
      <c r="AJ10546" s="213"/>
    </row>
    <row r="10547" spans="36:36" x14ac:dyDescent="0.35">
      <c r="AJ10547" s="213"/>
    </row>
    <row r="10548" spans="36:36" x14ac:dyDescent="0.35">
      <c r="AJ10548" s="213"/>
    </row>
    <row r="10549" spans="36:36" x14ac:dyDescent="0.35">
      <c r="AJ10549" s="213"/>
    </row>
    <row r="10550" spans="36:36" x14ac:dyDescent="0.35">
      <c r="AJ10550" s="213"/>
    </row>
    <row r="10551" spans="36:36" x14ac:dyDescent="0.35">
      <c r="AJ10551" s="213"/>
    </row>
    <row r="10552" spans="36:36" x14ac:dyDescent="0.35">
      <c r="AJ10552" s="213"/>
    </row>
    <row r="10553" spans="36:36" x14ac:dyDescent="0.35">
      <c r="AJ10553" s="213"/>
    </row>
    <row r="10554" spans="36:36" x14ac:dyDescent="0.35">
      <c r="AJ10554" s="213"/>
    </row>
    <row r="10555" spans="36:36" x14ac:dyDescent="0.35">
      <c r="AJ10555" s="213"/>
    </row>
    <row r="10556" spans="36:36" x14ac:dyDescent="0.35">
      <c r="AJ10556" s="213"/>
    </row>
    <row r="10557" spans="36:36" x14ac:dyDescent="0.35">
      <c r="AJ10557" s="213"/>
    </row>
    <row r="10558" spans="36:36" x14ac:dyDescent="0.35">
      <c r="AJ10558" s="213"/>
    </row>
    <row r="10559" spans="36:36" x14ac:dyDescent="0.35">
      <c r="AJ10559" s="213"/>
    </row>
    <row r="10560" spans="36:36" x14ac:dyDescent="0.35">
      <c r="AJ10560" s="213"/>
    </row>
    <row r="10561" spans="36:36" x14ac:dyDescent="0.35">
      <c r="AJ10561" s="213"/>
    </row>
    <row r="10562" spans="36:36" x14ac:dyDescent="0.35">
      <c r="AJ10562" s="213"/>
    </row>
    <row r="10563" spans="36:36" x14ac:dyDescent="0.35">
      <c r="AJ10563" s="213"/>
    </row>
    <row r="10564" spans="36:36" x14ac:dyDescent="0.35">
      <c r="AJ10564" s="213"/>
    </row>
    <row r="10565" spans="36:36" x14ac:dyDescent="0.35">
      <c r="AJ10565" s="213"/>
    </row>
    <row r="10566" spans="36:36" x14ac:dyDescent="0.35">
      <c r="AJ10566" s="213"/>
    </row>
    <row r="10567" spans="36:36" x14ac:dyDescent="0.35">
      <c r="AJ10567" s="213"/>
    </row>
    <row r="10568" spans="36:36" x14ac:dyDescent="0.35">
      <c r="AJ10568" s="213"/>
    </row>
    <row r="10569" spans="36:36" x14ac:dyDescent="0.35">
      <c r="AJ10569" s="213"/>
    </row>
    <row r="10570" spans="36:36" x14ac:dyDescent="0.35">
      <c r="AJ10570" s="213"/>
    </row>
    <row r="10571" spans="36:36" x14ac:dyDescent="0.35">
      <c r="AJ10571" s="213"/>
    </row>
    <row r="10572" spans="36:36" x14ac:dyDescent="0.35">
      <c r="AJ10572" s="213"/>
    </row>
    <row r="10573" spans="36:36" x14ac:dyDescent="0.35">
      <c r="AJ10573" s="213"/>
    </row>
    <row r="10574" spans="36:36" x14ac:dyDescent="0.35">
      <c r="AJ10574" s="213"/>
    </row>
    <row r="10575" spans="36:36" x14ac:dyDescent="0.35">
      <c r="AJ10575" s="213"/>
    </row>
    <row r="10576" spans="36:36" x14ac:dyDescent="0.35">
      <c r="AJ10576" s="213"/>
    </row>
    <row r="10577" spans="36:36" x14ac:dyDescent="0.35">
      <c r="AJ10577" s="213"/>
    </row>
    <row r="10578" spans="36:36" x14ac:dyDescent="0.35">
      <c r="AJ10578" s="213"/>
    </row>
    <row r="10579" spans="36:36" x14ac:dyDescent="0.35">
      <c r="AJ10579" s="213"/>
    </row>
    <row r="10580" spans="36:36" x14ac:dyDescent="0.35">
      <c r="AJ10580" s="213"/>
    </row>
    <row r="10581" spans="36:36" x14ac:dyDescent="0.35">
      <c r="AJ10581" s="213"/>
    </row>
    <row r="10582" spans="36:36" x14ac:dyDescent="0.35">
      <c r="AJ10582" s="213"/>
    </row>
    <row r="10583" spans="36:36" x14ac:dyDescent="0.35">
      <c r="AJ10583" s="213"/>
    </row>
    <row r="10584" spans="36:36" x14ac:dyDescent="0.35">
      <c r="AJ10584" s="213"/>
    </row>
    <row r="10585" spans="36:36" x14ac:dyDescent="0.35">
      <c r="AJ10585" s="213"/>
    </row>
    <row r="10586" spans="36:36" x14ac:dyDescent="0.35">
      <c r="AJ10586" s="213"/>
    </row>
    <row r="10587" spans="36:36" x14ac:dyDescent="0.35">
      <c r="AJ10587" s="213"/>
    </row>
    <row r="10588" spans="36:36" x14ac:dyDescent="0.35">
      <c r="AJ10588" s="213"/>
    </row>
    <row r="10589" spans="36:36" x14ac:dyDescent="0.35">
      <c r="AJ10589" s="213"/>
    </row>
    <row r="10590" spans="36:36" x14ac:dyDescent="0.35">
      <c r="AJ10590" s="213"/>
    </row>
    <row r="10591" spans="36:36" x14ac:dyDescent="0.35">
      <c r="AJ10591" s="213"/>
    </row>
    <row r="10592" spans="36:36" x14ac:dyDescent="0.35">
      <c r="AJ10592" s="213"/>
    </row>
    <row r="10593" spans="36:36" x14ac:dyDescent="0.35">
      <c r="AJ10593" s="213"/>
    </row>
    <row r="10594" spans="36:36" x14ac:dyDescent="0.35">
      <c r="AJ10594" s="213"/>
    </row>
    <row r="10595" spans="36:36" x14ac:dyDescent="0.35">
      <c r="AJ10595" s="213"/>
    </row>
    <row r="10596" spans="36:36" x14ac:dyDescent="0.35">
      <c r="AJ10596" s="213"/>
    </row>
    <row r="10597" spans="36:36" x14ac:dyDescent="0.35">
      <c r="AJ10597" s="213"/>
    </row>
    <row r="10598" spans="36:36" x14ac:dyDescent="0.35">
      <c r="AJ10598" s="213"/>
    </row>
    <row r="10599" spans="36:36" x14ac:dyDescent="0.35">
      <c r="AJ10599" s="213"/>
    </row>
    <row r="10600" spans="36:36" x14ac:dyDescent="0.35">
      <c r="AJ10600" s="213"/>
    </row>
    <row r="10601" spans="36:36" x14ac:dyDescent="0.35">
      <c r="AJ10601" s="213"/>
    </row>
    <row r="10602" spans="36:36" x14ac:dyDescent="0.35">
      <c r="AJ10602" s="213"/>
    </row>
    <row r="10603" spans="36:36" x14ac:dyDescent="0.35">
      <c r="AJ10603" s="213"/>
    </row>
    <row r="10604" spans="36:36" x14ac:dyDescent="0.35">
      <c r="AJ10604" s="213"/>
    </row>
    <row r="10605" spans="36:36" x14ac:dyDescent="0.35">
      <c r="AJ10605" s="213"/>
    </row>
    <row r="10606" spans="36:36" x14ac:dyDescent="0.35">
      <c r="AJ10606" s="213"/>
    </row>
    <row r="10607" spans="36:36" x14ac:dyDescent="0.35">
      <c r="AJ10607" s="213"/>
    </row>
    <row r="10608" spans="36:36" x14ac:dyDescent="0.35">
      <c r="AJ10608" s="213"/>
    </row>
    <row r="10609" spans="36:36" x14ac:dyDescent="0.35">
      <c r="AJ10609" s="213"/>
    </row>
    <row r="10610" spans="36:36" x14ac:dyDescent="0.35">
      <c r="AJ10610" s="213"/>
    </row>
    <row r="10611" spans="36:36" x14ac:dyDescent="0.35">
      <c r="AJ10611" s="213"/>
    </row>
    <row r="10612" spans="36:36" x14ac:dyDescent="0.35">
      <c r="AJ10612" s="213"/>
    </row>
    <row r="10613" spans="36:36" x14ac:dyDescent="0.35">
      <c r="AJ10613" s="213"/>
    </row>
    <row r="10614" spans="36:36" x14ac:dyDescent="0.35">
      <c r="AJ10614" s="213"/>
    </row>
    <row r="10615" spans="36:36" x14ac:dyDescent="0.35">
      <c r="AJ10615" s="213"/>
    </row>
    <row r="10616" spans="36:36" x14ac:dyDescent="0.35">
      <c r="AJ10616" s="213"/>
    </row>
    <row r="10617" spans="36:36" x14ac:dyDescent="0.35">
      <c r="AJ10617" s="213"/>
    </row>
    <row r="10618" spans="36:36" x14ac:dyDescent="0.35">
      <c r="AJ10618" s="213"/>
    </row>
    <row r="10619" spans="36:36" x14ac:dyDescent="0.35">
      <c r="AJ10619" s="213"/>
    </row>
    <row r="10620" spans="36:36" x14ac:dyDescent="0.35">
      <c r="AJ10620" s="213"/>
    </row>
    <row r="10621" spans="36:36" x14ac:dyDescent="0.35">
      <c r="AJ10621" s="213"/>
    </row>
    <row r="10622" spans="36:36" x14ac:dyDescent="0.35">
      <c r="AJ10622" s="213"/>
    </row>
    <row r="10623" spans="36:36" x14ac:dyDescent="0.35">
      <c r="AJ10623" s="213"/>
    </row>
    <row r="10624" spans="36:36" x14ac:dyDescent="0.35">
      <c r="AJ10624" s="213"/>
    </row>
    <row r="10625" spans="36:36" x14ac:dyDescent="0.35">
      <c r="AJ10625" s="213"/>
    </row>
    <row r="10626" spans="36:36" x14ac:dyDescent="0.35">
      <c r="AJ10626" s="213"/>
    </row>
    <row r="10627" spans="36:36" x14ac:dyDescent="0.35">
      <c r="AJ10627" s="213"/>
    </row>
    <row r="10628" spans="36:36" x14ac:dyDescent="0.35">
      <c r="AJ10628" s="213"/>
    </row>
    <row r="10629" spans="36:36" x14ac:dyDescent="0.35">
      <c r="AJ10629" s="213"/>
    </row>
    <row r="10630" spans="36:36" x14ac:dyDescent="0.35">
      <c r="AJ10630" s="213"/>
    </row>
    <row r="10631" spans="36:36" x14ac:dyDescent="0.35">
      <c r="AJ10631" s="213"/>
    </row>
    <row r="10632" spans="36:36" x14ac:dyDescent="0.35">
      <c r="AJ10632" s="213"/>
    </row>
    <row r="10633" spans="36:36" x14ac:dyDescent="0.35">
      <c r="AJ10633" s="213"/>
    </row>
    <row r="10634" spans="36:36" x14ac:dyDescent="0.35">
      <c r="AJ10634" s="213"/>
    </row>
    <row r="10635" spans="36:36" x14ac:dyDescent="0.35">
      <c r="AJ10635" s="213"/>
    </row>
    <row r="10636" spans="36:36" x14ac:dyDescent="0.35">
      <c r="AJ10636" s="213"/>
    </row>
    <row r="10637" spans="36:36" x14ac:dyDescent="0.35">
      <c r="AJ10637" s="213"/>
    </row>
    <row r="10638" spans="36:36" x14ac:dyDescent="0.35">
      <c r="AJ10638" s="213"/>
    </row>
    <row r="10639" spans="36:36" x14ac:dyDescent="0.35">
      <c r="AJ10639" s="213"/>
    </row>
    <row r="10640" spans="36:36" x14ac:dyDescent="0.35">
      <c r="AJ10640" s="213"/>
    </row>
    <row r="10641" spans="36:36" x14ac:dyDescent="0.35">
      <c r="AJ10641" s="213"/>
    </row>
    <row r="10642" spans="36:36" x14ac:dyDescent="0.35">
      <c r="AJ10642" s="213"/>
    </row>
    <row r="10643" spans="36:36" x14ac:dyDescent="0.35">
      <c r="AJ10643" s="213"/>
    </row>
    <row r="10644" spans="36:36" x14ac:dyDescent="0.35">
      <c r="AJ10644" s="213"/>
    </row>
    <row r="10645" spans="36:36" x14ac:dyDescent="0.35">
      <c r="AJ10645" s="213"/>
    </row>
    <row r="10646" spans="36:36" x14ac:dyDescent="0.35">
      <c r="AJ10646" s="213"/>
    </row>
    <row r="10647" spans="36:36" x14ac:dyDescent="0.35">
      <c r="AJ10647" s="213"/>
    </row>
    <row r="10648" spans="36:36" x14ac:dyDescent="0.35">
      <c r="AJ10648" s="213"/>
    </row>
    <row r="10649" spans="36:36" x14ac:dyDescent="0.35">
      <c r="AJ10649" s="213"/>
    </row>
    <row r="10650" spans="36:36" x14ac:dyDescent="0.35">
      <c r="AJ10650" s="213"/>
    </row>
    <row r="10651" spans="36:36" x14ac:dyDescent="0.35">
      <c r="AJ10651" s="213"/>
    </row>
    <row r="10652" spans="36:36" x14ac:dyDescent="0.35">
      <c r="AJ10652" s="213"/>
    </row>
    <row r="10653" spans="36:36" x14ac:dyDescent="0.35">
      <c r="AJ10653" s="213"/>
    </row>
    <row r="10654" spans="36:36" x14ac:dyDescent="0.35">
      <c r="AJ10654" s="213"/>
    </row>
    <row r="10655" spans="36:36" x14ac:dyDescent="0.35">
      <c r="AJ10655" s="213"/>
    </row>
    <row r="10656" spans="36:36" x14ac:dyDescent="0.35">
      <c r="AJ10656" s="213"/>
    </row>
    <row r="10657" spans="36:36" x14ac:dyDescent="0.35">
      <c r="AJ10657" s="213"/>
    </row>
    <row r="10658" spans="36:36" x14ac:dyDescent="0.35">
      <c r="AJ10658" s="213"/>
    </row>
    <row r="10659" spans="36:36" x14ac:dyDescent="0.35">
      <c r="AJ10659" s="213"/>
    </row>
    <row r="10660" spans="36:36" x14ac:dyDescent="0.35">
      <c r="AJ10660" s="213"/>
    </row>
    <row r="10661" spans="36:36" x14ac:dyDescent="0.35">
      <c r="AJ10661" s="213"/>
    </row>
    <row r="10662" spans="36:36" x14ac:dyDescent="0.35">
      <c r="AJ10662" s="213"/>
    </row>
    <row r="10663" spans="36:36" x14ac:dyDescent="0.35">
      <c r="AJ10663" s="213"/>
    </row>
    <row r="10664" spans="36:36" x14ac:dyDescent="0.35">
      <c r="AJ10664" s="213"/>
    </row>
    <row r="10665" spans="36:36" x14ac:dyDescent="0.35">
      <c r="AJ10665" s="213"/>
    </row>
    <row r="10666" spans="36:36" x14ac:dyDescent="0.35">
      <c r="AJ10666" s="213"/>
    </row>
    <row r="10667" spans="36:36" x14ac:dyDescent="0.35">
      <c r="AJ10667" s="213"/>
    </row>
    <row r="10668" spans="36:36" x14ac:dyDescent="0.35">
      <c r="AJ10668" s="213"/>
    </row>
    <row r="10669" spans="36:36" x14ac:dyDescent="0.35">
      <c r="AJ10669" s="213"/>
    </row>
    <row r="10670" spans="36:36" x14ac:dyDescent="0.35">
      <c r="AJ10670" s="213"/>
    </row>
    <row r="10671" spans="36:36" x14ac:dyDescent="0.35">
      <c r="AJ10671" s="213"/>
    </row>
    <row r="10672" spans="36:36" x14ac:dyDescent="0.35">
      <c r="AJ10672" s="213"/>
    </row>
    <row r="10673" spans="36:36" x14ac:dyDescent="0.35">
      <c r="AJ10673" s="213"/>
    </row>
    <row r="10674" spans="36:36" x14ac:dyDescent="0.35">
      <c r="AJ10674" s="213"/>
    </row>
    <row r="10675" spans="36:36" x14ac:dyDescent="0.35">
      <c r="AJ10675" s="213"/>
    </row>
    <row r="10676" spans="36:36" x14ac:dyDescent="0.35">
      <c r="AJ10676" s="213"/>
    </row>
    <row r="10677" spans="36:36" x14ac:dyDescent="0.35">
      <c r="AJ10677" s="213"/>
    </row>
    <row r="10678" spans="36:36" x14ac:dyDescent="0.35">
      <c r="AJ10678" s="213"/>
    </row>
    <row r="10679" spans="36:36" x14ac:dyDescent="0.35">
      <c r="AJ10679" s="213"/>
    </row>
    <row r="10680" spans="36:36" x14ac:dyDescent="0.35">
      <c r="AJ10680" s="213"/>
    </row>
    <row r="10681" spans="36:36" x14ac:dyDescent="0.35">
      <c r="AJ10681" s="213"/>
    </row>
    <row r="10682" spans="36:36" x14ac:dyDescent="0.35">
      <c r="AJ10682" s="213"/>
    </row>
    <row r="10683" spans="36:36" x14ac:dyDescent="0.35">
      <c r="AJ10683" s="213"/>
    </row>
    <row r="10684" spans="36:36" x14ac:dyDescent="0.35">
      <c r="AJ10684" s="213"/>
    </row>
    <row r="10685" spans="36:36" x14ac:dyDescent="0.35">
      <c r="AJ10685" s="213"/>
    </row>
    <row r="10686" spans="36:36" x14ac:dyDescent="0.35">
      <c r="AJ10686" s="213"/>
    </row>
    <row r="10687" spans="36:36" x14ac:dyDescent="0.35">
      <c r="AJ10687" s="213"/>
    </row>
    <row r="10688" spans="36:36" x14ac:dyDescent="0.35">
      <c r="AJ10688" s="213"/>
    </row>
    <row r="10689" spans="36:36" x14ac:dyDescent="0.35">
      <c r="AJ10689" s="213"/>
    </row>
    <row r="10690" spans="36:36" x14ac:dyDescent="0.35">
      <c r="AJ10690" s="213"/>
    </row>
    <row r="10691" spans="36:36" x14ac:dyDescent="0.35">
      <c r="AJ10691" s="213"/>
    </row>
    <row r="10692" spans="36:36" x14ac:dyDescent="0.35">
      <c r="AJ10692" s="213"/>
    </row>
    <row r="10693" spans="36:36" x14ac:dyDescent="0.35">
      <c r="AJ10693" s="213"/>
    </row>
    <row r="10694" spans="36:36" x14ac:dyDescent="0.35">
      <c r="AJ10694" s="213"/>
    </row>
    <row r="10695" spans="36:36" x14ac:dyDescent="0.35">
      <c r="AJ10695" s="213"/>
    </row>
    <row r="10696" spans="36:36" x14ac:dyDescent="0.35">
      <c r="AJ10696" s="213"/>
    </row>
    <row r="10697" spans="36:36" x14ac:dyDescent="0.35">
      <c r="AJ10697" s="213"/>
    </row>
    <row r="10698" spans="36:36" x14ac:dyDescent="0.35">
      <c r="AJ10698" s="213"/>
    </row>
    <row r="10699" spans="36:36" x14ac:dyDescent="0.35">
      <c r="AJ10699" s="213"/>
    </row>
    <row r="10700" spans="36:36" x14ac:dyDescent="0.35">
      <c r="AJ10700" s="213"/>
    </row>
    <row r="10701" spans="36:36" x14ac:dyDescent="0.35">
      <c r="AJ10701" s="213"/>
    </row>
    <row r="10702" spans="36:36" x14ac:dyDescent="0.35">
      <c r="AJ10702" s="213"/>
    </row>
    <row r="10703" spans="36:36" x14ac:dyDescent="0.35">
      <c r="AJ10703" s="213"/>
    </row>
    <row r="10704" spans="36:36" x14ac:dyDescent="0.35">
      <c r="AJ10704" s="213"/>
    </row>
    <row r="10705" spans="36:36" x14ac:dyDescent="0.35">
      <c r="AJ10705" s="213"/>
    </row>
    <row r="10706" spans="36:36" x14ac:dyDescent="0.35">
      <c r="AJ10706" s="213"/>
    </row>
    <row r="10707" spans="36:36" x14ac:dyDescent="0.35">
      <c r="AJ10707" s="213"/>
    </row>
    <row r="10708" spans="36:36" x14ac:dyDescent="0.35">
      <c r="AJ10708" s="213"/>
    </row>
    <row r="10709" spans="36:36" x14ac:dyDescent="0.35">
      <c r="AJ10709" s="213"/>
    </row>
    <row r="10710" spans="36:36" x14ac:dyDescent="0.35">
      <c r="AJ10710" s="213"/>
    </row>
    <row r="10711" spans="36:36" x14ac:dyDescent="0.35">
      <c r="AJ10711" s="213"/>
    </row>
    <row r="10712" spans="36:36" x14ac:dyDescent="0.35">
      <c r="AJ10712" s="213"/>
    </row>
    <row r="10713" spans="36:36" x14ac:dyDescent="0.35">
      <c r="AJ10713" s="213"/>
    </row>
    <row r="10714" spans="36:36" x14ac:dyDescent="0.35">
      <c r="AJ10714" s="213"/>
    </row>
    <row r="10715" spans="36:36" x14ac:dyDescent="0.35">
      <c r="AJ10715" s="213"/>
    </row>
    <row r="10716" spans="36:36" x14ac:dyDescent="0.35">
      <c r="AJ10716" s="213"/>
    </row>
    <row r="10717" spans="36:36" x14ac:dyDescent="0.35">
      <c r="AJ10717" s="213"/>
    </row>
    <row r="10718" spans="36:36" x14ac:dyDescent="0.35">
      <c r="AJ10718" s="213"/>
    </row>
    <row r="10719" spans="36:36" x14ac:dyDescent="0.35">
      <c r="AJ10719" s="213"/>
    </row>
    <row r="10720" spans="36:36" x14ac:dyDescent="0.35">
      <c r="AJ10720" s="213"/>
    </row>
    <row r="10721" spans="36:36" x14ac:dyDescent="0.35">
      <c r="AJ10721" s="213"/>
    </row>
    <row r="10722" spans="36:36" x14ac:dyDescent="0.35">
      <c r="AJ10722" s="213"/>
    </row>
    <row r="10723" spans="36:36" x14ac:dyDescent="0.35">
      <c r="AJ10723" s="213"/>
    </row>
    <row r="10724" spans="36:36" x14ac:dyDescent="0.35">
      <c r="AJ10724" s="213"/>
    </row>
    <row r="10725" spans="36:36" x14ac:dyDescent="0.35">
      <c r="AJ10725" s="213"/>
    </row>
    <row r="10726" spans="36:36" x14ac:dyDescent="0.35">
      <c r="AJ10726" s="213"/>
    </row>
    <row r="10727" spans="36:36" x14ac:dyDescent="0.35">
      <c r="AJ10727" s="213"/>
    </row>
    <row r="10728" spans="36:36" x14ac:dyDescent="0.35">
      <c r="AJ10728" s="213"/>
    </row>
    <row r="10729" spans="36:36" x14ac:dyDescent="0.35">
      <c r="AJ10729" s="213"/>
    </row>
    <row r="10730" spans="36:36" x14ac:dyDescent="0.35">
      <c r="AJ10730" s="213"/>
    </row>
    <row r="10731" spans="36:36" x14ac:dyDescent="0.35">
      <c r="AJ10731" s="213"/>
    </row>
    <row r="10732" spans="36:36" x14ac:dyDescent="0.35">
      <c r="AJ10732" s="213"/>
    </row>
    <row r="10733" spans="36:36" x14ac:dyDescent="0.35">
      <c r="AJ10733" s="213"/>
    </row>
    <row r="10734" spans="36:36" x14ac:dyDescent="0.35">
      <c r="AJ10734" s="213"/>
    </row>
    <row r="10735" spans="36:36" x14ac:dyDescent="0.35">
      <c r="AJ10735" s="213"/>
    </row>
    <row r="10736" spans="36:36" x14ac:dyDescent="0.35">
      <c r="AJ10736" s="213"/>
    </row>
    <row r="10737" spans="36:36" x14ac:dyDescent="0.35">
      <c r="AJ10737" s="213"/>
    </row>
    <row r="10738" spans="36:36" x14ac:dyDescent="0.35">
      <c r="AJ10738" s="213"/>
    </row>
    <row r="10739" spans="36:36" x14ac:dyDescent="0.35">
      <c r="AJ10739" s="213"/>
    </row>
    <row r="10740" spans="36:36" x14ac:dyDescent="0.35">
      <c r="AJ10740" s="213"/>
    </row>
    <row r="10741" spans="36:36" x14ac:dyDescent="0.35">
      <c r="AJ10741" s="213"/>
    </row>
    <row r="10742" spans="36:36" x14ac:dyDescent="0.35">
      <c r="AJ10742" s="213"/>
    </row>
    <row r="10743" spans="36:36" x14ac:dyDescent="0.35">
      <c r="AJ10743" s="213"/>
    </row>
    <row r="10744" spans="36:36" x14ac:dyDescent="0.35">
      <c r="AJ10744" s="213"/>
    </row>
    <row r="10745" spans="36:36" x14ac:dyDescent="0.35">
      <c r="AJ10745" s="213"/>
    </row>
    <row r="10746" spans="36:36" x14ac:dyDescent="0.35">
      <c r="AJ10746" s="213"/>
    </row>
    <row r="10747" spans="36:36" x14ac:dyDescent="0.35">
      <c r="AJ10747" s="213"/>
    </row>
    <row r="10748" spans="36:36" x14ac:dyDescent="0.35">
      <c r="AJ10748" s="213"/>
    </row>
    <row r="10749" spans="36:36" x14ac:dyDescent="0.35">
      <c r="AJ10749" s="213"/>
    </row>
    <row r="10750" spans="36:36" x14ac:dyDescent="0.35">
      <c r="AJ10750" s="213"/>
    </row>
    <row r="10751" spans="36:36" x14ac:dyDescent="0.35">
      <c r="AJ10751" s="213"/>
    </row>
    <row r="10752" spans="36:36" x14ac:dyDescent="0.35">
      <c r="AJ10752" s="213"/>
    </row>
    <row r="10753" spans="36:36" x14ac:dyDescent="0.35">
      <c r="AJ10753" s="213"/>
    </row>
    <row r="10754" spans="36:36" x14ac:dyDescent="0.35">
      <c r="AJ10754" s="213"/>
    </row>
    <row r="10755" spans="36:36" x14ac:dyDescent="0.35">
      <c r="AJ10755" s="213"/>
    </row>
    <row r="10756" spans="36:36" x14ac:dyDescent="0.35">
      <c r="AJ10756" s="213"/>
    </row>
    <row r="10757" spans="36:36" x14ac:dyDescent="0.35">
      <c r="AJ10757" s="213"/>
    </row>
    <row r="10758" spans="36:36" x14ac:dyDescent="0.35">
      <c r="AJ10758" s="213"/>
    </row>
    <row r="10759" spans="36:36" x14ac:dyDescent="0.35">
      <c r="AJ10759" s="213"/>
    </row>
    <row r="10760" spans="36:36" x14ac:dyDescent="0.35">
      <c r="AJ10760" s="213"/>
    </row>
    <row r="10761" spans="36:36" x14ac:dyDescent="0.35">
      <c r="AJ10761" s="213"/>
    </row>
    <row r="10762" spans="36:36" x14ac:dyDescent="0.35">
      <c r="AJ10762" s="213"/>
    </row>
    <row r="10763" spans="36:36" x14ac:dyDescent="0.35">
      <c r="AJ10763" s="213"/>
    </row>
    <row r="10764" spans="36:36" x14ac:dyDescent="0.35">
      <c r="AJ10764" s="213"/>
    </row>
    <row r="10765" spans="36:36" x14ac:dyDescent="0.35">
      <c r="AJ10765" s="213"/>
    </row>
    <row r="10766" spans="36:36" x14ac:dyDescent="0.35">
      <c r="AJ10766" s="213"/>
    </row>
    <row r="10767" spans="36:36" x14ac:dyDescent="0.35">
      <c r="AJ10767" s="213"/>
    </row>
    <row r="10768" spans="36:36" x14ac:dyDescent="0.35">
      <c r="AJ10768" s="213"/>
    </row>
    <row r="10769" spans="36:36" x14ac:dyDescent="0.35">
      <c r="AJ10769" s="213"/>
    </row>
    <row r="10770" spans="36:36" x14ac:dyDescent="0.35">
      <c r="AJ10770" s="213"/>
    </row>
    <row r="10771" spans="36:36" x14ac:dyDescent="0.35">
      <c r="AJ10771" s="213"/>
    </row>
    <row r="10772" spans="36:36" x14ac:dyDescent="0.35">
      <c r="AJ10772" s="213"/>
    </row>
    <row r="10773" spans="36:36" x14ac:dyDescent="0.35">
      <c r="AJ10773" s="213"/>
    </row>
    <row r="10774" spans="36:36" x14ac:dyDescent="0.35">
      <c r="AJ10774" s="213"/>
    </row>
    <row r="10775" spans="36:36" x14ac:dyDescent="0.35">
      <c r="AJ10775" s="213"/>
    </row>
    <row r="10776" spans="36:36" x14ac:dyDescent="0.35">
      <c r="AJ10776" s="213"/>
    </row>
    <row r="10777" spans="36:36" x14ac:dyDescent="0.35">
      <c r="AJ10777" s="213"/>
    </row>
    <row r="10778" spans="36:36" x14ac:dyDescent="0.35">
      <c r="AJ10778" s="213"/>
    </row>
    <row r="10779" spans="36:36" x14ac:dyDescent="0.35">
      <c r="AJ10779" s="213"/>
    </row>
    <row r="10780" spans="36:36" x14ac:dyDescent="0.35">
      <c r="AJ10780" s="213"/>
    </row>
    <row r="10781" spans="36:36" x14ac:dyDescent="0.35">
      <c r="AJ10781" s="213"/>
    </row>
    <row r="10782" spans="36:36" x14ac:dyDescent="0.35">
      <c r="AJ10782" s="213"/>
    </row>
    <row r="10783" spans="36:36" x14ac:dyDescent="0.35">
      <c r="AJ10783" s="213"/>
    </row>
    <row r="10784" spans="36:36" x14ac:dyDescent="0.35">
      <c r="AJ10784" s="213"/>
    </row>
    <row r="10785" spans="36:36" x14ac:dyDescent="0.35">
      <c r="AJ10785" s="213"/>
    </row>
    <row r="10786" spans="36:36" x14ac:dyDescent="0.35">
      <c r="AJ10786" s="213"/>
    </row>
    <row r="10787" spans="36:36" x14ac:dyDescent="0.35">
      <c r="AJ10787" s="213"/>
    </row>
    <row r="10788" spans="36:36" x14ac:dyDescent="0.35">
      <c r="AJ10788" s="213"/>
    </row>
    <row r="10789" spans="36:36" x14ac:dyDescent="0.35">
      <c r="AJ10789" s="213"/>
    </row>
    <row r="10790" spans="36:36" x14ac:dyDescent="0.35">
      <c r="AJ10790" s="213"/>
    </row>
    <row r="10791" spans="36:36" x14ac:dyDescent="0.35">
      <c r="AJ10791" s="213"/>
    </row>
    <row r="10792" spans="36:36" x14ac:dyDescent="0.35">
      <c r="AJ10792" s="213"/>
    </row>
    <row r="10793" spans="36:36" x14ac:dyDescent="0.35">
      <c r="AJ10793" s="213"/>
    </row>
    <row r="10794" spans="36:36" x14ac:dyDescent="0.35">
      <c r="AJ10794" s="213"/>
    </row>
    <row r="10795" spans="36:36" x14ac:dyDescent="0.35">
      <c r="AJ10795" s="213"/>
    </row>
    <row r="10796" spans="36:36" x14ac:dyDescent="0.35">
      <c r="AJ10796" s="213"/>
    </row>
    <row r="10797" spans="36:36" x14ac:dyDescent="0.35">
      <c r="AJ10797" s="213"/>
    </row>
    <row r="10798" spans="36:36" x14ac:dyDescent="0.35">
      <c r="AJ10798" s="213"/>
    </row>
    <row r="10799" spans="36:36" x14ac:dyDescent="0.35">
      <c r="AJ10799" s="213"/>
    </row>
    <row r="10800" spans="36:36" x14ac:dyDescent="0.35">
      <c r="AJ10800" s="213"/>
    </row>
    <row r="10801" spans="36:36" x14ac:dyDescent="0.35">
      <c r="AJ10801" s="213"/>
    </row>
    <row r="10802" spans="36:36" x14ac:dyDescent="0.35">
      <c r="AJ10802" s="213"/>
    </row>
    <row r="10803" spans="36:36" x14ac:dyDescent="0.35">
      <c r="AJ10803" s="213"/>
    </row>
    <row r="10804" spans="36:36" x14ac:dyDescent="0.35">
      <c r="AJ10804" s="213"/>
    </row>
    <row r="10805" spans="36:36" x14ac:dyDescent="0.35">
      <c r="AJ10805" s="213"/>
    </row>
    <row r="10806" spans="36:36" x14ac:dyDescent="0.35">
      <c r="AJ10806" s="213"/>
    </row>
    <row r="10807" spans="36:36" x14ac:dyDescent="0.35">
      <c r="AJ10807" s="213"/>
    </row>
    <row r="10808" spans="36:36" x14ac:dyDescent="0.35">
      <c r="AJ10808" s="213"/>
    </row>
    <row r="10809" spans="36:36" x14ac:dyDescent="0.35">
      <c r="AJ10809" s="213"/>
    </row>
    <row r="10810" spans="36:36" x14ac:dyDescent="0.35">
      <c r="AJ10810" s="213"/>
    </row>
    <row r="10811" spans="36:36" x14ac:dyDescent="0.35">
      <c r="AJ10811" s="213"/>
    </row>
    <row r="10812" spans="36:36" x14ac:dyDescent="0.35">
      <c r="AJ10812" s="213"/>
    </row>
    <row r="10813" spans="36:36" x14ac:dyDescent="0.35">
      <c r="AJ10813" s="213"/>
    </row>
    <row r="10814" spans="36:36" x14ac:dyDescent="0.35">
      <c r="AJ10814" s="213"/>
    </row>
    <row r="10815" spans="36:36" x14ac:dyDescent="0.35">
      <c r="AJ10815" s="213"/>
    </row>
    <row r="10816" spans="36:36" x14ac:dyDescent="0.35">
      <c r="AJ10816" s="213"/>
    </row>
    <row r="10817" spans="36:36" x14ac:dyDescent="0.35">
      <c r="AJ10817" s="213"/>
    </row>
    <row r="10818" spans="36:36" x14ac:dyDescent="0.35">
      <c r="AJ10818" s="213"/>
    </row>
    <row r="10819" spans="36:36" x14ac:dyDescent="0.35">
      <c r="AJ10819" s="213"/>
    </row>
    <row r="10820" spans="36:36" x14ac:dyDescent="0.35">
      <c r="AJ10820" s="213"/>
    </row>
    <row r="10821" spans="36:36" x14ac:dyDescent="0.35">
      <c r="AJ10821" s="213"/>
    </row>
    <row r="10822" spans="36:36" x14ac:dyDescent="0.35">
      <c r="AJ10822" s="213"/>
    </row>
    <row r="10823" spans="36:36" x14ac:dyDescent="0.35">
      <c r="AJ10823" s="213"/>
    </row>
    <row r="10824" spans="36:36" x14ac:dyDescent="0.35">
      <c r="AJ10824" s="213"/>
    </row>
    <row r="10825" spans="36:36" x14ac:dyDescent="0.35">
      <c r="AJ10825" s="213"/>
    </row>
    <row r="10826" spans="36:36" x14ac:dyDescent="0.35">
      <c r="AJ10826" s="213"/>
    </row>
    <row r="10827" spans="36:36" x14ac:dyDescent="0.35">
      <c r="AJ10827" s="213"/>
    </row>
    <row r="10828" spans="36:36" x14ac:dyDescent="0.35">
      <c r="AJ10828" s="213"/>
    </row>
    <row r="10829" spans="36:36" x14ac:dyDescent="0.35">
      <c r="AJ10829" s="213"/>
    </row>
    <row r="10830" spans="36:36" x14ac:dyDescent="0.35">
      <c r="AJ10830" s="213"/>
    </row>
    <row r="10831" spans="36:36" x14ac:dyDescent="0.35">
      <c r="AJ10831" s="213"/>
    </row>
    <row r="10832" spans="36:36" x14ac:dyDescent="0.35">
      <c r="AJ10832" s="213"/>
    </row>
    <row r="10833" spans="36:36" x14ac:dyDescent="0.35">
      <c r="AJ10833" s="213"/>
    </row>
    <row r="10834" spans="36:36" x14ac:dyDescent="0.35">
      <c r="AJ10834" s="213"/>
    </row>
    <row r="10835" spans="36:36" x14ac:dyDescent="0.35">
      <c r="AJ10835" s="213"/>
    </row>
    <row r="10836" spans="36:36" x14ac:dyDescent="0.35">
      <c r="AJ10836" s="213"/>
    </row>
    <row r="10837" spans="36:36" x14ac:dyDescent="0.35">
      <c r="AJ10837" s="213"/>
    </row>
    <row r="10838" spans="36:36" x14ac:dyDescent="0.35">
      <c r="AJ10838" s="213"/>
    </row>
    <row r="10839" spans="36:36" x14ac:dyDescent="0.35">
      <c r="AJ10839" s="213"/>
    </row>
    <row r="10840" spans="36:36" x14ac:dyDescent="0.35">
      <c r="AJ10840" s="213"/>
    </row>
    <row r="10841" spans="36:36" x14ac:dyDescent="0.35">
      <c r="AJ10841" s="213"/>
    </row>
    <row r="10842" spans="36:36" x14ac:dyDescent="0.35">
      <c r="AJ10842" s="213"/>
    </row>
    <row r="10843" spans="36:36" x14ac:dyDescent="0.35">
      <c r="AJ10843" s="213"/>
    </row>
    <row r="10844" spans="36:36" x14ac:dyDescent="0.35">
      <c r="AJ10844" s="213"/>
    </row>
    <row r="10845" spans="36:36" x14ac:dyDescent="0.35">
      <c r="AJ10845" s="213"/>
    </row>
    <row r="10846" spans="36:36" x14ac:dyDescent="0.35">
      <c r="AJ10846" s="213"/>
    </row>
    <row r="10847" spans="36:36" x14ac:dyDescent="0.35">
      <c r="AJ10847" s="213"/>
    </row>
    <row r="10848" spans="36:36" x14ac:dyDescent="0.35">
      <c r="AJ10848" s="213"/>
    </row>
    <row r="10849" spans="36:36" x14ac:dyDescent="0.35">
      <c r="AJ10849" s="213"/>
    </row>
    <row r="10850" spans="36:36" x14ac:dyDescent="0.35">
      <c r="AJ10850" s="213"/>
    </row>
    <row r="10851" spans="36:36" x14ac:dyDescent="0.35">
      <c r="AJ10851" s="213"/>
    </row>
    <row r="10852" spans="36:36" x14ac:dyDescent="0.35">
      <c r="AJ10852" s="213"/>
    </row>
    <row r="10853" spans="36:36" x14ac:dyDescent="0.35">
      <c r="AJ10853" s="213"/>
    </row>
    <row r="10854" spans="36:36" x14ac:dyDescent="0.35">
      <c r="AJ10854" s="213"/>
    </row>
    <row r="10855" spans="36:36" x14ac:dyDescent="0.35">
      <c r="AJ10855" s="213"/>
    </row>
    <row r="10856" spans="36:36" x14ac:dyDescent="0.35">
      <c r="AJ10856" s="213"/>
    </row>
    <row r="10857" spans="36:36" x14ac:dyDescent="0.35">
      <c r="AJ10857" s="213"/>
    </row>
    <row r="10858" spans="36:36" x14ac:dyDescent="0.35">
      <c r="AJ10858" s="213"/>
    </row>
    <row r="10859" spans="36:36" x14ac:dyDescent="0.35">
      <c r="AJ10859" s="213"/>
    </row>
    <row r="10860" spans="36:36" x14ac:dyDescent="0.35">
      <c r="AJ10860" s="213"/>
    </row>
    <row r="10861" spans="36:36" x14ac:dyDescent="0.35">
      <c r="AJ10861" s="213"/>
    </row>
    <row r="10862" spans="36:36" x14ac:dyDescent="0.35">
      <c r="AJ10862" s="213"/>
    </row>
    <row r="10863" spans="36:36" x14ac:dyDescent="0.35">
      <c r="AJ10863" s="213"/>
    </row>
    <row r="10864" spans="36:36" x14ac:dyDescent="0.35">
      <c r="AJ10864" s="213"/>
    </row>
    <row r="10865" spans="36:36" x14ac:dyDescent="0.35">
      <c r="AJ10865" s="213"/>
    </row>
    <row r="10866" spans="36:36" x14ac:dyDescent="0.35">
      <c r="AJ10866" s="213"/>
    </row>
    <row r="10867" spans="36:36" x14ac:dyDescent="0.35">
      <c r="AJ10867" s="213"/>
    </row>
    <row r="10868" spans="36:36" x14ac:dyDescent="0.35">
      <c r="AJ10868" s="213"/>
    </row>
    <row r="10869" spans="36:36" x14ac:dyDescent="0.35">
      <c r="AJ10869" s="213"/>
    </row>
    <row r="10870" spans="36:36" x14ac:dyDescent="0.35">
      <c r="AJ10870" s="213"/>
    </row>
    <row r="10871" spans="36:36" x14ac:dyDescent="0.35">
      <c r="AJ10871" s="213"/>
    </row>
    <row r="10872" spans="36:36" x14ac:dyDescent="0.35">
      <c r="AJ10872" s="213"/>
    </row>
    <row r="10873" spans="36:36" x14ac:dyDescent="0.35">
      <c r="AJ10873" s="213"/>
    </row>
    <row r="10874" spans="36:36" x14ac:dyDescent="0.35">
      <c r="AJ10874" s="213"/>
    </row>
    <row r="10875" spans="36:36" x14ac:dyDescent="0.35">
      <c r="AJ10875" s="213"/>
    </row>
    <row r="10876" spans="36:36" x14ac:dyDescent="0.35">
      <c r="AJ10876" s="213"/>
    </row>
    <row r="10877" spans="36:36" x14ac:dyDescent="0.35">
      <c r="AJ10877" s="213"/>
    </row>
    <row r="10878" spans="36:36" x14ac:dyDescent="0.35">
      <c r="AJ10878" s="213"/>
    </row>
    <row r="10879" spans="36:36" x14ac:dyDescent="0.35">
      <c r="AJ10879" s="213"/>
    </row>
    <row r="10880" spans="36:36" x14ac:dyDescent="0.35">
      <c r="AJ10880" s="213"/>
    </row>
    <row r="10881" spans="36:36" x14ac:dyDescent="0.35">
      <c r="AJ10881" s="213"/>
    </row>
    <row r="10882" spans="36:36" x14ac:dyDescent="0.35">
      <c r="AJ10882" s="213"/>
    </row>
    <row r="10883" spans="36:36" x14ac:dyDescent="0.35">
      <c r="AJ10883" s="213"/>
    </row>
    <row r="10884" spans="36:36" x14ac:dyDescent="0.35">
      <c r="AJ10884" s="213"/>
    </row>
    <row r="10885" spans="36:36" x14ac:dyDescent="0.35">
      <c r="AJ10885" s="213"/>
    </row>
    <row r="10886" spans="36:36" x14ac:dyDescent="0.35">
      <c r="AJ10886" s="213"/>
    </row>
    <row r="10887" spans="36:36" x14ac:dyDescent="0.35">
      <c r="AJ10887" s="213"/>
    </row>
    <row r="10888" spans="36:36" x14ac:dyDescent="0.35">
      <c r="AJ10888" s="213"/>
    </row>
    <row r="10889" spans="36:36" x14ac:dyDescent="0.35">
      <c r="AJ10889" s="213"/>
    </row>
    <row r="10890" spans="36:36" x14ac:dyDescent="0.35">
      <c r="AJ10890" s="213"/>
    </row>
    <row r="10891" spans="36:36" x14ac:dyDescent="0.35">
      <c r="AJ10891" s="213"/>
    </row>
    <row r="10892" spans="36:36" x14ac:dyDescent="0.35">
      <c r="AJ10892" s="213"/>
    </row>
    <row r="10893" spans="36:36" x14ac:dyDescent="0.35">
      <c r="AJ10893" s="213"/>
    </row>
    <row r="10894" spans="36:36" x14ac:dyDescent="0.35">
      <c r="AJ10894" s="213"/>
    </row>
    <row r="10895" spans="36:36" x14ac:dyDescent="0.35">
      <c r="AJ10895" s="213"/>
    </row>
    <row r="10896" spans="36:36" x14ac:dyDescent="0.35">
      <c r="AJ10896" s="213"/>
    </row>
    <row r="10897" spans="36:36" x14ac:dyDescent="0.35">
      <c r="AJ10897" s="213"/>
    </row>
    <row r="10898" spans="36:36" x14ac:dyDescent="0.35">
      <c r="AJ10898" s="213"/>
    </row>
    <row r="10899" spans="36:36" x14ac:dyDescent="0.35">
      <c r="AJ10899" s="213"/>
    </row>
    <row r="10900" spans="36:36" x14ac:dyDescent="0.35">
      <c r="AJ10900" s="213"/>
    </row>
    <row r="10901" spans="36:36" x14ac:dyDescent="0.35">
      <c r="AJ10901" s="213"/>
    </row>
    <row r="10902" spans="36:36" x14ac:dyDescent="0.35">
      <c r="AJ10902" s="213"/>
    </row>
    <row r="10903" spans="36:36" x14ac:dyDescent="0.35">
      <c r="AJ10903" s="213"/>
    </row>
    <row r="10904" spans="36:36" x14ac:dyDescent="0.35">
      <c r="AJ10904" s="213"/>
    </row>
    <row r="10905" spans="36:36" x14ac:dyDescent="0.35">
      <c r="AJ10905" s="213"/>
    </row>
    <row r="10906" spans="36:36" x14ac:dyDescent="0.35">
      <c r="AJ10906" s="213"/>
    </row>
    <row r="10907" spans="36:36" x14ac:dyDescent="0.35">
      <c r="AJ10907" s="213"/>
    </row>
    <row r="10908" spans="36:36" x14ac:dyDescent="0.35">
      <c r="AJ10908" s="213"/>
    </row>
    <row r="10909" spans="36:36" x14ac:dyDescent="0.35">
      <c r="AJ10909" s="213"/>
    </row>
    <row r="10910" spans="36:36" x14ac:dyDescent="0.35">
      <c r="AJ10910" s="213"/>
    </row>
    <row r="10911" spans="36:36" x14ac:dyDescent="0.35">
      <c r="AJ10911" s="213"/>
    </row>
    <row r="10912" spans="36:36" x14ac:dyDescent="0.35">
      <c r="AJ10912" s="213"/>
    </row>
    <row r="10913" spans="36:36" x14ac:dyDescent="0.35">
      <c r="AJ10913" s="213"/>
    </row>
    <row r="10914" spans="36:36" x14ac:dyDescent="0.35">
      <c r="AJ10914" s="213"/>
    </row>
    <row r="10915" spans="36:36" x14ac:dyDescent="0.35">
      <c r="AJ10915" s="213"/>
    </row>
    <row r="10916" spans="36:36" x14ac:dyDescent="0.35">
      <c r="AJ10916" s="213"/>
    </row>
    <row r="10917" spans="36:36" x14ac:dyDescent="0.35">
      <c r="AJ10917" s="213"/>
    </row>
    <row r="10918" spans="36:36" x14ac:dyDescent="0.35">
      <c r="AJ10918" s="213"/>
    </row>
    <row r="10919" spans="36:36" x14ac:dyDescent="0.35">
      <c r="AJ10919" s="213"/>
    </row>
    <row r="10920" spans="36:36" x14ac:dyDescent="0.35">
      <c r="AJ10920" s="213"/>
    </row>
    <row r="10921" spans="36:36" x14ac:dyDescent="0.35">
      <c r="AJ10921" s="213"/>
    </row>
    <row r="10922" spans="36:36" x14ac:dyDescent="0.35">
      <c r="AJ10922" s="213"/>
    </row>
    <row r="10923" spans="36:36" x14ac:dyDescent="0.35">
      <c r="AJ10923" s="213"/>
    </row>
    <row r="10924" spans="36:36" x14ac:dyDescent="0.35">
      <c r="AJ10924" s="213"/>
    </row>
    <row r="10925" spans="36:36" x14ac:dyDescent="0.35">
      <c r="AJ10925" s="213"/>
    </row>
    <row r="10926" spans="36:36" x14ac:dyDescent="0.35">
      <c r="AJ10926" s="213"/>
    </row>
    <row r="10927" spans="36:36" x14ac:dyDescent="0.35">
      <c r="AJ10927" s="213"/>
    </row>
    <row r="10928" spans="36:36" x14ac:dyDescent="0.35">
      <c r="AJ10928" s="213"/>
    </row>
    <row r="10929" spans="36:36" x14ac:dyDescent="0.35">
      <c r="AJ10929" s="213"/>
    </row>
    <row r="10930" spans="36:36" x14ac:dyDescent="0.35">
      <c r="AJ10930" s="213"/>
    </row>
    <row r="10931" spans="36:36" x14ac:dyDescent="0.35">
      <c r="AJ10931" s="213"/>
    </row>
    <row r="10932" spans="36:36" x14ac:dyDescent="0.35">
      <c r="AJ10932" s="213"/>
    </row>
    <row r="10933" spans="36:36" x14ac:dyDescent="0.35">
      <c r="AJ10933" s="213"/>
    </row>
    <row r="10934" spans="36:36" x14ac:dyDescent="0.35">
      <c r="AJ10934" s="213"/>
    </row>
    <row r="10935" spans="36:36" x14ac:dyDescent="0.35">
      <c r="AJ10935" s="213"/>
    </row>
    <row r="10936" spans="36:36" x14ac:dyDescent="0.35">
      <c r="AJ10936" s="213"/>
    </row>
    <row r="10937" spans="36:36" x14ac:dyDescent="0.35">
      <c r="AJ10937" s="213"/>
    </row>
    <row r="10938" spans="36:36" x14ac:dyDescent="0.35">
      <c r="AJ10938" s="213"/>
    </row>
    <row r="10939" spans="36:36" x14ac:dyDescent="0.35">
      <c r="AJ10939" s="213"/>
    </row>
    <row r="10940" spans="36:36" x14ac:dyDescent="0.35">
      <c r="AJ10940" s="213"/>
    </row>
    <row r="10941" spans="36:36" x14ac:dyDescent="0.35">
      <c r="AJ10941" s="213"/>
    </row>
    <row r="10942" spans="36:36" x14ac:dyDescent="0.35">
      <c r="AJ10942" s="213"/>
    </row>
    <row r="10943" spans="36:36" x14ac:dyDescent="0.35">
      <c r="AJ10943" s="213"/>
    </row>
    <row r="10944" spans="36:36" x14ac:dyDescent="0.35">
      <c r="AJ10944" s="213"/>
    </row>
    <row r="10945" spans="36:36" x14ac:dyDescent="0.35">
      <c r="AJ10945" s="213"/>
    </row>
    <row r="10946" spans="36:36" x14ac:dyDescent="0.35">
      <c r="AJ10946" s="213"/>
    </row>
    <row r="10947" spans="36:36" x14ac:dyDescent="0.35">
      <c r="AJ10947" s="213"/>
    </row>
    <row r="10948" spans="36:36" x14ac:dyDescent="0.35">
      <c r="AJ10948" s="213"/>
    </row>
    <row r="10949" spans="36:36" x14ac:dyDescent="0.35">
      <c r="AJ10949" s="213"/>
    </row>
    <row r="10950" spans="36:36" x14ac:dyDescent="0.35">
      <c r="AJ10950" s="213"/>
    </row>
    <row r="10951" spans="36:36" x14ac:dyDescent="0.35">
      <c r="AJ10951" s="213"/>
    </row>
    <row r="10952" spans="36:36" x14ac:dyDescent="0.35">
      <c r="AJ10952" s="213"/>
    </row>
    <row r="10953" spans="36:36" x14ac:dyDescent="0.35">
      <c r="AJ10953" s="213"/>
    </row>
    <row r="10954" spans="36:36" x14ac:dyDescent="0.35">
      <c r="AJ10954" s="213"/>
    </row>
    <row r="10955" spans="36:36" x14ac:dyDescent="0.35">
      <c r="AJ10955" s="213"/>
    </row>
    <row r="10956" spans="36:36" x14ac:dyDescent="0.35">
      <c r="AJ10956" s="213"/>
    </row>
    <row r="10957" spans="36:36" x14ac:dyDescent="0.35">
      <c r="AJ10957" s="213"/>
    </row>
    <row r="10958" spans="36:36" x14ac:dyDescent="0.35">
      <c r="AJ10958" s="213"/>
    </row>
    <row r="10959" spans="36:36" x14ac:dyDescent="0.35">
      <c r="AJ10959" s="213"/>
    </row>
    <row r="10960" spans="36:36" x14ac:dyDescent="0.35">
      <c r="AJ10960" s="213"/>
    </row>
    <row r="10961" spans="36:36" x14ac:dyDescent="0.35">
      <c r="AJ10961" s="213"/>
    </row>
    <row r="10962" spans="36:36" x14ac:dyDescent="0.35">
      <c r="AJ10962" s="213"/>
    </row>
    <row r="10963" spans="36:36" x14ac:dyDescent="0.35">
      <c r="AJ10963" s="213"/>
    </row>
    <row r="10964" spans="36:36" x14ac:dyDescent="0.35">
      <c r="AJ10964" s="213"/>
    </row>
    <row r="10965" spans="36:36" x14ac:dyDescent="0.35">
      <c r="AJ10965" s="213"/>
    </row>
    <row r="10966" spans="36:36" x14ac:dyDescent="0.35">
      <c r="AJ10966" s="213"/>
    </row>
    <row r="10967" spans="36:36" x14ac:dyDescent="0.35">
      <c r="AJ10967" s="213"/>
    </row>
    <row r="10968" spans="36:36" x14ac:dyDescent="0.35">
      <c r="AJ10968" s="213"/>
    </row>
    <row r="10969" spans="36:36" x14ac:dyDescent="0.35">
      <c r="AJ10969" s="213"/>
    </row>
    <row r="10970" spans="36:36" x14ac:dyDescent="0.35">
      <c r="AJ10970" s="213"/>
    </row>
    <row r="10971" spans="36:36" x14ac:dyDescent="0.35">
      <c r="AJ10971" s="213"/>
    </row>
    <row r="10972" spans="36:36" x14ac:dyDescent="0.35">
      <c r="AJ10972" s="213"/>
    </row>
    <row r="10973" spans="36:36" x14ac:dyDescent="0.35">
      <c r="AJ10973" s="213"/>
    </row>
    <row r="10974" spans="36:36" x14ac:dyDescent="0.35">
      <c r="AJ10974" s="213"/>
    </row>
    <row r="10975" spans="36:36" x14ac:dyDescent="0.35">
      <c r="AJ10975" s="213"/>
    </row>
    <row r="10976" spans="36:36" x14ac:dyDescent="0.35">
      <c r="AJ10976" s="213"/>
    </row>
    <row r="10977" spans="36:36" x14ac:dyDescent="0.35">
      <c r="AJ10977" s="213"/>
    </row>
    <row r="10978" spans="36:36" x14ac:dyDescent="0.35">
      <c r="AJ10978" s="213"/>
    </row>
    <row r="10979" spans="36:36" x14ac:dyDescent="0.35">
      <c r="AJ10979" s="213"/>
    </row>
    <row r="10980" spans="36:36" x14ac:dyDescent="0.35">
      <c r="AJ10980" s="213"/>
    </row>
    <row r="10981" spans="36:36" x14ac:dyDescent="0.35">
      <c r="AJ10981" s="213"/>
    </row>
    <row r="10982" spans="36:36" x14ac:dyDescent="0.35">
      <c r="AJ10982" s="213"/>
    </row>
    <row r="10983" spans="36:36" x14ac:dyDescent="0.35">
      <c r="AJ10983" s="213"/>
    </row>
    <row r="10984" spans="36:36" x14ac:dyDescent="0.35">
      <c r="AJ10984" s="213"/>
    </row>
    <row r="10985" spans="36:36" x14ac:dyDescent="0.35">
      <c r="AJ10985" s="213"/>
    </row>
    <row r="10986" spans="36:36" x14ac:dyDescent="0.35">
      <c r="AJ10986" s="213"/>
    </row>
    <row r="10987" spans="36:36" x14ac:dyDescent="0.35">
      <c r="AJ10987" s="213"/>
    </row>
    <row r="10988" spans="36:36" x14ac:dyDescent="0.35">
      <c r="AJ10988" s="213"/>
    </row>
    <row r="10989" spans="36:36" x14ac:dyDescent="0.35">
      <c r="AJ10989" s="213"/>
    </row>
    <row r="10990" spans="36:36" x14ac:dyDescent="0.35">
      <c r="AJ10990" s="213"/>
    </row>
    <row r="10991" spans="36:36" x14ac:dyDescent="0.35">
      <c r="AJ10991" s="213"/>
    </row>
    <row r="10992" spans="36:36" x14ac:dyDescent="0.35">
      <c r="AJ10992" s="213"/>
    </row>
    <row r="10993" spans="36:36" x14ac:dyDescent="0.35">
      <c r="AJ10993" s="213"/>
    </row>
    <row r="10994" spans="36:36" x14ac:dyDescent="0.35">
      <c r="AJ10994" s="213"/>
    </row>
    <row r="10995" spans="36:36" x14ac:dyDescent="0.35">
      <c r="AJ10995" s="213"/>
    </row>
    <row r="10996" spans="36:36" x14ac:dyDescent="0.35">
      <c r="AJ10996" s="213"/>
    </row>
    <row r="10997" spans="36:36" x14ac:dyDescent="0.35">
      <c r="AJ10997" s="213"/>
    </row>
    <row r="10998" spans="36:36" x14ac:dyDescent="0.35">
      <c r="AJ10998" s="213"/>
    </row>
    <row r="10999" spans="36:36" x14ac:dyDescent="0.35">
      <c r="AJ10999" s="213"/>
    </row>
    <row r="11000" spans="36:36" x14ac:dyDescent="0.35">
      <c r="AJ11000" s="213"/>
    </row>
    <row r="11001" spans="36:36" x14ac:dyDescent="0.35">
      <c r="AJ11001" s="213"/>
    </row>
    <row r="11002" spans="36:36" x14ac:dyDescent="0.35">
      <c r="AJ11002" s="213"/>
    </row>
    <row r="11003" spans="36:36" x14ac:dyDescent="0.35">
      <c r="AJ11003" s="213"/>
    </row>
    <row r="11004" spans="36:36" x14ac:dyDescent="0.35">
      <c r="AJ11004" s="213"/>
    </row>
    <row r="11005" spans="36:36" x14ac:dyDescent="0.35">
      <c r="AJ11005" s="213"/>
    </row>
    <row r="11006" spans="36:36" x14ac:dyDescent="0.35">
      <c r="AJ11006" s="213"/>
    </row>
    <row r="11007" spans="36:36" x14ac:dyDescent="0.35">
      <c r="AJ11007" s="213"/>
    </row>
    <row r="11008" spans="36:36" x14ac:dyDescent="0.35">
      <c r="AJ11008" s="213"/>
    </row>
    <row r="11009" spans="36:36" x14ac:dyDescent="0.35">
      <c r="AJ11009" s="213"/>
    </row>
    <row r="11010" spans="36:36" x14ac:dyDescent="0.35">
      <c r="AJ11010" s="213"/>
    </row>
    <row r="11011" spans="36:36" x14ac:dyDescent="0.35">
      <c r="AJ11011" s="213"/>
    </row>
    <row r="11012" spans="36:36" x14ac:dyDescent="0.35">
      <c r="AJ11012" s="213"/>
    </row>
    <row r="11013" spans="36:36" x14ac:dyDescent="0.35">
      <c r="AJ11013" s="213"/>
    </row>
    <row r="11014" spans="36:36" x14ac:dyDescent="0.35">
      <c r="AJ11014" s="213"/>
    </row>
    <row r="11015" spans="36:36" x14ac:dyDescent="0.35">
      <c r="AJ11015" s="213"/>
    </row>
    <row r="11016" spans="36:36" x14ac:dyDescent="0.35">
      <c r="AJ11016" s="213"/>
    </row>
    <row r="11017" spans="36:36" x14ac:dyDescent="0.35">
      <c r="AJ11017" s="213"/>
    </row>
    <row r="11018" spans="36:36" x14ac:dyDescent="0.35">
      <c r="AJ11018" s="213"/>
    </row>
    <row r="11019" spans="36:36" x14ac:dyDescent="0.35">
      <c r="AJ11019" s="213"/>
    </row>
    <row r="11020" spans="36:36" x14ac:dyDescent="0.35">
      <c r="AJ11020" s="213"/>
    </row>
    <row r="11021" spans="36:36" x14ac:dyDescent="0.35">
      <c r="AJ11021" s="213"/>
    </row>
    <row r="11022" spans="36:36" x14ac:dyDescent="0.35">
      <c r="AJ11022" s="213"/>
    </row>
    <row r="11023" spans="36:36" x14ac:dyDescent="0.35">
      <c r="AJ11023" s="213"/>
    </row>
    <row r="11024" spans="36:36" x14ac:dyDescent="0.35">
      <c r="AJ11024" s="213"/>
    </row>
    <row r="11025" spans="36:36" x14ac:dyDescent="0.35">
      <c r="AJ11025" s="213"/>
    </row>
    <row r="11026" spans="36:36" x14ac:dyDescent="0.35">
      <c r="AJ11026" s="213"/>
    </row>
    <row r="11027" spans="36:36" x14ac:dyDescent="0.35">
      <c r="AJ11027" s="213"/>
    </row>
    <row r="11028" spans="36:36" x14ac:dyDescent="0.35">
      <c r="AJ11028" s="213"/>
    </row>
    <row r="11029" spans="36:36" x14ac:dyDescent="0.35">
      <c r="AJ11029" s="213"/>
    </row>
    <row r="11030" spans="36:36" x14ac:dyDescent="0.35">
      <c r="AJ11030" s="213"/>
    </row>
    <row r="11031" spans="36:36" x14ac:dyDescent="0.35">
      <c r="AJ11031" s="213"/>
    </row>
    <row r="11032" spans="36:36" x14ac:dyDescent="0.35">
      <c r="AJ11032" s="213"/>
    </row>
    <row r="11033" spans="36:36" x14ac:dyDescent="0.35">
      <c r="AJ11033" s="213"/>
    </row>
    <row r="11034" spans="36:36" x14ac:dyDescent="0.35">
      <c r="AJ11034" s="213"/>
    </row>
    <row r="11035" spans="36:36" x14ac:dyDescent="0.35">
      <c r="AJ11035" s="213"/>
    </row>
    <row r="11036" spans="36:36" x14ac:dyDescent="0.35">
      <c r="AJ11036" s="213"/>
    </row>
    <row r="11037" spans="36:36" x14ac:dyDescent="0.35">
      <c r="AJ11037" s="213"/>
    </row>
    <row r="11038" spans="36:36" x14ac:dyDescent="0.35">
      <c r="AJ11038" s="213"/>
    </row>
    <row r="11039" spans="36:36" x14ac:dyDescent="0.35">
      <c r="AJ11039" s="213"/>
    </row>
    <row r="11040" spans="36:36" x14ac:dyDescent="0.35">
      <c r="AJ11040" s="213"/>
    </row>
    <row r="11041" spans="36:36" x14ac:dyDescent="0.35">
      <c r="AJ11041" s="213"/>
    </row>
    <row r="11042" spans="36:36" x14ac:dyDescent="0.35">
      <c r="AJ11042" s="213"/>
    </row>
    <row r="11043" spans="36:36" x14ac:dyDescent="0.35">
      <c r="AJ11043" s="213"/>
    </row>
    <row r="11044" spans="36:36" x14ac:dyDescent="0.35">
      <c r="AJ11044" s="213"/>
    </row>
    <row r="11045" spans="36:36" x14ac:dyDescent="0.35">
      <c r="AJ11045" s="213"/>
    </row>
    <row r="11046" spans="36:36" x14ac:dyDescent="0.35">
      <c r="AJ11046" s="213"/>
    </row>
    <row r="11047" spans="36:36" x14ac:dyDescent="0.35">
      <c r="AJ11047" s="213"/>
    </row>
    <row r="11048" spans="36:36" x14ac:dyDescent="0.35">
      <c r="AJ11048" s="213"/>
    </row>
    <row r="11049" spans="36:36" x14ac:dyDescent="0.35">
      <c r="AJ11049" s="213"/>
    </row>
    <row r="11050" spans="36:36" x14ac:dyDescent="0.35">
      <c r="AJ11050" s="213"/>
    </row>
    <row r="11051" spans="36:36" x14ac:dyDescent="0.35">
      <c r="AJ11051" s="213"/>
    </row>
    <row r="11052" spans="36:36" x14ac:dyDescent="0.35">
      <c r="AJ11052" s="213"/>
    </row>
    <row r="11053" spans="36:36" x14ac:dyDescent="0.35">
      <c r="AJ11053" s="213"/>
    </row>
    <row r="11054" spans="36:36" x14ac:dyDescent="0.35">
      <c r="AJ11054" s="213"/>
    </row>
    <row r="11055" spans="36:36" x14ac:dyDescent="0.35">
      <c r="AJ11055" s="213"/>
    </row>
    <row r="11056" spans="36:36" x14ac:dyDescent="0.35">
      <c r="AJ11056" s="213"/>
    </row>
    <row r="11057" spans="36:36" x14ac:dyDescent="0.35">
      <c r="AJ11057" s="213"/>
    </row>
    <row r="11058" spans="36:36" x14ac:dyDescent="0.35">
      <c r="AJ11058" s="213"/>
    </row>
    <row r="11059" spans="36:36" x14ac:dyDescent="0.35">
      <c r="AJ11059" s="213"/>
    </row>
    <row r="11060" spans="36:36" x14ac:dyDescent="0.35">
      <c r="AJ11060" s="213"/>
    </row>
    <row r="11061" spans="36:36" x14ac:dyDescent="0.35">
      <c r="AJ11061" s="213"/>
    </row>
    <row r="11062" spans="36:36" x14ac:dyDescent="0.35">
      <c r="AJ11062" s="213"/>
    </row>
    <row r="11063" spans="36:36" x14ac:dyDescent="0.35">
      <c r="AJ11063" s="213"/>
    </row>
    <row r="11064" spans="36:36" x14ac:dyDescent="0.35">
      <c r="AJ11064" s="213"/>
    </row>
    <row r="11065" spans="36:36" x14ac:dyDescent="0.35">
      <c r="AJ11065" s="213"/>
    </row>
    <row r="11066" spans="36:36" x14ac:dyDescent="0.35">
      <c r="AJ11066" s="213"/>
    </row>
    <row r="11067" spans="36:36" x14ac:dyDescent="0.35">
      <c r="AJ11067" s="213"/>
    </row>
    <row r="11068" spans="36:36" x14ac:dyDescent="0.35">
      <c r="AJ11068" s="213"/>
    </row>
    <row r="11069" spans="36:36" x14ac:dyDescent="0.35">
      <c r="AJ11069" s="213"/>
    </row>
    <row r="11070" spans="36:36" x14ac:dyDescent="0.35">
      <c r="AJ11070" s="213"/>
    </row>
    <row r="11071" spans="36:36" x14ac:dyDescent="0.35">
      <c r="AJ11071" s="213"/>
    </row>
    <row r="11072" spans="36:36" x14ac:dyDescent="0.35">
      <c r="AJ11072" s="213"/>
    </row>
    <row r="11073" spans="36:36" x14ac:dyDescent="0.35">
      <c r="AJ11073" s="213"/>
    </row>
    <row r="11074" spans="36:36" x14ac:dyDescent="0.35">
      <c r="AJ11074" s="213"/>
    </row>
    <row r="11075" spans="36:36" x14ac:dyDescent="0.35">
      <c r="AJ11075" s="213"/>
    </row>
    <row r="11076" spans="36:36" x14ac:dyDescent="0.35">
      <c r="AJ11076" s="213"/>
    </row>
    <row r="11077" spans="36:36" x14ac:dyDescent="0.35">
      <c r="AJ11077" s="213"/>
    </row>
    <row r="11078" spans="36:36" x14ac:dyDescent="0.35">
      <c r="AJ11078" s="213"/>
    </row>
    <row r="11079" spans="36:36" x14ac:dyDescent="0.35">
      <c r="AJ11079" s="213"/>
    </row>
    <row r="11080" spans="36:36" x14ac:dyDescent="0.35">
      <c r="AJ11080" s="213"/>
    </row>
    <row r="11081" spans="36:36" x14ac:dyDescent="0.35">
      <c r="AJ11081" s="213"/>
    </row>
    <row r="11082" spans="36:36" x14ac:dyDescent="0.35">
      <c r="AJ11082" s="213"/>
    </row>
    <row r="11083" spans="36:36" x14ac:dyDescent="0.35">
      <c r="AJ11083" s="213"/>
    </row>
    <row r="11084" spans="36:36" x14ac:dyDescent="0.35">
      <c r="AJ11084" s="213"/>
    </row>
    <row r="11085" spans="36:36" x14ac:dyDescent="0.35">
      <c r="AJ11085" s="213"/>
    </row>
    <row r="11086" spans="36:36" x14ac:dyDescent="0.35">
      <c r="AJ11086" s="213"/>
    </row>
    <row r="11087" spans="36:36" x14ac:dyDescent="0.35">
      <c r="AJ11087" s="213"/>
    </row>
    <row r="11088" spans="36:36" x14ac:dyDescent="0.35">
      <c r="AJ11088" s="213"/>
    </row>
    <row r="11089" spans="36:36" x14ac:dyDescent="0.35">
      <c r="AJ11089" s="213"/>
    </row>
    <row r="11090" spans="36:36" x14ac:dyDescent="0.35">
      <c r="AJ11090" s="213"/>
    </row>
    <row r="11091" spans="36:36" x14ac:dyDescent="0.35">
      <c r="AJ11091" s="213"/>
    </row>
    <row r="11092" spans="36:36" x14ac:dyDescent="0.35">
      <c r="AJ11092" s="213"/>
    </row>
    <row r="11093" spans="36:36" x14ac:dyDescent="0.35">
      <c r="AJ11093" s="213"/>
    </row>
    <row r="11094" spans="36:36" x14ac:dyDescent="0.35">
      <c r="AJ11094" s="213"/>
    </row>
    <row r="11095" spans="36:36" x14ac:dyDescent="0.35">
      <c r="AJ11095" s="213"/>
    </row>
    <row r="11096" spans="36:36" x14ac:dyDescent="0.35">
      <c r="AJ11096" s="213"/>
    </row>
    <row r="11097" spans="36:36" x14ac:dyDescent="0.35">
      <c r="AJ11097" s="213"/>
    </row>
    <row r="11098" spans="36:36" x14ac:dyDescent="0.35">
      <c r="AJ11098" s="213"/>
    </row>
    <row r="11099" spans="36:36" x14ac:dyDescent="0.35">
      <c r="AJ11099" s="213"/>
    </row>
    <row r="11100" spans="36:36" x14ac:dyDescent="0.35">
      <c r="AJ11100" s="213"/>
    </row>
    <row r="11101" spans="36:36" x14ac:dyDescent="0.35">
      <c r="AJ11101" s="213"/>
    </row>
    <row r="11102" spans="36:36" x14ac:dyDescent="0.35">
      <c r="AJ11102" s="213"/>
    </row>
    <row r="11103" spans="36:36" x14ac:dyDescent="0.35">
      <c r="AJ11103" s="213"/>
    </row>
    <row r="11104" spans="36:36" x14ac:dyDescent="0.35">
      <c r="AJ11104" s="213"/>
    </row>
    <row r="11105" spans="36:36" x14ac:dyDescent="0.35">
      <c r="AJ11105" s="213"/>
    </row>
    <row r="11106" spans="36:36" x14ac:dyDescent="0.35">
      <c r="AJ11106" s="213"/>
    </row>
    <row r="11107" spans="36:36" x14ac:dyDescent="0.35">
      <c r="AJ11107" s="213"/>
    </row>
    <row r="11108" spans="36:36" x14ac:dyDescent="0.35">
      <c r="AJ11108" s="213"/>
    </row>
    <row r="11109" spans="36:36" x14ac:dyDescent="0.35">
      <c r="AJ11109" s="213"/>
    </row>
    <row r="11110" spans="36:36" x14ac:dyDescent="0.35">
      <c r="AJ11110" s="213"/>
    </row>
    <row r="11111" spans="36:36" x14ac:dyDescent="0.35">
      <c r="AJ11111" s="213"/>
    </row>
    <row r="11112" spans="36:36" x14ac:dyDescent="0.35">
      <c r="AJ11112" s="213"/>
    </row>
    <row r="11113" spans="36:36" x14ac:dyDescent="0.35">
      <c r="AJ11113" s="213"/>
    </row>
    <row r="11114" spans="36:36" x14ac:dyDescent="0.35">
      <c r="AJ11114" s="213"/>
    </row>
    <row r="11115" spans="36:36" x14ac:dyDescent="0.35">
      <c r="AJ11115" s="213"/>
    </row>
    <row r="11116" spans="36:36" x14ac:dyDescent="0.35">
      <c r="AJ11116" s="213"/>
    </row>
    <row r="11117" spans="36:36" x14ac:dyDescent="0.35">
      <c r="AJ11117" s="213"/>
    </row>
    <row r="11118" spans="36:36" x14ac:dyDescent="0.35">
      <c r="AJ11118" s="213"/>
    </row>
    <row r="11119" spans="36:36" x14ac:dyDescent="0.35">
      <c r="AJ11119" s="213"/>
    </row>
    <row r="11120" spans="36:36" x14ac:dyDescent="0.35">
      <c r="AJ11120" s="213"/>
    </row>
    <row r="11121" spans="36:36" x14ac:dyDescent="0.35">
      <c r="AJ11121" s="213"/>
    </row>
    <row r="11122" spans="36:36" x14ac:dyDescent="0.35">
      <c r="AJ11122" s="213"/>
    </row>
    <row r="11123" spans="36:36" x14ac:dyDescent="0.35">
      <c r="AJ11123" s="213"/>
    </row>
    <row r="11124" spans="36:36" x14ac:dyDescent="0.35">
      <c r="AJ11124" s="213"/>
    </row>
    <row r="11125" spans="36:36" x14ac:dyDescent="0.35">
      <c r="AJ11125" s="213"/>
    </row>
    <row r="11126" spans="36:36" x14ac:dyDescent="0.35">
      <c r="AJ11126" s="213"/>
    </row>
    <row r="11127" spans="36:36" x14ac:dyDescent="0.35">
      <c r="AJ11127" s="213"/>
    </row>
    <row r="11128" spans="36:36" x14ac:dyDescent="0.35">
      <c r="AJ11128" s="213"/>
    </row>
    <row r="11129" spans="36:36" x14ac:dyDescent="0.35">
      <c r="AJ11129" s="213"/>
    </row>
    <row r="11130" spans="36:36" x14ac:dyDescent="0.35">
      <c r="AJ11130" s="213"/>
    </row>
    <row r="11131" spans="36:36" x14ac:dyDescent="0.35">
      <c r="AJ11131" s="213"/>
    </row>
    <row r="11132" spans="36:36" x14ac:dyDescent="0.35">
      <c r="AJ11132" s="213"/>
    </row>
    <row r="11133" spans="36:36" x14ac:dyDescent="0.35">
      <c r="AJ11133" s="213"/>
    </row>
    <row r="11134" spans="36:36" x14ac:dyDescent="0.35">
      <c r="AJ11134" s="213"/>
    </row>
    <row r="11135" spans="36:36" x14ac:dyDescent="0.35">
      <c r="AJ11135" s="213"/>
    </row>
    <row r="11136" spans="36:36" x14ac:dyDescent="0.35">
      <c r="AJ11136" s="213"/>
    </row>
    <row r="11137" spans="36:36" x14ac:dyDescent="0.35">
      <c r="AJ11137" s="213"/>
    </row>
    <row r="11138" spans="36:36" x14ac:dyDescent="0.35">
      <c r="AJ11138" s="213"/>
    </row>
    <row r="11139" spans="36:36" x14ac:dyDescent="0.35">
      <c r="AJ11139" s="213"/>
    </row>
    <row r="11140" spans="36:36" x14ac:dyDescent="0.35">
      <c r="AJ11140" s="213"/>
    </row>
    <row r="11141" spans="36:36" x14ac:dyDescent="0.35">
      <c r="AJ11141" s="213"/>
    </row>
    <row r="11142" spans="36:36" x14ac:dyDescent="0.35">
      <c r="AJ11142" s="213"/>
    </row>
    <row r="11143" spans="36:36" x14ac:dyDescent="0.35">
      <c r="AJ11143" s="213"/>
    </row>
    <row r="11144" spans="36:36" x14ac:dyDescent="0.35">
      <c r="AJ11144" s="213"/>
    </row>
    <row r="11145" spans="36:36" x14ac:dyDescent="0.35">
      <c r="AJ11145" s="213"/>
    </row>
    <row r="11146" spans="36:36" x14ac:dyDescent="0.35">
      <c r="AJ11146" s="213"/>
    </row>
    <row r="11147" spans="36:36" x14ac:dyDescent="0.35">
      <c r="AJ11147" s="213"/>
    </row>
    <row r="11148" spans="36:36" x14ac:dyDescent="0.35">
      <c r="AJ11148" s="213"/>
    </row>
    <row r="11149" spans="36:36" x14ac:dyDescent="0.35">
      <c r="AJ11149" s="213"/>
    </row>
    <row r="11150" spans="36:36" x14ac:dyDescent="0.35">
      <c r="AJ11150" s="213"/>
    </row>
    <row r="11151" spans="36:36" x14ac:dyDescent="0.35">
      <c r="AJ11151" s="213"/>
    </row>
    <row r="11152" spans="36:36" x14ac:dyDescent="0.35">
      <c r="AJ11152" s="213"/>
    </row>
    <row r="11153" spans="36:36" x14ac:dyDescent="0.35">
      <c r="AJ11153" s="213"/>
    </row>
    <row r="11154" spans="36:36" x14ac:dyDescent="0.35">
      <c r="AJ11154" s="213"/>
    </row>
    <row r="11155" spans="36:36" x14ac:dyDescent="0.35">
      <c r="AJ11155" s="213"/>
    </row>
    <row r="11156" spans="36:36" x14ac:dyDescent="0.35">
      <c r="AJ11156" s="213"/>
    </row>
    <row r="11157" spans="36:36" x14ac:dyDescent="0.35">
      <c r="AJ11157" s="213"/>
    </row>
    <row r="11158" spans="36:36" x14ac:dyDescent="0.35">
      <c r="AJ11158" s="213"/>
    </row>
    <row r="11159" spans="36:36" x14ac:dyDescent="0.35">
      <c r="AJ11159" s="213"/>
    </row>
    <row r="11160" spans="36:36" x14ac:dyDescent="0.35">
      <c r="AJ11160" s="213"/>
    </row>
    <row r="11161" spans="36:36" x14ac:dyDescent="0.35">
      <c r="AJ11161" s="213"/>
    </row>
    <row r="11162" spans="36:36" x14ac:dyDescent="0.35">
      <c r="AJ11162" s="213"/>
    </row>
    <row r="11163" spans="36:36" x14ac:dyDescent="0.35">
      <c r="AJ11163" s="213"/>
    </row>
    <row r="11164" spans="36:36" x14ac:dyDescent="0.35">
      <c r="AJ11164" s="213"/>
    </row>
    <row r="11165" spans="36:36" x14ac:dyDescent="0.35">
      <c r="AJ11165" s="213"/>
    </row>
    <row r="11166" spans="36:36" x14ac:dyDescent="0.35">
      <c r="AJ11166" s="213"/>
    </row>
    <row r="11167" spans="36:36" x14ac:dyDescent="0.35">
      <c r="AJ11167" s="213"/>
    </row>
    <row r="11168" spans="36:36" x14ac:dyDescent="0.35">
      <c r="AJ11168" s="213"/>
    </row>
    <row r="11169" spans="36:36" x14ac:dyDescent="0.35">
      <c r="AJ11169" s="213"/>
    </row>
    <row r="11170" spans="36:36" x14ac:dyDescent="0.35">
      <c r="AJ11170" s="213"/>
    </row>
    <row r="11171" spans="36:36" x14ac:dyDescent="0.35">
      <c r="AJ11171" s="213"/>
    </row>
    <row r="11172" spans="36:36" x14ac:dyDescent="0.35">
      <c r="AJ11172" s="213"/>
    </row>
    <row r="11173" spans="36:36" x14ac:dyDescent="0.35">
      <c r="AJ11173" s="213"/>
    </row>
    <row r="11174" spans="36:36" x14ac:dyDescent="0.35">
      <c r="AJ11174" s="213"/>
    </row>
    <row r="11175" spans="36:36" x14ac:dyDescent="0.35">
      <c r="AJ11175" s="213"/>
    </row>
    <row r="11176" spans="36:36" x14ac:dyDescent="0.35">
      <c r="AJ11176" s="213"/>
    </row>
    <row r="11177" spans="36:36" x14ac:dyDescent="0.35">
      <c r="AJ11177" s="213"/>
    </row>
    <row r="11178" spans="36:36" x14ac:dyDescent="0.35">
      <c r="AJ11178" s="213"/>
    </row>
    <row r="11179" spans="36:36" x14ac:dyDescent="0.35">
      <c r="AJ11179" s="213"/>
    </row>
    <row r="11180" spans="36:36" x14ac:dyDescent="0.35">
      <c r="AJ11180" s="213"/>
    </row>
    <row r="11181" spans="36:36" x14ac:dyDescent="0.35">
      <c r="AJ11181" s="213"/>
    </row>
    <row r="11182" spans="36:36" x14ac:dyDescent="0.35">
      <c r="AJ11182" s="213"/>
    </row>
    <row r="11183" spans="36:36" x14ac:dyDescent="0.35">
      <c r="AJ11183" s="213"/>
    </row>
    <row r="11184" spans="36:36" x14ac:dyDescent="0.35">
      <c r="AJ11184" s="213"/>
    </row>
    <row r="11185" spans="36:36" x14ac:dyDescent="0.35">
      <c r="AJ11185" s="213"/>
    </row>
    <row r="11186" spans="36:36" x14ac:dyDescent="0.35">
      <c r="AJ11186" s="213"/>
    </row>
    <row r="11187" spans="36:36" x14ac:dyDescent="0.35">
      <c r="AJ11187" s="213"/>
    </row>
    <row r="11188" spans="36:36" x14ac:dyDescent="0.35">
      <c r="AJ11188" s="213"/>
    </row>
    <row r="11189" spans="36:36" x14ac:dyDescent="0.35">
      <c r="AJ11189" s="213"/>
    </row>
    <row r="11190" spans="36:36" x14ac:dyDescent="0.35">
      <c r="AJ11190" s="213"/>
    </row>
    <row r="11191" spans="36:36" x14ac:dyDescent="0.35">
      <c r="AJ11191" s="213"/>
    </row>
    <row r="11192" spans="36:36" x14ac:dyDescent="0.35">
      <c r="AJ11192" s="213"/>
    </row>
    <row r="11193" spans="36:36" x14ac:dyDescent="0.35">
      <c r="AJ11193" s="213"/>
    </row>
    <row r="11194" spans="36:36" x14ac:dyDescent="0.35">
      <c r="AJ11194" s="213"/>
    </row>
    <row r="11195" spans="36:36" x14ac:dyDescent="0.35">
      <c r="AJ11195" s="213"/>
    </row>
    <row r="11196" spans="36:36" x14ac:dyDescent="0.35">
      <c r="AJ11196" s="213"/>
    </row>
    <row r="11197" spans="36:36" x14ac:dyDescent="0.35">
      <c r="AJ11197" s="213"/>
    </row>
    <row r="11198" spans="36:36" x14ac:dyDescent="0.35">
      <c r="AJ11198" s="213"/>
    </row>
    <row r="11199" spans="36:36" x14ac:dyDescent="0.35">
      <c r="AJ11199" s="213"/>
    </row>
    <row r="11200" spans="36:36" x14ac:dyDescent="0.35">
      <c r="AJ11200" s="213"/>
    </row>
    <row r="11201" spans="36:36" x14ac:dyDescent="0.35">
      <c r="AJ11201" s="213"/>
    </row>
    <row r="11202" spans="36:36" x14ac:dyDescent="0.35">
      <c r="AJ11202" s="213"/>
    </row>
    <row r="11203" spans="36:36" x14ac:dyDescent="0.35">
      <c r="AJ11203" s="213"/>
    </row>
    <row r="11204" spans="36:36" x14ac:dyDescent="0.35">
      <c r="AJ11204" s="213"/>
    </row>
    <row r="11205" spans="36:36" x14ac:dyDescent="0.35">
      <c r="AJ11205" s="213"/>
    </row>
    <row r="11206" spans="36:36" x14ac:dyDescent="0.35">
      <c r="AJ11206" s="213"/>
    </row>
    <row r="11207" spans="36:36" x14ac:dyDescent="0.35">
      <c r="AJ11207" s="213"/>
    </row>
    <row r="11208" spans="36:36" x14ac:dyDescent="0.35">
      <c r="AJ11208" s="213"/>
    </row>
    <row r="11209" spans="36:36" x14ac:dyDescent="0.35">
      <c r="AJ11209" s="213"/>
    </row>
    <row r="11210" spans="36:36" x14ac:dyDescent="0.35">
      <c r="AJ11210" s="213"/>
    </row>
    <row r="11211" spans="36:36" x14ac:dyDescent="0.35">
      <c r="AJ11211" s="213"/>
    </row>
    <row r="11212" spans="36:36" x14ac:dyDescent="0.35">
      <c r="AJ11212" s="213"/>
    </row>
    <row r="11213" spans="36:36" x14ac:dyDescent="0.35">
      <c r="AJ11213" s="213"/>
    </row>
    <row r="11214" spans="36:36" x14ac:dyDescent="0.35">
      <c r="AJ11214" s="213"/>
    </row>
    <row r="11215" spans="36:36" x14ac:dyDescent="0.35">
      <c r="AJ11215" s="213"/>
    </row>
    <row r="11216" spans="36:36" x14ac:dyDescent="0.35">
      <c r="AJ11216" s="213"/>
    </row>
    <row r="11217" spans="36:36" x14ac:dyDescent="0.35">
      <c r="AJ11217" s="213"/>
    </row>
    <row r="11218" spans="36:36" x14ac:dyDescent="0.35">
      <c r="AJ11218" s="213"/>
    </row>
    <row r="11219" spans="36:36" x14ac:dyDescent="0.35">
      <c r="AJ11219" s="213"/>
    </row>
    <row r="11220" spans="36:36" x14ac:dyDescent="0.35">
      <c r="AJ11220" s="213"/>
    </row>
    <row r="11221" spans="36:36" x14ac:dyDescent="0.35">
      <c r="AJ11221" s="213"/>
    </row>
    <row r="11222" spans="36:36" x14ac:dyDescent="0.35">
      <c r="AJ11222" s="213"/>
    </row>
    <row r="11223" spans="36:36" x14ac:dyDescent="0.35">
      <c r="AJ11223" s="213"/>
    </row>
    <row r="11224" spans="36:36" x14ac:dyDescent="0.35">
      <c r="AJ11224" s="213"/>
    </row>
    <row r="11225" spans="36:36" x14ac:dyDescent="0.35">
      <c r="AJ11225" s="213"/>
    </row>
    <row r="11226" spans="36:36" x14ac:dyDescent="0.35">
      <c r="AJ11226" s="213"/>
    </row>
    <row r="11227" spans="36:36" x14ac:dyDescent="0.35">
      <c r="AJ11227" s="213"/>
    </row>
    <row r="11228" spans="36:36" x14ac:dyDescent="0.35">
      <c r="AJ11228" s="213"/>
    </row>
    <row r="11229" spans="36:36" x14ac:dyDescent="0.35">
      <c r="AJ11229" s="213"/>
    </row>
    <row r="11230" spans="36:36" x14ac:dyDescent="0.35">
      <c r="AJ11230" s="213"/>
    </row>
    <row r="11231" spans="36:36" x14ac:dyDescent="0.35">
      <c r="AJ11231" s="213"/>
    </row>
    <row r="11232" spans="36:36" x14ac:dyDescent="0.35">
      <c r="AJ11232" s="213"/>
    </row>
    <row r="11233" spans="36:36" x14ac:dyDescent="0.35">
      <c r="AJ11233" s="213"/>
    </row>
    <row r="11234" spans="36:36" x14ac:dyDescent="0.35">
      <c r="AJ11234" s="213"/>
    </row>
    <row r="11235" spans="36:36" x14ac:dyDescent="0.35">
      <c r="AJ11235" s="213"/>
    </row>
    <row r="11236" spans="36:36" x14ac:dyDescent="0.35">
      <c r="AJ11236" s="213"/>
    </row>
    <row r="11237" spans="36:36" x14ac:dyDescent="0.35">
      <c r="AJ11237" s="213"/>
    </row>
    <row r="11238" spans="36:36" x14ac:dyDescent="0.35">
      <c r="AJ11238" s="213"/>
    </row>
    <row r="11239" spans="36:36" x14ac:dyDescent="0.35">
      <c r="AJ11239" s="213"/>
    </row>
    <row r="11240" spans="36:36" x14ac:dyDescent="0.35">
      <c r="AJ11240" s="213"/>
    </row>
    <row r="11241" spans="36:36" x14ac:dyDescent="0.35">
      <c r="AJ11241" s="213"/>
    </row>
    <row r="11242" spans="36:36" x14ac:dyDescent="0.35">
      <c r="AJ11242" s="213"/>
    </row>
    <row r="11243" spans="36:36" x14ac:dyDescent="0.35">
      <c r="AJ11243" s="213"/>
    </row>
    <row r="11244" spans="36:36" x14ac:dyDescent="0.35">
      <c r="AJ11244" s="213"/>
    </row>
    <row r="11245" spans="36:36" x14ac:dyDescent="0.35">
      <c r="AJ11245" s="213"/>
    </row>
    <row r="11246" spans="36:36" x14ac:dyDescent="0.35">
      <c r="AJ11246" s="213"/>
    </row>
    <row r="11247" spans="36:36" x14ac:dyDescent="0.35">
      <c r="AJ11247" s="213"/>
    </row>
    <row r="11248" spans="36:36" x14ac:dyDescent="0.35">
      <c r="AJ11248" s="213"/>
    </row>
    <row r="11249" spans="36:36" x14ac:dyDescent="0.35">
      <c r="AJ11249" s="213"/>
    </row>
    <row r="11250" spans="36:36" x14ac:dyDescent="0.35">
      <c r="AJ11250" s="213"/>
    </row>
    <row r="11251" spans="36:36" x14ac:dyDescent="0.35">
      <c r="AJ11251" s="213"/>
    </row>
    <row r="11252" spans="36:36" x14ac:dyDescent="0.35">
      <c r="AJ11252" s="213"/>
    </row>
    <row r="11253" spans="36:36" x14ac:dyDescent="0.35">
      <c r="AJ11253" s="213"/>
    </row>
    <row r="11254" spans="36:36" x14ac:dyDescent="0.35">
      <c r="AJ11254" s="213"/>
    </row>
    <row r="11255" spans="36:36" x14ac:dyDescent="0.35">
      <c r="AJ11255" s="213"/>
    </row>
    <row r="11256" spans="36:36" x14ac:dyDescent="0.35">
      <c r="AJ11256" s="213"/>
    </row>
    <row r="11257" spans="36:36" x14ac:dyDescent="0.35">
      <c r="AJ11257" s="213"/>
    </row>
    <row r="11258" spans="36:36" x14ac:dyDescent="0.35">
      <c r="AJ11258" s="213"/>
    </row>
    <row r="11259" spans="36:36" x14ac:dyDescent="0.35">
      <c r="AJ11259" s="213"/>
    </row>
    <row r="11260" spans="36:36" x14ac:dyDescent="0.35">
      <c r="AJ11260" s="213"/>
    </row>
    <row r="11261" spans="36:36" x14ac:dyDescent="0.35">
      <c r="AJ11261" s="213"/>
    </row>
    <row r="11262" spans="36:36" x14ac:dyDescent="0.35">
      <c r="AJ11262" s="213"/>
    </row>
    <row r="11263" spans="36:36" x14ac:dyDescent="0.35">
      <c r="AJ11263" s="213"/>
    </row>
    <row r="11264" spans="36:36" x14ac:dyDescent="0.35">
      <c r="AJ11264" s="213"/>
    </row>
    <row r="11265" spans="36:36" x14ac:dyDescent="0.35">
      <c r="AJ11265" s="213"/>
    </row>
    <row r="11266" spans="36:36" x14ac:dyDescent="0.35">
      <c r="AJ11266" s="213"/>
    </row>
    <row r="11267" spans="36:36" x14ac:dyDescent="0.35">
      <c r="AJ11267" s="213"/>
    </row>
    <row r="11268" spans="36:36" x14ac:dyDescent="0.35">
      <c r="AJ11268" s="213"/>
    </row>
    <row r="11269" spans="36:36" x14ac:dyDescent="0.35">
      <c r="AJ11269" s="213"/>
    </row>
    <row r="11270" spans="36:36" x14ac:dyDescent="0.35">
      <c r="AJ11270" s="213"/>
    </row>
    <row r="11271" spans="36:36" x14ac:dyDescent="0.35">
      <c r="AJ11271" s="213"/>
    </row>
    <row r="11272" spans="36:36" x14ac:dyDescent="0.35">
      <c r="AJ11272" s="213"/>
    </row>
    <row r="11273" spans="36:36" x14ac:dyDescent="0.35">
      <c r="AJ11273" s="213"/>
    </row>
    <row r="11274" spans="36:36" x14ac:dyDescent="0.35">
      <c r="AJ11274" s="213"/>
    </row>
    <row r="11275" spans="36:36" x14ac:dyDescent="0.35">
      <c r="AJ11275" s="213"/>
    </row>
    <row r="11276" spans="36:36" x14ac:dyDescent="0.35">
      <c r="AJ11276" s="213"/>
    </row>
    <row r="11277" spans="36:36" x14ac:dyDescent="0.35">
      <c r="AJ11277" s="213"/>
    </row>
    <row r="11278" spans="36:36" x14ac:dyDescent="0.35">
      <c r="AJ11278" s="213"/>
    </row>
    <row r="11279" spans="36:36" x14ac:dyDescent="0.35">
      <c r="AJ11279" s="213"/>
    </row>
    <row r="11280" spans="36:36" x14ac:dyDescent="0.35">
      <c r="AJ11280" s="213"/>
    </row>
    <row r="11281" spans="36:36" x14ac:dyDescent="0.35">
      <c r="AJ11281" s="213"/>
    </row>
    <row r="11282" spans="36:36" x14ac:dyDescent="0.35">
      <c r="AJ11282" s="213"/>
    </row>
    <row r="11283" spans="36:36" x14ac:dyDescent="0.35">
      <c r="AJ11283" s="213"/>
    </row>
    <row r="11284" spans="36:36" x14ac:dyDescent="0.35">
      <c r="AJ11284" s="213"/>
    </row>
    <row r="11285" spans="36:36" x14ac:dyDescent="0.35">
      <c r="AJ11285" s="213"/>
    </row>
    <row r="11286" spans="36:36" x14ac:dyDescent="0.35">
      <c r="AJ11286" s="213"/>
    </row>
    <row r="11287" spans="36:36" x14ac:dyDescent="0.35">
      <c r="AJ11287" s="213"/>
    </row>
    <row r="11288" spans="36:36" x14ac:dyDescent="0.35">
      <c r="AJ11288" s="213"/>
    </row>
    <row r="11289" spans="36:36" x14ac:dyDescent="0.35">
      <c r="AJ11289" s="213"/>
    </row>
    <row r="11290" spans="36:36" x14ac:dyDescent="0.35">
      <c r="AJ11290" s="213"/>
    </row>
    <row r="11291" spans="36:36" x14ac:dyDescent="0.35">
      <c r="AJ11291" s="213"/>
    </row>
    <row r="11292" spans="36:36" x14ac:dyDescent="0.35">
      <c r="AJ11292" s="213"/>
    </row>
    <row r="11293" spans="36:36" x14ac:dyDescent="0.35">
      <c r="AJ11293" s="213"/>
    </row>
    <row r="11294" spans="36:36" x14ac:dyDescent="0.35">
      <c r="AJ11294" s="213"/>
    </row>
    <row r="11295" spans="36:36" x14ac:dyDescent="0.35">
      <c r="AJ11295" s="213"/>
    </row>
    <row r="11296" spans="36:36" x14ac:dyDescent="0.35">
      <c r="AJ11296" s="213"/>
    </row>
    <row r="11297" spans="36:36" x14ac:dyDescent="0.35">
      <c r="AJ11297" s="213"/>
    </row>
    <row r="11298" spans="36:36" x14ac:dyDescent="0.35">
      <c r="AJ11298" s="213"/>
    </row>
    <row r="11299" spans="36:36" x14ac:dyDescent="0.35">
      <c r="AJ11299" s="213"/>
    </row>
    <row r="11300" spans="36:36" x14ac:dyDescent="0.35">
      <c r="AJ11300" s="213"/>
    </row>
    <row r="11301" spans="36:36" x14ac:dyDescent="0.35">
      <c r="AJ11301" s="213"/>
    </row>
    <row r="11302" spans="36:36" x14ac:dyDescent="0.35">
      <c r="AJ11302" s="213"/>
    </row>
    <row r="11303" spans="36:36" x14ac:dyDescent="0.35">
      <c r="AJ11303" s="213"/>
    </row>
    <row r="11304" spans="36:36" x14ac:dyDescent="0.35">
      <c r="AJ11304" s="213"/>
    </row>
    <row r="11305" spans="36:36" x14ac:dyDescent="0.35">
      <c r="AJ11305" s="213"/>
    </row>
    <row r="11306" spans="36:36" x14ac:dyDescent="0.35">
      <c r="AJ11306" s="213"/>
    </row>
    <row r="11307" spans="36:36" x14ac:dyDescent="0.35">
      <c r="AJ11307" s="213"/>
    </row>
    <row r="11308" spans="36:36" x14ac:dyDescent="0.35">
      <c r="AJ11308" s="213"/>
    </row>
    <row r="11309" spans="36:36" x14ac:dyDescent="0.35">
      <c r="AJ11309" s="213"/>
    </row>
    <row r="11310" spans="36:36" x14ac:dyDescent="0.35">
      <c r="AJ11310" s="213"/>
    </row>
    <row r="11311" spans="36:36" x14ac:dyDescent="0.35">
      <c r="AJ11311" s="213"/>
    </row>
    <row r="11312" spans="36:36" x14ac:dyDescent="0.35">
      <c r="AJ11312" s="213"/>
    </row>
    <row r="11313" spans="36:36" x14ac:dyDescent="0.35">
      <c r="AJ11313" s="213"/>
    </row>
    <row r="11314" spans="36:36" x14ac:dyDescent="0.35">
      <c r="AJ11314" s="213"/>
    </row>
    <row r="11315" spans="36:36" x14ac:dyDescent="0.35">
      <c r="AJ11315" s="213"/>
    </row>
    <row r="11316" spans="36:36" x14ac:dyDescent="0.35">
      <c r="AJ11316" s="213"/>
    </row>
    <row r="11317" spans="36:36" x14ac:dyDescent="0.35">
      <c r="AJ11317" s="213"/>
    </row>
    <row r="11318" spans="36:36" x14ac:dyDescent="0.35">
      <c r="AJ11318" s="213"/>
    </row>
    <row r="11319" spans="36:36" x14ac:dyDescent="0.35">
      <c r="AJ11319" s="213"/>
    </row>
    <row r="11320" spans="36:36" x14ac:dyDescent="0.35">
      <c r="AJ11320" s="213"/>
    </row>
    <row r="11321" spans="36:36" x14ac:dyDescent="0.35">
      <c r="AJ11321" s="213"/>
    </row>
    <row r="11322" spans="36:36" x14ac:dyDescent="0.35">
      <c r="AJ11322" s="213"/>
    </row>
    <row r="11323" spans="36:36" x14ac:dyDescent="0.35">
      <c r="AJ11323" s="213"/>
    </row>
    <row r="11324" spans="36:36" x14ac:dyDescent="0.35">
      <c r="AJ11324" s="213"/>
    </row>
    <row r="11325" spans="36:36" x14ac:dyDescent="0.35">
      <c r="AJ11325" s="213"/>
    </row>
    <row r="11326" spans="36:36" x14ac:dyDescent="0.35">
      <c r="AJ11326" s="213"/>
    </row>
    <row r="11327" spans="36:36" x14ac:dyDescent="0.35">
      <c r="AJ11327" s="213"/>
    </row>
    <row r="11328" spans="36:36" x14ac:dyDescent="0.35">
      <c r="AJ11328" s="213"/>
    </row>
    <row r="11329" spans="36:36" x14ac:dyDescent="0.35">
      <c r="AJ11329" s="213"/>
    </row>
    <row r="11330" spans="36:36" x14ac:dyDescent="0.35">
      <c r="AJ11330" s="213"/>
    </row>
    <row r="11331" spans="36:36" x14ac:dyDescent="0.35">
      <c r="AJ11331" s="213"/>
    </row>
    <row r="11332" spans="36:36" x14ac:dyDescent="0.35">
      <c r="AJ11332" s="213"/>
    </row>
    <row r="11333" spans="36:36" x14ac:dyDescent="0.35">
      <c r="AJ11333" s="213"/>
    </row>
    <row r="11334" spans="36:36" x14ac:dyDescent="0.35">
      <c r="AJ11334" s="213"/>
    </row>
    <row r="11335" spans="36:36" x14ac:dyDescent="0.35">
      <c r="AJ11335" s="213"/>
    </row>
    <row r="11336" spans="36:36" x14ac:dyDescent="0.35">
      <c r="AJ11336" s="213"/>
    </row>
    <row r="11337" spans="36:36" x14ac:dyDescent="0.35">
      <c r="AJ11337" s="213"/>
    </row>
    <row r="11338" spans="36:36" x14ac:dyDescent="0.35">
      <c r="AJ11338" s="213"/>
    </row>
    <row r="11339" spans="36:36" x14ac:dyDescent="0.35">
      <c r="AJ11339" s="213"/>
    </row>
    <row r="11340" spans="36:36" x14ac:dyDescent="0.35">
      <c r="AJ11340" s="213"/>
    </row>
    <row r="11341" spans="36:36" x14ac:dyDescent="0.35">
      <c r="AJ11341" s="213"/>
    </row>
    <row r="11342" spans="36:36" x14ac:dyDescent="0.35">
      <c r="AJ11342" s="213"/>
    </row>
    <row r="11343" spans="36:36" x14ac:dyDescent="0.35">
      <c r="AJ11343" s="213"/>
    </row>
    <row r="11344" spans="36:36" x14ac:dyDescent="0.35">
      <c r="AJ11344" s="213"/>
    </row>
    <row r="11345" spans="36:36" x14ac:dyDescent="0.35">
      <c r="AJ11345" s="213"/>
    </row>
    <row r="11346" spans="36:36" x14ac:dyDescent="0.35">
      <c r="AJ11346" s="213"/>
    </row>
    <row r="11347" spans="36:36" x14ac:dyDescent="0.35">
      <c r="AJ11347" s="213"/>
    </row>
    <row r="11348" spans="36:36" x14ac:dyDescent="0.35">
      <c r="AJ11348" s="213"/>
    </row>
    <row r="11349" spans="36:36" x14ac:dyDescent="0.35">
      <c r="AJ11349" s="213"/>
    </row>
    <row r="11350" spans="36:36" x14ac:dyDescent="0.35">
      <c r="AJ11350" s="213"/>
    </row>
    <row r="11351" spans="36:36" x14ac:dyDescent="0.35">
      <c r="AJ11351" s="213"/>
    </row>
    <row r="11352" spans="36:36" x14ac:dyDescent="0.35">
      <c r="AJ11352" s="213"/>
    </row>
    <row r="11353" spans="36:36" x14ac:dyDescent="0.35">
      <c r="AJ11353" s="213"/>
    </row>
    <row r="11354" spans="36:36" x14ac:dyDescent="0.35">
      <c r="AJ11354" s="213"/>
    </row>
    <row r="11355" spans="36:36" x14ac:dyDescent="0.35">
      <c r="AJ11355" s="213"/>
    </row>
    <row r="11356" spans="36:36" x14ac:dyDescent="0.35">
      <c r="AJ11356" s="213"/>
    </row>
    <row r="11357" spans="36:36" x14ac:dyDescent="0.35">
      <c r="AJ11357" s="213"/>
    </row>
    <row r="11358" spans="36:36" x14ac:dyDescent="0.35">
      <c r="AJ11358" s="213"/>
    </row>
    <row r="11359" spans="36:36" x14ac:dyDescent="0.35">
      <c r="AJ11359" s="213"/>
    </row>
    <row r="11360" spans="36:36" x14ac:dyDescent="0.35">
      <c r="AJ11360" s="213"/>
    </row>
    <row r="11361" spans="36:36" x14ac:dyDescent="0.35">
      <c r="AJ11361" s="213"/>
    </row>
    <row r="11362" spans="36:36" x14ac:dyDescent="0.35">
      <c r="AJ11362" s="213"/>
    </row>
    <row r="11363" spans="36:36" x14ac:dyDescent="0.35">
      <c r="AJ11363" s="213"/>
    </row>
    <row r="11364" spans="36:36" x14ac:dyDescent="0.35">
      <c r="AJ11364" s="213"/>
    </row>
    <row r="11365" spans="36:36" x14ac:dyDescent="0.35">
      <c r="AJ11365" s="213"/>
    </row>
    <row r="11366" spans="36:36" x14ac:dyDescent="0.35">
      <c r="AJ11366" s="213"/>
    </row>
    <row r="11367" spans="36:36" x14ac:dyDescent="0.35">
      <c r="AJ11367" s="213"/>
    </row>
    <row r="11368" spans="36:36" x14ac:dyDescent="0.35">
      <c r="AJ11368" s="213"/>
    </row>
    <row r="11369" spans="36:36" x14ac:dyDescent="0.35">
      <c r="AJ11369" s="213"/>
    </row>
    <row r="11370" spans="36:36" x14ac:dyDescent="0.35">
      <c r="AJ11370" s="213"/>
    </row>
    <row r="11371" spans="36:36" x14ac:dyDescent="0.35">
      <c r="AJ11371" s="213"/>
    </row>
    <row r="11372" spans="36:36" x14ac:dyDescent="0.35">
      <c r="AJ11372" s="213"/>
    </row>
    <row r="11373" spans="36:36" x14ac:dyDescent="0.35">
      <c r="AJ11373" s="213"/>
    </row>
    <row r="11374" spans="36:36" x14ac:dyDescent="0.35">
      <c r="AJ11374" s="213"/>
    </row>
    <row r="11375" spans="36:36" x14ac:dyDescent="0.35">
      <c r="AJ11375" s="213"/>
    </row>
    <row r="11376" spans="36:36" x14ac:dyDescent="0.35">
      <c r="AJ11376" s="213"/>
    </row>
    <row r="11377" spans="36:36" x14ac:dyDescent="0.35">
      <c r="AJ11377" s="213"/>
    </row>
    <row r="11378" spans="36:36" x14ac:dyDescent="0.35">
      <c r="AJ11378" s="213"/>
    </row>
    <row r="11379" spans="36:36" x14ac:dyDescent="0.35">
      <c r="AJ11379" s="213"/>
    </row>
    <row r="11380" spans="36:36" x14ac:dyDescent="0.35">
      <c r="AJ11380" s="213"/>
    </row>
    <row r="11381" spans="36:36" x14ac:dyDescent="0.35">
      <c r="AJ11381" s="213"/>
    </row>
    <row r="11382" spans="36:36" x14ac:dyDescent="0.35">
      <c r="AJ11382" s="213"/>
    </row>
    <row r="11383" spans="36:36" x14ac:dyDescent="0.35">
      <c r="AJ11383" s="213"/>
    </row>
    <row r="11384" spans="36:36" x14ac:dyDescent="0.35">
      <c r="AJ11384" s="213"/>
    </row>
    <row r="11385" spans="36:36" x14ac:dyDescent="0.35">
      <c r="AJ11385" s="213"/>
    </row>
    <row r="11386" spans="36:36" x14ac:dyDescent="0.35">
      <c r="AJ11386" s="213"/>
    </row>
    <row r="11387" spans="36:36" x14ac:dyDescent="0.35">
      <c r="AJ11387" s="213"/>
    </row>
    <row r="11388" spans="36:36" x14ac:dyDescent="0.35">
      <c r="AJ11388" s="213"/>
    </row>
    <row r="11389" spans="36:36" x14ac:dyDescent="0.35">
      <c r="AJ11389" s="213"/>
    </row>
    <row r="11390" spans="36:36" x14ac:dyDescent="0.35">
      <c r="AJ11390" s="213"/>
    </row>
    <row r="11391" spans="36:36" x14ac:dyDescent="0.35">
      <c r="AJ11391" s="213"/>
    </row>
    <row r="11392" spans="36:36" x14ac:dyDescent="0.35">
      <c r="AJ11392" s="213"/>
    </row>
    <row r="11393" spans="36:36" x14ac:dyDescent="0.35">
      <c r="AJ11393" s="213"/>
    </row>
    <row r="11394" spans="36:36" x14ac:dyDescent="0.35">
      <c r="AJ11394" s="213"/>
    </row>
    <row r="11395" spans="36:36" x14ac:dyDescent="0.35">
      <c r="AJ11395" s="213"/>
    </row>
    <row r="11396" spans="36:36" x14ac:dyDescent="0.35">
      <c r="AJ11396" s="213"/>
    </row>
    <row r="11397" spans="36:36" x14ac:dyDescent="0.35">
      <c r="AJ11397" s="213"/>
    </row>
    <row r="11398" spans="36:36" x14ac:dyDescent="0.35">
      <c r="AJ11398" s="213"/>
    </row>
    <row r="11399" spans="36:36" x14ac:dyDescent="0.35">
      <c r="AJ11399" s="213"/>
    </row>
    <row r="11400" spans="36:36" x14ac:dyDescent="0.35">
      <c r="AJ11400" s="213"/>
    </row>
    <row r="11401" spans="36:36" x14ac:dyDescent="0.35">
      <c r="AJ11401" s="213"/>
    </row>
    <row r="11402" spans="36:36" x14ac:dyDescent="0.35">
      <c r="AJ11402" s="213"/>
    </row>
    <row r="11403" spans="36:36" x14ac:dyDescent="0.35">
      <c r="AJ11403" s="213"/>
    </row>
    <row r="11404" spans="36:36" x14ac:dyDescent="0.35">
      <c r="AJ11404" s="213"/>
    </row>
    <row r="11405" spans="36:36" x14ac:dyDescent="0.35">
      <c r="AJ11405" s="213"/>
    </row>
    <row r="11406" spans="36:36" x14ac:dyDescent="0.35">
      <c r="AJ11406" s="213"/>
    </row>
    <row r="11407" spans="36:36" x14ac:dyDescent="0.35">
      <c r="AJ11407" s="213"/>
    </row>
    <row r="11408" spans="36:36" x14ac:dyDescent="0.35">
      <c r="AJ11408" s="213"/>
    </row>
    <row r="11409" spans="36:36" x14ac:dyDescent="0.35">
      <c r="AJ11409" s="213"/>
    </row>
    <row r="11410" spans="36:36" x14ac:dyDescent="0.35">
      <c r="AJ11410" s="213"/>
    </row>
    <row r="11411" spans="36:36" x14ac:dyDescent="0.35">
      <c r="AJ11411" s="213"/>
    </row>
    <row r="11412" spans="36:36" x14ac:dyDescent="0.35">
      <c r="AJ11412" s="213"/>
    </row>
    <row r="11413" spans="36:36" x14ac:dyDescent="0.35">
      <c r="AJ11413" s="213"/>
    </row>
    <row r="11414" spans="36:36" x14ac:dyDescent="0.35">
      <c r="AJ11414" s="213"/>
    </row>
    <row r="11415" spans="36:36" x14ac:dyDescent="0.35">
      <c r="AJ11415" s="213"/>
    </row>
    <row r="11416" spans="36:36" x14ac:dyDescent="0.35">
      <c r="AJ11416" s="213"/>
    </row>
    <row r="11417" spans="36:36" x14ac:dyDescent="0.35">
      <c r="AJ11417" s="213"/>
    </row>
    <row r="11418" spans="36:36" x14ac:dyDescent="0.35">
      <c r="AJ11418" s="213"/>
    </row>
    <row r="11419" spans="36:36" x14ac:dyDescent="0.35">
      <c r="AJ11419" s="213"/>
    </row>
    <row r="11420" spans="36:36" x14ac:dyDescent="0.35">
      <c r="AJ11420" s="213"/>
    </row>
    <row r="11421" spans="36:36" x14ac:dyDescent="0.35">
      <c r="AJ11421" s="213"/>
    </row>
    <row r="11422" spans="36:36" x14ac:dyDescent="0.35">
      <c r="AJ11422" s="213"/>
    </row>
    <row r="11423" spans="36:36" x14ac:dyDescent="0.35">
      <c r="AJ11423" s="213"/>
    </row>
    <row r="11424" spans="36:36" x14ac:dyDescent="0.35">
      <c r="AJ11424" s="213"/>
    </row>
    <row r="11425" spans="36:36" x14ac:dyDescent="0.35">
      <c r="AJ11425" s="213"/>
    </row>
    <row r="11426" spans="36:36" x14ac:dyDescent="0.35">
      <c r="AJ11426" s="213"/>
    </row>
    <row r="11427" spans="36:36" x14ac:dyDescent="0.35">
      <c r="AJ11427" s="213"/>
    </row>
    <row r="11428" spans="36:36" x14ac:dyDescent="0.35">
      <c r="AJ11428" s="213"/>
    </row>
    <row r="11429" spans="36:36" x14ac:dyDescent="0.35">
      <c r="AJ11429" s="213"/>
    </row>
    <row r="11430" spans="36:36" x14ac:dyDescent="0.35">
      <c r="AJ11430" s="213"/>
    </row>
    <row r="11431" spans="36:36" x14ac:dyDescent="0.35">
      <c r="AJ11431" s="213"/>
    </row>
    <row r="11432" spans="36:36" x14ac:dyDescent="0.35">
      <c r="AJ11432" s="213"/>
    </row>
    <row r="11433" spans="36:36" x14ac:dyDescent="0.35">
      <c r="AJ11433" s="213"/>
    </row>
    <row r="11434" spans="36:36" x14ac:dyDescent="0.35">
      <c r="AJ11434" s="213"/>
    </row>
    <row r="11435" spans="36:36" x14ac:dyDescent="0.35">
      <c r="AJ11435" s="213"/>
    </row>
    <row r="11436" spans="36:36" x14ac:dyDescent="0.35">
      <c r="AJ11436" s="213"/>
    </row>
    <row r="11437" spans="36:36" x14ac:dyDescent="0.35">
      <c r="AJ11437" s="213"/>
    </row>
    <row r="11438" spans="36:36" x14ac:dyDescent="0.35">
      <c r="AJ11438" s="213"/>
    </row>
    <row r="11439" spans="36:36" x14ac:dyDescent="0.35">
      <c r="AJ11439" s="213"/>
    </row>
    <row r="11440" spans="36:36" x14ac:dyDescent="0.35">
      <c r="AJ11440" s="213"/>
    </row>
    <row r="11441" spans="36:36" x14ac:dyDescent="0.35">
      <c r="AJ11441" s="213"/>
    </row>
    <row r="11442" spans="36:36" x14ac:dyDescent="0.35">
      <c r="AJ11442" s="213"/>
    </row>
    <row r="11443" spans="36:36" x14ac:dyDescent="0.35">
      <c r="AJ11443" s="213"/>
    </row>
    <row r="11444" spans="36:36" x14ac:dyDescent="0.35">
      <c r="AJ11444" s="213"/>
    </row>
    <row r="11445" spans="36:36" x14ac:dyDescent="0.35">
      <c r="AJ11445" s="213"/>
    </row>
    <row r="11446" spans="36:36" x14ac:dyDescent="0.35">
      <c r="AJ11446" s="213"/>
    </row>
    <row r="11447" spans="36:36" x14ac:dyDescent="0.35">
      <c r="AJ11447" s="213"/>
    </row>
    <row r="11448" spans="36:36" x14ac:dyDescent="0.35">
      <c r="AJ11448" s="213"/>
    </row>
    <row r="11449" spans="36:36" x14ac:dyDescent="0.35">
      <c r="AJ11449" s="213"/>
    </row>
    <row r="11450" spans="36:36" x14ac:dyDescent="0.35">
      <c r="AJ11450" s="213"/>
    </row>
    <row r="11451" spans="36:36" x14ac:dyDescent="0.35">
      <c r="AJ11451" s="213"/>
    </row>
    <row r="11452" spans="36:36" x14ac:dyDescent="0.35">
      <c r="AJ11452" s="213"/>
    </row>
    <row r="11453" spans="36:36" x14ac:dyDescent="0.35">
      <c r="AJ11453" s="213"/>
    </row>
    <row r="11454" spans="36:36" x14ac:dyDescent="0.35">
      <c r="AJ11454" s="213"/>
    </row>
    <row r="11455" spans="36:36" x14ac:dyDescent="0.35">
      <c r="AJ11455" s="213"/>
    </row>
    <row r="11456" spans="36:36" x14ac:dyDescent="0.35">
      <c r="AJ11456" s="213"/>
    </row>
    <row r="11457" spans="36:36" x14ac:dyDescent="0.35">
      <c r="AJ11457" s="213"/>
    </row>
    <row r="11458" spans="36:36" x14ac:dyDescent="0.35">
      <c r="AJ11458" s="213"/>
    </row>
    <row r="11459" spans="36:36" x14ac:dyDescent="0.35">
      <c r="AJ11459" s="213"/>
    </row>
    <row r="11460" spans="36:36" x14ac:dyDescent="0.35">
      <c r="AJ11460" s="213"/>
    </row>
    <row r="11461" spans="36:36" x14ac:dyDescent="0.35">
      <c r="AJ11461" s="213"/>
    </row>
    <row r="11462" spans="36:36" x14ac:dyDescent="0.35">
      <c r="AJ11462" s="213"/>
    </row>
    <row r="11463" spans="36:36" x14ac:dyDescent="0.35">
      <c r="AJ11463" s="213"/>
    </row>
    <row r="11464" spans="36:36" x14ac:dyDescent="0.35">
      <c r="AJ11464" s="213"/>
    </row>
    <row r="11465" spans="36:36" x14ac:dyDescent="0.35">
      <c r="AJ11465" s="213"/>
    </row>
    <row r="11466" spans="36:36" x14ac:dyDescent="0.35">
      <c r="AJ11466" s="213"/>
    </row>
    <row r="11467" spans="36:36" x14ac:dyDescent="0.35">
      <c r="AJ11467" s="213"/>
    </row>
    <row r="11468" spans="36:36" x14ac:dyDescent="0.35">
      <c r="AJ11468" s="213"/>
    </row>
    <row r="11469" spans="36:36" x14ac:dyDescent="0.35">
      <c r="AJ11469" s="213"/>
    </row>
    <row r="11470" spans="36:36" x14ac:dyDescent="0.35">
      <c r="AJ11470" s="213"/>
    </row>
    <row r="11471" spans="36:36" x14ac:dyDescent="0.35">
      <c r="AJ11471" s="213"/>
    </row>
  </sheetData>
  <mergeCells count="3">
    <mergeCell ref="G84:I85"/>
    <mergeCell ref="A239:A240"/>
    <mergeCell ref="G93:I94"/>
  </mergeCells>
  <pageMargins left="0.7" right="0.7" top="0.75" bottom="0.75" header="0.3" footer="0.3"/>
  <pageSetup paperSize="9"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Ark3">
    <tabColor theme="4" tint="0.59999389629810485"/>
  </sheetPr>
  <dimension ref="A3:S431"/>
  <sheetViews>
    <sheetView zoomScaleNormal="100" workbookViewId="0"/>
  </sheetViews>
  <sheetFormatPr baseColWidth="10" defaultColWidth="11.453125" defaultRowHeight="14.5" outlineLevelRow="1" x14ac:dyDescent="0.35"/>
  <cols>
    <col min="1" max="1" width="32.453125" style="510" customWidth="1"/>
    <col min="2" max="2" width="55.453125" bestFit="1" customWidth="1"/>
    <col min="3" max="4" width="14.453125" bestFit="1" customWidth="1"/>
    <col min="5" max="5" width="24.81640625" bestFit="1" customWidth="1"/>
    <col min="6" max="6" width="12.1796875" customWidth="1"/>
    <col min="7" max="7" width="20.1796875" customWidth="1"/>
    <col min="8" max="8" width="19" bestFit="1" customWidth="1"/>
    <col min="9" max="9" width="15.453125" style="59" customWidth="1"/>
    <col min="10" max="10" width="27" customWidth="1"/>
    <col min="11" max="11" width="13.1796875" customWidth="1"/>
    <col min="12" max="12" width="14.453125" customWidth="1"/>
    <col min="13" max="13" width="20.81640625" customWidth="1"/>
    <col min="14" max="14" width="16.453125" customWidth="1"/>
    <col min="15" max="15" width="20.54296875" bestFit="1" customWidth="1"/>
    <col min="17" max="17" width="14.81640625" bestFit="1" customWidth="1"/>
    <col min="18" max="18" width="16.453125" bestFit="1" customWidth="1"/>
  </cols>
  <sheetData>
    <row r="3" spans="1:16" ht="15" thickBot="1" x14ac:dyDescent="0.4"/>
    <row r="4" spans="1:16" ht="18.5" x14ac:dyDescent="0.45">
      <c r="A4" s="621" t="s">
        <v>717</v>
      </c>
      <c r="B4" s="209"/>
    </row>
    <row r="5" spans="1:16" x14ac:dyDescent="0.35">
      <c r="A5" s="619" t="s">
        <v>718</v>
      </c>
      <c r="B5" s="255" t="s">
        <v>719</v>
      </c>
    </row>
    <row r="6" spans="1:16" ht="15" thickBot="1" x14ac:dyDescent="0.4">
      <c r="A6" s="620" t="s">
        <v>720</v>
      </c>
      <c r="B6" s="711" t="s">
        <v>721</v>
      </c>
    </row>
    <row r="7" spans="1:16" x14ac:dyDescent="0.35">
      <c r="F7" s="68"/>
    </row>
    <row r="10" spans="1:16" ht="15" thickBot="1" x14ac:dyDescent="0.4">
      <c r="D10" s="6"/>
      <c r="E10" s="6"/>
      <c r="F10" s="6"/>
    </row>
    <row r="11" spans="1:16" ht="21" x14ac:dyDescent="0.5">
      <c r="B11" s="207" t="s">
        <v>722</v>
      </c>
      <c r="C11" s="257"/>
      <c r="D11" s="208"/>
      <c r="E11" s="208"/>
      <c r="F11" s="208"/>
      <c r="G11" s="208"/>
      <c r="H11" s="209"/>
      <c r="J11" s="207" t="s">
        <v>723</v>
      </c>
      <c r="K11" s="257"/>
      <c r="L11" s="257"/>
      <c r="M11" s="257"/>
      <c r="N11" s="269" t="s">
        <v>724</v>
      </c>
      <c r="O11" s="270"/>
    </row>
    <row r="12" spans="1:16" x14ac:dyDescent="0.35">
      <c r="B12" s="258"/>
      <c r="C12" s="10" t="str">
        <f>CONCATENATE("Sats ("&amp;KroneårIBeregninger&amp;"-kr) ")</f>
        <v xml:space="preserve">Sats (-kr) </v>
      </c>
      <c r="D12" s="10" t="str">
        <f>CONCATENATE("Sats ("&amp;SisteStatistikkÅr&amp;"-kr) ")</f>
        <v xml:space="preserve">Sats (2025-kr) </v>
      </c>
      <c r="E12" s="10" t="str">
        <f>"Sats ("&amp;H12&amp;")"</f>
        <v>Sats (Opprinnelig kroneår)</v>
      </c>
      <c r="F12" s="10" t="s">
        <v>725</v>
      </c>
      <c r="G12" s="10" t="s">
        <v>534</v>
      </c>
      <c r="H12" s="241" t="s">
        <v>726</v>
      </c>
      <c r="J12" s="258" t="s">
        <v>727</v>
      </c>
      <c r="K12" s="10" t="s">
        <v>728</v>
      </c>
      <c r="L12" s="10" t="s">
        <v>275</v>
      </c>
      <c r="M12" s="10" t="s">
        <v>729</v>
      </c>
      <c r="N12" s="10" t="s">
        <v>730</v>
      </c>
      <c r="O12" s="241" t="s">
        <v>731</v>
      </c>
    </row>
    <row r="13" spans="1:16" ht="18.5" x14ac:dyDescent="0.45">
      <c r="B13" s="247" t="s">
        <v>732</v>
      </c>
      <c r="C13" s="10"/>
      <c r="D13" s="10"/>
      <c r="E13" s="10"/>
      <c r="F13" s="10"/>
      <c r="G13" s="10"/>
      <c r="H13" s="241"/>
      <c r="J13" s="258"/>
      <c r="K13" s="10"/>
      <c r="L13" s="10"/>
      <c r="M13" s="10"/>
      <c r="N13" s="10"/>
      <c r="O13" s="241"/>
    </row>
    <row r="14" spans="1:16" hidden="1" outlineLevel="1" x14ac:dyDescent="0.35">
      <c r="B14" s="215" t="s">
        <v>733</v>
      </c>
      <c r="C14" s="8"/>
      <c r="D14" s="76"/>
      <c r="E14" s="8"/>
      <c r="F14" s="8"/>
      <c r="G14" s="8"/>
      <c r="H14" s="259"/>
      <c r="J14" s="271"/>
      <c r="K14" s="962"/>
      <c r="L14" s="8"/>
      <c r="M14" s="8"/>
      <c r="N14" s="8"/>
      <c r="O14" s="259"/>
    </row>
    <row r="15" spans="1:16" hidden="1" outlineLevel="1" x14ac:dyDescent="0.35">
      <c r="B15" s="212" t="s">
        <v>734</v>
      </c>
      <c r="C15" s="463" t="e">
        <f t="shared" ref="C15:C22" si="0">D15*KPIJustering</f>
        <v>#N/A</v>
      </c>
      <c r="D15" s="761">
        <f>E15*F15</f>
        <v>22.818857142857141</v>
      </c>
      <c r="E15" s="400">
        <v>17.167999999999999</v>
      </c>
      <c r="F15" s="762">
        <f>1/LOOKUP($H15,StatistikkOgPrognoseÅr,KPIIndeks)</f>
        <v>1.3291505791505791</v>
      </c>
      <c r="G15" s="17" t="s">
        <v>569</v>
      </c>
      <c r="H15" s="221">
        <v>2016</v>
      </c>
      <c r="J15" s="275" t="s">
        <v>322</v>
      </c>
      <c r="K15" s="624" t="s">
        <v>735</v>
      </c>
      <c r="L15" s="149" t="s">
        <v>736</v>
      </c>
      <c r="M15" s="17"/>
      <c r="N15" s="69">
        <v>42977</v>
      </c>
      <c r="O15" s="213" t="s">
        <v>64</v>
      </c>
      <c r="P15" s="6"/>
    </row>
    <row r="16" spans="1:16" hidden="1" outlineLevel="1" x14ac:dyDescent="0.35">
      <c r="B16" s="212" t="s">
        <v>737</v>
      </c>
      <c r="C16" s="463" t="e">
        <f t="shared" si="0"/>
        <v>#N/A</v>
      </c>
      <c r="D16" s="761">
        <f>E16*F16</f>
        <v>5.4840752895752898</v>
      </c>
      <c r="E16" s="21">
        <v>4.1260000000000003</v>
      </c>
      <c r="F16" s="762">
        <f>1/LOOKUP($H16,StatistikkOgPrognoseÅr,KPIIndeks)</f>
        <v>1.3291505791505791</v>
      </c>
      <c r="G16" s="17" t="s">
        <v>569</v>
      </c>
      <c r="H16" s="221">
        <v>2016</v>
      </c>
      <c r="J16" s="275" t="s">
        <v>322</v>
      </c>
      <c r="K16" s="624" t="s">
        <v>735</v>
      </c>
      <c r="L16" s="149" t="s">
        <v>736</v>
      </c>
      <c r="M16" s="17"/>
      <c r="N16" s="69">
        <v>42977</v>
      </c>
      <c r="O16" s="213" t="s">
        <v>64</v>
      </c>
    </row>
    <row r="17" spans="1:15" hidden="1" outlineLevel="1" x14ac:dyDescent="0.35">
      <c r="B17" s="212" t="s">
        <v>738</v>
      </c>
      <c r="C17" s="463" t="e">
        <f t="shared" si="0"/>
        <v>#N/A</v>
      </c>
      <c r="D17" s="761">
        <f>E17*F17</f>
        <v>125.10762741312742</v>
      </c>
      <c r="E17" s="21">
        <v>94.126000000000005</v>
      </c>
      <c r="F17" s="463">
        <f>1/LOOKUP($H17,StatistikkOgPrognoseÅr,KPIIndeks)</f>
        <v>1.3291505791505791</v>
      </c>
      <c r="G17" s="17" t="s">
        <v>569</v>
      </c>
      <c r="H17" s="221">
        <v>2016</v>
      </c>
      <c r="J17" s="275" t="s">
        <v>322</v>
      </c>
      <c r="K17" s="624" t="s">
        <v>735</v>
      </c>
      <c r="L17" s="149" t="s">
        <v>736</v>
      </c>
      <c r="M17" s="17"/>
      <c r="N17" s="69">
        <v>42977</v>
      </c>
      <c r="O17" s="213" t="s">
        <v>64</v>
      </c>
    </row>
    <row r="18" spans="1:15" hidden="1" outlineLevel="1" x14ac:dyDescent="0.35">
      <c r="B18" s="212" t="s">
        <v>739</v>
      </c>
      <c r="C18" s="463" t="e">
        <f t="shared" si="0"/>
        <v>#N/A</v>
      </c>
      <c r="D18" s="761">
        <f>D15*AndelArbeidsreiser+D16*AndelFritidsreiser+D17*AndelForretningsreiser</f>
        <v>18.572513455598454</v>
      </c>
      <c r="E18" s="123"/>
      <c r="F18" s="17"/>
      <c r="G18" s="17"/>
      <c r="H18" s="221"/>
      <c r="J18" s="273"/>
      <c r="K18" s="989" t="str">
        <f>""</f>
        <v/>
      </c>
      <c r="L18" s="17"/>
      <c r="M18" s="17"/>
      <c r="N18" s="69"/>
      <c r="O18" s="213"/>
    </row>
    <row r="19" spans="1:15" hidden="1" outlineLevel="1" x14ac:dyDescent="0.35">
      <c r="B19" s="212" t="s">
        <v>740</v>
      </c>
      <c r="C19" s="463" t="e">
        <f t="shared" si="0"/>
        <v>#N/A</v>
      </c>
      <c r="D19" s="761">
        <f>E19*F19</f>
        <v>0.91445559845559832</v>
      </c>
      <c r="E19" s="21">
        <v>0.68799999999999994</v>
      </c>
      <c r="F19" s="463">
        <f>1/LOOKUP($H19,StatistikkOgPrognoseÅr,KPIIndeks)</f>
        <v>1.3291505791505791</v>
      </c>
      <c r="G19" s="17" t="s">
        <v>537</v>
      </c>
      <c r="H19" s="221">
        <v>2016</v>
      </c>
      <c r="J19" s="275" t="s">
        <v>322</v>
      </c>
      <c r="K19" s="624" t="s">
        <v>735</v>
      </c>
      <c r="L19" s="149" t="s">
        <v>736</v>
      </c>
      <c r="M19" s="17"/>
      <c r="N19" s="69">
        <v>42977</v>
      </c>
      <c r="O19" s="213" t="s">
        <v>64</v>
      </c>
    </row>
    <row r="20" spans="1:15" hidden="1" outlineLevel="1" x14ac:dyDescent="0.35">
      <c r="B20" s="212" t="s">
        <v>741</v>
      </c>
      <c r="C20" s="463" t="e">
        <f t="shared" si="0"/>
        <v>#N/A</v>
      </c>
      <c r="D20" s="761">
        <f>E20*F20</f>
        <v>3.2338233590733587</v>
      </c>
      <c r="E20" s="21">
        <v>2.4329999999999998</v>
      </c>
      <c r="F20" s="463">
        <f>1/LOOKUP($H20,StatistikkOgPrognoseÅr,KPIIndeks)</f>
        <v>1.3291505791505791</v>
      </c>
      <c r="G20" s="17" t="s">
        <v>537</v>
      </c>
      <c r="H20" s="221">
        <v>2016</v>
      </c>
      <c r="J20" s="275" t="s">
        <v>322</v>
      </c>
      <c r="K20" s="624" t="s">
        <v>735</v>
      </c>
      <c r="L20" s="149" t="s">
        <v>736</v>
      </c>
      <c r="M20" s="17"/>
      <c r="N20" s="69">
        <v>42977</v>
      </c>
      <c r="O20" s="213" t="s">
        <v>64</v>
      </c>
    </row>
    <row r="21" spans="1:15" hidden="1" outlineLevel="1" x14ac:dyDescent="0.35">
      <c r="B21" s="212" t="s">
        <v>742</v>
      </c>
      <c r="C21" s="463" t="e">
        <f t="shared" si="0"/>
        <v>#N/A</v>
      </c>
      <c r="D21" s="761">
        <f>E21*F21</f>
        <v>3.2338233590733587</v>
      </c>
      <c r="E21" s="21">
        <v>2.4329999999999998</v>
      </c>
      <c r="F21" s="463">
        <f>1/LOOKUP($H21,StatistikkOgPrognoseÅr,KPIIndeks)</f>
        <v>1.3291505791505791</v>
      </c>
      <c r="G21" s="17" t="s">
        <v>537</v>
      </c>
      <c r="H21" s="221">
        <v>2016</v>
      </c>
      <c r="J21" s="275" t="s">
        <v>322</v>
      </c>
      <c r="K21" s="624" t="s">
        <v>735</v>
      </c>
      <c r="L21" s="149" t="s">
        <v>736</v>
      </c>
      <c r="M21" s="17"/>
      <c r="N21" s="69">
        <v>42977</v>
      </c>
      <c r="O21" s="213" t="s">
        <v>64</v>
      </c>
    </row>
    <row r="22" spans="1:15" s="6" customFormat="1" hidden="1" outlineLevel="1" x14ac:dyDescent="0.35">
      <c r="A22" s="510"/>
      <c r="B22" s="218" t="s">
        <v>743</v>
      </c>
      <c r="C22" s="463" t="e">
        <f t="shared" si="0"/>
        <v>#N/A</v>
      </c>
      <c r="D22" s="761">
        <f>D19*AndelArbeidsreiser+D20*AndelFritidsreiser+D21*AndelForretningsreiser</f>
        <v>2.2828825772200774</v>
      </c>
      <c r="E22" s="104"/>
      <c r="F22" s="17"/>
      <c r="G22" s="18"/>
      <c r="H22" s="232"/>
      <c r="I22" s="59"/>
      <c r="J22" s="273"/>
      <c r="K22" s="989" t="str">
        <f>""</f>
        <v/>
      </c>
      <c r="L22" s="18"/>
      <c r="M22" s="18"/>
      <c r="N22" s="69">
        <v>42977</v>
      </c>
      <c r="O22" s="213" t="s">
        <v>64</v>
      </c>
    </row>
    <row r="23" spans="1:15" ht="18.5" collapsed="1" x14ac:dyDescent="0.45">
      <c r="B23" s="240" t="s">
        <v>744</v>
      </c>
      <c r="C23" s="974"/>
      <c r="D23" s="974"/>
      <c r="E23" s="956"/>
      <c r="F23" s="956"/>
      <c r="G23" s="11"/>
      <c r="H23" s="249"/>
      <c r="J23" s="274"/>
      <c r="K23" s="990"/>
      <c r="L23" s="14"/>
      <c r="M23" s="14"/>
      <c r="N23" s="14"/>
      <c r="O23" s="248"/>
    </row>
    <row r="24" spans="1:15" x14ac:dyDescent="0.35">
      <c r="B24" s="260" t="s">
        <v>745</v>
      </c>
      <c r="C24" s="951"/>
      <c r="D24" s="1121"/>
      <c r="E24" s="8"/>
      <c r="F24" s="8"/>
      <c r="G24" s="8"/>
      <c r="H24" s="259"/>
      <c r="J24" s="264"/>
      <c r="K24" s="8"/>
      <c r="L24" s="8"/>
      <c r="M24" s="8"/>
      <c r="N24" s="8"/>
      <c r="O24" s="259"/>
    </row>
    <row r="25" spans="1:15" hidden="1" outlineLevel="1" x14ac:dyDescent="0.35">
      <c r="B25" s="212" t="s">
        <v>746</v>
      </c>
      <c r="C25" s="631" t="e">
        <f t="shared" ref="C25:C58" si="1">IF(KroneårIBeregninger&lt;=SistePrognoseÅr,D25*LønnskostnadJustering,D25*Realprisjustering_tilsisteprognoseår*Realprisjustering_ettersisteprognoseår)</f>
        <v>#N/A</v>
      </c>
      <c r="D25" s="763">
        <f>E25*F25</f>
        <v>145.41176470588238</v>
      </c>
      <c r="E25" s="565">
        <v>108</v>
      </c>
      <c r="F25" s="752">
        <f t="shared" ref="F25:F58" si="2">1/LOOKUP($H25,StatistikkOgPrognoseÅr,Lønnskostnadsindeks)</f>
        <v>1.34640522875817</v>
      </c>
      <c r="G25" s="975" t="s">
        <v>747</v>
      </c>
      <c r="H25" s="221">
        <v>2018</v>
      </c>
      <c r="J25" s="275" t="s">
        <v>748</v>
      </c>
      <c r="K25" s="624" t="s">
        <v>749</v>
      </c>
      <c r="L25" s="148" t="s">
        <v>750</v>
      </c>
      <c r="M25" s="989"/>
      <c r="N25" s="101">
        <v>44012</v>
      </c>
      <c r="O25" s="221" t="s">
        <v>102</v>
      </c>
    </row>
    <row r="26" spans="1:15" hidden="1" outlineLevel="1" x14ac:dyDescent="0.35">
      <c r="B26" s="212" t="s">
        <v>751</v>
      </c>
      <c r="C26" s="631" t="e">
        <f t="shared" si="1"/>
        <v>#N/A</v>
      </c>
      <c r="D26" s="763">
        <f t="shared" ref="D26:D58" si="3">E26*F26</f>
        <v>114.44444444444446</v>
      </c>
      <c r="E26" s="565">
        <v>85</v>
      </c>
      <c r="F26" s="752">
        <f t="shared" si="2"/>
        <v>1.34640522875817</v>
      </c>
      <c r="G26" s="975" t="s">
        <v>747</v>
      </c>
      <c r="H26" s="221">
        <v>2018</v>
      </c>
      <c r="J26" s="275" t="s">
        <v>748</v>
      </c>
      <c r="K26" s="624" t="s">
        <v>749</v>
      </c>
      <c r="L26" s="148" t="s">
        <v>750</v>
      </c>
      <c r="M26" s="989"/>
      <c r="N26" s="101">
        <v>44012</v>
      </c>
      <c r="O26" s="221" t="s">
        <v>102</v>
      </c>
    </row>
    <row r="27" spans="1:15" hidden="1" outlineLevel="1" x14ac:dyDescent="0.35">
      <c r="B27" s="212" t="s">
        <v>752</v>
      </c>
      <c r="C27" s="631" t="e">
        <f t="shared" si="1"/>
        <v>#N/A</v>
      </c>
      <c r="D27" s="763">
        <f t="shared" si="3"/>
        <v>125.21568627450981</v>
      </c>
      <c r="E27" s="566">
        <v>93</v>
      </c>
      <c r="F27" s="752">
        <f t="shared" si="2"/>
        <v>1.34640522875817</v>
      </c>
      <c r="G27" s="975" t="s">
        <v>747</v>
      </c>
      <c r="H27" s="221">
        <v>2018</v>
      </c>
      <c r="J27" s="275" t="s">
        <v>748</v>
      </c>
      <c r="K27" s="624" t="s">
        <v>749</v>
      </c>
      <c r="L27" s="148" t="s">
        <v>750</v>
      </c>
      <c r="M27" s="989"/>
      <c r="N27" s="101">
        <v>44012</v>
      </c>
      <c r="O27" s="221" t="s">
        <v>102</v>
      </c>
    </row>
    <row r="28" spans="1:15" hidden="1" outlineLevel="1" x14ac:dyDescent="0.35">
      <c r="B28" s="212" t="s">
        <v>753</v>
      </c>
      <c r="C28" s="631" t="e">
        <f t="shared" si="1"/>
        <v>#N/A</v>
      </c>
      <c r="D28" s="763">
        <f t="shared" si="3"/>
        <v>74.052287581699346</v>
      </c>
      <c r="E28" s="566">
        <v>55</v>
      </c>
      <c r="F28" s="752">
        <f t="shared" si="2"/>
        <v>1.34640522875817</v>
      </c>
      <c r="G28" s="975" t="s">
        <v>747</v>
      </c>
      <c r="H28" s="221">
        <v>2018</v>
      </c>
      <c r="J28" s="275" t="s">
        <v>748</v>
      </c>
      <c r="K28" s="624" t="s">
        <v>749</v>
      </c>
      <c r="L28" s="148" t="s">
        <v>750</v>
      </c>
      <c r="M28" s="989"/>
      <c r="N28" s="101">
        <v>44012</v>
      </c>
      <c r="O28" s="221" t="s">
        <v>102</v>
      </c>
    </row>
    <row r="29" spans="1:15" hidden="1" outlineLevel="1" x14ac:dyDescent="0.35">
      <c r="B29" s="212" t="s">
        <v>754</v>
      </c>
      <c r="C29" s="631" t="e">
        <f t="shared" si="1"/>
        <v>#N/A</v>
      </c>
      <c r="D29" s="763">
        <f t="shared" si="3"/>
        <v>106.36601307189544</v>
      </c>
      <c r="E29" s="566">
        <v>79</v>
      </c>
      <c r="F29" s="752">
        <f t="shared" si="2"/>
        <v>1.34640522875817</v>
      </c>
      <c r="G29" s="975" t="s">
        <v>747</v>
      </c>
      <c r="H29" s="221">
        <v>2018</v>
      </c>
      <c r="J29" s="275" t="s">
        <v>748</v>
      </c>
      <c r="K29" s="624" t="s">
        <v>749</v>
      </c>
      <c r="L29" s="148" t="s">
        <v>750</v>
      </c>
      <c r="M29" s="989"/>
      <c r="N29" s="101">
        <v>44012</v>
      </c>
      <c r="O29" s="221" t="s">
        <v>102</v>
      </c>
    </row>
    <row r="30" spans="1:15" s="59" customFormat="1" hidden="1" outlineLevel="1" x14ac:dyDescent="0.35">
      <c r="A30" s="510"/>
      <c r="B30" s="218" t="s">
        <v>755</v>
      </c>
      <c r="C30" s="631" t="e">
        <f t="shared" si="1"/>
        <v>#N/A</v>
      </c>
      <c r="D30" s="763">
        <f t="shared" si="3"/>
        <v>155.37516339869282</v>
      </c>
      <c r="E30" s="566">
        <v>115.4</v>
      </c>
      <c r="F30" s="752">
        <f t="shared" si="2"/>
        <v>1.34640522875817</v>
      </c>
      <c r="G30" s="975" t="s">
        <v>747</v>
      </c>
      <c r="H30" s="221">
        <v>2018</v>
      </c>
      <c r="J30" s="275" t="s">
        <v>748</v>
      </c>
      <c r="K30" s="624" t="s">
        <v>749</v>
      </c>
      <c r="L30" s="148" t="s">
        <v>750</v>
      </c>
      <c r="M30" s="989"/>
      <c r="N30" s="101">
        <v>44012</v>
      </c>
      <c r="O30" s="221" t="s">
        <v>102</v>
      </c>
    </row>
    <row r="31" spans="1:15" s="59" customFormat="1" hidden="1" outlineLevel="1" x14ac:dyDescent="0.35">
      <c r="A31" s="510"/>
      <c r="B31" s="218" t="s">
        <v>756</v>
      </c>
      <c r="C31" s="631" t="e">
        <f t="shared" si="1"/>
        <v>#N/A</v>
      </c>
      <c r="D31" s="763">
        <f t="shared" si="3"/>
        <v>347.37254901960785</v>
      </c>
      <c r="E31" s="566">
        <v>258</v>
      </c>
      <c r="F31" s="752">
        <f t="shared" si="2"/>
        <v>1.34640522875817</v>
      </c>
      <c r="G31" s="975" t="s">
        <v>747</v>
      </c>
      <c r="H31" s="221">
        <v>2018</v>
      </c>
      <c r="J31" s="275" t="s">
        <v>748</v>
      </c>
      <c r="K31" s="624" t="s">
        <v>749</v>
      </c>
      <c r="L31" s="148" t="s">
        <v>750</v>
      </c>
      <c r="M31" s="989"/>
      <c r="N31" s="101">
        <v>44012</v>
      </c>
      <c r="O31" s="221" t="s">
        <v>102</v>
      </c>
    </row>
    <row r="32" spans="1:15" s="59" customFormat="1" hidden="1" outlineLevel="1" x14ac:dyDescent="0.35">
      <c r="A32" s="510"/>
      <c r="B32" s="218" t="s">
        <v>757</v>
      </c>
      <c r="C32" s="631" t="e">
        <f t="shared" si="1"/>
        <v>#N/A</v>
      </c>
      <c r="D32" s="763">
        <f t="shared" si="3"/>
        <v>141.37254901960785</v>
      </c>
      <c r="E32" s="566">
        <v>105</v>
      </c>
      <c r="F32" s="752">
        <f t="shared" si="2"/>
        <v>1.34640522875817</v>
      </c>
      <c r="G32" s="975" t="s">
        <v>747</v>
      </c>
      <c r="H32" s="221">
        <v>2018</v>
      </c>
      <c r="J32" s="275" t="s">
        <v>748</v>
      </c>
      <c r="K32" s="624" t="s">
        <v>749</v>
      </c>
      <c r="L32" s="148" t="s">
        <v>750</v>
      </c>
      <c r="M32" s="989"/>
      <c r="N32" s="101">
        <v>44012</v>
      </c>
      <c r="O32" s="221" t="s">
        <v>102</v>
      </c>
    </row>
    <row r="33" spans="1:15" s="59" customFormat="1" hidden="1" outlineLevel="1" x14ac:dyDescent="0.35">
      <c r="A33" s="510"/>
      <c r="B33" s="218" t="s">
        <v>758</v>
      </c>
      <c r="C33" s="631" t="e">
        <f t="shared" si="1"/>
        <v>#N/A</v>
      </c>
      <c r="D33" s="763">
        <f t="shared" si="3"/>
        <v>106.36601307189544</v>
      </c>
      <c r="E33" s="566">
        <v>79</v>
      </c>
      <c r="F33" s="752">
        <f t="shared" si="2"/>
        <v>1.34640522875817</v>
      </c>
      <c r="G33" s="975" t="s">
        <v>747</v>
      </c>
      <c r="H33" s="221">
        <v>2018</v>
      </c>
      <c r="J33" s="275" t="s">
        <v>748</v>
      </c>
      <c r="K33" s="624" t="s">
        <v>749</v>
      </c>
      <c r="L33" s="148" t="s">
        <v>750</v>
      </c>
      <c r="M33" s="989"/>
      <c r="N33" s="101">
        <v>44012</v>
      </c>
      <c r="O33" s="221" t="s">
        <v>102</v>
      </c>
    </row>
    <row r="34" spans="1:15" s="59" customFormat="1" hidden="1" outlineLevel="1" x14ac:dyDescent="0.35">
      <c r="A34" s="510"/>
      <c r="B34" s="218" t="s">
        <v>759</v>
      </c>
      <c r="C34" s="631" t="e">
        <f t="shared" si="1"/>
        <v>#N/A</v>
      </c>
      <c r="D34" s="763">
        <f t="shared" si="3"/>
        <v>126.56209150326798</v>
      </c>
      <c r="E34" s="566">
        <v>94</v>
      </c>
      <c r="F34" s="752">
        <f t="shared" si="2"/>
        <v>1.34640522875817</v>
      </c>
      <c r="G34" s="975" t="s">
        <v>747</v>
      </c>
      <c r="H34" s="221">
        <v>2018</v>
      </c>
      <c r="J34" s="275" t="s">
        <v>748</v>
      </c>
      <c r="K34" s="624" t="s">
        <v>749</v>
      </c>
      <c r="L34" s="148" t="s">
        <v>750</v>
      </c>
      <c r="M34" s="989"/>
      <c r="N34" s="101">
        <v>44012</v>
      </c>
      <c r="O34" s="221" t="s">
        <v>102</v>
      </c>
    </row>
    <row r="35" spans="1:15" s="59" customFormat="1" hidden="1" outlineLevel="1" x14ac:dyDescent="0.35">
      <c r="A35" s="510"/>
      <c r="B35" s="218" t="s">
        <v>760</v>
      </c>
      <c r="C35" s="631" t="e">
        <f t="shared" si="1"/>
        <v>#N/A</v>
      </c>
      <c r="D35" s="763">
        <f t="shared" si="3"/>
        <v>109.05882352941177</v>
      </c>
      <c r="E35" s="566">
        <v>81</v>
      </c>
      <c r="F35" s="752">
        <f t="shared" si="2"/>
        <v>1.34640522875817</v>
      </c>
      <c r="G35" s="975" t="s">
        <v>747</v>
      </c>
      <c r="H35" s="221">
        <v>2018</v>
      </c>
      <c r="J35" s="275" t="s">
        <v>748</v>
      </c>
      <c r="K35" s="624" t="s">
        <v>749</v>
      </c>
      <c r="L35" s="148" t="s">
        <v>750</v>
      </c>
      <c r="M35" s="989"/>
      <c r="N35" s="101">
        <v>44012</v>
      </c>
      <c r="O35" s="221" t="s">
        <v>102</v>
      </c>
    </row>
    <row r="36" spans="1:15" s="59" customFormat="1" hidden="1" outlineLevel="1" x14ac:dyDescent="0.35">
      <c r="A36" s="510"/>
      <c r="B36" s="218" t="s">
        <v>761</v>
      </c>
      <c r="C36" s="631" t="e">
        <f t="shared" si="1"/>
        <v>#N/A</v>
      </c>
      <c r="D36" s="763">
        <f t="shared" si="3"/>
        <v>103.67320261437909</v>
      </c>
      <c r="E36" s="566">
        <v>77</v>
      </c>
      <c r="F36" s="752">
        <f t="shared" si="2"/>
        <v>1.34640522875817</v>
      </c>
      <c r="G36" s="975" t="s">
        <v>747</v>
      </c>
      <c r="H36" s="221">
        <v>2018</v>
      </c>
      <c r="J36" s="275" t="s">
        <v>748</v>
      </c>
      <c r="K36" s="624" t="s">
        <v>749</v>
      </c>
      <c r="L36" s="148" t="s">
        <v>750</v>
      </c>
      <c r="M36" s="989"/>
      <c r="N36" s="101">
        <v>44012</v>
      </c>
      <c r="O36" s="221" t="s">
        <v>102</v>
      </c>
    </row>
    <row r="37" spans="1:15" s="59" customFormat="1" hidden="1" outlineLevel="1" x14ac:dyDescent="0.35">
      <c r="A37" s="510"/>
      <c r="B37" s="218" t="s">
        <v>762</v>
      </c>
      <c r="C37" s="631" t="e">
        <f t="shared" si="1"/>
        <v>#N/A</v>
      </c>
      <c r="D37" s="763">
        <f t="shared" si="3"/>
        <v>95.594771241830074</v>
      </c>
      <c r="E37" s="566">
        <v>71</v>
      </c>
      <c r="F37" s="752">
        <f t="shared" si="2"/>
        <v>1.34640522875817</v>
      </c>
      <c r="G37" s="975" t="s">
        <v>747</v>
      </c>
      <c r="H37" s="221">
        <v>2018</v>
      </c>
      <c r="J37" s="275" t="s">
        <v>748</v>
      </c>
      <c r="K37" s="624" t="s">
        <v>749</v>
      </c>
      <c r="L37" s="148" t="s">
        <v>750</v>
      </c>
      <c r="M37" s="989"/>
      <c r="N37" s="101">
        <v>44012</v>
      </c>
      <c r="O37" s="221" t="s">
        <v>102</v>
      </c>
    </row>
    <row r="38" spans="1:15" s="59" customFormat="1" hidden="1" outlineLevel="1" x14ac:dyDescent="0.35">
      <c r="A38" s="510"/>
      <c r="B38" s="218" t="s">
        <v>763</v>
      </c>
      <c r="C38" s="631" t="e">
        <f t="shared" si="1"/>
        <v>#N/A</v>
      </c>
      <c r="D38" s="763">
        <f t="shared" si="3"/>
        <v>75.398692810457518</v>
      </c>
      <c r="E38" s="566">
        <v>56</v>
      </c>
      <c r="F38" s="752">
        <f t="shared" si="2"/>
        <v>1.34640522875817</v>
      </c>
      <c r="G38" s="975" t="s">
        <v>747</v>
      </c>
      <c r="H38" s="221">
        <v>2018</v>
      </c>
      <c r="J38" s="275" t="s">
        <v>748</v>
      </c>
      <c r="K38" s="624" t="s">
        <v>749</v>
      </c>
      <c r="L38" s="148" t="s">
        <v>750</v>
      </c>
      <c r="M38" s="989"/>
      <c r="N38" s="101">
        <v>44012</v>
      </c>
      <c r="O38" s="221" t="s">
        <v>102</v>
      </c>
    </row>
    <row r="39" spans="1:15" s="59" customFormat="1" hidden="1" outlineLevel="1" x14ac:dyDescent="0.35">
      <c r="A39" s="510"/>
      <c r="B39" s="218" t="s">
        <v>764</v>
      </c>
      <c r="C39" s="631" t="e">
        <f t="shared" si="1"/>
        <v>#N/A</v>
      </c>
      <c r="D39" s="763">
        <f t="shared" si="3"/>
        <v>85.766013071895429</v>
      </c>
      <c r="E39" s="566">
        <v>63.7</v>
      </c>
      <c r="F39" s="752">
        <f t="shared" si="2"/>
        <v>1.34640522875817</v>
      </c>
      <c r="G39" s="975" t="s">
        <v>747</v>
      </c>
      <c r="H39" s="221">
        <v>2018</v>
      </c>
      <c r="J39" s="275" t="s">
        <v>748</v>
      </c>
      <c r="K39" s="624" t="s">
        <v>749</v>
      </c>
      <c r="L39" s="148" t="s">
        <v>750</v>
      </c>
      <c r="M39" s="989"/>
      <c r="N39" s="101">
        <v>44012</v>
      </c>
      <c r="O39" s="221" t="s">
        <v>102</v>
      </c>
    </row>
    <row r="40" spans="1:15" s="59" customFormat="1" hidden="1" outlineLevel="1" x14ac:dyDescent="0.35">
      <c r="A40" s="510"/>
      <c r="B40" s="218" t="s">
        <v>765</v>
      </c>
      <c r="C40" s="631" t="e">
        <f t="shared" si="1"/>
        <v>#N/A</v>
      </c>
      <c r="D40" s="763">
        <f t="shared" si="3"/>
        <v>211.38562091503269</v>
      </c>
      <c r="E40" s="566">
        <v>157</v>
      </c>
      <c r="F40" s="752">
        <f t="shared" si="2"/>
        <v>1.34640522875817</v>
      </c>
      <c r="G40" s="975" t="s">
        <v>747</v>
      </c>
      <c r="H40" s="221">
        <v>2018</v>
      </c>
      <c r="J40" s="275" t="s">
        <v>748</v>
      </c>
      <c r="K40" s="624" t="s">
        <v>749</v>
      </c>
      <c r="L40" s="148" t="s">
        <v>750</v>
      </c>
      <c r="M40" s="989"/>
      <c r="N40" s="101">
        <v>44012</v>
      </c>
      <c r="O40" s="221" t="s">
        <v>102</v>
      </c>
    </row>
    <row r="41" spans="1:15" s="59" customFormat="1" hidden="1" outlineLevel="1" x14ac:dyDescent="0.35">
      <c r="A41" s="510"/>
      <c r="B41" s="218" t="s">
        <v>766</v>
      </c>
      <c r="C41" s="631" t="e">
        <f t="shared" si="1"/>
        <v>#N/A</v>
      </c>
      <c r="D41" s="763">
        <f t="shared" si="3"/>
        <v>111.75163398692811</v>
      </c>
      <c r="E41" s="566">
        <v>83</v>
      </c>
      <c r="F41" s="752">
        <f t="shared" si="2"/>
        <v>1.34640522875817</v>
      </c>
      <c r="G41" s="975" t="s">
        <v>747</v>
      </c>
      <c r="H41" s="221">
        <v>2018</v>
      </c>
      <c r="J41" s="275" t="s">
        <v>748</v>
      </c>
      <c r="K41" s="624" t="s">
        <v>749</v>
      </c>
      <c r="L41" s="148" t="s">
        <v>750</v>
      </c>
      <c r="M41" s="989"/>
      <c r="N41" s="101">
        <v>44012</v>
      </c>
      <c r="O41" s="221" t="s">
        <v>102</v>
      </c>
    </row>
    <row r="42" spans="1:15" s="59" customFormat="1" hidden="1" outlineLevel="1" x14ac:dyDescent="0.35">
      <c r="A42" s="510"/>
      <c r="B42" s="218" t="s">
        <v>767</v>
      </c>
      <c r="C42" s="631" t="e">
        <f t="shared" si="1"/>
        <v>#N/A</v>
      </c>
      <c r="D42" s="763">
        <f t="shared" si="3"/>
        <v>95.594771241830074</v>
      </c>
      <c r="E42" s="566">
        <v>71</v>
      </c>
      <c r="F42" s="752">
        <f t="shared" si="2"/>
        <v>1.34640522875817</v>
      </c>
      <c r="G42" s="975" t="s">
        <v>747</v>
      </c>
      <c r="H42" s="221">
        <v>2018</v>
      </c>
      <c r="J42" s="275" t="s">
        <v>748</v>
      </c>
      <c r="K42" s="624" t="s">
        <v>749</v>
      </c>
      <c r="L42" s="148" t="s">
        <v>750</v>
      </c>
      <c r="M42" s="989"/>
      <c r="N42" s="101">
        <v>44012</v>
      </c>
      <c r="O42" s="221" t="s">
        <v>102</v>
      </c>
    </row>
    <row r="43" spans="1:15" s="59" customFormat="1" hidden="1" outlineLevel="1" x14ac:dyDescent="0.35">
      <c r="A43" s="510"/>
      <c r="B43" s="218" t="s">
        <v>768</v>
      </c>
      <c r="C43" s="631" t="e">
        <f t="shared" si="1"/>
        <v>#N/A</v>
      </c>
      <c r="D43" s="763">
        <f t="shared" si="3"/>
        <v>607.22875816993474</v>
      </c>
      <c r="E43" s="566">
        <v>451</v>
      </c>
      <c r="F43" s="752">
        <f t="shared" si="2"/>
        <v>1.34640522875817</v>
      </c>
      <c r="G43" s="975" t="s">
        <v>747</v>
      </c>
      <c r="H43" s="221">
        <v>2018</v>
      </c>
      <c r="J43" s="275" t="s">
        <v>748</v>
      </c>
      <c r="K43" s="624" t="s">
        <v>749</v>
      </c>
      <c r="L43" s="148" t="s">
        <v>750</v>
      </c>
      <c r="M43" s="989"/>
      <c r="N43" s="101">
        <v>44012</v>
      </c>
      <c r="O43" s="221" t="s">
        <v>102</v>
      </c>
    </row>
    <row r="44" spans="1:15" s="59" customFormat="1" hidden="1" outlineLevel="1" x14ac:dyDescent="0.35">
      <c r="A44" s="510"/>
      <c r="B44" s="218" t="s">
        <v>769</v>
      </c>
      <c r="C44" s="631" t="e">
        <f t="shared" si="1"/>
        <v>#N/A</v>
      </c>
      <c r="D44" s="763">
        <f t="shared" si="3"/>
        <v>587.03267973856214</v>
      </c>
      <c r="E44" s="566">
        <v>436</v>
      </c>
      <c r="F44" s="752">
        <f t="shared" si="2"/>
        <v>1.34640522875817</v>
      </c>
      <c r="G44" s="975" t="s">
        <v>747</v>
      </c>
      <c r="H44" s="221">
        <v>2018</v>
      </c>
      <c r="J44" s="275" t="s">
        <v>748</v>
      </c>
      <c r="K44" s="624" t="s">
        <v>749</v>
      </c>
      <c r="L44" s="148" t="s">
        <v>750</v>
      </c>
      <c r="M44" s="989"/>
      <c r="N44" s="101">
        <v>44012</v>
      </c>
      <c r="O44" s="221" t="s">
        <v>102</v>
      </c>
    </row>
    <row r="45" spans="1:15" s="59" customFormat="1" hidden="1" outlineLevel="1" x14ac:dyDescent="0.35">
      <c r="A45" s="510"/>
      <c r="B45" s="218" t="s">
        <v>770</v>
      </c>
      <c r="C45" s="631" t="e">
        <f t="shared" si="1"/>
        <v>#N/A</v>
      </c>
      <c r="D45" s="763">
        <f t="shared" si="3"/>
        <v>689.35947712418306</v>
      </c>
      <c r="E45" s="566">
        <v>512</v>
      </c>
      <c r="F45" s="752">
        <f t="shared" si="2"/>
        <v>1.34640522875817</v>
      </c>
      <c r="G45" s="975" t="s">
        <v>747</v>
      </c>
      <c r="H45" s="221">
        <v>2018</v>
      </c>
      <c r="J45" s="275" t="s">
        <v>748</v>
      </c>
      <c r="K45" s="624" t="s">
        <v>749</v>
      </c>
      <c r="L45" s="148" t="s">
        <v>750</v>
      </c>
      <c r="M45" s="989"/>
      <c r="N45" s="101">
        <v>44012</v>
      </c>
      <c r="O45" s="221" t="s">
        <v>102</v>
      </c>
    </row>
    <row r="46" spans="1:15" s="59" customFormat="1" hidden="1" outlineLevel="1" x14ac:dyDescent="0.35">
      <c r="A46" s="510"/>
      <c r="B46" s="218" t="s">
        <v>771</v>
      </c>
      <c r="C46" s="631" t="e">
        <f t="shared" si="1"/>
        <v>#N/A</v>
      </c>
      <c r="D46" s="763">
        <f t="shared" si="3"/>
        <v>531.8300653594772</v>
      </c>
      <c r="E46" s="566">
        <v>395</v>
      </c>
      <c r="F46" s="752">
        <f t="shared" si="2"/>
        <v>1.34640522875817</v>
      </c>
      <c r="G46" s="975" t="s">
        <v>747</v>
      </c>
      <c r="H46" s="221">
        <v>2018</v>
      </c>
      <c r="J46" s="275" t="s">
        <v>748</v>
      </c>
      <c r="K46" s="624" t="s">
        <v>749</v>
      </c>
      <c r="L46" s="148" t="s">
        <v>750</v>
      </c>
      <c r="M46" s="989"/>
      <c r="N46" s="101">
        <v>44012</v>
      </c>
      <c r="O46" s="221" t="s">
        <v>102</v>
      </c>
    </row>
    <row r="47" spans="1:15" s="59" customFormat="1" hidden="1" outlineLevel="1" x14ac:dyDescent="0.35">
      <c r="A47" s="510"/>
      <c r="B47" s="218" t="s">
        <v>772</v>
      </c>
      <c r="C47" s="631" t="e">
        <f t="shared" si="1"/>
        <v>#N/A</v>
      </c>
      <c r="D47" s="763">
        <f t="shared" si="3"/>
        <v>605.88235294117646</v>
      </c>
      <c r="E47" s="566">
        <v>450</v>
      </c>
      <c r="F47" s="752">
        <f t="shared" si="2"/>
        <v>1.34640522875817</v>
      </c>
      <c r="G47" s="975" t="s">
        <v>747</v>
      </c>
      <c r="H47" s="221">
        <v>2018</v>
      </c>
      <c r="J47" s="275" t="s">
        <v>748</v>
      </c>
      <c r="K47" s="624" t="s">
        <v>749</v>
      </c>
      <c r="L47" s="148" t="s">
        <v>750</v>
      </c>
      <c r="M47" s="989"/>
      <c r="N47" s="101">
        <v>44012</v>
      </c>
      <c r="O47" s="221" t="s">
        <v>102</v>
      </c>
    </row>
    <row r="48" spans="1:15" s="59" customFormat="1" hidden="1" outlineLevel="1" x14ac:dyDescent="0.35">
      <c r="A48" s="510"/>
      <c r="B48" s="218" t="s">
        <v>773</v>
      </c>
      <c r="C48" s="631" t="e">
        <f t="shared" si="1"/>
        <v>#N/A</v>
      </c>
      <c r="D48" s="763">
        <f t="shared" si="3"/>
        <v>589.72549019607845</v>
      </c>
      <c r="E48" s="566">
        <v>438</v>
      </c>
      <c r="F48" s="752">
        <f t="shared" si="2"/>
        <v>1.34640522875817</v>
      </c>
      <c r="G48" s="975" t="s">
        <v>747</v>
      </c>
      <c r="H48" s="221">
        <v>2018</v>
      </c>
      <c r="J48" s="275" t="s">
        <v>748</v>
      </c>
      <c r="K48" s="624" t="s">
        <v>749</v>
      </c>
      <c r="L48" s="148" t="s">
        <v>750</v>
      </c>
      <c r="M48" s="989"/>
      <c r="N48" s="101">
        <v>44012</v>
      </c>
      <c r="O48" s="221" t="s">
        <v>102</v>
      </c>
    </row>
    <row r="49" spans="1:15" s="59" customFormat="1" hidden="1" outlineLevel="1" x14ac:dyDescent="0.35">
      <c r="A49" s="510"/>
      <c r="B49" s="218" t="s">
        <v>774</v>
      </c>
      <c r="C49" s="631" t="e">
        <f t="shared" si="1"/>
        <v>#N/A</v>
      </c>
      <c r="D49" s="763">
        <f t="shared" si="3"/>
        <v>643.58169934640523</v>
      </c>
      <c r="E49" s="566">
        <v>478</v>
      </c>
      <c r="F49" s="752">
        <f t="shared" si="2"/>
        <v>1.34640522875817</v>
      </c>
      <c r="G49" s="975" t="s">
        <v>747</v>
      </c>
      <c r="H49" s="221">
        <v>2018</v>
      </c>
      <c r="J49" s="275" t="s">
        <v>748</v>
      </c>
      <c r="K49" s="624" t="s">
        <v>749</v>
      </c>
      <c r="L49" s="148" t="s">
        <v>750</v>
      </c>
      <c r="M49" s="989"/>
      <c r="N49" s="101">
        <v>44012</v>
      </c>
      <c r="O49" s="221" t="s">
        <v>102</v>
      </c>
    </row>
    <row r="50" spans="1:15" s="59" customFormat="1" hidden="1" outlineLevel="1" x14ac:dyDescent="0.35">
      <c r="A50" s="510"/>
      <c r="B50" s="218" t="s">
        <v>775</v>
      </c>
      <c r="C50" s="631" t="e">
        <f t="shared" si="1"/>
        <v>#N/A</v>
      </c>
      <c r="D50" s="763">
        <f t="shared" si="3"/>
        <v>146.75816993464053</v>
      </c>
      <c r="E50" s="566">
        <v>109</v>
      </c>
      <c r="F50" s="752">
        <f t="shared" si="2"/>
        <v>1.34640522875817</v>
      </c>
      <c r="G50" s="975" t="s">
        <v>747</v>
      </c>
      <c r="H50" s="221">
        <v>2018</v>
      </c>
      <c r="J50" s="275" t="s">
        <v>748</v>
      </c>
      <c r="K50" s="624" t="s">
        <v>749</v>
      </c>
      <c r="L50" s="148" t="s">
        <v>750</v>
      </c>
      <c r="M50" s="989"/>
      <c r="N50" s="101">
        <v>44012</v>
      </c>
      <c r="O50" s="221" t="s">
        <v>102</v>
      </c>
    </row>
    <row r="51" spans="1:15" s="59" customFormat="1" hidden="1" outlineLevel="1" x14ac:dyDescent="0.35">
      <c r="A51" s="510"/>
      <c r="B51" s="218" t="s">
        <v>776</v>
      </c>
      <c r="C51" s="631" t="e">
        <f t="shared" si="1"/>
        <v>#N/A</v>
      </c>
      <c r="D51" s="763">
        <f t="shared" si="3"/>
        <v>119.83006535947713</v>
      </c>
      <c r="E51" s="566">
        <v>89</v>
      </c>
      <c r="F51" s="752">
        <f t="shared" si="2"/>
        <v>1.34640522875817</v>
      </c>
      <c r="G51" s="975" t="s">
        <v>747</v>
      </c>
      <c r="H51" s="221">
        <v>2018</v>
      </c>
      <c r="J51" s="275" t="s">
        <v>748</v>
      </c>
      <c r="K51" s="624" t="s">
        <v>749</v>
      </c>
      <c r="L51" s="148" t="s">
        <v>750</v>
      </c>
      <c r="M51" s="989"/>
      <c r="N51" s="101">
        <v>44012</v>
      </c>
      <c r="O51" s="221" t="s">
        <v>102</v>
      </c>
    </row>
    <row r="52" spans="1:15" s="59" customFormat="1" hidden="1" outlineLevel="1" x14ac:dyDescent="0.35">
      <c r="A52" s="510"/>
      <c r="B52" s="218" t="s">
        <v>777</v>
      </c>
      <c r="C52" s="631" t="e">
        <f t="shared" si="1"/>
        <v>#N/A</v>
      </c>
      <c r="D52" s="763">
        <f t="shared" si="3"/>
        <v>224.84967320261438</v>
      </c>
      <c r="E52" s="566">
        <v>167</v>
      </c>
      <c r="F52" s="752">
        <f t="shared" si="2"/>
        <v>1.34640522875817</v>
      </c>
      <c r="G52" s="975" t="s">
        <v>747</v>
      </c>
      <c r="H52" s="221">
        <v>2018</v>
      </c>
      <c r="J52" s="275" t="s">
        <v>748</v>
      </c>
      <c r="K52" s="624" t="s">
        <v>749</v>
      </c>
      <c r="L52" s="148" t="s">
        <v>750</v>
      </c>
      <c r="M52" s="989"/>
      <c r="N52" s="101">
        <v>44012</v>
      </c>
      <c r="O52" s="221" t="s">
        <v>102</v>
      </c>
    </row>
    <row r="53" spans="1:15" s="59" customFormat="1" hidden="1" outlineLevel="1" x14ac:dyDescent="0.35">
      <c r="A53" s="510"/>
      <c r="B53" s="218" t="s">
        <v>778</v>
      </c>
      <c r="C53" s="631" t="e">
        <f t="shared" si="1"/>
        <v>#N/A</v>
      </c>
      <c r="D53" s="763">
        <f t="shared" si="3"/>
        <v>118.48366013071896</v>
      </c>
      <c r="E53" s="566">
        <v>88</v>
      </c>
      <c r="F53" s="752">
        <f t="shared" si="2"/>
        <v>1.34640522875817</v>
      </c>
      <c r="G53" s="975" t="s">
        <v>747</v>
      </c>
      <c r="H53" s="221">
        <v>2018</v>
      </c>
      <c r="J53" s="275" t="s">
        <v>748</v>
      </c>
      <c r="K53" s="624" t="s">
        <v>749</v>
      </c>
      <c r="L53" s="148" t="s">
        <v>750</v>
      </c>
      <c r="M53" s="989"/>
      <c r="N53" s="101">
        <v>44012</v>
      </c>
      <c r="O53" s="221" t="s">
        <v>102</v>
      </c>
    </row>
    <row r="54" spans="1:15" s="59" customFormat="1" hidden="1" outlineLevel="1" x14ac:dyDescent="0.35">
      <c r="A54" s="510"/>
      <c r="B54" s="218" t="s">
        <v>779</v>
      </c>
      <c r="C54" s="631" t="e">
        <f t="shared" si="1"/>
        <v>#N/A</v>
      </c>
      <c r="D54" s="763">
        <f t="shared" si="3"/>
        <v>100.98039215686275</v>
      </c>
      <c r="E54" s="566">
        <v>75</v>
      </c>
      <c r="F54" s="752">
        <f t="shared" si="2"/>
        <v>1.34640522875817</v>
      </c>
      <c r="G54" s="975" t="s">
        <v>747</v>
      </c>
      <c r="H54" s="221">
        <v>2018</v>
      </c>
      <c r="J54" s="275" t="s">
        <v>748</v>
      </c>
      <c r="K54" s="624" t="s">
        <v>749</v>
      </c>
      <c r="L54" s="148" t="s">
        <v>750</v>
      </c>
      <c r="M54" s="989"/>
      <c r="N54" s="101">
        <v>44012</v>
      </c>
      <c r="O54" s="221" t="s">
        <v>102</v>
      </c>
    </row>
    <row r="55" spans="1:15" s="59" customFormat="1" hidden="1" outlineLevel="1" x14ac:dyDescent="0.35">
      <c r="A55" s="510"/>
      <c r="B55" s="218" t="s">
        <v>780</v>
      </c>
      <c r="C55" s="631" t="e">
        <f t="shared" si="1"/>
        <v>#N/A</v>
      </c>
      <c r="D55" s="763">
        <f t="shared" ref="D55:D56" si="4">E55*F55</f>
        <v>151.60522875816994</v>
      </c>
      <c r="E55" s="566">
        <v>112.6</v>
      </c>
      <c r="F55" s="752">
        <f t="shared" si="2"/>
        <v>1.34640522875817</v>
      </c>
      <c r="G55" s="975" t="s">
        <v>747</v>
      </c>
      <c r="H55" s="221">
        <v>2018</v>
      </c>
      <c r="J55" s="275" t="s">
        <v>748</v>
      </c>
      <c r="K55" s="624" t="s">
        <v>749</v>
      </c>
      <c r="L55" s="148" t="s">
        <v>750</v>
      </c>
      <c r="M55" s="989"/>
      <c r="N55" s="101">
        <v>44012</v>
      </c>
      <c r="O55" s="221" t="s">
        <v>102</v>
      </c>
    </row>
    <row r="56" spans="1:15" s="59" customFormat="1" hidden="1" outlineLevel="1" x14ac:dyDescent="0.35">
      <c r="A56" s="510"/>
      <c r="B56" s="218" t="s">
        <v>781</v>
      </c>
      <c r="C56" s="631" t="e">
        <f t="shared" si="1"/>
        <v>#N/A</v>
      </c>
      <c r="D56" s="763">
        <f t="shared" si="4"/>
        <v>226.19607843137257</v>
      </c>
      <c r="E56" s="566">
        <v>168</v>
      </c>
      <c r="F56" s="752">
        <f t="shared" si="2"/>
        <v>1.34640522875817</v>
      </c>
      <c r="G56" s="975" t="s">
        <v>747</v>
      </c>
      <c r="H56" s="221">
        <v>2018</v>
      </c>
      <c r="J56" s="275" t="s">
        <v>748</v>
      </c>
      <c r="K56" s="624" t="s">
        <v>749</v>
      </c>
      <c r="L56" s="148" t="s">
        <v>750</v>
      </c>
      <c r="M56" s="989"/>
      <c r="N56" s="101">
        <v>44012</v>
      </c>
      <c r="O56" s="221" t="s">
        <v>102</v>
      </c>
    </row>
    <row r="57" spans="1:15" s="59" customFormat="1" hidden="1" outlineLevel="1" x14ac:dyDescent="0.35">
      <c r="A57" s="510"/>
      <c r="B57" s="218" t="s">
        <v>782</v>
      </c>
      <c r="C57" s="631" t="e">
        <f t="shared" si="1"/>
        <v>#N/A</v>
      </c>
      <c r="D57" s="763">
        <f t="shared" ref="D57" si="5">E57*F57</f>
        <v>145.74346376557293</v>
      </c>
      <c r="E57" s="566">
        <v>112</v>
      </c>
      <c r="F57" s="752">
        <f t="shared" si="2"/>
        <v>1.3012809264783296</v>
      </c>
      <c r="G57" s="975" t="s">
        <v>747</v>
      </c>
      <c r="H57" s="221">
        <v>2019</v>
      </c>
      <c r="J57" s="275" t="s">
        <v>748</v>
      </c>
      <c r="K57" s="624" t="s">
        <v>749</v>
      </c>
      <c r="L57" s="148" t="s">
        <v>750</v>
      </c>
      <c r="M57" s="989"/>
      <c r="N57" s="101">
        <v>44012</v>
      </c>
      <c r="O57" s="221" t="s">
        <v>102</v>
      </c>
    </row>
    <row r="58" spans="1:15" s="59" customFormat="1" hidden="1" outlineLevel="1" x14ac:dyDescent="0.35">
      <c r="A58" s="510"/>
      <c r="B58" s="218" t="s">
        <v>783</v>
      </c>
      <c r="C58" s="631" t="e">
        <f t="shared" si="1"/>
        <v>#N/A</v>
      </c>
      <c r="D58" s="763">
        <f t="shared" si="3"/>
        <v>115.79084967320263</v>
      </c>
      <c r="E58" s="566">
        <v>86</v>
      </c>
      <c r="F58" s="752">
        <f t="shared" si="2"/>
        <v>1.34640522875817</v>
      </c>
      <c r="G58" s="975" t="s">
        <v>747</v>
      </c>
      <c r="H58" s="221">
        <v>2018</v>
      </c>
      <c r="J58" s="275" t="s">
        <v>748</v>
      </c>
      <c r="K58" s="624" t="s">
        <v>749</v>
      </c>
      <c r="L58" s="148" t="s">
        <v>750</v>
      </c>
      <c r="M58" s="989"/>
      <c r="N58" s="101">
        <v>44012</v>
      </c>
      <c r="O58" s="221" t="s">
        <v>102</v>
      </c>
    </row>
    <row r="59" spans="1:15" collapsed="1" x14ac:dyDescent="0.35">
      <c r="B59" s="260" t="s">
        <v>784</v>
      </c>
      <c r="C59" s="951"/>
      <c r="D59" s="951"/>
      <c r="E59" s="31"/>
      <c r="F59" s="31"/>
      <c r="G59" s="31"/>
      <c r="H59" s="245"/>
      <c r="J59" s="264"/>
      <c r="K59" s="8"/>
      <c r="L59" s="31"/>
      <c r="M59" s="31"/>
      <c r="N59" s="31"/>
      <c r="O59" s="245"/>
    </row>
    <row r="60" spans="1:15" hidden="1" outlineLevel="1" x14ac:dyDescent="0.35">
      <c r="B60" s="212" t="s">
        <v>746</v>
      </c>
      <c r="C60" s="631" t="e">
        <f t="shared" ref="C60:C87" si="6">IF(KroneårIBeregninger&lt;=SistePrognoseÅr,D60*LønnskostnadJustering,D60*Realprisjustering_ettersisteprognoseår*Realprisjustering_tilsisteprognoseår)</f>
        <v>#N/A</v>
      </c>
      <c r="D60" s="764">
        <f t="shared" ref="D60" si="7">E60*F60</f>
        <v>246.39215686274511</v>
      </c>
      <c r="E60" s="567">
        <v>183</v>
      </c>
      <c r="F60" s="752">
        <f t="shared" ref="F60:F87" si="8">1/LOOKUP($H60,StatistikkOgPrognoseÅr,Lønnskostnadsindeks)</f>
        <v>1.34640522875817</v>
      </c>
      <c r="G60" s="975" t="s">
        <v>747</v>
      </c>
      <c r="H60" s="221">
        <v>2018</v>
      </c>
      <c r="J60" s="275" t="s">
        <v>748</v>
      </c>
      <c r="K60" s="624" t="s">
        <v>749</v>
      </c>
      <c r="L60" s="148" t="s">
        <v>750</v>
      </c>
      <c r="M60" s="989"/>
      <c r="N60" s="101">
        <v>44012</v>
      </c>
      <c r="O60" s="221" t="s">
        <v>102</v>
      </c>
    </row>
    <row r="61" spans="1:15" hidden="1" outlineLevel="1" x14ac:dyDescent="0.35">
      <c r="B61" s="212" t="s">
        <v>751</v>
      </c>
      <c r="C61" s="631" t="e">
        <f t="shared" si="6"/>
        <v>#N/A</v>
      </c>
      <c r="D61" s="764">
        <f t="shared" ref="D61:D86" si="9">E61*F61</f>
        <v>203.30718954248368</v>
      </c>
      <c r="E61" s="567">
        <v>151</v>
      </c>
      <c r="F61" s="752">
        <f t="shared" si="8"/>
        <v>1.34640522875817</v>
      </c>
      <c r="G61" s="975" t="s">
        <v>747</v>
      </c>
      <c r="H61" s="221">
        <v>2018</v>
      </c>
      <c r="J61" s="275" t="s">
        <v>748</v>
      </c>
      <c r="K61" s="624" t="s">
        <v>749</v>
      </c>
      <c r="L61" s="148" t="s">
        <v>750</v>
      </c>
      <c r="M61" s="989"/>
      <c r="N61" s="101">
        <v>44012</v>
      </c>
      <c r="O61" s="221" t="s">
        <v>102</v>
      </c>
    </row>
    <row r="62" spans="1:15" hidden="1" outlineLevel="1" x14ac:dyDescent="0.35">
      <c r="B62" s="212" t="s">
        <v>752</v>
      </c>
      <c r="C62" s="631" t="e">
        <f t="shared" si="6"/>
        <v>#N/A</v>
      </c>
      <c r="D62" s="764">
        <f t="shared" si="9"/>
        <v>312.36601307189545</v>
      </c>
      <c r="E62" s="566">
        <v>232</v>
      </c>
      <c r="F62" s="752">
        <f t="shared" si="8"/>
        <v>1.34640522875817</v>
      </c>
      <c r="G62" s="975" t="s">
        <v>747</v>
      </c>
      <c r="H62" s="221">
        <v>2018</v>
      </c>
      <c r="J62" s="275" t="s">
        <v>748</v>
      </c>
      <c r="K62" s="624" t="s">
        <v>749</v>
      </c>
      <c r="L62" s="148" t="s">
        <v>750</v>
      </c>
      <c r="M62" s="989"/>
      <c r="N62" s="101">
        <v>44012</v>
      </c>
      <c r="O62" s="221" t="s">
        <v>102</v>
      </c>
    </row>
    <row r="63" spans="1:15" hidden="1" outlineLevel="1" x14ac:dyDescent="0.35">
      <c r="B63" s="212" t="s">
        <v>753</v>
      </c>
      <c r="C63" s="631" t="e">
        <f t="shared" si="6"/>
        <v>#N/A</v>
      </c>
      <c r="D63" s="764">
        <f t="shared" si="9"/>
        <v>111.75163398692811</v>
      </c>
      <c r="E63" s="566">
        <v>83</v>
      </c>
      <c r="F63" s="752">
        <f t="shared" si="8"/>
        <v>1.34640522875817</v>
      </c>
      <c r="G63" s="975" t="s">
        <v>747</v>
      </c>
      <c r="H63" s="221">
        <v>2018</v>
      </c>
      <c r="J63" s="275" t="s">
        <v>748</v>
      </c>
      <c r="K63" s="624" t="s">
        <v>749</v>
      </c>
      <c r="L63" s="148" t="s">
        <v>750</v>
      </c>
      <c r="M63" s="989"/>
      <c r="N63" s="101">
        <v>44012</v>
      </c>
      <c r="O63" s="221" t="s">
        <v>102</v>
      </c>
    </row>
    <row r="64" spans="1:15" hidden="1" outlineLevel="1" x14ac:dyDescent="0.35">
      <c r="B64" s="212" t="s">
        <v>754</v>
      </c>
      <c r="C64" s="631" t="e">
        <f t="shared" si="6"/>
        <v>#N/A</v>
      </c>
      <c r="D64" s="764">
        <f t="shared" si="9"/>
        <v>228.88888888888891</v>
      </c>
      <c r="E64" s="566">
        <v>170</v>
      </c>
      <c r="F64" s="752">
        <f t="shared" si="8"/>
        <v>1.34640522875817</v>
      </c>
      <c r="G64" s="975" t="s">
        <v>747</v>
      </c>
      <c r="H64" s="221">
        <v>2018</v>
      </c>
      <c r="J64" s="275" t="s">
        <v>748</v>
      </c>
      <c r="K64" s="624" t="s">
        <v>749</v>
      </c>
      <c r="L64" s="148" t="s">
        <v>750</v>
      </c>
      <c r="M64" s="989"/>
      <c r="N64" s="101">
        <v>44012</v>
      </c>
      <c r="O64" s="221" t="s">
        <v>102</v>
      </c>
    </row>
    <row r="65" spans="2:15" hidden="1" outlineLevel="1" x14ac:dyDescent="0.35">
      <c r="B65" s="212" t="s">
        <v>785</v>
      </c>
      <c r="C65" s="631" t="e">
        <f t="shared" si="6"/>
        <v>#N/A</v>
      </c>
      <c r="D65" s="764">
        <f t="shared" si="9"/>
        <v>605.88235294117646</v>
      </c>
      <c r="E65" s="566">
        <v>450</v>
      </c>
      <c r="F65" s="752">
        <f t="shared" si="8"/>
        <v>1.34640522875817</v>
      </c>
      <c r="G65" s="975" t="s">
        <v>747</v>
      </c>
      <c r="H65" s="221">
        <v>2018</v>
      </c>
      <c r="J65" s="275" t="s">
        <v>748</v>
      </c>
      <c r="K65" s="624" t="s">
        <v>749</v>
      </c>
      <c r="L65" s="148" t="s">
        <v>750</v>
      </c>
      <c r="M65" s="989"/>
      <c r="N65" s="101">
        <v>44012</v>
      </c>
      <c r="O65" s="221" t="s">
        <v>102</v>
      </c>
    </row>
    <row r="66" spans="2:15" hidden="1" outlineLevel="1" x14ac:dyDescent="0.35">
      <c r="B66" s="218" t="s">
        <v>757</v>
      </c>
      <c r="C66" s="631" t="e">
        <f t="shared" si="6"/>
        <v>#N/A</v>
      </c>
      <c r="D66" s="764">
        <f t="shared" si="9"/>
        <v>227.54248366013073</v>
      </c>
      <c r="E66" s="566">
        <v>169</v>
      </c>
      <c r="F66" s="752">
        <f t="shared" si="8"/>
        <v>1.34640522875817</v>
      </c>
      <c r="G66" s="975" t="s">
        <v>747</v>
      </c>
      <c r="H66" s="221">
        <v>2018</v>
      </c>
      <c r="J66" s="275" t="s">
        <v>748</v>
      </c>
      <c r="K66" s="624" t="s">
        <v>749</v>
      </c>
      <c r="L66" s="148" t="s">
        <v>750</v>
      </c>
      <c r="M66" s="989"/>
      <c r="N66" s="101">
        <v>44012</v>
      </c>
      <c r="O66" s="221" t="s">
        <v>102</v>
      </c>
    </row>
    <row r="67" spans="2:15" hidden="1" outlineLevel="1" x14ac:dyDescent="0.35">
      <c r="B67" s="212" t="s">
        <v>759</v>
      </c>
      <c r="C67" s="631" t="e">
        <f t="shared" si="6"/>
        <v>#N/A</v>
      </c>
      <c r="D67" s="764">
        <f t="shared" si="9"/>
        <v>161.56862745098042</v>
      </c>
      <c r="E67" s="567">
        <v>120</v>
      </c>
      <c r="F67" s="752">
        <f t="shared" si="8"/>
        <v>1.34640522875817</v>
      </c>
      <c r="G67" s="975" t="s">
        <v>747</v>
      </c>
      <c r="H67" s="221">
        <v>2018</v>
      </c>
      <c r="J67" s="275" t="s">
        <v>748</v>
      </c>
      <c r="K67" s="624" t="s">
        <v>749</v>
      </c>
      <c r="L67" s="148" t="s">
        <v>750</v>
      </c>
      <c r="M67" s="989"/>
      <c r="N67" s="101">
        <v>44012</v>
      </c>
      <c r="O67" s="221" t="s">
        <v>102</v>
      </c>
    </row>
    <row r="68" spans="2:15" hidden="1" outlineLevel="1" x14ac:dyDescent="0.35">
      <c r="B68" s="212" t="s">
        <v>760</v>
      </c>
      <c r="C68" s="631" t="e">
        <f t="shared" si="6"/>
        <v>#N/A</v>
      </c>
      <c r="D68" s="764">
        <f t="shared" si="9"/>
        <v>141.37254901960785</v>
      </c>
      <c r="E68" s="567">
        <v>105</v>
      </c>
      <c r="F68" s="752">
        <f t="shared" si="8"/>
        <v>1.34640522875817</v>
      </c>
      <c r="G68" s="975" t="s">
        <v>747</v>
      </c>
      <c r="H68" s="221">
        <v>2018</v>
      </c>
      <c r="J68" s="275" t="s">
        <v>748</v>
      </c>
      <c r="K68" s="624" t="s">
        <v>749</v>
      </c>
      <c r="L68" s="148" t="s">
        <v>750</v>
      </c>
      <c r="M68" s="989"/>
      <c r="N68" s="101">
        <v>44012</v>
      </c>
      <c r="O68" s="221" t="s">
        <v>102</v>
      </c>
    </row>
    <row r="69" spans="2:15" hidden="1" outlineLevel="1" x14ac:dyDescent="0.35">
      <c r="B69" s="212" t="s">
        <v>761</v>
      </c>
      <c r="C69" s="631" t="e">
        <f t="shared" si="6"/>
        <v>#N/A</v>
      </c>
      <c r="D69" s="764">
        <f t="shared" si="9"/>
        <v>175.03267973856211</v>
      </c>
      <c r="E69" s="566">
        <v>130</v>
      </c>
      <c r="F69" s="752">
        <f t="shared" si="8"/>
        <v>1.34640522875817</v>
      </c>
      <c r="G69" s="975" t="s">
        <v>747</v>
      </c>
      <c r="H69" s="221">
        <v>2018</v>
      </c>
      <c r="J69" s="275" t="s">
        <v>748</v>
      </c>
      <c r="K69" s="624" t="s">
        <v>749</v>
      </c>
      <c r="L69" s="148" t="s">
        <v>750</v>
      </c>
      <c r="M69" s="989"/>
      <c r="N69" s="101">
        <v>44012</v>
      </c>
      <c r="O69" s="221" t="s">
        <v>102</v>
      </c>
    </row>
    <row r="70" spans="2:15" hidden="1" outlineLevel="1" x14ac:dyDescent="0.35">
      <c r="B70" s="212" t="s">
        <v>762</v>
      </c>
      <c r="C70" s="631" t="e">
        <f t="shared" si="6"/>
        <v>#N/A</v>
      </c>
      <c r="D70" s="764">
        <f t="shared" si="9"/>
        <v>180.4183006535948</v>
      </c>
      <c r="E70" s="566">
        <v>134</v>
      </c>
      <c r="F70" s="752">
        <f t="shared" si="8"/>
        <v>1.34640522875817</v>
      </c>
      <c r="G70" s="975" t="s">
        <v>747</v>
      </c>
      <c r="H70" s="221">
        <v>2018</v>
      </c>
      <c r="J70" s="275" t="s">
        <v>748</v>
      </c>
      <c r="K70" s="624" t="s">
        <v>749</v>
      </c>
      <c r="L70" s="148" t="s">
        <v>750</v>
      </c>
      <c r="M70" s="989"/>
      <c r="N70" s="101">
        <v>44012</v>
      </c>
      <c r="O70" s="221" t="s">
        <v>102</v>
      </c>
    </row>
    <row r="71" spans="2:15" hidden="1" outlineLevel="1" x14ac:dyDescent="0.35">
      <c r="B71" s="212" t="s">
        <v>763</v>
      </c>
      <c r="C71" s="631" t="e">
        <f t="shared" si="6"/>
        <v>#N/A</v>
      </c>
      <c r="D71" s="764">
        <f t="shared" si="9"/>
        <v>126.56209150326798</v>
      </c>
      <c r="E71" s="566">
        <v>94</v>
      </c>
      <c r="F71" s="752">
        <f t="shared" si="8"/>
        <v>1.34640522875817</v>
      </c>
      <c r="G71" s="975" t="s">
        <v>747</v>
      </c>
      <c r="H71" s="221">
        <v>2018</v>
      </c>
      <c r="J71" s="275" t="s">
        <v>748</v>
      </c>
      <c r="K71" s="624" t="s">
        <v>749</v>
      </c>
      <c r="L71" s="148" t="s">
        <v>750</v>
      </c>
      <c r="M71" s="989"/>
      <c r="N71" s="101">
        <v>44012</v>
      </c>
      <c r="O71" s="221" t="s">
        <v>102</v>
      </c>
    </row>
    <row r="72" spans="2:15" hidden="1" outlineLevel="1" x14ac:dyDescent="0.35">
      <c r="B72" s="212" t="s">
        <v>786</v>
      </c>
      <c r="C72" s="631" t="e">
        <f t="shared" si="6"/>
        <v>#N/A</v>
      </c>
      <c r="D72" s="764">
        <f t="shared" si="9"/>
        <v>359.49019607843138</v>
      </c>
      <c r="E72" s="566">
        <v>267</v>
      </c>
      <c r="F72" s="752">
        <f t="shared" si="8"/>
        <v>1.34640522875817</v>
      </c>
      <c r="G72" s="975" t="s">
        <v>747</v>
      </c>
      <c r="H72" s="221">
        <v>2018</v>
      </c>
      <c r="J72" s="275" t="s">
        <v>748</v>
      </c>
      <c r="K72" s="624" t="s">
        <v>749</v>
      </c>
      <c r="L72" s="148" t="s">
        <v>750</v>
      </c>
      <c r="M72" s="989"/>
      <c r="N72" s="101">
        <v>44012</v>
      </c>
      <c r="O72" s="221" t="s">
        <v>102</v>
      </c>
    </row>
    <row r="73" spans="2:15" hidden="1" outlineLevel="1" x14ac:dyDescent="0.35">
      <c r="B73" s="218" t="s">
        <v>766</v>
      </c>
      <c r="C73" s="631" t="e">
        <f t="shared" si="6"/>
        <v>#N/A</v>
      </c>
      <c r="D73" s="764">
        <f t="shared" si="9"/>
        <v>145.41176470588238</v>
      </c>
      <c r="E73" s="566">
        <v>108</v>
      </c>
      <c r="F73" s="752">
        <f t="shared" si="8"/>
        <v>1.34640522875817</v>
      </c>
      <c r="G73" s="975" t="s">
        <v>747</v>
      </c>
      <c r="H73" s="221">
        <v>2018</v>
      </c>
      <c r="J73" s="275" t="s">
        <v>748</v>
      </c>
      <c r="K73" s="624" t="s">
        <v>749</v>
      </c>
      <c r="L73" s="148" t="s">
        <v>750</v>
      </c>
      <c r="M73" s="989"/>
      <c r="N73" s="101">
        <v>44012</v>
      </c>
      <c r="O73" s="221" t="s">
        <v>102</v>
      </c>
    </row>
    <row r="74" spans="2:15" hidden="1" outlineLevel="1" x14ac:dyDescent="0.35">
      <c r="B74" s="212" t="s">
        <v>768</v>
      </c>
      <c r="C74" s="631" t="e">
        <f t="shared" si="6"/>
        <v>#N/A</v>
      </c>
      <c r="D74" s="764">
        <f t="shared" si="9"/>
        <v>526.44444444444446</v>
      </c>
      <c r="E74" s="567">
        <v>391</v>
      </c>
      <c r="F74" s="752">
        <f t="shared" si="8"/>
        <v>1.34640522875817</v>
      </c>
      <c r="G74" s="975" t="s">
        <v>747</v>
      </c>
      <c r="H74" s="221">
        <v>2018</v>
      </c>
      <c r="J74" s="275" t="s">
        <v>748</v>
      </c>
      <c r="K74" s="624" t="s">
        <v>749</v>
      </c>
      <c r="L74" s="148" t="s">
        <v>750</v>
      </c>
      <c r="M74" s="989"/>
      <c r="N74" s="101">
        <v>44012</v>
      </c>
      <c r="O74" s="221" t="s">
        <v>102</v>
      </c>
    </row>
    <row r="75" spans="2:15" hidden="1" outlineLevel="1" x14ac:dyDescent="0.35">
      <c r="B75" s="212" t="s">
        <v>769</v>
      </c>
      <c r="C75" s="631" t="e">
        <f t="shared" si="6"/>
        <v>#N/A</v>
      </c>
      <c r="D75" s="764">
        <f t="shared" si="9"/>
        <v>506.24836601307192</v>
      </c>
      <c r="E75" s="567">
        <v>376</v>
      </c>
      <c r="F75" s="752">
        <f t="shared" si="8"/>
        <v>1.34640522875817</v>
      </c>
      <c r="G75" s="975" t="s">
        <v>747</v>
      </c>
      <c r="H75" s="221">
        <v>2018</v>
      </c>
      <c r="J75" s="275" t="s">
        <v>748</v>
      </c>
      <c r="K75" s="624" t="s">
        <v>749</v>
      </c>
      <c r="L75" s="148" t="s">
        <v>750</v>
      </c>
      <c r="M75" s="989"/>
      <c r="N75" s="101">
        <v>44012</v>
      </c>
      <c r="O75" s="221" t="s">
        <v>102</v>
      </c>
    </row>
    <row r="76" spans="2:15" hidden="1" outlineLevel="1" x14ac:dyDescent="0.35">
      <c r="B76" s="212" t="s">
        <v>770</v>
      </c>
      <c r="C76" s="631" t="e">
        <f t="shared" si="6"/>
        <v>#N/A</v>
      </c>
      <c r="D76" s="764">
        <f t="shared" si="9"/>
        <v>705.51633986928107</v>
      </c>
      <c r="E76" s="567">
        <v>524</v>
      </c>
      <c r="F76" s="752">
        <f t="shared" si="8"/>
        <v>1.34640522875817</v>
      </c>
      <c r="G76" s="975" t="s">
        <v>747</v>
      </c>
      <c r="H76" s="221">
        <v>2018</v>
      </c>
      <c r="J76" s="275" t="s">
        <v>748</v>
      </c>
      <c r="K76" s="624" t="s">
        <v>749</v>
      </c>
      <c r="L76" s="148" t="s">
        <v>750</v>
      </c>
      <c r="M76" s="989"/>
      <c r="N76" s="101">
        <v>44012</v>
      </c>
      <c r="O76" s="221" t="s">
        <v>102</v>
      </c>
    </row>
    <row r="77" spans="2:15" hidden="1" outlineLevel="1" x14ac:dyDescent="0.35">
      <c r="B77" s="212" t="s">
        <v>771</v>
      </c>
      <c r="C77" s="631" t="e">
        <f t="shared" si="6"/>
        <v>#N/A</v>
      </c>
      <c r="D77" s="764">
        <f t="shared" si="9"/>
        <v>632.81045751633997</v>
      </c>
      <c r="E77" s="567">
        <v>470</v>
      </c>
      <c r="F77" s="752">
        <f t="shared" si="8"/>
        <v>1.34640522875817</v>
      </c>
      <c r="G77" s="975" t="s">
        <v>747</v>
      </c>
      <c r="H77" s="221">
        <v>2018</v>
      </c>
      <c r="J77" s="275" t="s">
        <v>748</v>
      </c>
      <c r="K77" s="624" t="s">
        <v>749</v>
      </c>
      <c r="L77" s="148" t="s">
        <v>750</v>
      </c>
      <c r="M77" s="989"/>
      <c r="N77" s="101">
        <v>44012</v>
      </c>
      <c r="O77" s="221" t="s">
        <v>102</v>
      </c>
    </row>
    <row r="78" spans="2:15" hidden="1" outlineLevel="1" x14ac:dyDescent="0.35">
      <c r="B78" s="212" t="s">
        <v>772</v>
      </c>
      <c r="C78" s="631" t="e">
        <f t="shared" si="6"/>
        <v>#N/A</v>
      </c>
      <c r="D78" s="764">
        <f t="shared" si="9"/>
        <v>601.84313725490199</v>
      </c>
      <c r="E78" s="567">
        <v>447</v>
      </c>
      <c r="F78" s="752">
        <f t="shared" si="8"/>
        <v>1.34640522875817</v>
      </c>
      <c r="G78" s="975" t="s">
        <v>747</v>
      </c>
      <c r="H78" s="221">
        <v>2018</v>
      </c>
      <c r="J78" s="275" t="s">
        <v>748</v>
      </c>
      <c r="K78" s="624" t="s">
        <v>749</v>
      </c>
      <c r="L78" s="148" t="s">
        <v>750</v>
      </c>
      <c r="M78" s="989"/>
      <c r="N78" s="101">
        <v>44012</v>
      </c>
      <c r="O78" s="221" t="s">
        <v>102</v>
      </c>
    </row>
    <row r="79" spans="2:15" hidden="1" outlineLevel="1" x14ac:dyDescent="0.35">
      <c r="B79" s="212" t="s">
        <v>787</v>
      </c>
      <c r="C79" s="631" t="e">
        <f t="shared" si="6"/>
        <v>#N/A</v>
      </c>
      <c r="D79" s="764">
        <f t="shared" si="9"/>
        <v>1066.3529411764707</v>
      </c>
      <c r="E79" s="566">
        <v>792</v>
      </c>
      <c r="F79" s="752">
        <f t="shared" si="8"/>
        <v>1.34640522875817</v>
      </c>
      <c r="G79" s="975" t="s">
        <v>747</v>
      </c>
      <c r="H79" s="221">
        <v>2018</v>
      </c>
      <c r="J79" s="275" t="s">
        <v>748</v>
      </c>
      <c r="K79" s="624" t="s">
        <v>749</v>
      </c>
      <c r="L79" s="148" t="s">
        <v>750</v>
      </c>
      <c r="M79" s="989"/>
      <c r="N79" s="101">
        <v>44012</v>
      </c>
      <c r="O79" s="221" t="s">
        <v>102</v>
      </c>
    </row>
    <row r="80" spans="2:15" hidden="1" outlineLevel="1" x14ac:dyDescent="0.35">
      <c r="B80" s="218" t="s">
        <v>773</v>
      </c>
      <c r="C80" s="631" t="e">
        <f t="shared" si="6"/>
        <v>#N/A</v>
      </c>
      <c r="D80" s="764">
        <f t="shared" si="9"/>
        <v>480.66666666666669</v>
      </c>
      <c r="E80" s="566">
        <v>357</v>
      </c>
      <c r="F80" s="752">
        <f t="shared" si="8"/>
        <v>1.34640522875817</v>
      </c>
      <c r="G80" s="975" t="s">
        <v>747</v>
      </c>
      <c r="H80" s="221">
        <v>2018</v>
      </c>
      <c r="J80" s="275" t="s">
        <v>748</v>
      </c>
      <c r="K80" s="624" t="s">
        <v>749</v>
      </c>
      <c r="L80" s="148" t="s">
        <v>750</v>
      </c>
      <c r="M80" s="989"/>
      <c r="N80" s="101">
        <v>44012</v>
      </c>
      <c r="O80" s="221" t="s">
        <v>102</v>
      </c>
    </row>
    <row r="81" spans="1:15" hidden="1" outlineLevel="1" x14ac:dyDescent="0.35">
      <c r="B81" s="212" t="s">
        <v>775</v>
      </c>
      <c r="C81" s="631" t="e">
        <f t="shared" si="6"/>
        <v>#N/A</v>
      </c>
      <c r="D81" s="764">
        <f t="shared" si="9"/>
        <v>218.11764705882354</v>
      </c>
      <c r="E81" s="566">
        <v>162</v>
      </c>
      <c r="F81" s="752">
        <f t="shared" si="8"/>
        <v>1.34640522875817</v>
      </c>
      <c r="G81" s="975" t="s">
        <v>747</v>
      </c>
      <c r="H81" s="221">
        <v>2018</v>
      </c>
      <c r="J81" s="275" t="s">
        <v>748</v>
      </c>
      <c r="K81" s="624" t="s">
        <v>749</v>
      </c>
      <c r="L81" s="148" t="s">
        <v>750</v>
      </c>
      <c r="M81" s="989"/>
      <c r="N81" s="101">
        <v>44012</v>
      </c>
      <c r="O81" s="221" t="s">
        <v>102</v>
      </c>
    </row>
    <row r="82" spans="1:15" hidden="1" outlineLevel="1" x14ac:dyDescent="0.35">
      <c r="B82" s="212" t="s">
        <v>776</v>
      </c>
      <c r="C82" s="631" t="e">
        <f t="shared" si="6"/>
        <v>#N/A</v>
      </c>
      <c r="D82" s="764">
        <f t="shared" si="9"/>
        <v>187.15032679738565</v>
      </c>
      <c r="E82" s="566">
        <v>139</v>
      </c>
      <c r="F82" s="752">
        <f t="shared" si="8"/>
        <v>1.34640522875817</v>
      </c>
      <c r="G82" s="975" t="s">
        <v>747</v>
      </c>
      <c r="H82" s="221">
        <v>2018</v>
      </c>
      <c r="J82" s="275" t="s">
        <v>748</v>
      </c>
      <c r="K82" s="624" t="s">
        <v>749</v>
      </c>
      <c r="L82" s="148" t="s">
        <v>750</v>
      </c>
      <c r="M82" s="989"/>
      <c r="N82" s="101">
        <v>44012</v>
      </c>
      <c r="O82" s="221" t="s">
        <v>102</v>
      </c>
    </row>
    <row r="83" spans="1:15" hidden="1" outlineLevel="1" x14ac:dyDescent="0.35">
      <c r="B83" s="212" t="s">
        <v>777</v>
      </c>
      <c r="C83" s="631" t="e">
        <f t="shared" si="6"/>
        <v>#N/A</v>
      </c>
      <c r="D83" s="764">
        <f t="shared" si="9"/>
        <v>245.04575163398695</v>
      </c>
      <c r="E83" s="566">
        <v>182</v>
      </c>
      <c r="F83" s="752">
        <f t="shared" si="8"/>
        <v>1.34640522875817</v>
      </c>
      <c r="G83" s="975" t="s">
        <v>747</v>
      </c>
      <c r="H83" s="221">
        <v>2018</v>
      </c>
      <c r="J83" s="275" t="s">
        <v>748</v>
      </c>
      <c r="K83" s="624" t="s">
        <v>749</v>
      </c>
      <c r="L83" s="148" t="s">
        <v>750</v>
      </c>
      <c r="M83" s="989"/>
      <c r="N83" s="101">
        <v>44012</v>
      </c>
      <c r="O83" s="221" t="s">
        <v>102</v>
      </c>
    </row>
    <row r="84" spans="1:15" hidden="1" outlineLevel="1" x14ac:dyDescent="0.35">
      <c r="B84" s="212" t="s">
        <v>778</v>
      </c>
      <c r="C84" s="631" t="e">
        <f t="shared" si="6"/>
        <v>#N/A</v>
      </c>
      <c r="D84" s="764">
        <f t="shared" si="9"/>
        <v>187.15032679738565</v>
      </c>
      <c r="E84" s="566">
        <v>139</v>
      </c>
      <c r="F84" s="752">
        <f t="shared" si="8"/>
        <v>1.34640522875817</v>
      </c>
      <c r="G84" s="975" t="s">
        <v>747</v>
      </c>
      <c r="H84" s="221">
        <v>2018</v>
      </c>
      <c r="J84" s="275" t="s">
        <v>748</v>
      </c>
      <c r="K84" s="624" t="s">
        <v>749</v>
      </c>
      <c r="L84" s="148" t="s">
        <v>750</v>
      </c>
      <c r="M84" s="989"/>
      <c r="N84" s="101">
        <v>44012</v>
      </c>
      <c r="O84" s="221" t="s">
        <v>102</v>
      </c>
    </row>
    <row r="85" spans="1:15" hidden="1" outlineLevel="1" x14ac:dyDescent="0.35">
      <c r="B85" s="212" t="s">
        <v>779</v>
      </c>
      <c r="C85" s="631" t="e">
        <f t="shared" si="6"/>
        <v>#N/A</v>
      </c>
      <c r="D85" s="764">
        <f t="shared" si="9"/>
        <v>158.87581699346407</v>
      </c>
      <c r="E85" s="566">
        <v>118</v>
      </c>
      <c r="F85" s="752">
        <f t="shared" si="8"/>
        <v>1.34640522875817</v>
      </c>
      <c r="G85" s="975" t="s">
        <v>747</v>
      </c>
      <c r="H85" s="221">
        <v>2018</v>
      </c>
      <c r="J85" s="275" t="s">
        <v>748</v>
      </c>
      <c r="K85" s="624" t="s">
        <v>749</v>
      </c>
      <c r="L85" s="148" t="s">
        <v>750</v>
      </c>
      <c r="M85" s="989"/>
      <c r="N85" s="101">
        <v>44012</v>
      </c>
      <c r="O85" s="221" t="s">
        <v>102</v>
      </c>
    </row>
    <row r="86" spans="1:15" hidden="1" outlineLevel="1" x14ac:dyDescent="0.35">
      <c r="B86" s="212" t="s">
        <v>788</v>
      </c>
      <c r="C86" s="631" t="e">
        <f t="shared" si="6"/>
        <v>#N/A</v>
      </c>
      <c r="D86" s="764">
        <f t="shared" si="9"/>
        <v>666.47058823529414</v>
      </c>
      <c r="E86" s="566">
        <v>495</v>
      </c>
      <c r="F86" s="752">
        <f t="shared" si="8"/>
        <v>1.34640522875817</v>
      </c>
      <c r="G86" s="975" t="s">
        <v>747</v>
      </c>
      <c r="H86" s="221">
        <v>2018</v>
      </c>
      <c r="J86" s="275" t="s">
        <v>748</v>
      </c>
      <c r="K86" s="624" t="s">
        <v>749</v>
      </c>
      <c r="L86" s="148" t="s">
        <v>750</v>
      </c>
      <c r="M86" s="989"/>
      <c r="N86" s="101">
        <v>44012</v>
      </c>
      <c r="O86" s="221" t="s">
        <v>102</v>
      </c>
    </row>
    <row r="87" spans="1:15" s="59" customFormat="1" hidden="1" outlineLevel="1" x14ac:dyDescent="0.35">
      <c r="A87" s="510"/>
      <c r="B87" s="218" t="s">
        <v>782</v>
      </c>
      <c r="C87" s="631" t="e">
        <f t="shared" si="6"/>
        <v>#N/A</v>
      </c>
      <c r="D87" s="763">
        <f>E87*F87</f>
        <v>213.41007194244605</v>
      </c>
      <c r="E87" s="566">
        <v>164</v>
      </c>
      <c r="F87" s="752">
        <f t="shared" si="8"/>
        <v>1.3012809264783296</v>
      </c>
      <c r="G87" s="975" t="s">
        <v>747</v>
      </c>
      <c r="H87" s="221">
        <v>2019</v>
      </c>
      <c r="J87" s="275" t="s">
        <v>748</v>
      </c>
      <c r="K87" s="624" t="s">
        <v>749</v>
      </c>
      <c r="L87" s="148" t="s">
        <v>750</v>
      </c>
      <c r="M87" s="989"/>
      <c r="N87" s="101">
        <v>44012</v>
      </c>
      <c r="O87" s="221" t="s">
        <v>102</v>
      </c>
    </row>
    <row r="88" spans="1:15" collapsed="1" x14ac:dyDescent="0.35">
      <c r="B88" s="260" t="s">
        <v>789</v>
      </c>
      <c r="C88" s="951"/>
      <c r="D88" s="951"/>
      <c r="E88" s="31"/>
      <c r="F88" s="31"/>
      <c r="G88" s="31"/>
      <c r="H88" s="245"/>
      <c r="J88" s="264"/>
      <c r="K88" s="8"/>
      <c r="L88" s="31"/>
      <c r="M88" s="31"/>
      <c r="N88" s="31"/>
      <c r="O88" s="245"/>
    </row>
    <row r="89" spans="1:15" hidden="1" outlineLevel="1" x14ac:dyDescent="0.35">
      <c r="B89" s="212" t="s">
        <v>746</v>
      </c>
      <c r="C89" s="631" t="e">
        <f t="shared" ref="C89:C116" si="10">IF(KroneårIBeregninger&lt;=SistePrognoseÅr,D89*LønnskostnadJustering,D89*Realprisjustering_ettersisteprognoseår*Realprisjustering_tilsisteprognoseår)</f>
        <v>#N/A</v>
      </c>
      <c r="D89" s="764">
        <f t="shared" ref="D89" si="11">E89*F89</f>
        <v>313.71241830065361</v>
      </c>
      <c r="E89" s="567">
        <v>233</v>
      </c>
      <c r="F89" s="752">
        <f t="shared" ref="F89:F116" si="12">1/LOOKUP($H89,StatistikkOgPrognoseÅr,Lønnskostnadsindeks)</f>
        <v>1.34640522875817</v>
      </c>
      <c r="G89" s="975" t="s">
        <v>747</v>
      </c>
      <c r="H89" s="221">
        <v>2018</v>
      </c>
      <c r="J89" s="275" t="s">
        <v>748</v>
      </c>
      <c r="K89" s="624" t="s">
        <v>749</v>
      </c>
      <c r="L89" s="148" t="s">
        <v>750</v>
      </c>
      <c r="M89" s="989"/>
      <c r="N89" s="101">
        <v>44012</v>
      </c>
      <c r="O89" s="221" t="s">
        <v>102</v>
      </c>
    </row>
    <row r="90" spans="1:15" hidden="1" outlineLevel="1" x14ac:dyDescent="0.35">
      <c r="B90" s="212" t="s">
        <v>751</v>
      </c>
      <c r="C90" s="631" t="e">
        <f t="shared" si="10"/>
        <v>#N/A</v>
      </c>
      <c r="D90" s="764">
        <f t="shared" ref="D90:D115" si="13">E90*F90</f>
        <v>290.82352941176475</v>
      </c>
      <c r="E90" s="567">
        <v>216</v>
      </c>
      <c r="F90" s="752">
        <f t="shared" si="12"/>
        <v>1.34640522875817</v>
      </c>
      <c r="G90" s="975" t="s">
        <v>747</v>
      </c>
      <c r="H90" s="221">
        <v>2018</v>
      </c>
      <c r="J90" s="275" t="s">
        <v>748</v>
      </c>
      <c r="K90" s="624" t="s">
        <v>749</v>
      </c>
      <c r="L90" s="148" t="s">
        <v>750</v>
      </c>
      <c r="M90" s="989"/>
      <c r="N90" s="101">
        <v>44012</v>
      </c>
      <c r="O90" s="221" t="s">
        <v>102</v>
      </c>
    </row>
    <row r="91" spans="1:15" hidden="1" outlineLevel="1" x14ac:dyDescent="0.35">
      <c r="B91" s="212" t="s">
        <v>752</v>
      </c>
      <c r="C91" s="631" t="e">
        <f t="shared" si="10"/>
        <v>#N/A</v>
      </c>
      <c r="D91" s="764">
        <f t="shared" si="13"/>
        <v>425.46405228758175</v>
      </c>
      <c r="E91" s="566">
        <v>316</v>
      </c>
      <c r="F91" s="752">
        <f t="shared" si="12"/>
        <v>1.34640522875817</v>
      </c>
      <c r="G91" s="975" t="s">
        <v>747</v>
      </c>
      <c r="H91" s="221">
        <v>2018</v>
      </c>
      <c r="J91" s="275" t="s">
        <v>748</v>
      </c>
      <c r="K91" s="624" t="s">
        <v>749</v>
      </c>
      <c r="L91" s="148" t="s">
        <v>750</v>
      </c>
      <c r="M91" s="989"/>
      <c r="N91" s="101">
        <v>44012</v>
      </c>
      <c r="O91" s="221" t="s">
        <v>102</v>
      </c>
    </row>
    <row r="92" spans="1:15" hidden="1" outlineLevel="1" x14ac:dyDescent="0.35">
      <c r="B92" s="212" t="s">
        <v>753</v>
      </c>
      <c r="C92" s="631" t="e">
        <f t="shared" si="10"/>
        <v>#N/A</v>
      </c>
      <c r="D92" s="764">
        <f t="shared" si="13"/>
        <v>111.75163398692811</v>
      </c>
      <c r="E92" s="566">
        <v>83</v>
      </c>
      <c r="F92" s="752">
        <f t="shared" si="12"/>
        <v>1.34640522875817</v>
      </c>
      <c r="G92" s="975" t="s">
        <v>747</v>
      </c>
      <c r="H92" s="221">
        <v>2018</v>
      </c>
      <c r="J92" s="275" t="s">
        <v>748</v>
      </c>
      <c r="K92" s="624" t="s">
        <v>749</v>
      </c>
      <c r="L92" s="148" t="s">
        <v>750</v>
      </c>
      <c r="M92" s="989"/>
      <c r="N92" s="101">
        <v>44012</v>
      </c>
      <c r="O92" s="221" t="s">
        <v>102</v>
      </c>
    </row>
    <row r="93" spans="1:15" hidden="1" outlineLevel="1" x14ac:dyDescent="0.35">
      <c r="B93" s="212" t="s">
        <v>754</v>
      </c>
      <c r="C93" s="631" t="e">
        <f t="shared" si="10"/>
        <v>#N/A</v>
      </c>
      <c r="D93" s="764">
        <f t="shared" si="13"/>
        <v>228.88888888888891</v>
      </c>
      <c r="E93" s="566">
        <v>170</v>
      </c>
      <c r="F93" s="752">
        <f t="shared" si="12"/>
        <v>1.34640522875817</v>
      </c>
      <c r="G93" s="975" t="s">
        <v>747</v>
      </c>
      <c r="H93" s="221">
        <v>2018</v>
      </c>
      <c r="J93" s="275" t="s">
        <v>748</v>
      </c>
      <c r="K93" s="624" t="s">
        <v>749</v>
      </c>
      <c r="L93" s="148" t="s">
        <v>750</v>
      </c>
      <c r="M93" s="989"/>
      <c r="N93" s="101">
        <v>44012</v>
      </c>
      <c r="O93" s="221" t="s">
        <v>102</v>
      </c>
    </row>
    <row r="94" spans="1:15" hidden="1" outlineLevel="1" x14ac:dyDescent="0.35">
      <c r="B94" s="212" t="s">
        <v>785</v>
      </c>
      <c r="C94" s="631" t="e">
        <f t="shared" si="10"/>
        <v>#N/A</v>
      </c>
      <c r="D94" s="764">
        <f t="shared" si="13"/>
        <v>605.88235294117646</v>
      </c>
      <c r="E94" s="566">
        <v>450</v>
      </c>
      <c r="F94" s="752">
        <f t="shared" si="12"/>
        <v>1.34640522875817</v>
      </c>
      <c r="G94" s="975" t="s">
        <v>747</v>
      </c>
      <c r="H94" s="221">
        <v>2018</v>
      </c>
      <c r="J94" s="275" t="s">
        <v>748</v>
      </c>
      <c r="K94" s="624" t="s">
        <v>749</v>
      </c>
      <c r="L94" s="148" t="s">
        <v>750</v>
      </c>
      <c r="M94" s="989"/>
      <c r="N94" s="101">
        <v>44012</v>
      </c>
      <c r="O94" s="221" t="s">
        <v>102</v>
      </c>
    </row>
    <row r="95" spans="1:15" hidden="1" outlineLevel="1" x14ac:dyDescent="0.35">
      <c r="B95" s="218" t="s">
        <v>757</v>
      </c>
      <c r="C95" s="631" t="e">
        <f t="shared" si="10"/>
        <v>#N/A</v>
      </c>
      <c r="D95" s="764">
        <f t="shared" si="13"/>
        <v>227.54248366013073</v>
      </c>
      <c r="E95" s="566">
        <v>169</v>
      </c>
      <c r="F95" s="752">
        <f t="shared" si="12"/>
        <v>1.34640522875817</v>
      </c>
      <c r="G95" s="975" t="s">
        <v>747</v>
      </c>
      <c r="H95" s="221">
        <v>2018</v>
      </c>
      <c r="J95" s="275" t="s">
        <v>748</v>
      </c>
      <c r="K95" s="624" t="s">
        <v>749</v>
      </c>
      <c r="L95" s="148" t="s">
        <v>750</v>
      </c>
      <c r="M95" s="989"/>
      <c r="N95" s="101">
        <v>44012</v>
      </c>
      <c r="O95" s="221" t="s">
        <v>102</v>
      </c>
    </row>
    <row r="96" spans="1:15" hidden="1" outlineLevel="1" x14ac:dyDescent="0.35">
      <c r="B96" s="212" t="s">
        <v>759</v>
      </c>
      <c r="C96" s="631" t="e">
        <f t="shared" si="10"/>
        <v>#N/A</v>
      </c>
      <c r="D96" s="764">
        <f t="shared" si="13"/>
        <v>201.9607843137255</v>
      </c>
      <c r="E96" s="567">
        <v>150</v>
      </c>
      <c r="F96" s="752">
        <f t="shared" si="12"/>
        <v>1.34640522875817</v>
      </c>
      <c r="G96" s="975" t="s">
        <v>747</v>
      </c>
      <c r="H96" s="221">
        <v>2018</v>
      </c>
      <c r="J96" s="275" t="s">
        <v>748</v>
      </c>
      <c r="K96" s="624" t="s">
        <v>749</v>
      </c>
      <c r="L96" s="148" t="s">
        <v>750</v>
      </c>
      <c r="M96" s="989"/>
      <c r="N96" s="101">
        <v>44012</v>
      </c>
      <c r="O96" s="221" t="s">
        <v>102</v>
      </c>
    </row>
    <row r="97" spans="2:15" hidden="1" outlineLevel="1" x14ac:dyDescent="0.35">
      <c r="B97" s="212" t="s">
        <v>760</v>
      </c>
      <c r="C97" s="631" t="e">
        <f t="shared" si="10"/>
        <v>#N/A</v>
      </c>
      <c r="D97" s="764">
        <f t="shared" si="13"/>
        <v>185.80392156862746</v>
      </c>
      <c r="E97" s="567">
        <v>138</v>
      </c>
      <c r="F97" s="752">
        <f t="shared" si="12"/>
        <v>1.34640522875817</v>
      </c>
      <c r="G97" s="975" t="s">
        <v>747</v>
      </c>
      <c r="H97" s="221">
        <v>2018</v>
      </c>
      <c r="J97" s="275" t="s">
        <v>748</v>
      </c>
      <c r="K97" s="624" t="s">
        <v>749</v>
      </c>
      <c r="L97" s="148" t="s">
        <v>750</v>
      </c>
      <c r="M97" s="989"/>
      <c r="N97" s="101">
        <v>44012</v>
      </c>
      <c r="O97" s="221" t="s">
        <v>102</v>
      </c>
    </row>
    <row r="98" spans="2:15" hidden="1" outlineLevel="1" x14ac:dyDescent="0.35">
      <c r="B98" s="212" t="s">
        <v>761</v>
      </c>
      <c r="C98" s="631" t="e">
        <f t="shared" si="10"/>
        <v>#N/A</v>
      </c>
      <c r="D98" s="764">
        <f t="shared" si="13"/>
        <v>251.7777777777778</v>
      </c>
      <c r="E98" s="566">
        <v>187</v>
      </c>
      <c r="F98" s="752">
        <f t="shared" si="12"/>
        <v>1.34640522875817</v>
      </c>
      <c r="G98" s="975" t="s">
        <v>747</v>
      </c>
      <c r="H98" s="221">
        <v>2018</v>
      </c>
      <c r="J98" s="275" t="s">
        <v>748</v>
      </c>
      <c r="K98" s="624" t="s">
        <v>749</v>
      </c>
      <c r="L98" s="148" t="s">
        <v>750</v>
      </c>
      <c r="M98" s="989"/>
      <c r="N98" s="101">
        <v>44012</v>
      </c>
      <c r="O98" s="221" t="s">
        <v>102</v>
      </c>
    </row>
    <row r="99" spans="2:15" hidden="1" outlineLevel="1" x14ac:dyDescent="0.35">
      <c r="B99" s="212" t="s">
        <v>762</v>
      </c>
      <c r="C99" s="631" t="e">
        <f t="shared" si="10"/>
        <v>#N/A</v>
      </c>
      <c r="D99" s="764">
        <f t="shared" si="13"/>
        <v>180.4183006535948</v>
      </c>
      <c r="E99" s="566">
        <v>134</v>
      </c>
      <c r="F99" s="752">
        <f t="shared" si="12"/>
        <v>1.34640522875817</v>
      </c>
      <c r="G99" s="975" t="s">
        <v>747</v>
      </c>
      <c r="H99" s="221">
        <v>2018</v>
      </c>
      <c r="J99" s="275" t="s">
        <v>748</v>
      </c>
      <c r="K99" s="624" t="s">
        <v>749</v>
      </c>
      <c r="L99" s="148" t="s">
        <v>750</v>
      </c>
      <c r="M99" s="989"/>
      <c r="N99" s="101">
        <v>44012</v>
      </c>
      <c r="O99" s="221" t="s">
        <v>102</v>
      </c>
    </row>
    <row r="100" spans="2:15" hidden="1" outlineLevel="1" x14ac:dyDescent="0.35">
      <c r="B100" s="212" t="s">
        <v>763</v>
      </c>
      <c r="C100" s="631" t="e">
        <f t="shared" si="10"/>
        <v>#N/A</v>
      </c>
      <c r="D100" s="764">
        <f t="shared" si="13"/>
        <v>126.56209150326798</v>
      </c>
      <c r="E100" s="566">
        <v>94</v>
      </c>
      <c r="F100" s="752">
        <f t="shared" si="12"/>
        <v>1.34640522875817</v>
      </c>
      <c r="G100" s="975" t="s">
        <v>747</v>
      </c>
      <c r="H100" s="221">
        <v>2018</v>
      </c>
      <c r="J100" s="275" t="s">
        <v>748</v>
      </c>
      <c r="K100" s="624" t="s">
        <v>749</v>
      </c>
      <c r="L100" s="148" t="s">
        <v>750</v>
      </c>
      <c r="M100" s="989"/>
      <c r="N100" s="101">
        <v>44012</v>
      </c>
      <c r="O100" s="221" t="s">
        <v>102</v>
      </c>
    </row>
    <row r="101" spans="2:15" hidden="1" outlineLevel="1" x14ac:dyDescent="0.35">
      <c r="B101" s="212" t="s">
        <v>786</v>
      </c>
      <c r="C101" s="631" t="e">
        <f t="shared" si="10"/>
        <v>#N/A</v>
      </c>
      <c r="D101" s="764">
        <f t="shared" si="13"/>
        <v>359.49019607843138</v>
      </c>
      <c r="E101" s="566">
        <v>267</v>
      </c>
      <c r="F101" s="752">
        <f t="shared" si="12"/>
        <v>1.34640522875817</v>
      </c>
      <c r="G101" s="975" t="s">
        <v>747</v>
      </c>
      <c r="H101" s="221">
        <v>2018</v>
      </c>
      <c r="J101" s="275" t="s">
        <v>748</v>
      </c>
      <c r="K101" s="624" t="s">
        <v>749</v>
      </c>
      <c r="L101" s="148" t="s">
        <v>750</v>
      </c>
      <c r="M101" s="989"/>
      <c r="N101" s="101">
        <v>44012</v>
      </c>
      <c r="O101" s="221" t="s">
        <v>102</v>
      </c>
    </row>
    <row r="102" spans="2:15" hidden="1" outlineLevel="1" x14ac:dyDescent="0.35">
      <c r="B102" s="218" t="s">
        <v>766</v>
      </c>
      <c r="C102" s="631" t="e">
        <f t="shared" si="10"/>
        <v>#N/A</v>
      </c>
      <c r="D102" s="764">
        <f t="shared" si="13"/>
        <v>145.41176470588238</v>
      </c>
      <c r="E102" s="566">
        <v>108</v>
      </c>
      <c r="F102" s="752">
        <f t="shared" si="12"/>
        <v>1.34640522875817</v>
      </c>
      <c r="G102" s="975" t="s">
        <v>747</v>
      </c>
      <c r="H102" s="221">
        <v>2018</v>
      </c>
      <c r="J102" s="275" t="s">
        <v>748</v>
      </c>
      <c r="K102" s="624" t="s">
        <v>749</v>
      </c>
      <c r="L102" s="148" t="s">
        <v>750</v>
      </c>
      <c r="M102" s="989"/>
      <c r="N102" s="101">
        <v>44012</v>
      </c>
      <c r="O102" s="221" t="s">
        <v>102</v>
      </c>
    </row>
    <row r="103" spans="2:15" hidden="1" outlineLevel="1" x14ac:dyDescent="0.35">
      <c r="B103" s="212" t="s">
        <v>768</v>
      </c>
      <c r="C103" s="631" t="e">
        <f t="shared" si="10"/>
        <v>#N/A</v>
      </c>
      <c r="D103" s="764">
        <f t="shared" si="13"/>
        <v>564.14379084967322</v>
      </c>
      <c r="E103" s="567">
        <v>419</v>
      </c>
      <c r="F103" s="752">
        <f t="shared" si="12"/>
        <v>1.34640522875817</v>
      </c>
      <c r="G103" s="975" t="s">
        <v>747</v>
      </c>
      <c r="H103" s="221">
        <v>2018</v>
      </c>
      <c r="J103" s="275" t="s">
        <v>748</v>
      </c>
      <c r="K103" s="624" t="s">
        <v>749</v>
      </c>
      <c r="L103" s="148" t="s">
        <v>750</v>
      </c>
      <c r="M103" s="989"/>
      <c r="N103" s="101">
        <v>44012</v>
      </c>
      <c r="O103" s="221" t="s">
        <v>102</v>
      </c>
    </row>
    <row r="104" spans="2:15" hidden="1" outlineLevel="1" x14ac:dyDescent="0.35">
      <c r="B104" s="212" t="s">
        <v>769</v>
      </c>
      <c r="C104" s="631" t="e">
        <f t="shared" si="10"/>
        <v>#N/A</v>
      </c>
      <c r="D104" s="764">
        <f t="shared" si="13"/>
        <v>552.02614379084969</v>
      </c>
      <c r="E104" s="567">
        <v>410</v>
      </c>
      <c r="F104" s="752">
        <f t="shared" si="12"/>
        <v>1.34640522875817</v>
      </c>
      <c r="G104" s="975" t="s">
        <v>747</v>
      </c>
      <c r="H104" s="221">
        <v>2018</v>
      </c>
      <c r="J104" s="275" t="s">
        <v>748</v>
      </c>
      <c r="K104" s="624" t="s">
        <v>749</v>
      </c>
      <c r="L104" s="148" t="s">
        <v>750</v>
      </c>
      <c r="M104" s="989"/>
      <c r="N104" s="101">
        <v>44012</v>
      </c>
      <c r="O104" s="221" t="s">
        <v>102</v>
      </c>
    </row>
    <row r="105" spans="2:15" hidden="1" outlineLevel="1" x14ac:dyDescent="0.35">
      <c r="B105" s="212" t="s">
        <v>770</v>
      </c>
      <c r="C105" s="631" t="e">
        <f t="shared" si="10"/>
        <v>#N/A</v>
      </c>
      <c r="D105" s="764">
        <f t="shared" si="13"/>
        <v>849.58169934640534</v>
      </c>
      <c r="E105" s="567">
        <v>631</v>
      </c>
      <c r="F105" s="752">
        <f t="shared" si="12"/>
        <v>1.34640522875817</v>
      </c>
      <c r="G105" s="975" t="s">
        <v>747</v>
      </c>
      <c r="H105" s="221">
        <v>2018</v>
      </c>
      <c r="J105" s="275" t="s">
        <v>748</v>
      </c>
      <c r="K105" s="624" t="s">
        <v>749</v>
      </c>
      <c r="L105" s="148" t="s">
        <v>750</v>
      </c>
      <c r="M105" s="989"/>
      <c r="N105" s="101">
        <v>44012</v>
      </c>
      <c r="O105" s="221" t="s">
        <v>102</v>
      </c>
    </row>
    <row r="106" spans="2:15" hidden="1" outlineLevel="1" x14ac:dyDescent="0.35">
      <c r="B106" s="212" t="s">
        <v>771</v>
      </c>
      <c r="C106" s="631" t="e">
        <f t="shared" si="10"/>
        <v>#N/A</v>
      </c>
      <c r="D106" s="764">
        <f t="shared" si="13"/>
        <v>632.81045751633997</v>
      </c>
      <c r="E106" s="567">
        <v>470</v>
      </c>
      <c r="F106" s="752">
        <f t="shared" si="12"/>
        <v>1.34640522875817</v>
      </c>
      <c r="G106" s="975" t="s">
        <v>747</v>
      </c>
      <c r="H106" s="221">
        <v>2018</v>
      </c>
      <c r="J106" s="275" t="s">
        <v>748</v>
      </c>
      <c r="K106" s="624" t="s">
        <v>749</v>
      </c>
      <c r="L106" s="148" t="s">
        <v>750</v>
      </c>
      <c r="M106" s="989"/>
      <c r="N106" s="101">
        <v>44012</v>
      </c>
      <c r="O106" s="221" t="s">
        <v>102</v>
      </c>
    </row>
    <row r="107" spans="2:15" hidden="1" outlineLevel="1" x14ac:dyDescent="0.35">
      <c r="B107" s="212" t="s">
        <v>772</v>
      </c>
      <c r="C107" s="631" t="e">
        <f t="shared" si="10"/>
        <v>#N/A</v>
      </c>
      <c r="D107" s="764">
        <f t="shared" si="13"/>
        <v>601.84313725490199</v>
      </c>
      <c r="E107" s="567">
        <v>447</v>
      </c>
      <c r="F107" s="752">
        <f t="shared" si="12"/>
        <v>1.34640522875817</v>
      </c>
      <c r="G107" s="975" t="s">
        <v>747</v>
      </c>
      <c r="H107" s="221">
        <v>2018</v>
      </c>
      <c r="J107" s="275" t="s">
        <v>748</v>
      </c>
      <c r="K107" s="624" t="s">
        <v>749</v>
      </c>
      <c r="L107" s="148" t="s">
        <v>750</v>
      </c>
      <c r="M107" s="989"/>
      <c r="N107" s="101">
        <v>44012</v>
      </c>
      <c r="O107" s="221" t="s">
        <v>102</v>
      </c>
    </row>
    <row r="108" spans="2:15" hidden="1" outlineLevel="1" x14ac:dyDescent="0.35">
      <c r="B108" s="212" t="s">
        <v>787</v>
      </c>
      <c r="C108" s="631" t="e">
        <f t="shared" si="10"/>
        <v>#N/A</v>
      </c>
      <c r="D108" s="764">
        <f t="shared" si="13"/>
        <v>1066.3529411764707</v>
      </c>
      <c r="E108" s="566">
        <v>792</v>
      </c>
      <c r="F108" s="752">
        <f t="shared" si="12"/>
        <v>1.34640522875817</v>
      </c>
      <c r="G108" s="975" t="s">
        <v>747</v>
      </c>
      <c r="H108" s="221">
        <v>2018</v>
      </c>
      <c r="J108" s="275" t="s">
        <v>748</v>
      </c>
      <c r="K108" s="624" t="s">
        <v>749</v>
      </c>
      <c r="L108" s="148" t="s">
        <v>750</v>
      </c>
      <c r="M108" s="989"/>
      <c r="N108" s="101">
        <v>44012</v>
      </c>
      <c r="O108" s="221" t="s">
        <v>102</v>
      </c>
    </row>
    <row r="109" spans="2:15" hidden="1" outlineLevel="1" x14ac:dyDescent="0.35">
      <c r="B109" s="218" t="s">
        <v>773</v>
      </c>
      <c r="C109" s="631" t="e">
        <f t="shared" si="10"/>
        <v>#N/A</v>
      </c>
      <c r="D109" s="764">
        <f t="shared" si="13"/>
        <v>480.66666666666669</v>
      </c>
      <c r="E109" s="566">
        <v>357</v>
      </c>
      <c r="F109" s="752">
        <f t="shared" si="12"/>
        <v>1.34640522875817</v>
      </c>
      <c r="G109" s="975" t="s">
        <v>747</v>
      </c>
      <c r="H109" s="221">
        <v>2018</v>
      </c>
      <c r="J109" s="275" t="s">
        <v>748</v>
      </c>
      <c r="K109" s="624" t="s">
        <v>749</v>
      </c>
      <c r="L109" s="148" t="s">
        <v>750</v>
      </c>
      <c r="M109" s="989"/>
      <c r="N109" s="101">
        <v>44012</v>
      </c>
      <c r="O109" s="221" t="s">
        <v>102</v>
      </c>
    </row>
    <row r="110" spans="2:15" hidden="1" outlineLevel="1" x14ac:dyDescent="0.35">
      <c r="B110" s="212" t="s">
        <v>775</v>
      </c>
      <c r="C110" s="631" t="e">
        <f t="shared" si="10"/>
        <v>#N/A</v>
      </c>
      <c r="D110" s="764">
        <f t="shared" si="13"/>
        <v>259.85620915032683</v>
      </c>
      <c r="E110" s="566">
        <v>193</v>
      </c>
      <c r="F110" s="752">
        <f t="shared" si="12"/>
        <v>1.34640522875817</v>
      </c>
      <c r="G110" s="975" t="s">
        <v>747</v>
      </c>
      <c r="H110" s="221">
        <v>2018</v>
      </c>
      <c r="J110" s="275" t="s">
        <v>748</v>
      </c>
      <c r="K110" s="624" t="s">
        <v>749</v>
      </c>
      <c r="L110" s="148" t="s">
        <v>750</v>
      </c>
      <c r="M110" s="989"/>
      <c r="N110" s="101">
        <v>44012</v>
      </c>
      <c r="O110" s="221" t="s">
        <v>102</v>
      </c>
    </row>
    <row r="111" spans="2:15" hidden="1" outlineLevel="1" x14ac:dyDescent="0.35">
      <c r="B111" s="212" t="s">
        <v>776</v>
      </c>
      <c r="C111" s="631" t="e">
        <f t="shared" si="10"/>
        <v>#N/A</v>
      </c>
      <c r="D111" s="764">
        <f t="shared" si="13"/>
        <v>241.00653594771245</v>
      </c>
      <c r="E111" s="566">
        <v>179</v>
      </c>
      <c r="F111" s="752">
        <f t="shared" si="12"/>
        <v>1.34640522875817</v>
      </c>
      <c r="G111" s="975" t="s">
        <v>747</v>
      </c>
      <c r="H111" s="221">
        <v>2018</v>
      </c>
      <c r="J111" s="275" t="s">
        <v>748</v>
      </c>
      <c r="K111" s="624" t="s">
        <v>749</v>
      </c>
      <c r="L111" s="148" t="s">
        <v>750</v>
      </c>
      <c r="M111" s="989"/>
      <c r="N111" s="101">
        <v>44012</v>
      </c>
      <c r="O111" s="221" t="s">
        <v>102</v>
      </c>
    </row>
    <row r="112" spans="2:15" hidden="1" outlineLevel="1" x14ac:dyDescent="0.35">
      <c r="B112" s="212" t="s">
        <v>777</v>
      </c>
      <c r="C112" s="631" t="e">
        <f t="shared" si="10"/>
        <v>#N/A</v>
      </c>
      <c r="D112" s="764">
        <f t="shared" si="13"/>
        <v>300.24836601307192</v>
      </c>
      <c r="E112" s="566">
        <v>223</v>
      </c>
      <c r="F112" s="752">
        <f t="shared" si="12"/>
        <v>1.34640522875817</v>
      </c>
      <c r="G112" s="975" t="s">
        <v>747</v>
      </c>
      <c r="H112" s="221">
        <v>2018</v>
      </c>
      <c r="J112" s="275" t="s">
        <v>748</v>
      </c>
      <c r="K112" s="624" t="s">
        <v>749</v>
      </c>
      <c r="L112" s="148" t="s">
        <v>750</v>
      </c>
      <c r="M112" s="989"/>
      <c r="N112" s="101">
        <v>44012</v>
      </c>
      <c r="O112" s="221" t="s">
        <v>102</v>
      </c>
    </row>
    <row r="113" spans="1:15" hidden="1" outlineLevel="1" x14ac:dyDescent="0.35">
      <c r="B113" s="212" t="s">
        <v>778</v>
      </c>
      <c r="C113" s="631" t="e">
        <f t="shared" si="10"/>
        <v>#N/A</v>
      </c>
      <c r="D113" s="764">
        <f t="shared" si="13"/>
        <v>184.4575163398693</v>
      </c>
      <c r="E113" s="566">
        <v>137</v>
      </c>
      <c r="F113" s="752">
        <f t="shared" si="12"/>
        <v>1.34640522875817</v>
      </c>
      <c r="G113" s="975" t="s">
        <v>747</v>
      </c>
      <c r="H113" s="221">
        <v>2018</v>
      </c>
      <c r="J113" s="275" t="s">
        <v>748</v>
      </c>
      <c r="K113" s="624" t="s">
        <v>749</v>
      </c>
      <c r="L113" s="148" t="s">
        <v>750</v>
      </c>
      <c r="M113" s="989"/>
      <c r="N113" s="101">
        <v>44012</v>
      </c>
      <c r="O113" s="221" t="s">
        <v>102</v>
      </c>
    </row>
    <row r="114" spans="1:15" hidden="1" outlineLevel="1" x14ac:dyDescent="0.35">
      <c r="B114" s="212" t="s">
        <v>779</v>
      </c>
      <c r="C114" s="631" t="e">
        <f t="shared" si="10"/>
        <v>#N/A</v>
      </c>
      <c r="D114" s="764">
        <f t="shared" si="13"/>
        <v>177.72549019607845</v>
      </c>
      <c r="E114" s="566">
        <v>132</v>
      </c>
      <c r="F114" s="752">
        <f t="shared" si="12"/>
        <v>1.34640522875817</v>
      </c>
      <c r="G114" s="975" t="s">
        <v>747</v>
      </c>
      <c r="H114" s="221">
        <v>2018</v>
      </c>
      <c r="J114" s="275" t="s">
        <v>748</v>
      </c>
      <c r="K114" s="624" t="s">
        <v>749</v>
      </c>
      <c r="L114" s="148" t="s">
        <v>750</v>
      </c>
      <c r="M114" s="989"/>
      <c r="N114" s="101">
        <v>44012</v>
      </c>
      <c r="O114" s="221" t="s">
        <v>102</v>
      </c>
    </row>
    <row r="115" spans="1:15" hidden="1" outlineLevel="1" x14ac:dyDescent="0.35">
      <c r="B115" s="212" t="s">
        <v>788</v>
      </c>
      <c r="C115" s="631" t="e">
        <f t="shared" si="10"/>
        <v>#N/A</v>
      </c>
      <c r="D115" s="764">
        <f t="shared" si="13"/>
        <v>666.47058823529414</v>
      </c>
      <c r="E115" s="566">
        <v>495</v>
      </c>
      <c r="F115" s="752">
        <f t="shared" si="12"/>
        <v>1.34640522875817</v>
      </c>
      <c r="G115" s="975" t="s">
        <v>747</v>
      </c>
      <c r="H115" s="221">
        <v>2018</v>
      </c>
      <c r="J115" s="275" t="s">
        <v>748</v>
      </c>
      <c r="K115" s="624" t="s">
        <v>749</v>
      </c>
      <c r="L115" s="148" t="s">
        <v>750</v>
      </c>
      <c r="M115" s="989"/>
      <c r="N115" s="101">
        <v>44012</v>
      </c>
      <c r="O115" s="221" t="s">
        <v>102</v>
      </c>
    </row>
    <row r="116" spans="1:15" s="59" customFormat="1" hidden="1" outlineLevel="1" x14ac:dyDescent="0.35">
      <c r="A116" s="510"/>
      <c r="B116" s="218" t="s">
        <v>782</v>
      </c>
      <c r="C116" s="631" t="e">
        <f t="shared" si="10"/>
        <v>#N/A</v>
      </c>
      <c r="D116" s="763">
        <f>E116*F116</f>
        <v>213.41007194244605</v>
      </c>
      <c r="E116" s="566">
        <v>164</v>
      </c>
      <c r="F116" s="752">
        <f t="shared" si="12"/>
        <v>1.3012809264783296</v>
      </c>
      <c r="G116" s="975" t="s">
        <v>747</v>
      </c>
      <c r="H116" s="221">
        <v>2019</v>
      </c>
      <c r="J116" s="275" t="s">
        <v>748</v>
      </c>
      <c r="K116" s="624" t="s">
        <v>749</v>
      </c>
      <c r="L116" s="148" t="s">
        <v>750</v>
      </c>
      <c r="M116" s="989"/>
      <c r="N116" s="101">
        <v>44012</v>
      </c>
      <c r="O116" s="221" t="s">
        <v>102</v>
      </c>
    </row>
    <row r="117" spans="1:15" ht="18.5" collapsed="1" x14ac:dyDescent="0.45">
      <c r="A117" s="511"/>
      <c r="B117" s="240" t="s">
        <v>790</v>
      </c>
      <c r="C117" s="974"/>
      <c r="D117" s="974"/>
      <c r="E117" s="114"/>
      <c r="F117" s="114"/>
      <c r="G117" s="976"/>
      <c r="H117" s="242"/>
      <c r="J117" s="276"/>
      <c r="K117" s="990"/>
      <c r="L117" s="967"/>
      <c r="M117" s="967"/>
      <c r="N117" s="967"/>
      <c r="O117" s="244"/>
    </row>
    <row r="118" spans="1:15" hidden="1" outlineLevel="1" x14ac:dyDescent="0.35">
      <c r="B118" s="220" t="s">
        <v>602</v>
      </c>
      <c r="C118" s="20"/>
      <c r="D118" s="20"/>
      <c r="E118" s="31"/>
      <c r="F118" s="31"/>
      <c r="G118" s="31"/>
      <c r="H118" s="245"/>
      <c r="J118" s="277"/>
      <c r="K118" s="962"/>
      <c r="L118" s="31"/>
      <c r="M118" s="31"/>
      <c r="N118" s="31"/>
      <c r="O118" s="245"/>
    </row>
    <row r="119" spans="1:15" hidden="1" outlineLevel="1" x14ac:dyDescent="0.35">
      <c r="A119" s="511"/>
      <c r="B119" s="218" t="s">
        <v>791</v>
      </c>
      <c r="C119" s="463" t="e">
        <f>IF(KroneårIBeregninger&lt;=SistePrognoseÅr,D119*LønnskostnadJustering,D119*Realprisjustering_ettersisteprognoseår*Realprisjustering_tilsisteprognoseår)</f>
        <v>#N/A</v>
      </c>
      <c r="D119" s="765">
        <f>E119*F119</f>
        <v>1.9258957711879279</v>
      </c>
      <c r="E119" s="568">
        <v>1.48</v>
      </c>
      <c r="F119" s="752">
        <f>1/LOOKUP($H119,StatistikkOgPrognoseÅr,Lønnskostnadsindeks)</f>
        <v>1.3012809264783296</v>
      </c>
      <c r="G119" s="65" t="s">
        <v>549</v>
      </c>
      <c r="H119" s="221">
        <v>2019</v>
      </c>
      <c r="J119" s="275" t="s">
        <v>494</v>
      </c>
      <c r="K119" s="624" t="s">
        <v>749</v>
      </c>
      <c r="L119" s="148" t="s">
        <v>792</v>
      </c>
      <c r="M119" s="989"/>
      <c r="N119" s="101">
        <v>43696</v>
      </c>
      <c r="O119" s="221" t="s">
        <v>64</v>
      </c>
    </row>
    <row r="120" spans="1:15" hidden="1" outlineLevel="1" x14ac:dyDescent="0.35">
      <c r="A120" s="511"/>
      <c r="B120" s="218" t="s">
        <v>793</v>
      </c>
      <c r="C120" s="463" t="e">
        <f>IF(KroneårIBeregninger&lt;=SistePrognoseÅr,D120*LønnskostnadJustering,D120*Realprisjustering_ettersisteprognoseår*Realprisjustering_tilsisteprognoseår)</f>
        <v>#N/A</v>
      </c>
      <c r="D120" s="765">
        <f t="shared" ref="D120" si="14">E120*F120</f>
        <v>0.27326899456044923</v>
      </c>
      <c r="E120" s="568">
        <v>0.21</v>
      </c>
      <c r="F120" s="752">
        <f>1/LOOKUP($H120,StatistikkOgPrognoseÅr,Lønnskostnadsindeks)</f>
        <v>1.3012809264783296</v>
      </c>
      <c r="G120" s="65" t="s">
        <v>549</v>
      </c>
      <c r="H120" s="221">
        <v>2019</v>
      </c>
      <c r="J120" s="275" t="s">
        <v>494</v>
      </c>
      <c r="K120" s="624" t="s">
        <v>749</v>
      </c>
      <c r="L120" s="148" t="s">
        <v>792</v>
      </c>
      <c r="M120" s="989"/>
      <c r="N120" s="101">
        <v>43696</v>
      </c>
      <c r="O120" s="221" t="s">
        <v>64</v>
      </c>
    </row>
    <row r="121" spans="1:15" hidden="1" outlineLevel="1" x14ac:dyDescent="0.35">
      <c r="A121" s="511"/>
      <c r="B121" s="218" t="s">
        <v>794</v>
      </c>
      <c r="C121" s="463" t="e">
        <f>IF(KroneårIBeregninger&lt;=SistePrognoseÅr,D121*LønnskostnadJustering,D121*Realprisjustering_ettersisteprognoseår*Realprisjustering_tilsisteprognoseår)</f>
        <v>#N/A</v>
      </c>
      <c r="D121" s="765">
        <f>E121*F121</f>
        <v>0</v>
      </c>
      <c r="E121" s="399">
        <v>0</v>
      </c>
      <c r="F121" s="752">
        <f>1/LOOKUP($H121,StatistikkOgPrognoseÅr,Lønnskostnadsindeks)</f>
        <v>1.3012809264783296</v>
      </c>
      <c r="G121" s="65" t="s">
        <v>549</v>
      </c>
      <c r="H121" s="221">
        <v>2019</v>
      </c>
      <c r="J121" s="275" t="s">
        <v>494</v>
      </c>
      <c r="K121" s="624" t="s">
        <v>749</v>
      </c>
      <c r="L121" s="148" t="s">
        <v>792</v>
      </c>
      <c r="M121" s="989"/>
      <c r="N121" s="101">
        <v>43696</v>
      </c>
      <c r="O121" s="221" t="s">
        <v>64</v>
      </c>
    </row>
    <row r="122" spans="1:15" hidden="1" outlineLevel="1" x14ac:dyDescent="0.35">
      <c r="B122" s="218" t="s">
        <v>795</v>
      </c>
      <c r="C122" s="463" t="e">
        <f>IF(KroneårIBeregninger&lt;=SistePrognoseÅr,D122*LønnskostnadJustering,D122*Realprisjustering_ettersisteprognoseår*Realprisjustering_tilsisteprognoseår)</f>
        <v>#N/A</v>
      </c>
      <c r="D122" s="766">
        <f>D119*'1.2 Forutsetninger'!$C$196+D120*'1.2 Forutsetninger'!$C$197+D121*'1.2 Forutsetninger'!$C$198</f>
        <v>0.40913917099538016</v>
      </c>
      <c r="E122" s="116"/>
      <c r="F122" s="123"/>
      <c r="G122" s="65" t="s">
        <v>549</v>
      </c>
      <c r="H122" s="221"/>
      <c r="J122" s="281"/>
      <c r="K122" s="989"/>
      <c r="L122" s="148"/>
      <c r="M122" s="65"/>
      <c r="N122" s="991"/>
      <c r="O122" s="221"/>
    </row>
    <row r="123" spans="1:15" hidden="1" outlineLevel="1" x14ac:dyDescent="0.35">
      <c r="B123" s="220" t="s">
        <v>603</v>
      </c>
      <c r="C123" s="20"/>
      <c r="D123" s="20"/>
      <c r="E123" s="41"/>
      <c r="F123" s="41"/>
      <c r="G123" s="31"/>
      <c r="H123" s="245"/>
      <c r="J123" s="278"/>
      <c r="K123" s="962"/>
      <c r="L123" s="992"/>
      <c r="M123" s="31"/>
      <c r="N123" s="31"/>
      <c r="O123" s="245"/>
    </row>
    <row r="124" spans="1:15" hidden="1" outlineLevel="1" x14ac:dyDescent="0.35">
      <c r="A124" s="511"/>
      <c r="B124" s="218" t="s">
        <v>791</v>
      </c>
      <c r="C124" s="463" t="e">
        <f>IF(KroneårIBeregninger&lt;=SistePrognoseÅr,D124*LønnskostnadJustering,D124*Realprisjustering_ettersisteprognoseår*Realprisjustering_tilsisteprognoseår)</f>
        <v>#N/A</v>
      </c>
      <c r="D124" s="765">
        <f>E124*F124</f>
        <v>1.9258957711879279</v>
      </c>
      <c r="E124" s="568">
        <v>1.48</v>
      </c>
      <c r="F124" s="752">
        <f>1/LOOKUP($H124,StatistikkOgPrognoseÅr,Lønnskostnadsindeks)</f>
        <v>1.3012809264783296</v>
      </c>
      <c r="G124" s="65" t="s">
        <v>549</v>
      </c>
      <c r="H124" s="221">
        <v>2019</v>
      </c>
      <c r="J124" s="275" t="s">
        <v>494</v>
      </c>
      <c r="K124" s="624" t="s">
        <v>749</v>
      </c>
      <c r="L124" s="148" t="s">
        <v>792</v>
      </c>
      <c r="M124" s="989"/>
      <c r="N124" s="101">
        <v>43696</v>
      </c>
      <c r="O124" s="221" t="s">
        <v>64</v>
      </c>
    </row>
    <row r="125" spans="1:15" hidden="1" outlineLevel="1" x14ac:dyDescent="0.35">
      <c r="A125" s="511"/>
      <c r="B125" s="218" t="s">
        <v>793</v>
      </c>
      <c r="C125" s="463" t="e">
        <f>IF(KroneårIBeregninger&lt;=SistePrognoseÅr,D125*LønnskostnadJustering,D125*Realprisjustering_ettersisteprognoseår*Realprisjustering_tilsisteprognoseår)</f>
        <v>#N/A</v>
      </c>
      <c r="D125" s="765">
        <f t="shared" ref="D125:D126" si="15">E125*F125</f>
        <v>0.27326899456044923</v>
      </c>
      <c r="E125" s="568">
        <v>0.21</v>
      </c>
      <c r="F125" s="752">
        <f>1/LOOKUP($H125,StatistikkOgPrognoseÅr,Lønnskostnadsindeks)</f>
        <v>1.3012809264783296</v>
      </c>
      <c r="G125" s="65" t="s">
        <v>549</v>
      </c>
      <c r="H125" s="221">
        <v>2019</v>
      </c>
      <c r="J125" s="275" t="s">
        <v>494</v>
      </c>
      <c r="K125" s="624" t="s">
        <v>749</v>
      </c>
      <c r="L125" s="148" t="s">
        <v>792</v>
      </c>
      <c r="M125" s="989"/>
      <c r="N125" s="101">
        <v>43696</v>
      </c>
      <c r="O125" s="221" t="s">
        <v>64</v>
      </c>
    </row>
    <row r="126" spans="1:15" hidden="1" outlineLevel="1" x14ac:dyDescent="0.35">
      <c r="A126" s="511"/>
      <c r="B126" s="218" t="s">
        <v>794</v>
      </c>
      <c r="C126" s="463" t="e">
        <f>IF(KroneårIBeregninger&lt;=SistePrognoseÅr,D126*LønnskostnadJustering,D126*Realprisjustering_ettersisteprognoseår*Realprisjustering_tilsisteprognoseår)</f>
        <v>#N/A</v>
      </c>
      <c r="D126" s="765">
        <f t="shared" si="15"/>
        <v>0</v>
      </c>
      <c r="E126" s="399">
        <v>0</v>
      </c>
      <c r="F126" s="752">
        <f>1/LOOKUP($H126,StatistikkOgPrognoseÅr,Lønnskostnadsindeks)</f>
        <v>1.3012809264783296</v>
      </c>
      <c r="G126" s="65" t="s">
        <v>549</v>
      </c>
      <c r="H126" s="221">
        <v>2019</v>
      </c>
      <c r="J126" s="275" t="s">
        <v>494</v>
      </c>
      <c r="K126" s="624" t="s">
        <v>749</v>
      </c>
      <c r="L126" s="148" t="s">
        <v>792</v>
      </c>
      <c r="M126" s="989"/>
      <c r="N126" s="101">
        <v>43696</v>
      </c>
      <c r="O126" s="221" t="s">
        <v>64</v>
      </c>
    </row>
    <row r="127" spans="1:15" hidden="1" outlineLevel="1" x14ac:dyDescent="0.35">
      <c r="B127" s="218" t="s">
        <v>795</v>
      </c>
      <c r="C127" s="463" t="e">
        <f>IF(KroneårIBeregninger&lt;=SistePrognoseÅr,D127*LønnskostnadJustering,D127*Realprisjustering_ettersisteprognoseår*Realprisjustering_tilsisteprognoseår)</f>
        <v>#N/A</v>
      </c>
      <c r="D127" s="767">
        <f>D124*'1.2 Forutsetninger'!$C$200+D125*'1.2 Forutsetninger'!$C$201+D126*'1.2 Forutsetninger'!$C$202</f>
        <v>0.61495162894074984</v>
      </c>
      <c r="E127" s="116"/>
      <c r="F127" s="123"/>
      <c r="G127" s="65" t="s">
        <v>549</v>
      </c>
      <c r="H127" s="221"/>
      <c r="J127" s="272"/>
      <c r="K127" s="989"/>
      <c r="L127" s="148"/>
      <c r="M127" s="65"/>
      <c r="N127" s="991"/>
      <c r="O127" s="221"/>
    </row>
    <row r="128" spans="1:15" hidden="1" outlineLevel="1" x14ac:dyDescent="0.35">
      <c r="A128" s="511"/>
      <c r="B128" s="220" t="s">
        <v>796</v>
      </c>
      <c r="C128" s="20"/>
      <c r="D128" s="20"/>
      <c r="E128" s="41"/>
      <c r="F128" s="41"/>
      <c r="G128" s="31"/>
      <c r="H128" s="245"/>
      <c r="J128" s="278"/>
      <c r="K128" s="993"/>
      <c r="L128" s="992"/>
      <c r="M128" s="31"/>
      <c r="N128" s="31"/>
      <c r="O128" s="245"/>
    </row>
    <row r="129" spans="1:15" hidden="1" outlineLevel="1" x14ac:dyDescent="0.35">
      <c r="A129" s="511"/>
      <c r="B129" s="218" t="s">
        <v>791</v>
      </c>
      <c r="C129" s="463" t="e">
        <f>IF(KroneårIBeregninger&lt;=SistePrognoseÅr,D129*LønnskostnadJustering,D129*Realprisjustering_ettersisteprognoseår*Realprisjustering_tilsisteprognoseår)</f>
        <v>#N/A</v>
      </c>
      <c r="D129" s="765">
        <f>E129*F129</f>
        <v>2.0564298093587521</v>
      </c>
      <c r="E129" s="568">
        <v>1.76</v>
      </c>
      <c r="F129" s="752">
        <f>1/LOOKUP($H129,StatistikkOgPrognoseÅr,Lønnskostnadsindeks)</f>
        <v>1.1684260280447456</v>
      </c>
      <c r="G129" s="65" t="s">
        <v>549</v>
      </c>
      <c r="H129" s="221">
        <v>2022</v>
      </c>
      <c r="J129" s="275" t="s">
        <v>2466</v>
      </c>
      <c r="K129" s="624" t="s">
        <v>749</v>
      </c>
      <c r="L129" s="148" t="s">
        <v>792</v>
      </c>
      <c r="M129" s="989"/>
      <c r="N129" s="101">
        <v>46238</v>
      </c>
      <c r="O129" s="221" t="s">
        <v>808</v>
      </c>
    </row>
    <row r="130" spans="1:15" hidden="1" outlineLevel="1" x14ac:dyDescent="0.35">
      <c r="A130" s="511"/>
      <c r="B130" s="218" t="s">
        <v>793</v>
      </c>
      <c r="C130" s="463" t="e">
        <f>IF(KroneårIBeregninger&lt;=SistePrognoseÅr,D130*LønnskostnadJustering,D130*Realprisjustering_ettersisteprognoseår*Realprisjustering_tilsisteprognoseår)</f>
        <v>#N/A</v>
      </c>
      <c r="D130" s="765">
        <f t="shared" ref="D130:D131" si="16">E130*F130</f>
        <v>0.2921065070111864</v>
      </c>
      <c r="E130" s="568">
        <v>0.25</v>
      </c>
      <c r="F130" s="752">
        <f>1/LOOKUP($H130,StatistikkOgPrognoseÅr,Lønnskostnadsindeks)</f>
        <v>1.1684260280447456</v>
      </c>
      <c r="G130" s="65" t="s">
        <v>549</v>
      </c>
      <c r="H130" s="221">
        <v>2022</v>
      </c>
      <c r="J130" s="275" t="s">
        <v>2466</v>
      </c>
      <c r="K130" s="624" t="s">
        <v>749</v>
      </c>
      <c r="L130" s="148" t="s">
        <v>792</v>
      </c>
      <c r="M130" s="989"/>
      <c r="N130" s="101">
        <v>46238</v>
      </c>
      <c r="O130" s="221" t="s">
        <v>808</v>
      </c>
    </row>
    <row r="131" spans="1:15" hidden="1" outlineLevel="1" x14ac:dyDescent="0.35">
      <c r="A131" s="511"/>
      <c r="B131" s="218" t="s">
        <v>794</v>
      </c>
      <c r="C131" s="463" t="e">
        <f>IF(KroneårIBeregninger&lt;=SistePrognoseÅr,D131*LønnskostnadJustering,D131*Realprisjustering_ettersisteprognoseår*Realprisjustering_tilsisteprognoseår)</f>
        <v>#N/A</v>
      </c>
      <c r="D131" s="765">
        <f t="shared" si="16"/>
        <v>0</v>
      </c>
      <c r="E131" s="399">
        <v>0</v>
      </c>
      <c r="F131" s="752">
        <f>1/LOOKUP($H131,StatistikkOgPrognoseÅr,Lønnskostnadsindeks)</f>
        <v>1.1684260280447456</v>
      </c>
      <c r="G131" s="65" t="s">
        <v>549</v>
      </c>
      <c r="H131" s="221">
        <v>2022</v>
      </c>
      <c r="J131" s="275" t="s">
        <v>2466</v>
      </c>
      <c r="K131" s="624" t="s">
        <v>749</v>
      </c>
      <c r="L131" s="148" t="s">
        <v>792</v>
      </c>
      <c r="M131" s="989"/>
      <c r="N131" s="101">
        <v>46238</v>
      </c>
      <c r="O131" s="221" t="s">
        <v>808</v>
      </c>
    </row>
    <row r="132" spans="1:15" hidden="1" outlineLevel="1" x14ac:dyDescent="0.35">
      <c r="B132" s="212" t="s">
        <v>795</v>
      </c>
      <c r="C132" s="463" t="e">
        <f>IF(KroneårIBeregninger&lt;=SistePrognoseÅr,D132*LønnskostnadJustering,D132*Realprisjustering_ettersisteprognoseår*Realprisjustering_tilsisteprognoseår)</f>
        <v>#N/A</v>
      </c>
      <c r="D132" s="761">
        <f>D129*'1.2 Forutsetninger'!$C$208+D130*'1.2 Forutsetninger'!$C$209+D131*'1.2 Forutsetninger'!$C$210</f>
        <v>0.30500471641168031</v>
      </c>
      <c r="E132" s="104"/>
      <c r="F132" s="123"/>
      <c r="G132" s="65" t="s">
        <v>549</v>
      </c>
      <c r="H132" s="221"/>
      <c r="J132" s="272"/>
      <c r="K132" s="989"/>
      <c r="L132" s="148"/>
      <c r="M132" s="65"/>
      <c r="N132" s="991"/>
      <c r="O132" s="221"/>
    </row>
    <row r="133" spans="1:15" ht="18.5" collapsed="1" x14ac:dyDescent="0.45">
      <c r="B133" s="247" t="s">
        <v>797</v>
      </c>
      <c r="C133" s="977"/>
      <c r="D133" s="977"/>
      <c r="E133" s="976"/>
      <c r="F133" s="976"/>
      <c r="G133" s="976"/>
      <c r="H133" s="242"/>
      <c r="J133" s="247"/>
      <c r="K133" s="11"/>
      <c r="L133" s="11"/>
      <c r="M133" s="11"/>
      <c r="N133" s="11"/>
      <c r="O133" s="249"/>
    </row>
    <row r="134" spans="1:15" s="6" customFormat="1" hidden="1" outlineLevel="1" x14ac:dyDescent="0.35">
      <c r="A134" s="510"/>
      <c r="B134" s="220" t="s">
        <v>798</v>
      </c>
      <c r="C134" s="41"/>
      <c r="D134" s="41"/>
      <c r="E134" s="31"/>
      <c r="F134" s="31"/>
      <c r="G134" s="31"/>
      <c r="H134" s="245"/>
      <c r="I134" s="59"/>
      <c r="J134" s="264"/>
      <c r="K134" s="31"/>
      <c r="L134" s="31"/>
      <c r="M134" s="31"/>
      <c r="N134" s="31"/>
      <c r="O134" s="245"/>
    </row>
    <row r="135" spans="1:15" s="6" customFormat="1" hidden="1" outlineLevel="1" x14ac:dyDescent="0.35">
      <c r="A135" s="510"/>
      <c r="B135" s="218" t="s">
        <v>799</v>
      </c>
      <c r="C135" s="463" t="e">
        <f>IF(KroneårIBeregninger&lt;=SistePrognoseÅr,Helsegevinst*BNPJustering,Helsegevinst*Realprisjustering_ettersisteprognoseår*Realprisjustering_tilsisteprognoseår)</f>
        <v>#N/A</v>
      </c>
      <c r="D135" s="752">
        <f>E135*F135</f>
        <v>25.833379752698967</v>
      </c>
      <c r="E135" s="33">
        <f>'Standardsatser-Forutsetninger'!C10</f>
        <v>24.716999999999999</v>
      </c>
      <c r="F135" s="752">
        <f>1/LOOKUP($H135,StatistikkOgPrognoseÅr,BNPIndeks)</f>
        <v>1.0451664746004357</v>
      </c>
      <c r="G135" s="65" t="str">
        <f>'Standardsatser-Forutsetninger'!$D$10</f>
        <v xml:space="preserve">Kr/km </v>
      </c>
      <c r="H135" s="221">
        <f>'Standardsatser-Forutsetninger'!$E$10</f>
        <v>2023</v>
      </c>
      <c r="I135" s="59"/>
      <c r="J135" s="275" t="str">
        <f>Helsedirektoratet_2025</f>
        <v>Helsedirektoratet (2025)</v>
      </c>
      <c r="K135" s="65" t="s">
        <v>800</v>
      </c>
      <c r="L135" s="65" t="s">
        <v>801</v>
      </c>
      <c r="M135" s="959" t="s">
        <v>802</v>
      </c>
      <c r="N135" s="991">
        <v>45841</v>
      </c>
      <c r="O135" s="221" t="s">
        <v>173</v>
      </c>
    </row>
    <row r="136" spans="1:15" ht="18.5" collapsed="1" x14ac:dyDescent="0.45">
      <c r="A136" s="511"/>
      <c r="B136" s="247" t="s">
        <v>803</v>
      </c>
      <c r="C136" s="974"/>
      <c r="D136" s="974"/>
      <c r="E136" s="114"/>
      <c r="F136" s="114"/>
      <c r="G136" s="976"/>
      <c r="H136" s="242"/>
      <c r="J136" s="274"/>
      <c r="K136" s="990"/>
      <c r="L136" s="14"/>
      <c r="M136" s="14"/>
      <c r="N136" s="14"/>
      <c r="O136" s="248"/>
    </row>
    <row r="137" spans="1:15" hidden="1" outlineLevel="1" x14ac:dyDescent="0.35">
      <c r="B137" s="215" t="s">
        <v>595</v>
      </c>
      <c r="C137" s="20"/>
      <c r="D137" s="20"/>
      <c r="E137" s="31"/>
      <c r="F137" s="31"/>
      <c r="G137" s="31"/>
      <c r="H137" s="245"/>
      <c r="J137" s="264"/>
      <c r="K137" s="8"/>
      <c r="L137" s="8"/>
      <c r="M137" s="8"/>
      <c r="N137" s="8"/>
      <c r="O137" s="259"/>
    </row>
    <row r="138" spans="1:15" hidden="1" outlineLevel="1" x14ac:dyDescent="0.35">
      <c r="B138" s="212" t="s">
        <v>804</v>
      </c>
      <c r="C138" s="463" t="e">
        <f>D138*KPIJustering</f>
        <v>#N/A</v>
      </c>
      <c r="D138" s="33">
        <f>E138*F138</f>
        <v>0</v>
      </c>
      <c r="E138" s="103"/>
      <c r="F138" s="537"/>
      <c r="G138" s="65" t="s">
        <v>540</v>
      </c>
      <c r="H138" s="221">
        <f>H139</f>
        <v>2026</v>
      </c>
      <c r="J138" s="275" t="s">
        <v>2528</v>
      </c>
      <c r="K138" s="65" t="s">
        <v>800</v>
      </c>
      <c r="L138" s="17" t="s">
        <v>805</v>
      </c>
      <c r="M138" s="17" t="str">
        <f>""</f>
        <v/>
      </c>
      <c r="N138" s="69">
        <v>43312</v>
      </c>
      <c r="O138" s="213" t="s">
        <v>64</v>
      </c>
    </row>
    <row r="139" spans="1:15" hidden="1" outlineLevel="1" x14ac:dyDescent="0.35">
      <c r="B139" s="212" t="s">
        <v>806</v>
      </c>
      <c r="C139" s="463" t="e">
        <f>D139*KPIJustering</f>
        <v>#N/A</v>
      </c>
      <c r="D139" s="768">
        <f>E139*F139</f>
        <v>0.91053855084121726</v>
      </c>
      <c r="E139" s="33">
        <f>'Standardsatser-Forutsetninger'!$C$12</f>
        <v>0.93796852468530889</v>
      </c>
      <c r="F139" s="752">
        <f>1/LOOKUP($H139,StatistikkOgPrognoseÅr,BNPIndeks)</f>
        <v>0.97075597621647858</v>
      </c>
      <c r="G139" s="65" t="str">
        <f>'Standardsatser-Forutsetninger'!$D$12</f>
        <v xml:space="preserve">Kr/togkm </v>
      </c>
      <c r="H139" s="221">
        <f>'Standardsatser-Forutsetninger'!$E$12</f>
        <v>2026</v>
      </c>
      <c r="J139" s="275" t="s">
        <v>2528</v>
      </c>
      <c r="K139" s="65" t="s">
        <v>800</v>
      </c>
      <c r="L139" s="17" t="s">
        <v>807</v>
      </c>
      <c r="M139" s="959" t="s">
        <v>802</v>
      </c>
      <c r="N139" s="101">
        <v>43312</v>
      </c>
      <c r="O139" s="213" t="s">
        <v>64</v>
      </c>
    </row>
    <row r="140" spans="1:15" hidden="1" outlineLevel="1" x14ac:dyDescent="0.35">
      <c r="B140" s="215" t="s">
        <v>596</v>
      </c>
      <c r="C140" s="20"/>
      <c r="D140" s="20"/>
      <c r="E140" s="41"/>
      <c r="F140" s="978"/>
      <c r="G140" s="31"/>
      <c r="H140" s="245"/>
      <c r="J140" s="280"/>
      <c r="K140" s="992"/>
      <c r="L140" s="8"/>
      <c r="M140" s="8"/>
      <c r="N140" s="31"/>
      <c r="O140" s="259"/>
    </row>
    <row r="141" spans="1:15" hidden="1" outlineLevel="1" x14ac:dyDescent="0.35">
      <c r="B141" s="212" t="s">
        <v>804</v>
      </c>
      <c r="C141" s="463" t="e">
        <f>D141*KPIJustering</f>
        <v>#N/A</v>
      </c>
      <c r="D141" s="768">
        <f>E141*F141</f>
        <v>9.6493144035917968</v>
      </c>
      <c r="E141" s="33">
        <f>'Standardsatser-Forutsetninger'!$C$13</f>
        <v>9.94</v>
      </c>
      <c r="F141" s="752">
        <f>1/LOOKUP($H141,StatistikkOgPrognoseÅr,BNPIndeks)</f>
        <v>0.97075597621647858</v>
      </c>
      <c r="G141" s="65" t="s">
        <v>540</v>
      </c>
      <c r="H141" s="221">
        <f>'Standardsatser-Forutsetninger'!E13</f>
        <v>2026</v>
      </c>
      <c r="J141" s="275" t="s">
        <v>2528</v>
      </c>
      <c r="K141" s="65" t="s">
        <v>800</v>
      </c>
      <c r="L141" s="65" t="s">
        <v>807</v>
      </c>
      <c r="M141" s="959" t="s">
        <v>802</v>
      </c>
      <c r="N141" s="101">
        <v>44511</v>
      </c>
      <c r="O141" s="213" t="s">
        <v>808</v>
      </c>
    </row>
    <row r="142" spans="1:15" hidden="1" outlineLevel="1" x14ac:dyDescent="0.35">
      <c r="B142" s="212" t="s">
        <v>806</v>
      </c>
      <c r="C142" s="463" t="e">
        <f>D142*KPIJustering</f>
        <v>#N/A</v>
      </c>
      <c r="D142" s="463">
        <f>E142*F142</f>
        <v>12.366562292930761</v>
      </c>
      <c r="E142" s="137">
        <f>'Standardsatser-Forutsetninger'!$C$14</f>
        <v>12.7391049820053</v>
      </c>
      <c r="F142" s="752">
        <f>1/LOOKUP($H142,StatistikkOgPrognoseÅr,BNPIndeks)</f>
        <v>0.97075597621647858</v>
      </c>
      <c r="G142" s="103" t="str">
        <f>'Standardsatser-Forutsetninger'!$D$14</f>
        <v xml:space="preserve">Kr/togkm </v>
      </c>
      <c r="H142" s="221">
        <f>'Standardsatser-Forutsetninger'!E14</f>
        <v>2026</v>
      </c>
      <c r="J142" s="275" t="s">
        <v>2528</v>
      </c>
      <c r="K142" s="65" t="s">
        <v>800</v>
      </c>
      <c r="L142" s="65" t="s">
        <v>807</v>
      </c>
      <c r="M142" s="959" t="s">
        <v>802</v>
      </c>
      <c r="N142" s="101">
        <v>44511</v>
      </c>
      <c r="O142" s="213" t="s">
        <v>808</v>
      </c>
    </row>
    <row r="143" spans="1:15" hidden="1" outlineLevel="1" x14ac:dyDescent="0.35">
      <c r="B143" s="215" t="s">
        <v>809</v>
      </c>
      <c r="C143" s="20"/>
      <c r="D143" s="20"/>
      <c r="E143" s="41"/>
      <c r="F143" s="978"/>
      <c r="G143" s="31"/>
      <c r="H143" s="245"/>
      <c r="J143" s="280"/>
      <c r="K143" s="992"/>
      <c r="L143" s="8"/>
      <c r="M143" s="8"/>
      <c r="N143" s="31"/>
      <c r="O143" s="259"/>
    </row>
    <row r="144" spans="1:15" hidden="1" outlineLevel="1" x14ac:dyDescent="0.35">
      <c r="B144" s="212" t="s">
        <v>810</v>
      </c>
      <c r="C144" s="463" t="e">
        <f>D144*KPIJustering</f>
        <v>#N/A</v>
      </c>
      <c r="D144" s="765">
        <f>E144*F144</f>
        <v>9.5175946293211036E-2</v>
      </c>
      <c r="E144" s="570">
        <f>'Standardsatser-Forutsetninger'!$C$15</f>
        <v>9.8043121675294026E-2</v>
      </c>
      <c r="F144" s="752">
        <f>1/LOOKUP($H144,StatistikkOgPrognoseÅr,BNPIndeks)</f>
        <v>0.97075597621647858</v>
      </c>
      <c r="G144" s="65" t="str">
        <f>'Standardsatser-Forutsetninger'!$D$15</f>
        <v>Kr/kjøretøykm</v>
      </c>
      <c r="H144" s="221">
        <f>'Standardsatser-Forutsetninger'!$E$15</f>
        <v>2026</v>
      </c>
      <c r="J144" s="275" t="s">
        <v>2528</v>
      </c>
      <c r="K144" s="65" t="s">
        <v>800</v>
      </c>
      <c r="L144" s="17" t="s">
        <v>807</v>
      </c>
      <c r="M144" s="959" t="s">
        <v>802</v>
      </c>
      <c r="N144" s="101">
        <v>43312</v>
      </c>
      <c r="O144" s="213" t="s">
        <v>64</v>
      </c>
    </row>
    <row r="145" spans="1:15" hidden="1" outlineLevel="1" x14ac:dyDescent="0.35">
      <c r="B145" s="212" t="s">
        <v>603</v>
      </c>
      <c r="C145" s="463" t="e">
        <f t="shared" ref="C145:C148" si="17">D145*KPIJustering</f>
        <v>#N/A</v>
      </c>
      <c r="D145" s="463">
        <f t="shared" ref="D145:D148" si="18">E145*F145</f>
        <v>0.87530970945217168</v>
      </c>
      <c r="E145" s="33">
        <f>'Standardsatser-Forutsetninger'!$C$16</f>
        <v>0.90167841444941832</v>
      </c>
      <c r="F145" s="752">
        <f t="shared" ref="F145:F148" si="19">1/LOOKUP($H145,StatistikkOgPrognoseÅr,BNPIndeks)</f>
        <v>0.97075597621647858</v>
      </c>
      <c r="G145" s="65" t="str">
        <f>'Standardsatser-Forutsetninger'!$D$16</f>
        <v>Kr/kjøretøykm</v>
      </c>
      <c r="H145" s="221">
        <f>'Standardsatser-Forutsetninger'!$E$16</f>
        <v>2026</v>
      </c>
      <c r="J145" s="275" t="s">
        <v>2528</v>
      </c>
      <c r="K145" s="65" t="s">
        <v>800</v>
      </c>
      <c r="L145" s="17" t="s">
        <v>811</v>
      </c>
      <c r="M145" s="959" t="s">
        <v>802</v>
      </c>
      <c r="N145" s="101">
        <v>43312</v>
      </c>
      <c r="O145" s="213" t="s">
        <v>64</v>
      </c>
    </row>
    <row r="146" spans="1:15" hidden="1" outlineLevel="1" x14ac:dyDescent="0.35">
      <c r="B146" s="212" t="s">
        <v>605</v>
      </c>
      <c r="C146" s="463" t="e">
        <f t="shared" si="17"/>
        <v>#N/A</v>
      </c>
      <c r="D146" s="463">
        <f t="shared" si="18"/>
        <v>0.26338551146705491</v>
      </c>
      <c r="E146" s="33">
        <f>'Standardsatser-Forutsetninger'!$C$17</f>
        <v>0.27131999999999995</v>
      </c>
      <c r="F146" s="752">
        <f t="shared" si="19"/>
        <v>0.97075597621647858</v>
      </c>
      <c r="G146" s="65" t="str">
        <f>'Standardsatser-Forutsetninger'!$D$17</f>
        <v>Kr/kjøretøykm</v>
      </c>
      <c r="H146" s="221">
        <f>'Standardsatser-Forutsetninger'!$E$17</f>
        <v>2026</v>
      </c>
      <c r="J146" s="275" t="s">
        <v>2528</v>
      </c>
      <c r="K146" s="65" t="s">
        <v>800</v>
      </c>
      <c r="L146" s="17" t="s">
        <v>807</v>
      </c>
      <c r="M146" s="959" t="s">
        <v>802</v>
      </c>
      <c r="N146" s="101">
        <v>43312</v>
      </c>
      <c r="O146" s="213" t="s">
        <v>64</v>
      </c>
    </row>
    <row r="147" spans="1:15" hidden="1" outlineLevel="1" x14ac:dyDescent="0.35">
      <c r="B147" s="212" t="s">
        <v>606</v>
      </c>
      <c r="C147" s="463" t="e">
        <f t="shared" si="17"/>
        <v>#N/A</v>
      </c>
      <c r="D147" s="463">
        <f t="shared" si="18"/>
        <v>0.6533731343283582</v>
      </c>
      <c r="E147" s="33">
        <f>'Standardsatser-Forutsetninger'!$C$18</f>
        <v>0.67305599999999999</v>
      </c>
      <c r="F147" s="752">
        <f t="shared" si="19"/>
        <v>0.97075597621647858</v>
      </c>
      <c r="G147" s="65" t="str">
        <f>'Standardsatser-Forutsetninger'!$D$18</f>
        <v>Kr/kjøretøykm</v>
      </c>
      <c r="H147" s="221">
        <f>'Standardsatser-Forutsetninger'!$E$18</f>
        <v>2026</v>
      </c>
      <c r="J147" s="275" t="s">
        <v>2528</v>
      </c>
      <c r="K147" s="65" t="s">
        <v>800</v>
      </c>
      <c r="L147" s="17" t="s">
        <v>807</v>
      </c>
      <c r="M147" s="959" t="s">
        <v>802</v>
      </c>
      <c r="N147" s="101">
        <v>43312</v>
      </c>
      <c r="O147" s="213" t="s">
        <v>64</v>
      </c>
    </row>
    <row r="148" spans="1:15" hidden="1" outlineLevel="1" x14ac:dyDescent="0.35">
      <c r="B148" s="212" t="s">
        <v>604</v>
      </c>
      <c r="C148" s="463" t="e">
        <f t="shared" si="17"/>
        <v>#N/A</v>
      </c>
      <c r="D148" s="463">
        <f t="shared" si="18"/>
        <v>28.88470728379512</v>
      </c>
      <c r="E148" s="33">
        <f>'Standardsatser-Forutsetninger'!C19</f>
        <v>29.754859090719446</v>
      </c>
      <c r="F148" s="752">
        <f t="shared" si="19"/>
        <v>0.97075597621647858</v>
      </c>
      <c r="G148" s="65" t="str">
        <f>'Standardsatser-Forutsetninger'!D19</f>
        <v>Kr/fartøykm</v>
      </c>
      <c r="H148" s="221">
        <f>'Standardsatser-Forutsetninger'!$E$18</f>
        <v>2026</v>
      </c>
      <c r="J148" s="275" t="s">
        <v>2528</v>
      </c>
      <c r="K148" s="65" t="s">
        <v>800</v>
      </c>
      <c r="L148" s="17" t="s">
        <v>807</v>
      </c>
      <c r="M148" s="959" t="s">
        <v>802</v>
      </c>
      <c r="N148" s="101">
        <v>43312</v>
      </c>
      <c r="O148" s="213" t="s">
        <v>64</v>
      </c>
    </row>
    <row r="149" spans="1:15" ht="18.5" collapsed="1" x14ac:dyDescent="0.45">
      <c r="A149" s="511"/>
      <c r="B149" s="240" t="s">
        <v>812</v>
      </c>
      <c r="C149" s="977"/>
      <c r="D149" s="977"/>
      <c r="E149" s="976"/>
      <c r="F149" s="976"/>
      <c r="G149" s="976"/>
      <c r="H149" s="242"/>
      <c r="J149" s="282"/>
      <c r="K149" s="66"/>
      <c r="L149" s="66"/>
      <c r="M149" s="66"/>
      <c r="N149" s="66"/>
      <c r="O149" s="263"/>
    </row>
    <row r="150" spans="1:15" hidden="1" outlineLevel="1" x14ac:dyDescent="0.35">
      <c r="A150" s="511"/>
      <c r="B150" s="220" t="s">
        <v>813</v>
      </c>
      <c r="C150" s="979"/>
      <c r="D150" s="979"/>
      <c r="E150" s="40"/>
      <c r="F150" s="40"/>
      <c r="G150" s="40"/>
      <c r="H150" s="390"/>
      <c r="J150" s="279"/>
      <c r="K150" s="8"/>
      <c r="L150" s="8"/>
      <c r="M150" s="8"/>
      <c r="N150" s="8"/>
      <c r="O150" s="259"/>
    </row>
    <row r="151" spans="1:15" hidden="1" outlineLevel="1" x14ac:dyDescent="0.35">
      <c r="B151" s="218" t="s">
        <v>814</v>
      </c>
      <c r="C151" s="733" t="e">
        <f t="shared" ref="C151:C158" si="20">D151*BKIJustering_DV</f>
        <v>#N/A</v>
      </c>
      <c r="D151" s="733">
        <f t="shared" ref="D151:D158" si="21">E151*F151</f>
        <v>140885.07317073172</v>
      </c>
      <c r="E151" s="32">
        <v>144407.20000000001</v>
      </c>
      <c r="F151" s="752">
        <f t="shared" ref="F151:F158" si="22">1/LOOKUP($H151,StatistikkOgPrognoseÅr,BKIIndeksDV)</f>
        <v>0.97560975609756106</v>
      </c>
      <c r="G151" s="65" t="s">
        <v>815</v>
      </c>
      <c r="H151" s="221">
        <v>2026</v>
      </c>
      <c r="J151" s="218" t="s">
        <v>2496</v>
      </c>
      <c r="K151" s="17" t="s">
        <v>816</v>
      </c>
      <c r="L151" s="149" t="s">
        <v>2524</v>
      </c>
      <c r="M151" s="17"/>
      <c r="N151" s="101">
        <v>46237</v>
      </c>
      <c r="O151" s="213" t="s">
        <v>808</v>
      </c>
    </row>
    <row r="152" spans="1:15" hidden="1" outlineLevel="1" x14ac:dyDescent="0.35">
      <c r="B152" s="218" t="s">
        <v>817</v>
      </c>
      <c r="C152" s="733" t="e">
        <f t="shared" si="20"/>
        <v>#N/A</v>
      </c>
      <c r="D152" s="733">
        <f t="shared" si="21"/>
        <v>952727.34177215199</v>
      </c>
      <c r="E152" s="32">
        <v>573000</v>
      </c>
      <c r="F152" s="752">
        <f t="shared" si="22"/>
        <v>1.6627004219409285</v>
      </c>
      <c r="G152" s="65" t="s">
        <v>815</v>
      </c>
      <c r="H152" s="221">
        <v>2011</v>
      </c>
      <c r="J152" s="218" t="s">
        <v>818</v>
      </c>
      <c r="K152" s="17" t="s">
        <v>816</v>
      </c>
      <c r="L152" s="149" t="s">
        <v>819</v>
      </c>
      <c r="M152" s="17"/>
      <c r="N152" s="101">
        <v>42963</v>
      </c>
      <c r="O152" s="213" t="s">
        <v>64</v>
      </c>
    </row>
    <row r="153" spans="1:15" hidden="1" outlineLevel="1" x14ac:dyDescent="0.35">
      <c r="B153" s="218" t="s">
        <v>820</v>
      </c>
      <c r="C153" s="733" t="e">
        <f t="shared" si="20"/>
        <v>#N/A</v>
      </c>
      <c r="D153" s="733">
        <f t="shared" si="21"/>
        <v>224404.79024390248</v>
      </c>
      <c r="E153" s="32">
        <v>230014.91</v>
      </c>
      <c r="F153" s="752">
        <f t="shared" si="22"/>
        <v>0.97560975609756106</v>
      </c>
      <c r="G153" s="65" t="s">
        <v>821</v>
      </c>
      <c r="H153" s="221">
        <v>2026</v>
      </c>
      <c r="J153" s="218" t="s">
        <v>2496</v>
      </c>
      <c r="K153" s="17" t="s">
        <v>816</v>
      </c>
      <c r="L153" s="149" t="s">
        <v>2524</v>
      </c>
      <c r="M153" s="17"/>
      <c r="N153" s="101">
        <v>46237</v>
      </c>
      <c r="O153" s="213" t="s">
        <v>808</v>
      </c>
    </row>
    <row r="154" spans="1:15" hidden="1" outlineLevel="1" x14ac:dyDescent="0.35">
      <c r="B154" s="218" t="s">
        <v>822</v>
      </c>
      <c r="C154" s="733" t="e">
        <f t="shared" si="20"/>
        <v>#N/A</v>
      </c>
      <c r="D154" s="733">
        <f t="shared" si="21"/>
        <v>560074.52682926832</v>
      </c>
      <c r="E154" s="32">
        <v>574076.39</v>
      </c>
      <c r="F154" s="752">
        <f t="shared" si="22"/>
        <v>0.97560975609756106</v>
      </c>
      <c r="G154" s="65" t="s">
        <v>821</v>
      </c>
      <c r="H154" s="221">
        <v>2026</v>
      </c>
      <c r="J154" s="218" t="s">
        <v>2496</v>
      </c>
      <c r="K154" s="17" t="s">
        <v>816</v>
      </c>
      <c r="L154" s="149" t="s">
        <v>2524</v>
      </c>
      <c r="M154" s="17"/>
      <c r="N154" s="101">
        <v>46237</v>
      </c>
      <c r="O154" s="213" t="s">
        <v>808</v>
      </c>
    </row>
    <row r="155" spans="1:15" hidden="1" outlineLevel="1" x14ac:dyDescent="0.35">
      <c r="B155" s="218" t="s">
        <v>823</v>
      </c>
      <c r="C155" s="733" t="e">
        <f t="shared" ref="C155" si="23">D155*BKIJustering_DV</f>
        <v>#N/A</v>
      </c>
      <c r="D155" s="733">
        <f t="shared" ref="D155" si="24">E155*F155</f>
        <v>5584880.0975609757</v>
      </c>
      <c r="E155" s="32">
        <v>5724502.0999999996</v>
      </c>
      <c r="F155" s="752">
        <f t="shared" si="22"/>
        <v>0.97560975609756106</v>
      </c>
      <c r="G155" s="65" t="s">
        <v>821</v>
      </c>
      <c r="H155" s="221">
        <v>2026</v>
      </c>
      <c r="J155" s="218" t="s">
        <v>2496</v>
      </c>
      <c r="K155" s="17" t="s">
        <v>816</v>
      </c>
      <c r="L155" s="149" t="s">
        <v>2524</v>
      </c>
      <c r="M155" s="17"/>
      <c r="N155" s="101">
        <v>46237</v>
      </c>
      <c r="O155" s="213" t="s">
        <v>808</v>
      </c>
    </row>
    <row r="156" spans="1:15" hidden="1" outlineLevel="1" x14ac:dyDescent="0.35">
      <c r="B156" s="218" t="s">
        <v>1029</v>
      </c>
      <c r="C156" s="733" t="e">
        <f>D156*BKIJustering_DV</f>
        <v>#N/A</v>
      </c>
      <c r="D156" s="733">
        <f>E156*F156</f>
        <v>130164.87804878051</v>
      </c>
      <c r="E156" s="32">
        <v>133419</v>
      </c>
      <c r="F156" s="752">
        <f t="shared" si="22"/>
        <v>0.97560975609756106</v>
      </c>
      <c r="G156" s="65" t="s">
        <v>821</v>
      </c>
      <c r="H156" s="221">
        <v>2026</v>
      </c>
      <c r="J156" s="275" t="s">
        <v>2496</v>
      </c>
      <c r="K156" s="17" t="s">
        <v>816</v>
      </c>
      <c r="L156" s="148" t="s">
        <v>2497</v>
      </c>
      <c r="M156" s="72"/>
      <c r="N156" s="101">
        <v>46237</v>
      </c>
      <c r="O156" s="221" t="s">
        <v>808</v>
      </c>
    </row>
    <row r="157" spans="1:15" hidden="1" outlineLevel="1" x14ac:dyDescent="0.35">
      <c r="B157" s="218" t="s">
        <v>824</v>
      </c>
      <c r="C157" s="733" t="e">
        <f t="shared" si="20"/>
        <v>#N/A</v>
      </c>
      <c r="D157" s="765">
        <f t="shared" si="21"/>
        <v>24.01</v>
      </c>
      <c r="E157" s="399">
        <f>'Standardsatser-Forutsetninger'!C28</f>
        <v>24.01</v>
      </c>
      <c r="F157" s="752">
        <f t="shared" si="22"/>
        <v>1</v>
      </c>
      <c r="G157" s="103" t="str">
        <f>'Standardsatser-Forutsetninger'!D28</f>
        <v>Kr/settkm</v>
      </c>
      <c r="H157" s="261">
        <v>2025</v>
      </c>
      <c r="I157" s="198"/>
      <c r="J157" s="275" t="s">
        <v>825</v>
      </c>
      <c r="K157" s="17" t="s">
        <v>816</v>
      </c>
      <c r="L157" s="148" t="s">
        <v>826</v>
      </c>
      <c r="M157" s="959" t="s">
        <v>802</v>
      </c>
      <c r="N157" s="101">
        <v>46045</v>
      </c>
      <c r="O157" s="221" t="s">
        <v>808</v>
      </c>
    </row>
    <row r="158" spans="1:15" hidden="1" outlineLevel="1" x14ac:dyDescent="0.35">
      <c r="B158" s="218" t="s">
        <v>827</v>
      </c>
      <c r="C158" s="733" t="e">
        <f t="shared" si="20"/>
        <v>#N/A</v>
      </c>
      <c r="D158" s="765">
        <f t="shared" si="21"/>
        <v>24.01</v>
      </c>
      <c r="E158" s="399">
        <f>'Standardsatser-Forutsetninger'!C29</f>
        <v>24.01</v>
      </c>
      <c r="F158" s="752">
        <f t="shared" si="22"/>
        <v>1</v>
      </c>
      <c r="G158" s="103" t="str">
        <f>'Standardsatser-Forutsetninger'!D29</f>
        <v>Kr/togkm</v>
      </c>
      <c r="H158" s="261">
        <f>'Standardsatser-Forutsetninger'!E29</f>
        <v>2025</v>
      </c>
      <c r="J158" s="275" t="s">
        <v>825</v>
      </c>
      <c r="K158" s="17" t="s">
        <v>816</v>
      </c>
      <c r="L158" s="148" t="s">
        <v>826</v>
      </c>
      <c r="M158" s="959" t="s">
        <v>802</v>
      </c>
      <c r="N158" s="101">
        <v>46045</v>
      </c>
      <c r="O158" s="221" t="s">
        <v>808</v>
      </c>
    </row>
    <row r="159" spans="1:15" hidden="1" outlineLevel="1" x14ac:dyDescent="0.35">
      <c r="A159" s="511"/>
      <c r="B159" s="220" t="s">
        <v>809</v>
      </c>
      <c r="C159" s="20"/>
      <c r="D159" s="20"/>
      <c r="E159" s="31"/>
      <c r="F159" s="31"/>
      <c r="G159" s="31"/>
      <c r="H159" s="245"/>
      <c r="J159" s="277"/>
      <c r="K159" s="962"/>
      <c r="L159" s="8"/>
      <c r="M159" s="8"/>
      <c r="N159" s="8"/>
      <c r="O159" s="259"/>
    </row>
    <row r="160" spans="1:15" hidden="1" outlineLevel="1" x14ac:dyDescent="0.35">
      <c r="A160" s="511"/>
      <c r="B160" s="218" t="s">
        <v>828</v>
      </c>
      <c r="C160" s="463" t="e">
        <f>D160*BKIJustering_DV</f>
        <v>#N/A</v>
      </c>
      <c r="D160" s="765">
        <f>E160*F160</f>
        <v>4.0508737864077674E-2</v>
      </c>
      <c r="E160" s="571">
        <v>0.03</v>
      </c>
      <c r="F160" s="752">
        <f>1/LOOKUP($H160,StatistikkOgPrognoseÅr,BKIIndeksDV)</f>
        <v>1.3502912621359224</v>
      </c>
      <c r="G160" s="103" t="s">
        <v>549</v>
      </c>
      <c r="H160" s="221">
        <v>2019</v>
      </c>
      <c r="J160" s="275" t="s">
        <v>494</v>
      </c>
      <c r="K160" s="17" t="s">
        <v>816</v>
      </c>
      <c r="L160" s="148" t="s">
        <v>829</v>
      </c>
      <c r="M160" s="959"/>
      <c r="N160" s="101">
        <v>43696</v>
      </c>
      <c r="O160" s="221" t="s">
        <v>64</v>
      </c>
    </row>
    <row r="161" spans="1:15" hidden="1" outlineLevel="1" x14ac:dyDescent="0.35">
      <c r="A161" s="511"/>
      <c r="B161" s="218" t="s">
        <v>830</v>
      </c>
      <c r="C161" s="463" t="e">
        <f>D161*BKIJustering_DV</f>
        <v>#N/A</v>
      </c>
      <c r="D161" s="765">
        <f>E161*F161</f>
        <v>4.0508737864077674E-2</v>
      </c>
      <c r="E161" s="571">
        <v>0.03</v>
      </c>
      <c r="F161" s="752">
        <f>1/LOOKUP($H161,StatistikkOgPrognoseÅr,BKIIndeksDV)</f>
        <v>1.3502912621359224</v>
      </c>
      <c r="G161" s="103" t="s">
        <v>549</v>
      </c>
      <c r="H161" s="221">
        <v>2019</v>
      </c>
      <c r="J161" s="275" t="s">
        <v>494</v>
      </c>
      <c r="K161" s="17" t="s">
        <v>816</v>
      </c>
      <c r="L161" s="148" t="s">
        <v>829</v>
      </c>
      <c r="M161" s="959"/>
      <c r="N161" s="101">
        <v>43696</v>
      </c>
      <c r="O161" s="221" t="s">
        <v>64</v>
      </c>
    </row>
    <row r="162" spans="1:15" hidden="1" outlineLevel="1" x14ac:dyDescent="0.35">
      <c r="A162" s="511"/>
      <c r="B162" s="218" t="s">
        <v>831</v>
      </c>
      <c r="C162" s="733" t="e">
        <f>D162*BKIJustering_DV</f>
        <v>#N/A</v>
      </c>
      <c r="D162" s="770">
        <f>E162*F162</f>
        <v>1.0976601671309191E-2</v>
      </c>
      <c r="E162" s="1221">
        <v>0.01</v>
      </c>
      <c r="F162" s="752">
        <f>1/LOOKUP($H162,StatistikkOgPrognoseÅr,BKIIndeksDV)</f>
        <v>1.0976601671309192</v>
      </c>
      <c r="G162" s="65" t="s">
        <v>549</v>
      </c>
      <c r="H162" s="221">
        <v>2022</v>
      </c>
      <c r="J162" s="275" t="s">
        <v>2466</v>
      </c>
      <c r="K162" s="17" t="s">
        <v>816</v>
      </c>
      <c r="L162" s="148" t="s">
        <v>2500</v>
      </c>
      <c r="M162" s="959"/>
      <c r="N162" s="101">
        <v>46106</v>
      </c>
      <c r="O162" s="221" t="s">
        <v>808</v>
      </c>
    </row>
    <row r="163" spans="1:15" hidden="1" outlineLevel="1" x14ac:dyDescent="0.35">
      <c r="A163" s="511"/>
      <c r="B163" s="218" t="s">
        <v>2472</v>
      </c>
      <c r="C163" s="733" t="e">
        <f>D163*BKIJustering_DV</f>
        <v>#N/A</v>
      </c>
      <c r="D163" s="765">
        <f>E163*F163</f>
        <v>0.27880568245125348</v>
      </c>
      <c r="E163" s="399">
        <f>'Standardsatser-Forutsetninger'!C31</f>
        <v>0.254</v>
      </c>
      <c r="F163" s="752">
        <f>1/LOOKUP($H163,StatistikkOgPrognoseÅr,BKIIndeksDV)</f>
        <v>1.0976601671309192</v>
      </c>
      <c r="G163" s="103" t="s">
        <v>549</v>
      </c>
      <c r="H163" s="261">
        <v>2022</v>
      </c>
      <c r="J163" s="275" t="s">
        <v>2466</v>
      </c>
      <c r="K163" s="17" t="s">
        <v>816</v>
      </c>
      <c r="L163" s="148" t="s">
        <v>2501</v>
      </c>
      <c r="M163" s="959"/>
      <c r="N163" s="101">
        <v>46106</v>
      </c>
      <c r="O163" s="221" t="s">
        <v>808</v>
      </c>
    </row>
    <row r="164" spans="1:15" hidden="1" outlineLevel="1" x14ac:dyDescent="0.35">
      <c r="A164" s="545"/>
      <c r="B164" s="218" t="s">
        <v>2473</v>
      </c>
      <c r="C164" s="733" t="e">
        <f>D164*BKIJustering_DV</f>
        <v>#N/A</v>
      </c>
      <c r="D164" s="765">
        <f>E164*F164</f>
        <v>0.40613426183844009</v>
      </c>
      <c r="E164" s="399">
        <f>'Standardsatser-Forutsetninger'!C32</f>
        <v>0.37</v>
      </c>
      <c r="F164" s="752">
        <f>1/LOOKUP($H164,StatistikkOgPrognoseÅr,BKIIndeksDV)</f>
        <v>1.0976601671309192</v>
      </c>
      <c r="G164" s="103" t="s">
        <v>549</v>
      </c>
      <c r="H164" s="261">
        <v>2022</v>
      </c>
      <c r="J164" s="275" t="s">
        <v>2466</v>
      </c>
      <c r="K164" s="17" t="s">
        <v>816</v>
      </c>
      <c r="L164" s="148" t="s">
        <v>2502</v>
      </c>
      <c r="M164" s="959"/>
      <c r="N164" s="101">
        <v>46106</v>
      </c>
      <c r="O164" s="221" t="s">
        <v>808</v>
      </c>
    </row>
    <row r="165" spans="1:15" ht="18.5" collapsed="1" x14ac:dyDescent="0.45">
      <c r="B165" s="247" t="s">
        <v>832</v>
      </c>
      <c r="C165" s="977"/>
      <c r="D165" s="977"/>
      <c r="E165" s="11"/>
      <c r="F165" s="11"/>
      <c r="G165" s="11"/>
      <c r="H165" s="249"/>
      <c r="J165" s="283"/>
      <c r="K165" s="14"/>
      <c r="L165" s="14"/>
      <c r="M165" s="14"/>
      <c r="N165" s="14"/>
      <c r="O165" s="248"/>
    </row>
    <row r="166" spans="1:15" hidden="1" outlineLevel="1" x14ac:dyDescent="0.35">
      <c r="B166" s="215" t="s">
        <v>833</v>
      </c>
      <c r="C166" s="979"/>
      <c r="D166" s="979"/>
      <c r="E166" s="9"/>
      <c r="F166" s="9"/>
      <c r="G166" s="9"/>
      <c r="H166" s="216"/>
      <c r="J166" s="279"/>
      <c r="K166" s="8"/>
      <c r="L166" s="8"/>
      <c r="M166" s="8"/>
      <c r="N166" s="8"/>
      <c r="O166" s="259"/>
    </row>
    <row r="167" spans="1:15" hidden="1" outlineLevel="1" x14ac:dyDescent="0.35">
      <c r="B167" s="218" t="s">
        <v>834</v>
      </c>
      <c r="C167" s="733" t="e">
        <f>IF(KroneårIBeregninger&lt;=SistePrognoseÅr,TimeLønnLokfører*LønnskostnadJustering,TimeLønnLokfører*Realprisjustering_tilsisteprognoseår*Realprisjustering_ettersisteprognoseår)</f>
        <v>#N/A</v>
      </c>
      <c r="D167" s="765">
        <f>E167*F167</f>
        <v>894.41902702702714</v>
      </c>
      <c r="E167" s="566">
        <f>'Standardsatser-Forutsetninger'!$C$34</f>
        <v>894.41902702702714</v>
      </c>
      <c r="F167" s="752">
        <f>1/LOOKUP($H167,StatistikkOgPrognoseÅr,Lønnskostnadsindeks)</f>
        <v>1</v>
      </c>
      <c r="G167" s="103" t="str">
        <f>'Standardsatser-Forutsetninger'!$D$34</f>
        <v>Kr per time</v>
      </c>
      <c r="H167" s="261">
        <v>2025</v>
      </c>
      <c r="J167" s="287" t="s">
        <v>2510</v>
      </c>
      <c r="K167" s="17" t="s">
        <v>835</v>
      </c>
      <c r="L167" s="148" t="s">
        <v>836</v>
      </c>
      <c r="M167" s="72" t="s">
        <v>802</v>
      </c>
      <c r="N167" s="101">
        <v>46162</v>
      </c>
      <c r="O167" s="221" t="s">
        <v>808</v>
      </c>
    </row>
    <row r="168" spans="1:15" hidden="1" outlineLevel="1" x14ac:dyDescent="0.35">
      <c r="B168" s="218" t="s">
        <v>837</v>
      </c>
      <c r="C168" s="733" t="e">
        <f>IF(KroneårIBeregninger&lt;=SistePrognoseÅr,TimeLønnTogfører*LønnskostnadJustering,TimeLønnTogfører*Realprisjustering_tilsisteprognoseår*Realprisjustering_ettersisteprognoseår)</f>
        <v>#N/A</v>
      </c>
      <c r="D168" s="765">
        <f>E168*F168</f>
        <v>791.65751351351355</v>
      </c>
      <c r="E168" s="566">
        <f>'Standardsatser-Forutsetninger'!$C$35</f>
        <v>791.65751351351355</v>
      </c>
      <c r="F168" s="752">
        <f>1/LOOKUP($H168,StatistikkOgPrognoseÅr,Lønnskostnadsindeks)</f>
        <v>1</v>
      </c>
      <c r="G168" s="103" t="str">
        <f>'Standardsatser-Forutsetninger'!$D$35</f>
        <v>Kr per time</v>
      </c>
      <c r="H168" s="261">
        <v>2025</v>
      </c>
      <c r="J168" s="287" t="s">
        <v>2510</v>
      </c>
      <c r="K168" s="17" t="s">
        <v>835</v>
      </c>
      <c r="L168" s="148" t="s">
        <v>836</v>
      </c>
      <c r="M168" s="72" t="s">
        <v>802</v>
      </c>
      <c r="N168" s="101">
        <v>46162</v>
      </c>
      <c r="O168" s="221" t="s">
        <v>808</v>
      </c>
    </row>
    <row r="169" spans="1:15" ht="18.5" collapsed="1" x14ac:dyDescent="0.45">
      <c r="A169" s="511"/>
      <c r="B169" s="240" t="s">
        <v>838</v>
      </c>
      <c r="C169" s="980"/>
      <c r="D169" s="980"/>
      <c r="E169" s="981"/>
      <c r="F169" s="981"/>
      <c r="G169" s="66"/>
      <c r="H169" s="263"/>
      <c r="J169" s="282"/>
      <c r="K169" s="66"/>
      <c r="L169" s="66"/>
      <c r="M169" s="66"/>
      <c r="N169" s="66"/>
      <c r="O169" s="263"/>
    </row>
    <row r="170" spans="1:15" x14ac:dyDescent="0.35">
      <c r="B170" s="220" t="s">
        <v>2504</v>
      </c>
      <c r="C170" s="41"/>
      <c r="D170" s="41"/>
      <c r="E170" s="982"/>
      <c r="F170" s="982"/>
      <c r="G170" s="31"/>
      <c r="H170" s="245"/>
      <c r="J170" s="284"/>
      <c r="K170" s="982"/>
      <c r="L170" s="982"/>
      <c r="M170" s="982"/>
      <c r="N170" s="982"/>
      <c r="O170" s="285"/>
    </row>
    <row r="171" spans="1:15" hidden="1" outlineLevel="1" x14ac:dyDescent="0.35">
      <c r="B171" s="218" t="s">
        <v>839</v>
      </c>
      <c r="C171" s="631" t="e">
        <f t="shared" ref="C171:C192" si="25">D171*KPIJustering</f>
        <v>#N/A</v>
      </c>
      <c r="D171" s="631">
        <f t="shared" ref="D171:D192" si="26">E171*F171</f>
        <v>156.6255924170616</v>
      </c>
      <c r="E171" s="160">
        <v>120</v>
      </c>
      <c r="F171" s="463">
        <f t="shared" ref="F171:F192" si="27">1/LOOKUP($H171,StatistikkOgPrognoseÅr,KPIIndeks)</f>
        <v>1.3052132701421799</v>
      </c>
      <c r="G171" s="65" t="s">
        <v>840</v>
      </c>
      <c r="H171" s="221">
        <v>2017</v>
      </c>
      <c r="J171" s="275" t="s">
        <v>2529</v>
      </c>
      <c r="K171" s="624" t="s">
        <v>735</v>
      </c>
      <c r="L171" s="994" t="s">
        <v>841</v>
      </c>
      <c r="M171" s="103"/>
      <c r="N171" s="101">
        <v>43028</v>
      </c>
      <c r="O171" s="213" t="s">
        <v>64</v>
      </c>
    </row>
    <row r="172" spans="1:15" hidden="1" outlineLevel="1" x14ac:dyDescent="0.35">
      <c r="B172" s="218" t="s">
        <v>2581</v>
      </c>
      <c r="C172" s="631" t="e">
        <f t="shared" ref="C172:C173" si="28">D172*KPIJustering</f>
        <v>#N/A</v>
      </c>
      <c r="D172" s="631">
        <f t="shared" ref="D172:D173" si="29">E172*F172</f>
        <v>32.982035928143709</v>
      </c>
      <c r="E172" s="160">
        <v>32</v>
      </c>
      <c r="F172" s="463">
        <f t="shared" si="27"/>
        <v>1.0306886227544909</v>
      </c>
      <c r="G172" s="65" t="s">
        <v>840</v>
      </c>
      <c r="H172" s="221">
        <v>2024</v>
      </c>
      <c r="J172" s="275" t="s">
        <v>2529</v>
      </c>
      <c r="K172" s="17" t="s">
        <v>735</v>
      </c>
      <c r="L172" s="148" t="s">
        <v>2462</v>
      </c>
      <c r="M172" s="103"/>
      <c r="N172" s="101">
        <v>46269</v>
      </c>
      <c r="O172" s="213" t="s">
        <v>808</v>
      </c>
    </row>
    <row r="173" spans="1:15" hidden="1" outlineLevel="1" x14ac:dyDescent="0.35">
      <c r="B173" s="218" t="s">
        <v>2582</v>
      </c>
      <c r="C173" s="631" t="e">
        <f t="shared" si="28"/>
        <v>#N/A</v>
      </c>
      <c r="D173" s="631">
        <f t="shared" si="29"/>
        <v>32.982035928143709</v>
      </c>
      <c r="E173" s="160">
        <v>32</v>
      </c>
      <c r="F173" s="463">
        <f t="shared" si="27"/>
        <v>1.0306886227544909</v>
      </c>
      <c r="G173" s="65" t="s">
        <v>840</v>
      </c>
      <c r="H173" s="221">
        <v>2024</v>
      </c>
      <c r="J173" s="275" t="s">
        <v>2529</v>
      </c>
      <c r="K173" s="17" t="s">
        <v>735</v>
      </c>
      <c r="L173" s="148" t="s">
        <v>2462</v>
      </c>
      <c r="M173" s="103"/>
      <c r="N173" s="101">
        <v>46269</v>
      </c>
      <c r="O173" s="213" t="s">
        <v>808</v>
      </c>
    </row>
    <row r="174" spans="1:15" hidden="1" outlineLevel="1" x14ac:dyDescent="0.35">
      <c r="B174" s="218" t="s">
        <v>842</v>
      </c>
      <c r="C174" s="733" t="e">
        <f t="shared" si="25"/>
        <v>#N/A</v>
      </c>
      <c r="D174" s="770">
        <f t="shared" si="26"/>
        <v>102.0381736526946</v>
      </c>
      <c r="E174" s="1221">
        <v>99</v>
      </c>
      <c r="F174" s="752">
        <f t="shared" si="27"/>
        <v>1.0306886227544909</v>
      </c>
      <c r="G174" s="65" t="s">
        <v>840</v>
      </c>
      <c r="H174" s="221">
        <v>2024</v>
      </c>
      <c r="J174" s="275" t="s">
        <v>2529</v>
      </c>
      <c r="K174" s="17" t="s">
        <v>735</v>
      </c>
      <c r="L174" s="148" t="s">
        <v>2462</v>
      </c>
      <c r="M174" s="72"/>
      <c r="N174" s="101">
        <v>46162</v>
      </c>
      <c r="O174" s="221" t="s">
        <v>808</v>
      </c>
    </row>
    <row r="175" spans="1:15" hidden="1" outlineLevel="1" x14ac:dyDescent="0.35">
      <c r="B175" s="218" t="s">
        <v>843</v>
      </c>
      <c r="C175" s="733" t="e">
        <f t="shared" si="25"/>
        <v>#N/A</v>
      </c>
      <c r="D175" s="765">
        <f t="shared" si="26"/>
        <v>104.09955089820359</v>
      </c>
      <c r="E175" s="399">
        <v>101</v>
      </c>
      <c r="F175" s="752">
        <f t="shared" si="27"/>
        <v>1.0306886227544909</v>
      </c>
      <c r="G175" s="103" t="s">
        <v>840</v>
      </c>
      <c r="H175" s="261">
        <v>2024</v>
      </c>
      <c r="J175" s="275" t="s">
        <v>2529</v>
      </c>
      <c r="K175" s="17" t="s">
        <v>735</v>
      </c>
      <c r="L175" s="148" t="s">
        <v>2462</v>
      </c>
      <c r="M175" s="72"/>
      <c r="N175" s="101">
        <v>46162</v>
      </c>
      <c r="O175" s="221" t="s">
        <v>808</v>
      </c>
    </row>
    <row r="176" spans="1:15" hidden="1" outlineLevel="1" x14ac:dyDescent="0.35">
      <c r="B176" s="218" t="s">
        <v>2566</v>
      </c>
      <c r="C176" s="733" t="e">
        <f t="shared" si="25"/>
        <v>#N/A</v>
      </c>
      <c r="D176" s="765">
        <f t="shared" si="26"/>
        <v>128.83607784431138</v>
      </c>
      <c r="E176" s="399">
        <v>125</v>
      </c>
      <c r="F176" s="752">
        <f t="shared" si="27"/>
        <v>1.0306886227544909</v>
      </c>
      <c r="G176" s="103" t="s">
        <v>2567</v>
      </c>
      <c r="H176" s="261">
        <v>2024</v>
      </c>
      <c r="J176" s="275" t="s">
        <v>2529</v>
      </c>
      <c r="K176" s="17" t="s">
        <v>735</v>
      </c>
      <c r="L176" s="148" t="s">
        <v>2462</v>
      </c>
      <c r="M176" s="72"/>
      <c r="N176" s="101">
        <v>46268</v>
      </c>
      <c r="O176" s="221" t="s">
        <v>808</v>
      </c>
    </row>
    <row r="177" spans="2:15" hidden="1" outlineLevel="1" x14ac:dyDescent="0.35">
      <c r="B177" s="218" t="s">
        <v>844</v>
      </c>
      <c r="C177" s="733" t="e">
        <f t="shared" si="25"/>
        <v>#N/A</v>
      </c>
      <c r="D177" s="765">
        <f t="shared" si="26"/>
        <v>58.749251497005979</v>
      </c>
      <c r="E177" s="399">
        <v>57</v>
      </c>
      <c r="F177" s="752">
        <f t="shared" si="27"/>
        <v>1.0306886227544909</v>
      </c>
      <c r="G177" s="103" t="s">
        <v>840</v>
      </c>
      <c r="H177" s="261">
        <v>2024</v>
      </c>
      <c r="J177" s="275" t="s">
        <v>2529</v>
      </c>
      <c r="K177" s="17" t="s">
        <v>735</v>
      </c>
      <c r="L177" s="148" t="s">
        <v>2462</v>
      </c>
      <c r="M177" s="72"/>
      <c r="N177" s="101">
        <v>46162</v>
      </c>
      <c r="O177" s="221" t="s">
        <v>808</v>
      </c>
    </row>
    <row r="178" spans="2:15" hidden="1" outlineLevel="1" x14ac:dyDescent="0.35">
      <c r="B178" s="218" t="s">
        <v>845</v>
      </c>
      <c r="C178" s="631" t="e">
        <f t="shared" si="25"/>
        <v>#N/A</v>
      </c>
      <c r="D178" s="631">
        <f t="shared" si="26"/>
        <v>202.49999999999997</v>
      </c>
      <c r="E178" s="160">
        <v>165</v>
      </c>
      <c r="F178" s="463">
        <f t="shared" si="27"/>
        <v>1.2272727272727271</v>
      </c>
      <c r="G178" s="65" t="s">
        <v>840</v>
      </c>
      <c r="H178" s="221">
        <v>2020</v>
      </c>
      <c r="J178" s="275" t="s">
        <v>2529</v>
      </c>
      <c r="K178" s="624" t="s">
        <v>735</v>
      </c>
      <c r="L178" s="994" t="s">
        <v>841</v>
      </c>
      <c r="M178" s="103"/>
      <c r="N178" s="101">
        <v>43028</v>
      </c>
      <c r="O178" s="213" t="s">
        <v>64</v>
      </c>
    </row>
    <row r="179" spans="2:15" hidden="1" outlineLevel="1" x14ac:dyDescent="0.35">
      <c r="B179" s="218" t="s">
        <v>846</v>
      </c>
      <c r="C179" s="631" t="e">
        <f t="shared" si="25"/>
        <v>#N/A</v>
      </c>
      <c r="D179" s="631">
        <f t="shared" si="26"/>
        <v>147.27272727272725</v>
      </c>
      <c r="E179" s="160">
        <v>120</v>
      </c>
      <c r="F179" s="463">
        <f t="shared" si="27"/>
        <v>1.2272727272727271</v>
      </c>
      <c r="G179" s="65" t="s">
        <v>840</v>
      </c>
      <c r="H179" s="221">
        <v>2020</v>
      </c>
      <c r="J179" s="275" t="s">
        <v>2529</v>
      </c>
      <c r="K179" s="624" t="s">
        <v>735</v>
      </c>
      <c r="L179" s="994" t="s">
        <v>841</v>
      </c>
      <c r="M179" s="103"/>
      <c r="N179" s="101">
        <v>43909</v>
      </c>
      <c r="O179" s="213" t="s">
        <v>102</v>
      </c>
    </row>
    <row r="180" spans="2:15" hidden="1" outlineLevel="1" x14ac:dyDescent="0.35">
      <c r="B180" s="218" t="s">
        <v>847</v>
      </c>
      <c r="C180" s="733" t="e">
        <f t="shared" si="25"/>
        <v>#N/A</v>
      </c>
      <c r="D180" s="770">
        <f t="shared" si="26"/>
        <v>50.503742514970057</v>
      </c>
      <c r="E180" s="1221">
        <v>49</v>
      </c>
      <c r="F180" s="752">
        <f t="shared" si="27"/>
        <v>1.0306886227544909</v>
      </c>
      <c r="G180" s="65" t="s">
        <v>840</v>
      </c>
      <c r="H180" s="221">
        <v>2024</v>
      </c>
      <c r="J180" s="275" t="s">
        <v>2529</v>
      </c>
      <c r="K180" s="17" t="s">
        <v>735</v>
      </c>
      <c r="L180" s="148" t="s">
        <v>2462</v>
      </c>
      <c r="M180" s="72"/>
      <c r="N180" s="101">
        <v>46162</v>
      </c>
      <c r="O180" s="221" t="s">
        <v>808</v>
      </c>
    </row>
    <row r="181" spans="2:15" hidden="1" outlineLevel="1" x14ac:dyDescent="0.35">
      <c r="B181" s="218" t="s">
        <v>848</v>
      </c>
      <c r="C181" s="733" t="e">
        <f t="shared" si="25"/>
        <v>#N/A</v>
      </c>
      <c r="D181" s="765">
        <f t="shared" si="26"/>
        <v>174.18637724550896</v>
      </c>
      <c r="E181" s="399">
        <v>169</v>
      </c>
      <c r="F181" s="752">
        <f t="shared" si="27"/>
        <v>1.0306886227544909</v>
      </c>
      <c r="G181" s="103" t="s">
        <v>840</v>
      </c>
      <c r="H181" s="261">
        <v>2024</v>
      </c>
      <c r="J181" s="275" t="s">
        <v>2529</v>
      </c>
      <c r="K181" s="17" t="s">
        <v>735</v>
      </c>
      <c r="L181" s="148" t="s">
        <v>2462</v>
      </c>
      <c r="M181" s="72"/>
      <c r="N181" s="101">
        <v>46162</v>
      </c>
      <c r="O181" s="221" t="s">
        <v>808</v>
      </c>
    </row>
    <row r="182" spans="2:15" hidden="1" outlineLevel="1" x14ac:dyDescent="0.35">
      <c r="B182" s="218" t="s">
        <v>2568</v>
      </c>
      <c r="C182" s="733" t="e">
        <f t="shared" ref="C182:C183" si="30">D182*KPIJustering</f>
        <v>#N/A</v>
      </c>
      <c r="D182" s="765">
        <f t="shared" ref="D182:D183" si="31">E182*F182</f>
        <v>185</v>
      </c>
      <c r="E182" s="399">
        <v>185</v>
      </c>
      <c r="F182" s="752">
        <f t="shared" si="27"/>
        <v>1</v>
      </c>
      <c r="G182" s="103" t="s">
        <v>2567</v>
      </c>
      <c r="H182" s="261">
        <v>2025</v>
      </c>
      <c r="J182" s="275" t="s">
        <v>2529</v>
      </c>
      <c r="K182" s="17" t="s">
        <v>735</v>
      </c>
      <c r="L182" s="148" t="s">
        <v>2593</v>
      </c>
      <c r="M182" s="72"/>
      <c r="N182" s="101">
        <v>46269</v>
      </c>
      <c r="O182" s="221" t="s">
        <v>808</v>
      </c>
    </row>
    <row r="183" spans="2:15" hidden="1" outlineLevel="1" x14ac:dyDescent="0.35">
      <c r="B183" s="218" t="s">
        <v>2569</v>
      </c>
      <c r="C183" s="733" t="e">
        <f t="shared" si="30"/>
        <v>#N/A</v>
      </c>
      <c r="D183" s="765">
        <f t="shared" si="31"/>
        <v>185</v>
      </c>
      <c r="E183" s="399">
        <v>185</v>
      </c>
      <c r="F183" s="752">
        <f t="shared" si="27"/>
        <v>1</v>
      </c>
      <c r="G183" s="103" t="s">
        <v>2567</v>
      </c>
      <c r="H183" s="221">
        <v>2025</v>
      </c>
      <c r="J183" s="275" t="s">
        <v>2529</v>
      </c>
      <c r="K183" s="17" t="s">
        <v>735</v>
      </c>
      <c r="L183" s="148" t="s">
        <v>2593</v>
      </c>
      <c r="M183" s="72"/>
      <c r="N183" s="101">
        <v>46269</v>
      </c>
      <c r="O183" s="221" t="s">
        <v>808</v>
      </c>
    </row>
    <row r="184" spans="2:15" hidden="1" outlineLevel="1" x14ac:dyDescent="0.35">
      <c r="B184" s="218" t="s">
        <v>2573</v>
      </c>
      <c r="C184" s="733" t="e">
        <f t="shared" ref="C184:C188" si="32">D184*KPIJustering</f>
        <v>#N/A</v>
      </c>
      <c r="D184" s="765">
        <f t="shared" ref="D184:D188" si="33">E184*F184</f>
        <v>368.98652694610774</v>
      </c>
      <c r="E184" s="399">
        <v>358</v>
      </c>
      <c r="F184" s="752">
        <f t="shared" si="27"/>
        <v>1.0306886227544909</v>
      </c>
      <c r="G184" s="65" t="s">
        <v>840</v>
      </c>
      <c r="H184" s="261">
        <v>2024</v>
      </c>
      <c r="J184" s="275" t="s">
        <v>2529</v>
      </c>
      <c r="K184" s="17" t="s">
        <v>735</v>
      </c>
      <c r="L184" s="148" t="s">
        <v>2593</v>
      </c>
      <c r="M184" s="72"/>
      <c r="N184" s="101">
        <v>46269</v>
      </c>
      <c r="O184" s="221" t="s">
        <v>808</v>
      </c>
    </row>
    <row r="185" spans="2:15" hidden="1" outlineLevel="1" x14ac:dyDescent="0.35">
      <c r="B185" s="218" t="s">
        <v>2574</v>
      </c>
      <c r="C185" s="733" t="e">
        <f t="shared" ref="C185" si="34">D185*KPIJustering</f>
        <v>#N/A</v>
      </c>
      <c r="D185" s="765">
        <f t="shared" ref="D185" si="35">E185*F185</f>
        <v>368.98652694610774</v>
      </c>
      <c r="E185" s="399">
        <v>358</v>
      </c>
      <c r="F185" s="752">
        <f t="shared" si="27"/>
        <v>1.0306886227544909</v>
      </c>
      <c r="G185" s="65" t="s">
        <v>840</v>
      </c>
      <c r="H185" s="221">
        <v>2024</v>
      </c>
      <c r="J185" s="275" t="s">
        <v>2529</v>
      </c>
      <c r="K185" s="17" t="s">
        <v>735</v>
      </c>
      <c r="L185" s="994" t="s">
        <v>2593</v>
      </c>
      <c r="M185" s="72"/>
      <c r="N185" s="101">
        <v>46269</v>
      </c>
      <c r="O185" s="221" t="s">
        <v>808</v>
      </c>
    </row>
    <row r="186" spans="2:15" hidden="1" outlineLevel="1" x14ac:dyDescent="0.35">
      <c r="B186" s="218" t="s">
        <v>2570</v>
      </c>
      <c r="C186" s="733" t="e">
        <f t="shared" si="32"/>
        <v>#N/A</v>
      </c>
      <c r="D186" s="765">
        <f t="shared" si="33"/>
        <v>395.78443113772448</v>
      </c>
      <c r="E186" s="399">
        <v>384</v>
      </c>
      <c r="F186" s="752">
        <f t="shared" si="27"/>
        <v>1.0306886227544909</v>
      </c>
      <c r="G186" s="103" t="s">
        <v>840</v>
      </c>
      <c r="H186" s="221">
        <v>2024</v>
      </c>
      <c r="J186" s="275" t="s">
        <v>2529</v>
      </c>
      <c r="K186" s="17" t="s">
        <v>735</v>
      </c>
      <c r="L186" s="994" t="s">
        <v>2593</v>
      </c>
      <c r="M186" s="72"/>
      <c r="N186" s="101">
        <v>46269</v>
      </c>
      <c r="O186" s="221" t="s">
        <v>808</v>
      </c>
    </row>
    <row r="187" spans="2:15" hidden="1" outlineLevel="1" x14ac:dyDescent="0.35">
      <c r="B187" s="218" t="s">
        <v>2571</v>
      </c>
      <c r="C187" s="733" t="e">
        <f t="shared" si="32"/>
        <v>#N/A</v>
      </c>
      <c r="D187" s="765">
        <f t="shared" si="33"/>
        <v>359.71032934131733</v>
      </c>
      <c r="E187" s="399">
        <v>349</v>
      </c>
      <c r="F187" s="752">
        <f t="shared" si="27"/>
        <v>1.0306886227544909</v>
      </c>
      <c r="G187" s="103" t="s">
        <v>2567</v>
      </c>
      <c r="H187" s="221">
        <v>2024</v>
      </c>
      <c r="J187" s="275" t="s">
        <v>2529</v>
      </c>
      <c r="K187" s="17" t="s">
        <v>735</v>
      </c>
      <c r="L187" s="148" t="s">
        <v>2593</v>
      </c>
      <c r="M187" s="72"/>
      <c r="N187" s="101">
        <v>46269</v>
      </c>
      <c r="O187" s="221" t="s">
        <v>808</v>
      </c>
    </row>
    <row r="188" spans="2:15" hidden="1" outlineLevel="1" x14ac:dyDescent="0.35">
      <c r="B188" s="218" t="s">
        <v>2572</v>
      </c>
      <c r="C188" s="733" t="e">
        <f t="shared" si="32"/>
        <v>#N/A</v>
      </c>
      <c r="D188" s="765">
        <f t="shared" si="33"/>
        <v>355.58757485029935</v>
      </c>
      <c r="E188" s="399">
        <v>345</v>
      </c>
      <c r="F188" s="752">
        <f t="shared" si="27"/>
        <v>1.0306886227544909</v>
      </c>
      <c r="G188" s="103" t="s">
        <v>2567</v>
      </c>
      <c r="H188" s="261">
        <v>2024</v>
      </c>
      <c r="J188" s="275" t="s">
        <v>2529</v>
      </c>
      <c r="K188" s="17" t="s">
        <v>735</v>
      </c>
      <c r="L188" s="148" t="s">
        <v>2593</v>
      </c>
      <c r="M188" s="72"/>
      <c r="N188" s="101">
        <v>46269</v>
      </c>
      <c r="O188" s="221" t="s">
        <v>808</v>
      </c>
    </row>
    <row r="189" spans="2:15" hidden="1" outlineLevel="1" x14ac:dyDescent="0.35">
      <c r="B189" s="218" t="s">
        <v>849</v>
      </c>
      <c r="C189" s="733" t="e">
        <f t="shared" si="25"/>
        <v>#N/A</v>
      </c>
      <c r="D189" s="765">
        <f t="shared" si="26"/>
        <v>34.012724550898199</v>
      </c>
      <c r="E189" s="399">
        <v>33</v>
      </c>
      <c r="F189" s="752">
        <f t="shared" si="27"/>
        <v>1.0306886227544909</v>
      </c>
      <c r="G189" s="103" t="s">
        <v>840</v>
      </c>
      <c r="H189" s="261">
        <v>2024</v>
      </c>
      <c r="J189" s="275" t="s">
        <v>2529</v>
      </c>
      <c r="K189" s="17" t="s">
        <v>735</v>
      </c>
      <c r="L189" s="148" t="s">
        <v>2462</v>
      </c>
      <c r="M189" s="72"/>
      <c r="N189" s="101">
        <v>46162</v>
      </c>
      <c r="O189" s="221" t="s">
        <v>808</v>
      </c>
    </row>
    <row r="190" spans="2:15" hidden="1" outlineLevel="1" x14ac:dyDescent="0.35">
      <c r="B190" s="218" t="s">
        <v>850</v>
      </c>
      <c r="C190" s="733" t="e">
        <f t="shared" si="25"/>
        <v>#N/A</v>
      </c>
      <c r="D190" s="765">
        <f t="shared" si="26"/>
        <v>29.889970059880238</v>
      </c>
      <c r="E190" s="399">
        <v>29</v>
      </c>
      <c r="F190" s="752">
        <f t="shared" si="27"/>
        <v>1.0306886227544909</v>
      </c>
      <c r="G190" s="103" t="s">
        <v>840</v>
      </c>
      <c r="H190" s="261">
        <v>2024</v>
      </c>
      <c r="J190" s="275" t="s">
        <v>2529</v>
      </c>
      <c r="K190" s="92" t="s">
        <v>735</v>
      </c>
      <c r="L190" s="148" t="s">
        <v>2462</v>
      </c>
      <c r="M190" s="103"/>
      <c r="N190" s="101">
        <v>46162</v>
      </c>
      <c r="O190" s="213" t="s">
        <v>808</v>
      </c>
    </row>
    <row r="191" spans="2:15" hidden="1" outlineLevel="1" x14ac:dyDescent="0.35">
      <c r="B191" s="218" t="s">
        <v>851</v>
      </c>
      <c r="C191" s="631" t="e">
        <f t="shared" si="25"/>
        <v>#N/A</v>
      </c>
      <c r="D191" s="754">
        <f t="shared" si="26"/>
        <v>26.104265402843598</v>
      </c>
      <c r="E191" s="161">
        <v>20</v>
      </c>
      <c r="F191" s="463">
        <f t="shared" si="27"/>
        <v>1.3052132701421799</v>
      </c>
      <c r="G191" s="65" t="s">
        <v>840</v>
      </c>
      <c r="H191" s="221">
        <v>2017</v>
      </c>
      <c r="J191" s="275" t="s">
        <v>2529</v>
      </c>
      <c r="K191" s="624" t="s">
        <v>735</v>
      </c>
      <c r="L191" s="994" t="s">
        <v>841</v>
      </c>
      <c r="M191" s="103"/>
      <c r="N191" s="101">
        <v>43028</v>
      </c>
      <c r="O191" s="213" t="s">
        <v>64</v>
      </c>
    </row>
    <row r="192" spans="2:15" hidden="1" outlineLevel="1" x14ac:dyDescent="0.35">
      <c r="B192" s="218" t="s">
        <v>852</v>
      </c>
      <c r="C192" s="733" t="e">
        <f t="shared" si="25"/>
        <v>#N/A</v>
      </c>
      <c r="D192" s="765">
        <f t="shared" si="26"/>
        <v>10.30688622754491</v>
      </c>
      <c r="E192" s="399">
        <v>10</v>
      </c>
      <c r="F192" s="752">
        <f t="shared" si="27"/>
        <v>1.0306886227544909</v>
      </c>
      <c r="G192" s="103" t="s">
        <v>840</v>
      </c>
      <c r="H192" s="261">
        <v>2024</v>
      </c>
      <c r="J192" s="275" t="s">
        <v>2529</v>
      </c>
      <c r="K192" s="92" t="s">
        <v>735</v>
      </c>
      <c r="L192" s="148" t="s">
        <v>2462</v>
      </c>
      <c r="M192" s="103"/>
      <c r="N192" s="101">
        <v>46162</v>
      </c>
      <c r="O192" s="213" t="s">
        <v>808</v>
      </c>
    </row>
    <row r="193" spans="1:15" collapsed="1" x14ac:dyDescent="0.35">
      <c r="B193" s="220" t="s">
        <v>853</v>
      </c>
      <c r="C193" s="20"/>
      <c r="D193" s="20"/>
      <c r="E193" s="983"/>
      <c r="F193" s="41"/>
      <c r="G193" s="31"/>
      <c r="H193" s="245"/>
      <c r="J193" s="286"/>
      <c r="K193" s="982"/>
      <c r="L193" s="982"/>
      <c r="M193" s="982"/>
      <c r="N193" s="982"/>
      <c r="O193" s="285"/>
    </row>
    <row r="194" spans="1:15" s="59" customFormat="1" hidden="1" outlineLevel="1" x14ac:dyDescent="0.35">
      <c r="A194" s="510"/>
      <c r="B194" s="218" t="s">
        <v>839</v>
      </c>
      <c r="C194" s="631" t="e">
        <f t="shared" ref="C194:C214" si="36">D194*KPIJustering</f>
        <v>#N/A</v>
      </c>
      <c r="D194" s="752">
        <f t="shared" ref="D194:D204" si="37">E194*F194</f>
        <v>5.681982926829269</v>
      </c>
      <c r="E194" s="1233">
        <f>'Standardsatser-Forutsetninger'!C37</f>
        <v>5.681982926829269</v>
      </c>
      <c r="F194" s="463">
        <f t="shared" ref="F194:F214" si="38">1/LOOKUP($H194,StatistikkOgPrognoseÅr,KPIIndeks)</f>
        <v>1</v>
      </c>
      <c r="G194" s="65" t="str">
        <f>'Standardsatser-Forutsetninger'!D37</f>
        <v>Kr per settkm</v>
      </c>
      <c r="H194" s="221">
        <f>'Standardsatser-Forutsetninger'!E37</f>
        <v>2025</v>
      </c>
      <c r="J194" s="275" t="s">
        <v>2529</v>
      </c>
      <c r="K194" s="624" t="s">
        <v>735</v>
      </c>
      <c r="L194" s="103" t="s">
        <v>854</v>
      </c>
      <c r="M194" s="959" t="s">
        <v>802</v>
      </c>
      <c r="N194" s="101">
        <v>43256</v>
      </c>
      <c r="O194" s="213" t="s">
        <v>64</v>
      </c>
    </row>
    <row r="195" spans="1:15" s="59" customFormat="1" hidden="1" outlineLevel="1" x14ac:dyDescent="0.35">
      <c r="A195" s="510"/>
      <c r="B195" s="218" t="s">
        <v>2581</v>
      </c>
      <c r="C195" s="631" t="e">
        <f t="shared" ref="C195:C196" si="39">D195*KPIJustering</f>
        <v>#N/A</v>
      </c>
      <c r="D195" s="752">
        <f t="shared" ref="D195:D196" si="40">E195*F195</f>
        <v>5.460761812132235</v>
      </c>
      <c r="E195" s="1233">
        <f>'Standardsatser-Forutsetninger'!C38</f>
        <v>5.460761812132235</v>
      </c>
      <c r="F195" s="463">
        <f t="shared" si="38"/>
        <v>1</v>
      </c>
      <c r="G195" s="65" t="str">
        <f>'Standardsatser-Forutsetninger'!D40</f>
        <v>Kr per settkm</v>
      </c>
      <c r="H195" s="221">
        <v>2025</v>
      </c>
      <c r="J195" s="275" t="s">
        <v>2529</v>
      </c>
      <c r="K195" s="624" t="s">
        <v>735</v>
      </c>
      <c r="L195" s="103" t="s">
        <v>854</v>
      </c>
      <c r="M195" s="959" t="s">
        <v>802</v>
      </c>
      <c r="N195" s="101">
        <v>46269</v>
      </c>
      <c r="O195" s="213" t="s">
        <v>808</v>
      </c>
    </row>
    <row r="196" spans="1:15" s="59" customFormat="1" hidden="1" outlineLevel="1" x14ac:dyDescent="0.35">
      <c r="A196" s="510"/>
      <c r="B196" s="218" t="s">
        <v>2582</v>
      </c>
      <c r="C196" s="631" t="e">
        <f t="shared" si="39"/>
        <v>#N/A</v>
      </c>
      <c r="D196" s="752">
        <f t="shared" si="40"/>
        <v>8.4914105115683878</v>
      </c>
      <c r="E196" s="1233">
        <f>'Standardsatser-Forutsetninger'!C39</f>
        <v>8.4914105115683878</v>
      </c>
      <c r="F196" s="463">
        <f t="shared" si="38"/>
        <v>1</v>
      </c>
      <c r="G196" s="65" t="str">
        <f>'Standardsatser-Forutsetninger'!D37</f>
        <v>Kr per settkm</v>
      </c>
      <c r="H196" s="221">
        <v>2025</v>
      </c>
      <c r="J196" s="275" t="s">
        <v>2529</v>
      </c>
      <c r="K196" s="624" t="s">
        <v>735</v>
      </c>
      <c r="L196" s="103" t="s">
        <v>854</v>
      </c>
      <c r="M196" s="959" t="s">
        <v>802</v>
      </c>
      <c r="N196" s="101">
        <v>46269</v>
      </c>
      <c r="O196" s="213" t="s">
        <v>808</v>
      </c>
    </row>
    <row r="197" spans="1:15" s="59" customFormat="1" hidden="1" outlineLevel="1" x14ac:dyDescent="0.35">
      <c r="A197" s="510"/>
      <c r="B197" s="218" t="s">
        <v>842</v>
      </c>
      <c r="C197" s="631" t="e">
        <f t="shared" si="36"/>
        <v>#N/A</v>
      </c>
      <c r="D197" s="463">
        <f t="shared" si="37"/>
        <v>8.2090746341463419</v>
      </c>
      <c r="E197" s="1233">
        <f>'Standardsatser-Forutsetninger'!C40</f>
        <v>8.2090746341463419</v>
      </c>
      <c r="F197" s="463">
        <f t="shared" si="38"/>
        <v>1</v>
      </c>
      <c r="G197" s="65" t="str">
        <f>'Standardsatser-Forutsetninger'!D40</f>
        <v>Kr per settkm</v>
      </c>
      <c r="H197" s="221">
        <f>'Standardsatser-Forutsetninger'!E40</f>
        <v>2025</v>
      </c>
      <c r="J197" s="275" t="s">
        <v>2529</v>
      </c>
      <c r="K197" s="624" t="s">
        <v>735</v>
      </c>
      <c r="L197" s="103" t="s">
        <v>854</v>
      </c>
      <c r="M197" s="959" t="s">
        <v>802</v>
      </c>
      <c r="N197" s="101">
        <v>46162</v>
      </c>
      <c r="O197" s="213" t="s">
        <v>808</v>
      </c>
    </row>
    <row r="198" spans="1:15" s="59" customFormat="1" hidden="1" outlineLevel="1" x14ac:dyDescent="0.35">
      <c r="A198" s="510"/>
      <c r="B198" s="218" t="s">
        <v>843</v>
      </c>
      <c r="C198" s="733" t="e">
        <f t="shared" si="36"/>
        <v>#N/A</v>
      </c>
      <c r="D198" s="770">
        <f>E198*F198</f>
        <v>7.9070951219512198</v>
      </c>
      <c r="E198" s="1221">
        <f>'Standardsatser-Forutsetninger'!C41</f>
        <v>7.9070951219512198</v>
      </c>
      <c r="F198" s="752">
        <f t="shared" si="38"/>
        <v>1</v>
      </c>
      <c r="G198" s="65" t="str">
        <f>'Standardsatser-Forutsetninger'!D41</f>
        <v>Kr per settkm</v>
      </c>
      <c r="H198" s="221">
        <f>'Standardsatser-Forutsetninger'!E41</f>
        <v>2025</v>
      </c>
      <c r="J198" s="275" t="s">
        <v>2529</v>
      </c>
      <c r="K198" s="624" t="s">
        <v>735</v>
      </c>
      <c r="L198" s="103" t="s">
        <v>854</v>
      </c>
      <c r="M198" s="959" t="s">
        <v>802</v>
      </c>
      <c r="N198" s="101">
        <v>46162</v>
      </c>
      <c r="O198" s="213" t="s">
        <v>808</v>
      </c>
    </row>
    <row r="199" spans="1:15" s="59" customFormat="1" hidden="1" outlineLevel="1" x14ac:dyDescent="0.35">
      <c r="A199" s="510"/>
      <c r="B199" s="218" t="s">
        <v>2566</v>
      </c>
      <c r="C199" s="733" t="e">
        <f t="shared" si="36"/>
        <v>#N/A</v>
      </c>
      <c r="D199" s="770">
        <f>E199*F199</f>
        <v>8.0837987052069025</v>
      </c>
      <c r="E199" s="1221">
        <f>'Standardsatser-Forutsetninger'!C42</f>
        <v>8.0837987052069025</v>
      </c>
      <c r="F199" s="752">
        <f t="shared" si="38"/>
        <v>1</v>
      </c>
      <c r="G199" s="65" t="s">
        <v>573</v>
      </c>
      <c r="H199" s="221">
        <v>2025</v>
      </c>
      <c r="J199" s="275" t="s">
        <v>2529</v>
      </c>
      <c r="K199" s="624" t="s">
        <v>735</v>
      </c>
      <c r="L199" s="103" t="s">
        <v>854</v>
      </c>
      <c r="M199" s="959" t="s">
        <v>802</v>
      </c>
      <c r="N199" s="101">
        <v>46268</v>
      </c>
      <c r="O199" s="213" t="s">
        <v>808</v>
      </c>
    </row>
    <row r="200" spans="1:15" hidden="1" outlineLevel="1" x14ac:dyDescent="0.35">
      <c r="B200" s="218" t="s">
        <v>844</v>
      </c>
      <c r="C200" s="733" t="e">
        <f>D200*KPIJustering</f>
        <v>#N/A</v>
      </c>
      <c r="D200" s="765">
        <f>E200*F200</f>
        <v>7.2157209756097567</v>
      </c>
      <c r="E200" s="399">
        <f>'Standardsatser-Forutsetninger'!C43</f>
        <v>7.2157209756097567</v>
      </c>
      <c r="F200" s="752">
        <f t="shared" si="38"/>
        <v>1</v>
      </c>
      <c r="G200" s="103" t="str">
        <f>'Standardsatser-Forutsetninger'!D44</f>
        <v>Kr per settkm</v>
      </c>
      <c r="H200" s="261">
        <f>'Standardsatser-Forutsetninger'!E43</f>
        <v>2025</v>
      </c>
      <c r="J200" s="275" t="s">
        <v>2529</v>
      </c>
      <c r="K200" s="624" t="s">
        <v>735</v>
      </c>
      <c r="L200" s="103" t="s">
        <v>854</v>
      </c>
      <c r="M200" s="959" t="s">
        <v>802</v>
      </c>
      <c r="N200" s="101">
        <v>46162</v>
      </c>
      <c r="O200" s="213" t="s">
        <v>808</v>
      </c>
    </row>
    <row r="201" spans="1:15" s="59" customFormat="1" hidden="1" outlineLevel="1" x14ac:dyDescent="0.35">
      <c r="A201" s="510"/>
      <c r="B201" s="218" t="s">
        <v>845</v>
      </c>
      <c r="C201" s="631" t="e">
        <f t="shared" si="36"/>
        <v>#N/A</v>
      </c>
      <c r="D201" s="752">
        <f t="shared" si="37"/>
        <v>5.4038439024390241</v>
      </c>
      <c r="E201" s="33">
        <f>'Standardsatser-Forutsetninger'!C44</f>
        <v>5.4038439024390241</v>
      </c>
      <c r="F201" s="463">
        <f t="shared" si="38"/>
        <v>1</v>
      </c>
      <c r="G201" s="65" t="str">
        <f>'Standardsatser-Forutsetninger'!D43</f>
        <v>Kr per settkm</v>
      </c>
      <c r="H201" s="221">
        <f>'Standardsatser-Forutsetninger'!E44</f>
        <v>2025</v>
      </c>
      <c r="J201" s="275" t="s">
        <v>2529</v>
      </c>
      <c r="K201" s="624" t="s">
        <v>735</v>
      </c>
      <c r="L201" s="103" t="s">
        <v>854</v>
      </c>
      <c r="M201" s="959" t="s">
        <v>802</v>
      </c>
      <c r="N201" s="101">
        <v>43256</v>
      </c>
      <c r="O201" s="213" t="s">
        <v>64</v>
      </c>
    </row>
    <row r="202" spans="1:15" hidden="1" outlineLevel="1" x14ac:dyDescent="0.35">
      <c r="B202" s="218" t="s">
        <v>846</v>
      </c>
      <c r="C202" s="631" t="e">
        <f t="shared" si="36"/>
        <v>#N/A</v>
      </c>
      <c r="D202" s="752">
        <f t="shared" si="37"/>
        <v>6.5672597073170742</v>
      </c>
      <c r="E202" s="33">
        <f>'Standardsatser-Forutsetninger'!C45</f>
        <v>6.5672597073170742</v>
      </c>
      <c r="F202" s="463">
        <f t="shared" si="38"/>
        <v>1</v>
      </c>
      <c r="G202" s="65" t="str">
        <f>'Standardsatser-Forutsetninger'!D45</f>
        <v>Kr per settkm</v>
      </c>
      <c r="H202" s="221">
        <f>'Standardsatser-Forutsetninger'!E45</f>
        <v>2025</v>
      </c>
      <c r="J202" s="275" t="s">
        <v>2529</v>
      </c>
      <c r="K202" s="624" t="s">
        <v>735</v>
      </c>
      <c r="L202" s="103" t="s">
        <v>854</v>
      </c>
      <c r="M202" s="959" t="s">
        <v>802</v>
      </c>
      <c r="N202" s="101">
        <v>43909</v>
      </c>
      <c r="O202" s="213" t="s">
        <v>102</v>
      </c>
    </row>
    <row r="203" spans="1:15" hidden="1" outlineLevel="1" x14ac:dyDescent="0.35">
      <c r="B203" s="218" t="s">
        <v>847</v>
      </c>
      <c r="C203" s="631" t="e">
        <f t="shared" si="36"/>
        <v>#N/A</v>
      </c>
      <c r="D203" s="631">
        <f t="shared" si="37"/>
        <v>23.390243902439025</v>
      </c>
      <c r="E203" s="160">
        <f>'Standardsatser-Forutsetninger'!C46</f>
        <v>23.974999999999998</v>
      </c>
      <c r="F203" s="463">
        <f t="shared" si="38"/>
        <v>0.97560975609756106</v>
      </c>
      <c r="G203" s="65" t="str">
        <f>'Standardsatser-Forutsetninger'!D46</f>
        <v>Kr per settkm</v>
      </c>
      <c r="H203" s="221">
        <f>'Standardsatser-Forutsetninger'!E46</f>
        <v>2026</v>
      </c>
      <c r="J203" s="275" t="s">
        <v>2529</v>
      </c>
      <c r="K203" s="624" t="s">
        <v>735</v>
      </c>
      <c r="L203" s="103" t="s">
        <v>854</v>
      </c>
      <c r="M203" s="959" t="s">
        <v>802</v>
      </c>
      <c r="N203" s="101">
        <v>46162</v>
      </c>
      <c r="O203" s="213" t="s">
        <v>808</v>
      </c>
    </row>
    <row r="204" spans="1:15" hidden="1" outlineLevel="1" x14ac:dyDescent="0.35">
      <c r="B204" s="218" t="s">
        <v>855</v>
      </c>
      <c r="C204" s="733" t="e">
        <f t="shared" si="36"/>
        <v>#N/A</v>
      </c>
      <c r="D204" s="770">
        <f t="shared" si="37"/>
        <v>20.850731707317074</v>
      </c>
      <c r="E204" s="1221">
        <f>'Standardsatser-Forutsetninger'!C47</f>
        <v>21.372</v>
      </c>
      <c r="F204" s="752">
        <f t="shared" si="38"/>
        <v>0.97560975609756106</v>
      </c>
      <c r="G204" s="65" t="str">
        <f>'Standardsatser-Forutsetninger'!D47</f>
        <v>Kr per settkm</v>
      </c>
      <c r="H204" s="221">
        <f>'Standardsatser-Forutsetninger'!E47</f>
        <v>2026</v>
      </c>
      <c r="J204" s="275" t="s">
        <v>2529</v>
      </c>
      <c r="K204" s="624" t="s">
        <v>735</v>
      </c>
      <c r="L204" s="103" t="s">
        <v>854</v>
      </c>
      <c r="M204" s="959" t="s">
        <v>802</v>
      </c>
      <c r="N204" s="101">
        <v>46162</v>
      </c>
      <c r="O204" s="213" t="s">
        <v>808</v>
      </c>
    </row>
    <row r="205" spans="1:15" hidden="1" outlineLevel="1" x14ac:dyDescent="0.35">
      <c r="B205" s="218" t="s">
        <v>856</v>
      </c>
      <c r="C205" s="733" t="e">
        <f t="shared" ref="C205:C212" si="41">D205*KPIJustering</f>
        <v>#N/A</v>
      </c>
      <c r="D205" s="765">
        <f>E205*F205</f>
        <v>9.7746000000000013</v>
      </c>
      <c r="E205" s="399">
        <f>'Standardsatser-Forutsetninger'!C48</f>
        <v>9.7746000000000013</v>
      </c>
      <c r="F205" s="752">
        <f t="shared" si="38"/>
        <v>1</v>
      </c>
      <c r="G205" s="65" t="s">
        <v>573</v>
      </c>
      <c r="H205" s="221">
        <f>'Standardsatser-Forutsetninger'!E48</f>
        <v>2025</v>
      </c>
      <c r="J205" s="275" t="s">
        <v>2529</v>
      </c>
      <c r="K205" s="624" t="s">
        <v>735</v>
      </c>
      <c r="L205" s="103" t="s">
        <v>854</v>
      </c>
      <c r="M205" s="1077" t="s">
        <v>802</v>
      </c>
      <c r="N205" s="101">
        <v>44893</v>
      </c>
      <c r="O205" s="213" t="s">
        <v>808</v>
      </c>
    </row>
    <row r="206" spans="1:15" hidden="1" outlineLevel="1" x14ac:dyDescent="0.35">
      <c r="B206" s="218" t="s">
        <v>2568</v>
      </c>
      <c r="C206" s="733" t="e">
        <f t="shared" si="41"/>
        <v>#N/A</v>
      </c>
      <c r="D206" s="765">
        <f t="shared" ref="D206:D207" si="42">E206*F206</f>
        <v>6.850166829268292</v>
      </c>
      <c r="E206" s="399">
        <f>'Standardsatser-Forutsetninger'!C49</f>
        <v>6.850166829268292</v>
      </c>
      <c r="F206" s="752">
        <f t="shared" si="38"/>
        <v>1</v>
      </c>
      <c r="G206" s="65" t="str">
        <f>'Standardsatser-Forutsetninger'!D56</f>
        <v>Kr per settkm</v>
      </c>
      <c r="H206" s="221">
        <v>2025</v>
      </c>
      <c r="J206" s="275" t="s">
        <v>2529</v>
      </c>
      <c r="K206" s="624" t="s">
        <v>735</v>
      </c>
      <c r="L206" s="103" t="s">
        <v>2591</v>
      </c>
      <c r="M206" s="959" t="s">
        <v>802</v>
      </c>
      <c r="N206" s="101">
        <v>46269</v>
      </c>
      <c r="O206" s="213" t="s">
        <v>808</v>
      </c>
    </row>
    <row r="207" spans="1:15" hidden="1" outlineLevel="1" x14ac:dyDescent="0.35">
      <c r="B207" s="218" t="s">
        <v>2569</v>
      </c>
      <c r="C207" s="733" t="e">
        <f t="shared" si="41"/>
        <v>#N/A</v>
      </c>
      <c r="D207" s="765">
        <f t="shared" si="42"/>
        <v>6.850166829268292</v>
      </c>
      <c r="E207" s="399">
        <f>'Standardsatser-Forutsetninger'!C50</f>
        <v>6.850166829268292</v>
      </c>
      <c r="F207" s="752">
        <f t="shared" si="38"/>
        <v>1</v>
      </c>
      <c r="G207" s="65" t="s">
        <v>573</v>
      </c>
      <c r="H207" s="221">
        <v>2025</v>
      </c>
      <c r="J207" s="275" t="s">
        <v>2529</v>
      </c>
      <c r="K207" s="624" t="s">
        <v>735</v>
      </c>
      <c r="L207" s="103" t="s">
        <v>2592</v>
      </c>
      <c r="M207" s="959" t="s">
        <v>802</v>
      </c>
      <c r="N207" s="101">
        <v>46269</v>
      </c>
      <c r="O207" s="213" t="s">
        <v>808</v>
      </c>
    </row>
    <row r="208" spans="1:15" hidden="1" outlineLevel="1" x14ac:dyDescent="0.35">
      <c r="B208" s="218" t="s">
        <v>2573</v>
      </c>
      <c r="C208" s="733" t="e">
        <f t="shared" si="41"/>
        <v>#N/A</v>
      </c>
      <c r="D208" s="765">
        <f t="shared" ref="D208:D212" si="43">E208*F208</f>
        <v>11.379859512195123</v>
      </c>
      <c r="E208" s="399">
        <f>'Standardsatser-Forutsetninger'!C51</f>
        <v>11.379859512195123</v>
      </c>
      <c r="F208" s="752">
        <f t="shared" si="38"/>
        <v>1</v>
      </c>
      <c r="G208" s="65" t="str">
        <f>'Standardsatser-Forutsetninger'!D56</f>
        <v>Kr per settkm</v>
      </c>
      <c r="H208" s="221">
        <v>2025</v>
      </c>
      <c r="J208" s="275" t="s">
        <v>2529</v>
      </c>
      <c r="K208" s="624" t="s">
        <v>735</v>
      </c>
      <c r="L208" s="103" t="s">
        <v>2591</v>
      </c>
      <c r="M208" s="959" t="s">
        <v>802</v>
      </c>
      <c r="N208" s="101">
        <v>46269</v>
      </c>
      <c r="O208" s="213" t="s">
        <v>808</v>
      </c>
    </row>
    <row r="209" spans="1:18" hidden="1" outlineLevel="1" x14ac:dyDescent="0.35">
      <c r="B209" s="218" t="s">
        <v>2574</v>
      </c>
      <c r="C209" s="733" t="e">
        <f t="shared" si="41"/>
        <v>#N/A</v>
      </c>
      <c r="D209" s="765">
        <f t="shared" si="43"/>
        <v>11.379859512195123</v>
      </c>
      <c r="E209" s="399">
        <f>'Standardsatser-Forutsetninger'!C52</f>
        <v>11.379859512195123</v>
      </c>
      <c r="F209" s="752">
        <f t="shared" si="38"/>
        <v>1</v>
      </c>
      <c r="G209" s="65" t="str">
        <f>'Standardsatser-Forutsetninger'!D57</f>
        <v>Kr per settkm</v>
      </c>
      <c r="H209" s="221">
        <v>2025</v>
      </c>
      <c r="J209" s="275" t="s">
        <v>2529</v>
      </c>
      <c r="K209" s="624" t="s">
        <v>735</v>
      </c>
      <c r="L209" s="103" t="s">
        <v>2591</v>
      </c>
      <c r="M209" s="959" t="s">
        <v>802</v>
      </c>
      <c r="N209" s="101">
        <v>46269</v>
      </c>
      <c r="O209" s="213" t="s">
        <v>808</v>
      </c>
    </row>
    <row r="210" spans="1:18" hidden="1" outlineLevel="1" x14ac:dyDescent="0.35">
      <c r="B210" s="218" t="s">
        <v>2570</v>
      </c>
      <c r="C210" s="733" t="e">
        <f t="shared" si="41"/>
        <v>#N/A</v>
      </c>
      <c r="D210" s="765">
        <f t="shared" si="43"/>
        <v>9.9891643902439036</v>
      </c>
      <c r="E210" s="399">
        <f>'Standardsatser-Forutsetninger'!C53</f>
        <v>9.9891643902439036</v>
      </c>
      <c r="F210" s="752">
        <f t="shared" si="38"/>
        <v>1</v>
      </c>
      <c r="G210" s="65" t="s">
        <v>573</v>
      </c>
      <c r="H210" s="221">
        <v>2025</v>
      </c>
      <c r="J210" s="275" t="s">
        <v>2529</v>
      </c>
      <c r="K210" s="624" t="s">
        <v>735</v>
      </c>
      <c r="L210" s="103" t="s">
        <v>2591</v>
      </c>
      <c r="M210" s="959" t="s">
        <v>802</v>
      </c>
      <c r="N210" s="101">
        <v>46269</v>
      </c>
      <c r="O210" s="213" t="s">
        <v>808</v>
      </c>
    </row>
    <row r="211" spans="1:18" hidden="1" outlineLevel="1" x14ac:dyDescent="0.35">
      <c r="B211" s="218" t="s">
        <v>2571</v>
      </c>
      <c r="C211" s="733" t="e">
        <f t="shared" si="41"/>
        <v>#N/A</v>
      </c>
      <c r="D211" s="765">
        <f t="shared" si="43"/>
        <v>11.379859512195123</v>
      </c>
      <c r="E211" s="399">
        <f>'Standardsatser-Forutsetninger'!C54</f>
        <v>11.379859512195123</v>
      </c>
      <c r="F211" s="752">
        <f t="shared" si="38"/>
        <v>1</v>
      </c>
      <c r="G211" s="65" t="s">
        <v>573</v>
      </c>
      <c r="H211" s="221">
        <v>2025</v>
      </c>
      <c r="J211" s="275" t="s">
        <v>2529</v>
      </c>
      <c r="K211" s="624" t="s">
        <v>735</v>
      </c>
      <c r="L211" s="103" t="s">
        <v>2591</v>
      </c>
      <c r="M211" s="959" t="s">
        <v>802</v>
      </c>
      <c r="N211" s="101">
        <v>46269</v>
      </c>
      <c r="O211" s="213" t="s">
        <v>808</v>
      </c>
    </row>
    <row r="212" spans="1:18" hidden="1" outlineLevel="1" x14ac:dyDescent="0.35">
      <c r="B212" s="218" t="s">
        <v>2572</v>
      </c>
      <c r="C212" s="733" t="e">
        <f t="shared" si="41"/>
        <v>#N/A</v>
      </c>
      <c r="D212" s="765">
        <f t="shared" si="43"/>
        <v>11.379859512195123</v>
      </c>
      <c r="E212" s="399">
        <f>'Standardsatser-Forutsetninger'!C55</f>
        <v>11.379859512195123</v>
      </c>
      <c r="F212" s="752">
        <f t="shared" si="38"/>
        <v>1</v>
      </c>
      <c r="G212" s="65" t="s">
        <v>573</v>
      </c>
      <c r="H212" s="221">
        <v>2025</v>
      </c>
      <c r="J212" s="275" t="s">
        <v>2529</v>
      </c>
      <c r="K212" s="624" t="s">
        <v>735</v>
      </c>
      <c r="L212" s="103" t="s">
        <v>2591</v>
      </c>
      <c r="M212" s="959" t="s">
        <v>802</v>
      </c>
      <c r="N212" s="101">
        <v>46269</v>
      </c>
      <c r="O212" s="213" t="s">
        <v>808</v>
      </c>
    </row>
    <row r="213" spans="1:18" hidden="1" outlineLevel="1" x14ac:dyDescent="0.35">
      <c r="B213" s="218" t="s">
        <v>849</v>
      </c>
      <c r="C213" s="631" t="e">
        <f t="shared" si="36"/>
        <v>#N/A</v>
      </c>
      <c r="D213" s="752">
        <f>E213*F213</f>
        <v>2.2727931707317075</v>
      </c>
      <c r="E213" s="33">
        <f>'Standardsatser-Forutsetninger'!C56</f>
        <v>2.2727931707317075</v>
      </c>
      <c r="F213" s="463">
        <f t="shared" si="38"/>
        <v>1</v>
      </c>
      <c r="G213" s="65" t="str">
        <f>'Standardsatser-Forutsetninger'!D56</f>
        <v>Kr per settkm</v>
      </c>
      <c r="H213" s="221">
        <f>'Standardsatser-Forutsetninger'!E56</f>
        <v>2025</v>
      </c>
      <c r="J213" s="275" t="s">
        <v>2529</v>
      </c>
      <c r="K213" s="624" t="s">
        <v>735</v>
      </c>
      <c r="L213" s="103" t="s">
        <v>854</v>
      </c>
      <c r="M213" s="959" t="s">
        <v>802</v>
      </c>
      <c r="N213" s="101">
        <v>46162</v>
      </c>
      <c r="O213" s="213" t="s">
        <v>808</v>
      </c>
    </row>
    <row r="214" spans="1:18" hidden="1" outlineLevel="1" x14ac:dyDescent="0.35">
      <c r="B214" s="218" t="s">
        <v>850</v>
      </c>
      <c r="C214" s="631" t="e">
        <f t="shared" si="36"/>
        <v>#N/A</v>
      </c>
      <c r="D214" s="752">
        <f>E214*F214</f>
        <v>33.41463414634147</v>
      </c>
      <c r="E214" s="33">
        <f>'Standardsatser-Forutsetninger'!C57</f>
        <v>34.25</v>
      </c>
      <c r="F214" s="463">
        <f t="shared" si="38"/>
        <v>0.97560975609756106</v>
      </c>
      <c r="G214" s="65" t="str">
        <f>'Standardsatser-Forutsetninger'!D57</f>
        <v>Kr per settkm</v>
      </c>
      <c r="H214" s="221">
        <f>'Standardsatser-Forutsetninger'!E57</f>
        <v>2026</v>
      </c>
      <c r="J214" s="275" t="s">
        <v>2529</v>
      </c>
      <c r="K214" s="624" t="s">
        <v>735</v>
      </c>
      <c r="L214" s="103" t="s">
        <v>854</v>
      </c>
      <c r="M214" s="959" t="s">
        <v>802</v>
      </c>
      <c r="N214" s="101">
        <v>46162</v>
      </c>
      <c r="O214" s="213" t="s">
        <v>808</v>
      </c>
    </row>
    <row r="215" spans="1:18" collapsed="1" x14ac:dyDescent="0.35">
      <c r="A215" s="511"/>
      <c r="B215" s="220" t="s">
        <v>857</v>
      </c>
      <c r="C215" s="20"/>
      <c r="D215" s="20"/>
      <c r="E215" s="983"/>
      <c r="F215" s="41"/>
      <c r="G215" s="31"/>
      <c r="H215" s="245"/>
      <c r="J215" s="286"/>
      <c r="K215" s="982"/>
      <c r="L215" s="982"/>
      <c r="M215" s="982"/>
      <c r="N215" s="982"/>
      <c r="O215" s="285"/>
    </row>
    <row r="216" spans="1:18" hidden="1" outlineLevel="1" x14ac:dyDescent="0.35">
      <c r="B216" s="218" t="s">
        <v>839</v>
      </c>
      <c r="C216" s="463" t="e">
        <f t="shared" ref="C216:C237" si="44">D216*KPIJustering</f>
        <v>#N/A</v>
      </c>
      <c r="D216" s="752">
        <f t="shared" ref="D216:D236" si="45">E216*F216</f>
        <v>13.219199999999997</v>
      </c>
      <c r="E216" s="33">
        <v>9.6</v>
      </c>
      <c r="F216" s="463">
        <f t="shared" ref="F216:F237" si="46">1/LOOKUP($H216,StatistikkOgPrognoseÅr,KPIIndeks)</f>
        <v>1.3769999999999998</v>
      </c>
      <c r="G216" s="65" t="s">
        <v>573</v>
      </c>
      <c r="H216" s="221">
        <v>2015</v>
      </c>
      <c r="J216" s="275" t="s">
        <v>2529</v>
      </c>
      <c r="K216" s="92" t="s">
        <v>735</v>
      </c>
      <c r="L216" s="103" t="s">
        <v>858</v>
      </c>
      <c r="M216" s="103"/>
      <c r="N216" s="101">
        <v>43028</v>
      </c>
      <c r="O216" s="213" t="s">
        <v>64</v>
      </c>
    </row>
    <row r="217" spans="1:18" hidden="1" outlineLevel="1" x14ac:dyDescent="0.35">
      <c r="B217" s="218" t="s">
        <v>2581</v>
      </c>
      <c r="C217" s="463" t="e">
        <f t="shared" ref="C217:C218" si="47">D217*KPIJustering</f>
        <v>#N/A</v>
      </c>
      <c r="D217" s="752">
        <f t="shared" ref="D217:D218" si="48">E217*F217</f>
        <v>62.89462960329341</v>
      </c>
      <c r="E217" s="33">
        <v>61.021950000000004</v>
      </c>
      <c r="F217" s="463">
        <f t="shared" si="46"/>
        <v>1.0306886227544909</v>
      </c>
      <c r="G217" s="65" t="s">
        <v>573</v>
      </c>
      <c r="H217" s="221">
        <v>2024</v>
      </c>
      <c r="J217" s="275" t="s">
        <v>2529</v>
      </c>
      <c r="K217" s="92" t="s">
        <v>735</v>
      </c>
      <c r="L217" s="103" t="s">
        <v>2463</v>
      </c>
      <c r="M217" s="103"/>
      <c r="N217" s="101">
        <v>46269</v>
      </c>
      <c r="O217" s="213" t="s">
        <v>808</v>
      </c>
    </row>
    <row r="218" spans="1:18" hidden="1" outlineLevel="1" x14ac:dyDescent="0.35">
      <c r="B218" s="218" t="s">
        <v>2582</v>
      </c>
      <c r="C218" s="463" t="e">
        <f t="shared" si="47"/>
        <v>#N/A</v>
      </c>
      <c r="D218" s="752">
        <f t="shared" si="48"/>
        <v>140.08841474550897</v>
      </c>
      <c r="E218" s="33">
        <v>135.91730000000001</v>
      </c>
      <c r="F218" s="463">
        <f t="shared" si="46"/>
        <v>1.0306886227544909</v>
      </c>
      <c r="G218" s="65" t="s">
        <v>573</v>
      </c>
      <c r="H218" s="221">
        <v>2024</v>
      </c>
      <c r="J218" s="275" t="s">
        <v>2529</v>
      </c>
      <c r="K218" s="92" t="s">
        <v>735</v>
      </c>
      <c r="L218" s="103" t="s">
        <v>2463</v>
      </c>
      <c r="M218" s="103"/>
      <c r="N218" s="101">
        <v>46269</v>
      </c>
      <c r="O218" s="213" t="s">
        <v>808</v>
      </c>
    </row>
    <row r="219" spans="1:18" hidden="1" outlineLevel="1" x14ac:dyDescent="0.35">
      <c r="B219" s="218" t="s">
        <v>842</v>
      </c>
      <c r="C219" s="631" t="e">
        <f t="shared" si="44"/>
        <v>#N/A</v>
      </c>
      <c r="D219" s="631">
        <f t="shared" si="45"/>
        <v>21.955213697604787</v>
      </c>
      <c r="E219" s="160">
        <v>21.301499999999997</v>
      </c>
      <c r="F219" s="463">
        <f t="shared" si="46"/>
        <v>1.0306886227544909</v>
      </c>
      <c r="G219" s="65" t="s">
        <v>573</v>
      </c>
      <c r="H219" s="221">
        <v>2024</v>
      </c>
      <c r="J219" s="275" t="s">
        <v>2529</v>
      </c>
      <c r="K219" s="92" t="s">
        <v>735</v>
      </c>
      <c r="L219" s="103" t="s">
        <v>2463</v>
      </c>
      <c r="M219" s="103"/>
      <c r="N219" s="101">
        <v>46162</v>
      </c>
      <c r="O219" s="213" t="s">
        <v>808</v>
      </c>
      <c r="R219" s="151"/>
    </row>
    <row r="220" spans="1:18" hidden="1" outlineLevel="1" x14ac:dyDescent="0.35">
      <c r="B220" s="218" t="s">
        <v>843</v>
      </c>
      <c r="C220" s="733" t="e">
        <f t="shared" si="44"/>
        <v>#N/A</v>
      </c>
      <c r="D220" s="770">
        <f t="shared" si="45"/>
        <v>22.350328181137723</v>
      </c>
      <c r="E220" s="1221">
        <v>21.684850000000001</v>
      </c>
      <c r="F220" s="752">
        <f t="shared" si="46"/>
        <v>1.0306886227544909</v>
      </c>
      <c r="G220" s="65" t="s">
        <v>573</v>
      </c>
      <c r="H220" s="221">
        <v>2024</v>
      </c>
      <c r="J220" s="275" t="s">
        <v>2529</v>
      </c>
      <c r="K220" s="92" t="s">
        <v>735</v>
      </c>
      <c r="L220" s="103" t="s">
        <v>2463</v>
      </c>
      <c r="M220" s="103"/>
      <c r="N220" s="101">
        <v>46162</v>
      </c>
      <c r="O220" s="213" t="s">
        <v>808</v>
      </c>
      <c r="R220" s="1251"/>
    </row>
    <row r="221" spans="1:18" hidden="1" outlineLevel="1" x14ac:dyDescent="0.35">
      <c r="B221" s="218" t="s">
        <v>2566</v>
      </c>
      <c r="C221" s="733" t="e">
        <f t="shared" ref="C221" si="49">D221*KPIJustering</f>
        <v>#N/A</v>
      </c>
      <c r="D221" s="770">
        <f t="shared" ref="D221" si="50">E221*F221</f>
        <v>42.886025973053883</v>
      </c>
      <c r="E221" s="1221">
        <v>41.609099999999998</v>
      </c>
      <c r="F221" s="752">
        <f t="shared" si="46"/>
        <v>1.0306886227544909</v>
      </c>
      <c r="G221" s="65" t="s">
        <v>573</v>
      </c>
      <c r="H221" s="221">
        <v>2024</v>
      </c>
      <c r="J221" s="275" t="s">
        <v>2529</v>
      </c>
      <c r="K221" s="92" t="s">
        <v>735</v>
      </c>
      <c r="L221" s="103" t="s">
        <v>2463</v>
      </c>
      <c r="M221" s="103"/>
      <c r="N221" s="101">
        <v>46268</v>
      </c>
      <c r="O221" s="213" t="s">
        <v>808</v>
      </c>
    </row>
    <row r="222" spans="1:18" hidden="1" outlineLevel="1" x14ac:dyDescent="0.35">
      <c r="B222" s="218" t="s">
        <v>844</v>
      </c>
      <c r="C222" s="733" t="e">
        <f t="shared" si="44"/>
        <v>#N/A</v>
      </c>
      <c r="D222" s="765">
        <f t="shared" si="45"/>
        <v>27.391890044910177</v>
      </c>
      <c r="E222" s="399">
        <v>26.5763</v>
      </c>
      <c r="F222" s="752">
        <f t="shared" si="46"/>
        <v>1.0306886227544909</v>
      </c>
      <c r="G222" s="103" t="s">
        <v>573</v>
      </c>
      <c r="H222" s="261">
        <v>2024</v>
      </c>
      <c r="J222" s="275" t="s">
        <v>2529</v>
      </c>
      <c r="K222" s="92" t="s">
        <v>735</v>
      </c>
      <c r="L222" s="103" t="s">
        <v>2463</v>
      </c>
      <c r="M222" s="103"/>
      <c r="N222" s="101">
        <v>46162</v>
      </c>
      <c r="O222" s="213" t="s">
        <v>808</v>
      </c>
    </row>
    <row r="223" spans="1:18" hidden="1" outlineLevel="1" x14ac:dyDescent="0.35">
      <c r="B223" s="218" t="s">
        <v>845</v>
      </c>
      <c r="C223" s="463" t="e">
        <f t="shared" si="44"/>
        <v>#N/A</v>
      </c>
      <c r="D223" s="752">
        <f t="shared" si="45"/>
        <v>15.146999999999998</v>
      </c>
      <c r="E223" s="33">
        <v>11</v>
      </c>
      <c r="F223" s="463">
        <f t="shared" si="46"/>
        <v>1.3769999999999998</v>
      </c>
      <c r="G223" s="65" t="s">
        <v>573</v>
      </c>
      <c r="H223" s="221">
        <v>2015</v>
      </c>
      <c r="J223" s="275" t="s">
        <v>2529</v>
      </c>
      <c r="K223" s="92" t="s">
        <v>735</v>
      </c>
      <c r="L223" s="103" t="s">
        <v>858</v>
      </c>
      <c r="M223" s="103"/>
      <c r="N223" s="101">
        <v>43028</v>
      </c>
      <c r="O223" s="213" t="s">
        <v>64</v>
      </c>
    </row>
    <row r="224" spans="1:18" hidden="1" outlineLevel="1" x14ac:dyDescent="0.35">
      <c r="B224" s="218" t="s">
        <v>846</v>
      </c>
      <c r="C224" s="463" t="e">
        <f t="shared" si="44"/>
        <v>#N/A</v>
      </c>
      <c r="D224" s="752">
        <f t="shared" si="45"/>
        <v>20.211655813953488</v>
      </c>
      <c r="E224" s="33">
        <f>E219*0.8</f>
        <v>17.0412</v>
      </c>
      <c r="F224" s="463">
        <f t="shared" si="46"/>
        <v>1.1860465116279069</v>
      </c>
      <c r="G224" s="65" t="s">
        <v>573</v>
      </c>
      <c r="H224" s="221">
        <v>2021</v>
      </c>
      <c r="J224" s="275" t="s">
        <v>2529</v>
      </c>
      <c r="K224" s="92" t="s">
        <v>735</v>
      </c>
      <c r="L224" s="103" t="s">
        <v>859</v>
      </c>
      <c r="M224" s="103" t="s">
        <v>860</v>
      </c>
      <c r="N224" s="101">
        <v>44936</v>
      </c>
      <c r="O224" s="213" t="s">
        <v>808</v>
      </c>
    </row>
    <row r="225" spans="2:15" hidden="1" outlineLevel="1" x14ac:dyDescent="0.35">
      <c r="B225" s="218" t="s">
        <v>847</v>
      </c>
      <c r="C225" s="631" t="e">
        <f t="shared" si="44"/>
        <v>#N/A</v>
      </c>
      <c r="D225" s="631">
        <f t="shared" si="45"/>
        <v>31.309949775449098</v>
      </c>
      <c r="E225" s="160">
        <v>30.377700000000001</v>
      </c>
      <c r="F225" s="463">
        <f t="shared" si="46"/>
        <v>1.0306886227544909</v>
      </c>
      <c r="G225" s="65" t="s">
        <v>573</v>
      </c>
      <c r="H225" s="221">
        <v>2024</v>
      </c>
      <c r="J225" s="275" t="s">
        <v>2529</v>
      </c>
      <c r="K225" s="92" t="s">
        <v>735</v>
      </c>
      <c r="L225" s="103" t="s">
        <v>2463</v>
      </c>
      <c r="M225" s="103"/>
      <c r="N225" s="101">
        <v>46162</v>
      </c>
      <c r="O225" s="213" t="s">
        <v>808</v>
      </c>
    </row>
    <row r="226" spans="2:15" hidden="1" outlineLevel="1" x14ac:dyDescent="0.35">
      <c r="B226" s="218" t="s">
        <v>848</v>
      </c>
      <c r="C226" s="733" t="e">
        <f t="shared" si="44"/>
        <v>#N/A</v>
      </c>
      <c r="D226" s="770">
        <f t="shared" si="45"/>
        <v>42.783884730538915</v>
      </c>
      <c r="E226" s="1221">
        <v>41.51</v>
      </c>
      <c r="F226" s="752">
        <f t="shared" si="46"/>
        <v>1.0306886227544909</v>
      </c>
      <c r="G226" s="65" t="s">
        <v>573</v>
      </c>
      <c r="H226" s="221">
        <v>2024</v>
      </c>
      <c r="J226" s="275" t="s">
        <v>2529</v>
      </c>
      <c r="K226" s="92" t="s">
        <v>735</v>
      </c>
      <c r="L226" s="103" t="s">
        <v>2463</v>
      </c>
      <c r="M226" s="103"/>
      <c r="N226" s="101">
        <v>46192</v>
      </c>
      <c r="O226" s="213" t="s">
        <v>808</v>
      </c>
    </row>
    <row r="227" spans="2:15" hidden="1" outlineLevel="1" x14ac:dyDescent="0.35">
      <c r="B227" s="218" t="s">
        <v>2568</v>
      </c>
      <c r="C227" s="733" t="e">
        <f t="shared" ref="C227:C228" si="51">D227*KPIJustering</f>
        <v>#N/A</v>
      </c>
      <c r="D227" s="770">
        <f t="shared" ref="D227:D228" si="52">E227*F227</f>
        <v>11.43366</v>
      </c>
      <c r="E227" s="1221">
        <v>11.43366</v>
      </c>
      <c r="F227" s="752">
        <f t="shared" si="46"/>
        <v>1</v>
      </c>
      <c r="G227" s="65" t="s">
        <v>573</v>
      </c>
      <c r="H227" s="221">
        <v>2025</v>
      </c>
      <c r="J227" s="275" t="s">
        <v>2529</v>
      </c>
      <c r="K227" s="92" t="s">
        <v>735</v>
      </c>
      <c r="L227" s="103" t="s">
        <v>2595</v>
      </c>
      <c r="M227" s="103"/>
      <c r="N227" s="101">
        <v>46269</v>
      </c>
      <c r="O227" s="213" t="s">
        <v>808</v>
      </c>
    </row>
    <row r="228" spans="2:15" hidden="1" outlineLevel="1" x14ac:dyDescent="0.35">
      <c r="B228" s="218" t="s">
        <v>2569</v>
      </c>
      <c r="C228" s="733" t="e">
        <f t="shared" si="51"/>
        <v>#N/A</v>
      </c>
      <c r="D228" s="770">
        <f t="shared" si="52"/>
        <v>10.733640000000001</v>
      </c>
      <c r="E228" s="1221">
        <v>10.733640000000001</v>
      </c>
      <c r="F228" s="752">
        <f t="shared" si="46"/>
        <v>1</v>
      </c>
      <c r="G228" s="65" t="s">
        <v>573</v>
      </c>
      <c r="H228" s="221">
        <v>2025</v>
      </c>
      <c r="J228" s="275" t="s">
        <v>2529</v>
      </c>
      <c r="K228" s="92" t="s">
        <v>735</v>
      </c>
      <c r="L228" s="103" t="s">
        <v>2594</v>
      </c>
      <c r="M228" s="103"/>
      <c r="N228" s="101">
        <v>46269</v>
      </c>
      <c r="O228" s="213" t="s">
        <v>808</v>
      </c>
    </row>
    <row r="229" spans="2:15" hidden="1" outlineLevel="1" x14ac:dyDescent="0.35">
      <c r="B229" s="218" t="s">
        <v>2573</v>
      </c>
      <c r="C229" s="733" t="e">
        <f t="shared" ref="C229:C233" si="53">D229*KPIJustering</f>
        <v>#N/A</v>
      </c>
      <c r="D229" s="770">
        <f t="shared" ref="D229:D233" si="54">E229*F229</f>
        <v>38.032410179640713</v>
      </c>
      <c r="E229" s="1221">
        <v>36.9</v>
      </c>
      <c r="F229" s="752">
        <f t="shared" si="46"/>
        <v>1.0306886227544909</v>
      </c>
      <c r="G229" s="65" t="s">
        <v>573</v>
      </c>
      <c r="H229" s="221">
        <v>2024</v>
      </c>
      <c r="J229" s="275" t="s">
        <v>2529</v>
      </c>
      <c r="K229" s="92" t="s">
        <v>735</v>
      </c>
      <c r="L229" s="994" t="s">
        <v>2587</v>
      </c>
      <c r="M229" s="103"/>
      <c r="N229" s="101">
        <v>46269</v>
      </c>
      <c r="O229" s="213" t="s">
        <v>808</v>
      </c>
    </row>
    <row r="230" spans="2:15" hidden="1" outlineLevel="1" x14ac:dyDescent="0.35">
      <c r="B230" s="218" t="s">
        <v>2574</v>
      </c>
      <c r="C230" s="733" t="e">
        <f t="shared" si="53"/>
        <v>#N/A</v>
      </c>
      <c r="D230" s="770">
        <f t="shared" si="54"/>
        <v>48.339296407185621</v>
      </c>
      <c r="E230" s="1221">
        <v>46.9</v>
      </c>
      <c r="F230" s="752">
        <f t="shared" si="46"/>
        <v>1.0306886227544909</v>
      </c>
      <c r="G230" s="65" t="s">
        <v>573</v>
      </c>
      <c r="H230" s="221">
        <v>2024</v>
      </c>
      <c r="J230" s="275" t="s">
        <v>2529</v>
      </c>
      <c r="K230" s="92" t="s">
        <v>735</v>
      </c>
      <c r="L230" s="994" t="s">
        <v>2587</v>
      </c>
      <c r="M230" s="103"/>
      <c r="N230" s="101">
        <v>46269</v>
      </c>
      <c r="O230" s="213" t="s">
        <v>808</v>
      </c>
    </row>
    <row r="231" spans="2:15" hidden="1" outlineLevel="1" x14ac:dyDescent="0.35">
      <c r="B231" s="218" t="s">
        <v>2570</v>
      </c>
      <c r="C231" s="733" t="e">
        <f t="shared" si="53"/>
        <v>#N/A</v>
      </c>
      <c r="D231" s="770">
        <f t="shared" si="54"/>
        <v>43.495059880239516</v>
      </c>
      <c r="E231" s="1221">
        <v>42.2</v>
      </c>
      <c r="F231" s="752">
        <f t="shared" si="46"/>
        <v>1.0306886227544909</v>
      </c>
      <c r="G231" s="65" t="s">
        <v>573</v>
      </c>
      <c r="H231" s="221">
        <v>2024</v>
      </c>
      <c r="J231" s="275" t="s">
        <v>2529</v>
      </c>
      <c r="K231" s="92" t="s">
        <v>735</v>
      </c>
      <c r="L231" s="994" t="s">
        <v>2587</v>
      </c>
      <c r="M231" s="103"/>
      <c r="N231" s="101">
        <v>46269</v>
      </c>
      <c r="O231" s="213" t="s">
        <v>808</v>
      </c>
    </row>
    <row r="232" spans="2:15" hidden="1" outlineLevel="1" x14ac:dyDescent="0.35">
      <c r="B232" s="218" t="s">
        <v>2571</v>
      </c>
      <c r="C232" s="733" t="e">
        <f t="shared" si="53"/>
        <v>#N/A</v>
      </c>
      <c r="D232" s="770">
        <f t="shared" si="54"/>
        <v>47.10247005988024</v>
      </c>
      <c r="E232" s="1221">
        <v>45.7</v>
      </c>
      <c r="F232" s="752">
        <f t="shared" si="46"/>
        <v>1.0306886227544909</v>
      </c>
      <c r="G232" s="65" t="s">
        <v>573</v>
      </c>
      <c r="H232" s="261">
        <v>2024</v>
      </c>
      <c r="J232" s="275" t="s">
        <v>2529</v>
      </c>
      <c r="K232" s="92" t="s">
        <v>735</v>
      </c>
      <c r="L232" s="994" t="s">
        <v>2588</v>
      </c>
      <c r="M232" s="103"/>
      <c r="N232" s="101">
        <v>46269</v>
      </c>
      <c r="O232" s="213" t="s">
        <v>808</v>
      </c>
    </row>
    <row r="233" spans="2:15" hidden="1" outlineLevel="1" x14ac:dyDescent="0.35">
      <c r="B233" s="218" t="s">
        <v>2572</v>
      </c>
      <c r="C233" s="733" t="e">
        <f t="shared" si="53"/>
        <v>#N/A</v>
      </c>
      <c r="D233" s="770">
        <f t="shared" si="54"/>
        <v>40.71220059880239</v>
      </c>
      <c r="E233" s="1221">
        <v>39.5</v>
      </c>
      <c r="F233" s="752">
        <f t="shared" si="46"/>
        <v>1.0306886227544909</v>
      </c>
      <c r="G233" s="65" t="s">
        <v>573</v>
      </c>
      <c r="H233" s="221">
        <v>2024</v>
      </c>
      <c r="J233" s="275" t="s">
        <v>2529</v>
      </c>
      <c r="K233" s="92" t="s">
        <v>735</v>
      </c>
      <c r="L233" s="994" t="s">
        <v>2588</v>
      </c>
      <c r="M233" s="103"/>
      <c r="N233" s="101">
        <v>46269</v>
      </c>
      <c r="O233" s="213" t="s">
        <v>808</v>
      </c>
    </row>
    <row r="234" spans="2:15" hidden="1" outlineLevel="1" x14ac:dyDescent="0.35">
      <c r="B234" s="218" t="s">
        <v>849</v>
      </c>
      <c r="C234" s="733" t="e">
        <f t="shared" si="44"/>
        <v>#N/A</v>
      </c>
      <c r="D234" s="765">
        <f t="shared" si="45"/>
        <v>15.69869326347305</v>
      </c>
      <c r="E234" s="399">
        <v>15.231266666666665</v>
      </c>
      <c r="F234" s="752">
        <f t="shared" si="46"/>
        <v>1.0306886227544909</v>
      </c>
      <c r="G234" s="103" t="s">
        <v>573</v>
      </c>
      <c r="H234" s="221">
        <v>2024</v>
      </c>
      <c r="J234" s="275" t="s">
        <v>2529</v>
      </c>
      <c r="K234" s="92" t="s">
        <v>735</v>
      </c>
      <c r="L234" s="103" t="s">
        <v>2463</v>
      </c>
      <c r="M234" s="103"/>
      <c r="N234" s="101">
        <v>46162</v>
      </c>
      <c r="O234" s="213" t="s">
        <v>808</v>
      </c>
    </row>
    <row r="235" spans="2:15" hidden="1" outlineLevel="1" x14ac:dyDescent="0.35">
      <c r="B235" s="218" t="s">
        <v>850</v>
      </c>
      <c r="C235" s="463" t="e">
        <f t="shared" si="44"/>
        <v>#N/A</v>
      </c>
      <c r="D235" s="752">
        <f t="shared" si="45"/>
        <v>21.119428293413172</v>
      </c>
      <c r="E235" s="33">
        <v>20.490600000000001</v>
      </c>
      <c r="F235" s="463">
        <f t="shared" si="46"/>
        <v>1.0306886227544909</v>
      </c>
      <c r="G235" s="65" t="s">
        <v>573</v>
      </c>
      <c r="H235" s="221">
        <v>2024</v>
      </c>
      <c r="J235" s="275" t="s">
        <v>2529</v>
      </c>
      <c r="K235" s="92" t="s">
        <v>735</v>
      </c>
      <c r="L235" s="103" t="s">
        <v>2463</v>
      </c>
      <c r="M235" s="103"/>
      <c r="N235" s="101">
        <v>46162</v>
      </c>
      <c r="O235" s="213" t="s">
        <v>808</v>
      </c>
    </row>
    <row r="236" spans="2:15" hidden="1" outlineLevel="1" x14ac:dyDescent="0.35">
      <c r="B236" s="218" t="s">
        <v>851</v>
      </c>
      <c r="C236" s="463" t="e">
        <f t="shared" si="44"/>
        <v>#N/A</v>
      </c>
      <c r="D236" s="752">
        <f t="shared" si="45"/>
        <v>9.0969767441860458</v>
      </c>
      <c r="E236" s="33">
        <v>7.67</v>
      </c>
      <c r="F236" s="463">
        <f t="shared" si="46"/>
        <v>1.1860465116279069</v>
      </c>
      <c r="G236" s="65" t="s">
        <v>573</v>
      </c>
      <c r="H236" s="221">
        <v>2021</v>
      </c>
      <c r="J236" s="275" t="s">
        <v>2529</v>
      </c>
      <c r="K236" s="92" t="s">
        <v>735</v>
      </c>
      <c r="L236" s="103" t="s">
        <v>859</v>
      </c>
      <c r="M236" s="103"/>
      <c r="N236" s="101">
        <v>44932</v>
      </c>
      <c r="O236" s="213" t="s">
        <v>808</v>
      </c>
    </row>
    <row r="237" spans="2:15" hidden="1" outlineLevel="1" x14ac:dyDescent="0.35">
      <c r="B237" s="218" t="s">
        <v>852</v>
      </c>
      <c r="C237" s="463" t="e">
        <f t="shared" si="44"/>
        <v>#N/A</v>
      </c>
      <c r="D237" s="752">
        <f>E237*F237</f>
        <v>8.1097672904191622</v>
      </c>
      <c r="E237" s="33">
        <v>7.8683000000000005</v>
      </c>
      <c r="F237" s="463">
        <f t="shared" si="46"/>
        <v>1.0306886227544909</v>
      </c>
      <c r="G237" s="65" t="s">
        <v>573</v>
      </c>
      <c r="H237" s="221">
        <v>2024</v>
      </c>
      <c r="J237" s="275" t="s">
        <v>2529</v>
      </c>
      <c r="K237" s="92" t="s">
        <v>735</v>
      </c>
      <c r="L237" s="103" t="s">
        <v>2463</v>
      </c>
      <c r="M237" s="103"/>
      <c r="N237" s="101">
        <v>46162</v>
      </c>
      <c r="O237" s="213" t="s">
        <v>808</v>
      </c>
    </row>
    <row r="238" spans="2:15" collapsed="1" x14ac:dyDescent="0.35">
      <c r="B238" s="220" t="s">
        <v>861</v>
      </c>
      <c r="C238" s="20"/>
      <c r="D238" s="20"/>
      <c r="E238" s="983"/>
      <c r="F238" s="41"/>
      <c r="G238" s="31"/>
      <c r="H238" s="245"/>
      <c r="J238" s="286"/>
      <c r="K238" s="982"/>
      <c r="L238" s="982"/>
      <c r="M238" s="982"/>
      <c r="N238" s="982"/>
      <c r="O238" s="285"/>
    </row>
    <row r="239" spans="2:15" hidden="1" outlineLevel="1" x14ac:dyDescent="0.35">
      <c r="B239" s="218" t="s">
        <v>839</v>
      </c>
      <c r="C239" s="631" t="e">
        <f t="shared" ref="C239:C260" si="55">D239*KPIJustering</f>
        <v>#N/A</v>
      </c>
      <c r="D239" s="754">
        <f t="shared" ref="D239:D260" si="56">E239*F239</f>
        <v>1860.8108108108108</v>
      </c>
      <c r="E239" s="161">
        <v>1400</v>
      </c>
      <c r="F239" s="463">
        <f t="shared" ref="F239:F260" si="57">1/LOOKUP($H239,StatistikkOgPrognoseÅr,KPIIndeks)</f>
        <v>1.3291505791505791</v>
      </c>
      <c r="G239" s="65" t="s">
        <v>578</v>
      </c>
      <c r="H239" s="221">
        <v>2016</v>
      </c>
      <c r="J239" s="275" t="s">
        <v>2529</v>
      </c>
      <c r="K239" s="65" t="s">
        <v>735</v>
      </c>
      <c r="L239" s="994" t="s">
        <v>862</v>
      </c>
      <c r="M239" s="103"/>
      <c r="N239" s="101">
        <v>43028</v>
      </c>
      <c r="O239" s="213" t="s">
        <v>64</v>
      </c>
    </row>
    <row r="240" spans="2:15" hidden="1" outlineLevel="1" x14ac:dyDescent="0.35">
      <c r="B240" s="218" t="s">
        <v>2581</v>
      </c>
      <c r="C240" s="631" t="e">
        <f t="shared" ref="C240:C241" si="58">D240*KPIJustering</f>
        <v>#N/A</v>
      </c>
      <c r="D240" s="754">
        <f t="shared" ref="D240:D241" si="59">E240*F240</f>
        <v>1860.8108108108108</v>
      </c>
      <c r="E240" s="161">
        <v>1400</v>
      </c>
      <c r="F240" s="463">
        <f t="shared" si="57"/>
        <v>1.3291505791505791</v>
      </c>
      <c r="G240" s="65" t="s">
        <v>578</v>
      </c>
      <c r="H240" s="221">
        <v>2016</v>
      </c>
      <c r="J240" s="275" t="s">
        <v>2529</v>
      </c>
      <c r="K240" s="92" t="s">
        <v>735</v>
      </c>
      <c r="L240" s="103" t="s">
        <v>2463</v>
      </c>
      <c r="M240" s="103"/>
      <c r="N240" s="101">
        <v>46269</v>
      </c>
      <c r="O240" s="213" t="s">
        <v>808</v>
      </c>
    </row>
    <row r="241" spans="2:15" hidden="1" outlineLevel="1" x14ac:dyDescent="0.35">
      <c r="B241" s="218" t="s">
        <v>2582</v>
      </c>
      <c r="C241" s="631" t="e">
        <f t="shared" si="58"/>
        <v>#N/A</v>
      </c>
      <c r="D241" s="754">
        <f t="shared" si="59"/>
        <v>1860.8108108108108</v>
      </c>
      <c r="E241" s="161">
        <v>1400</v>
      </c>
      <c r="F241" s="463">
        <f t="shared" si="57"/>
        <v>1.3291505791505791</v>
      </c>
      <c r="G241" s="65" t="s">
        <v>578</v>
      </c>
      <c r="H241" s="221">
        <v>2016</v>
      </c>
      <c r="J241" s="275" t="s">
        <v>2529</v>
      </c>
      <c r="K241" s="92" t="s">
        <v>735</v>
      </c>
      <c r="L241" s="103" t="s">
        <v>2463</v>
      </c>
      <c r="M241" s="103"/>
      <c r="N241" s="101">
        <v>46269</v>
      </c>
      <c r="O241" s="213" t="s">
        <v>808</v>
      </c>
    </row>
    <row r="242" spans="2:15" hidden="1" outlineLevel="1" x14ac:dyDescent="0.35">
      <c r="B242" s="218" t="s">
        <v>842</v>
      </c>
      <c r="C242" s="631" t="e">
        <f t="shared" si="55"/>
        <v>#N/A</v>
      </c>
      <c r="D242" s="754">
        <f t="shared" si="56"/>
        <v>1860.8108108108108</v>
      </c>
      <c r="E242" s="161">
        <v>1400</v>
      </c>
      <c r="F242" s="463">
        <f t="shared" si="57"/>
        <v>1.3291505791505791</v>
      </c>
      <c r="G242" s="65" t="s">
        <v>578</v>
      </c>
      <c r="H242" s="221">
        <v>2016</v>
      </c>
      <c r="J242" s="275" t="s">
        <v>2529</v>
      </c>
      <c r="K242" s="65" t="s">
        <v>735</v>
      </c>
      <c r="L242" s="994" t="s">
        <v>862</v>
      </c>
      <c r="M242" s="103"/>
      <c r="N242" s="101">
        <v>43028</v>
      </c>
      <c r="O242" s="213" t="s">
        <v>64</v>
      </c>
    </row>
    <row r="243" spans="2:15" hidden="1" outlineLevel="1" x14ac:dyDescent="0.35">
      <c r="B243" s="218" t="s">
        <v>843</v>
      </c>
      <c r="C243" s="631" t="e">
        <f t="shared" si="55"/>
        <v>#N/A</v>
      </c>
      <c r="D243" s="754">
        <f t="shared" si="56"/>
        <v>1860.8108108108108</v>
      </c>
      <c r="E243" s="161">
        <v>1400</v>
      </c>
      <c r="F243" s="463">
        <f t="shared" si="57"/>
        <v>1.3291505791505791</v>
      </c>
      <c r="G243" s="65" t="s">
        <v>578</v>
      </c>
      <c r="H243" s="221">
        <v>2016</v>
      </c>
      <c r="J243" s="275" t="s">
        <v>2529</v>
      </c>
      <c r="K243" s="65" t="s">
        <v>735</v>
      </c>
      <c r="L243" s="994" t="s">
        <v>862</v>
      </c>
      <c r="M243" s="103"/>
      <c r="N243" s="101">
        <v>43028</v>
      </c>
      <c r="O243" s="213" t="s">
        <v>64</v>
      </c>
    </row>
    <row r="244" spans="2:15" hidden="1" outlineLevel="1" x14ac:dyDescent="0.35">
      <c r="B244" s="218" t="s">
        <v>2566</v>
      </c>
      <c r="C244" s="631" t="e">
        <f t="shared" ref="C244" si="60">D244*KPIJustering</f>
        <v>#N/A</v>
      </c>
      <c r="D244" s="754">
        <f t="shared" ref="D244" si="61">E244*F244</f>
        <v>1860.8108108108108</v>
      </c>
      <c r="E244" s="161">
        <v>1400</v>
      </c>
      <c r="F244" s="463">
        <f t="shared" si="57"/>
        <v>1.3291505791505791</v>
      </c>
      <c r="G244" s="65" t="s">
        <v>578</v>
      </c>
      <c r="H244" s="221">
        <v>2016</v>
      </c>
      <c r="J244" s="275" t="s">
        <v>2529</v>
      </c>
      <c r="K244" s="65" t="s">
        <v>735</v>
      </c>
      <c r="L244" s="994" t="s">
        <v>862</v>
      </c>
      <c r="M244" s="103"/>
      <c r="N244" s="101">
        <v>46268</v>
      </c>
      <c r="O244" s="213" t="s">
        <v>808</v>
      </c>
    </row>
    <row r="245" spans="2:15" hidden="1" outlineLevel="1" x14ac:dyDescent="0.35">
      <c r="B245" s="218" t="s">
        <v>844</v>
      </c>
      <c r="C245" s="631" t="e">
        <f t="shared" si="55"/>
        <v>#N/A</v>
      </c>
      <c r="D245" s="754">
        <f t="shared" si="56"/>
        <v>1860.8108108108108</v>
      </c>
      <c r="E245" s="161">
        <v>1400</v>
      </c>
      <c r="F245" s="463">
        <f t="shared" si="57"/>
        <v>1.3291505791505791</v>
      </c>
      <c r="G245" s="65" t="s">
        <v>578</v>
      </c>
      <c r="H245" s="221">
        <v>2016</v>
      </c>
      <c r="J245" s="275" t="s">
        <v>2529</v>
      </c>
      <c r="K245" s="65" t="s">
        <v>735</v>
      </c>
      <c r="L245" s="994" t="s">
        <v>862</v>
      </c>
      <c r="M245" s="103"/>
      <c r="N245" s="101">
        <v>43028</v>
      </c>
      <c r="O245" s="213" t="s">
        <v>64</v>
      </c>
    </row>
    <row r="246" spans="2:15" hidden="1" outlineLevel="1" x14ac:dyDescent="0.35">
      <c r="B246" s="218" t="s">
        <v>845</v>
      </c>
      <c r="C246" s="631" t="e">
        <f t="shared" si="55"/>
        <v>#N/A</v>
      </c>
      <c r="D246" s="754">
        <f t="shared" si="56"/>
        <v>1860.8108108108108</v>
      </c>
      <c r="E246" s="161">
        <v>1400</v>
      </c>
      <c r="F246" s="463">
        <f t="shared" si="57"/>
        <v>1.3291505791505791</v>
      </c>
      <c r="G246" s="65" t="s">
        <v>578</v>
      </c>
      <c r="H246" s="221">
        <v>2016</v>
      </c>
      <c r="J246" s="275" t="s">
        <v>2529</v>
      </c>
      <c r="K246" s="65" t="s">
        <v>735</v>
      </c>
      <c r="L246" s="994" t="s">
        <v>862</v>
      </c>
      <c r="M246" s="103"/>
      <c r="N246" s="101">
        <v>43028</v>
      </c>
      <c r="O246" s="213" t="s">
        <v>64</v>
      </c>
    </row>
    <row r="247" spans="2:15" hidden="1" outlineLevel="1" x14ac:dyDescent="0.35">
      <c r="B247" s="218" t="s">
        <v>846</v>
      </c>
      <c r="C247" s="631" t="e">
        <f t="shared" si="55"/>
        <v>#N/A</v>
      </c>
      <c r="D247" s="754">
        <f t="shared" si="56"/>
        <v>1860.8108108108108</v>
      </c>
      <c r="E247" s="161">
        <f>E242</f>
        <v>1400</v>
      </c>
      <c r="F247" s="463">
        <f t="shared" si="57"/>
        <v>1.3291505791505791</v>
      </c>
      <c r="G247" s="65" t="s">
        <v>578</v>
      </c>
      <c r="H247" s="221">
        <v>2016</v>
      </c>
      <c r="J247" s="275" t="s">
        <v>2529</v>
      </c>
      <c r="K247" s="65" t="s">
        <v>735</v>
      </c>
      <c r="L247" s="994" t="s">
        <v>862</v>
      </c>
      <c r="M247" s="103" t="s">
        <v>863</v>
      </c>
      <c r="N247" s="101">
        <v>43028</v>
      </c>
      <c r="O247" s="213" t="s">
        <v>64</v>
      </c>
    </row>
    <row r="248" spans="2:15" hidden="1" outlineLevel="1" x14ac:dyDescent="0.35">
      <c r="B248" s="218" t="s">
        <v>847</v>
      </c>
      <c r="C248" s="631" t="e">
        <f t="shared" si="55"/>
        <v>#N/A</v>
      </c>
      <c r="D248" s="754">
        <f t="shared" si="56"/>
        <v>1860.8108108108108</v>
      </c>
      <c r="E248" s="161">
        <v>1400</v>
      </c>
      <c r="F248" s="463">
        <f t="shared" si="57"/>
        <v>1.3291505791505791</v>
      </c>
      <c r="G248" s="65" t="s">
        <v>578</v>
      </c>
      <c r="H248" s="221">
        <v>2016</v>
      </c>
      <c r="J248" s="275" t="s">
        <v>2529</v>
      </c>
      <c r="K248" s="65" t="s">
        <v>735</v>
      </c>
      <c r="L248" s="994" t="s">
        <v>862</v>
      </c>
      <c r="M248" s="103"/>
      <c r="N248" s="101">
        <v>43028</v>
      </c>
      <c r="O248" s="213" t="s">
        <v>64</v>
      </c>
    </row>
    <row r="249" spans="2:15" hidden="1" outlineLevel="1" x14ac:dyDescent="0.35">
      <c r="B249" s="218" t="s">
        <v>848</v>
      </c>
      <c r="C249" s="631" t="e">
        <f>D249*KPIJustering</f>
        <v>#N/A</v>
      </c>
      <c r="D249" s="754">
        <f>E249*F249</f>
        <v>1860.8108108108108</v>
      </c>
      <c r="E249" s="161">
        <v>1400</v>
      </c>
      <c r="F249" s="463">
        <f t="shared" si="57"/>
        <v>1.3291505791505791</v>
      </c>
      <c r="G249" s="65" t="s">
        <v>578</v>
      </c>
      <c r="H249" s="221">
        <v>2016</v>
      </c>
      <c r="J249" s="275" t="s">
        <v>2529</v>
      </c>
      <c r="K249" s="65" t="s">
        <v>735</v>
      </c>
      <c r="L249" s="994" t="s">
        <v>862</v>
      </c>
      <c r="M249" s="103"/>
      <c r="N249" s="101">
        <v>43028</v>
      </c>
      <c r="O249" s="213" t="s">
        <v>64</v>
      </c>
    </row>
    <row r="250" spans="2:15" hidden="1" outlineLevel="1" x14ac:dyDescent="0.35">
      <c r="B250" s="218" t="s">
        <v>2568</v>
      </c>
      <c r="C250" s="631" t="e">
        <f t="shared" ref="C250" si="62">D250*KPIJustering</f>
        <v>#N/A</v>
      </c>
      <c r="D250" s="754">
        <f t="shared" ref="D250" si="63">E250*F250</f>
        <v>1860.8108108108108</v>
      </c>
      <c r="E250" s="161">
        <v>1400</v>
      </c>
      <c r="F250" s="463">
        <f t="shared" si="57"/>
        <v>1.3291505791505791</v>
      </c>
      <c r="G250" s="65" t="s">
        <v>578</v>
      </c>
      <c r="H250" s="221">
        <v>2016</v>
      </c>
      <c r="J250" s="275" t="s">
        <v>2529</v>
      </c>
      <c r="K250" s="92" t="s">
        <v>735</v>
      </c>
      <c r="L250" s="994" t="s">
        <v>2586</v>
      </c>
      <c r="M250" s="103"/>
      <c r="N250" s="101">
        <v>46269</v>
      </c>
      <c r="O250" s="213" t="s">
        <v>808</v>
      </c>
    </row>
    <row r="251" spans="2:15" hidden="1" outlineLevel="1" x14ac:dyDescent="0.35">
      <c r="B251" s="218" t="s">
        <v>2569</v>
      </c>
      <c r="C251" s="631" t="e">
        <f t="shared" ref="C251:C256" si="64">D251*KPIJustering</f>
        <v>#N/A</v>
      </c>
      <c r="D251" s="754">
        <f>E251*F251</f>
        <v>1860.8108108108108</v>
      </c>
      <c r="E251" s="161">
        <v>1400</v>
      </c>
      <c r="F251" s="463">
        <f t="shared" si="57"/>
        <v>1.3291505791505791</v>
      </c>
      <c r="G251" s="65" t="s">
        <v>578</v>
      </c>
      <c r="H251" s="221">
        <v>2016</v>
      </c>
      <c r="J251" s="275" t="s">
        <v>2529</v>
      </c>
      <c r="K251" s="92" t="s">
        <v>735</v>
      </c>
      <c r="L251" s="994" t="s">
        <v>2586</v>
      </c>
      <c r="M251" s="103"/>
      <c r="N251" s="101">
        <v>46269</v>
      </c>
      <c r="O251" s="213" t="s">
        <v>808</v>
      </c>
    </row>
    <row r="252" spans="2:15" hidden="1" outlineLevel="1" x14ac:dyDescent="0.35">
      <c r="B252" s="218" t="s">
        <v>2573</v>
      </c>
      <c r="C252" s="631" t="e">
        <f t="shared" si="64"/>
        <v>#N/A</v>
      </c>
      <c r="D252" s="754">
        <f t="shared" ref="D252:D256" si="65">E252*F252</f>
        <v>1888.2215568862273</v>
      </c>
      <c r="E252" s="161">
        <v>1832</v>
      </c>
      <c r="F252" s="463">
        <f t="shared" si="57"/>
        <v>1.0306886227544909</v>
      </c>
      <c r="G252" s="65" t="s">
        <v>578</v>
      </c>
      <c r="H252" s="221">
        <v>2024</v>
      </c>
      <c r="J252" s="275" t="s">
        <v>2529</v>
      </c>
      <c r="K252" s="92" t="s">
        <v>735</v>
      </c>
      <c r="L252" s="994" t="s">
        <v>2589</v>
      </c>
      <c r="M252" s="103"/>
      <c r="N252" s="101">
        <v>46269</v>
      </c>
      <c r="O252" s="213" t="s">
        <v>808</v>
      </c>
    </row>
    <row r="253" spans="2:15" hidden="1" outlineLevel="1" x14ac:dyDescent="0.35">
      <c r="B253" s="218" t="s">
        <v>2574</v>
      </c>
      <c r="C253" s="631" t="e">
        <f t="shared" si="64"/>
        <v>#N/A</v>
      </c>
      <c r="D253" s="754">
        <f t="shared" si="65"/>
        <v>9016.464071856286</v>
      </c>
      <c r="E253" s="161">
        <v>8748</v>
      </c>
      <c r="F253" s="463">
        <f t="shared" si="57"/>
        <v>1.0306886227544909</v>
      </c>
      <c r="G253" s="65" t="s">
        <v>578</v>
      </c>
      <c r="H253" s="221">
        <v>2024</v>
      </c>
      <c r="J253" s="275" t="s">
        <v>2529</v>
      </c>
      <c r="K253" s="92" t="s">
        <v>735</v>
      </c>
      <c r="L253" s="994" t="s">
        <v>2589</v>
      </c>
      <c r="M253" s="103"/>
      <c r="N253" s="101">
        <v>46269</v>
      </c>
      <c r="O253" s="213" t="s">
        <v>808</v>
      </c>
    </row>
    <row r="254" spans="2:15" hidden="1" outlineLevel="1" x14ac:dyDescent="0.35">
      <c r="B254" s="218" t="s">
        <v>2570</v>
      </c>
      <c r="C254" s="631" t="e">
        <f t="shared" si="64"/>
        <v>#N/A</v>
      </c>
      <c r="D254" s="754">
        <f t="shared" si="65"/>
        <v>9016.464071856286</v>
      </c>
      <c r="E254" s="161">
        <v>8748</v>
      </c>
      <c r="F254" s="463">
        <f t="shared" si="57"/>
        <v>1.0306886227544909</v>
      </c>
      <c r="G254" s="65" t="s">
        <v>578</v>
      </c>
      <c r="H254" s="221">
        <v>2024</v>
      </c>
      <c r="J254" s="275" t="s">
        <v>2529</v>
      </c>
      <c r="K254" s="92" t="s">
        <v>735</v>
      </c>
      <c r="L254" s="994" t="s">
        <v>2589</v>
      </c>
      <c r="M254" s="103"/>
      <c r="N254" s="101">
        <v>46269</v>
      </c>
      <c r="O254" s="213" t="s">
        <v>808</v>
      </c>
    </row>
    <row r="255" spans="2:15" hidden="1" outlineLevel="1" x14ac:dyDescent="0.35">
      <c r="B255" s="218" t="s">
        <v>2571</v>
      </c>
      <c r="C255" s="631" t="e">
        <f t="shared" si="64"/>
        <v>#N/A</v>
      </c>
      <c r="D255" s="754">
        <f t="shared" si="65"/>
        <v>1888.2215568862273</v>
      </c>
      <c r="E255" s="161">
        <v>1832</v>
      </c>
      <c r="F255" s="463">
        <f t="shared" si="57"/>
        <v>1.0306886227544909</v>
      </c>
      <c r="G255" s="65" t="s">
        <v>578</v>
      </c>
      <c r="H255" s="221">
        <v>2024</v>
      </c>
      <c r="J255" s="275" t="s">
        <v>2529</v>
      </c>
      <c r="K255" s="92" t="s">
        <v>735</v>
      </c>
      <c r="L255" s="994" t="s">
        <v>2589</v>
      </c>
      <c r="M255" s="103"/>
      <c r="N255" s="101">
        <v>46269</v>
      </c>
      <c r="O255" s="213" t="s">
        <v>808</v>
      </c>
    </row>
    <row r="256" spans="2:15" hidden="1" outlineLevel="1" x14ac:dyDescent="0.35">
      <c r="B256" s="218" t="s">
        <v>2572</v>
      </c>
      <c r="C256" s="631" t="e">
        <f t="shared" si="64"/>
        <v>#N/A</v>
      </c>
      <c r="D256" s="754">
        <f t="shared" si="65"/>
        <v>1888.2215568862273</v>
      </c>
      <c r="E256" s="161">
        <v>1832</v>
      </c>
      <c r="F256" s="463">
        <f t="shared" si="57"/>
        <v>1.0306886227544909</v>
      </c>
      <c r="G256" s="65" t="s">
        <v>578</v>
      </c>
      <c r="H256" s="221">
        <v>2024</v>
      </c>
      <c r="J256" s="275" t="s">
        <v>2529</v>
      </c>
      <c r="K256" s="92" t="s">
        <v>735</v>
      </c>
      <c r="L256" s="994" t="s">
        <v>2589</v>
      </c>
      <c r="M256" s="103"/>
      <c r="N256" s="101">
        <v>46269</v>
      </c>
      <c r="O256" s="213" t="s">
        <v>808</v>
      </c>
    </row>
    <row r="257" spans="2:15" hidden="1" outlineLevel="1" x14ac:dyDescent="0.35">
      <c r="B257" s="218" t="s">
        <v>849</v>
      </c>
      <c r="C257" s="631" t="e">
        <f t="shared" si="55"/>
        <v>#N/A</v>
      </c>
      <c r="D257" s="754">
        <f t="shared" si="56"/>
        <v>0</v>
      </c>
      <c r="E257" s="161">
        <v>0</v>
      </c>
      <c r="F257" s="463">
        <f t="shared" si="57"/>
        <v>1.3291505791505791</v>
      </c>
      <c r="G257" s="65" t="s">
        <v>578</v>
      </c>
      <c r="H257" s="221">
        <v>2016</v>
      </c>
      <c r="J257" s="275" t="s">
        <v>2529</v>
      </c>
      <c r="K257" s="65" t="s">
        <v>735</v>
      </c>
      <c r="L257" s="994" t="s">
        <v>862</v>
      </c>
      <c r="M257" s="103"/>
      <c r="N257" s="101">
        <v>43028</v>
      </c>
      <c r="O257" s="213" t="s">
        <v>64</v>
      </c>
    </row>
    <row r="258" spans="2:15" hidden="1" outlineLevel="1" x14ac:dyDescent="0.35">
      <c r="B258" s="218" t="s">
        <v>850</v>
      </c>
      <c r="C258" s="631" t="e">
        <f t="shared" si="55"/>
        <v>#N/A</v>
      </c>
      <c r="D258" s="754">
        <f t="shared" si="56"/>
        <v>0</v>
      </c>
      <c r="E258" s="161">
        <v>0</v>
      </c>
      <c r="F258" s="463">
        <f t="shared" si="57"/>
        <v>1.3291505791505791</v>
      </c>
      <c r="G258" s="65" t="s">
        <v>578</v>
      </c>
      <c r="H258" s="221">
        <v>2016</v>
      </c>
      <c r="J258" s="275" t="s">
        <v>2529</v>
      </c>
      <c r="K258" s="65" t="s">
        <v>735</v>
      </c>
      <c r="L258" s="994" t="s">
        <v>862</v>
      </c>
      <c r="M258" s="103"/>
      <c r="N258" s="101">
        <v>43028</v>
      </c>
      <c r="O258" s="213" t="s">
        <v>64</v>
      </c>
    </row>
    <row r="259" spans="2:15" hidden="1" outlineLevel="1" x14ac:dyDescent="0.35">
      <c r="B259" s="218" t="s">
        <v>851</v>
      </c>
      <c r="C259" s="631" t="e">
        <f t="shared" si="55"/>
        <v>#N/A</v>
      </c>
      <c r="D259" s="754">
        <f t="shared" si="56"/>
        <v>2326.0135135135133</v>
      </c>
      <c r="E259" s="161">
        <v>1750</v>
      </c>
      <c r="F259" s="463">
        <f t="shared" si="57"/>
        <v>1.3291505791505791</v>
      </c>
      <c r="G259" s="65" t="s">
        <v>578</v>
      </c>
      <c r="H259" s="221">
        <v>2016</v>
      </c>
      <c r="J259" s="275" t="s">
        <v>2529</v>
      </c>
      <c r="K259" s="65" t="s">
        <v>735</v>
      </c>
      <c r="L259" s="994" t="s">
        <v>862</v>
      </c>
      <c r="M259" s="103"/>
      <c r="N259" s="101">
        <v>43028</v>
      </c>
      <c r="O259" s="213" t="s">
        <v>64</v>
      </c>
    </row>
    <row r="260" spans="2:15" hidden="1" outlineLevel="1" x14ac:dyDescent="0.35">
      <c r="B260" s="218" t="s">
        <v>852</v>
      </c>
      <c r="C260" s="631" t="e">
        <f t="shared" si="55"/>
        <v>#N/A</v>
      </c>
      <c r="D260" s="754">
        <f t="shared" si="56"/>
        <v>4652.0270270270266</v>
      </c>
      <c r="E260" s="161">
        <v>3500</v>
      </c>
      <c r="F260" s="463">
        <f t="shared" si="57"/>
        <v>1.3291505791505791</v>
      </c>
      <c r="G260" s="65" t="s">
        <v>578</v>
      </c>
      <c r="H260" s="221">
        <v>2016</v>
      </c>
      <c r="J260" s="275" t="s">
        <v>2529</v>
      </c>
      <c r="K260" s="65" t="s">
        <v>735</v>
      </c>
      <c r="L260" s="994" t="s">
        <v>862</v>
      </c>
      <c r="M260" s="103"/>
      <c r="N260" s="101">
        <v>43028</v>
      </c>
      <c r="O260" s="213" t="s">
        <v>64</v>
      </c>
    </row>
    <row r="261" spans="2:15" collapsed="1" x14ac:dyDescent="0.35">
      <c r="B261" s="220" t="s">
        <v>864</v>
      </c>
      <c r="C261" s="20"/>
      <c r="D261" s="20"/>
      <c r="E261" s="983"/>
      <c r="F261" s="978"/>
      <c r="G261" s="31"/>
      <c r="H261" s="245"/>
      <c r="J261" s="286"/>
      <c r="K261" s="982"/>
      <c r="L261" s="982"/>
      <c r="M261" s="982"/>
      <c r="N261" s="982"/>
      <c r="O261" s="285"/>
    </row>
    <row r="262" spans="2:15" hidden="1" outlineLevel="1" x14ac:dyDescent="0.35">
      <c r="B262" s="218" t="s">
        <v>839</v>
      </c>
      <c r="C262" s="733" t="e">
        <f t="shared" ref="C262:C283" si="66">D262*KPIJustering</f>
        <v>#N/A</v>
      </c>
      <c r="D262" s="733">
        <f>E262*F262</f>
        <v>3987.4517374517372</v>
      </c>
      <c r="E262" s="32">
        <f>'Standardsatser-Forutsetninger'!C58</f>
        <v>3000</v>
      </c>
      <c r="F262" s="463">
        <f t="shared" ref="F262:F283" si="67">1/LOOKUP($H262,StatistikkOgPrognoseÅr,KPIIndeks)</f>
        <v>1.3291505791505791</v>
      </c>
      <c r="G262" s="65" t="str">
        <f>'Standardsatser-Forutsetninger'!D58</f>
        <v>Kr per dag</v>
      </c>
      <c r="H262" s="221">
        <f>'Standardsatser-Forutsetninger'!E58</f>
        <v>2016</v>
      </c>
      <c r="J262" s="275" t="s">
        <v>2529</v>
      </c>
      <c r="K262" s="65" t="s">
        <v>735</v>
      </c>
      <c r="L262" s="103" t="s">
        <v>865</v>
      </c>
      <c r="M262" s="959" t="s">
        <v>802</v>
      </c>
      <c r="N262" s="101">
        <v>43028</v>
      </c>
      <c r="O262" s="213" t="s">
        <v>64</v>
      </c>
    </row>
    <row r="263" spans="2:15" hidden="1" outlineLevel="1" x14ac:dyDescent="0.35">
      <c r="B263" s="218" t="s">
        <v>2581</v>
      </c>
      <c r="C263" s="733" t="e">
        <f t="shared" ref="C263:C264" si="68">D263*KPIJustering</f>
        <v>#N/A</v>
      </c>
      <c r="D263" s="733">
        <f t="shared" ref="D263:D264" si="69">E263*F263</f>
        <v>1087.9626848398962</v>
      </c>
      <c r="E263" s="32">
        <f>'Standardsatser-Forutsetninger'!C59</f>
        <v>1055.568734165651</v>
      </c>
      <c r="F263" s="463">
        <f t="shared" si="67"/>
        <v>1.0306886227544909</v>
      </c>
      <c r="G263" s="65" t="str">
        <f>'Standardsatser-Forutsetninger'!D61</f>
        <v>Kr per dag</v>
      </c>
      <c r="H263" s="221">
        <v>2024</v>
      </c>
      <c r="J263" s="275" t="s">
        <v>2529</v>
      </c>
      <c r="K263" s="103" t="s">
        <v>735</v>
      </c>
      <c r="L263" s="103" t="s">
        <v>865</v>
      </c>
      <c r="M263" s="103"/>
      <c r="N263" s="101">
        <v>46269</v>
      </c>
      <c r="O263" s="213" t="s">
        <v>808</v>
      </c>
    </row>
    <row r="264" spans="2:15" hidden="1" outlineLevel="1" x14ac:dyDescent="0.35">
      <c r="B264" s="218" t="s">
        <v>2582</v>
      </c>
      <c r="C264" s="733" t="e">
        <f t="shared" si="68"/>
        <v>#N/A</v>
      </c>
      <c r="D264" s="733">
        <f t="shared" si="69"/>
        <v>715.58197785614595</v>
      </c>
      <c r="E264" s="32">
        <f>'Standardsatser-Forutsetninger'!C60</f>
        <v>694.27561540727027</v>
      </c>
      <c r="F264" s="463">
        <f t="shared" si="67"/>
        <v>1.0306886227544909</v>
      </c>
      <c r="G264" s="65" t="str">
        <f>'Standardsatser-Forutsetninger'!D62</f>
        <v>Kr per dag</v>
      </c>
      <c r="H264" s="221">
        <v>2024</v>
      </c>
      <c r="J264" s="275" t="s">
        <v>2529</v>
      </c>
      <c r="K264" s="103" t="s">
        <v>735</v>
      </c>
      <c r="L264" s="103" t="s">
        <v>865</v>
      </c>
      <c r="M264" s="103"/>
      <c r="N264" s="101">
        <v>46269</v>
      </c>
      <c r="O264" s="213" t="s">
        <v>808</v>
      </c>
    </row>
    <row r="265" spans="2:15" hidden="1" outlineLevel="1" x14ac:dyDescent="0.35">
      <c r="B265" s="218" t="s">
        <v>842</v>
      </c>
      <c r="C265" s="733" t="e">
        <f t="shared" si="66"/>
        <v>#N/A</v>
      </c>
      <c r="D265" s="733">
        <f>E265*F265</f>
        <v>3084.8046332458857</v>
      </c>
      <c r="E265" s="32">
        <v>2992.9549673322467</v>
      </c>
      <c r="F265" s="463">
        <f t="shared" si="67"/>
        <v>1.0306886227544909</v>
      </c>
      <c r="G265" s="65" t="str">
        <f>'Standardsatser-Forutsetninger'!D61</f>
        <v>Kr per dag</v>
      </c>
      <c r="H265" s="221">
        <v>2024</v>
      </c>
      <c r="J265" s="275" t="s">
        <v>2529</v>
      </c>
      <c r="K265" s="103" t="s">
        <v>735</v>
      </c>
      <c r="L265" s="103" t="s">
        <v>865</v>
      </c>
      <c r="M265" s="103"/>
      <c r="N265" s="101">
        <v>46162</v>
      </c>
      <c r="O265" s="213" t="s">
        <v>808</v>
      </c>
    </row>
    <row r="266" spans="2:15" hidden="1" outlineLevel="1" x14ac:dyDescent="0.35">
      <c r="B266" s="218" t="s">
        <v>843</v>
      </c>
      <c r="C266" s="733" t="e">
        <f t="shared" si="66"/>
        <v>#N/A</v>
      </c>
      <c r="D266" s="733">
        <f>E266*F266</f>
        <v>3546.4685653043762</v>
      </c>
      <c r="E266" s="32">
        <v>3440.8729144855824</v>
      </c>
      <c r="F266" s="463">
        <f t="shared" si="67"/>
        <v>1.0306886227544909</v>
      </c>
      <c r="G266" s="65" t="str">
        <f>'Standardsatser-Forutsetninger'!D62</f>
        <v>Kr per dag</v>
      </c>
      <c r="H266" s="221">
        <v>2024</v>
      </c>
      <c r="J266" s="275" t="s">
        <v>2529</v>
      </c>
      <c r="K266" s="103" t="s">
        <v>735</v>
      </c>
      <c r="L266" s="103" t="s">
        <v>865</v>
      </c>
      <c r="M266" s="103"/>
      <c r="N266" s="101">
        <v>46162</v>
      </c>
      <c r="O266" s="213" t="s">
        <v>808</v>
      </c>
    </row>
    <row r="267" spans="2:15" hidden="1" outlineLevel="1" x14ac:dyDescent="0.35">
      <c r="B267" s="218" t="s">
        <v>2566</v>
      </c>
      <c r="C267" s="733" t="e">
        <f t="shared" ref="C267" si="70">D267*KPIJustering</f>
        <v>#N/A</v>
      </c>
      <c r="D267" s="733">
        <f>E267*F267</f>
        <v>1650.3772482074073</v>
      </c>
      <c r="E267" s="32">
        <v>1601.2374753849647</v>
      </c>
      <c r="F267" s="463">
        <f t="shared" si="67"/>
        <v>1.0306886227544909</v>
      </c>
      <c r="G267" s="65" t="str">
        <f>'Standardsatser-Forutsetninger'!D63</f>
        <v>Kr per dag</v>
      </c>
      <c r="H267" s="221">
        <v>2024</v>
      </c>
      <c r="J267" s="275" t="s">
        <v>2529</v>
      </c>
      <c r="K267" s="103" t="s">
        <v>735</v>
      </c>
      <c r="L267" s="103" t="s">
        <v>865</v>
      </c>
      <c r="M267" s="103"/>
      <c r="N267" s="101">
        <v>46268</v>
      </c>
      <c r="O267" s="213" t="s">
        <v>808</v>
      </c>
    </row>
    <row r="268" spans="2:15" hidden="1" outlineLevel="1" x14ac:dyDescent="0.35">
      <c r="B268" s="218" t="s">
        <v>844</v>
      </c>
      <c r="C268" s="733" t="e">
        <f t="shared" si="66"/>
        <v>#N/A</v>
      </c>
      <c r="D268" s="733">
        <f t="shared" ref="D268" si="71">E268*F268</f>
        <v>1121.2108119541135</v>
      </c>
      <c r="E268" s="32">
        <v>1087.8269025204763</v>
      </c>
      <c r="F268" s="463">
        <f t="shared" si="67"/>
        <v>1.0306886227544909</v>
      </c>
      <c r="G268" s="65" t="str">
        <f>'Standardsatser-Forutsetninger'!D63</f>
        <v>Kr per dag</v>
      </c>
      <c r="H268" s="221">
        <v>2024</v>
      </c>
      <c r="J268" s="275" t="s">
        <v>2529</v>
      </c>
      <c r="K268" s="103" t="s">
        <v>735</v>
      </c>
      <c r="L268" s="103" t="s">
        <v>865</v>
      </c>
      <c r="M268" s="103"/>
      <c r="N268" s="101">
        <v>46162</v>
      </c>
      <c r="O268" s="213" t="s">
        <v>808</v>
      </c>
    </row>
    <row r="269" spans="2:15" hidden="1" outlineLevel="1" x14ac:dyDescent="0.35">
      <c r="B269" s="218" t="s">
        <v>845</v>
      </c>
      <c r="C269" s="733" t="e">
        <f t="shared" si="66"/>
        <v>#N/A</v>
      </c>
      <c r="D269" s="733">
        <f>E269*F269</f>
        <v>3987.4517374517372</v>
      </c>
      <c r="E269" s="32">
        <f>'Standardsatser-Forutsetninger'!C64</f>
        <v>3000</v>
      </c>
      <c r="F269" s="463">
        <f t="shared" si="67"/>
        <v>1.3291505791505791</v>
      </c>
      <c r="G269" s="65" t="str">
        <f>'Standardsatser-Forutsetninger'!D64</f>
        <v>Kr per dag</v>
      </c>
      <c r="H269" s="221">
        <f>'Standardsatser-Forutsetninger'!E64</f>
        <v>2016</v>
      </c>
      <c r="J269" s="275" t="s">
        <v>2529</v>
      </c>
      <c r="K269" s="65" t="s">
        <v>735</v>
      </c>
      <c r="L269" s="103" t="s">
        <v>865</v>
      </c>
      <c r="M269" s="959" t="s">
        <v>802</v>
      </c>
      <c r="N269" s="101">
        <v>43028</v>
      </c>
      <c r="O269" s="213" t="s">
        <v>64</v>
      </c>
    </row>
    <row r="270" spans="2:15" hidden="1" outlineLevel="1" x14ac:dyDescent="0.35">
      <c r="B270" s="218" t="s">
        <v>846</v>
      </c>
      <c r="C270" s="733" t="e">
        <f t="shared" si="66"/>
        <v>#N/A</v>
      </c>
      <c r="D270" s="733">
        <f>E270*F270</f>
        <v>4984.3146718146718</v>
      </c>
      <c r="E270" s="32">
        <f>'Standardsatser-Forutsetninger'!C65</f>
        <v>3750</v>
      </c>
      <c r="F270" s="463">
        <f t="shared" si="67"/>
        <v>1.3291505791505791</v>
      </c>
      <c r="G270" s="65" t="str">
        <f>'Standardsatser-Forutsetninger'!D65</f>
        <v>Kr per dag</v>
      </c>
      <c r="H270" s="221">
        <f>'Standardsatser-Forutsetninger'!E65</f>
        <v>2016</v>
      </c>
      <c r="J270" s="275" t="s">
        <v>2529</v>
      </c>
      <c r="K270" s="65" t="s">
        <v>735</v>
      </c>
      <c r="L270" s="103" t="s">
        <v>865</v>
      </c>
      <c r="M270" s="959" t="s">
        <v>802</v>
      </c>
      <c r="N270" s="101">
        <v>43028</v>
      </c>
      <c r="O270" s="213" t="s">
        <v>64</v>
      </c>
    </row>
    <row r="271" spans="2:15" hidden="1" outlineLevel="1" x14ac:dyDescent="0.35">
      <c r="B271" s="218" t="s">
        <v>847</v>
      </c>
      <c r="C271" s="733" t="e">
        <f t="shared" si="66"/>
        <v>#N/A</v>
      </c>
      <c r="D271" s="733">
        <f t="shared" ref="D271" si="72">E271*F271</f>
        <v>1547.1677616492441</v>
      </c>
      <c r="E271" s="32">
        <v>1501.1010381723968</v>
      </c>
      <c r="F271" s="463">
        <f t="shared" si="67"/>
        <v>1.0306886227544909</v>
      </c>
      <c r="G271" s="65" t="str">
        <f>'Standardsatser-Forutsetninger'!D66</f>
        <v>Kr per dag</v>
      </c>
      <c r="H271" s="221">
        <v>2024</v>
      </c>
      <c r="J271" s="275" t="s">
        <v>2529</v>
      </c>
      <c r="K271" s="65" t="s">
        <v>735</v>
      </c>
      <c r="L271" s="103" t="s">
        <v>865</v>
      </c>
      <c r="M271" s="103"/>
      <c r="N271" s="101">
        <v>46162</v>
      </c>
      <c r="O271" s="213" t="s">
        <v>808</v>
      </c>
    </row>
    <row r="272" spans="2:15" hidden="1" outlineLevel="1" x14ac:dyDescent="0.35">
      <c r="B272" s="218" t="s">
        <v>848</v>
      </c>
      <c r="C272" s="733" t="e">
        <f t="shared" si="66"/>
        <v>#N/A</v>
      </c>
      <c r="D272" s="733">
        <f>E272*F272</f>
        <v>3538.4303230000246</v>
      </c>
      <c r="E272" s="32">
        <v>3433.07400982428</v>
      </c>
      <c r="F272" s="463">
        <f t="shared" si="67"/>
        <v>1.0306886227544909</v>
      </c>
      <c r="G272" s="65" t="str">
        <f>'Standardsatser-Forutsetninger'!D67</f>
        <v>Kr per dag</v>
      </c>
      <c r="H272" s="221">
        <v>2024</v>
      </c>
      <c r="J272" s="275" t="s">
        <v>2529</v>
      </c>
      <c r="K272" s="65" t="s">
        <v>735</v>
      </c>
      <c r="L272" s="103" t="s">
        <v>865</v>
      </c>
      <c r="M272" s="103" t="s">
        <v>802</v>
      </c>
      <c r="N272" s="101">
        <v>46162</v>
      </c>
      <c r="O272" s="213" t="s">
        <v>808</v>
      </c>
    </row>
    <row r="273" spans="1:15" hidden="1" outlineLevel="1" x14ac:dyDescent="0.35">
      <c r="B273" s="218" t="s">
        <v>2568</v>
      </c>
      <c r="C273" s="733" t="e">
        <f t="shared" ref="C273:C274" si="73">D273*KPIJustering</f>
        <v>#N/A</v>
      </c>
      <c r="D273" s="733">
        <f t="shared" ref="D273:D274" si="74">E273*F273</f>
        <v>3315.6365992751312</v>
      </c>
      <c r="E273" s="32">
        <f>'Standardsatser-Forutsetninger'!C68</f>
        <v>3216.9139409089148</v>
      </c>
      <c r="F273" s="463">
        <f t="shared" si="67"/>
        <v>1.0306886227544909</v>
      </c>
      <c r="G273" s="65" t="str">
        <f>'Standardsatser-Forutsetninger'!D68</f>
        <v>Kr per dag</v>
      </c>
      <c r="H273" s="221">
        <v>2024</v>
      </c>
      <c r="J273" s="275" t="s">
        <v>2529</v>
      </c>
      <c r="K273" s="65" t="s">
        <v>735</v>
      </c>
      <c r="L273" s="103" t="s">
        <v>2596</v>
      </c>
      <c r="M273" s="103"/>
      <c r="N273" s="101">
        <v>46269</v>
      </c>
      <c r="O273" s="213" t="s">
        <v>808</v>
      </c>
    </row>
    <row r="274" spans="1:15" hidden="1" outlineLevel="1" x14ac:dyDescent="0.35">
      <c r="B274" s="218" t="s">
        <v>2569</v>
      </c>
      <c r="C274" s="733" t="e">
        <f t="shared" si="73"/>
        <v>#N/A</v>
      </c>
      <c r="D274" s="733">
        <f t="shared" si="74"/>
        <v>3315.6365992751312</v>
      </c>
      <c r="E274" s="32">
        <f>'Standardsatser-Forutsetninger'!C69</f>
        <v>3216.9139409089148</v>
      </c>
      <c r="F274" s="463">
        <f t="shared" si="67"/>
        <v>1.0306886227544909</v>
      </c>
      <c r="G274" s="65" t="str">
        <f>'Standardsatser-Forutsetninger'!D69</f>
        <v>Kr per dag</v>
      </c>
      <c r="H274" s="221">
        <v>2024</v>
      </c>
      <c r="J274" s="275" t="s">
        <v>2529</v>
      </c>
      <c r="K274" s="65" t="s">
        <v>735</v>
      </c>
      <c r="L274" s="103" t="s">
        <v>2597</v>
      </c>
      <c r="M274" s="103" t="s">
        <v>802</v>
      </c>
      <c r="N274" s="101">
        <v>46269</v>
      </c>
      <c r="O274" s="213" t="s">
        <v>808</v>
      </c>
    </row>
    <row r="275" spans="1:15" hidden="1" outlineLevel="1" x14ac:dyDescent="0.35">
      <c r="B275" s="218" t="s">
        <v>2573</v>
      </c>
      <c r="C275" s="733" t="e">
        <f t="shared" ref="C275:C279" si="75">D275*KPIJustering</f>
        <v>#N/A</v>
      </c>
      <c r="D275" s="733">
        <f t="shared" ref="D275:D279" si="76">E275*F275</f>
        <v>7922.9034431137716</v>
      </c>
      <c r="E275" s="32">
        <f>'Standardsatser-Forutsetninger'!C70</f>
        <v>7687</v>
      </c>
      <c r="F275" s="463">
        <f t="shared" si="67"/>
        <v>1.0306886227544909</v>
      </c>
      <c r="G275" s="65" t="str">
        <f>'Standardsatser-Forutsetninger'!D70</f>
        <v>Kr per dag</v>
      </c>
      <c r="H275" s="221">
        <v>2024</v>
      </c>
      <c r="J275" s="275" t="s">
        <v>2529</v>
      </c>
      <c r="K275" s="65" t="s">
        <v>735</v>
      </c>
      <c r="L275" s="103" t="s">
        <v>2590</v>
      </c>
      <c r="M275" s="103"/>
      <c r="N275" s="101">
        <v>46269</v>
      </c>
      <c r="O275" s="213" t="s">
        <v>808</v>
      </c>
    </row>
    <row r="276" spans="1:15" hidden="1" outlineLevel="1" x14ac:dyDescent="0.35">
      <c r="B276" s="218" t="s">
        <v>2574</v>
      </c>
      <c r="C276" s="733" t="e">
        <f t="shared" si="75"/>
        <v>#N/A</v>
      </c>
      <c r="D276" s="733">
        <f t="shared" si="76"/>
        <v>10957.250748502993</v>
      </c>
      <c r="E276" s="32">
        <f>'Standardsatser-Forutsetninger'!C71</f>
        <v>10631</v>
      </c>
      <c r="F276" s="463">
        <f t="shared" si="67"/>
        <v>1.0306886227544909</v>
      </c>
      <c r="G276" s="65" t="str">
        <f>'Standardsatser-Forutsetninger'!D71</f>
        <v>Kr per dag</v>
      </c>
      <c r="H276" s="221">
        <v>2024</v>
      </c>
      <c r="J276" s="275" t="s">
        <v>2529</v>
      </c>
      <c r="K276" s="65" t="s">
        <v>735</v>
      </c>
      <c r="L276" s="103" t="s">
        <v>2590</v>
      </c>
      <c r="M276" s="103" t="s">
        <v>802</v>
      </c>
      <c r="N276" s="101">
        <v>46269</v>
      </c>
      <c r="O276" s="213" t="s">
        <v>808</v>
      </c>
    </row>
    <row r="277" spans="1:15" hidden="1" outlineLevel="1" x14ac:dyDescent="0.35">
      <c r="B277" s="218" t="s">
        <v>2570</v>
      </c>
      <c r="C277" s="733" t="e">
        <f t="shared" si="75"/>
        <v>#N/A</v>
      </c>
      <c r="D277" s="733">
        <f t="shared" si="76"/>
        <v>9791.5419161676637</v>
      </c>
      <c r="E277" s="32">
        <f>'Standardsatser-Forutsetninger'!C72</f>
        <v>9500</v>
      </c>
      <c r="F277" s="463">
        <f t="shared" si="67"/>
        <v>1.0306886227544909</v>
      </c>
      <c r="G277" s="65" t="str">
        <f>'Standardsatser-Forutsetninger'!D72</f>
        <v>Kr per dag</v>
      </c>
      <c r="H277" s="221">
        <v>2024</v>
      </c>
      <c r="J277" s="275" t="s">
        <v>2529</v>
      </c>
      <c r="K277" s="65" t="s">
        <v>735</v>
      </c>
      <c r="L277" s="103" t="s">
        <v>2590</v>
      </c>
      <c r="M277" s="103"/>
      <c r="N277" s="101">
        <v>46269</v>
      </c>
      <c r="O277" s="213" t="s">
        <v>808</v>
      </c>
    </row>
    <row r="278" spans="1:15" hidden="1" outlineLevel="1" x14ac:dyDescent="0.35">
      <c r="B278" s="218" t="s">
        <v>2571</v>
      </c>
      <c r="C278" s="733" t="e">
        <f t="shared" si="75"/>
        <v>#N/A</v>
      </c>
      <c r="D278" s="733">
        <f t="shared" si="76"/>
        <v>11502.485029940119</v>
      </c>
      <c r="E278" s="32">
        <f>'Standardsatser-Forutsetninger'!C73</f>
        <v>11160</v>
      </c>
      <c r="F278" s="463">
        <f t="shared" si="67"/>
        <v>1.0306886227544909</v>
      </c>
      <c r="G278" s="65" t="str">
        <f>'Standardsatser-Forutsetninger'!D73</f>
        <v>Kr per dag</v>
      </c>
      <c r="H278" s="221">
        <v>2024</v>
      </c>
      <c r="J278" s="275" t="s">
        <v>2529</v>
      </c>
      <c r="K278" s="65" t="s">
        <v>735</v>
      </c>
      <c r="L278" s="103" t="s">
        <v>2590</v>
      </c>
      <c r="M278" s="103" t="s">
        <v>802</v>
      </c>
      <c r="N278" s="101">
        <v>46269</v>
      </c>
      <c r="O278" s="213" t="s">
        <v>808</v>
      </c>
    </row>
    <row r="279" spans="1:15" hidden="1" outlineLevel="1" x14ac:dyDescent="0.35">
      <c r="B279" s="218" t="s">
        <v>2572</v>
      </c>
      <c r="C279" s="733" t="e">
        <f t="shared" si="75"/>
        <v>#N/A</v>
      </c>
      <c r="D279" s="733">
        <f t="shared" si="76"/>
        <v>9940.9917664670647</v>
      </c>
      <c r="E279" s="32">
        <f>'Standardsatser-Forutsetninger'!C74</f>
        <v>9645</v>
      </c>
      <c r="F279" s="463">
        <f t="shared" si="67"/>
        <v>1.0306886227544909</v>
      </c>
      <c r="G279" s="65" t="str">
        <f>'Standardsatser-Forutsetninger'!D74</f>
        <v>Kr per dag</v>
      </c>
      <c r="H279" s="221">
        <v>2024</v>
      </c>
      <c r="J279" s="275" t="s">
        <v>2529</v>
      </c>
      <c r="K279" s="65" t="s">
        <v>735</v>
      </c>
      <c r="L279" s="103" t="s">
        <v>2590</v>
      </c>
      <c r="M279" s="103"/>
      <c r="N279" s="101">
        <v>46269</v>
      </c>
      <c r="O279" s="213" t="s">
        <v>808</v>
      </c>
    </row>
    <row r="280" spans="1:15" hidden="1" outlineLevel="1" x14ac:dyDescent="0.35">
      <c r="B280" s="218" t="s">
        <v>849</v>
      </c>
      <c r="C280" s="733" t="e">
        <f t="shared" si="66"/>
        <v>#N/A</v>
      </c>
      <c r="D280" s="733">
        <f>E280*F280</f>
        <v>1032.792184872545</v>
      </c>
      <c r="E280" s="32">
        <v>1002.0409288233262</v>
      </c>
      <c r="F280" s="463">
        <f t="shared" si="67"/>
        <v>1.0306886227544909</v>
      </c>
      <c r="G280" s="65" t="str">
        <f>'Standardsatser-Forutsetninger'!D75</f>
        <v>Kr per dag</v>
      </c>
      <c r="H280" s="221">
        <v>2024</v>
      </c>
      <c r="J280" s="275" t="s">
        <v>2529</v>
      </c>
      <c r="K280" s="65" t="s">
        <v>735</v>
      </c>
      <c r="L280" s="103" t="s">
        <v>865</v>
      </c>
      <c r="M280" s="103" t="s">
        <v>802</v>
      </c>
      <c r="N280" s="103">
        <v>46162</v>
      </c>
      <c r="O280" s="213" t="s">
        <v>808</v>
      </c>
    </row>
    <row r="281" spans="1:15" hidden="1" outlineLevel="1" x14ac:dyDescent="0.35">
      <c r="B281" s="218" t="s">
        <v>850</v>
      </c>
      <c r="C281" s="733" t="e">
        <f t="shared" si="66"/>
        <v>#N/A</v>
      </c>
      <c r="D281" s="733">
        <f t="shared" ref="D281" si="77">E281*F281</f>
        <v>3760.340929430291</v>
      </c>
      <c r="E281" s="32">
        <v>3648.3772561502319</v>
      </c>
      <c r="F281" s="463">
        <f t="shared" si="67"/>
        <v>1.0306886227544909</v>
      </c>
      <c r="G281" s="65" t="str">
        <f>'Standardsatser-Forutsetninger'!D76</f>
        <v>Kr per dag</v>
      </c>
      <c r="H281" s="221">
        <v>2024</v>
      </c>
      <c r="J281" s="275" t="s">
        <v>2529</v>
      </c>
      <c r="K281" s="65" t="s">
        <v>735</v>
      </c>
      <c r="L281" s="103" t="s">
        <v>865</v>
      </c>
      <c r="M281" s="103" t="s">
        <v>802</v>
      </c>
      <c r="N281" s="103">
        <v>46162</v>
      </c>
      <c r="O281" s="213" t="s">
        <v>808</v>
      </c>
    </row>
    <row r="282" spans="1:15" hidden="1" outlineLevel="1" x14ac:dyDescent="0.35">
      <c r="B282" s="218" t="s">
        <v>851</v>
      </c>
      <c r="C282" s="733" t="e">
        <f t="shared" si="66"/>
        <v>#N/A</v>
      </c>
      <c r="D282" s="727">
        <f>E282*F282</f>
        <v>996.86293436293431</v>
      </c>
      <c r="E282" s="32">
        <f>'Standardsatser-Forutsetninger'!C77</f>
        <v>750</v>
      </c>
      <c r="F282" s="463">
        <f t="shared" si="67"/>
        <v>1.3291505791505791</v>
      </c>
      <c r="G282" s="65" t="str">
        <f>'Standardsatser-Forutsetninger'!D77</f>
        <v>Kr per dag</v>
      </c>
      <c r="H282" s="221">
        <f>'Standardsatser-Forutsetninger'!E77</f>
        <v>2016</v>
      </c>
      <c r="J282" s="275" t="s">
        <v>2529</v>
      </c>
      <c r="K282" s="65" t="s">
        <v>735</v>
      </c>
      <c r="L282" s="103" t="s">
        <v>865</v>
      </c>
      <c r="M282" s="959" t="s">
        <v>802</v>
      </c>
      <c r="N282" s="101">
        <v>43028</v>
      </c>
      <c r="O282" s="213" t="s">
        <v>64</v>
      </c>
    </row>
    <row r="283" spans="1:15" hidden="1" outlineLevel="1" x14ac:dyDescent="0.35">
      <c r="B283" s="218" t="s">
        <v>852</v>
      </c>
      <c r="C283" s="733" t="e">
        <f t="shared" si="66"/>
        <v>#N/A</v>
      </c>
      <c r="D283" s="727">
        <f>E283*F283</f>
        <v>996.86293436293431</v>
      </c>
      <c r="E283" s="32">
        <f>'Standardsatser-Forutsetninger'!C78</f>
        <v>750</v>
      </c>
      <c r="F283" s="463">
        <f t="shared" si="67"/>
        <v>1.3291505791505791</v>
      </c>
      <c r="G283" s="65" t="str">
        <f>'Standardsatser-Forutsetninger'!D78</f>
        <v>Kr per dag</v>
      </c>
      <c r="H283" s="221">
        <f>'Standardsatser-Forutsetninger'!E78</f>
        <v>2016</v>
      </c>
      <c r="J283" s="275" t="s">
        <v>2529</v>
      </c>
      <c r="K283" s="65" t="s">
        <v>735</v>
      </c>
      <c r="L283" s="103" t="s">
        <v>865</v>
      </c>
      <c r="M283" s="959" t="s">
        <v>802</v>
      </c>
      <c r="N283" s="101">
        <v>43028</v>
      </c>
      <c r="O283" s="213" t="s">
        <v>64</v>
      </c>
    </row>
    <row r="284" spans="1:15" ht="18.5" collapsed="1" x14ac:dyDescent="0.45">
      <c r="A284" s="511"/>
      <c r="B284" s="240" t="s">
        <v>866</v>
      </c>
      <c r="C284" s="977"/>
      <c r="D284" s="977"/>
      <c r="E284" s="955"/>
      <c r="F284" s="955"/>
      <c r="G284" s="11"/>
      <c r="H284" s="249"/>
      <c r="J284" s="274"/>
      <c r="K284" s="990"/>
      <c r="L284" s="14"/>
      <c r="M284" s="14"/>
      <c r="N284" s="14"/>
      <c r="O284" s="248"/>
    </row>
    <row r="285" spans="1:15" hidden="1" outlineLevel="1" x14ac:dyDescent="0.35">
      <c r="B285" s="215" t="s">
        <v>867</v>
      </c>
      <c r="C285" s="20"/>
      <c r="D285" s="20"/>
      <c r="E285" s="8"/>
      <c r="F285" s="8"/>
      <c r="G285" s="8"/>
      <c r="H285" s="259"/>
      <c r="J285" s="279"/>
      <c r="K285" s="8"/>
      <c r="L285" s="8"/>
      <c r="M285" s="8"/>
      <c r="N285" s="8"/>
      <c r="O285" s="259"/>
    </row>
    <row r="286" spans="1:15" hidden="1" outlineLevel="1" x14ac:dyDescent="0.35">
      <c r="A286" s="511"/>
      <c r="B286" s="212" t="s">
        <v>868</v>
      </c>
      <c r="C286" s="727" t="e">
        <f>IF(KroneårIBeregninger&lt;=SistePrognoseÅr,KostnadPrDødsfall*BNPJustering,KostnadPrDødsfall*Realprisjustering_tilsisteprognoseår*Realprisjustering_ettersisteprognoseår)</f>
        <v>#N/A</v>
      </c>
      <c r="D286" s="727">
        <f>E286*F286</f>
        <v>54370000</v>
      </c>
      <c r="E286" s="32">
        <v>54370000</v>
      </c>
      <c r="F286" s="752">
        <f>1/LOOKUP($H286,StatistikkOgPrognoseÅr,BNPIndeks)</f>
        <v>1</v>
      </c>
      <c r="G286" s="83" t="s">
        <v>569</v>
      </c>
      <c r="H286" s="221">
        <v>2025</v>
      </c>
      <c r="J286" s="275" t="s">
        <v>825</v>
      </c>
      <c r="K286" s="65" t="s">
        <v>869</v>
      </c>
      <c r="L286" s="148" t="s">
        <v>870</v>
      </c>
      <c r="M286" s="989"/>
      <c r="N286" s="101">
        <v>46044</v>
      </c>
      <c r="O286" s="221" t="s">
        <v>808</v>
      </c>
    </row>
    <row r="287" spans="1:15" hidden="1" outlineLevel="1" x14ac:dyDescent="0.35">
      <c r="A287" s="511"/>
      <c r="B287" s="212" t="s">
        <v>592</v>
      </c>
      <c r="C287" s="727" t="e">
        <f>IF(KroneårIBeregninger&lt;=SistePrognoseÅr,D287*BNPJustering,D287*Realprisjustering_tilsisteprognoseår*Realprisjustering_ettersisteprognoseår)</f>
        <v>#N/A</v>
      </c>
      <c r="D287" s="727">
        <f>E287*F287</f>
        <v>13702035</v>
      </c>
      <c r="E287" s="32">
        <v>13702035</v>
      </c>
      <c r="F287" s="752">
        <f>1/LOOKUP($H287,StatistikkOgPrognoseÅr,BNPIndeks)</f>
        <v>1</v>
      </c>
      <c r="G287" s="83" t="s">
        <v>569</v>
      </c>
      <c r="H287" s="221">
        <v>2025</v>
      </c>
      <c r="J287" s="275" t="s">
        <v>825</v>
      </c>
      <c r="K287" s="65" t="s">
        <v>869</v>
      </c>
      <c r="L287" s="148" t="s">
        <v>871</v>
      </c>
      <c r="M287" s="989"/>
      <c r="N287" s="101">
        <v>46044</v>
      </c>
      <c r="O287" s="221" t="s">
        <v>808</v>
      </c>
    </row>
    <row r="288" spans="1:15" hidden="1" outlineLevel="1" x14ac:dyDescent="0.35">
      <c r="A288" s="511"/>
      <c r="B288" s="212" t="s">
        <v>872</v>
      </c>
      <c r="C288" s="727" t="e">
        <f>IF(KroneårIBeregninger&lt;=SistePrognoseÅr,D288*BNPJustering,D288*Realprisjustering_tilsisteprognoseår*Realprisjustering_ettersisteprognoseår)</f>
        <v>#N/A</v>
      </c>
      <c r="D288" s="727">
        <f>E288*F288</f>
        <v>929087</v>
      </c>
      <c r="E288" s="32">
        <v>929087</v>
      </c>
      <c r="F288" s="752">
        <f>1/LOOKUP($H288,StatistikkOgPrognoseÅr,BNPIndeks)</f>
        <v>1</v>
      </c>
      <c r="G288" s="83" t="s">
        <v>569</v>
      </c>
      <c r="H288" s="221">
        <v>2025</v>
      </c>
      <c r="J288" s="275" t="s">
        <v>825</v>
      </c>
      <c r="K288" s="65" t="s">
        <v>869</v>
      </c>
      <c r="L288" s="148" t="s">
        <v>871</v>
      </c>
      <c r="M288" s="989"/>
      <c r="N288" s="101">
        <v>46044</v>
      </c>
      <c r="O288" s="221" t="s">
        <v>808</v>
      </c>
    </row>
    <row r="289" spans="1:15" hidden="1" outlineLevel="1" x14ac:dyDescent="0.35">
      <c r="B289" s="215" t="s">
        <v>873</v>
      </c>
      <c r="C289" s="20"/>
      <c r="D289" s="20"/>
      <c r="E289" s="31"/>
      <c r="F289" s="31"/>
      <c r="G289" s="31"/>
      <c r="H289" s="245"/>
      <c r="J289" s="271"/>
      <c r="K289" s="962"/>
      <c r="L289" s="31"/>
      <c r="M289" s="31"/>
      <c r="N289" s="31"/>
      <c r="O289" s="245"/>
    </row>
    <row r="290" spans="1:15" hidden="1" outlineLevel="1" x14ac:dyDescent="0.35">
      <c r="B290" s="212" t="s">
        <v>595</v>
      </c>
      <c r="C290" s="779" t="e">
        <f t="shared" ref="C290:C298" si="78">IF(KroneårIBeregninger&lt;=SistePrognoseÅr,D290*BNPJustering,D290*Realprisjustering_tilsisteprognoseår*Realprisjustering_ettersisteprognoseår)</f>
        <v>#N/A</v>
      </c>
      <c r="D290" s="770">
        <f t="shared" ref="D290" si="79">E290*F290</f>
        <v>1.1399999999999999</v>
      </c>
      <c r="E290" s="572">
        <f>VLOOKUP(B290,'Standardsatser-Forutsetninger'!$B$84:$C$101,2,FALSE)</f>
        <v>1.1399999999999999</v>
      </c>
      <c r="F290" s="752">
        <f t="shared" ref="F290:F298" si="80">1/LOOKUP($H290,StatistikkOgPrognoseÅr,BNPIndeks)</f>
        <v>1</v>
      </c>
      <c r="G290" s="65" t="s">
        <v>567</v>
      </c>
      <c r="H290" s="221">
        <v>2025</v>
      </c>
      <c r="J290" s="275" t="s">
        <v>825</v>
      </c>
      <c r="K290" s="65" t="s">
        <v>800</v>
      </c>
      <c r="L290" s="65" t="s">
        <v>874</v>
      </c>
      <c r="M290" s="72" t="s">
        <v>802</v>
      </c>
      <c r="N290" s="101">
        <v>46044</v>
      </c>
      <c r="O290" s="221" t="s">
        <v>808</v>
      </c>
    </row>
    <row r="291" spans="1:15" hidden="1" outlineLevel="1" x14ac:dyDescent="0.35">
      <c r="B291" s="212" t="s">
        <v>596</v>
      </c>
      <c r="C291" s="779" t="e">
        <f t="shared" si="78"/>
        <v>#N/A</v>
      </c>
      <c r="D291" s="770">
        <f t="shared" ref="D291" si="81">E291*F291</f>
        <v>0.62</v>
      </c>
      <c r="E291" s="572">
        <f>VLOOKUP(B291,'Standardsatser-Forutsetninger'!$B$84:$C$101,2,FALSE)</f>
        <v>0.62</v>
      </c>
      <c r="F291" s="752">
        <f t="shared" si="80"/>
        <v>1</v>
      </c>
      <c r="G291" s="65" t="s">
        <v>567</v>
      </c>
      <c r="H291" s="221">
        <v>2025</v>
      </c>
      <c r="J291" s="275" t="s">
        <v>825</v>
      </c>
      <c r="K291" s="65" t="s">
        <v>800</v>
      </c>
      <c r="L291" s="65" t="s">
        <v>874</v>
      </c>
      <c r="M291" s="72" t="s">
        <v>802</v>
      </c>
      <c r="N291" s="101">
        <v>46044</v>
      </c>
      <c r="O291" s="221" t="s">
        <v>808</v>
      </c>
    </row>
    <row r="292" spans="1:15" hidden="1" outlineLevel="1" x14ac:dyDescent="0.35">
      <c r="B292" s="212" t="s">
        <v>602</v>
      </c>
      <c r="C292" s="779" t="e">
        <f t="shared" si="78"/>
        <v>#N/A</v>
      </c>
      <c r="D292" s="463">
        <f t="shared" ref="D292:D298" si="82">E292*F292</f>
        <v>0.16701392938332632</v>
      </c>
      <c r="E292" s="572">
        <f>VLOOKUP(B292,'Standardsatser-Forutsetninger'!$B$84:$C$101,2,FALSE)</f>
        <v>0.11628438915430912</v>
      </c>
      <c r="F292" s="752">
        <f t="shared" si="80"/>
        <v>1.4362540887728206</v>
      </c>
      <c r="G292" s="65" t="s">
        <v>567</v>
      </c>
      <c r="H292" s="221">
        <v>2019</v>
      </c>
      <c r="J292" s="275" t="s">
        <v>494</v>
      </c>
      <c r="K292" s="65" t="s">
        <v>800</v>
      </c>
      <c r="L292" s="65" t="s">
        <v>874</v>
      </c>
      <c r="M292" s="72" t="s">
        <v>802</v>
      </c>
      <c r="N292" s="101">
        <v>44007</v>
      </c>
      <c r="O292" s="221" t="s">
        <v>102</v>
      </c>
    </row>
    <row r="293" spans="1:15" hidden="1" outlineLevel="1" x14ac:dyDescent="0.35">
      <c r="B293" s="212" t="s">
        <v>603</v>
      </c>
      <c r="C293" s="779" t="e">
        <f t="shared" si="78"/>
        <v>#N/A</v>
      </c>
      <c r="D293" s="463">
        <f t="shared" si="82"/>
        <v>0.51159370642087865</v>
      </c>
      <c r="E293" s="572">
        <f>VLOOKUP(B293,'Standardsatser-Forutsetninger'!$B$84:$C$101,2,FALSE)</f>
        <v>0.35619999999999996</v>
      </c>
      <c r="F293" s="752">
        <f t="shared" si="80"/>
        <v>1.4362540887728206</v>
      </c>
      <c r="G293" s="65" t="s">
        <v>567</v>
      </c>
      <c r="H293" s="221">
        <v>2019</v>
      </c>
      <c r="J293" s="275" t="s">
        <v>494</v>
      </c>
      <c r="K293" s="65" t="s">
        <v>800</v>
      </c>
      <c r="L293" s="65" t="s">
        <v>874</v>
      </c>
      <c r="M293" s="72" t="s">
        <v>802</v>
      </c>
      <c r="N293" s="101">
        <v>44007</v>
      </c>
      <c r="O293" s="221" t="s">
        <v>102</v>
      </c>
    </row>
    <row r="294" spans="1:15" hidden="1" outlineLevel="1" x14ac:dyDescent="0.35">
      <c r="B294" s="212" t="s">
        <v>875</v>
      </c>
      <c r="C294" s="779" t="e">
        <f t="shared" si="78"/>
        <v>#N/A</v>
      </c>
      <c r="D294" s="463">
        <f t="shared" si="82"/>
        <v>0.7725646412162962</v>
      </c>
      <c r="E294" s="33">
        <v>0.22700000000000001</v>
      </c>
      <c r="F294" s="463">
        <f t="shared" si="80"/>
        <v>3.4033684635079129</v>
      </c>
      <c r="G294" s="65" t="s">
        <v>567</v>
      </c>
      <c r="H294" s="221">
        <v>1999</v>
      </c>
      <c r="J294" s="275" t="s">
        <v>876</v>
      </c>
      <c r="K294" s="65" t="s">
        <v>800</v>
      </c>
      <c r="L294" s="65" t="s">
        <v>877</v>
      </c>
      <c r="M294" s="65" t="str">
        <f>""</f>
        <v/>
      </c>
      <c r="N294" s="101">
        <v>42963</v>
      </c>
      <c r="O294" s="221" t="s">
        <v>64</v>
      </c>
    </row>
    <row r="295" spans="1:15" hidden="1" outlineLevel="1" x14ac:dyDescent="0.35">
      <c r="A295" s="511"/>
      <c r="B295" s="212" t="s">
        <v>604</v>
      </c>
      <c r="C295" s="779" t="e">
        <f t="shared" si="78"/>
        <v>#N/A</v>
      </c>
      <c r="D295" s="463">
        <f t="shared" si="82"/>
        <v>0.36781590382562129</v>
      </c>
      <c r="E295" s="33">
        <f>VLOOKUP(B295,'Standardsatser-Forutsetninger'!$B$84:$C$101,2,FALSE)</f>
        <v>0.4</v>
      </c>
      <c r="F295" s="463">
        <f t="shared" si="80"/>
        <v>0.91953975956405321</v>
      </c>
      <c r="G295" s="65" t="s">
        <v>567</v>
      </c>
      <c r="H295" s="221">
        <v>2022</v>
      </c>
      <c r="J295" s="275" t="s">
        <v>2466</v>
      </c>
      <c r="K295" s="65" t="s">
        <v>800</v>
      </c>
      <c r="L295" s="65" t="s">
        <v>878</v>
      </c>
      <c r="M295" s="72" t="s">
        <v>802</v>
      </c>
      <c r="N295" s="101">
        <v>46106</v>
      </c>
      <c r="O295" s="221" t="s">
        <v>808</v>
      </c>
    </row>
    <row r="296" spans="1:15" hidden="1" outlineLevel="1" x14ac:dyDescent="0.35">
      <c r="B296" s="212" t="s">
        <v>605</v>
      </c>
      <c r="C296" s="779" t="e">
        <f t="shared" si="78"/>
        <v>#N/A</v>
      </c>
      <c r="D296" s="770">
        <f t="shared" si="82"/>
        <v>0.59770084371663457</v>
      </c>
      <c r="E296" s="572">
        <f>VLOOKUP(B296,'Standardsatser-Forutsetninger'!$B$84:$C$101,2,FALSE)</f>
        <v>0.65</v>
      </c>
      <c r="F296" s="752">
        <f t="shared" si="80"/>
        <v>0.91953975956405321</v>
      </c>
      <c r="G296" s="65" t="s">
        <v>567</v>
      </c>
      <c r="H296" s="221">
        <v>2022</v>
      </c>
      <c r="J296" s="275" t="s">
        <v>2466</v>
      </c>
      <c r="K296" s="65" t="s">
        <v>800</v>
      </c>
      <c r="L296" s="65" t="s">
        <v>2513</v>
      </c>
      <c r="M296" s="72" t="s">
        <v>802</v>
      </c>
      <c r="N296" s="101">
        <v>46106</v>
      </c>
      <c r="O296" s="221" t="s">
        <v>808</v>
      </c>
    </row>
    <row r="297" spans="1:15" hidden="1" outlineLevel="1" x14ac:dyDescent="0.35">
      <c r="B297" s="212" t="s">
        <v>1355</v>
      </c>
      <c r="C297" s="779" t="e">
        <f t="shared" si="78"/>
        <v>#N/A</v>
      </c>
      <c r="D297" s="770">
        <f t="shared" si="82"/>
        <v>0.52413766295151043</v>
      </c>
      <c r="E297" s="572">
        <f>VLOOKUP(B297,'Standardsatser-Forutsetninger'!$B$84:$C$101,2,FALSE)</f>
        <v>0.57000000000000006</v>
      </c>
      <c r="F297" s="752">
        <f t="shared" si="80"/>
        <v>0.91953975956405321</v>
      </c>
      <c r="G297" s="65" t="s">
        <v>567</v>
      </c>
      <c r="H297" s="221">
        <v>2022</v>
      </c>
      <c r="J297" s="275" t="s">
        <v>2466</v>
      </c>
      <c r="K297" s="65" t="s">
        <v>800</v>
      </c>
      <c r="L297" s="65" t="s">
        <v>2511</v>
      </c>
      <c r="M297" s="72" t="s">
        <v>802</v>
      </c>
      <c r="N297" s="101">
        <v>46106</v>
      </c>
      <c r="O297" s="221" t="s">
        <v>808</v>
      </c>
    </row>
    <row r="298" spans="1:15" hidden="1" outlineLevel="1" x14ac:dyDescent="0.35">
      <c r="B298" s="212" t="s">
        <v>1356</v>
      </c>
      <c r="C298" s="779" t="e">
        <f t="shared" si="78"/>
        <v>#N/A</v>
      </c>
      <c r="D298" s="463">
        <f t="shared" si="82"/>
        <v>0.43218368699510495</v>
      </c>
      <c r="E298" s="1221">
        <f>VLOOKUP(B298,'Standardsatser-Forutsetninger'!$B$84:$C$101,2,FALSE)</f>
        <v>0.47</v>
      </c>
      <c r="F298" s="752">
        <f t="shared" si="80"/>
        <v>0.91953975956405321</v>
      </c>
      <c r="G298" s="65" t="s">
        <v>567</v>
      </c>
      <c r="H298" s="221">
        <v>2022</v>
      </c>
      <c r="J298" s="275" t="s">
        <v>2466</v>
      </c>
      <c r="K298" s="65" t="s">
        <v>800</v>
      </c>
      <c r="L298" s="65" t="s">
        <v>2512</v>
      </c>
      <c r="M298" s="72" t="s">
        <v>802</v>
      </c>
      <c r="N298" s="101">
        <v>46106</v>
      </c>
      <c r="O298" s="221" t="s">
        <v>808</v>
      </c>
    </row>
    <row r="299" spans="1:15" hidden="1" outlineLevel="1" x14ac:dyDescent="0.35">
      <c r="B299" s="215" t="s">
        <v>2451</v>
      </c>
      <c r="C299" s="20"/>
      <c r="D299" s="20"/>
      <c r="E299" s="8"/>
      <c r="F299" s="8"/>
      <c r="G299" s="8"/>
      <c r="H299" s="259"/>
      <c r="J299" s="275"/>
      <c r="K299" s="65"/>
      <c r="L299" s="65"/>
      <c r="M299" s="65"/>
      <c r="N299" s="101"/>
      <c r="O299" s="213"/>
    </row>
    <row r="300" spans="1:15" hidden="1" outlineLevel="1" x14ac:dyDescent="0.35">
      <c r="B300" s="212" t="s">
        <v>595</v>
      </c>
      <c r="C300" s="1223" t="e">
        <f>IF(KroneårIBeregninger&lt;=SistePrognoseÅr,D300*BNPJustering,D300*Realprisjustering_tilsisteprognoseår*Realprisjustering_ettersisteprognoseår)</f>
        <v>#N/A</v>
      </c>
      <c r="D300" s="1224">
        <f>E300*F300</f>
        <v>1.4E-2</v>
      </c>
      <c r="E300" s="1221">
        <f>'Standardsatser-Forutsetninger'!C86</f>
        <v>1.4E-2</v>
      </c>
      <c r="F300" s="752">
        <f>1/LOOKUP($H300,StatistikkOgPrognoseÅr,BNPIndeks)</f>
        <v>1</v>
      </c>
      <c r="G300" s="65" t="s">
        <v>2452</v>
      </c>
      <c r="H300" s="221">
        <v>2025</v>
      </c>
      <c r="J300" s="275" t="s">
        <v>825</v>
      </c>
      <c r="K300" s="65" t="s">
        <v>800</v>
      </c>
      <c r="L300" s="65"/>
      <c r="M300" s="65"/>
      <c r="N300" s="101">
        <v>46078</v>
      </c>
      <c r="O300" s="213" t="s">
        <v>808</v>
      </c>
    </row>
    <row r="301" spans="1:15" ht="18.5" collapsed="1" x14ac:dyDescent="0.45">
      <c r="B301" s="240" t="s">
        <v>879</v>
      </c>
      <c r="C301" s="984"/>
      <c r="D301" s="984"/>
      <c r="E301" s="985"/>
      <c r="F301" s="985"/>
      <c r="G301" s="11"/>
      <c r="H301" s="249"/>
      <c r="J301" s="283"/>
      <c r="K301" s="14"/>
      <c r="L301" s="14"/>
      <c r="M301" s="14"/>
      <c r="N301" s="14"/>
      <c r="O301" s="248"/>
    </row>
    <row r="302" spans="1:15" hidden="1" outlineLevel="1" x14ac:dyDescent="0.35">
      <c r="B302" s="215" t="s">
        <v>595</v>
      </c>
      <c r="C302" s="20"/>
      <c r="D302" s="20"/>
      <c r="E302" s="8"/>
      <c r="F302" s="8"/>
      <c r="G302" s="8"/>
      <c r="H302" s="259"/>
      <c r="J302" s="409"/>
      <c r="K302" s="8"/>
      <c r="L302" s="8"/>
      <c r="M302" s="8"/>
      <c r="N302" s="8"/>
      <c r="O302" s="259"/>
    </row>
    <row r="303" spans="1:15" hidden="1" outlineLevel="1" x14ac:dyDescent="0.35">
      <c r="A303" s="516"/>
      <c r="B303" s="212" t="s">
        <v>2575</v>
      </c>
      <c r="C303" s="463" t="e">
        <f t="shared" ref="C303:C310" si="83">IF(KroneårIBeregninger&lt;=SistePrognoseÅr,D303*BNPJustering,D303*Realprisjustering_tilsisteprognoseår*Realprisjustering_ettersisteprognoseår)</f>
        <v>#N/A</v>
      </c>
      <c r="D303" s="771">
        <f>E303*F303</f>
        <v>0</v>
      </c>
      <c r="E303" s="573">
        <v>0</v>
      </c>
      <c r="F303" s="752">
        <f>1/LOOKUP($H303,StatistikkOgPrognoseÅr,BNPIndeks)</f>
        <v>1</v>
      </c>
      <c r="G303" s="65" t="s">
        <v>540</v>
      </c>
      <c r="H303" s="221">
        <v>2025</v>
      </c>
      <c r="I303" s="546"/>
      <c r="J303" s="275" t="s">
        <v>825</v>
      </c>
      <c r="K303" s="65" t="s">
        <v>869</v>
      </c>
      <c r="L303" s="65" t="s">
        <v>881</v>
      </c>
      <c r="M303" s="18"/>
      <c r="N303" s="101">
        <v>46044</v>
      </c>
      <c r="O303" s="221" t="s">
        <v>808</v>
      </c>
    </row>
    <row r="304" spans="1:15" hidden="1" outlineLevel="1" x14ac:dyDescent="0.35">
      <c r="A304" s="516"/>
      <c r="B304" s="212" t="s">
        <v>2576</v>
      </c>
      <c r="C304" s="463" t="e">
        <f t="shared" si="83"/>
        <v>#N/A</v>
      </c>
      <c r="D304" s="771">
        <f>E304*F304</f>
        <v>0</v>
      </c>
      <c r="E304" s="573">
        <v>0</v>
      </c>
      <c r="F304" s="752">
        <f>1/LOOKUP($H304,StatistikkOgPrognoseÅr,BNPIndeks)</f>
        <v>1</v>
      </c>
      <c r="G304" s="65" t="s">
        <v>540</v>
      </c>
      <c r="H304" s="221">
        <v>2025</v>
      </c>
      <c r="I304" s="546"/>
      <c r="J304" s="275" t="s">
        <v>825</v>
      </c>
      <c r="K304" s="65" t="s">
        <v>869</v>
      </c>
      <c r="L304" s="65" t="s">
        <v>881</v>
      </c>
      <c r="M304" s="18"/>
      <c r="N304" s="101">
        <v>46044</v>
      </c>
      <c r="O304" s="221" t="s">
        <v>808</v>
      </c>
    </row>
    <row r="305" spans="1:19" s="59" customFormat="1" hidden="1" outlineLevel="1" x14ac:dyDescent="0.35">
      <c r="A305" s="516"/>
      <c r="B305" s="212" t="s">
        <v>2577</v>
      </c>
      <c r="C305" s="463" t="e">
        <f t="shared" si="83"/>
        <v>#N/A</v>
      </c>
      <c r="D305" s="771">
        <f>E305*F305</f>
        <v>0</v>
      </c>
      <c r="E305" s="573">
        <v>0</v>
      </c>
      <c r="F305" s="752">
        <f>1/LOOKUP($H305,StatistikkOgPrognoseÅr,BNPIndeks)</f>
        <v>1</v>
      </c>
      <c r="G305" s="65" t="s">
        <v>540</v>
      </c>
      <c r="H305" s="221">
        <v>2025</v>
      </c>
      <c r="I305" s="546"/>
      <c r="J305" s="275" t="s">
        <v>825</v>
      </c>
      <c r="K305" s="65" t="s">
        <v>869</v>
      </c>
      <c r="L305" s="65" t="s">
        <v>881</v>
      </c>
      <c r="M305" s="18"/>
      <c r="N305" s="101">
        <v>46044</v>
      </c>
      <c r="O305" s="221" t="s">
        <v>808</v>
      </c>
    </row>
    <row r="306" spans="1:19" s="59" customFormat="1" hidden="1" outlineLevel="1" x14ac:dyDescent="0.35">
      <c r="A306" s="507"/>
      <c r="B306" s="212" t="s">
        <v>795</v>
      </c>
      <c r="C306" s="463" t="e">
        <f t="shared" si="83"/>
        <v>#N/A</v>
      </c>
      <c r="D306" s="752">
        <f>D303*'1.2 Forutsetninger'!$C$182+D304*'1.2 Forutsetninger'!$C$183+D305*'1.2 Forutsetninger'!$C$184</f>
        <v>0</v>
      </c>
      <c r="E306" s="113"/>
      <c r="F306" s="411"/>
      <c r="G306" s="65" t="s">
        <v>540</v>
      </c>
      <c r="H306" s="221" t="s">
        <v>884</v>
      </c>
      <c r="J306" s="275"/>
      <c r="K306" s="989"/>
      <c r="L306" s="18"/>
      <c r="M306" s="18"/>
      <c r="N306" s="65" t="str">
        <f>""</f>
        <v/>
      </c>
      <c r="O306" s="221"/>
      <c r="R306" s="61"/>
      <c r="S306" s="61"/>
    </row>
    <row r="307" spans="1:19" s="59" customFormat="1" hidden="1" outlineLevel="1" x14ac:dyDescent="0.35">
      <c r="A307" s="516"/>
      <c r="B307" s="212" t="s">
        <v>2578</v>
      </c>
      <c r="C307" s="463" t="e">
        <f t="shared" si="83"/>
        <v>#N/A</v>
      </c>
      <c r="D307" s="771">
        <f>E307*F307</f>
        <v>0</v>
      </c>
      <c r="E307" s="573">
        <v>0</v>
      </c>
      <c r="F307" s="752">
        <f>1/LOOKUP($H307,StatistikkOgPrognoseÅr,BNPIndeks)</f>
        <v>1</v>
      </c>
      <c r="G307" s="65" t="s">
        <v>540</v>
      </c>
      <c r="H307" s="221">
        <v>2025</v>
      </c>
      <c r="J307" s="275" t="s">
        <v>825</v>
      </c>
      <c r="K307" s="65" t="s">
        <v>869</v>
      </c>
      <c r="L307" s="65" t="s">
        <v>881</v>
      </c>
      <c r="M307" s="18"/>
      <c r="N307" s="101">
        <v>46044</v>
      </c>
      <c r="O307" s="221" t="s">
        <v>808</v>
      </c>
    </row>
    <row r="308" spans="1:19" s="59" customFormat="1" hidden="1" outlineLevel="1" x14ac:dyDescent="0.35">
      <c r="A308" s="516"/>
      <c r="B308" s="212" t="s">
        <v>2579</v>
      </c>
      <c r="C308" s="463" t="e">
        <f t="shared" si="83"/>
        <v>#N/A</v>
      </c>
      <c r="D308" s="771">
        <f>E308*F308</f>
        <v>0</v>
      </c>
      <c r="E308" s="573">
        <v>0</v>
      </c>
      <c r="F308" s="752">
        <f>1/LOOKUP($H308,StatistikkOgPrognoseÅr,BNPIndeks)</f>
        <v>1</v>
      </c>
      <c r="G308" s="65" t="s">
        <v>540</v>
      </c>
      <c r="H308" s="221">
        <v>2025</v>
      </c>
      <c r="J308" s="275" t="s">
        <v>825</v>
      </c>
      <c r="K308" s="65" t="s">
        <v>869</v>
      </c>
      <c r="L308" s="65" t="s">
        <v>881</v>
      </c>
      <c r="M308" s="18"/>
      <c r="N308" s="101">
        <v>46044</v>
      </c>
      <c r="O308" s="221" t="s">
        <v>808</v>
      </c>
    </row>
    <row r="309" spans="1:19" s="59" customFormat="1" hidden="1" outlineLevel="1" x14ac:dyDescent="0.35">
      <c r="A309" s="516"/>
      <c r="B309" s="212" t="s">
        <v>2580</v>
      </c>
      <c r="C309" s="463" t="e">
        <f t="shared" si="83"/>
        <v>#N/A</v>
      </c>
      <c r="D309" s="771">
        <f>E309*F309</f>
        <v>0</v>
      </c>
      <c r="E309" s="573">
        <v>0</v>
      </c>
      <c r="F309" s="752">
        <f>1/LOOKUP($H309,StatistikkOgPrognoseÅr,BNPIndeks)</f>
        <v>1</v>
      </c>
      <c r="G309" s="65" t="s">
        <v>540</v>
      </c>
      <c r="H309" s="221">
        <v>2025</v>
      </c>
      <c r="J309" s="275" t="s">
        <v>825</v>
      </c>
      <c r="K309" s="65" t="s">
        <v>869</v>
      </c>
      <c r="L309" s="65" t="s">
        <v>881</v>
      </c>
      <c r="M309" s="18"/>
      <c r="N309" s="101">
        <v>46044</v>
      </c>
      <c r="O309" s="221" t="s">
        <v>808</v>
      </c>
    </row>
    <row r="310" spans="1:19" s="59" customFormat="1" hidden="1" outlineLevel="1" x14ac:dyDescent="0.35">
      <c r="A310" s="507"/>
      <c r="B310" s="212" t="s">
        <v>888</v>
      </c>
      <c r="C310" s="463" t="e">
        <f t="shared" si="83"/>
        <v>#N/A</v>
      </c>
      <c r="D310" s="752">
        <f>D307*'1.2 Forutsetninger'!$C$185+D308*'1.2 Forutsetninger'!$C$186+D309*'1.2 Forutsetninger'!$C$187</f>
        <v>0</v>
      </c>
      <c r="E310" s="103"/>
      <c r="F310" s="537"/>
      <c r="G310" s="65" t="s">
        <v>540</v>
      </c>
      <c r="H310" s="221" t="s">
        <v>884</v>
      </c>
      <c r="J310" s="281"/>
      <c r="K310" s="989"/>
      <c r="L310" s="18"/>
      <c r="M310" s="18"/>
      <c r="N310" s="65" t="str">
        <f>""</f>
        <v/>
      </c>
      <c r="O310" s="221"/>
    </row>
    <row r="311" spans="1:19" s="59" customFormat="1" hidden="1" outlineLevel="1" x14ac:dyDescent="0.35">
      <c r="A311" s="507"/>
      <c r="B311" s="212" t="s">
        <v>889</v>
      </c>
      <c r="C311" s="463" t="e">
        <f t="shared" ref="C311:C326" si="84">IF(KroneårIBeregninger&lt;=SistePrognoseÅr,D311*BNPJustering,D311*Realprisjustering_tilsisteprognoseår*Realprisjustering_ettersisteprognoseår)</f>
        <v>#N/A</v>
      </c>
      <c r="D311" s="771">
        <f>E311*F311</f>
        <v>0.1</v>
      </c>
      <c r="E311" s="573">
        <v>0.1</v>
      </c>
      <c r="F311" s="752">
        <f>1/LOOKUP($H311,StatistikkOgPrognoseÅr,BNPIndeks)</f>
        <v>1</v>
      </c>
      <c r="G311" s="65" t="s">
        <v>540</v>
      </c>
      <c r="H311" s="221">
        <v>2025</v>
      </c>
      <c r="J311" s="275" t="s">
        <v>825</v>
      </c>
      <c r="K311" s="65" t="s">
        <v>869</v>
      </c>
      <c r="L311" s="65" t="s">
        <v>881</v>
      </c>
      <c r="M311" s="18"/>
      <c r="N311" s="101">
        <v>46044</v>
      </c>
      <c r="O311" s="221" t="s">
        <v>808</v>
      </c>
    </row>
    <row r="312" spans="1:19" s="59" customFormat="1" hidden="1" outlineLevel="1" x14ac:dyDescent="0.35">
      <c r="A312" s="507"/>
      <c r="B312" s="212" t="s">
        <v>890</v>
      </c>
      <c r="C312" s="463" t="e">
        <f t="shared" si="84"/>
        <v>#N/A</v>
      </c>
      <c r="D312" s="771">
        <f t="shared" ref="D312:D313" si="85">E312*F312</f>
        <v>0.1</v>
      </c>
      <c r="E312" s="573">
        <v>0.1</v>
      </c>
      <c r="F312" s="752">
        <f>1/LOOKUP($H312,StatistikkOgPrognoseÅr,BNPIndeks)</f>
        <v>1</v>
      </c>
      <c r="G312" s="65" t="s">
        <v>540</v>
      </c>
      <c r="H312" s="221">
        <v>2025</v>
      </c>
      <c r="J312" s="275" t="s">
        <v>825</v>
      </c>
      <c r="K312" s="65" t="s">
        <v>869</v>
      </c>
      <c r="L312" s="65" t="s">
        <v>881</v>
      </c>
      <c r="M312" s="18"/>
      <c r="N312" s="101">
        <v>46044</v>
      </c>
      <c r="O312" s="221" t="s">
        <v>808</v>
      </c>
    </row>
    <row r="313" spans="1:19" s="59" customFormat="1" hidden="1" outlineLevel="1" x14ac:dyDescent="0.35">
      <c r="A313" s="507"/>
      <c r="B313" s="212" t="s">
        <v>891</v>
      </c>
      <c r="C313" s="463" t="e">
        <f t="shared" si="84"/>
        <v>#N/A</v>
      </c>
      <c r="D313" s="771">
        <f t="shared" si="85"/>
        <v>0</v>
      </c>
      <c r="E313" s="573">
        <v>0</v>
      </c>
      <c r="F313" s="752">
        <f>1/LOOKUP($H313,StatistikkOgPrognoseÅr,BNPIndeks)</f>
        <v>1</v>
      </c>
      <c r="G313" s="65" t="s">
        <v>540</v>
      </c>
      <c r="H313" s="221">
        <v>2025</v>
      </c>
      <c r="J313" s="275" t="s">
        <v>825</v>
      </c>
      <c r="K313" s="65" t="s">
        <v>869</v>
      </c>
      <c r="L313" s="65" t="s">
        <v>881</v>
      </c>
      <c r="M313" s="18"/>
      <c r="N313" s="101">
        <v>46044</v>
      </c>
      <c r="O313" s="221" t="s">
        <v>808</v>
      </c>
    </row>
    <row r="314" spans="1:19" s="59" customFormat="1" hidden="1" outlineLevel="1" x14ac:dyDescent="0.35">
      <c r="A314" s="507"/>
      <c r="B314" s="212" t="s">
        <v>795</v>
      </c>
      <c r="C314" s="463" t="e">
        <f t="shared" si="84"/>
        <v>#N/A</v>
      </c>
      <c r="D314" s="752">
        <f>D311*'1.2 Forutsetninger'!$C$185+D312*'1.2 Forutsetninger'!$C$186+D313*'1.2 Forutsetninger'!$C$187</f>
        <v>4.1935483870967745E-2</v>
      </c>
      <c r="E314" s="113"/>
      <c r="F314" s="411"/>
      <c r="G314" s="65" t="s">
        <v>540</v>
      </c>
      <c r="H314" s="221" t="s">
        <v>884</v>
      </c>
      <c r="J314" s="275"/>
      <c r="K314" s="989"/>
      <c r="L314" s="18"/>
      <c r="M314" s="18"/>
      <c r="N314" s="65" t="str">
        <f>""</f>
        <v/>
      </c>
      <c r="O314" s="221"/>
    </row>
    <row r="315" spans="1:19" s="59" customFormat="1" hidden="1" outlineLevel="1" x14ac:dyDescent="0.35">
      <c r="A315" s="507"/>
      <c r="B315" s="212" t="s">
        <v>892</v>
      </c>
      <c r="C315" s="463" t="e">
        <f t="shared" si="84"/>
        <v>#N/A</v>
      </c>
      <c r="D315" s="771">
        <f>E315*F315</f>
        <v>0.1</v>
      </c>
      <c r="E315" s="573">
        <v>0.1</v>
      </c>
      <c r="F315" s="752">
        <f>1/LOOKUP($H315,StatistikkOgPrognoseÅr,BNPIndeks)</f>
        <v>1</v>
      </c>
      <c r="G315" s="65" t="s">
        <v>540</v>
      </c>
      <c r="H315" s="221">
        <v>2025</v>
      </c>
      <c r="J315" s="275" t="s">
        <v>825</v>
      </c>
      <c r="K315" s="65" t="s">
        <v>869</v>
      </c>
      <c r="L315" s="65" t="s">
        <v>881</v>
      </c>
      <c r="M315" s="18"/>
      <c r="N315" s="101">
        <v>46044</v>
      </c>
      <c r="O315" s="221" t="s">
        <v>808</v>
      </c>
    </row>
    <row r="316" spans="1:19" s="59" customFormat="1" hidden="1" outlineLevel="1" x14ac:dyDescent="0.35">
      <c r="A316" s="507"/>
      <c r="B316" s="212" t="s">
        <v>893</v>
      </c>
      <c r="C316" s="463" t="e">
        <f t="shared" si="84"/>
        <v>#N/A</v>
      </c>
      <c r="D316" s="771">
        <f t="shared" ref="D316" si="86">E316*F316</f>
        <v>0.1</v>
      </c>
      <c r="E316" s="573">
        <v>0.1</v>
      </c>
      <c r="F316" s="752">
        <f>1/LOOKUP($H316,StatistikkOgPrognoseÅr,BNPIndeks)</f>
        <v>1</v>
      </c>
      <c r="G316" s="65" t="s">
        <v>540</v>
      </c>
      <c r="H316" s="221">
        <v>2025</v>
      </c>
      <c r="J316" s="275" t="s">
        <v>825</v>
      </c>
      <c r="K316" s="65" t="s">
        <v>869</v>
      </c>
      <c r="L316" s="65" t="s">
        <v>881</v>
      </c>
      <c r="M316" s="18"/>
      <c r="N316" s="101">
        <v>46044</v>
      </c>
      <c r="O316" s="221" t="s">
        <v>808</v>
      </c>
    </row>
    <row r="317" spans="1:19" s="59" customFormat="1" hidden="1" outlineLevel="1" x14ac:dyDescent="0.35">
      <c r="A317" s="507"/>
      <c r="B317" s="212" t="s">
        <v>894</v>
      </c>
      <c r="C317" s="463" t="e">
        <f t="shared" si="84"/>
        <v>#N/A</v>
      </c>
      <c r="D317" s="771">
        <f>E317*F317</f>
        <v>0</v>
      </c>
      <c r="E317" s="573">
        <v>0</v>
      </c>
      <c r="F317" s="752">
        <f>1/LOOKUP($H317,StatistikkOgPrognoseÅr,BNPIndeks)</f>
        <v>1</v>
      </c>
      <c r="G317" s="65" t="s">
        <v>540</v>
      </c>
      <c r="H317" s="221">
        <v>2025</v>
      </c>
      <c r="J317" s="275" t="s">
        <v>825</v>
      </c>
      <c r="K317" s="65" t="s">
        <v>869</v>
      </c>
      <c r="L317" s="65" t="s">
        <v>881</v>
      </c>
      <c r="M317" s="18"/>
      <c r="N317" s="101">
        <v>46044</v>
      </c>
      <c r="O317" s="221" t="s">
        <v>808</v>
      </c>
    </row>
    <row r="318" spans="1:19" s="59" customFormat="1" hidden="1" outlineLevel="1" x14ac:dyDescent="0.35">
      <c r="A318" s="507"/>
      <c r="B318" s="212" t="s">
        <v>888</v>
      </c>
      <c r="C318" s="463" t="e">
        <f t="shared" si="84"/>
        <v>#N/A</v>
      </c>
      <c r="D318" s="752">
        <f>D315*'1.2 Forutsetninger'!$C$185+D316*'1.2 Forutsetninger'!$C$186+D317*'1.2 Forutsetninger'!$C$187</f>
        <v>4.1935483870967745E-2</v>
      </c>
      <c r="E318" s="103"/>
      <c r="F318" s="537"/>
      <c r="G318" s="65" t="s">
        <v>540</v>
      </c>
      <c r="H318" s="221"/>
      <c r="J318" s="281"/>
      <c r="K318" s="989"/>
      <c r="L318" s="18"/>
      <c r="M318" s="18"/>
      <c r="N318" s="65"/>
      <c r="O318" s="221"/>
    </row>
    <row r="319" spans="1:19" s="59" customFormat="1" hidden="1" outlineLevel="1" x14ac:dyDescent="0.35">
      <c r="A319" s="507"/>
      <c r="B319" s="212" t="s">
        <v>895</v>
      </c>
      <c r="C319" s="463" t="e">
        <f t="shared" si="84"/>
        <v>#N/A</v>
      </c>
      <c r="D319" s="771">
        <f>E319*F319</f>
        <v>2.7</v>
      </c>
      <c r="E319" s="573">
        <v>2.7</v>
      </c>
      <c r="F319" s="752">
        <f>1/LOOKUP($H319,StatistikkOgPrognoseÅr,BNPIndeks)</f>
        <v>1</v>
      </c>
      <c r="G319" s="65" t="s">
        <v>540</v>
      </c>
      <c r="H319" s="221">
        <v>2025</v>
      </c>
      <c r="J319" s="275" t="s">
        <v>825</v>
      </c>
      <c r="K319" s="65" t="s">
        <v>869</v>
      </c>
      <c r="L319" s="65" t="s">
        <v>881</v>
      </c>
      <c r="M319" s="18"/>
      <c r="N319" s="101">
        <v>46044</v>
      </c>
      <c r="O319" s="221" t="s">
        <v>808</v>
      </c>
    </row>
    <row r="320" spans="1:19" s="59" customFormat="1" hidden="1" outlineLevel="1" x14ac:dyDescent="0.35">
      <c r="A320" s="507"/>
      <c r="B320" s="212" t="s">
        <v>896</v>
      </c>
      <c r="C320" s="463" t="e">
        <f t="shared" si="84"/>
        <v>#N/A</v>
      </c>
      <c r="D320" s="771">
        <f t="shared" ref="D320:D321" si="87">E320*F320</f>
        <v>1</v>
      </c>
      <c r="E320" s="573">
        <v>1</v>
      </c>
      <c r="F320" s="752">
        <f>1/LOOKUP($H320,StatistikkOgPrognoseÅr,BNPIndeks)</f>
        <v>1</v>
      </c>
      <c r="G320" s="65" t="s">
        <v>540</v>
      </c>
      <c r="H320" s="221">
        <v>2025</v>
      </c>
      <c r="J320" s="275" t="s">
        <v>825</v>
      </c>
      <c r="K320" s="65" t="s">
        <v>869</v>
      </c>
      <c r="L320" s="65" t="s">
        <v>881</v>
      </c>
      <c r="M320" s="18"/>
      <c r="N320" s="101">
        <v>46044</v>
      </c>
      <c r="O320" s="221" t="s">
        <v>808</v>
      </c>
    </row>
    <row r="321" spans="1:15" s="59" customFormat="1" hidden="1" outlineLevel="1" x14ac:dyDescent="0.35">
      <c r="A321" s="507"/>
      <c r="B321" s="212" t="s">
        <v>897</v>
      </c>
      <c r="C321" s="463" t="e">
        <f t="shared" si="84"/>
        <v>#N/A</v>
      </c>
      <c r="D321" s="771">
        <f t="shared" si="87"/>
        <v>1.6</v>
      </c>
      <c r="E321" s="573">
        <v>1.6</v>
      </c>
      <c r="F321" s="752">
        <f>1/LOOKUP($H321,StatistikkOgPrognoseÅr,BNPIndeks)</f>
        <v>1</v>
      </c>
      <c r="G321" s="65" t="s">
        <v>540</v>
      </c>
      <c r="H321" s="221">
        <v>2025</v>
      </c>
      <c r="J321" s="275" t="s">
        <v>825</v>
      </c>
      <c r="K321" s="65" t="s">
        <v>869</v>
      </c>
      <c r="L321" s="65" t="s">
        <v>881</v>
      </c>
      <c r="M321" s="18"/>
      <c r="N321" s="101">
        <v>46044</v>
      </c>
      <c r="O321" s="221" t="s">
        <v>808</v>
      </c>
    </row>
    <row r="322" spans="1:15" s="59" customFormat="1" hidden="1" outlineLevel="1" x14ac:dyDescent="0.35">
      <c r="A322" s="507"/>
      <c r="B322" s="212" t="s">
        <v>795</v>
      </c>
      <c r="C322" s="463" t="e">
        <f t="shared" si="84"/>
        <v>#N/A</v>
      </c>
      <c r="D322" s="752">
        <f>D319*'1.2 Forutsetninger'!$C$185+D320*'1.2 Forutsetninger'!$C$186+D321*'1.2 Forutsetninger'!$C$187</f>
        <v>1.5677419354838711</v>
      </c>
      <c r="E322" s="113"/>
      <c r="F322" s="411"/>
      <c r="G322" s="65" t="s">
        <v>540</v>
      </c>
      <c r="H322" s="221" t="s">
        <v>884</v>
      </c>
      <c r="J322" s="275"/>
      <c r="K322" s="989"/>
      <c r="L322" s="18"/>
      <c r="M322" s="18"/>
      <c r="N322" s="65" t="str">
        <f>""</f>
        <v/>
      </c>
      <c r="O322" s="221"/>
    </row>
    <row r="323" spans="1:15" s="59" customFormat="1" hidden="1" outlineLevel="1" x14ac:dyDescent="0.35">
      <c r="A323" s="507"/>
      <c r="B323" s="212" t="s">
        <v>898</v>
      </c>
      <c r="C323" s="463" t="e">
        <f t="shared" si="84"/>
        <v>#N/A</v>
      </c>
      <c r="D323" s="771">
        <f>E323*F323</f>
        <v>2.7</v>
      </c>
      <c r="E323" s="573">
        <v>2.7</v>
      </c>
      <c r="F323" s="752">
        <f>1/LOOKUP($H323,StatistikkOgPrognoseÅr,BNPIndeks)</f>
        <v>1</v>
      </c>
      <c r="G323" s="65" t="s">
        <v>540</v>
      </c>
      <c r="H323" s="221">
        <v>2025</v>
      </c>
      <c r="J323" s="275" t="s">
        <v>825</v>
      </c>
      <c r="K323" s="65" t="s">
        <v>869</v>
      </c>
      <c r="L323" s="65" t="s">
        <v>881</v>
      </c>
      <c r="M323" s="18"/>
      <c r="N323" s="101">
        <v>46044</v>
      </c>
      <c r="O323" s="221" t="s">
        <v>808</v>
      </c>
    </row>
    <row r="324" spans="1:15" s="59" customFormat="1" hidden="1" outlineLevel="1" x14ac:dyDescent="0.35">
      <c r="A324" s="507"/>
      <c r="B324" s="212" t="s">
        <v>899</v>
      </c>
      <c r="C324" s="463" t="e">
        <f t="shared" si="84"/>
        <v>#N/A</v>
      </c>
      <c r="D324" s="771">
        <f t="shared" ref="D324" si="88">E324*F324</f>
        <v>1</v>
      </c>
      <c r="E324" s="573">
        <v>1</v>
      </c>
      <c r="F324" s="752">
        <f>1/LOOKUP($H324,StatistikkOgPrognoseÅr,BNPIndeks)</f>
        <v>1</v>
      </c>
      <c r="G324" s="65" t="s">
        <v>540</v>
      </c>
      <c r="H324" s="221">
        <v>2025</v>
      </c>
      <c r="J324" s="275" t="s">
        <v>825</v>
      </c>
      <c r="K324" s="65" t="s">
        <v>869</v>
      </c>
      <c r="L324" s="65" t="s">
        <v>881</v>
      </c>
      <c r="M324" s="18"/>
      <c r="N324" s="101">
        <v>46044</v>
      </c>
      <c r="O324" s="221" t="s">
        <v>808</v>
      </c>
    </row>
    <row r="325" spans="1:15" s="59" customFormat="1" hidden="1" outlineLevel="1" x14ac:dyDescent="0.35">
      <c r="A325" s="507"/>
      <c r="B325" s="212" t="s">
        <v>900</v>
      </c>
      <c r="C325" s="463" t="e">
        <f t="shared" si="84"/>
        <v>#N/A</v>
      </c>
      <c r="D325" s="771">
        <f>E325*F325</f>
        <v>1.6</v>
      </c>
      <c r="E325" s="573">
        <v>1.6</v>
      </c>
      <c r="F325" s="752">
        <f>1/LOOKUP($H325,StatistikkOgPrognoseÅr,BNPIndeks)</f>
        <v>1</v>
      </c>
      <c r="G325" s="65" t="s">
        <v>540</v>
      </c>
      <c r="H325" s="221">
        <v>2025</v>
      </c>
      <c r="J325" s="275" t="s">
        <v>825</v>
      </c>
      <c r="K325" s="65" t="s">
        <v>869</v>
      </c>
      <c r="L325" s="65" t="s">
        <v>881</v>
      </c>
      <c r="M325" s="18"/>
      <c r="N325" s="101">
        <v>46044</v>
      </c>
      <c r="O325" s="221" t="s">
        <v>808</v>
      </c>
    </row>
    <row r="326" spans="1:15" s="59" customFormat="1" hidden="1" outlineLevel="1" x14ac:dyDescent="0.35">
      <c r="A326" s="507"/>
      <c r="B326" s="212" t="s">
        <v>888</v>
      </c>
      <c r="C326" s="463" t="e">
        <f t="shared" si="84"/>
        <v>#N/A</v>
      </c>
      <c r="D326" s="752">
        <f>D323*'1.2 Forutsetninger'!$C$185+D324*'1.2 Forutsetninger'!$C$186+D325*'1.2 Forutsetninger'!$C$187</f>
        <v>1.5677419354838711</v>
      </c>
      <c r="E326" s="103"/>
      <c r="F326" s="537"/>
      <c r="G326" s="65" t="s">
        <v>540</v>
      </c>
      <c r="H326" s="221"/>
      <c r="J326" s="281"/>
      <c r="K326" s="989"/>
      <c r="L326" s="18"/>
      <c r="M326" s="18"/>
      <c r="N326" s="65"/>
      <c r="O326" s="221"/>
    </row>
    <row r="327" spans="1:15" s="59" customFormat="1" hidden="1" outlineLevel="1" x14ac:dyDescent="0.35">
      <c r="A327" s="507"/>
      <c r="B327" s="215" t="s">
        <v>596</v>
      </c>
      <c r="C327" s="20"/>
      <c r="D327" s="20"/>
      <c r="E327" s="31"/>
      <c r="F327" s="41"/>
      <c r="G327" s="31"/>
      <c r="H327" s="245"/>
      <c r="J327" s="264"/>
      <c r="K327" s="31"/>
      <c r="L327" s="70"/>
      <c r="M327" s="70"/>
      <c r="N327" s="31"/>
      <c r="O327" s="245"/>
    </row>
    <row r="328" spans="1:15" s="59" customFormat="1" hidden="1" outlineLevel="1" x14ac:dyDescent="0.35">
      <c r="A328" s="516"/>
      <c r="B328" s="212" t="s">
        <v>2575</v>
      </c>
      <c r="C328" s="463" t="e">
        <f t="shared" ref="C328:C351" si="89">IF(KroneårIBeregninger&lt;=SistePrognoseÅr,D328*BNPJustering,D328*Realprisjustering_tilsisteprognoseår*Realprisjustering_ettersisteprognoseår)</f>
        <v>#N/A</v>
      </c>
      <c r="D328" s="772">
        <f>E328*F328</f>
        <v>1.8</v>
      </c>
      <c r="E328" s="573">
        <v>1.8</v>
      </c>
      <c r="F328" s="752">
        <f>1/LOOKUP($H328,StatistikkOgPrognoseÅr,BNPIndeks)</f>
        <v>1</v>
      </c>
      <c r="G328" s="65" t="s">
        <v>540</v>
      </c>
      <c r="H328" s="221">
        <v>2025</v>
      </c>
      <c r="J328" s="275" t="s">
        <v>825</v>
      </c>
      <c r="K328" s="65" t="s">
        <v>869</v>
      </c>
      <c r="L328" s="65" t="s">
        <v>881</v>
      </c>
      <c r="M328" s="18"/>
      <c r="N328" s="101">
        <v>46044</v>
      </c>
      <c r="O328" s="221" t="s">
        <v>808</v>
      </c>
    </row>
    <row r="329" spans="1:15" s="59" customFormat="1" hidden="1" outlineLevel="1" x14ac:dyDescent="0.35">
      <c r="A329" s="516"/>
      <c r="B329" s="212" t="s">
        <v>2576</v>
      </c>
      <c r="C329" s="463" t="e">
        <f t="shared" si="89"/>
        <v>#N/A</v>
      </c>
      <c r="D329" s="772">
        <f>E329*F329</f>
        <v>1.3</v>
      </c>
      <c r="E329" s="573">
        <v>1.3</v>
      </c>
      <c r="F329" s="752">
        <f>1/LOOKUP($H329,StatistikkOgPrognoseÅr,BNPIndeks)</f>
        <v>1</v>
      </c>
      <c r="G329" s="65" t="s">
        <v>540</v>
      </c>
      <c r="H329" s="221">
        <v>2025</v>
      </c>
      <c r="J329" s="275" t="s">
        <v>825</v>
      </c>
      <c r="K329" s="65" t="s">
        <v>869</v>
      </c>
      <c r="L329" s="65" t="s">
        <v>881</v>
      </c>
      <c r="M329" s="18"/>
      <c r="N329" s="101">
        <v>46044</v>
      </c>
      <c r="O329" s="221" t="s">
        <v>808</v>
      </c>
    </row>
    <row r="330" spans="1:15" s="59" customFormat="1" hidden="1" outlineLevel="1" x14ac:dyDescent="0.35">
      <c r="A330" s="516"/>
      <c r="B330" s="212" t="s">
        <v>2577</v>
      </c>
      <c r="C330" s="463" t="e">
        <f t="shared" si="89"/>
        <v>#N/A</v>
      </c>
      <c r="D330" s="772">
        <f>E330*F330</f>
        <v>0.5</v>
      </c>
      <c r="E330" s="573">
        <v>0.5</v>
      </c>
      <c r="F330" s="752">
        <f>1/LOOKUP($H330,StatistikkOgPrognoseÅr,BNPIndeks)</f>
        <v>1</v>
      </c>
      <c r="G330" s="65" t="s">
        <v>540</v>
      </c>
      <c r="H330" s="221">
        <v>2025</v>
      </c>
      <c r="J330" s="275" t="s">
        <v>825</v>
      </c>
      <c r="K330" s="65" t="s">
        <v>869</v>
      </c>
      <c r="L330" s="65" t="s">
        <v>881</v>
      </c>
      <c r="M330" s="18"/>
      <c r="N330" s="101">
        <v>46044</v>
      </c>
      <c r="O330" s="221" t="s">
        <v>808</v>
      </c>
    </row>
    <row r="331" spans="1:15" s="59" customFormat="1" hidden="1" outlineLevel="1" x14ac:dyDescent="0.35">
      <c r="A331" s="507"/>
      <c r="B331" s="212" t="s">
        <v>795</v>
      </c>
      <c r="C331" s="463" t="e">
        <f t="shared" si="89"/>
        <v>#N/A</v>
      </c>
      <c r="D331" s="773">
        <f>D328*'1.2 Forutsetninger'!$C$189+D329*'1.2 Forutsetninger'!$C$190+D330*'1.2 Forutsetninger'!$C$191</f>
        <v>0.65617599999999998</v>
      </c>
      <c r="E331" s="103"/>
      <c r="F331" s="537"/>
      <c r="G331" s="65" t="s">
        <v>540</v>
      </c>
      <c r="H331" s="221"/>
      <c r="J331" s="275"/>
      <c r="K331" s="624"/>
      <c r="L331" s="18"/>
      <c r="M331" s="1215"/>
      <c r="N331" s="65" t="str">
        <f>""</f>
        <v/>
      </c>
      <c r="O331" s="221"/>
    </row>
    <row r="332" spans="1:15" s="59" customFormat="1" hidden="1" outlineLevel="1" x14ac:dyDescent="0.35">
      <c r="A332" s="516"/>
      <c r="B332" s="212" t="s">
        <v>2578</v>
      </c>
      <c r="C332" s="463" t="e">
        <f t="shared" si="89"/>
        <v>#N/A</v>
      </c>
      <c r="D332" s="771">
        <f>E332*F332</f>
        <v>1.8</v>
      </c>
      <c r="E332" s="573">
        <v>1.8</v>
      </c>
      <c r="F332" s="752">
        <f>1/LOOKUP($H332,StatistikkOgPrognoseÅr,BNPIndeks)</f>
        <v>1</v>
      </c>
      <c r="G332" s="65" t="s">
        <v>540</v>
      </c>
      <c r="H332" s="221">
        <v>2025</v>
      </c>
      <c r="J332" s="275" t="s">
        <v>825</v>
      </c>
      <c r="K332" s="65" t="s">
        <v>869</v>
      </c>
      <c r="L332" s="65" t="s">
        <v>881</v>
      </c>
      <c r="M332" s="18"/>
      <c r="N332" s="101">
        <v>46044</v>
      </c>
      <c r="O332" s="221" t="s">
        <v>808</v>
      </c>
    </row>
    <row r="333" spans="1:15" s="59" customFormat="1" hidden="1" outlineLevel="1" x14ac:dyDescent="0.35">
      <c r="A333" s="516"/>
      <c r="B333" s="212" t="s">
        <v>2579</v>
      </c>
      <c r="C333" s="463" t="e">
        <f t="shared" si="89"/>
        <v>#N/A</v>
      </c>
      <c r="D333" s="772">
        <f>E333*F333</f>
        <v>1.3</v>
      </c>
      <c r="E333" s="573">
        <v>1.3</v>
      </c>
      <c r="F333" s="752">
        <f>1/LOOKUP($H333,StatistikkOgPrognoseÅr,BNPIndeks)</f>
        <v>1</v>
      </c>
      <c r="G333" s="65" t="s">
        <v>540</v>
      </c>
      <c r="H333" s="221">
        <v>2025</v>
      </c>
      <c r="J333" s="275" t="s">
        <v>825</v>
      </c>
      <c r="K333" s="65" t="s">
        <v>869</v>
      </c>
      <c r="L333" s="65" t="s">
        <v>881</v>
      </c>
      <c r="M333" s="18"/>
      <c r="N333" s="101">
        <v>46044</v>
      </c>
      <c r="O333" s="221" t="s">
        <v>808</v>
      </c>
    </row>
    <row r="334" spans="1:15" s="59" customFormat="1" hidden="1" outlineLevel="1" x14ac:dyDescent="0.35">
      <c r="A334" s="516"/>
      <c r="B334" s="212" t="s">
        <v>2580</v>
      </c>
      <c r="C334" s="463" t="e">
        <f t="shared" si="89"/>
        <v>#N/A</v>
      </c>
      <c r="D334" s="772">
        <f>E334*F334</f>
        <v>0.5</v>
      </c>
      <c r="E334" s="573">
        <v>0.5</v>
      </c>
      <c r="F334" s="752">
        <f>1/LOOKUP($H334,StatistikkOgPrognoseÅr,BNPIndeks)</f>
        <v>1</v>
      </c>
      <c r="G334" s="65" t="s">
        <v>540</v>
      </c>
      <c r="H334" s="221">
        <v>2025</v>
      </c>
      <c r="J334" s="275" t="s">
        <v>825</v>
      </c>
      <c r="K334" s="65" t="s">
        <v>869</v>
      </c>
      <c r="L334" s="65" t="s">
        <v>881</v>
      </c>
      <c r="M334" s="18"/>
      <c r="N334" s="101">
        <v>46044</v>
      </c>
      <c r="O334" s="221" t="s">
        <v>808</v>
      </c>
    </row>
    <row r="335" spans="1:15" s="59" customFormat="1" hidden="1" outlineLevel="1" x14ac:dyDescent="0.35">
      <c r="A335" s="516"/>
      <c r="B335" s="212" t="s">
        <v>795</v>
      </c>
      <c r="C335" s="463" t="e">
        <f t="shared" si="89"/>
        <v>#N/A</v>
      </c>
      <c r="D335" s="773">
        <f>D332*'1.2 Forutsetninger'!$C$189+D333*'1.2 Forutsetninger'!$C$190+D334*'1.2 Forutsetninger'!$C$191</f>
        <v>0.65617599999999998</v>
      </c>
      <c r="E335" s="103"/>
      <c r="F335" s="537"/>
      <c r="G335" s="65"/>
      <c r="H335" s="221"/>
      <c r="J335" s="275"/>
      <c r="K335" s="65"/>
      <c r="L335" s="18"/>
      <c r="M335" s="18"/>
      <c r="N335" s="101"/>
      <c r="O335" s="221"/>
    </row>
    <row r="336" spans="1:15" s="59" customFormat="1" hidden="1" outlineLevel="1" x14ac:dyDescent="0.35">
      <c r="A336" s="516"/>
      <c r="B336" s="212" t="s">
        <v>889</v>
      </c>
      <c r="C336" s="463" t="e">
        <f t="shared" si="89"/>
        <v>#N/A</v>
      </c>
      <c r="D336" s="772">
        <f>E336*F336</f>
        <v>8</v>
      </c>
      <c r="E336" s="573">
        <v>8</v>
      </c>
      <c r="F336" s="752">
        <f>1/LOOKUP($H336,StatistikkOgPrognoseÅr,BNPIndeks)</f>
        <v>1</v>
      </c>
      <c r="G336" s="65" t="s">
        <v>540</v>
      </c>
      <c r="H336" s="221">
        <v>2025</v>
      </c>
      <c r="J336" s="275" t="s">
        <v>825</v>
      </c>
      <c r="K336" s="65" t="s">
        <v>869</v>
      </c>
      <c r="L336" s="65" t="s">
        <v>881</v>
      </c>
      <c r="M336" s="18"/>
      <c r="N336" s="101">
        <v>46044</v>
      </c>
      <c r="O336" s="221" t="s">
        <v>808</v>
      </c>
    </row>
    <row r="337" spans="1:15" s="59" customFormat="1" hidden="1" outlineLevel="1" x14ac:dyDescent="0.35">
      <c r="A337" s="516"/>
      <c r="B337" s="212" t="s">
        <v>890</v>
      </c>
      <c r="C337" s="463" t="e">
        <f t="shared" si="89"/>
        <v>#N/A</v>
      </c>
      <c r="D337" s="772">
        <f t="shared" ref="D337:D338" si="90">E337*F337</f>
        <v>4.2</v>
      </c>
      <c r="E337" s="573">
        <v>4.2</v>
      </c>
      <c r="F337" s="752">
        <f>1/LOOKUP($H337,StatistikkOgPrognoseÅr,BNPIndeks)</f>
        <v>1</v>
      </c>
      <c r="G337" s="65" t="s">
        <v>540</v>
      </c>
      <c r="H337" s="221">
        <v>2025</v>
      </c>
      <c r="J337" s="275" t="s">
        <v>825</v>
      </c>
      <c r="K337" s="65" t="s">
        <v>869</v>
      </c>
      <c r="L337" s="65" t="s">
        <v>881</v>
      </c>
      <c r="M337" s="18"/>
      <c r="N337" s="101">
        <v>46044</v>
      </c>
      <c r="O337" s="221" t="s">
        <v>808</v>
      </c>
    </row>
    <row r="338" spans="1:15" s="59" customFormat="1" hidden="1" outlineLevel="1" x14ac:dyDescent="0.35">
      <c r="A338" s="516"/>
      <c r="B338" s="212" t="s">
        <v>891</v>
      </c>
      <c r="C338" s="463" t="e">
        <f t="shared" si="89"/>
        <v>#N/A</v>
      </c>
      <c r="D338" s="772">
        <f t="shared" si="90"/>
        <v>1.4</v>
      </c>
      <c r="E338" s="573">
        <v>1.4</v>
      </c>
      <c r="F338" s="752">
        <f>1/LOOKUP($H338,StatistikkOgPrognoseÅr,BNPIndeks)</f>
        <v>1</v>
      </c>
      <c r="G338" s="65" t="s">
        <v>540</v>
      </c>
      <c r="H338" s="221">
        <v>2025</v>
      </c>
      <c r="J338" s="275" t="s">
        <v>825</v>
      </c>
      <c r="K338" s="65" t="s">
        <v>869</v>
      </c>
      <c r="L338" s="65" t="s">
        <v>881</v>
      </c>
      <c r="M338" s="18"/>
      <c r="N338" s="101">
        <v>46044</v>
      </c>
      <c r="O338" s="221" t="s">
        <v>808</v>
      </c>
    </row>
    <row r="339" spans="1:15" s="59" customFormat="1" hidden="1" outlineLevel="1" x14ac:dyDescent="0.35">
      <c r="A339" s="516"/>
      <c r="B339" s="212" t="s">
        <v>795</v>
      </c>
      <c r="C339" s="463" t="e">
        <f t="shared" si="89"/>
        <v>#N/A</v>
      </c>
      <c r="D339" s="773">
        <f>D336*'1.2 Forutsetninger'!$C$189+D337*'1.2 Forutsetninger'!$C$190+D338*'1.2 Forutsetninger'!$C$191</f>
        <v>2.1563719999999997</v>
      </c>
      <c r="E339" s="103"/>
      <c r="F339" s="537"/>
      <c r="G339" s="65" t="s">
        <v>540</v>
      </c>
      <c r="H339" s="221"/>
      <c r="J339" s="275"/>
      <c r="K339" s="92"/>
      <c r="L339" s="18"/>
      <c r="M339" s="18"/>
      <c r="N339" s="101"/>
      <c r="O339" s="221"/>
    </row>
    <row r="340" spans="1:15" s="59" customFormat="1" hidden="1" outlineLevel="1" x14ac:dyDescent="0.35">
      <c r="A340" s="516"/>
      <c r="B340" s="212" t="s">
        <v>892</v>
      </c>
      <c r="C340" s="463" t="e">
        <f t="shared" si="89"/>
        <v>#N/A</v>
      </c>
      <c r="D340" s="772">
        <f>E340*F340</f>
        <v>8</v>
      </c>
      <c r="E340" s="573">
        <v>8</v>
      </c>
      <c r="F340" s="752">
        <f>1/LOOKUP($H340,StatistikkOgPrognoseÅr,BNPIndeks)</f>
        <v>1</v>
      </c>
      <c r="G340" s="65" t="s">
        <v>540</v>
      </c>
      <c r="H340" s="221">
        <v>2025</v>
      </c>
      <c r="J340" s="275" t="s">
        <v>825</v>
      </c>
      <c r="K340" s="65" t="s">
        <v>869</v>
      </c>
      <c r="L340" s="65" t="s">
        <v>881</v>
      </c>
      <c r="M340" s="18"/>
      <c r="N340" s="101">
        <v>46044</v>
      </c>
      <c r="O340" s="221" t="s">
        <v>808</v>
      </c>
    </row>
    <row r="341" spans="1:15" s="59" customFormat="1" hidden="1" outlineLevel="1" x14ac:dyDescent="0.35">
      <c r="A341" s="516"/>
      <c r="B341" s="212" t="s">
        <v>893</v>
      </c>
      <c r="C341" s="463" t="e">
        <f t="shared" si="89"/>
        <v>#N/A</v>
      </c>
      <c r="D341" s="772">
        <f t="shared" ref="D341:D342" si="91">E341*F341</f>
        <v>4.2</v>
      </c>
      <c r="E341" s="573">
        <v>4.2</v>
      </c>
      <c r="F341" s="752">
        <f>1/LOOKUP($H341,StatistikkOgPrognoseÅr,BNPIndeks)</f>
        <v>1</v>
      </c>
      <c r="G341" s="65" t="s">
        <v>540</v>
      </c>
      <c r="H341" s="221">
        <v>2025</v>
      </c>
      <c r="J341" s="275" t="s">
        <v>825</v>
      </c>
      <c r="K341" s="65" t="s">
        <v>869</v>
      </c>
      <c r="L341" s="65" t="s">
        <v>881</v>
      </c>
      <c r="M341" s="18"/>
      <c r="N341" s="101">
        <v>46044</v>
      </c>
      <c r="O341" s="221" t="s">
        <v>808</v>
      </c>
    </row>
    <row r="342" spans="1:15" s="59" customFormat="1" hidden="1" outlineLevel="1" x14ac:dyDescent="0.35">
      <c r="A342" s="516"/>
      <c r="B342" s="212" t="s">
        <v>894</v>
      </c>
      <c r="C342" s="463" t="e">
        <f t="shared" si="89"/>
        <v>#N/A</v>
      </c>
      <c r="D342" s="772">
        <f t="shared" si="91"/>
        <v>1.4</v>
      </c>
      <c r="E342" s="573">
        <v>1.4</v>
      </c>
      <c r="F342" s="752">
        <f>1/LOOKUP($H342,StatistikkOgPrognoseÅr,BNPIndeks)</f>
        <v>1</v>
      </c>
      <c r="G342" s="65" t="s">
        <v>540</v>
      </c>
      <c r="H342" s="221">
        <v>2025</v>
      </c>
      <c r="J342" s="275" t="s">
        <v>825</v>
      </c>
      <c r="K342" s="65" t="s">
        <v>869</v>
      </c>
      <c r="L342" s="65" t="s">
        <v>881</v>
      </c>
      <c r="M342" s="18"/>
      <c r="N342" s="101">
        <v>46044</v>
      </c>
      <c r="O342" s="221" t="s">
        <v>808</v>
      </c>
    </row>
    <row r="343" spans="1:15" s="59" customFormat="1" hidden="1" outlineLevel="1" x14ac:dyDescent="0.35">
      <c r="A343" s="507"/>
      <c r="B343" s="212" t="s">
        <v>888</v>
      </c>
      <c r="C343" s="463" t="e">
        <f t="shared" si="89"/>
        <v>#N/A</v>
      </c>
      <c r="D343" s="773">
        <f>D340*'1.2 Forutsetninger'!$C$189+D341*'1.2 Forutsetninger'!$C$190+D342*'1.2 Forutsetninger'!$C$191</f>
        <v>2.1563719999999997</v>
      </c>
      <c r="E343" s="103"/>
      <c r="F343" s="537"/>
      <c r="G343" s="65" t="s">
        <v>540</v>
      </c>
      <c r="H343" s="221"/>
      <c r="J343" s="275"/>
      <c r="K343" s="624"/>
      <c r="L343" s="18"/>
      <c r="M343" s="1215"/>
      <c r="N343" s="65" t="str">
        <f>""</f>
        <v/>
      </c>
      <c r="O343" s="221"/>
    </row>
    <row r="344" spans="1:15" s="59" customFormat="1" hidden="1" outlineLevel="1" x14ac:dyDescent="0.35">
      <c r="A344" s="507"/>
      <c r="B344" s="212" t="s">
        <v>895</v>
      </c>
      <c r="C344" s="463" t="e">
        <f t="shared" si="89"/>
        <v>#N/A</v>
      </c>
      <c r="D344" s="752">
        <f>E344*F344</f>
        <v>119.8</v>
      </c>
      <c r="E344" s="1048">
        <v>119.8</v>
      </c>
      <c r="F344" s="752">
        <f>1/LOOKUP(H344,StatistikkOgPrognoseÅr,BNPIndeks)</f>
        <v>1</v>
      </c>
      <c r="G344" s="65" t="s">
        <v>540</v>
      </c>
      <c r="H344" s="221">
        <v>2025</v>
      </c>
      <c r="J344" s="275" t="s">
        <v>825</v>
      </c>
      <c r="K344" s="624" t="s">
        <v>800</v>
      </c>
      <c r="L344" s="65" t="s">
        <v>881</v>
      </c>
      <c r="M344" s="1215"/>
      <c r="N344" s="101">
        <v>46044</v>
      </c>
      <c r="O344" s="221" t="s">
        <v>808</v>
      </c>
    </row>
    <row r="345" spans="1:15" s="59" customFormat="1" hidden="1" outlineLevel="1" x14ac:dyDescent="0.35">
      <c r="A345" s="507"/>
      <c r="B345" s="212" t="s">
        <v>896</v>
      </c>
      <c r="C345" s="463" t="e">
        <f t="shared" si="89"/>
        <v>#N/A</v>
      </c>
      <c r="D345" s="752">
        <f t="shared" ref="D345:D346" si="92">E345*F345</f>
        <v>68.8</v>
      </c>
      <c r="E345" s="1048">
        <v>68.8</v>
      </c>
      <c r="F345" s="752">
        <f>1/LOOKUP(H345,StatistikkOgPrognoseÅr,BNPIndeks)</f>
        <v>1</v>
      </c>
      <c r="G345" s="65" t="s">
        <v>540</v>
      </c>
      <c r="H345" s="221">
        <v>2025</v>
      </c>
      <c r="J345" s="275" t="s">
        <v>825</v>
      </c>
      <c r="K345" s="624" t="s">
        <v>800</v>
      </c>
      <c r="L345" s="65" t="s">
        <v>881</v>
      </c>
      <c r="M345" s="1215"/>
      <c r="N345" s="101">
        <v>46044</v>
      </c>
      <c r="O345" s="221" t="s">
        <v>808</v>
      </c>
    </row>
    <row r="346" spans="1:15" s="59" customFormat="1" hidden="1" outlineLevel="1" x14ac:dyDescent="0.35">
      <c r="A346" s="507"/>
      <c r="B346" s="212" t="s">
        <v>897</v>
      </c>
      <c r="C346" s="463" t="e">
        <f t="shared" si="89"/>
        <v>#N/A</v>
      </c>
      <c r="D346" s="752">
        <f t="shared" si="92"/>
        <v>21.2</v>
      </c>
      <c r="E346" s="1048">
        <v>21.2</v>
      </c>
      <c r="F346" s="752">
        <f>1/LOOKUP(H346,StatistikkOgPrognoseÅr,BNPIndeks)</f>
        <v>1</v>
      </c>
      <c r="G346" s="65" t="s">
        <v>540</v>
      </c>
      <c r="H346" s="221">
        <v>2025</v>
      </c>
      <c r="J346" s="275" t="s">
        <v>825</v>
      </c>
      <c r="K346" s="624" t="s">
        <v>800</v>
      </c>
      <c r="L346" s="65" t="s">
        <v>881</v>
      </c>
      <c r="M346" s="1215"/>
      <c r="N346" s="101">
        <v>46044</v>
      </c>
      <c r="O346" s="221" t="s">
        <v>808</v>
      </c>
    </row>
    <row r="347" spans="1:15" s="59" customFormat="1" hidden="1" outlineLevel="1" x14ac:dyDescent="0.35">
      <c r="A347" s="507"/>
      <c r="B347" s="212" t="s">
        <v>795</v>
      </c>
      <c r="C347" s="463" t="e">
        <f t="shared" si="89"/>
        <v>#N/A</v>
      </c>
      <c r="D347" s="752">
        <f>D344*'1.2 Forutsetninger'!$C$189+D345*'1.2 Forutsetninger'!$C$190+D346*'1.2 Forutsetninger'!$C$191</f>
        <v>32.666771999999995</v>
      </c>
      <c r="E347" s="103"/>
      <c r="F347" s="537"/>
      <c r="G347" s="65" t="s">
        <v>540</v>
      </c>
      <c r="H347" s="221"/>
      <c r="J347" s="275"/>
      <c r="K347" s="624"/>
      <c r="L347" s="18"/>
      <c r="M347" s="1215"/>
      <c r="N347" s="65"/>
      <c r="O347" s="221"/>
    </row>
    <row r="348" spans="1:15" s="59" customFormat="1" hidden="1" outlineLevel="1" x14ac:dyDescent="0.35">
      <c r="A348" s="507"/>
      <c r="B348" s="212" t="s">
        <v>898</v>
      </c>
      <c r="C348" s="463" t="e">
        <f t="shared" si="89"/>
        <v>#N/A</v>
      </c>
      <c r="D348" s="752">
        <f>E348*F348</f>
        <v>119.8</v>
      </c>
      <c r="E348" s="1048">
        <v>119.8</v>
      </c>
      <c r="F348" s="752">
        <f>1/LOOKUP(H348,StatistikkOgPrognoseÅr,BNPIndeks)</f>
        <v>1</v>
      </c>
      <c r="G348" s="65" t="s">
        <v>540</v>
      </c>
      <c r="H348" s="221">
        <v>2025</v>
      </c>
      <c r="J348" s="275" t="s">
        <v>825</v>
      </c>
      <c r="K348" s="624" t="s">
        <v>800</v>
      </c>
      <c r="L348" s="65" t="s">
        <v>881</v>
      </c>
      <c r="M348" s="1215"/>
      <c r="N348" s="101">
        <v>46044</v>
      </c>
      <c r="O348" s="221" t="s">
        <v>808</v>
      </c>
    </row>
    <row r="349" spans="1:15" s="59" customFormat="1" hidden="1" outlineLevel="1" x14ac:dyDescent="0.35">
      <c r="A349" s="507"/>
      <c r="B349" s="212" t="s">
        <v>899</v>
      </c>
      <c r="C349" s="463" t="e">
        <f t="shared" si="89"/>
        <v>#N/A</v>
      </c>
      <c r="D349" s="752">
        <f t="shared" ref="D349:D350" si="93">E349*F349</f>
        <v>68.8</v>
      </c>
      <c r="E349" s="1048">
        <v>68.8</v>
      </c>
      <c r="F349" s="752">
        <f>1/LOOKUP(H349,StatistikkOgPrognoseÅr,BNPIndeks)</f>
        <v>1</v>
      </c>
      <c r="G349" s="65" t="s">
        <v>540</v>
      </c>
      <c r="H349" s="221">
        <v>2025</v>
      </c>
      <c r="J349" s="275" t="s">
        <v>825</v>
      </c>
      <c r="K349" s="624" t="s">
        <v>800</v>
      </c>
      <c r="L349" s="65" t="s">
        <v>881</v>
      </c>
      <c r="M349" s="1215"/>
      <c r="N349" s="101">
        <v>46044</v>
      </c>
      <c r="O349" s="221" t="s">
        <v>808</v>
      </c>
    </row>
    <row r="350" spans="1:15" s="59" customFormat="1" hidden="1" outlineLevel="1" x14ac:dyDescent="0.35">
      <c r="A350" s="507"/>
      <c r="B350" s="212" t="s">
        <v>900</v>
      </c>
      <c r="C350" s="463" t="e">
        <f t="shared" si="89"/>
        <v>#N/A</v>
      </c>
      <c r="D350" s="752">
        <f t="shared" si="93"/>
        <v>21.2</v>
      </c>
      <c r="E350" s="1048">
        <v>21.2</v>
      </c>
      <c r="F350" s="752">
        <f>1/LOOKUP(H350,StatistikkOgPrognoseÅr,BNPIndeks)</f>
        <v>1</v>
      </c>
      <c r="G350" s="65" t="s">
        <v>540</v>
      </c>
      <c r="H350" s="221">
        <v>2025</v>
      </c>
      <c r="J350" s="275" t="s">
        <v>825</v>
      </c>
      <c r="K350" s="624" t="s">
        <v>800</v>
      </c>
      <c r="L350" s="65" t="s">
        <v>881</v>
      </c>
      <c r="M350" s="1215"/>
      <c r="N350" s="101">
        <v>46044</v>
      </c>
      <c r="O350" s="221" t="s">
        <v>808</v>
      </c>
    </row>
    <row r="351" spans="1:15" s="59" customFormat="1" hidden="1" outlineLevel="1" x14ac:dyDescent="0.35">
      <c r="A351" s="507"/>
      <c r="B351" s="212" t="s">
        <v>795</v>
      </c>
      <c r="C351" s="463" t="e">
        <f t="shared" si="89"/>
        <v>#N/A</v>
      </c>
      <c r="D351" s="752">
        <f>D348*'1.2 Forutsetninger'!$C$192+D349*'1.2 Forutsetninger'!$C$193+D350*'1.2 Forutsetninger'!$C$194</f>
        <v>23.526544000000001</v>
      </c>
      <c r="E351" s="103"/>
      <c r="F351" s="537"/>
      <c r="G351" s="65"/>
      <c r="H351" s="221"/>
      <c r="J351" s="275"/>
      <c r="K351" s="624"/>
      <c r="L351" s="65"/>
      <c r="M351" s="989"/>
      <c r="N351" s="65"/>
      <c r="O351" s="221"/>
    </row>
    <row r="352" spans="1:15" s="59" customFormat="1" hidden="1" outlineLevel="1" x14ac:dyDescent="0.35">
      <c r="A352" s="507"/>
      <c r="B352" s="215" t="s">
        <v>602</v>
      </c>
      <c r="C352" s="20"/>
      <c r="D352" s="20"/>
      <c r="E352" s="31"/>
      <c r="F352" s="41"/>
      <c r="G352" s="31"/>
      <c r="H352" s="245"/>
      <c r="J352" s="264"/>
      <c r="K352" s="31"/>
      <c r="L352" s="31"/>
      <c r="M352" s="31"/>
      <c r="N352" s="31"/>
      <c r="O352" s="245"/>
    </row>
    <row r="353" spans="1:15" s="59" customFormat="1" hidden="1" outlineLevel="1" x14ac:dyDescent="0.35">
      <c r="A353" s="516"/>
      <c r="B353" s="212" t="s">
        <v>791</v>
      </c>
      <c r="C353" s="463" t="e">
        <f>IF(KroneårIBeregninger&lt;=SistePrognoseÅr,D353*BNPJustering,D353*Realprisjustering_tilsisteprognoseår*Realprisjustering_ettersisteprognoseår)</f>
        <v>#N/A</v>
      </c>
      <c r="D353" s="772">
        <f>E353*F353</f>
        <v>0.47396384929503083</v>
      </c>
      <c r="E353" s="573">
        <v>0.33</v>
      </c>
      <c r="F353" s="752">
        <f>1/LOOKUP($H353,StatistikkOgPrognoseÅr,BNPIndeks)</f>
        <v>1.4362540887728206</v>
      </c>
      <c r="G353" s="65" t="s">
        <v>567</v>
      </c>
      <c r="H353" s="221">
        <v>2019</v>
      </c>
      <c r="J353" s="275" t="s">
        <v>494</v>
      </c>
      <c r="K353" s="65" t="s">
        <v>869</v>
      </c>
      <c r="L353" s="65" t="s">
        <v>901</v>
      </c>
      <c r="M353" s="624"/>
      <c r="N353" s="101">
        <v>43696</v>
      </c>
      <c r="O353" s="221" t="s">
        <v>64</v>
      </c>
    </row>
    <row r="354" spans="1:15" s="59" customFormat="1" hidden="1" outlineLevel="1" x14ac:dyDescent="0.35">
      <c r="A354" s="516"/>
      <c r="B354" s="212" t="s">
        <v>793</v>
      </c>
      <c r="C354" s="463" t="e">
        <f>IF(KroneårIBeregninger&lt;=SistePrognoseÅr,D354*BNPJustering,D354*Realprisjustering_tilsisteprognoseår*Realprisjustering_ettersisteprognoseår)</f>
        <v>#N/A</v>
      </c>
      <c r="D354" s="772">
        <f>E354*F354</f>
        <v>0.43087622663184616</v>
      </c>
      <c r="E354" s="573">
        <v>0.3</v>
      </c>
      <c r="F354" s="752">
        <f>1/LOOKUP($H354,StatistikkOgPrognoseÅr,BNPIndeks)</f>
        <v>1.4362540887728206</v>
      </c>
      <c r="G354" s="65" t="s">
        <v>567</v>
      </c>
      <c r="H354" s="221">
        <v>2019</v>
      </c>
      <c r="J354" s="275" t="s">
        <v>494</v>
      </c>
      <c r="K354" s="65" t="s">
        <v>869</v>
      </c>
      <c r="L354" s="65" t="s">
        <v>901</v>
      </c>
      <c r="M354" s="624"/>
      <c r="N354" s="101">
        <v>43696</v>
      </c>
      <c r="O354" s="221" t="s">
        <v>64</v>
      </c>
    </row>
    <row r="355" spans="1:15" s="59" customFormat="1" hidden="1" outlineLevel="1" x14ac:dyDescent="0.35">
      <c r="A355" s="516"/>
      <c r="B355" s="212" t="s">
        <v>794</v>
      </c>
      <c r="C355" s="463" t="e">
        <f>IF(KroneårIBeregninger&lt;=SistePrognoseÅr,D355*BNPJustering,D355*Realprisjustering_tilsisteprognoseår*Realprisjustering_ettersisteprognoseår)</f>
        <v>#N/A</v>
      </c>
      <c r="D355" s="772">
        <f>E355*F355</f>
        <v>5.7450163550912821E-2</v>
      </c>
      <c r="E355" s="573">
        <v>0.04</v>
      </c>
      <c r="F355" s="752">
        <f>1/LOOKUP($H355,StatistikkOgPrognoseÅr,BNPIndeks)</f>
        <v>1.4362540887728206</v>
      </c>
      <c r="G355" s="65" t="s">
        <v>567</v>
      </c>
      <c r="H355" s="221">
        <v>2019</v>
      </c>
      <c r="J355" s="275" t="s">
        <v>494</v>
      </c>
      <c r="K355" s="65" t="s">
        <v>869</v>
      </c>
      <c r="L355" s="65" t="s">
        <v>901</v>
      </c>
      <c r="M355" s="624"/>
      <c r="N355" s="101">
        <v>43696</v>
      </c>
      <c r="O355" s="221" t="s">
        <v>64</v>
      </c>
    </row>
    <row r="356" spans="1:15" s="59" customFormat="1" hidden="1" outlineLevel="1" x14ac:dyDescent="0.35">
      <c r="A356" s="507"/>
      <c r="B356" s="212" t="s">
        <v>795</v>
      </c>
      <c r="C356" s="463" t="e">
        <f>IF(KroneårIBeregninger&lt;=SistePrognoseÅr,D356*BNPJustering,D356*Realprisjustering_tilsisteprognoseår*Realprisjustering_ettersisteprognoseår)</f>
        <v>#N/A</v>
      </c>
      <c r="D356" s="752">
        <f>D353*'1.2 Forutsetninger'!$C$196+D354*'1.2 Forutsetninger'!$C$197+D355*'1.2 Forutsetninger'!$C$198</f>
        <v>0.2044129100464428</v>
      </c>
      <c r="E356" s="986"/>
      <c r="F356" s="537"/>
      <c r="G356" s="65" t="s">
        <v>567</v>
      </c>
      <c r="H356" s="221"/>
      <c r="J356" s="275"/>
      <c r="K356" s="989"/>
      <c r="L356" s="65"/>
      <c r="M356" s="65"/>
      <c r="N356" s="65"/>
      <c r="O356" s="221"/>
    </row>
    <row r="357" spans="1:15" s="59" customFormat="1" hidden="1" outlineLevel="1" x14ac:dyDescent="0.35">
      <c r="A357" s="507"/>
      <c r="B357" s="215" t="s">
        <v>603</v>
      </c>
      <c r="C357" s="20"/>
      <c r="D357" s="20"/>
      <c r="E357" s="31"/>
      <c r="F357" s="41"/>
      <c r="G357" s="31"/>
      <c r="H357" s="245"/>
      <c r="J357" s="264"/>
      <c r="K357" s="31"/>
      <c r="L357" s="31"/>
      <c r="M357" s="31"/>
      <c r="N357" s="31"/>
      <c r="O357" s="245"/>
    </row>
    <row r="358" spans="1:15" s="59" customFormat="1" hidden="1" outlineLevel="1" x14ac:dyDescent="0.35">
      <c r="A358" s="515"/>
      <c r="B358" s="212" t="s">
        <v>791</v>
      </c>
      <c r="C358" s="463" t="e">
        <f>IF(KroneårIBeregninger&lt;=SistePrognoseÅr,D358*BNPJustering,D358*Realprisjustering_tilsisteprognoseår*Realprisjustering_ettersisteprognoseår)</f>
        <v>#N/A</v>
      </c>
      <c r="D358" s="772">
        <f>E358*F358</f>
        <v>3.4326472721670411</v>
      </c>
      <c r="E358" s="573">
        <v>2.39</v>
      </c>
      <c r="F358" s="752">
        <f>1/LOOKUP($H358,StatistikkOgPrognoseÅr,BNPIndeks)</f>
        <v>1.4362540887728206</v>
      </c>
      <c r="G358" s="65" t="s">
        <v>567</v>
      </c>
      <c r="H358" s="221">
        <v>2019</v>
      </c>
      <c r="J358" s="275" t="s">
        <v>494</v>
      </c>
      <c r="K358" s="65" t="s">
        <v>869</v>
      </c>
      <c r="L358" s="65" t="s">
        <v>902</v>
      </c>
      <c r="M358" s="624"/>
      <c r="N358" s="101">
        <v>43696</v>
      </c>
      <c r="O358" s="221" t="s">
        <v>64</v>
      </c>
    </row>
    <row r="359" spans="1:15" s="59" customFormat="1" hidden="1" outlineLevel="1" x14ac:dyDescent="0.35">
      <c r="A359" s="516"/>
      <c r="B359" s="212" t="s">
        <v>793</v>
      </c>
      <c r="C359" s="463" t="e">
        <f>IF(KroneårIBeregninger&lt;=SistePrognoseÅr,D359*BNPJustering,D359*Realprisjustering_tilsisteprognoseår*Realprisjustering_ettersisteprognoseår)</f>
        <v>#N/A</v>
      </c>
      <c r="D359" s="772">
        <f>E359*F359</f>
        <v>2.3410941646996974</v>
      </c>
      <c r="E359" s="574">
        <v>1.63</v>
      </c>
      <c r="F359" s="752">
        <f>1/LOOKUP($H359,StatistikkOgPrognoseÅr,BNPIndeks)</f>
        <v>1.4362540887728206</v>
      </c>
      <c r="G359" s="65" t="s">
        <v>567</v>
      </c>
      <c r="H359" s="221">
        <v>2019</v>
      </c>
      <c r="J359" s="275" t="s">
        <v>494</v>
      </c>
      <c r="K359" s="65" t="s">
        <v>869</v>
      </c>
      <c r="L359" s="65" t="s">
        <v>902</v>
      </c>
      <c r="M359" s="624"/>
      <c r="N359" s="101">
        <v>43696</v>
      </c>
      <c r="O359" s="221" t="s">
        <v>64</v>
      </c>
    </row>
    <row r="360" spans="1:15" s="59" customFormat="1" hidden="1" outlineLevel="1" x14ac:dyDescent="0.35">
      <c r="A360" s="516"/>
      <c r="B360" s="212" t="s">
        <v>794</v>
      </c>
      <c r="C360" s="463" t="e">
        <f>IF(KroneårIBeregninger&lt;=SistePrognoseÅr,D360*BNPJustering,D360*Realprisjustering_tilsisteprognoseår*Realprisjustering_ettersisteprognoseår)</f>
        <v>#N/A</v>
      </c>
      <c r="D360" s="772">
        <f>E360*F360</f>
        <v>0.34470098130547694</v>
      </c>
      <c r="E360" s="573">
        <v>0.24</v>
      </c>
      <c r="F360" s="752">
        <f>1/LOOKUP($H360,StatistikkOgPrognoseÅr,BNPIndeks)</f>
        <v>1.4362540887728206</v>
      </c>
      <c r="G360" s="65" t="s">
        <v>567</v>
      </c>
      <c r="H360" s="221">
        <v>2019</v>
      </c>
      <c r="J360" s="275" t="s">
        <v>494</v>
      </c>
      <c r="K360" s="65" t="s">
        <v>869</v>
      </c>
      <c r="L360" s="65" t="s">
        <v>902</v>
      </c>
      <c r="M360" s="624"/>
      <c r="N360" s="101">
        <v>43696</v>
      </c>
      <c r="O360" s="221" t="s">
        <v>64</v>
      </c>
    </row>
    <row r="361" spans="1:15" s="59" customFormat="1" hidden="1" outlineLevel="1" x14ac:dyDescent="0.35">
      <c r="A361" s="507"/>
      <c r="B361" s="212" t="s">
        <v>795</v>
      </c>
      <c r="C361" s="463" t="e">
        <f>IF(KroneårIBeregninger&lt;=SistePrognoseÅr,D361*BNPJustering,D361*Realprisjustering_tilsisteprognoseår*Realprisjustering_ettersisteprognoseår)</f>
        <v>#N/A</v>
      </c>
      <c r="D361" s="752">
        <f>D358*'1.2 Forutsetninger'!$C$200+D359*'1.2 Forutsetninger'!$C$201+D360*'1.2 Forutsetninger'!$C$202</f>
        <v>1.7664329454029279</v>
      </c>
      <c r="E361" s="103"/>
      <c r="F361" s="103"/>
      <c r="G361" s="65" t="s">
        <v>567</v>
      </c>
      <c r="H361" s="221"/>
      <c r="J361" s="275"/>
      <c r="K361" s="989"/>
      <c r="L361" s="65"/>
      <c r="M361" s="989"/>
      <c r="N361" s="65" t="str">
        <f>""</f>
        <v/>
      </c>
      <c r="O361" s="221"/>
    </row>
    <row r="362" spans="1:15" hidden="1" outlineLevel="1" x14ac:dyDescent="0.35">
      <c r="A362" s="507"/>
      <c r="B362" s="215" t="s">
        <v>605</v>
      </c>
      <c r="C362" s="20"/>
      <c r="D362" s="20"/>
      <c r="E362" s="41"/>
      <c r="F362" s="41"/>
      <c r="G362" s="31"/>
      <c r="H362" s="245"/>
      <c r="J362" s="279"/>
      <c r="K362" s="31"/>
      <c r="L362" s="31"/>
      <c r="M362" s="31"/>
      <c r="N362" s="31"/>
      <c r="O362" s="245"/>
    </row>
    <row r="363" spans="1:15" hidden="1" outlineLevel="1" x14ac:dyDescent="0.35">
      <c r="A363" s="515"/>
      <c r="B363" s="212" t="s">
        <v>791</v>
      </c>
      <c r="C363" s="463" t="e">
        <f>IF(KroneårIBeregninger&lt;=SistePrognoseÅr,D363*BNPJustering,D363*Realprisjustering_tilsisteprognoseår*Realprisjustering_ettersisteprognoseår)</f>
        <v>#N/A</v>
      </c>
      <c r="D363" s="1234">
        <f>E363*F363</f>
        <v>2.6022975195662705</v>
      </c>
      <c r="E363" s="1235">
        <v>2.83</v>
      </c>
      <c r="F363" s="752">
        <f>1/LOOKUP($H363,StatistikkOgPrognoseÅr,BNPIndeks)</f>
        <v>0.91953975956405321</v>
      </c>
      <c r="G363" s="65" t="s">
        <v>567</v>
      </c>
      <c r="H363" s="221">
        <v>2022</v>
      </c>
      <c r="J363" s="275" t="s">
        <v>2466</v>
      </c>
      <c r="K363" s="65" t="s">
        <v>869</v>
      </c>
      <c r="L363" s="65" t="s">
        <v>2515</v>
      </c>
      <c r="M363" s="624"/>
      <c r="N363" s="101">
        <v>46106</v>
      </c>
      <c r="O363" s="221" t="s">
        <v>808</v>
      </c>
    </row>
    <row r="364" spans="1:15" hidden="1" outlineLevel="1" x14ac:dyDescent="0.35">
      <c r="A364" s="516"/>
      <c r="B364" s="212" t="s">
        <v>793</v>
      </c>
      <c r="C364" s="463" t="e">
        <f>IF(KroneårIBeregninger&lt;=SistePrognoseÅr,D364*BNPJustering,D364*Realprisjustering_tilsisteprognoseår*Realprisjustering_ettersisteprognoseår)</f>
        <v>#N/A</v>
      </c>
      <c r="D364" s="1234">
        <f>E364*F364</f>
        <v>1.7747117359586226</v>
      </c>
      <c r="E364" s="1236">
        <v>1.93</v>
      </c>
      <c r="F364" s="752">
        <f>1/LOOKUP($H364,StatistikkOgPrognoseÅr,BNPIndeks)</f>
        <v>0.91953975956405321</v>
      </c>
      <c r="G364" s="65" t="s">
        <v>567</v>
      </c>
      <c r="H364" s="221">
        <v>2022</v>
      </c>
      <c r="J364" s="275" t="s">
        <v>2466</v>
      </c>
      <c r="K364" s="65" t="s">
        <v>869</v>
      </c>
      <c r="L364" s="65" t="s">
        <v>2515</v>
      </c>
      <c r="M364" s="624"/>
      <c r="N364" s="101">
        <v>46106</v>
      </c>
      <c r="O364" s="221" t="s">
        <v>808</v>
      </c>
    </row>
    <row r="365" spans="1:15" hidden="1" outlineLevel="1" x14ac:dyDescent="0.35">
      <c r="A365" s="517"/>
      <c r="B365" s="212" t="s">
        <v>794</v>
      </c>
      <c r="C365" s="463" t="e">
        <f>IF(KroneårIBeregninger&lt;=SistePrognoseÅr,D365*BNPJustering,D365*Realprisjustering_tilsisteprognoseår*Realprisjustering_ettersisteprognoseår)</f>
        <v>#N/A</v>
      </c>
      <c r="D365" s="1234">
        <f>E365*F365</f>
        <v>0.25747113267793492</v>
      </c>
      <c r="E365" s="1235">
        <v>0.28000000000000003</v>
      </c>
      <c r="F365" s="752">
        <f>1/LOOKUP($H365,StatistikkOgPrognoseÅr,BNPIndeks)</f>
        <v>0.91953975956405321</v>
      </c>
      <c r="G365" s="65" t="s">
        <v>567</v>
      </c>
      <c r="H365" s="221">
        <v>2022</v>
      </c>
      <c r="J365" s="275" t="s">
        <v>2466</v>
      </c>
      <c r="K365" s="65" t="s">
        <v>869</v>
      </c>
      <c r="L365" s="65" t="s">
        <v>2514</v>
      </c>
      <c r="M365" s="624"/>
      <c r="N365" s="101">
        <v>46106</v>
      </c>
      <c r="O365" s="221" t="s">
        <v>808</v>
      </c>
    </row>
    <row r="366" spans="1:15" hidden="1" outlineLevel="1" x14ac:dyDescent="0.35">
      <c r="A366" s="517"/>
      <c r="B366" s="212" t="s">
        <v>795</v>
      </c>
      <c r="C366" s="463" t="e">
        <f>IF(KroneårIBeregninger&lt;=SistePrognoseÅr,D366*BNPJustering,D366*Realprisjustering_tilsisteprognoseår*Realprisjustering_ettersisteprognoseår)</f>
        <v>#N/A</v>
      </c>
      <c r="D366" s="752">
        <f>D363*'1.2 Forutsetninger'!$C$208+D364*'1.2 Forutsetninger'!$C$209+D365*'1.2 Forutsetninger'!$C$210</f>
        <v>0.75903827425832748</v>
      </c>
      <c r="E366" s="103"/>
      <c r="F366" s="103"/>
      <c r="G366" s="65" t="s">
        <v>567</v>
      </c>
      <c r="H366" s="221"/>
      <c r="J366" s="275"/>
      <c r="K366" s="959"/>
      <c r="L366" s="65"/>
      <c r="M366" s="65"/>
      <c r="N366" s="65" t="str">
        <f>""</f>
        <v/>
      </c>
      <c r="O366" s="221"/>
    </row>
    <row r="367" spans="1:15" hidden="1" outlineLevel="1" x14ac:dyDescent="0.35">
      <c r="A367" s="511"/>
      <c r="B367" s="220" t="s">
        <v>1355</v>
      </c>
      <c r="C367" s="20"/>
      <c r="D367" s="20"/>
      <c r="E367" s="41"/>
      <c r="F367" s="31"/>
      <c r="G367" s="31"/>
      <c r="H367" s="245"/>
      <c r="J367" s="281"/>
      <c r="K367" s="959"/>
      <c r="L367" s="65"/>
      <c r="M367" s="65"/>
      <c r="N367" s="65"/>
      <c r="O367" s="221"/>
    </row>
    <row r="368" spans="1:15" hidden="1" outlineLevel="1" x14ac:dyDescent="0.35">
      <c r="A368" s="515"/>
      <c r="B368" s="212" t="s">
        <v>791</v>
      </c>
      <c r="C368" s="463" t="e">
        <f>IF(KroneårIBeregninger&lt;=SistePrognoseÅr,D368*BNPJustering,D368*Realprisjustering_tilsisteprognoseår*Realprisjustering_ettersisteprognoseår)</f>
        <v>#N/A</v>
      </c>
      <c r="D368" s="1234">
        <f>E368*F368</f>
        <v>2.6022975195662705</v>
      </c>
      <c r="E368" s="1235">
        <v>2.83</v>
      </c>
      <c r="F368" s="752">
        <f>1/LOOKUP($H368,StatistikkOgPrognoseÅr,BNPIndeks)</f>
        <v>0.91953975956405321</v>
      </c>
      <c r="G368" s="65" t="s">
        <v>567</v>
      </c>
      <c r="H368" s="221">
        <v>2022</v>
      </c>
      <c r="J368" s="275" t="s">
        <v>2466</v>
      </c>
      <c r="K368" s="65" t="s">
        <v>869</v>
      </c>
      <c r="L368" s="65" t="s">
        <v>2515</v>
      </c>
      <c r="M368" s="624"/>
      <c r="N368" s="101">
        <v>46106</v>
      </c>
      <c r="O368" s="221" t="s">
        <v>808</v>
      </c>
    </row>
    <row r="369" spans="1:15" hidden="1" outlineLevel="1" x14ac:dyDescent="0.35">
      <c r="A369" s="516"/>
      <c r="B369" s="212" t="s">
        <v>793</v>
      </c>
      <c r="C369" s="463" t="e">
        <f>IF(KroneårIBeregninger&lt;=SistePrognoseÅr,D369*BNPJustering,D369*Realprisjustering_tilsisteprognoseår*Realprisjustering_ettersisteprognoseår)</f>
        <v>#N/A</v>
      </c>
      <c r="D369" s="1234">
        <f>E369*F369</f>
        <v>1.7747117359586226</v>
      </c>
      <c r="E369" s="1236">
        <v>1.93</v>
      </c>
      <c r="F369" s="752">
        <f>1/LOOKUP($H369,StatistikkOgPrognoseÅr,BNPIndeks)</f>
        <v>0.91953975956405321</v>
      </c>
      <c r="G369" s="65" t="s">
        <v>567</v>
      </c>
      <c r="H369" s="221">
        <v>2022</v>
      </c>
      <c r="J369" s="275" t="s">
        <v>2466</v>
      </c>
      <c r="K369" s="65" t="s">
        <v>869</v>
      </c>
      <c r="L369" s="65" t="s">
        <v>2515</v>
      </c>
      <c r="M369" s="624"/>
      <c r="N369" s="101">
        <v>46106</v>
      </c>
      <c r="O369" s="221" t="s">
        <v>808</v>
      </c>
    </row>
    <row r="370" spans="1:15" hidden="1" outlineLevel="1" x14ac:dyDescent="0.35">
      <c r="A370" s="517"/>
      <c r="B370" s="212" t="s">
        <v>794</v>
      </c>
      <c r="C370" s="463" t="e">
        <f>IF(KroneårIBeregninger&lt;=SistePrognoseÅr,D370*BNPJustering,D370*Realprisjustering_tilsisteprognoseår*Realprisjustering_ettersisteprognoseår)</f>
        <v>#N/A</v>
      </c>
      <c r="D370" s="1234">
        <f>E370*F370</f>
        <v>0.25747113267793492</v>
      </c>
      <c r="E370" s="1235">
        <v>0.28000000000000003</v>
      </c>
      <c r="F370" s="752">
        <f>1/LOOKUP($H370,StatistikkOgPrognoseÅr,BNPIndeks)</f>
        <v>0.91953975956405321</v>
      </c>
      <c r="G370" s="65" t="s">
        <v>567</v>
      </c>
      <c r="H370" s="221">
        <v>2022</v>
      </c>
      <c r="J370" s="275" t="s">
        <v>2466</v>
      </c>
      <c r="K370" s="65" t="s">
        <v>869</v>
      </c>
      <c r="L370" s="65" t="s">
        <v>2515</v>
      </c>
      <c r="M370" s="624"/>
      <c r="N370" s="101">
        <v>46106</v>
      </c>
      <c r="O370" s="221" t="s">
        <v>808</v>
      </c>
    </row>
    <row r="371" spans="1:15" hidden="1" outlineLevel="1" x14ac:dyDescent="0.35">
      <c r="A371" s="506"/>
      <c r="B371" s="212" t="s">
        <v>795</v>
      </c>
      <c r="C371" s="463" t="e">
        <f>IF(KroneårIBeregninger&lt;=SistePrognoseÅr,D371*BNPJustering,D371*Realprisjustering_tilsisteprognoseår*Realprisjustering_ettersisteprognoseår)</f>
        <v>#N/A</v>
      </c>
      <c r="D371" s="752">
        <f>D368*'1.2 Forutsetninger'!$C$212+D369*'1.2 Forutsetninger'!$C$213+D370*'1.2 Forutsetninger'!$C$214</f>
        <v>0.75008171815867763</v>
      </c>
      <c r="E371" s="103"/>
      <c r="F371" s="103"/>
      <c r="G371" s="65" t="s">
        <v>567</v>
      </c>
      <c r="H371" s="221"/>
      <c r="J371" s="275"/>
      <c r="K371" s="959"/>
      <c r="L371" s="17"/>
      <c r="M371" s="17"/>
      <c r="N371" s="17" t="str">
        <f>""</f>
        <v/>
      </c>
      <c r="O371" s="213"/>
    </row>
    <row r="372" spans="1:15" hidden="1" outlineLevel="1" x14ac:dyDescent="0.35">
      <c r="A372" s="506"/>
      <c r="B372" s="220" t="s">
        <v>1356</v>
      </c>
      <c r="C372" s="20"/>
      <c r="D372" s="20"/>
      <c r="E372" s="41"/>
      <c r="F372" s="31"/>
      <c r="G372" s="31"/>
      <c r="H372" s="245"/>
      <c r="J372" s="275"/>
      <c r="K372" s="959"/>
      <c r="L372" s="17"/>
      <c r="M372" s="17"/>
      <c r="N372" s="17"/>
      <c r="O372" s="213"/>
    </row>
    <row r="373" spans="1:15" hidden="1" outlineLevel="1" x14ac:dyDescent="0.35">
      <c r="A373" s="506"/>
      <c r="B373" s="212" t="s">
        <v>791</v>
      </c>
      <c r="C373" s="463" t="e">
        <f>IF(KroneårIBeregninger&lt;=SistePrognoseÅr,D373*BNPJustering,D373*Realprisjustering_tilsisteprognoseår*Realprisjustering_ettersisteprognoseår)</f>
        <v>#N/A</v>
      </c>
      <c r="D373" s="1234">
        <f>E373*F373</f>
        <v>2.6022975195662705</v>
      </c>
      <c r="E373" s="1235">
        <v>2.83</v>
      </c>
      <c r="F373" s="752">
        <f>1/LOOKUP($H373,StatistikkOgPrognoseÅr,BNPIndeks)</f>
        <v>0.91953975956405321</v>
      </c>
      <c r="G373" s="65" t="s">
        <v>567</v>
      </c>
      <c r="H373" s="221">
        <v>2022</v>
      </c>
      <c r="J373" s="275" t="s">
        <v>2466</v>
      </c>
      <c r="K373" s="65" t="s">
        <v>869</v>
      </c>
      <c r="L373" s="65" t="s">
        <v>2514</v>
      </c>
      <c r="M373" s="17"/>
      <c r="N373" s="995">
        <v>46157</v>
      </c>
      <c r="O373" s="213" t="s">
        <v>808</v>
      </c>
    </row>
    <row r="374" spans="1:15" hidden="1" outlineLevel="1" x14ac:dyDescent="0.35">
      <c r="A374" s="506"/>
      <c r="B374" s="212" t="s">
        <v>793</v>
      </c>
      <c r="C374" s="463" t="e">
        <f>IF(KroneårIBeregninger&lt;=SistePrognoseÅr,D374*BNPJustering,D374*Realprisjustering_tilsisteprognoseår*Realprisjustering_ettersisteprognoseår)</f>
        <v>#N/A</v>
      </c>
      <c r="D374" s="1234">
        <f t="shared" ref="D374:D375" si="94">E374*F374</f>
        <v>1.7747117359586226</v>
      </c>
      <c r="E374" s="1236">
        <v>1.93</v>
      </c>
      <c r="F374" s="752">
        <f>1/LOOKUP($H374,StatistikkOgPrognoseÅr,BNPIndeks)</f>
        <v>0.91953975956405321</v>
      </c>
      <c r="G374" s="65" t="s">
        <v>567</v>
      </c>
      <c r="H374" s="221">
        <v>2022</v>
      </c>
      <c r="J374" s="275" t="s">
        <v>2466</v>
      </c>
      <c r="K374" s="65" t="s">
        <v>869</v>
      </c>
      <c r="L374" s="65" t="s">
        <v>2514</v>
      </c>
      <c r="M374" s="17"/>
      <c r="N374" s="995">
        <v>46157</v>
      </c>
      <c r="O374" s="213" t="s">
        <v>808</v>
      </c>
    </row>
    <row r="375" spans="1:15" hidden="1" outlineLevel="1" x14ac:dyDescent="0.35">
      <c r="A375" s="506"/>
      <c r="B375" s="212" t="s">
        <v>794</v>
      </c>
      <c r="C375" s="463" t="e">
        <f>IF(KroneårIBeregninger&lt;=SistePrognoseÅr,D375*BNPJustering,D375*Realprisjustering_tilsisteprognoseår*Realprisjustering_ettersisteprognoseår)</f>
        <v>#N/A</v>
      </c>
      <c r="D375" s="1234">
        <f t="shared" si="94"/>
        <v>0.25747113267793492</v>
      </c>
      <c r="E375" s="1235">
        <v>0.28000000000000003</v>
      </c>
      <c r="F375" s="752">
        <f>1/LOOKUP($H375,StatistikkOgPrognoseÅr,BNPIndeks)</f>
        <v>0.91953975956405321</v>
      </c>
      <c r="G375" s="65" t="s">
        <v>567</v>
      </c>
      <c r="H375" s="221">
        <v>2022</v>
      </c>
      <c r="J375" s="275" t="s">
        <v>2466</v>
      </c>
      <c r="K375" s="65" t="s">
        <v>869</v>
      </c>
      <c r="L375" s="65" t="s">
        <v>2514</v>
      </c>
      <c r="M375" s="17"/>
      <c r="N375" s="995">
        <v>46157</v>
      </c>
      <c r="O375" s="213" t="s">
        <v>808</v>
      </c>
    </row>
    <row r="376" spans="1:15" hidden="1" outlineLevel="1" x14ac:dyDescent="0.35">
      <c r="A376" s="506"/>
      <c r="B376" s="212" t="s">
        <v>795</v>
      </c>
      <c r="C376" s="463" t="e">
        <f>IF(KroneårIBeregninger&lt;=SistePrognoseÅr,D376*BNPJustering,D376*Realprisjustering_tilsisteprognoseår*Realprisjustering_ettersisteprognoseår)</f>
        <v>#N/A</v>
      </c>
      <c r="D376" s="752">
        <f>D373*'1.2 Forutsetninger'!$C$216+D374*'1.2 Forutsetninger'!$C$217+D375*'1.2 Forutsetninger'!$C$218</f>
        <v>0.75008171815867763</v>
      </c>
      <c r="E376" s="103"/>
      <c r="F376" s="103"/>
      <c r="G376" s="65" t="s">
        <v>567</v>
      </c>
      <c r="H376" s="221"/>
      <c r="J376" s="275"/>
      <c r="K376" s="959"/>
      <c r="L376" s="17"/>
      <c r="M376" s="17"/>
      <c r="N376" s="17"/>
      <c r="O376" s="213"/>
    </row>
    <row r="377" spans="1:15" ht="18.5" collapsed="1" x14ac:dyDescent="0.45">
      <c r="A377" s="511"/>
      <c r="B377" s="240" t="s">
        <v>903</v>
      </c>
      <c r="C377" s="987"/>
      <c r="D377" s="987"/>
      <c r="E377" s="946"/>
      <c r="F377" s="946"/>
      <c r="G377" s="11"/>
      <c r="H377" s="249"/>
      <c r="J377" s="283"/>
      <c r="K377" s="14"/>
      <c r="L377" s="14"/>
      <c r="M377" s="14"/>
      <c r="N377" s="14"/>
      <c r="O377" s="248"/>
    </row>
    <row r="378" spans="1:15" hidden="1" outlineLevel="1" x14ac:dyDescent="0.35">
      <c r="B378" s="215" t="s">
        <v>595</v>
      </c>
      <c r="C378" s="20"/>
      <c r="D378" s="20"/>
      <c r="E378" s="8"/>
      <c r="F378" s="8"/>
      <c r="G378" s="8"/>
      <c r="H378" s="259"/>
      <c r="J378" s="279"/>
      <c r="K378" s="8"/>
      <c r="L378" s="8"/>
      <c r="M378" s="8"/>
      <c r="N378" s="8"/>
      <c r="O378" s="259"/>
    </row>
    <row r="379" spans="1:15" hidden="1" outlineLevel="1" x14ac:dyDescent="0.35">
      <c r="B379" s="212" t="s">
        <v>880</v>
      </c>
      <c r="C379" s="463" t="e">
        <f t="shared" ref="C379:C386" si="95">IF(KroneårIBeregninger&lt;=SistePrognoseÅr,D379*BNPJustering,D379*Realprisjustering_tilsisteprognoseår*Realprisjustering_ettersisteprognoseår)</f>
        <v>#N/A</v>
      </c>
      <c r="D379" s="570">
        <f>E379*F379</f>
        <v>0</v>
      </c>
      <c r="E379" s="104"/>
      <c r="F379" s="104"/>
      <c r="G379" s="65" t="s">
        <v>540</v>
      </c>
      <c r="H379" s="261">
        <v>2025</v>
      </c>
      <c r="I379" s="545"/>
      <c r="J379" s="275" t="s">
        <v>825</v>
      </c>
      <c r="K379" s="65" t="s">
        <v>800</v>
      </c>
      <c r="L379" s="148" t="s">
        <v>904</v>
      </c>
      <c r="M379" s="959"/>
      <c r="N379" s="991">
        <v>46044</v>
      </c>
      <c r="O379" s="221" t="s">
        <v>808</v>
      </c>
    </row>
    <row r="380" spans="1:15" hidden="1" outlineLevel="1" x14ac:dyDescent="0.35">
      <c r="B380" s="212" t="s">
        <v>882</v>
      </c>
      <c r="C380" s="463" t="e">
        <f t="shared" si="95"/>
        <v>#N/A</v>
      </c>
      <c r="D380" s="570">
        <f>E380*F380</f>
        <v>0</v>
      </c>
      <c r="E380" s="104"/>
      <c r="F380" s="104"/>
      <c r="G380" s="65" t="s">
        <v>540</v>
      </c>
      <c r="H380" s="261">
        <v>2025</v>
      </c>
      <c r="I380" s="545"/>
      <c r="J380" s="275" t="s">
        <v>825</v>
      </c>
      <c r="K380" s="65" t="s">
        <v>800</v>
      </c>
      <c r="L380" s="148" t="s">
        <v>904</v>
      </c>
      <c r="M380" s="959"/>
      <c r="N380" s="991">
        <v>46044</v>
      </c>
      <c r="O380" s="221" t="s">
        <v>808</v>
      </c>
    </row>
    <row r="381" spans="1:15" hidden="1" outlineLevel="1" x14ac:dyDescent="0.35">
      <c r="B381" s="212" t="s">
        <v>883</v>
      </c>
      <c r="C381" s="463" t="e">
        <f t="shared" si="95"/>
        <v>#N/A</v>
      </c>
      <c r="D381" s="570">
        <f>E381*F381</f>
        <v>0</v>
      </c>
      <c r="E381" s="104"/>
      <c r="F381" s="104"/>
      <c r="G381" s="65" t="s">
        <v>540</v>
      </c>
      <c r="H381" s="261">
        <v>2025</v>
      </c>
      <c r="I381" s="545"/>
      <c r="J381" s="275" t="s">
        <v>825</v>
      </c>
      <c r="K381" s="65" t="s">
        <v>800</v>
      </c>
      <c r="L381" s="148" t="s">
        <v>904</v>
      </c>
      <c r="M381" s="959"/>
      <c r="N381" s="991">
        <v>46044</v>
      </c>
      <c r="O381" s="221" t="s">
        <v>808</v>
      </c>
    </row>
    <row r="382" spans="1:15" hidden="1" outlineLevel="1" x14ac:dyDescent="0.35">
      <c r="B382" s="212" t="s">
        <v>905</v>
      </c>
      <c r="C382" s="463" t="e">
        <f t="shared" si="95"/>
        <v>#N/A</v>
      </c>
      <c r="D382" s="774">
        <f>D379*'1.2 Forutsetninger'!$C$182+D380*'1.2 Forutsetninger'!$C$183+D381*'1.2 Forutsetninger'!$C$184</f>
        <v>0</v>
      </c>
      <c r="E382" s="104"/>
      <c r="F382" s="104"/>
      <c r="G382" s="65" t="s">
        <v>540</v>
      </c>
      <c r="H382" s="221"/>
      <c r="I382" s="545"/>
      <c r="J382" s="275"/>
      <c r="K382" s="959"/>
      <c r="L382" s="65"/>
      <c r="M382" s="17"/>
      <c r="N382" s="989"/>
      <c r="O382" s="221"/>
    </row>
    <row r="383" spans="1:15" hidden="1" outlineLevel="1" x14ac:dyDescent="0.35">
      <c r="A383" s="511"/>
      <c r="B383" s="218" t="s">
        <v>885</v>
      </c>
      <c r="C383" s="463" t="e">
        <f t="shared" si="95"/>
        <v>#N/A</v>
      </c>
      <c r="D383" s="775">
        <f>E383*F383</f>
        <v>45.364407546413169</v>
      </c>
      <c r="E383" s="570">
        <f>'Standardsatser-Forutsetninger'!$C$103</f>
        <v>45.364407546413169</v>
      </c>
      <c r="F383" s="752">
        <f>1/LOOKUP($H383,StatistikkOgPrognoseÅr,BNPIndeks)</f>
        <v>1</v>
      </c>
      <c r="G383" s="537" t="str">
        <f>'Standardsatser-Forutsetninger'!$D$103</f>
        <v xml:space="preserve">Kr/togkm </v>
      </c>
      <c r="H383" s="221">
        <f>'Standardsatser-Forutsetninger'!$E$103</f>
        <v>2025</v>
      </c>
      <c r="I383" s="545"/>
      <c r="J383" s="275" t="s">
        <v>825</v>
      </c>
      <c r="K383" s="65" t="s">
        <v>869</v>
      </c>
      <c r="L383" s="65" t="s">
        <v>906</v>
      </c>
      <c r="M383" s="959"/>
      <c r="N383" s="1216">
        <v>46044</v>
      </c>
      <c r="O383" s="221" t="s">
        <v>808</v>
      </c>
    </row>
    <row r="384" spans="1:15" hidden="1" outlineLevel="1" x14ac:dyDescent="0.35">
      <c r="A384" s="511"/>
      <c r="B384" s="218" t="s">
        <v>886</v>
      </c>
      <c r="C384" s="463" t="e">
        <f t="shared" si="95"/>
        <v>#N/A</v>
      </c>
      <c r="D384" s="775">
        <f>E384*F384</f>
        <v>7.398519388210997</v>
      </c>
      <c r="E384" s="570">
        <f>'Standardsatser-Forutsetninger'!$C$104</f>
        <v>7.398519388210997</v>
      </c>
      <c r="F384" s="752">
        <f>1/LOOKUP($H384,StatistikkOgPrognoseÅr,BNPIndeks)</f>
        <v>1</v>
      </c>
      <c r="G384" s="537" t="str">
        <f>'Standardsatser-Forutsetninger'!$D$104</f>
        <v xml:space="preserve">Kr/togkm </v>
      </c>
      <c r="H384" s="221">
        <f>'Standardsatser-Forutsetninger'!$E$104</f>
        <v>2025</v>
      </c>
      <c r="I384" s="545"/>
      <c r="J384" s="275" t="s">
        <v>825</v>
      </c>
      <c r="K384" s="65" t="s">
        <v>869</v>
      </c>
      <c r="L384" s="65" t="s">
        <v>906</v>
      </c>
      <c r="M384" s="959"/>
      <c r="N384" s="1216">
        <v>46044</v>
      </c>
      <c r="O384" s="221" t="s">
        <v>808</v>
      </c>
    </row>
    <row r="385" spans="1:15" hidden="1" outlineLevel="1" x14ac:dyDescent="0.35">
      <c r="A385" s="511"/>
      <c r="B385" s="218" t="s">
        <v>887</v>
      </c>
      <c r="C385" s="463" t="e">
        <f t="shared" si="95"/>
        <v>#N/A</v>
      </c>
      <c r="D385" s="775">
        <f>E385*F385</f>
        <v>1.0620932786970243</v>
      </c>
      <c r="E385" s="570">
        <f>'Standardsatser-Forutsetninger'!$C$105</f>
        <v>1.0620932786970243</v>
      </c>
      <c r="F385" s="752">
        <f>1/LOOKUP($H385,StatistikkOgPrognoseÅr,BNPIndeks)</f>
        <v>1</v>
      </c>
      <c r="G385" s="537" t="str">
        <f>'Standardsatser-Forutsetninger'!$D$105</f>
        <v xml:space="preserve">Kr/togkm </v>
      </c>
      <c r="H385" s="221">
        <f>'Standardsatser-Forutsetninger'!$E$105</f>
        <v>2025</v>
      </c>
      <c r="I385" s="545"/>
      <c r="J385" s="275" t="s">
        <v>825</v>
      </c>
      <c r="K385" s="65" t="s">
        <v>869</v>
      </c>
      <c r="L385" s="65" t="s">
        <v>906</v>
      </c>
      <c r="M385" s="959"/>
      <c r="N385" s="1216">
        <v>46044</v>
      </c>
      <c r="O385" s="221" t="s">
        <v>808</v>
      </c>
    </row>
    <row r="386" spans="1:15" s="6" customFormat="1" hidden="1" outlineLevel="1" x14ac:dyDescent="0.35">
      <c r="A386" s="511"/>
      <c r="B386" s="218" t="s">
        <v>888</v>
      </c>
      <c r="C386" s="463" t="e">
        <f t="shared" si="95"/>
        <v>#N/A</v>
      </c>
      <c r="D386" s="774">
        <f>D383*'1.2 Forutsetninger'!$C$185+D384*'1.2 Forutsetninger'!$C$186+D385*'1.2 Forutsetninger'!$C$187</f>
        <v>8.6181285063257445</v>
      </c>
      <c r="E386" s="105"/>
      <c r="F386" s="398"/>
      <c r="G386" s="65" t="s">
        <v>540</v>
      </c>
      <c r="H386" s="221"/>
      <c r="I386" s="545"/>
      <c r="J386" s="275"/>
      <c r="K386" s="989"/>
      <c r="L386" s="65"/>
      <c r="M386" s="65"/>
      <c r="N386" s="65"/>
      <c r="O386" s="221"/>
    </row>
    <row r="387" spans="1:15" s="6" customFormat="1" hidden="1" outlineLevel="1" x14ac:dyDescent="0.35">
      <c r="A387" s="510"/>
      <c r="B387" s="215" t="s">
        <v>596</v>
      </c>
      <c r="C387" s="41"/>
      <c r="D387" s="41"/>
      <c r="E387" s="31"/>
      <c r="F387" s="41"/>
      <c r="G387" s="31"/>
      <c r="H387" s="245"/>
      <c r="I387" s="59"/>
      <c r="J387" s="288"/>
      <c r="K387" s="993"/>
      <c r="L387" s="31"/>
      <c r="M387" s="31"/>
      <c r="N387" s="31"/>
      <c r="O387" s="245"/>
    </row>
    <row r="388" spans="1:15" hidden="1" outlineLevel="1" x14ac:dyDescent="0.35">
      <c r="A388" s="511"/>
      <c r="B388" s="218" t="s">
        <v>880</v>
      </c>
      <c r="C388" s="463" t="e">
        <f t="shared" ref="C388:C395" si="96">IF(KroneårIBeregninger&lt;=SistePrognoseÅr,D388*BNPJustering,D388*Realprisjustering_tilsisteprognoseår*Realprisjustering_ettersisteprognoseår)</f>
        <v>#N/A</v>
      </c>
      <c r="D388" s="570">
        <v>0</v>
      </c>
      <c r="E388" s="104"/>
      <c r="F388" s="104"/>
      <c r="G388" s="65" t="s">
        <v>540</v>
      </c>
      <c r="H388" s="261">
        <v>2025</v>
      </c>
      <c r="I388" s="545"/>
      <c r="J388" s="275" t="s">
        <v>825</v>
      </c>
      <c r="K388" s="65" t="s">
        <v>869</v>
      </c>
      <c r="L388" s="148" t="s">
        <v>904</v>
      </c>
      <c r="M388" s="959"/>
      <c r="N388" s="991">
        <v>46044</v>
      </c>
      <c r="O388" s="221" t="s">
        <v>808</v>
      </c>
    </row>
    <row r="389" spans="1:15" hidden="1" outlineLevel="1" x14ac:dyDescent="0.35">
      <c r="A389" s="511"/>
      <c r="B389" s="218" t="s">
        <v>882</v>
      </c>
      <c r="C389" s="463" t="e">
        <f t="shared" si="96"/>
        <v>#N/A</v>
      </c>
      <c r="D389" s="570">
        <v>0</v>
      </c>
      <c r="E389" s="104"/>
      <c r="F389" s="104"/>
      <c r="G389" s="65" t="s">
        <v>540</v>
      </c>
      <c r="H389" s="261">
        <v>2025</v>
      </c>
      <c r="I389" s="545"/>
      <c r="J389" s="275" t="s">
        <v>825</v>
      </c>
      <c r="K389" s="65" t="s">
        <v>869</v>
      </c>
      <c r="L389" s="148" t="s">
        <v>904</v>
      </c>
      <c r="M389" s="959"/>
      <c r="N389" s="991">
        <v>46044</v>
      </c>
      <c r="O389" s="221" t="s">
        <v>808</v>
      </c>
    </row>
    <row r="390" spans="1:15" hidden="1" outlineLevel="1" x14ac:dyDescent="0.35">
      <c r="A390" s="511"/>
      <c r="B390" s="218" t="s">
        <v>883</v>
      </c>
      <c r="C390" s="463" t="e">
        <f t="shared" si="96"/>
        <v>#N/A</v>
      </c>
      <c r="D390" s="570">
        <v>0</v>
      </c>
      <c r="E390" s="104"/>
      <c r="F390" s="104"/>
      <c r="G390" s="65" t="s">
        <v>540</v>
      </c>
      <c r="H390" s="261">
        <v>2025</v>
      </c>
      <c r="I390" s="545"/>
      <c r="J390" s="275" t="s">
        <v>825</v>
      </c>
      <c r="K390" s="65" t="s">
        <v>869</v>
      </c>
      <c r="L390" s="148" t="s">
        <v>904</v>
      </c>
      <c r="M390" s="959"/>
      <c r="N390" s="991">
        <v>46044</v>
      </c>
      <c r="O390" s="221" t="s">
        <v>808</v>
      </c>
    </row>
    <row r="391" spans="1:15" hidden="1" outlineLevel="1" x14ac:dyDescent="0.35">
      <c r="A391" s="511"/>
      <c r="B391" s="218" t="s">
        <v>905</v>
      </c>
      <c r="C391" s="463" t="e">
        <f t="shared" si="96"/>
        <v>#N/A</v>
      </c>
      <c r="D391" s="766">
        <f>D388*'1.2 Forutsetninger'!$C$189+D389*'1.2 Forutsetninger'!$C$190+D390*'1.2 Forutsetninger'!$C$191</f>
        <v>0</v>
      </c>
      <c r="E391" s="108"/>
      <c r="F391" s="123"/>
      <c r="G391" s="65" t="s">
        <v>540</v>
      </c>
      <c r="H391" s="221"/>
      <c r="I391" s="545"/>
      <c r="J391" s="288"/>
      <c r="K391" s="993"/>
      <c r="L391" s="31"/>
      <c r="M391" s="31"/>
      <c r="N391" s="31"/>
      <c r="O391" s="245"/>
    </row>
    <row r="392" spans="1:15" hidden="1" outlineLevel="1" x14ac:dyDescent="0.35">
      <c r="A392" s="511"/>
      <c r="B392" s="218" t="s">
        <v>885</v>
      </c>
      <c r="C392" s="463" t="e">
        <f t="shared" si="96"/>
        <v>#N/A</v>
      </c>
      <c r="D392" s="761">
        <f>E392*F392</f>
        <v>135.37739895001914</v>
      </c>
      <c r="E392" s="570">
        <f>'Standardsatser-Forutsetninger'!$C$106</f>
        <v>135.37739895001914</v>
      </c>
      <c r="F392" s="752">
        <f>1/LOOKUP($H392,StatistikkOgPrognoseÅr,BNPIndeks)</f>
        <v>1</v>
      </c>
      <c r="G392" s="537" t="str">
        <f>'Standardsatser-Forutsetninger'!$D$106</f>
        <v xml:space="preserve">Kr/togkm </v>
      </c>
      <c r="H392" s="221">
        <f>'Standardsatser-Forutsetninger'!$E$106</f>
        <v>2025</v>
      </c>
      <c r="I392" s="545"/>
      <c r="J392" s="275" t="s">
        <v>825</v>
      </c>
      <c r="K392" s="65" t="s">
        <v>869</v>
      </c>
      <c r="L392" s="65" t="s">
        <v>906</v>
      </c>
      <c r="M392" s="959"/>
      <c r="N392" s="991">
        <v>46044</v>
      </c>
      <c r="O392" s="221" t="s">
        <v>808</v>
      </c>
    </row>
    <row r="393" spans="1:15" hidden="1" outlineLevel="1" x14ac:dyDescent="0.35">
      <c r="A393" s="511"/>
      <c r="B393" s="218" t="s">
        <v>886</v>
      </c>
      <c r="C393" s="463" t="e">
        <f t="shared" si="96"/>
        <v>#N/A</v>
      </c>
      <c r="D393" s="761">
        <f>E393*F393</f>
        <v>22.07881387699253</v>
      </c>
      <c r="E393" s="570">
        <f>'Standardsatser-Forutsetninger'!$C$107</f>
        <v>22.07881387699253</v>
      </c>
      <c r="F393" s="752">
        <f>1/LOOKUP($H393,StatistikkOgPrognoseÅr,BNPIndeks)</f>
        <v>1</v>
      </c>
      <c r="G393" s="537" t="str">
        <f>'Standardsatser-Forutsetninger'!$D$107</f>
        <v xml:space="preserve">Kr/togkm </v>
      </c>
      <c r="H393" s="221">
        <f>'Standardsatser-Forutsetninger'!$E$107</f>
        <v>2025</v>
      </c>
      <c r="I393" s="545"/>
      <c r="J393" s="275" t="s">
        <v>825</v>
      </c>
      <c r="K393" s="65" t="s">
        <v>869</v>
      </c>
      <c r="L393" s="65" t="s">
        <v>906</v>
      </c>
      <c r="M393" s="959"/>
      <c r="N393" s="991">
        <v>46044</v>
      </c>
      <c r="O393" s="221" t="s">
        <v>808</v>
      </c>
    </row>
    <row r="394" spans="1:15" hidden="1" outlineLevel="1" x14ac:dyDescent="0.35">
      <c r="A394" s="511"/>
      <c r="B394" s="218" t="s">
        <v>887</v>
      </c>
      <c r="C394" s="463" t="e">
        <f t="shared" si="96"/>
        <v>#N/A</v>
      </c>
      <c r="D394" s="761">
        <f>E394*F394</f>
        <v>3.1695206283735424</v>
      </c>
      <c r="E394" s="570">
        <f>'Standardsatser-Forutsetninger'!$C$108</f>
        <v>3.1695206283735424</v>
      </c>
      <c r="F394" s="752">
        <f>1/LOOKUP($H394,StatistikkOgPrognoseÅr,BNPIndeks)</f>
        <v>1</v>
      </c>
      <c r="G394" s="537" t="str">
        <f>'Standardsatser-Forutsetninger'!$D$108</f>
        <v xml:space="preserve">Kr/togkm </v>
      </c>
      <c r="H394" s="221">
        <f>'Standardsatser-Forutsetninger'!$E$108</f>
        <v>2025</v>
      </c>
      <c r="J394" s="275" t="s">
        <v>825</v>
      </c>
      <c r="K394" s="65" t="s">
        <v>869</v>
      </c>
      <c r="L394" s="65" t="s">
        <v>906</v>
      </c>
      <c r="M394" s="959"/>
      <c r="N394" s="991">
        <v>46044</v>
      </c>
      <c r="O394" s="221" t="s">
        <v>808</v>
      </c>
    </row>
    <row r="395" spans="1:15" s="6" customFormat="1" hidden="1" outlineLevel="1" x14ac:dyDescent="0.35">
      <c r="A395" s="511"/>
      <c r="B395" s="218" t="s">
        <v>888</v>
      </c>
      <c r="C395" s="463" t="e">
        <f t="shared" si="96"/>
        <v>#N/A</v>
      </c>
      <c r="D395" s="766">
        <f>D392*'1.2 Forutsetninger'!$C$192+D393*'1.2 Forutsetninger'!$C$193+D394*'1.2 Forutsetninger'!$C$194</f>
        <v>5.5545086603645011</v>
      </c>
      <c r="E395" s="105"/>
      <c r="F395" s="398"/>
      <c r="G395" s="65" t="s">
        <v>540</v>
      </c>
      <c r="H395" s="221"/>
      <c r="I395" s="59"/>
      <c r="J395" s="287"/>
      <c r="K395" s="989"/>
      <c r="L395" s="65"/>
      <c r="M395" s="65"/>
      <c r="N395" s="65"/>
      <c r="O395" s="221"/>
    </row>
    <row r="396" spans="1:15" s="6" customFormat="1" hidden="1" outlineLevel="1" x14ac:dyDescent="0.35">
      <c r="A396" s="510"/>
      <c r="B396" s="220" t="s">
        <v>602</v>
      </c>
      <c r="C396" s="41"/>
      <c r="D396" s="20"/>
      <c r="E396" s="31"/>
      <c r="F396" s="31"/>
      <c r="G396" s="31"/>
      <c r="H396" s="245"/>
      <c r="I396" s="59"/>
      <c r="J396" s="288"/>
      <c r="K396" s="993"/>
      <c r="L396" s="31"/>
      <c r="M396" s="31"/>
      <c r="N396" s="31"/>
      <c r="O396" s="245"/>
    </row>
    <row r="397" spans="1:15" hidden="1" outlineLevel="1" x14ac:dyDescent="0.35">
      <c r="A397" s="511"/>
      <c r="B397" s="212" t="s">
        <v>791</v>
      </c>
      <c r="C397" s="463" t="e">
        <f>IF(KroneårIBeregninger&lt;=SistePrognoseÅr,D397*BNPJustering,D397*Realprisjustering_tilsisteprognoseår*Realprisjustering_ettersisteprognoseår)</f>
        <v>#N/A</v>
      </c>
      <c r="D397" s="776">
        <f>E397*F397</f>
        <v>0.59604544684072058</v>
      </c>
      <c r="E397" s="399">
        <f>'Standardsatser-Forutsetninger'!$C$109</f>
        <v>0.41500000000000004</v>
      </c>
      <c r="F397" s="752">
        <f>1/LOOKUP($H397,StatistikkOgPrognoseÅr,BNPIndeks)</f>
        <v>1.4362540887728206</v>
      </c>
      <c r="G397" s="103" t="str">
        <f>'Standardsatser-Forutsetninger'!$D$109</f>
        <v>Kr/kjøretøykm</v>
      </c>
      <c r="H397" s="221">
        <f>'Standardsatser-Forutsetninger'!$E$109</f>
        <v>2019</v>
      </c>
      <c r="I397" s="545"/>
      <c r="J397" s="275" t="s">
        <v>494</v>
      </c>
      <c r="K397" s="65" t="s">
        <v>869</v>
      </c>
      <c r="L397" s="65" t="s">
        <v>907</v>
      </c>
      <c r="M397" s="959" t="s">
        <v>802</v>
      </c>
      <c r="N397" s="995">
        <v>43605</v>
      </c>
      <c r="O397" s="221" t="s">
        <v>64</v>
      </c>
    </row>
    <row r="398" spans="1:15" hidden="1" outlineLevel="1" x14ac:dyDescent="0.35">
      <c r="A398" s="511"/>
      <c r="B398" s="212" t="s">
        <v>793</v>
      </c>
      <c r="C398" s="463" t="e">
        <f>IF(KroneårIBeregninger&lt;=SistePrognoseÅr,D398*BNPJustering,D398*Realprisjustering_tilsisteprognoseår*Realprisjustering_ettersisteprognoseår)</f>
        <v>#N/A</v>
      </c>
      <c r="D398" s="776">
        <f>E398*F398</f>
        <v>9.3356515770233336E-2</v>
      </c>
      <c r="E398" s="399">
        <f>'Standardsatser-Forutsetninger'!$C$110</f>
        <v>6.5000000000000002E-2</v>
      </c>
      <c r="F398" s="752">
        <f>1/LOOKUP($H398,StatistikkOgPrognoseÅr,BNPIndeks)</f>
        <v>1.4362540887728206</v>
      </c>
      <c r="G398" s="103" t="str">
        <f>'Standardsatser-Forutsetninger'!$D$110</f>
        <v>Kr/kjøretøykm</v>
      </c>
      <c r="H398" s="221">
        <f>'Standardsatser-Forutsetninger'!$E$110</f>
        <v>2019</v>
      </c>
      <c r="I398" s="545"/>
      <c r="J398" s="275" t="s">
        <v>494</v>
      </c>
      <c r="K398" s="65" t="s">
        <v>869</v>
      </c>
      <c r="L398" s="65" t="s">
        <v>907</v>
      </c>
      <c r="M398" s="959" t="s">
        <v>802</v>
      </c>
      <c r="N398" s="995">
        <v>43605</v>
      </c>
      <c r="O398" s="221" t="s">
        <v>64</v>
      </c>
    </row>
    <row r="399" spans="1:15" hidden="1" outlineLevel="1" x14ac:dyDescent="0.35">
      <c r="A399" s="511"/>
      <c r="B399" s="212" t="s">
        <v>794</v>
      </c>
      <c r="C399" s="463" t="e">
        <f>IF(KroneårIBeregninger&lt;=SistePrognoseÅr,D399*BNPJustering,D399*Realprisjustering_tilsisteprognoseår*Realprisjustering_ettersisteprognoseår)</f>
        <v>#N/A</v>
      </c>
      <c r="D399" s="776">
        <f>E399*F399</f>
        <v>7.1812704438641026E-3</v>
      </c>
      <c r="E399" s="399">
        <f>'Standardsatser-Forutsetninger'!$C$111</f>
        <v>5.0000000000000001E-3</v>
      </c>
      <c r="F399" s="752">
        <f>1/LOOKUP($H399,StatistikkOgPrognoseÅr,BNPIndeks)</f>
        <v>1.4362540887728206</v>
      </c>
      <c r="G399" s="103" t="str">
        <f>'Standardsatser-Forutsetninger'!$D$111</f>
        <v>Kr/kjøretøykm</v>
      </c>
      <c r="H399" s="221">
        <f>'Standardsatser-Forutsetninger'!$E$111</f>
        <v>2019</v>
      </c>
      <c r="I399" s="545"/>
      <c r="J399" s="275" t="s">
        <v>494</v>
      </c>
      <c r="K399" s="65" t="s">
        <v>869</v>
      </c>
      <c r="L399" s="65" t="s">
        <v>907</v>
      </c>
      <c r="M399" s="959" t="s">
        <v>802</v>
      </c>
      <c r="N399" s="995">
        <v>43605</v>
      </c>
      <c r="O399" s="221" t="s">
        <v>64</v>
      </c>
    </row>
    <row r="400" spans="1:15" s="6" customFormat="1" hidden="1" outlineLevel="1" x14ac:dyDescent="0.35">
      <c r="A400" s="511"/>
      <c r="B400" s="212" t="s">
        <v>795</v>
      </c>
      <c r="C400" s="463" t="e">
        <f>IF(KroneårIBeregninger&lt;=SistePrognoseÅr,D400*BNPJustering,D400*Realprisjustering_tilsisteprognoseår*Realprisjustering_ettersisteprognoseår)</f>
        <v>#N/A</v>
      </c>
      <c r="D400" s="766">
        <f>D397*'1.2 Forutsetninger'!$C$196+D398*'1.2 Forutsetninger'!$C$197+D399*'1.2 Forutsetninger'!$C$198</f>
        <v>0.13276761744913518</v>
      </c>
      <c r="E400" s="105"/>
      <c r="F400" s="412"/>
      <c r="G400" s="65" t="s">
        <v>567</v>
      </c>
      <c r="H400" s="221"/>
      <c r="I400" s="59"/>
      <c r="J400" s="275"/>
      <c r="K400" s="989"/>
      <c r="L400" s="65"/>
      <c r="M400" s="65"/>
      <c r="N400" s="989" t="str">
        <f>""</f>
        <v/>
      </c>
      <c r="O400" s="221"/>
    </row>
    <row r="401" spans="1:15" s="6" customFormat="1" hidden="1" outlineLevel="1" x14ac:dyDescent="0.35">
      <c r="A401" s="510"/>
      <c r="B401" s="220" t="s">
        <v>603</v>
      </c>
      <c r="C401" s="41"/>
      <c r="D401" s="20"/>
      <c r="E401" s="31"/>
      <c r="F401" s="988"/>
      <c r="G401" s="31"/>
      <c r="H401" s="245"/>
      <c r="I401" s="59"/>
      <c r="J401" s="288"/>
      <c r="K401" s="993"/>
      <c r="L401" s="31"/>
      <c r="M401" s="31"/>
      <c r="N401" s="31"/>
      <c r="O401" s="245"/>
    </row>
    <row r="402" spans="1:15" hidden="1" outlineLevel="1" x14ac:dyDescent="0.35">
      <c r="A402" s="511"/>
      <c r="B402" s="212" t="s">
        <v>791</v>
      </c>
      <c r="C402" s="463" t="e">
        <f>IF(KroneårIBeregninger&lt;=SistePrognoseÅr,D402*BNPJustering,D402*Realprisjustering_tilsisteprognoseår*Realprisjustering_ettersisteprognoseår)</f>
        <v>#N/A</v>
      </c>
      <c r="D402" s="776">
        <f>E402*F402</f>
        <v>5.2997775875717075</v>
      </c>
      <c r="E402" s="399">
        <v>3.69</v>
      </c>
      <c r="F402" s="752">
        <f>1/LOOKUP($H402,StatistikkOgPrognoseÅr,BNPIndeks)</f>
        <v>1.4362540887728206</v>
      </c>
      <c r="G402" s="65" t="s">
        <v>567</v>
      </c>
      <c r="H402" s="221">
        <v>2019</v>
      </c>
      <c r="J402" s="275" t="s">
        <v>494</v>
      </c>
      <c r="K402" s="65" t="s">
        <v>869</v>
      </c>
      <c r="L402" s="148" t="s">
        <v>908</v>
      </c>
      <c r="M402" s="959"/>
      <c r="N402" s="995">
        <v>43605</v>
      </c>
      <c r="O402" s="221" t="s">
        <v>64</v>
      </c>
    </row>
    <row r="403" spans="1:15" hidden="1" outlineLevel="1" x14ac:dyDescent="0.35">
      <c r="A403" s="511"/>
      <c r="B403" s="212" t="s">
        <v>793</v>
      </c>
      <c r="C403" s="463" t="e">
        <f>IF(KroneårIBeregninger&lt;=SistePrognoseÅr,D403*BNPJustering,D403*Realprisjustering_tilsisteprognoseår*Realprisjustering_ettersisteprognoseår)</f>
        <v>#N/A</v>
      </c>
      <c r="D403" s="776">
        <f>E403*F403</f>
        <v>0.89047753503914873</v>
      </c>
      <c r="E403" s="399">
        <v>0.62</v>
      </c>
      <c r="F403" s="752">
        <f>1/LOOKUP($H403,StatistikkOgPrognoseÅr,BNPIndeks)</f>
        <v>1.4362540887728206</v>
      </c>
      <c r="G403" s="65" t="s">
        <v>567</v>
      </c>
      <c r="H403" s="221">
        <v>2019</v>
      </c>
      <c r="J403" s="275" t="s">
        <v>494</v>
      </c>
      <c r="K403" s="65" t="s">
        <v>869</v>
      </c>
      <c r="L403" s="148" t="s">
        <v>908</v>
      </c>
      <c r="M403" s="959"/>
      <c r="N403" s="995">
        <v>43605</v>
      </c>
      <c r="O403" s="221" t="s">
        <v>64</v>
      </c>
    </row>
    <row r="404" spans="1:15" hidden="1" outlineLevel="1" x14ac:dyDescent="0.35">
      <c r="A404" s="511"/>
      <c r="B404" s="212" t="s">
        <v>794</v>
      </c>
      <c r="C404" s="463" t="e">
        <f>IF(KroneårIBeregninger&lt;=SistePrognoseÅr,D404*BNPJustering,D404*Realprisjustering_tilsisteprognoseår*Realprisjustering_ettersisteprognoseår)</f>
        <v>#N/A</v>
      </c>
      <c r="D404" s="776">
        <f>E404*F404</f>
        <v>0.10053778621409745</v>
      </c>
      <c r="E404" s="399">
        <v>7.0000000000000007E-2</v>
      </c>
      <c r="F404" s="752">
        <f>1/LOOKUP($H404,StatistikkOgPrognoseÅr,BNPIndeks)</f>
        <v>1.4362540887728206</v>
      </c>
      <c r="G404" s="65" t="s">
        <v>567</v>
      </c>
      <c r="H404" s="221">
        <v>2019</v>
      </c>
      <c r="J404" s="275" t="s">
        <v>494</v>
      </c>
      <c r="K404" s="65" t="s">
        <v>869</v>
      </c>
      <c r="L404" s="148" t="s">
        <v>908</v>
      </c>
      <c r="M404" s="959"/>
      <c r="N404" s="995">
        <v>43605</v>
      </c>
      <c r="O404" s="221" t="s">
        <v>64</v>
      </c>
    </row>
    <row r="405" spans="1:15" s="6" customFormat="1" hidden="1" outlineLevel="1" x14ac:dyDescent="0.35">
      <c r="A405" s="511"/>
      <c r="B405" s="212" t="s">
        <v>795</v>
      </c>
      <c r="C405" s="463" t="e">
        <f>IF(KroneårIBeregninger&lt;=SistePrognoseÅr,D405*BNPJustering,D405*Realprisjustering_tilsisteprognoseår*Realprisjustering_ettersisteprognoseår)</f>
        <v>#N/A</v>
      </c>
      <c r="D405" s="766">
        <f>D402*'1.2 Forutsetninger'!$C$200+D403*'1.2 Forutsetninger'!$C$201+D404*'1.2 Forutsetninger'!$C$202</f>
        <v>1.775289845617027</v>
      </c>
      <c r="E405" s="105"/>
      <c r="F405" s="106"/>
      <c r="G405" s="65" t="s">
        <v>567</v>
      </c>
      <c r="H405" s="221"/>
      <c r="I405" s="59"/>
      <c r="J405" s="275"/>
      <c r="K405" s="989"/>
      <c r="L405" s="65"/>
      <c r="M405" s="65"/>
      <c r="N405" s="989" t="str">
        <f>""</f>
        <v/>
      </c>
      <c r="O405" s="221"/>
    </row>
    <row r="406" spans="1:15" s="6" customFormat="1" hidden="1" outlineLevel="1" x14ac:dyDescent="0.35">
      <c r="A406" s="510"/>
      <c r="B406" s="220" t="s">
        <v>875</v>
      </c>
      <c r="C406" s="41"/>
      <c r="D406" s="20"/>
      <c r="E406" s="31"/>
      <c r="F406" s="31"/>
      <c r="G406" s="31"/>
      <c r="H406" s="245"/>
      <c r="I406" s="59"/>
      <c r="J406" s="288"/>
      <c r="K406" s="993"/>
      <c r="L406" s="31"/>
      <c r="M406" s="31"/>
      <c r="N406" s="31"/>
      <c r="O406" s="245"/>
    </row>
    <row r="407" spans="1:15" hidden="1" outlineLevel="1" x14ac:dyDescent="0.35">
      <c r="A407" s="511"/>
      <c r="B407" s="212" t="s">
        <v>791</v>
      </c>
      <c r="C407" s="463" t="e">
        <f>IF(KroneårIBeregninger&lt;=SistePrognoseÅr,D407*BNPJustering,D407*Realprisjustering_tilsisteprognoseår*Realprisjustering_ettersisteprognoseår)</f>
        <v>#N/A</v>
      </c>
      <c r="D407" s="399">
        <v>0</v>
      </c>
      <c r="E407" s="104"/>
      <c r="F407" s="104"/>
      <c r="G407" s="103" t="s">
        <v>549</v>
      </c>
      <c r="H407" s="221">
        <v>2017</v>
      </c>
      <c r="J407" s="275" t="s">
        <v>909</v>
      </c>
      <c r="K407" s="624"/>
      <c r="L407" s="148" t="s">
        <v>910</v>
      </c>
      <c r="M407" s="959"/>
      <c r="N407" s="991">
        <v>42963</v>
      </c>
      <c r="O407" s="221" t="s">
        <v>64</v>
      </c>
    </row>
    <row r="408" spans="1:15" hidden="1" outlineLevel="1" x14ac:dyDescent="0.35">
      <c r="A408" s="511"/>
      <c r="B408" s="212" t="s">
        <v>793</v>
      </c>
      <c r="C408" s="463" t="e">
        <f>IF(KroneårIBeregninger&lt;=SistePrognoseÅr,D408*BNPJustering,D408*Realprisjustering_tilsisteprognoseår*Realprisjustering_ettersisteprognoseår)</f>
        <v>#N/A</v>
      </c>
      <c r="D408" s="399">
        <v>0</v>
      </c>
      <c r="E408" s="104"/>
      <c r="F408" s="104"/>
      <c r="G408" s="103" t="s">
        <v>549</v>
      </c>
      <c r="H408" s="221">
        <v>2017</v>
      </c>
      <c r="J408" s="275" t="s">
        <v>909</v>
      </c>
      <c r="K408" s="624"/>
      <c r="L408" s="148" t="s">
        <v>910</v>
      </c>
      <c r="M408" s="959"/>
      <c r="N408" s="991">
        <v>42963</v>
      </c>
      <c r="O408" s="221" t="s">
        <v>64</v>
      </c>
    </row>
    <row r="409" spans="1:15" hidden="1" outlineLevel="1" x14ac:dyDescent="0.35">
      <c r="A409" s="511"/>
      <c r="B409" s="212" t="s">
        <v>794</v>
      </c>
      <c r="C409" s="463" t="e">
        <f>IF(KroneårIBeregninger&lt;=SistePrognoseÅr,D409*BNPJustering,D409*Realprisjustering_tilsisteprognoseår*Realprisjustering_ettersisteprognoseår)</f>
        <v>#N/A</v>
      </c>
      <c r="D409" s="399">
        <v>0</v>
      </c>
      <c r="E409" s="104"/>
      <c r="F409" s="104"/>
      <c r="G409" s="103" t="s">
        <v>549</v>
      </c>
      <c r="H409" s="221">
        <v>2017</v>
      </c>
      <c r="J409" s="275" t="s">
        <v>909</v>
      </c>
      <c r="K409" s="624"/>
      <c r="L409" s="148" t="s">
        <v>910</v>
      </c>
      <c r="M409" s="959"/>
      <c r="N409" s="991">
        <v>42963</v>
      </c>
      <c r="O409" s="221" t="s">
        <v>64</v>
      </c>
    </row>
    <row r="410" spans="1:15" hidden="1" outlineLevel="1" x14ac:dyDescent="0.35">
      <c r="A410" s="511"/>
      <c r="B410" s="212" t="s">
        <v>795</v>
      </c>
      <c r="C410" s="463" t="e">
        <f>IF(KroneårIBeregninger&lt;=SistePrognoseÅr,D410*BNPJustering,D410*Realprisjustering_tilsisteprognoseår*Realprisjustering_ettersisteprognoseår)</f>
        <v>#N/A</v>
      </c>
      <c r="D410" s="115">
        <v>0</v>
      </c>
      <c r="E410" s="104"/>
      <c r="F410" s="104"/>
      <c r="G410" s="103" t="s">
        <v>549</v>
      </c>
      <c r="H410" s="213"/>
      <c r="J410" s="275"/>
      <c r="K410" s="959"/>
      <c r="L410" s="65"/>
      <c r="M410" s="17"/>
      <c r="N410" s="17"/>
      <c r="O410" s="213"/>
    </row>
    <row r="411" spans="1:15" hidden="1" outlineLevel="1" x14ac:dyDescent="0.35">
      <c r="B411" s="220" t="s">
        <v>604</v>
      </c>
      <c r="C411" s="41"/>
      <c r="D411" s="20"/>
      <c r="E411" s="8"/>
      <c r="F411" s="8"/>
      <c r="G411" s="8"/>
      <c r="H411" s="259"/>
      <c r="J411" s="271"/>
      <c r="K411" s="962"/>
      <c r="L411" s="31"/>
      <c r="M411" s="8"/>
      <c r="N411" s="8"/>
      <c r="O411" s="259"/>
    </row>
    <row r="412" spans="1:15" hidden="1" outlineLevel="1" x14ac:dyDescent="0.35">
      <c r="A412" s="511"/>
      <c r="B412" s="212" t="s">
        <v>791</v>
      </c>
      <c r="C412" s="463" t="e">
        <f>IF(KroneårIBeregninger&lt;=SistePrognoseÅr,D412*BNPJustering,D412*Realprisjustering_tilsisteprognoseår*Realprisjustering_ettersisteprognoseår)</f>
        <v>#N/A</v>
      </c>
      <c r="D412" s="776">
        <f>E412*F412</f>
        <v>743.97808042810425</v>
      </c>
      <c r="E412" s="399">
        <f>'Standardsatser-Forutsetninger'!C115</f>
        <v>809.07657628727065</v>
      </c>
      <c r="F412" s="752">
        <f>1/LOOKUP($H412,StatistikkOgPrognoseÅr,BNPIndeks)</f>
        <v>0.91953975956405321</v>
      </c>
      <c r="G412" s="65" t="str">
        <f>'Standardsatser-Forutsetninger'!D115</f>
        <v>Kr/fartøykm</v>
      </c>
      <c r="H412" s="221">
        <f>'Standardsatser-Forutsetninger'!E115</f>
        <v>2022</v>
      </c>
      <c r="J412" s="275" t="s">
        <v>2466</v>
      </c>
      <c r="K412" s="65" t="s">
        <v>869</v>
      </c>
      <c r="L412" s="65" t="s">
        <v>2521</v>
      </c>
      <c r="M412" s="959" t="s">
        <v>802</v>
      </c>
      <c r="N412" s="991">
        <v>46157</v>
      </c>
      <c r="O412" s="221" t="s">
        <v>808</v>
      </c>
    </row>
    <row r="413" spans="1:15" hidden="1" outlineLevel="1" x14ac:dyDescent="0.35">
      <c r="A413" s="511"/>
      <c r="B413" s="212" t="s">
        <v>793</v>
      </c>
      <c r="C413" s="463" t="e">
        <f>IF(KroneårIBeregninger&lt;=SistePrognoseÅr,D413*BNPJustering,D413*Realprisjustering_tilsisteprognoseår*Realprisjustering_ettersisteprognoseår)</f>
        <v>#N/A</v>
      </c>
      <c r="D413" s="776">
        <f>E413*F413</f>
        <v>210.70834263951662</v>
      </c>
      <c r="E413" s="399">
        <f>'Standardsatser-Forutsetninger'!C116</f>
        <v>229.14543982243012</v>
      </c>
      <c r="F413" s="752">
        <f>1/LOOKUP($H413,StatistikkOgPrognoseÅr,BNPIndeks)</f>
        <v>0.91953975956405321</v>
      </c>
      <c r="G413" s="65" t="str">
        <f>'Standardsatser-Forutsetninger'!D116</f>
        <v>Kr/fartøykm</v>
      </c>
      <c r="H413" s="221">
        <f>'Standardsatser-Forutsetninger'!E116</f>
        <v>2022</v>
      </c>
      <c r="J413" s="275" t="s">
        <v>2466</v>
      </c>
      <c r="K413" s="65" t="s">
        <v>869</v>
      </c>
      <c r="L413" s="65" t="s">
        <v>2521</v>
      </c>
      <c r="M413" s="959" t="s">
        <v>802</v>
      </c>
      <c r="N413" s="991">
        <v>46157</v>
      </c>
      <c r="O413" s="221" t="s">
        <v>808</v>
      </c>
    </row>
    <row r="414" spans="1:15" hidden="1" outlineLevel="1" x14ac:dyDescent="0.35">
      <c r="A414" s="511"/>
      <c r="B414" s="212" t="s">
        <v>794</v>
      </c>
      <c r="C414" s="463" t="e">
        <f>IF(KroneårIBeregninger&lt;=SistePrognoseÅr,D414*BNPJustering,D414*Realprisjustering_tilsisteprognoseår*Realprisjustering_ettersisteprognoseår)</f>
        <v>#N/A</v>
      </c>
      <c r="D414" s="776">
        <f>E414*F414</f>
        <v>92.9835857378323</v>
      </c>
      <c r="E414" s="399">
        <f>'Standardsatser-Forutsetninger'!C117</f>
        <v>101.11970121</v>
      </c>
      <c r="F414" s="752">
        <f>1/LOOKUP($H414,StatistikkOgPrognoseÅr,BNPIndeks)</f>
        <v>0.91953975956405321</v>
      </c>
      <c r="G414" s="65" t="str">
        <f>'Standardsatser-Forutsetninger'!D117</f>
        <v>Kr/fartøykm</v>
      </c>
      <c r="H414" s="221">
        <f>'Standardsatser-Forutsetninger'!E117</f>
        <v>2022</v>
      </c>
      <c r="J414" s="275" t="s">
        <v>2466</v>
      </c>
      <c r="K414" s="65" t="s">
        <v>869</v>
      </c>
      <c r="L414" s="65" t="s">
        <v>2521</v>
      </c>
      <c r="M414" s="959" t="s">
        <v>802</v>
      </c>
      <c r="N414" s="991">
        <v>46157</v>
      </c>
      <c r="O414" s="221" t="s">
        <v>808</v>
      </c>
    </row>
    <row r="415" spans="1:15" hidden="1" outlineLevel="1" x14ac:dyDescent="0.35">
      <c r="B415" s="212" t="s">
        <v>795</v>
      </c>
      <c r="C415" s="463" t="e">
        <f>IF(KroneårIBeregninger&lt;=SistePrognoseÅr,D415*BNPJustering,D415*Realprisjustering_tilsisteprognoseår*Realprisjustering_ettersisteprognoseår)</f>
        <v>#N/A</v>
      </c>
      <c r="D415" s="766">
        <f>D412*'1.2 Forutsetninger'!$C$220+D413*'1.2 Forutsetninger'!$C$221+D414*'1.2 Forutsetninger'!$C$222</f>
        <v>92.9835857378323</v>
      </c>
      <c r="E415" s="105"/>
      <c r="F415" s="106"/>
      <c r="G415" s="65" t="s">
        <v>551</v>
      </c>
      <c r="H415" s="221"/>
      <c r="J415" s="281"/>
      <c r="K415" s="959"/>
      <c r="L415" s="65"/>
      <c r="M415" s="17"/>
      <c r="N415" s="17"/>
      <c r="O415" s="213"/>
    </row>
    <row r="416" spans="1:15" hidden="1" outlineLevel="1" x14ac:dyDescent="0.35">
      <c r="B416" s="220" t="s">
        <v>605</v>
      </c>
      <c r="C416" s="41"/>
      <c r="D416" s="20"/>
      <c r="E416" s="20"/>
      <c r="F416" s="8"/>
      <c r="G416" s="8"/>
      <c r="H416" s="259"/>
      <c r="J416" s="288"/>
      <c r="K416" s="993"/>
      <c r="L416" s="31"/>
      <c r="M416" s="31"/>
      <c r="N416" s="31"/>
      <c r="O416" s="245"/>
    </row>
    <row r="417" spans="1:15" hidden="1" outlineLevel="1" x14ac:dyDescent="0.35">
      <c r="A417" s="511"/>
      <c r="B417" s="212" t="s">
        <v>791</v>
      </c>
      <c r="C417" s="463" t="e">
        <f>IF(KroneårIBeregninger&lt;=SistePrognoseÅr,D417*BNPJustering,D417*Realprisjustering_tilsisteprognoseår*Realprisjustering_ettersisteprognoseår)</f>
        <v>#N/A</v>
      </c>
      <c r="D417" s="1237">
        <f>E417*F417</f>
        <v>2.629883712353192</v>
      </c>
      <c r="E417" s="1238">
        <v>2.86</v>
      </c>
      <c r="F417" s="752">
        <f>1/LOOKUP($H417,StatistikkOgPrognoseÅr,BNPIndeks)</f>
        <v>0.91953975956405321</v>
      </c>
      <c r="G417" s="65" t="s">
        <v>567</v>
      </c>
      <c r="H417" s="221">
        <v>2022</v>
      </c>
      <c r="J417" s="275" t="s">
        <v>2466</v>
      </c>
      <c r="K417" s="65" t="s">
        <v>869</v>
      </c>
      <c r="L417" s="65" t="s">
        <v>2516</v>
      </c>
      <c r="M417" s="624"/>
      <c r="N417" s="995">
        <v>46157</v>
      </c>
      <c r="O417" s="221" t="s">
        <v>808</v>
      </c>
    </row>
    <row r="418" spans="1:15" hidden="1" outlineLevel="1" x14ac:dyDescent="0.35">
      <c r="A418" s="511"/>
      <c r="B418" s="212" t="s">
        <v>793</v>
      </c>
      <c r="C418" s="463" t="e">
        <f>IF(KroneårIBeregninger&lt;=SistePrognoseÅr,D418*BNPJustering,D418*Realprisjustering_tilsisteprognoseår*Realprisjustering_ettersisteprognoseår)</f>
        <v>#N/A</v>
      </c>
      <c r="D418" s="1237">
        <f>E418*F418</f>
        <v>0.36781590382562129</v>
      </c>
      <c r="E418" s="1238">
        <v>0.4</v>
      </c>
      <c r="F418" s="752">
        <f>1/LOOKUP($H418,StatistikkOgPrognoseÅr,BNPIndeks)</f>
        <v>0.91953975956405321</v>
      </c>
      <c r="G418" s="65" t="s">
        <v>567</v>
      </c>
      <c r="H418" s="221">
        <v>2022</v>
      </c>
      <c r="J418" s="275" t="s">
        <v>2466</v>
      </c>
      <c r="K418" s="65" t="s">
        <v>869</v>
      </c>
      <c r="L418" s="65" t="s">
        <v>2519</v>
      </c>
      <c r="M418" s="624"/>
      <c r="N418" s="995">
        <v>46157</v>
      </c>
      <c r="O418" s="221" t="s">
        <v>808</v>
      </c>
    </row>
    <row r="419" spans="1:15" hidden="1" outlineLevel="1" x14ac:dyDescent="0.35">
      <c r="A419" s="511"/>
      <c r="B419" s="212" t="s">
        <v>794</v>
      </c>
      <c r="C419" s="463" t="e">
        <f>IF(KroneårIBeregninger&lt;=SistePrognoseÅr,D419*BNPJustering,D419*Realprisjustering_tilsisteprognoseår*Realprisjustering_ettersisteprognoseår)</f>
        <v>#N/A</v>
      </c>
      <c r="D419" s="1237">
        <f>E419*F419</f>
        <v>3.6781590382562131E-2</v>
      </c>
      <c r="E419" s="1238">
        <v>0.04</v>
      </c>
      <c r="F419" s="752">
        <f>1/LOOKUP($H419,StatistikkOgPrognoseÅr,BNPIndeks)</f>
        <v>0.91953975956405321</v>
      </c>
      <c r="G419" s="65" t="s">
        <v>567</v>
      </c>
      <c r="H419" s="221">
        <v>2022</v>
      </c>
      <c r="J419" s="275" t="s">
        <v>2466</v>
      </c>
      <c r="K419" s="65" t="s">
        <v>869</v>
      </c>
      <c r="L419" s="65" t="s">
        <v>2519</v>
      </c>
      <c r="M419" s="624"/>
      <c r="N419" s="995">
        <v>46157</v>
      </c>
      <c r="O419" s="221" t="s">
        <v>808</v>
      </c>
    </row>
    <row r="420" spans="1:15" hidden="1" outlineLevel="1" x14ac:dyDescent="0.35">
      <c r="B420" s="212" t="s">
        <v>795</v>
      </c>
      <c r="C420" s="463" t="e">
        <f>IF(KroneårIBeregninger&lt;=SistePrognoseÅr,D420*BNPJustering,D420*Realprisjustering_tilsisteprognoseår*Realprisjustering_ettersisteprognoseår)</f>
        <v>#N/A</v>
      </c>
      <c r="D420" s="766">
        <f>D417*'1.2 Forutsetninger'!$C$208+D418*'1.2 Forutsetninger'!$C$209+D419*'1.2 Forutsetninger'!$C$210</f>
        <v>0.41653956900771649</v>
      </c>
      <c r="E420" s="105"/>
      <c r="F420" s="106"/>
      <c r="G420" s="65" t="s">
        <v>567</v>
      </c>
      <c r="H420" s="221"/>
      <c r="J420" s="275"/>
      <c r="K420" s="959"/>
      <c r="L420" s="65"/>
      <c r="M420" s="17"/>
      <c r="N420" s="65"/>
      <c r="O420" s="221"/>
    </row>
    <row r="421" spans="1:15" hidden="1" outlineLevel="1" x14ac:dyDescent="0.35">
      <c r="B421" s="220" t="s">
        <v>1355</v>
      </c>
      <c r="C421" s="41"/>
      <c r="D421" s="20"/>
      <c r="E421" s="41"/>
      <c r="F421" s="31"/>
      <c r="G421" s="31"/>
      <c r="H421" s="245"/>
      <c r="J421" s="279"/>
      <c r="K421" s="8"/>
      <c r="L421" s="31"/>
      <c r="M421" s="8"/>
      <c r="N421" s="31"/>
      <c r="O421" s="245"/>
    </row>
    <row r="422" spans="1:15" hidden="1" outlineLevel="1" x14ac:dyDescent="0.35">
      <c r="B422" s="212" t="s">
        <v>791</v>
      </c>
      <c r="C422" s="463" t="e">
        <f>IF(KroneårIBeregninger&lt;=SistePrognoseÅr,D422*BNPJustering,D422*Realprisjustering_tilsisteprognoseår*Realprisjustering_ettersisteprognoseår)</f>
        <v>#N/A</v>
      </c>
      <c r="D422" s="1237">
        <f>E422*F422</f>
        <v>3.0399984451187598</v>
      </c>
      <c r="E422" s="1238">
        <f>'Standardsatser-Forutsetninger'!C112</f>
        <v>3.306</v>
      </c>
      <c r="F422" s="752">
        <f>1/LOOKUP($H422,StatistikkOgPrognoseÅr,BNPIndeks)</f>
        <v>0.91953975956405321</v>
      </c>
      <c r="G422" s="65" t="s">
        <v>549</v>
      </c>
      <c r="H422" s="221">
        <v>2022</v>
      </c>
      <c r="J422" s="275" t="s">
        <v>2466</v>
      </c>
      <c r="K422" s="65" t="s">
        <v>869</v>
      </c>
      <c r="L422" s="65" t="s">
        <v>2518</v>
      </c>
      <c r="M422" s="959"/>
      <c r="N422" s="995">
        <v>46157</v>
      </c>
      <c r="O422" s="221" t="s">
        <v>808</v>
      </c>
    </row>
    <row r="423" spans="1:15" hidden="1" outlineLevel="1" x14ac:dyDescent="0.35">
      <c r="B423" s="212" t="s">
        <v>793</v>
      </c>
      <c r="C423" s="463" t="e">
        <f>IF(KroneårIBeregninger&lt;=SistePrognoseÅr,D423*BNPJustering,D423*Realprisjustering_tilsisteprognoseår*Realprisjustering_ettersisteprognoseår)</f>
        <v>#N/A</v>
      </c>
      <c r="D423" s="1237">
        <f t="shared" ref="D423:D424" si="97">E423*F423</f>
        <v>0.46528711833941094</v>
      </c>
      <c r="E423" s="1238">
        <f>'Standardsatser-Forutsetninger'!C113</f>
        <v>0.50600000000000001</v>
      </c>
      <c r="F423" s="752">
        <f>1/LOOKUP($H423,StatistikkOgPrognoseÅr,BNPIndeks)</f>
        <v>0.91953975956405321</v>
      </c>
      <c r="G423" s="65" t="s">
        <v>549</v>
      </c>
      <c r="H423" s="221">
        <v>2022</v>
      </c>
      <c r="J423" s="275" t="s">
        <v>2466</v>
      </c>
      <c r="K423" s="65" t="s">
        <v>869</v>
      </c>
      <c r="L423" s="65" t="s">
        <v>2518</v>
      </c>
      <c r="M423" s="959"/>
      <c r="N423" s="995">
        <v>46157</v>
      </c>
      <c r="O423" s="221" t="s">
        <v>808</v>
      </c>
    </row>
    <row r="424" spans="1:15" hidden="1" outlineLevel="1" x14ac:dyDescent="0.35">
      <c r="B424" s="212" t="s">
        <v>794</v>
      </c>
      <c r="C424" s="463" t="e">
        <f>IF(KroneårIBeregninger&lt;=SistePrognoseÅr,D424*BNPJustering,D424*Realprisjustering_tilsisteprognoseår*Realprisjustering_ettersisteprognoseår)</f>
        <v>#N/A</v>
      </c>
      <c r="D424" s="1237">
        <f t="shared" si="97"/>
        <v>4.2298828939946451E-2</v>
      </c>
      <c r="E424" s="1238">
        <f>'Standardsatser-Forutsetninger'!C114</f>
        <v>4.6000000000000006E-2</v>
      </c>
      <c r="F424" s="752">
        <f>1/LOOKUP($H424,StatistikkOgPrognoseÅr,BNPIndeks)</f>
        <v>0.91953975956405321</v>
      </c>
      <c r="G424" s="65" t="s">
        <v>549</v>
      </c>
      <c r="H424" s="221">
        <v>2022</v>
      </c>
      <c r="J424" s="275" t="s">
        <v>2466</v>
      </c>
      <c r="K424" s="65" t="s">
        <v>869</v>
      </c>
      <c r="L424" s="65" t="s">
        <v>2518</v>
      </c>
      <c r="M424" s="959"/>
      <c r="N424" s="995">
        <v>46157</v>
      </c>
      <c r="O424" s="221" t="s">
        <v>808</v>
      </c>
    </row>
    <row r="425" spans="1:15" hidden="1" outlineLevel="1" x14ac:dyDescent="0.35">
      <c r="B425" s="212" t="s">
        <v>795</v>
      </c>
      <c r="C425" s="463" t="e">
        <f>IF(KroneårIBeregninger&lt;=SistePrognoseÅr,D425*BNPJustering,D425*Realprisjustering_tilsisteprognoseår*Realprisjustering_ettersisteprognoseår)</f>
        <v>#N/A</v>
      </c>
      <c r="D425" s="766">
        <f>D422*'1.2 Forutsetninger'!$C$212+D423*'1.2 Forutsetninger'!$C$213+D424*'1.2 Forutsetninger'!$C$214</f>
        <v>0.47861106179431862</v>
      </c>
      <c r="E425" s="105"/>
      <c r="F425" s="106"/>
      <c r="G425" s="65" t="s">
        <v>549</v>
      </c>
      <c r="H425" s="221"/>
      <c r="J425" s="275"/>
      <c r="K425" s="959"/>
      <c r="L425" s="65"/>
      <c r="M425" s="17"/>
      <c r="N425" s="65"/>
      <c r="O425" s="221"/>
    </row>
    <row r="426" spans="1:15" hidden="1" outlineLevel="1" x14ac:dyDescent="0.35">
      <c r="B426" s="220" t="s">
        <v>1356</v>
      </c>
      <c r="C426" s="41"/>
      <c r="D426" s="20"/>
      <c r="E426" s="41"/>
      <c r="F426" s="31"/>
      <c r="G426" s="31"/>
      <c r="H426" s="245"/>
      <c r="J426" s="279"/>
      <c r="K426" s="8"/>
      <c r="L426" s="31"/>
      <c r="M426" s="8"/>
      <c r="N426" s="31"/>
      <c r="O426" s="245"/>
    </row>
    <row r="427" spans="1:15" hidden="1" outlineLevel="1" x14ac:dyDescent="0.35">
      <c r="A427" s="511"/>
      <c r="B427" s="212" t="s">
        <v>791</v>
      </c>
      <c r="C427" s="463" t="e">
        <f>IF(KroneårIBeregninger&lt;=SistePrognoseÅr,D427*BNPJustering,D427*Realprisjustering_tilsisteprognoseår*Realprisjustering_ettersisteprognoseår)</f>
        <v>#N/A</v>
      </c>
      <c r="D427" s="1237">
        <f>E427*F427</f>
        <v>3.5402280743216048</v>
      </c>
      <c r="E427" s="1238">
        <v>3.85</v>
      </c>
      <c r="F427" s="752">
        <f>1/LOOKUP($H427,StatistikkOgPrognoseÅr,BNPIndeks)</f>
        <v>0.91953975956405321</v>
      </c>
      <c r="G427" s="65" t="s">
        <v>567</v>
      </c>
      <c r="H427" s="221">
        <v>2022</v>
      </c>
      <c r="J427" s="275" t="s">
        <v>2466</v>
      </c>
      <c r="K427" s="65" t="s">
        <v>869</v>
      </c>
      <c r="L427" s="65" t="s">
        <v>2517</v>
      </c>
      <c r="M427" s="959" t="s">
        <v>802</v>
      </c>
      <c r="N427" s="995">
        <v>46157</v>
      </c>
      <c r="O427" s="221" t="s">
        <v>808</v>
      </c>
    </row>
    <row r="428" spans="1:15" hidden="1" outlineLevel="1" x14ac:dyDescent="0.35">
      <c r="A428" s="511"/>
      <c r="B428" s="212" t="s">
        <v>793</v>
      </c>
      <c r="C428" s="463" t="e">
        <f>IF(KroneårIBeregninger&lt;=SistePrognoseÅr,D428*BNPJustering,D428*Realprisjustering_tilsisteprognoseår*Realprisjustering_ettersisteprognoseår)</f>
        <v>#N/A</v>
      </c>
      <c r="D428" s="1237">
        <f>E428*F428</f>
        <v>0.57011465092971303</v>
      </c>
      <c r="E428" s="1238">
        <v>0.62</v>
      </c>
      <c r="F428" s="752">
        <f>1/LOOKUP($H428,StatistikkOgPrognoseÅr,BNPIndeks)</f>
        <v>0.91953975956405321</v>
      </c>
      <c r="G428" s="65" t="s">
        <v>567</v>
      </c>
      <c r="H428" s="221">
        <v>2022</v>
      </c>
      <c r="J428" s="275" t="s">
        <v>2466</v>
      </c>
      <c r="K428" s="65" t="s">
        <v>869</v>
      </c>
      <c r="L428" s="65" t="s">
        <v>2517</v>
      </c>
      <c r="M428" s="959" t="s">
        <v>802</v>
      </c>
      <c r="N428" s="995">
        <v>46157</v>
      </c>
      <c r="O428" s="221" t="s">
        <v>808</v>
      </c>
    </row>
    <row r="429" spans="1:15" hidden="1" outlineLevel="1" x14ac:dyDescent="0.35">
      <c r="A429" s="511"/>
      <c r="B429" s="212" t="s">
        <v>794</v>
      </c>
      <c r="C429" s="762" t="e">
        <f>IF(KroneårIBeregninger&lt;=SistePrognoseÅr,D429*BNPJustering,D429*Realprisjustering_tilsisteprognoseår*Realprisjustering_ettersisteprognoseår)</f>
        <v>#N/A</v>
      </c>
      <c r="D429" s="1240">
        <f>E429*F429</f>
        <v>6.436778316948373E-2</v>
      </c>
      <c r="E429" s="1242">
        <v>7.0000000000000007E-2</v>
      </c>
      <c r="F429" s="777">
        <f>1/LOOKUP($H429,StatistikkOgPrognoseÅr,BNPIndeks)</f>
        <v>0.91953975956405321</v>
      </c>
      <c r="G429" s="65" t="s">
        <v>567</v>
      </c>
      <c r="H429" s="221">
        <v>2022</v>
      </c>
      <c r="J429" s="275" t="s">
        <v>2466</v>
      </c>
      <c r="K429" s="65" t="s">
        <v>869</v>
      </c>
      <c r="L429" s="65" t="s">
        <v>2517</v>
      </c>
      <c r="M429" s="959" t="s">
        <v>802</v>
      </c>
      <c r="N429" s="995">
        <v>46157</v>
      </c>
      <c r="O429" s="221" t="s">
        <v>808</v>
      </c>
    </row>
    <row r="430" spans="1:15" ht="15" hidden="1" outlineLevel="1" thickBot="1" x14ac:dyDescent="0.4">
      <c r="B430" s="252" t="s">
        <v>795</v>
      </c>
      <c r="C430" s="1239" t="e">
        <f>IF(KroneårIBeregninger&lt;=SistePrognoseÅr,D430*BNPJustering,D430*Realprisjustering_tilsisteprognoseår*Realprisjustering_ettersisteprognoseår)</f>
        <v>#N/A</v>
      </c>
      <c r="D430" s="1241">
        <f>D427*'1.2 Forutsetninger'!$C$212+D428*'1.2 Forutsetninger'!$C$213+D429*'1.2 Forutsetninger'!$C$214</f>
        <v>0.57222583915320191</v>
      </c>
      <c r="E430" s="1243"/>
      <c r="F430" s="1244"/>
      <c r="G430" s="267" t="s">
        <v>567</v>
      </c>
      <c r="H430" s="268"/>
      <c r="J430" s="289"/>
      <c r="K430" s="1154"/>
      <c r="L430" s="301"/>
      <c r="M430" s="301"/>
      <c r="N430" s="1155"/>
      <c r="O430" s="302"/>
    </row>
    <row r="431" spans="1:15" collapsed="1" x14ac:dyDescent="0.35"/>
  </sheetData>
  <phoneticPr fontId="64" type="noConversion"/>
  <hyperlinks>
    <hyperlink ref="M139" location="'Standardsatser-Forutsetninger'!A1" display="Bakgrunn for sats" xr:uid="{00000000-0004-0000-0600-000000000000}"/>
    <hyperlink ref="M142" location="'Standardsatser-Forutsetninger'!A1" display="Bakgrunn for sats" xr:uid="{00000000-0004-0000-0600-000001000000}"/>
    <hyperlink ref="M157" location="'Standardsatser-Forutsetninger'!A1" display="Bakgrunn for sats" xr:uid="{00000000-0004-0000-0600-000002000000}"/>
    <hyperlink ref="M158" location="'Standardsatser-Forutsetninger'!A1" display="Bakgrunn for sats" xr:uid="{00000000-0004-0000-0600-000003000000}"/>
    <hyperlink ref="M167" location="'Standardsatser-Forutsetninger'!A1" display="Bakgrunn for sats" xr:uid="{00000000-0004-0000-0600-000004000000}"/>
    <hyperlink ref="M168" location="'Standardsatser-Forutsetninger'!A1" display="Bakgrunn for sats" xr:uid="{00000000-0004-0000-0600-000005000000}"/>
    <hyperlink ref="M397" location="'Standardsatser-Forutsetninger'!A1" display="Bakgrunn for sats" xr:uid="{00000000-0004-0000-0600-00000C000000}"/>
    <hyperlink ref="M398" location="'Standardsatser-Forutsetninger'!A1" display="Bakgrunn for sats" xr:uid="{00000000-0004-0000-0600-00000D000000}"/>
    <hyperlink ref="M399" location="'Standardsatser-Forutsetninger'!A1" display="Bakgrunn for sats" xr:uid="{00000000-0004-0000-0600-00000E000000}"/>
    <hyperlink ref="M412" location="'Standardsatser-Forutsetninger'!A1" display="Bakgrunn for sats" xr:uid="{00000000-0004-0000-0600-00000F000000}"/>
    <hyperlink ref="M413" location="'Standardsatser-Forutsetninger'!A1" display="Bakgrunn for sats" xr:uid="{00000000-0004-0000-0600-000010000000}"/>
    <hyperlink ref="M414" location="'Standardsatser-Forutsetninger'!A1" display="Bakgrunn for sats" xr:uid="{00000000-0004-0000-0600-000011000000}"/>
    <hyperlink ref="M146" location="'Standardsatser-Forutsetninger'!A1" display="Bakgrunn for sats" xr:uid="{00000000-0004-0000-0600-000013000000}"/>
    <hyperlink ref="M147" location="'Standardsatser-Forutsetninger'!A1" display="Bakgrunn for sats" xr:uid="{00000000-0004-0000-0600-000014000000}"/>
    <hyperlink ref="M145" location="'Standardsatser-Forutsetninger'!A1" display="Bakgrunn for sats" xr:uid="{00000000-0004-0000-0600-000015000000}"/>
    <hyperlink ref="M148" location="'Standardsatser-Forutsetninger'!A1" display="Bakgrunn for sats" xr:uid="{00000000-0004-0000-0600-000016000000}"/>
    <hyperlink ref="M141" location="'Standardsatser-Forutsetninger'!A1" display="Bakgrunn for sats" xr:uid="{00000000-0004-0000-0600-000018000000}"/>
    <hyperlink ref="M201" location="'Standardsatser-Forutsetninger'!A1" display="Bakgrunn for sats" xr:uid="{00000000-0004-0000-0600-000030000000}"/>
    <hyperlink ref="M202" location="'Standardsatser-Forutsetninger'!A1" display="Bakgrunn for sats" xr:uid="{00000000-0004-0000-0600-000031000000}"/>
    <hyperlink ref="J407:J409" location="JDIR_2018" display="Jernbanedirektoratet (2018)" xr:uid="{00000000-0004-0000-0600-000053000000}"/>
    <hyperlink ref="M144" location="'Standardsatser-Forutsetninger'!A1" display="Bakgrunn for sats" xr:uid="{00000000-0004-0000-0600-000055000000}"/>
    <hyperlink ref="M283" location="'Standardsatser-Forutsetninger'!A1" display="Bakgrunn for sats" xr:uid="{00000000-0004-0000-0600-00005C000000}"/>
    <hyperlink ref="M282" location="'Standardsatser-Forutsetninger'!A1" display="Bakgrunn for sats" xr:uid="{00000000-0004-0000-0600-00005D000000}"/>
    <hyperlink ref="M281" location="'Standardsatser-Forutsetninger'!A1" display="Bakgrunn for sats" xr:uid="{00000000-0004-0000-0600-00005E000000}"/>
    <hyperlink ref="M272" location="'Standardsatser-Forutsetninger'!A1" display="Bakgrunn for sats" xr:uid="{00000000-0004-0000-0600-00005F000000}"/>
    <hyperlink ref="M270" location="'Standardsatser-Forutsetninger'!A1" display="Bakgrunn for sats" xr:uid="{00000000-0004-0000-0600-000060000000}"/>
    <hyperlink ref="M280" location="'Standardsatser-Forutsetninger'!A1" display="Bakgrunn for sats" xr:uid="{00000000-0004-0000-0600-000062000000}"/>
    <hyperlink ref="M269" location="'Standardsatser-Forutsetninger'!A1" display="Bakgrunn for sats" xr:uid="{00000000-0004-0000-0600-000064000000}"/>
    <hyperlink ref="M262" location="'Standardsatser-Forutsetninger'!A1" display="Bakgrunn for sats" xr:uid="{00000000-0004-0000-0600-000067000000}"/>
    <hyperlink ref="J60:J86" location="TØI_51445_2019" display="Arbeidsdokument 51445, Tabell 3" xr:uid="{2BA5E1DC-994F-4C3C-AD7D-B9E21061E656}"/>
    <hyperlink ref="J89:J115" location="TØI_51445_2019" display="Arbeidsdokument 51445, Tabell 3" xr:uid="{2D2CF391-94FD-4149-834D-F8271F8A4E6A}"/>
    <hyperlink ref="M427" location="'Standardsatser-Forutsetninger'!A1" display="Bakgrunn for sats" xr:uid="{A204A528-2C3D-43EE-9B0A-7174861287DA}"/>
    <hyperlink ref="M428" location="'Standardsatser-Forutsetninger'!A1" display="Bakgrunn for sats" xr:uid="{FD02D373-1F6E-40F4-BA4A-6EF4BA9D783D}"/>
    <hyperlink ref="M429" location="'Standardsatser-Forutsetninger'!A1" display="Bakgrunn for sats" xr:uid="{78E91CD8-DFFD-47B5-857D-ABC60A7945DB}"/>
    <hyperlink ref="J119" location="TØI_1704_2019" display="TØI-rapport 1704/2019" xr:uid="{E1FD0C0E-13C8-4823-A65D-D6B7E274F233}"/>
    <hyperlink ref="J120" location="TØI_1704_2019" display="TØI-rapport 1704/2019" xr:uid="{66CE55F8-047E-407F-B13A-4E3B10E5144C}"/>
    <hyperlink ref="J121" location="TØI_1704_2019" display="TØI-rapport 1704/2019" xr:uid="{11D3A803-91C9-4958-8422-3497081657EB}"/>
    <hyperlink ref="J124" location="TØI_1704_2019" display="TØI-rapport 1704/2019" xr:uid="{7AE1A477-B6C7-4217-B41D-40DF9AE2245D}"/>
    <hyperlink ref="J125" location="TØI_1704_2019" display="TØI-rapport 1704/2019" xr:uid="{B522681E-5BC2-4514-9D88-1FF318AEDD32}"/>
    <hyperlink ref="J126" location="TØI_1704_2019" display="TØI-rapport 1704/2019" xr:uid="{6984D655-BD9A-4ABC-B682-7EF56F50F233}"/>
    <hyperlink ref="J160" location="TØI_1704_2019" display="TØI-rapport 1704/2019" xr:uid="{F2CF4875-BBE6-43D2-9F61-5D097CF969F8}"/>
    <hyperlink ref="J161" location="TØI_1704_2019" display="TØI-rapport 1704/2019" xr:uid="{E92A72C1-A447-4877-8B04-80F6CBEA1C20}"/>
    <hyperlink ref="J353" location="TØI_1704_2019" display="TØI-rapport 1704/2019" xr:uid="{72D6E282-DA0A-4C8D-B50E-71AFDDDDAE40}"/>
    <hyperlink ref="J354" location="TØI_1704_2019" display="TØI-rapport 1704/2019" xr:uid="{1270C433-B85C-4AEA-8896-1CA5657D86C8}"/>
    <hyperlink ref="J355" location="TØI_1704_2019" display="TØI-rapport 1704/2019" xr:uid="{8094AE6B-DD35-460C-B408-1F212FA41C33}"/>
    <hyperlink ref="J358" location="TØI_1704_2019" display="TØI-rapport 1704/2019" xr:uid="{B811C9FB-1636-42F5-B023-B6841D177363}"/>
    <hyperlink ref="J359" location="TØI_1704_2019" display="TØI-rapport 1704/2019" xr:uid="{18264AFA-4B77-45D3-8E91-CE3CA3963089}"/>
    <hyperlink ref="J360" location="TØI_1704_2019" display="TØI-rapport 1704/2019" xr:uid="{7763D7E6-FF7A-4678-8064-15B967AFCD93}"/>
    <hyperlink ref="J397" location="TØI_1704_2019" display="TØI-rapport 1704/2019" xr:uid="{DB3A7FBD-2029-4327-A39E-DC9B35731AEC}"/>
    <hyperlink ref="J398" location="TØI_1704_2019" display="TØI-rapport 1704/2019" xr:uid="{8AAC6880-C34B-41A7-BEAD-5108341B9951}"/>
    <hyperlink ref="J399" location="TØI_1704_2019" display="TØI-rapport 1704/2019" xr:uid="{9FB1323F-873D-46DC-9984-556527CAB221}"/>
    <hyperlink ref="J402" location="TØI_1704_2019" display="TØI-rapport 1704/2019" xr:uid="{D13117A0-83DD-448F-AAF6-03C31162869C}"/>
    <hyperlink ref="J403" location="TØI_1704_2019" display="TØI-rapport 1704/2019" xr:uid="{315BC587-7470-413C-AE28-D7FC2B155DF3}"/>
    <hyperlink ref="J404" location="TØI_1704_2019" display="TØI-rapport 1704/2019" xr:uid="{11F083E5-FE9F-4DD8-81AA-0349F022BD90}"/>
    <hyperlink ref="J15" location="JDIR_2019_1" display="Jernbanedirektoratet (2019)" xr:uid="{EF550879-170C-487D-B93C-AA874A187091}"/>
    <hyperlink ref="J16:J17" location="JDIR_2019_1" display="Jernbanedirektoratet (2019)" xr:uid="{7442D005-ABFD-49E4-AA70-D56930BD0E0E}"/>
    <hyperlink ref="J19" location="JDIR_2019_1" display="Jernbanedirektoratet (2019)" xr:uid="{C2CB9158-2D71-4FD9-B020-A592FD132D35}"/>
    <hyperlink ref="J20:J21" location="JDIR_2019_1" display="Jernbanedirektoratet (2019)" xr:uid="{FD9791D8-A4B4-4746-A4DA-BE3B544B3965}"/>
    <hyperlink ref="J294" location="TØI_464_1999" display="TØI-rapport 464/1999, vedlegg A, tabell 8 s.42. Indeksen er basert på tall fra SSB.no" xr:uid="{1FAD6A3C-25C1-4F4D-8365-7264744BCC58}"/>
    <hyperlink ref="J291:J292" location="TØI_1704_2019" display="TØI-rapport 1704/2019" xr:uid="{B8F42BB9-CDC9-4249-AC38-4859BCC518B7}"/>
    <hyperlink ref="J293" location="TØI_1704_2019" display="TØI-rapport 1704/2019" xr:uid="{D9F31410-CCF0-4303-81E3-F6BACEE6744F}"/>
    <hyperlink ref="J25:J58" location="TØI_51445_2019" display="Arbeidsdokument 51445, Tabell 3" xr:uid="{E7485DFD-F7C8-4012-B2AD-D9F6E04FF92C}"/>
    <hyperlink ref="J87" location="TØI_51445_2019" display="Arbeidsdokument 51445, Tabell 3" xr:uid="{62D9B399-7FB3-420D-A220-00E9AA0CE99C}"/>
    <hyperlink ref="J116" location="TØI_51445_2019" display="Arbeidsdokument 51445, Tabell 3" xr:uid="{9E1478AD-3278-4425-A0A5-09EB1EDCEE2C}"/>
    <hyperlink ref="J55:J56" location="TØI_51445_2019" display="Arbeidsdokument 51445, Tabell 3" xr:uid="{9DDB8B36-451A-405D-AF23-624CDB71FCFD}"/>
    <hyperlink ref="M135" location="'Standardsatser-Forutsetninger'!A1" display="Bakgrunn for sats" xr:uid="{1F338957-50FC-427F-8AC8-D6A8F8180BE8}"/>
    <hyperlink ref="J303" location="TØI_2025" display="TØI-rapport 2126/2025" xr:uid="{7BCD0211-A751-445C-AC8C-CEA89F8EEA73}"/>
    <hyperlink ref="J304" location="TØI_2025" display="TØI-rapport 2126/2025" xr:uid="{C227DB5B-0F80-4175-AD55-399E0EC3935E}"/>
    <hyperlink ref="J305" location="TØI_2025" display="TØI-rapport 2126/2025" xr:uid="{C48878E7-8EF6-49AC-B9E9-7E3B5BC9BA04}"/>
    <hyperlink ref="J307" location="TØI_2025" display="TØI-rapport 2126/2025" xr:uid="{FCD04289-2865-4F13-A7CC-0AC8EBA95CA8}"/>
    <hyperlink ref="J309" location="TØI_2025" display="TØI-rapport 2126/2025" xr:uid="{F3F83DC7-546F-4B1F-B8E8-5A91EBBA5F79}"/>
    <hyperlink ref="J308" location="TØI_2025" display="TØI-rapport 2126/2025" xr:uid="{2A916522-2B85-49CC-9AC0-5D5868E0C673}"/>
    <hyperlink ref="J328" location="TØI_2025" display="TØI-rapport 2126/2025" xr:uid="{90B6329F-F5C0-41FD-85F3-6C31887B2551}"/>
    <hyperlink ref="J329" location="TØI_2025" display="TØI-rapport 2126/2025" xr:uid="{26487B00-862C-4F7F-A672-A8C0D614B34B}"/>
    <hyperlink ref="J330" location="TØI_2025" display="TØI-rapport 2126/2025" xr:uid="{AEFF5572-EC32-4335-A7C3-AA37A12ACA6E}"/>
    <hyperlink ref="J332" location="TØI_2025" display="TØI-rapport 2126/2025" xr:uid="{FD2C5007-E691-4D93-93E3-65BB8BB98694}"/>
    <hyperlink ref="J334" location="TØI_2025" display="TØI-rapport 2126/2025" xr:uid="{FC22A328-893F-4EB6-8260-F5E374D78E57}"/>
    <hyperlink ref="J333" location="TØI_2025" display="TØI-rapport 2126/2025" xr:uid="{AB6EA2F8-712B-4C2A-9E11-28C89633DFBF}"/>
    <hyperlink ref="J344" location="TØI_2025" display="TØI-rapport 2126/2025" xr:uid="{1A403C9F-CB6F-4A70-BEC2-98906F0BBEEF}"/>
    <hyperlink ref="J345" location="TØI_2025" display="TØI-rapport 2126/2025" xr:uid="{8AEDBF3A-55A3-49C8-9B03-C5939668657B}"/>
    <hyperlink ref="J346" location="TØI_2025" display="TØI-rapport 2126/2025" xr:uid="{FAA9F38B-7171-4499-95DA-CD0139161C57}"/>
    <hyperlink ref="J348" location="TØI_2025" display="TØI-rapport 2126/2025" xr:uid="{17E627FD-9B98-45FC-97D2-62245BD9BD8E}"/>
    <hyperlink ref="J350" location="TØI_2025" display="TØI-rapport 2126/2025" xr:uid="{8690E5C0-6C7A-4880-BED0-E5604B8EB6F6}"/>
    <hyperlink ref="J349" location="TØI_2025" display="TØI-rapport 2126/2025" xr:uid="{E3E94C8B-004B-4C27-B813-2EE9E89456D8}"/>
    <hyperlink ref="J311" location="TØI_2025" display="TØI-rapport 2126/2025" xr:uid="{CB9B931C-04D2-4946-ABA7-2CFE3CA931DB}"/>
    <hyperlink ref="J312" location="TØI_2025" display="TØI-rapport 2126/2025" xr:uid="{A56EED71-BDA9-4DC4-BDD9-0BFD06DA3612}"/>
    <hyperlink ref="J313" location="TØI_2025" display="TØI-rapport 2126/2025" xr:uid="{B0B60961-4913-44E4-AE37-4D0C8972194C}"/>
    <hyperlink ref="J315" location="TØI_2025" display="TØI-rapport 2126/2025" xr:uid="{59F924EA-6CE8-464B-BD3E-2D2294874ADB}"/>
    <hyperlink ref="J317" location="TØI_2025" display="TØI-rapport 2126/2025" xr:uid="{E6A3A349-4A46-4DBB-865C-4B49F3817407}"/>
    <hyperlink ref="J316" location="TØI_2025" display="TØI-rapport 2126/2025" xr:uid="{3E94B877-78A1-43D2-AF24-A4289DD6B03E}"/>
    <hyperlink ref="J319" location="TØI_2025" display="TØI-rapport 2126/2025" xr:uid="{8935A59A-5DF1-410D-98A2-08FED7501B57}"/>
    <hyperlink ref="J320" location="TØI_2025" display="TØI-rapport 2126/2025" xr:uid="{46EAA1DC-CA9E-42B4-8044-67C12E876E0A}"/>
    <hyperlink ref="J321" location="TØI_2025" display="TØI-rapport 2126/2025" xr:uid="{38D93551-D25D-4A15-9995-7D85B636281A}"/>
    <hyperlink ref="J323" location="TØI_2025" display="TØI-rapport 2126/2025" xr:uid="{8821C0CB-3A73-4F0E-8DA9-ECA05ECA7471}"/>
    <hyperlink ref="J325" location="TØI_2025" display="TØI-rapport 2126/2025" xr:uid="{DAC6C7DA-2738-48CD-B33F-042BE774E230}"/>
    <hyperlink ref="J324" location="TØI_2025" display="TØI-rapport 2126/2025" xr:uid="{CC13C0C3-52EE-4A7D-B5B4-29B51B6470EC}"/>
    <hyperlink ref="J336" location="TØI_2025" display="TØI-rapport 2126/2025" xr:uid="{6920B4F1-7852-4CDF-9EEF-31564962E7E8}"/>
    <hyperlink ref="J337" location="TØI_2025" display="TØI-rapport 2126/2025" xr:uid="{0D7DA000-74B5-479C-8236-E7053D8FA4D7}"/>
    <hyperlink ref="J338" location="TØI_2025" display="TØI-rapport 2126/2025" xr:uid="{EC9A8203-3C9F-4480-98A8-AE436A5CC451}"/>
    <hyperlink ref="J340" location="TØI_2025" display="TØI-rapport 2126/2025" xr:uid="{A38A2567-0DE0-4967-B951-C608D59D4E88}"/>
    <hyperlink ref="J342" location="TØI_2025" display="TØI-rapport 2126/2025" xr:uid="{0C711F0D-AE35-474B-96BB-978D9D25AC84}"/>
    <hyperlink ref="J341" location="TØI_2025" display="TØI-rapport 2126/2025" xr:uid="{C5D4180B-6400-49B2-BA7D-47175EBD1224}"/>
    <hyperlink ref="J379" location="TØI_2025" display="TØI-rapport 2126/2025" xr:uid="{7F98DF70-DB26-4A6F-B22B-7D66A6243C59}"/>
    <hyperlink ref="J380" location="TØI_2025" display="TØI-rapport 2126/2025" xr:uid="{A8EA6AF9-2A36-4F72-A298-D28070EF9CB9}"/>
    <hyperlink ref="J381" location="TØI_2025" display="TØI-rapport 2126/2025" xr:uid="{D30EB3D8-7C0F-4E8D-AB3C-2A8F4CE6B91F}"/>
    <hyperlink ref="J383" location="TØI_2025" display="TØI-rapport 2126/2025" xr:uid="{8AE9AAE4-F1BF-46C8-A26B-25CC6EEA76FA}"/>
    <hyperlink ref="J385" location="TØI_2025" display="TØI-rapport 2126/2025" xr:uid="{4815A62E-C500-46BF-9430-961208CAB3F7}"/>
    <hyperlink ref="J384" location="TØI_2025" display="TØI-rapport 2126/2025" xr:uid="{AFAD07B6-7ED8-4DFC-A7CA-CB6B8AD7F984}"/>
    <hyperlink ref="J392" location="TØI_2025" display="TØI-rapport 2126/2025" xr:uid="{05223AB0-02D8-4E08-B9DB-9C9D3851C75E}"/>
    <hyperlink ref="J393" location="TØI_2025" display="TØI-rapport 2126/2025" xr:uid="{482CF1AF-A766-4F20-9A6C-85E990A76144}"/>
    <hyperlink ref="J394" location="TØI_2025" display="TØI-rapport 2126/2025" xr:uid="{8B52A19A-737D-4534-B5FB-4A6886DC09BF}"/>
    <hyperlink ref="J388" location="TØI_2025" display="TØI-rapport 2126/2025" xr:uid="{6C9FE4DE-E0BD-47D1-A7B3-82069CA451EE}"/>
    <hyperlink ref="J389" location="TØI_2025" display="TØI-rapport 2126/2025" xr:uid="{C55854FD-4F02-49C1-9F6E-C9A5C7AFC474}"/>
    <hyperlink ref="J390" location="TØI_2025" display="TØI-rapport 2126/2025" xr:uid="{E5AF5119-653E-413B-B41B-5FF71D7904BB}"/>
    <hyperlink ref="J286" location="TØI_2025" display="TØI-rapport 2126/2025" xr:uid="{9D49866B-EC6F-4A07-9682-B585DE0083E2}"/>
    <hyperlink ref="J287" location="TØI_2025" display="TØI-rapport 2126/2025" xr:uid="{617C9B9E-F58C-464E-ABB8-340F653E5115}"/>
    <hyperlink ref="J288" location="TØI_2025" display="TØI-rapport 2126/2025" xr:uid="{F88F10E6-3A7C-4322-A022-FC401E0CBC45}"/>
    <hyperlink ref="J290" location="TØI_2025" display="TØI-rapport 2126/2025" xr:uid="{64705725-0ED4-4B0E-861D-0A8EF0BD3B9C}"/>
    <hyperlink ref="J291" location="TØI_2025" display="TØI-rapport 2126/2025" xr:uid="{A99E33B0-22D4-4C93-9BF9-EAD6E9B13EC5}"/>
    <hyperlink ref="J157" location="TØI_2025" display="TØI-rapport 2126/2025" xr:uid="{67FB15CE-EF46-4AB0-9413-BC778E21E91B}"/>
    <hyperlink ref="J158" location="TØI_2025" display="TØI-rapport 2126/2025" xr:uid="{A4DC5ED4-55C3-4635-9566-49C71B0710A0}"/>
    <hyperlink ref="J300" location="TØI_2025" display="TØI-rapport 2126/2025" xr:uid="{61080550-B7FA-4C8D-9DA5-290A3E795E23}"/>
    <hyperlink ref="M205" location="'Standardsatser-Forutsetninger'!A1" display="'Standardsatser-Forutsetninger'!A1" xr:uid="{E165551A-21D6-4B13-A0A7-B11311782C87}"/>
    <hyperlink ref="J363" location="TØI_2023" display="TØI-rapport 1953/2023" xr:uid="{7C5478FE-2E36-4C2D-BB7A-49FCBBC866E0}"/>
    <hyperlink ref="J364" location="TØI_2023" display="TØI-rapport 1953/2023" xr:uid="{79CF75BE-4B24-4BC7-B0D0-BE0FB3E0A7E5}"/>
    <hyperlink ref="J365" location="TØI_2023" display="TØI-rapport 1953/2023" xr:uid="{FD2D7690-82F9-4639-94A9-3ABED8513A3B}"/>
    <hyperlink ref="J368" location="TØI_2023" display="TØI-rapport 1953/2023" xr:uid="{78623497-8C8E-47AE-8709-0D8464F3D38C}"/>
    <hyperlink ref="J369" location="TØI_2023" display="TØI-rapport 1953/2023" xr:uid="{1E5A293D-A664-45C2-A019-011145B048A2}"/>
    <hyperlink ref="J370" location="TØI_2023" display="TØI-rapport 1953/2023" xr:uid="{41E9AA83-6A96-4EB1-AD1F-47C64066B201}"/>
    <hyperlink ref="J295" location="TØI_2023" display="TØI-rapport 1953/2023" xr:uid="{D975F4E9-3FFA-4C0D-870B-2898B499AC79}"/>
    <hyperlink ref="J296" location="TØI_2023" display="TØI-rapport 1953/2023" xr:uid="{102E42F9-2E5E-4733-8A99-E8D854765A10}"/>
    <hyperlink ref="J298" location="TØI_2023" display="TØI-rapport 1953/2023" xr:uid="{32570DD0-CF78-41A8-AE8B-8EAFAA5C0698}"/>
    <hyperlink ref="J162" location="TØI_2023" display="TØI-rapport 1953/2023" xr:uid="{DC4BE622-251E-4270-A577-5250A1A816A2}"/>
    <hyperlink ref="J297" location="TØI_2023" display="TØI-rapport 1953/2023" xr:uid="{8093BDF9-ECCB-4598-AB04-0C6A23A63AA8}"/>
    <hyperlink ref="J163" location="TØI_2023" display="TØI-rapport 1953/2023" xr:uid="{7FD4623B-B70C-4ABD-A275-DE99B8816F7A}"/>
    <hyperlink ref="J427" location="TØI_2023" display="TØI-rapport 1953/2023" xr:uid="{37FADF96-2BAD-47A4-9C9B-5CF33BF7E517}"/>
    <hyperlink ref="J428" location="TØI_2023" display="TØI-rapport 1953/2023" xr:uid="{500580DD-ED62-4EFD-A6B3-349AACF79F3A}"/>
    <hyperlink ref="J429" location="TØI_2023" display="TØI-rapport 1953/2023" xr:uid="{355A0D50-4F76-4439-8953-75AE27919B3E}"/>
    <hyperlink ref="J412" location="TØI_2023" display="TØI-rapport 1953/2023" xr:uid="{5C4EEE5D-D361-4F58-981C-478AB13EE192}"/>
    <hyperlink ref="J413" location="TØI_2023" display="TØI-rapport 1953/2023" xr:uid="{F8844B25-9907-479A-8AA4-DF6A22831659}"/>
    <hyperlink ref="J414" location="TØI_2023" display="TØI-rapport 1953/2023" xr:uid="{15392B2A-72F6-4A69-B51A-350D8B76F97B}"/>
    <hyperlink ref="J417" location="TØI_2023" display="TØI-rapport 1953/2023" xr:uid="{E6D27FAA-EA35-495D-9D6A-B892337CE3A5}"/>
    <hyperlink ref="J418" location="TØI_2023" display="TØI-rapport 1953/2023" xr:uid="{61E8328C-011C-4ECB-93B7-B03E3D201EFD}"/>
    <hyperlink ref="J419" location="TØI_2023" display="TØI-rapport 1953/2023" xr:uid="{F89A4829-380C-49BD-B528-4049A06A8FCC}"/>
    <hyperlink ref="J422" location="TØI_2023" display="TØI-rapport 1953/2023" xr:uid="{B1433815-0FC5-47A0-8372-7DA4D63D3F60}"/>
    <hyperlink ref="J423" location="TØI_2023" display="TØI-rapport 1953/2023" xr:uid="{89CA4080-C27A-43D8-BA24-7ED358268C31}"/>
    <hyperlink ref="J424" location="TØI_2023" display="TØI-rapport 1953/2023" xr:uid="{BCBD6D6F-A28C-432D-A2DC-32B9AE56F4D2}"/>
    <hyperlink ref="J373" location="TØI_2023" display="TØI-rapport 1953/2023" xr:uid="{39D2EE67-2101-41DB-9649-923B4FD13F5B}"/>
    <hyperlink ref="J374" location="TØI_2023" display="TØI-rapport 1953/2023" xr:uid="{42289B55-E8F6-44E1-9128-8D12E5B23D7F}"/>
    <hyperlink ref="J375" location="TØI_2023" display="TØI-rapport 1953/2023" xr:uid="{466E302B-C9B2-4702-A94B-050225023416}"/>
    <hyperlink ref="M194" location="'Standardsatser-Forutsetninger'!A1" display="Bakgrunn for sats" xr:uid="{00000000-0004-0000-0600-00002A000000}"/>
    <hyperlink ref="J164" location="TØI_2023" display="TØI-rapport 1953/2023" xr:uid="{13377E88-51AA-4702-AEDB-36F7715C282C}"/>
    <hyperlink ref="J167" location="Utdanning_Lønnlokomotivførere" display="Utdanning (2026)" xr:uid="{93F0B188-0327-4A5D-936A-E5E31B608E28}"/>
    <hyperlink ref="J168" location="Utdanning_Lønnkonduktører" display="Utdanning (2026)" xr:uid="{9BD5494C-6356-4F3F-B809-B7A1605D9E26}"/>
    <hyperlink ref="M197" location="'Standardsatser-Forutsetninger'!A1" display="Bakgrunn for sats" xr:uid="{E2DB614A-EBA3-44E1-AEDD-2BBF39820073}"/>
    <hyperlink ref="M198" location="'Standardsatser-Forutsetninger'!A1" display="Bakgrunn for sats" xr:uid="{033CFEB7-D68C-4D23-8E81-06334CF21683}"/>
    <hyperlink ref="M200" location="'Standardsatser-Forutsetninger'!A1" display="Bakgrunn for sats" xr:uid="{59F20347-4A1C-4456-8F36-239C3D92CA1A}"/>
    <hyperlink ref="M203" location="'Standardsatser-Forutsetninger'!A1" display="Bakgrunn for sats" xr:uid="{44B0F399-7819-43F1-A4BF-65FFC795664A}"/>
    <hyperlink ref="M204" location="'Standardsatser-Forutsetninger'!A1" display="Bakgrunn for sats" xr:uid="{AC6102BA-FFCA-48F9-BF0F-A812ABF95842}"/>
    <hyperlink ref="M213" location="'Standardsatser-Forutsetninger'!A1" display="Bakgrunn for sats" xr:uid="{719DF883-8117-4828-A47B-BC6EA89ACBA6}"/>
    <hyperlink ref="M214" location="'Standardsatser-Forutsetninger'!A1" display="Bakgrunn for sats" xr:uid="{3434CE31-B6D9-4320-8E4C-340A6EE33EC9}"/>
    <hyperlink ref="M295" location="'Standardsatser-Forutsetninger'!A1" display="Bakgrunn for sats" xr:uid="{FB323FC4-5DF3-445D-A4EB-8E3C31A54F58}"/>
    <hyperlink ref="M296" location="'Standardsatser-Forutsetninger'!A1" display="Bakgrunn for sats" xr:uid="{21F90899-C97B-44B8-B77B-D7257FF3C538}"/>
    <hyperlink ref="M297" location="'Standardsatser-Forutsetninger'!A1" display="Bakgrunn for sats" xr:uid="{9CF411A8-105C-42F6-B491-971AFF488F2A}"/>
    <hyperlink ref="M298" location="'Standardsatser-Forutsetninger'!A1" display="Bakgrunn for sats" xr:uid="{09E36C09-ED23-4393-97D7-1D010D8E8C59}"/>
    <hyperlink ref="M290" location="'Standardsatser-Forutsetninger'!A1" display="Bakgrunn for sats" xr:uid="{B8211DF0-E06E-4EB1-90C8-9C1DDD8318F5}"/>
    <hyperlink ref="M291" location="'Standardsatser-Forutsetninger'!A1" display="Bakgrunn for sats" xr:uid="{A431139F-F121-4B16-9915-20921294D077}"/>
    <hyperlink ref="M292" location="'Standardsatser-Forutsetninger'!A1" display="Bakgrunn for sats" xr:uid="{8ABF7F4B-DC76-4955-936C-4D448841A841}"/>
    <hyperlink ref="M293" location="'Standardsatser-Forutsetninger'!A1" display="Bakgrunn for sats" xr:uid="{56A5C020-61BC-4C70-82A8-6AEC6D68DDF7}"/>
    <hyperlink ref="J129" location="TØI_2023" display="TØI-rapport 1953/2023" xr:uid="{FA118F6C-CB93-473D-922E-01BD39BECBB7}"/>
    <hyperlink ref="J130" location="TØI_2023" display="TØI-rapport 1953/2023" xr:uid="{ED1C2B6B-8A27-431F-80D0-B675C29EE750}"/>
    <hyperlink ref="J131" location="TØI_2023" display="TØI-rapport 1953/2023" xr:uid="{5502C8E0-35EA-401E-A4C7-6F78111D1DF1}"/>
    <hyperlink ref="J138" r:id="rId1" xr:uid="{D5885EB0-3A4D-46BA-BA8F-C4BC9D89CB10}"/>
    <hyperlink ref="J139" r:id="rId2" xr:uid="{B24AB275-57D3-4FA5-BD38-51ED33BF4FF4}"/>
    <hyperlink ref="J141" r:id="rId3" xr:uid="{ED723D7D-032A-48BA-85B6-CF2BEFD4E933}"/>
    <hyperlink ref="J142" r:id="rId4" xr:uid="{7DD0692F-4284-4B12-8E8E-669B2E66DD80}"/>
    <hyperlink ref="J144" r:id="rId5" xr:uid="{CC1EE63D-3130-4A32-A33E-8F7655343E1F}"/>
    <hyperlink ref="J145" r:id="rId6" xr:uid="{3474C558-77D6-4E29-AFC5-190C172EB7A3}"/>
    <hyperlink ref="J146" r:id="rId7" xr:uid="{485F3C48-0479-4C6E-8D99-A40E98396593}"/>
    <hyperlink ref="J147" r:id="rId8" xr:uid="{8FD61FD3-BC86-4456-866B-F9AF394C072F}"/>
    <hyperlink ref="J148" r:id="rId9" xr:uid="{56F89AE5-0115-4C05-8753-AF8B95F98BEA}"/>
    <hyperlink ref="M199" location="'Standardsatser-Forutsetninger'!A1" display="Bakgrunn for sats" xr:uid="{D81F0F2B-94FF-4F27-98A8-88980414BEB7}"/>
    <hyperlink ref="M206" location="'Standardsatser-Forutsetninger'!A1" display="Bakgrunn for sats" xr:uid="{E7ACE409-C61D-4278-97C5-68CCD0CA1F44}"/>
    <hyperlink ref="M207" location="'Standardsatser-Forutsetninger'!A1" display="Bakgrunn for sats" xr:uid="{01A0110F-C7E4-47E1-9676-82CE0C29A7FD}"/>
    <hyperlink ref="M274" location="'Standardsatser-Forutsetninger'!A1" display="Bakgrunn for sats" xr:uid="{9F94CF16-AAE5-4831-BA9C-CB3F37B04B28}"/>
    <hyperlink ref="M208" location="'Standardsatser-Forutsetninger'!A1" display="Bakgrunn for sats" xr:uid="{1878D369-265E-4C22-87E3-801029C30C03}"/>
    <hyperlink ref="M209" location="'Standardsatser-Forutsetninger'!A1" display="Bakgrunn for sats" xr:uid="{EC756D50-C0BC-4602-BC33-6D9D3FAFAF33}"/>
    <hyperlink ref="M210" location="'Standardsatser-Forutsetninger'!A1" display="Bakgrunn for sats" xr:uid="{FA98FD02-7F22-4900-BF76-372F3941CF4F}"/>
    <hyperlink ref="M211" location="'Standardsatser-Forutsetninger'!A1" display="Bakgrunn for sats" xr:uid="{8CB0B941-2A9F-4F3B-9547-DFA7D34AB682}"/>
    <hyperlink ref="M212" location="'Standardsatser-Forutsetninger'!A1" display="Bakgrunn for sats" xr:uid="{4C4F9B15-92A1-4CD7-BC94-8905AE2679A3}"/>
    <hyperlink ref="M276" location="'Standardsatser-Forutsetninger'!A1" display="Bakgrunn for sats" xr:uid="{DC987056-010F-40CF-B078-67EC14C70BD5}"/>
    <hyperlink ref="M278" location="'Standardsatser-Forutsetninger'!A1" display="Bakgrunn for sats" xr:uid="{8216E5B5-A04D-4E19-A58F-B437F03FA335}"/>
    <hyperlink ref="M195" location="'Standardsatser-Forutsetninger'!A1" display="Bakgrunn for sats" xr:uid="{FDFDBF7D-B5A0-4E14-9B5C-318477538CE7}"/>
    <hyperlink ref="M196" location="'Standardsatser-Forutsetninger'!A1" display="Bakgrunn for sats" xr:uid="{D91FA0E0-717C-4912-AD4F-90D9C7C3CA6A}"/>
    <hyperlink ref="J171" location="JDIR_2026_1" display="Jernbanedirektoratet, 2026" xr:uid="{223AE53C-B8C9-46A5-9F0E-9CB11EF40764}"/>
    <hyperlink ref="J172" location="JDIR_2026_1" display="Jernbanedirektoratet, 2026" xr:uid="{1280AAD1-849B-4983-8FE2-C7CCAC4C017E}"/>
    <hyperlink ref="J173" location="JDIR_2026_1" display="Jernbanedirektoratet, 2026" xr:uid="{D03A91E2-51EE-4F99-B2EB-A016A481C3E6}"/>
    <hyperlink ref="J174" location="JDIR_2026_1" display="Jernbanedirektoratet, 2026" xr:uid="{ECE32DED-1EE8-4C83-B996-0ACD7F700E21}"/>
    <hyperlink ref="J177" location="JDIR_2026_1" display="Jernbanedirektoratet, 2026" xr:uid="{57FF7260-6146-4244-BD48-39696D4F4569}"/>
    <hyperlink ref="J180" location="JDIR_2026_1" display="Jernbanedirektoratet, 2026" xr:uid="{644981D3-69B2-4315-BCBA-86AE7382B0C4}"/>
    <hyperlink ref="J183" location="JDIR_2026_1" display="Jernbanedirektoratet, 2026" xr:uid="{82D0EC99-3B24-4772-89A1-DD795A046593}"/>
    <hyperlink ref="J186" location="JDIR_2026_1" display="Jernbanedirektoratet, 2026" xr:uid="{CD045E6A-D7BF-4BC1-BE81-65223348AB84}"/>
    <hyperlink ref="J189" location="JDIR_2026_1" display="Jernbanedirektoratet, 2026" xr:uid="{29905C7B-FC61-4C67-801A-203ABB48A597}"/>
    <hyperlink ref="J192" location="JDIR_2026_1" display="Jernbanedirektoratet, 2026" xr:uid="{C861286A-9E9D-47DA-B33B-A64075868ADC}"/>
    <hyperlink ref="J175" location="JDIR_2026_1" display="Jernbanedirektoratet, 2026" xr:uid="{D4E087AF-43F7-4EB2-BFA2-130E25FBD199}"/>
    <hyperlink ref="J178" location="JDIR_2026_1" display="Jernbanedirektoratet, 2026" xr:uid="{4D78EF22-B14F-4473-9E1D-BEA43AD5E36B}"/>
    <hyperlink ref="J181" location="JDIR_2026_1" display="Jernbanedirektoratet, 2026" xr:uid="{0E177BA7-C664-4D4F-84A4-3713A41F2C4A}"/>
    <hyperlink ref="J184" location="JDIR_2026_1" display="Jernbanedirektoratet, 2026" xr:uid="{48340625-1FB3-4832-BA9E-A00B62B0FC3D}"/>
    <hyperlink ref="J187" location="JDIR_2026_1" display="Jernbanedirektoratet, 2026" xr:uid="{4F6E311C-4475-42F6-9A7B-70B9F8D88C4B}"/>
    <hyperlink ref="J190" location="JDIR_2026_1" display="Jernbanedirektoratet, 2026" xr:uid="{2A5DCC9C-9A24-49C5-BD73-2D1A5CD1B908}"/>
    <hyperlink ref="J176" location="JDIR_2026_1" display="Jernbanedirektoratet, 2026" xr:uid="{1F524719-E74A-4241-8D26-20E964CBFA11}"/>
    <hyperlink ref="J179" location="JDIR_2026_1" display="Jernbanedirektoratet, 2026" xr:uid="{3A985A37-6946-43D9-8A18-8958008D5869}"/>
    <hyperlink ref="J182" location="JDIR_2026_1" display="Jernbanedirektoratet, 2026" xr:uid="{019BF01F-F0EE-4308-8C98-7D18EDA0207A}"/>
    <hyperlink ref="J185" location="JDIR_2026_1" display="Jernbanedirektoratet, 2026" xr:uid="{C0F5F92A-E755-4DDF-BEE7-408D595A2502}"/>
    <hyperlink ref="J188" location="JDIR_2026_1" display="Jernbanedirektoratet, 2026" xr:uid="{90615539-A366-4835-9910-40A395988693}"/>
    <hyperlink ref="J191" location="JDIR_2026_1" display="Jernbanedirektoratet, 2026" xr:uid="{EA8BF99A-B4A9-425D-922A-182DC75AA450}"/>
    <hyperlink ref="J194" location="JDIR_2026_1" display="Jernbanedirektoratet, 2026" xr:uid="{144CED40-854F-4DC2-8C03-734561DFE284}"/>
    <hyperlink ref="J195" location="JDIR_2026_1" display="Jernbanedirektoratet, 2026" xr:uid="{9B36776A-E7FE-4FE8-9714-F7813F2E44A7}"/>
    <hyperlink ref="J196" location="JDIR_2026_1" display="Jernbanedirektoratet, 2026" xr:uid="{3DD0ABE0-0E6A-402A-BC2C-1DEDCE21DF3C}"/>
    <hyperlink ref="J197" location="JDIR_2026_1" display="Jernbanedirektoratet, 2026" xr:uid="{F007778D-85D0-4CA7-9B1E-CDDA7FFFBA0C}"/>
    <hyperlink ref="J200" location="JDIR_2026_1" display="Jernbanedirektoratet, 2026" xr:uid="{F48349B1-A375-4BED-A8AB-CF7AFE349F02}"/>
    <hyperlink ref="J203" location="JDIR_2026_1" display="Jernbanedirektoratet, 2026" xr:uid="{75E8266E-62F9-4289-800D-C2373E0D4C25}"/>
    <hyperlink ref="J206" location="JDIR_2026_1" display="Jernbanedirektoratet, 2026" xr:uid="{1164453A-74E4-4CC1-92ED-BB928B2D7E67}"/>
    <hyperlink ref="J209" location="JDIR_2026_1" display="Jernbanedirektoratet, 2026" xr:uid="{755069B3-2FEA-4B83-976F-75270393FB0E}"/>
    <hyperlink ref="J212" location="JDIR_2026_1" display="Jernbanedirektoratet, 2026" xr:uid="{240BAC59-BCA0-4077-B058-A8074DDB14A6}"/>
    <hyperlink ref="J198" location="JDIR_2026_1" display="Jernbanedirektoratet, 2026" xr:uid="{5CB5FAF3-3E7C-4E0B-8AA4-A2F8C1A545D9}"/>
    <hyperlink ref="J201" location="JDIR_2026_1" display="Jernbanedirektoratet, 2026" xr:uid="{ADAD3DC8-6D3E-4652-97DE-5E1C6229DF22}"/>
    <hyperlink ref="J204" location="JDIR_2026_1" display="Jernbanedirektoratet, 2026" xr:uid="{891D6E88-1580-4DDD-AB22-D4F2C52F07EB}"/>
    <hyperlink ref="J207" location="JDIR_2026_1" display="Jernbanedirektoratet, 2026" xr:uid="{136F8B2D-6D47-441A-B963-952BE956043D}"/>
    <hyperlink ref="J210" location="JDIR_2026_1" display="Jernbanedirektoratet, 2026" xr:uid="{8F437AE2-F003-45D6-81D0-08308A706BA5}"/>
    <hyperlink ref="J213" location="JDIR_2026_1" display="Jernbanedirektoratet, 2026" xr:uid="{429597B0-358C-44C3-8D54-77795A6EE096}"/>
    <hyperlink ref="J199" location="JDIR_2026_1" display="Jernbanedirektoratet, 2026" xr:uid="{C1D77E82-CB5D-4134-8F16-0FEE0B25C18A}"/>
    <hyperlink ref="J202" location="JDIR_2026_1" display="Jernbanedirektoratet, 2026" xr:uid="{4C11BACB-7DAA-4B10-9130-EA66A56FEB5B}"/>
    <hyperlink ref="J205" location="JDIR_2026_1" display="Jernbanedirektoratet, 2026" xr:uid="{E084D36F-C3C3-4B5E-A354-C2AD4B745C99}"/>
    <hyperlink ref="J208" location="JDIR_2026_1" display="Jernbanedirektoratet, 2026" xr:uid="{3BDE5A07-3C71-4944-B0CC-F4BBEDBCB3C4}"/>
    <hyperlink ref="J211" location="JDIR_2026_1" display="Jernbanedirektoratet, 2026" xr:uid="{192AE5C8-524F-43B5-B7A7-903FD8F9D4DB}"/>
    <hyperlink ref="J214" location="JDIR_2026_1" display="Jernbanedirektoratet, 2026" xr:uid="{B84A2C37-D29E-4562-BFA6-FD13F429381B}"/>
    <hyperlink ref="J216" location="JDIR_2026_1" display="Jernbanedirektoratet, 2026" xr:uid="{E35AF027-369F-48C9-B32D-8B782B2A60CF}"/>
    <hyperlink ref="J217" location="JDIR_2026_1" display="Jernbanedirektoratet, 2026" xr:uid="{72F8702A-91DF-4B13-B34A-C5AF4B22454B}"/>
    <hyperlink ref="J218" location="JDIR_2026_1" display="Jernbanedirektoratet, 2026" xr:uid="{55A83A8A-F361-47D3-96B8-0132B5D2BA64}"/>
    <hyperlink ref="J219" location="JDIR_2026_1" display="Jernbanedirektoratet, 2026" xr:uid="{4419AA66-BEE4-4CFB-B252-340143C6B4BA}"/>
    <hyperlink ref="J222" location="JDIR_2026_1" display="Jernbanedirektoratet, 2026" xr:uid="{D9171879-3873-42C8-8450-73641B1F2E0A}"/>
    <hyperlink ref="J225" location="JDIR_2026_1" display="Jernbanedirektoratet, 2026" xr:uid="{DEFEB7F5-0B39-4EB6-8484-3F7B1648A23D}"/>
    <hyperlink ref="J228" location="JDIR_2026_1" display="Jernbanedirektoratet, 2026" xr:uid="{0FEEB246-2435-4AB1-8705-178375526CB0}"/>
    <hyperlink ref="J231" location="JDIR_2026_1" display="Jernbanedirektoratet, 2026" xr:uid="{29C27FEA-4A96-4AFB-BDA3-88DB36C48F95}"/>
    <hyperlink ref="J234" location="JDIR_2026_1" display="Jernbanedirektoratet, 2026" xr:uid="{6B29C634-DF4A-4F79-9388-1B724027B104}"/>
    <hyperlink ref="J220" location="JDIR_2026_1" display="Jernbanedirektoratet, 2026" xr:uid="{5B800C7A-09BA-421A-88A8-FFD098AD1FD7}"/>
    <hyperlink ref="J223" location="JDIR_2026_1" display="Jernbanedirektoratet, 2026" xr:uid="{D2D95328-6CC7-40A9-BC56-DE30F5C222AB}"/>
    <hyperlink ref="J226" location="JDIR_2026_1" display="Jernbanedirektoratet, 2026" xr:uid="{B3BF4CB1-EB74-442D-9A6B-8915ED8F4289}"/>
    <hyperlink ref="J229" location="JDIR_2026_1" display="Jernbanedirektoratet, 2026" xr:uid="{84984CCF-DE58-4A96-B828-2A744F8EDDA0}"/>
    <hyperlink ref="J232" location="JDIR_2026_1" display="Jernbanedirektoratet, 2026" xr:uid="{C4D704FB-8A39-4DF3-9C64-B122FBDB00B7}"/>
    <hyperlink ref="J235" location="JDIR_2026_1" display="Jernbanedirektoratet, 2026" xr:uid="{B84E94CF-395A-4179-B85F-A62CBFCA074B}"/>
    <hyperlink ref="J221" location="JDIR_2026_1" display="Jernbanedirektoratet, 2026" xr:uid="{B80D7E07-2238-46EF-A044-3D90CEB0A26F}"/>
    <hyperlink ref="J224" location="JDIR_2026_1" display="Jernbanedirektoratet, 2026" xr:uid="{26F5E839-43EE-476F-BFF4-4F497310DE50}"/>
    <hyperlink ref="J227" location="JDIR_2026_1" display="Jernbanedirektoratet, 2026" xr:uid="{644CA154-ED1A-43AD-BA21-006AD3518286}"/>
    <hyperlink ref="J230" location="JDIR_2026_1" display="Jernbanedirektoratet, 2026" xr:uid="{89A25470-4564-4708-AEB4-74DF4C979CB5}"/>
    <hyperlink ref="J233" location="JDIR_2026_1" display="Jernbanedirektoratet, 2026" xr:uid="{6E4036EE-1E1C-4DFA-B577-01E3D900B31D}"/>
    <hyperlink ref="J236" location="JDIR_2026_1" display="Jernbanedirektoratet, 2026" xr:uid="{FA1EC032-D51F-4273-A1C6-1BA2DA3E5325}"/>
    <hyperlink ref="J237" location="JDIR_2026_1" display="Jernbanedirektoratet, 2026" xr:uid="{32ACBB27-F9FC-458C-BC99-58A3D5ACFE8E}"/>
    <hyperlink ref="J239" location="JDIR_2026_1" display="Jernbanedirektoratet, 2026" xr:uid="{CCA26E24-FD09-47B3-915F-4D905274B504}"/>
    <hyperlink ref="J240" location="JDIR_2026_1" display="Jernbanedirektoratet, 2026" xr:uid="{2F9D9D58-FF85-431D-A712-A86D3448F94F}"/>
    <hyperlink ref="J241" location="JDIR_2026_1" display="Jernbanedirektoratet, 2026" xr:uid="{8F7F53CD-52F0-4C6E-B86C-ADAA41692061}"/>
    <hyperlink ref="J242" location="JDIR_2026_1" display="Jernbanedirektoratet, 2026" xr:uid="{0063E1A5-426F-4186-97A4-DA3EF4C4D3B6}"/>
    <hyperlink ref="J245" location="JDIR_2026_1" display="Jernbanedirektoratet, 2026" xr:uid="{7B98B06F-1EE4-40BD-9D24-DACC87C3752A}"/>
    <hyperlink ref="J248" location="JDIR_2026_1" display="Jernbanedirektoratet, 2026" xr:uid="{84A627F4-58C9-4B93-9622-F44628387A83}"/>
    <hyperlink ref="J251" location="JDIR_2026_1" display="Jernbanedirektoratet, 2026" xr:uid="{C0E6CD6D-63F9-48DB-AF71-4B276D6D9D90}"/>
    <hyperlink ref="J243" location="JDIR_2026_1" display="Jernbanedirektoratet, 2026" xr:uid="{85D0BE4A-BE8D-4F7F-B38E-61BFE71AA4D3}"/>
    <hyperlink ref="J246" location="JDIR_2026_1" display="Jernbanedirektoratet, 2026" xr:uid="{D16C6A4F-4313-4CCA-85DA-B7D5CEBEB09D}"/>
    <hyperlink ref="J249" location="JDIR_2026_1" display="Jernbanedirektoratet, 2026" xr:uid="{D3358E2C-804B-4C59-B4AB-6597CA912025}"/>
    <hyperlink ref="J244" location="JDIR_2026_1" display="Jernbanedirektoratet, 2026" xr:uid="{429F7D09-3BCB-483C-B6F7-F117238F36F2}"/>
    <hyperlink ref="J247" location="JDIR_2026_1" display="Jernbanedirektoratet, 2026" xr:uid="{5F406CC8-42F8-48A0-9AE4-C4EB255280D5}"/>
    <hyperlink ref="J250" location="JDIR_2026_1" display="Jernbanedirektoratet, 2026" xr:uid="{1E186341-9A82-4FD6-858F-214C2304ED1E}"/>
    <hyperlink ref="J254" location="JDIR_2026_1" display="Jernbanedirektoratet, 2026" xr:uid="{51B1D831-BC89-40A6-9F11-E7D0168C668B}"/>
    <hyperlink ref="J257" location="JDIR_2026_1" display="Jernbanedirektoratet, 2026" xr:uid="{B4D51382-56F1-435C-AE0E-41DFC161F31B}"/>
    <hyperlink ref="J252" location="JDIR_2026_1" display="Jernbanedirektoratet, 2026" xr:uid="{A2135940-AF89-465C-AC92-A6AD2CADC139}"/>
    <hyperlink ref="J255" location="JDIR_2026_1" display="Jernbanedirektoratet, 2026" xr:uid="{48085689-7257-4D1D-9176-CA890EF64957}"/>
    <hyperlink ref="J253" location="JDIR_2026_1" display="Jernbanedirektoratet, 2026" xr:uid="{1CE766BA-38F1-4D95-92DF-E0157B82F64B}"/>
    <hyperlink ref="J256" location="JDIR_2026_1" display="Jernbanedirektoratet, 2026" xr:uid="{A80CB4B4-17EE-471C-A589-FC4A4CBBB510}"/>
    <hyperlink ref="J260" location="JDIR_2026_1" display="Jernbanedirektoratet, 2026" xr:uid="{F82E8090-C51C-4871-A11D-F9469399705B}"/>
    <hyperlink ref="J258" location="JDIR_2026_1" display="Jernbanedirektoratet, 2026" xr:uid="{82884C4F-72DB-466F-85FA-EB40C99AEDBB}"/>
    <hyperlink ref="J259" location="JDIR_2026_1" display="Jernbanedirektoratet, 2026" xr:uid="{BC31ECD4-F0BA-4702-AE40-2F5DEABA400F}"/>
    <hyperlink ref="J262" location="JDIR_2026_1" display="Jernbanedirektoratet, 2026" xr:uid="{B11EC8E9-3FC5-4F45-AB0A-2627871070D5}"/>
    <hyperlink ref="J263" location="JDIR_2026_1" display="Jernbanedirektoratet, 2026" xr:uid="{A5B9F55A-6F64-4F97-8611-DB82CDAE008A}"/>
    <hyperlink ref="J264" location="JDIR_2026_1" display="Jernbanedirektoratet, 2026" xr:uid="{72D78DD4-FCD0-46C6-B5BD-6A0FF9CF3A64}"/>
    <hyperlink ref="J265" location="JDIR_2026_1" display="Jernbanedirektoratet, 2026" xr:uid="{31C0A1E3-5EFF-4271-8016-F1E1980C93F6}"/>
    <hyperlink ref="J268" location="JDIR_2026_1" display="Jernbanedirektoratet, 2026" xr:uid="{4861C891-7E8A-4D03-AD9B-B62CCD52B0ED}"/>
    <hyperlink ref="J271" location="JDIR_2026_1" display="Jernbanedirektoratet, 2026" xr:uid="{308626D7-18C9-4F4B-8B58-9D2731A7979A}"/>
    <hyperlink ref="J274" location="JDIR_2026_1" display="Jernbanedirektoratet, 2026" xr:uid="{35DE64C0-EC90-484C-A312-E5F7BDE07F3A}"/>
    <hyperlink ref="J266" location="JDIR_2026_1" display="Jernbanedirektoratet, 2026" xr:uid="{A8F19392-EEA4-4675-8E8C-A86E341CC119}"/>
    <hyperlink ref="J269" location="JDIR_2026_1" display="Jernbanedirektoratet, 2026" xr:uid="{E224A7F0-601F-4EA1-BE7B-1C20C1D50902}"/>
    <hyperlink ref="J272" location="JDIR_2026_1" display="Jernbanedirektoratet, 2026" xr:uid="{00312039-E998-4F5F-8547-F0ED57108FB8}"/>
    <hyperlink ref="J267" location="JDIR_2026_1" display="Jernbanedirektoratet, 2026" xr:uid="{EA0F17F7-3257-4374-8F1A-2F5141C2FFEC}"/>
    <hyperlink ref="J270" location="JDIR_2026_1" display="Jernbanedirektoratet, 2026" xr:uid="{9E211AD7-E54F-4A12-BBA1-85E2F4687027}"/>
    <hyperlink ref="J273" location="JDIR_2026_1" display="Jernbanedirektoratet, 2026" xr:uid="{38905CF6-30F4-4B92-B8F5-8F1C7FC23D78}"/>
    <hyperlink ref="J277" location="JDIR_2026_1" display="Jernbanedirektoratet, 2026" xr:uid="{A31D1CB0-9A2F-4D51-90F3-F21D7828221B}"/>
    <hyperlink ref="J280" location="JDIR_2026_1" display="Jernbanedirektoratet, 2026" xr:uid="{D43345F6-5BAC-4752-A609-C362CE48D344}"/>
    <hyperlink ref="J275" location="JDIR_2026_1" display="Jernbanedirektoratet, 2026" xr:uid="{6A594ADA-A8C4-4C77-84D0-A003379C643C}"/>
    <hyperlink ref="J278" location="JDIR_2026_1" display="Jernbanedirektoratet, 2026" xr:uid="{FC64ABB4-2F17-44A4-8F10-3E6B3B5D3214}"/>
    <hyperlink ref="J276" location="JDIR_2026_1" display="Jernbanedirektoratet, 2026" xr:uid="{7848F20E-5B72-41E6-86B2-80013F0C11CF}"/>
    <hyperlink ref="J279" location="JDIR_2026_1" display="Jernbanedirektoratet, 2026" xr:uid="{757ACC6F-3B4D-40C4-9672-8425E18E46B5}"/>
    <hyperlink ref="J281" location="JDIR_2026_1" display="Jernbanedirektoratet, 2026" xr:uid="{5054AED8-0BDD-4BA6-AF50-1F780679F970}"/>
    <hyperlink ref="J282" location="JDIR_2026_1" display="Jernbanedirektoratet, 2026" xr:uid="{DD65D332-35A0-43AD-AA4B-BA4958551799}"/>
    <hyperlink ref="J283" location="JDIR_2026_1" display="Jernbanedirektoratet, 2026" xr:uid="{ADDC722B-9E52-4BA3-B2EE-028291D23A83}"/>
  </hyperlinks>
  <pageMargins left="0.7" right="0.7" top="0.75" bottom="0.75" header="0.3" footer="0.3"/>
  <pageSetup paperSize="9" orientation="portrait" r:id="rId10"/>
  <drawing r:id="rId11"/>
  <legacyDrawing r:id="rId1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Ark4">
    <tabColor theme="4" tint="0.59999389629810485"/>
  </sheetPr>
  <dimension ref="A2:AF395"/>
  <sheetViews>
    <sheetView zoomScaleNormal="100" workbookViewId="0"/>
  </sheetViews>
  <sheetFormatPr baseColWidth="10" defaultColWidth="11.453125" defaultRowHeight="14.5" x14ac:dyDescent="0.35"/>
  <cols>
    <col min="1" max="1" width="34" style="60" customWidth="1"/>
    <col min="2" max="2" width="69.453125" customWidth="1"/>
    <col min="3" max="3" width="38.453125" customWidth="1"/>
    <col min="4" max="4" width="38" customWidth="1"/>
    <col min="5" max="5" width="22.453125" customWidth="1"/>
    <col min="6" max="6" width="27.453125" customWidth="1"/>
    <col min="7" max="7" width="17.1796875" customWidth="1"/>
    <col min="8" max="8" width="33.26953125" customWidth="1"/>
    <col min="9" max="9" width="20.453125" customWidth="1"/>
    <col min="10" max="10" width="25.54296875" customWidth="1"/>
    <col min="11" max="11" width="12.453125" customWidth="1"/>
    <col min="12" max="12" width="26.453125" customWidth="1"/>
    <col min="13" max="13" width="17.453125" customWidth="1"/>
    <col min="15" max="15" width="20" customWidth="1"/>
  </cols>
  <sheetData>
    <row r="2" spans="1:32" x14ac:dyDescent="0.35">
      <c r="H2" s="6"/>
    </row>
    <row r="3" spans="1:32" ht="15" thickBot="1" x14ac:dyDescent="0.4"/>
    <row r="4" spans="1:32" ht="18.5" x14ac:dyDescent="0.45">
      <c r="A4" s="526" t="s">
        <v>717</v>
      </c>
      <c r="B4" s="209"/>
    </row>
    <row r="5" spans="1:32" x14ac:dyDescent="0.35">
      <c r="A5" s="291" t="s">
        <v>911</v>
      </c>
      <c r="B5" s="700" t="s">
        <v>912</v>
      </c>
    </row>
    <row r="6" spans="1:32" x14ac:dyDescent="0.35">
      <c r="A6" s="291" t="s">
        <v>913</v>
      </c>
      <c r="B6" s="255" t="s">
        <v>914</v>
      </c>
    </row>
    <row r="7" spans="1:32" ht="15" thickBot="1" x14ac:dyDescent="0.4">
      <c r="A7" s="292" t="s">
        <v>915</v>
      </c>
      <c r="B7" s="711" t="s">
        <v>916</v>
      </c>
    </row>
    <row r="9" spans="1:32" ht="15" thickBot="1" x14ac:dyDescent="0.4"/>
    <row r="10" spans="1:32" x14ac:dyDescent="0.35">
      <c r="B10" s="293" t="s">
        <v>917</v>
      </c>
      <c r="C10" s="294" t="s">
        <v>918</v>
      </c>
      <c r="D10" s="295" t="s">
        <v>919</v>
      </c>
    </row>
    <row r="11" spans="1:32" x14ac:dyDescent="0.35">
      <c r="B11" s="296" t="s">
        <v>920</v>
      </c>
      <c r="C11" s="682" t="s">
        <v>921</v>
      </c>
      <c r="D11" s="701"/>
      <c r="AF11" s="99"/>
    </row>
    <row r="12" spans="1:32" ht="15" thickBot="1" x14ac:dyDescent="0.4">
      <c r="B12" s="297" t="s">
        <v>922</v>
      </c>
      <c r="C12" s="702" t="s">
        <v>921</v>
      </c>
      <c r="D12" s="703"/>
      <c r="AF12" s="99"/>
    </row>
    <row r="14" spans="1:32" ht="15" thickBot="1" x14ac:dyDescent="0.4"/>
    <row r="15" spans="1:32" ht="21" x14ac:dyDescent="0.5">
      <c r="B15" s="207" t="s">
        <v>923</v>
      </c>
      <c r="C15" s="208"/>
      <c r="D15" s="298"/>
      <c r="E15" s="208"/>
      <c r="F15" s="209"/>
      <c r="H15" s="207" t="s">
        <v>924</v>
      </c>
      <c r="I15" s="257"/>
      <c r="J15" s="269"/>
      <c r="K15" s="269" t="s">
        <v>925</v>
      </c>
      <c r="L15" s="270"/>
    </row>
    <row r="16" spans="1:32" ht="18.5" x14ac:dyDescent="0.45">
      <c r="B16" s="247" t="s">
        <v>926</v>
      </c>
      <c r="C16" s="134" t="s">
        <v>927</v>
      </c>
      <c r="D16" s="134" t="s">
        <v>927</v>
      </c>
      <c r="E16" s="183" t="s">
        <v>927</v>
      </c>
      <c r="F16" s="299"/>
      <c r="H16" s="258" t="s">
        <v>727</v>
      </c>
      <c r="I16" s="10" t="s">
        <v>275</v>
      </c>
      <c r="J16" s="10" t="s">
        <v>928</v>
      </c>
      <c r="K16" s="10" t="s">
        <v>60</v>
      </c>
      <c r="L16" s="241" t="s">
        <v>731</v>
      </c>
    </row>
    <row r="17" spans="1:16" x14ac:dyDescent="0.35">
      <c r="B17" s="212"/>
      <c r="C17" s="712">
        <f>Åpningsår</f>
        <v>0</v>
      </c>
      <c r="D17" s="712">
        <f>Åpningsår+40</f>
        <v>40</v>
      </c>
      <c r="E17" s="712">
        <f>Åpningsår+75</f>
        <v>75</v>
      </c>
      <c r="F17" s="213"/>
      <c r="H17" s="272"/>
      <c r="I17" s="65" t="s">
        <v>929</v>
      </c>
      <c r="J17" s="17"/>
      <c r="K17" s="17"/>
      <c r="L17" s="213"/>
    </row>
    <row r="18" spans="1:16" x14ac:dyDescent="0.35">
      <c r="B18" s="212" t="s">
        <v>930</v>
      </c>
      <c r="C18" s="15">
        <v>0.04</v>
      </c>
      <c r="D18" s="15">
        <v>0.03</v>
      </c>
      <c r="E18" s="15">
        <v>0.02</v>
      </c>
      <c r="F18" s="300"/>
      <c r="G18" s="6"/>
      <c r="H18" s="275" t="s">
        <v>931</v>
      </c>
      <c r="I18" s="65"/>
      <c r="J18" s="65" t="s">
        <v>932</v>
      </c>
      <c r="K18" s="69">
        <v>42907</v>
      </c>
      <c r="L18" s="213" t="s">
        <v>64</v>
      </c>
    </row>
    <row r="19" spans="1:16" ht="18.5" x14ac:dyDescent="0.45">
      <c r="B19" s="247" t="s">
        <v>933</v>
      </c>
      <c r="C19" s="10"/>
      <c r="D19" s="10" t="s">
        <v>534</v>
      </c>
      <c r="E19" s="24" t="s">
        <v>934</v>
      </c>
      <c r="F19" s="241" t="s">
        <v>935</v>
      </c>
      <c r="H19" s="283"/>
      <c r="I19" s="14"/>
      <c r="J19" s="14"/>
      <c r="K19" s="14"/>
      <c r="L19" s="248"/>
    </row>
    <row r="20" spans="1:16" x14ac:dyDescent="0.35">
      <c r="B20" s="212" t="s">
        <v>936</v>
      </c>
      <c r="C20" s="15">
        <v>0.2</v>
      </c>
      <c r="D20" s="17" t="s">
        <v>544</v>
      </c>
      <c r="E20" s="17"/>
      <c r="F20" s="213">
        <v>2014</v>
      </c>
      <c r="H20" s="275" t="s">
        <v>937</v>
      </c>
      <c r="I20" s="148" t="s">
        <v>938</v>
      </c>
      <c r="J20" s="17" t="s">
        <v>939</v>
      </c>
      <c r="K20" s="17" t="str">
        <f>""</f>
        <v/>
      </c>
      <c r="L20" s="213" t="s">
        <v>64</v>
      </c>
    </row>
    <row r="21" spans="1:16" x14ac:dyDescent="0.35">
      <c r="A21" s="511"/>
      <c r="B21" s="212" t="s">
        <v>940</v>
      </c>
      <c r="C21" s="713">
        <f>'Standardsatser-Forutsetninger'!$C$135</f>
        <v>0.46710399999999996</v>
      </c>
      <c r="D21" s="17" t="s">
        <v>544</v>
      </c>
      <c r="E21" s="17"/>
      <c r="F21" s="213">
        <v>2017</v>
      </c>
      <c r="G21" s="6"/>
      <c r="H21" s="275" t="s">
        <v>365</v>
      </c>
      <c r="I21" s="149" t="s">
        <v>941</v>
      </c>
      <c r="J21" s="72" t="s">
        <v>928</v>
      </c>
      <c r="K21" s="69">
        <v>42909</v>
      </c>
      <c r="L21" s="213" t="s">
        <v>64</v>
      </c>
    </row>
    <row r="22" spans="1:16" x14ac:dyDescent="0.35">
      <c r="A22" s="511"/>
      <c r="B22" s="212" t="s">
        <v>942</v>
      </c>
      <c r="C22" s="714">
        <f>Skattesats*Skattefinansieringsfaktor</f>
        <v>9.3420799999999998E-2</v>
      </c>
      <c r="D22" s="17" t="s">
        <v>544</v>
      </c>
      <c r="E22" s="17"/>
      <c r="F22" s="213"/>
      <c r="H22" s="275"/>
      <c r="I22" s="147" t="s">
        <v>943</v>
      </c>
      <c r="J22" s="17" t="str">
        <f>""</f>
        <v/>
      </c>
      <c r="K22" s="17"/>
      <c r="L22" s="213" t="s">
        <v>64</v>
      </c>
    </row>
    <row r="23" spans="1:16" x14ac:dyDescent="0.35">
      <c r="B23" s="212" t="s">
        <v>944</v>
      </c>
      <c r="C23" s="15">
        <v>0.25</v>
      </c>
      <c r="D23" s="17" t="s">
        <v>544</v>
      </c>
      <c r="E23" s="17"/>
      <c r="F23" s="213">
        <v>2020</v>
      </c>
      <c r="G23" s="6"/>
      <c r="H23" s="275" t="s">
        <v>405</v>
      </c>
      <c r="I23" s="148" t="s">
        <v>945</v>
      </c>
      <c r="J23" s="17" t="s">
        <v>946</v>
      </c>
      <c r="K23" s="69">
        <v>43938</v>
      </c>
      <c r="L23" s="213" t="s">
        <v>102</v>
      </c>
    </row>
    <row r="24" spans="1:16" x14ac:dyDescent="0.35">
      <c r="A24" s="511"/>
      <c r="B24" s="212" t="s">
        <v>947</v>
      </c>
      <c r="C24" s="464">
        <v>0.12</v>
      </c>
      <c r="D24" s="17" t="s">
        <v>544</v>
      </c>
      <c r="E24" s="17"/>
      <c r="F24" s="213">
        <v>2020</v>
      </c>
      <c r="H24" s="275" t="s">
        <v>405</v>
      </c>
      <c r="I24" s="65" t="s">
        <v>948</v>
      </c>
      <c r="J24" s="17" t="s">
        <v>949</v>
      </c>
      <c r="K24" s="69">
        <v>43938</v>
      </c>
      <c r="L24" s="213" t="s">
        <v>102</v>
      </c>
    </row>
    <row r="25" spans="1:16" x14ac:dyDescent="0.35">
      <c r="B25" s="212" t="s">
        <v>950</v>
      </c>
      <c r="C25" s="416">
        <v>5.0000000000000001E-3</v>
      </c>
      <c r="D25" s="17" t="s">
        <v>544</v>
      </c>
      <c r="E25" s="969">
        <v>2061</v>
      </c>
      <c r="F25" s="213">
        <v>2024</v>
      </c>
      <c r="H25" s="275" t="s">
        <v>951</v>
      </c>
      <c r="I25" s="148" t="s">
        <v>952</v>
      </c>
      <c r="J25" s="17" t="s">
        <v>2532</v>
      </c>
      <c r="K25" s="69">
        <v>45548</v>
      </c>
      <c r="L25" s="213" t="s">
        <v>173</v>
      </c>
    </row>
    <row r="26" spans="1:16" s="6" customFormat="1" x14ac:dyDescent="0.35">
      <c r="A26" s="511"/>
      <c r="B26" s="218" t="s">
        <v>953</v>
      </c>
      <c r="C26" s="715">
        <v>2100</v>
      </c>
      <c r="D26" s="65" t="s">
        <v>927</v>
      </c>
      <c r="E26" s="65"/>
      <c r="F26" s="221">
        <v>2018</v>
      </c>
      <c r="G26" s="59"/>
      <c r="H26" s="275" t="s">
        <v>370</v>
      </c>
      <c r="I26" s="149" t="s">
        <v>954</v>
      </c>
      <c r="J26" s="18"/>
      <c r="K26" s="101">
        <v>43208</v>
      </c>
      <c r="L26" s="213" t="s">
        <v>955</v>
      </c>
      <c r="M26" s="59"/>
      <c r="N26" s="59"/>
      <c r="O26" s="59"/>
      <c r="P26" s="59"/>
    </row>
    <row r="27" spans="1:16" x14ac:dyDescent="0.35">
      <c r="B27" s="212" t="s">
        <v>956</v>
      </c>
      <c r="C27" s="13">
        <v>0.02</v>
      </c>
      <c r="D27" s="17" t="s">
        <v>544</v>
      </c>
      <c r="E27" s="17"/>
      <c r="F27" s="213">
        <v>2018</v>
      </c>
      <c r="H27" s="275" t="s">
        <v>338</v>
      </c>
      <c r="I27" s="148" t="s">
        <v>957</v>
      </c>
      <c r="J27" s="17" t="s">
        <v>958</v>
      </c>
      <c r="K27" s="69">
        <v>43161</v>
      </c>
      <c r="L27" s="213" t="s">
        <v>64</v>
      </c>
    </row>
    <row r="28" spans="1:16" s="6" customFormat="1" x14ac:dyDescent="0.35">
      <c r="A28" s="511"/>
      <c r="B28" s="218" t="str">
        <f>CONCATENATE("Årlig vekst etter siste CO2-prisbane - 2100")</f>
        <v>Årlig vekst etter siste CO2-prisbane - 2100</v>
      </c>
      <c r="C28" s="63">
        <v>8.9999999999999993E-3</v>
      </c>
      <c r="D28" s="65" t="s">
        <v>544</v>
      </c>
      <c r="E28" s="65"/>
      <c r="F28" s="221">
        <v>2017</v>
      </c>
      <c r="G28" s="59"/>
      <c r="H28" s="275" t="s">
        <v>959</v>
      </c>
      <c r="I28" s="149" t="s">
        <v>960</v>
      </c>
      <c r="J28" s="18"/>
      <c r="K28" s="101">
        <v>42963</v>
      </c>
      <c r="L28" s="213" t="s">
        <v>64</v>
      </c>
      <c r="M28" s="59"/>
      <c r="N28" s="59"/>
      <c r="O28" s="59"/>
      <c r="P28" s="59"/>
    </row>
    <row r="29" spans="1:16" s="6" customFormat="1" ht="15" thickBot="1" x14ac:dyDescent="0.4">
      <c r="A29" s="511"/>
      <c r="B29" s="266" t="s">
        <v>961</v>
      </c>
      <c r="C29" s="716">
        <f>((Kalkulasjonsrente1)*((1+Kalkulasjonsrente1)^Levetid_Togmateriell))/(((1+Kalkulasjonsrente1)^Levetid_Togmateriell)-1)</f>
        <v>5.78300991336613E-2</v>
      </c>
      <c r="D29" s="267" t="s">
        <v>962</v>
      </c>
      <c r="E29" s="267"/>
      <c r="F29" s="268"/>
      <c r="G29" s="59"/>
      <c r="H29" s="289" t="s">
        <v>322</v>
      </c>
      <c r="I29" s="414"/>
      <c r="J29" s="415"/>
      <c r="K29" s="408">
        <v>43084</v>
      </c>
      <c r="L29" s="302" t="s">
        <v>64</v>
      </c>
      <c r="M29" s="59"/>
      <c r="N29" s="59"/>
      <c r="O29" s="59"/>
      <c r="P29" s="59"/>
    </row>
    <row r="31" spans="1:16" ht="15" thickBot="1" x14ac:dyDescent="0.4"/>
    <row r="32" spans="1:16" ht="21" x14ac:dyDescent="0.5">
      <c r="B32" s="207" t="s">
        <v>963</v>
      </c>
      <c r="C32" s="208"/>
      <c r="D32" s="298"/>
      <c r="E32" s="208"/>
      <c r="F32" s="209"/>
      <c r="H32" s="207" t="s">
        <v>924</v>
      </c>
      <c r="I32" s="257"/>
      <c r="J32" s="269"/>
      <c r="K32" s="269"/>
      <c r="L32" s="270"/>
    </row>
    <row r="33" spans="1:12" ht="18.5" x14ac:dyDescent="0.45">
      <c r="B33" s="247" t="s">
        <v>933</v>
      </c>
      <c r="C33" s="14"/>
      <c r="D33" s="10" t="s">
        <v>534</v>
      </c>
      <c r="E33" s="10"/>
      <c r="F33" s="241" t="s">
        <v>935</v>
      </c>
      <c r="H33" s="258" t="s">
        <v>727</v>
      </c>
      <c r="I33" s="10" t="s">
        <v>275</v>
      </c>
      <c r="J33" s="10" t="s">
        <v>928</v>
      </c>
      <c r="K33" s="10" t="s">
        <v>60</v>
      </c>
      <c r="L33" s="241" t="s">
        <v>731</v>
      </c>
    </row>
    <row r="34" spans="1:12" x14ac:dyDescent="0.35">
      <c r="A34" s="511"/>
      <c r="B34" s="212" t="s">
        <v>964</v>
      </c>
      <c r="C34" s="717" t="str">
        <f>IF(ISNUMBER(TredjeBeregningsår),3,IF(ISNUMBER(AndreBeregningsår),2,IF(ISNUMBER(FørsteBeregningsår),1,"FEIL")))</f>
        <v>FEIL</v>
      </c>
      <c r="D34" s="17" t="s">
        <v>965</v>
      </c>
      <c r="E34" s="17"/>
      <c r="F34" s="213"/>
      <c r="G34" s="6"/>
      <c r="H34" s="272"/>
      <c r="I34" s="148" t="s">
        <v>966</v>
      </c>
      <c r="J34" s="17" t="str">
        <f>""</f>
        <v/>
      </c>
      <c r="K34" s="17"/>
      <c r="L34" s="213"/>
    </row>
    <row r="35" spans="1:12" x14ac:dyDescent="0.35">
      <c r="A35" s="510"/>
      <c r="B35" s="212" t="s">
        <v>967</v>
      </c>
      <c r="C35" s="682"/>
      <c r="D35" s="17" t="s">
        <v>927</v>
      </c>
      <c r="E35" s="17"/>
      <c r="F35" s="213"/>
      <c r="H35" s="272"/>
      <c r="I35" s="148" t="s">
        <v>968</v>
      </c>
      <c r="J35" s="17"/>
      <c r="K35" s="17"/>
      <c r="L35" s="213"/>
    </row>
    <row r="36" spans="1:12" x14ac:dyDescent="0.35">
      <c r="A36" s="510"/>
      <c r="B36" s="218" t="s">
        <v>969</v>
      </c>
      <c r="C36" s="682"/>
      <c r="D36" s="17" t="s">
        <v>927</v>
      </c>
      <c r="E36" s="17"/>
      <c r="F36" s="213"/>
      <c r="G36" s="6"/>
      <c r="H36" s="272"/>
      <c r="I36" s="148" t="s">
        <v>970</v>
      </c>
      <c r="J36" s="17" t="str">
        <f>""</f>
        <v/>
      </c>
      <c r="K36" s="17"/>
      <c r="L36" s="213"/>
    </row>
    <row r="37" spans="1:12" x14ac:dyDescent="0.35">
      <c r="A37" s="510"/>
      <c r="B37" s="218" t="s">
        <v>971</v>
      </c>
      <c r="C37" s="704"/>
      <c r="D37" s="17" t="s">
        <v>927</v>
      </c>
      <c r="E37" s="17"/>
      <c r="F37" s="213"/>
      <c r="G37" s="6"/>
      <c r="H37" s="272"/>
      <c r="I37" s="148" t="s">
        <v>972</v>
      </c>
      <c r="J37" s="17"/>
      <c r="K37" s="17"/>
      <c r="L37" s="213"/>
    </row>
    <row r="38" spans="1:12" x14ac:dyDescent="0.35">
      <c r="A38" s="510"/>
      <c r="B38" s="212" t="s">
        <v>973</v>
      </c>
      <c r="C38" s="154"/>
      <c r="D38" s="65" t="s">
        <v>927</v>
      </c>
      <c r="E38" s="65"/>
      <c r="F38" s="232"/>
      <c r="H38" s="272"/>
      <c r="I38" s="148" t="s">
        <v>974</v>
      </c>
      <c r="J38" s="17" t="str">
        <f>""</f>
        <v/>
      </c>
      <c r="K38" s="17"/>
      <c r="L38" s="213"/>
    </row>
    <row r="39" spans="1:12" x14ac:dyDescent="0.35">
      <c r="A39" s="510"/>
      <c r="B39" s="212" t="s">
        <v>975</v>
      </c>
      <c r="C39" s="12"/>
      <c r="D39" s="65" t="s">
        <v>927</v>
      </c>
      <c r="E39" s="65"/>
      <c r="F39" s="232"/>
      <c r="H39" s="272"/>
      <c r="I39" s="148" t="s">
        <v>976</v>
      </c>
      <c r="J39" s="17" t="str">
        <f>""</f>
        <v/>
      </c>
      <c r="K39" s="17"/>
      <c r="L39" s="213"/>
    </row>
    <row r="40" spans="1:12" x14ac:dyDescent="0.35">
      <c r="A40" s="510"/>
      <c r="B40" s="212" t="s">
        <v>977</v>
      </c>
      <c r="C40" s="682"/>
      <c r="D40" s="17" t="s">
        <v>927</v>
      </c>
      <c r="E40" s="17"/>
      <c r="F40" s="213"/>
      <c r="H40" s="272"/>
      <c r="I40" s="148" t="s">
        <v>978</v>
      </c>
      <c r="J40" s="17" t="str">
        <f>""</f>
        <v/>
      </c>
      <c r="K40" s="17"/>
      <c r="L40" s="213"/>
    </row>
    <row r="41" spans="1:12" x14ac:dyDescent="0.35">
      <c r="A41" s="510"/>
      <c r="B41" s="212" t="s">
        <v>979</v>
      </c>
      <c r="C41" s="682"/>
      <c r="D41" s="17" t="s">
        <v>927</v>
      </c>
      <c r="E41" s="17"/>
      <c r="F41" s="213"/>
      <c r="H41" s="272"/>
      <c r="I41" s="148" t="s">
        <v>980</v>
      </c>
      <c r="J41" s="17" t="str">
        <f>""</f>
        <v/>
      </c>
      <c r="K41" s="17"/>
      <c r="L41" s="213"/>
    </row>
    <row r="42" spans="1:12" x14ac:dyDescent="0.35">
      <c r="A42" s="510"/>
      <c r="B42" s="218" t="s">
        <v>981</v>
      </c>
      <c r="C42" s="682"/>
      <c r="D42" s="17" t="s">
        <v>927</v>
      </c>
      <c r="E42" s="17"/>
      <c r="F42" s="213"/>
      <c r="H42" s="272"/>
      <c r="I42" s="148" t="s">
        <v>982</v>
      </c>
      <c r="J42" s="17"/>
      <c r="K42" s="69">
        <v>43529</v>
      </c>
      <c r="L42" s="213" t="s">
        <v>64</v>
      </c>
    </row>
    <row r="43" spans="1:12" x14ac:dyDescent="0.35">
      <c r="A43" s="510"/>
      <c r="B43" s="218" t="s">
        <v>983</v>
      </c>
      <c r="C43" s="682"/>
      <c r="D43" s="17" t="s">
        <v>927</v>
      </c>
      <c r="E43" s="17"/>
      <c r="F43" s="213"/>
      <c r="H43" s="272"/>
      <c r="I43" s="148" t="s">
        <v>984</v>
      </c>
      <c r="J43" s="17"/>
      <c r="K43" s="69">
        <v>43529</v>
      </c>
      <c r="L43" s="213" t="s">
        <v>64</v>
      </c>
    </row>
    <row r="44" spans="1:12" x14ac:dyDescent="0.35">
      <c r="A44" s="510"/>
      <c r="B44" s="218" t="s">
        <v>985</v>
      </c>
      <c r="C44" s="154">
        <v>2021</v>
      </c>
      <c r="D44" s="17" t="s">
        <v>927</v>
      </c>
      <c r="E44" s="17"/>
      <c r="F44" s="213"/>
      <c r="H44" s="272"/>
      <c r="I44" s="148" t="s">
        <v>986</v>
      </c>
      <c r="J44" s="17"/>
      <c r="K44" s="69">
        <v>43529</v>
      </c>
      <c r="L44" s="213" t="s">
        <v>64</v>
      </c>
    </row>
    <row r="45" spans="1:12" x14ac:dyDescent="0.35">
      <c r="A45" s="510"/>
      <c r="B45" s="218" t="s">
        <v>987</v>
      </c>
      <c r="C45" s="712">
        <v>2025</v>
      </c>
      <c r="D45" s="17" t="s">
        <v>927</v>
      </c>
      <c r="E45" s="65"/>
      <c r="F45" s="213"/>
      <c r="H45" s="272"/>
      <c r="I45" s="148" t="s">
        <v>988</v>
      </c>
      <c r="J45" s="65" t="s">
        <v>989</v>
      </c>
      <c r="K45" s="69">
        <v>44872</v>
      </c>
      <c r="L45" s="213" t="s">
        <v>173</v>
      </c>
    </row>
    <row r="46" spans="1:12" x14ac:dyDescent="0.35">
      <c r="A46" s="510"/>
      <c r="B46" s="218" t="s">
        <v>990</v>
      </c>
      <c r="C46" s="712">
        <v>2027</v>
      </c>
      <c r="D46" s="17" t="s">
        <v>927</v>
      </c>
      <c r="E46" s="65"/>
      <c r="F46" s="213"/>
      <c r="H46" s="272"/>
      <c r="I46" s="148"/>
      <c r="J46" s="65"/>
      <c r="K46" s="69">
        <v>45209</v>
      </c>
      <c r="L46" s="213" t="s">
        <v>808</v>
      </c>
    </row>
    <row r="47" spans="1:12" x14ac:dyDescent="0.35">
      <c r="A47" s="510"/>
      <c r="B47" s="212" t="s">
        <v>991</v>
      </c>
      <c r="C47" s="718">
        <v>2100</v>
      </c>
      <c r="D47" s="17" t="s">
        <v>927</v>
      </c>
      <c r="E47" s="17"/>
      <c r="F47" s="213"/>
      <c r="H47" s="272"/>
      <c r="I47" s="148" t="s">
        <v>992</v>
      </c>
      <c r="J47" s="17" t="str">
        <f>""</f>
        <v/>
      </c>
      <c r="K47" s="17"/>
      <c r="L47" s="213"/>
    </row>
    <row r="48" spans="1:12" x14ac:dyDescent="0.35">
      <c r="A48" s="538"/>
      <c r="B48" s="212" t="s">
        <v>993</v>
      </c>
      <c r="C48" s="58" t="s">
        <v>994</v>
      </c>
      <c r="D48" s="65"/>
      <c r="E48" s="65"/>
      <c r="F48" s="213"/>
      <c r="H48" s="272"/>
      <c r="I48" s="148" t="s">
        <v>995</v>
      </c>
      <c r="J48" s="17" t="str">
        <f>""</f>
        <v/>
      </c>
      <c r="K48" s="69">
        <v>42887</v>
      </c>
      <c r="L48" s="213" t="s">
        <v>996</v>
      </c>
    </row>
    <row r="49" spans="1:12" x14ac:dyDescent="0.35">
      <c r="A49" s="510"/>
      <c r="B49" s="212" t="s">
        <v>997</v>
      </c>
      <c r="C49" s="682"/>
      <c r="D49" s="17" t="s">
        <v>998</v>
      </c>
      <c r="E49" s="17"/>
      <c r="F49" s="213">
        <v>2014</v>
      </c>
      <c r="H49" s="275" t="s">
        <v>999</v>
      </c>
      <c r="I49" s="148" t="s">
        <v>1000</v>
      </c>
      <c r="J49" s="17" t="s">
        <v>1001</v>
      </c>
      <c r="K49" s="17" t="str">
        <f>""</f>
        <v/>
      </c>
      <c r="L49" s="213" t="s">
        <v>64</v>
      </c>
    </row>
    <row r="50" spans="1:12" x14ac:dyDescent="0.35">
      <c r="A50" s="510"/>
      <c r="B50" s="212" t="s">
        <v>1002</v>
      </c>
      <c r="C50" s="12"/>
      <c r="D50" s="17" t="s">
        <v>998</v>
      </c>
      <c r="E50" s="17"/>
      <c r="F50" s="213">
        <v>2014</v>
      </c>
      <c r="H50" s="275" t="s">
        <v>999</v>
      </c>
      <c r="I50" s="148" t="s">
        <v>1003</v>
      </c>
      <c r="J50" s="17" t="s">
        <v>1004</v>
      </c>
      <c r="K50" s="17" t="str">
        <f>""</f>
        <v/>
      </c>
      <c r="L50" s="213" t="s">
        <v>64</v>
      </c>
    </row>
    <row r="51" spans="1:12" ht="18.5" x14ac:dyDescent="0.45">
      <c r="A51" s="510"/>
      <c r="B51" s="247" t="s">
        <v>1005</v>
      </c>
      <c r="C51" s="178"/>
      <c r="D51" s="66"/>
      <c r="E51" s="66"/>
      <c r="F51" s="263"/>
      <c r="H51" s="304"/>
      <c r="I51" s="1182"/>
      <c r="J51" s="66"/>
      <c r="K51" s="66"/>
      <c r="L51" s="263"/>
    </row>
    <row r="52" spans="1:12" x14ac:dyDescent="0.35">
      <c r="A52" s="510"/>
      <c r="B52" s="212" t="s">
        <v>1006</v>
      </c>
      <c r="C52" s="682"/>
      <c r="D52" s="17" t="s">
        <v>927</v>
      </c>
      <c r="E52" s="17"/>
      <c r="F52" s="213"/>
      <c r="H52" s="272"/>
      <c r="I52" s="65" t="s">
        <v>1007</v>
      </c>
      <c r="J52" s="17" t="str">
        <f>""</f>
        <v/>
      </c>
      <c r="K52" s="17"/>
      <c r="L52" s="213" t="s">
        <v>64</v>
      </c>
    </row>
    <row r="53" spans="1:12" x14ac:dyDescent="0.35">
      <c r="A53" s="510"/>
      <c r="B53" s="212" t="s">
        <v>1008</v>
      </c>
      <c r="C53" s="705"/>
      <c r="D53" s="17" t="s">
        <v>1009</v>
      </c>
      <c r="E53" s="17"/>
      <c r="F53" s="213"/>
      <c r="H53" s="272"/>
      <c r="I53" s="624" t="s">
        <v>1010</v>
      </c>
      <c r="J53" s="624" t="s">
        <v>1011</v>
      </c>
      <c r="K53" s="17" t="str">
        <f>""</f>
        <v/>
      </c>
      <c r="L53" s="213" t="s">
        <v>64</v>
      </c>
    </row>
    <row r="54" spans="1:12" x14ac:dyDescent="0.35">
      <c r="A54" s="510"/>
      <c r="B54" s="212" t="s">
        <v>1012</v>
      </c>
      <c r="C54" s="705"/>
      <c r="D54" s="17" t="s">
        <v>1009</v>
      </c>
      <c r="E54" s="17"/>
      <c r="F54" s="213"/>
      <c r="H54" s="272"/>
      <c r="I54" s="624" t="s">
        <v>1013</v>
      </c>
      <c r="J54" s="624" t="s">
        <v>1014</v>
      </c>
      <c r="K54" s="17" t="str">
        <f>""</f>
        <v/>
      </c>
      <c r="L54" s="213" t="s">
        <v>64</v>
      </c>
    </row>
    <row r="55" spans="1:12" x14ac:dyDescent="0.35">
      <c r="A55" s="510"/>
      <c r="B55" s="212" t="s">
        <v>1015</v>
      </c>
      <c r="C55" s="712">
        <f>IFERROR(MAXA(Åpningsår-Oppstartsår_FørsteÅrMedInvestering,1),"")</f>
        <v>1</v>
      </c>
      <c r="D55" s="17" t="s">
        <v>998</v>
      </c>
      <c r="E55" s="17"/>
      <c r="F55" s="213"/>
      <c r="H55" s="272"/>
      <c r="I55" s="65" t="s">
        <v>1016</v>
      </c>
      <c r="J55" s="17" t="str">
        <f>""</f>
        <v/>
      </c>
      <c r="K55" s="17"/>
      <c r="L55" s="213" t="s">
        <v>64</v>
      </c>
    </row>
    <row r="56" spans="1:12" x14ac:dyDescent="0.35">
      <c r="A56" s="510"/>
      <c r="B56" s="212" t="s">
        <v>1017</v>
      </c>
      <c r="C56" s="705"/>
      <c r="D56" s="17" t="s">
        <v>1018</v>
      </c>
      <c r="E56" s="17"/>
      <c r="F56" s="213"/>
      <c r="H56" s="272"/>
      <c r="I56" s="65" t="s">
        <v>1019</v>
      </c>
      <c r="J56" s="17"/>
      <c r="K56" s="17"/>
      <c r="L56" s="213" t="s">
        <v>173</v>
      </c>
    </row>
    <row r="57" spans="1:12" x14ac:dyDescent="0.35">
      <c r="A57" s="510"/>
      <c r="B57" s="212" t="s">
        <v>1020</v>
      </c>
      <c r="C57" s="705"/>
      <c r="D57" s="17" t="s">
        <v>1018</v>
      </c>
      <c r="E57" s="17"/>
      <c r="F57" s="213"/>
      <c r="H57" s="272"/>
      <c r="I57" s="65" t="s">
        <v>1021</v>
      </c>
      <c r="J57" s="17"/>
      <c r="K57" s="17"/>
      <c r="L57" s="213" t="s">
        <v>173</v>
      </c>
    </row>
    <row r="58" spans="1:12" x14ac:dyDescent="0.35">
      <c r="A58" s="510"/>
      <c r="B58" s="212" t="s">
        <v>1022</v>
      </c>
      <c r="C58" s="712">
        <f>Co2Utslipp_byggefase_CO2avgift+Co2Utslipp_byggefase_alleavgifter</f>
        <v>0</v>
      </c>
      <c r="D58" s="17" t="s">
        <v>1018</v>
      </c>
      <c r="E58" s="17"/>
      <c r="F58" s="213"/>
      <c r="H58" s="272"/>
      <c r="I58" s="65"/>
      <c r="J58" s="17"/>
      <c r="K58" s="17"/>
      <c r="L58" s="213"/>
    </row>
    <row r="59" spans="1:12" x14ac:dyDescent="0.35">
      <c r="A59" s="510"/>
      <c r="B59" s="212" t="s">
        <v>1023</v>
      </c>
      <c r="C59" s="705"/>
      <c r="D59" s="17" t="s">
        <v>1018</v>
      </c>
      <c r="E59" s="17"/>
      <c r="F59" s="213"/>
      <c r="H59" s="272"/>
      <c r="I59" s="65" t="s">
        <v>1024</v>
      </c>
      <c r="J59" s="17"/>
      <c r="K59" s="69">
        <v>44540</v>
      </c>
      <c r="L59" s="213" t="s">
        <v>173</v>
      </c>
    </row>
    <row r="60" spans="1:12" x14ac:dyDescent="0.35">
      <c r="A60" s="510"/>
      <c r="B60" s="215" t="s">
        <v>1025</v>
      </c>
      <c r="C60" s="9"/>
      <c r="D60" s="9"/>
      <c r="E60" s="9"/>
      <c r="F60" s="216"/>
      <c r="H60" s="271"/>
      <c r="I60" s="8"/>
      <c r="J60" s="8"/>
      <c r="K60" s="8"/>
      <c r="L60" s="259"/>
    </row>
    <row r="61" spans="1:12" x14ac:dyDescent="0.35">
      <c r="A61" s="510"/>
      <c r="B61" s="212" t="s">
        <v>1026</v>
      </c>
      <c r="C61" s="706"/>
      <c r="D61" s="17" t="s">
        <v>544</v>
      </c>
      <c r="E61" s="17"/>
      <c r="F61" s="213"/>
      <c r="H61" s="275"/>
      <c r="I61" s="17" t="s">
        <v>1027</v>
      </c>
      <c r="J61" s="17" t="str">
        <f>""</f>
        <v/>
      </c>
      <c r="K61" s="17"/>
      <c r="L61" s="213" t="s">
        <v>64</v>
      </c>
    </row>
    <row r="62" spans="1:12" x14ac:dyDescent="0.35">
      <c r="A62" s="511"/>
      <c r="B62" s="212" t="s">
        <v>1028</v>
      </c>
      <c r="C62" s="706"/>
      <c r="D62" s="17" t="s">
        <v>544</v>
      </c>
      <c r="E62" s="17"/>
      <c r="F62" s="213"/>
      <c r="H62" s="275"/>
      <c r="I62" s="17" t="s">
        <v>1027</v>
      </c>
      <c r="J62" s="17" t="str">
        <f>""</f>
        <v/>
      </c>
      <c r="K62" s="17"/>
      <c r="L62" s="213" t="s">
        <v>64</v>
      </c>
    </row>
    <row r="63" spans="1:12" x14ac:dyDescent="0.35">
      <c r="A63" s="511"/>
      <c r="B63" s="212" t="s">
        <v>1029</v>
      </c>
      <c r="C63" s="706"/>
      <c r="D63" s="17" t="s">
        <v>544</v>
      </c>
      <c r="E63" s="17"/>
      <c r="F63" s="213"/>
      <c r="H63" s="275"/>
      <c r="I63" s="17" t="s">
        <v>1027</v>
      </c>
      <c r="J63" s="17" t="str">
        <f>""</f>
        <v/>
      </c>
      <c r="K63" s="17"/>
      <c r="L63" s="213" t="s">
        <v>64</v>
      </c>
    </row>
    <row r="64" spans="1:12" x14ac:dyDescent="0.35">
      <c r="A64" s="511"/>
      <c r="B64" s="212" t="s">
        <v>1030</v>
      </c>
      <c r="C64" s="706"/>
      <c r="D64" s="17" t="s">
        <v>544</v>
      </c>
      <c r="E64" s="17"/>
      <c r="F64" s="213"/>
      <c r="H64" s="275"/>
      <c r="I64" s="17" t="s">
        <v>1027</v>
      </c>
      <c r="J64" s="17" t="str">
        <f>""</f>
        <v/>
      </c>
      <c r="K64" s="17"/>
      <c r="L64" s="213" t="s">
        <v>64</v>
      </c>
    </row>
    <row r="65" spans="1:12" x14ac:dyDescent="0.35">
      <c r="A65" s="511"/>
      <c r="B65" s="212" t="s">
        <v>1031</v>
      </c>
      <c r="C65" s="706"/>
      <c r="D65" s="17" t="s">
        <v>544</v>
      </c>
      <c r="E65" s="17"/>
      <c r="F65" s="213"/>
      <c r="H65" s="275"/>
      <c r="I65" s="17" t="s">
        <v>1027</v>
      </c>
      <c r="J65" s="17" t="str">
        <f>""</f>
        <v/>
      </c>
      <c r="K65" s="17"/>
      <c r="L65" s="213" t="s">
        <v>64</v>
      </c>
    </row>
    <row r="66" spans="1:12" x14ac:dyDescent="0.35">
      <c r="A66" s="511"/>
      <c r="B66" s="212" t="s">
        <v>1032</v>
      </c>
      <c r="C66" s="706"/>
      <c r="D66" s="17" t="s">
        <v>544</v>
      </c>
      <c r="E66" s="17"/>
      <c r="F66" s="213"/>
      <c r="H66" s="275"/>
      <c r="I66" s="17" t="s">
        <v>1033</v>
      </c>
      <c r="J66" s="17" t="str">
        <f>""</f>
        <v/>
      </c>
      <c r="K66" s="17"/>
      <c r="L66" s="213" t="s">
        <v>165</v>
      </c>
    </row>
    <row r="67" spans="1:12" x14ac:dyDescent="0.35">
      <c r="A67" s="511"/>
      <c r="B67" s="212" t="s">
        <v>1034</v>
      </c>
      <c r="C67" s="719" t="str">
        <f>IF(SUM(C61:C66)=100%,SUM(C61:C66),"FEIL, skal summeres til 100%")</f>
        <v>FEIL, skal summeres til 100%</v>
      </c>
      <c r="D67" s="17"/>
      <c r="E67" s="17"/>
      <c r="F67" s="213"/>
      <c r="H67" s="275"/>
      <c r="I67" s="17"/>
      <c r="J67" s="17"/>
      <c r="K67" s="17"/>
      <c r="L67" s="213"/>
    </row>
    <row r="68" spans="1:12" ht="18.5" x14ac:dyDescent="0.45">
      <c r="B68" s="247" t="s">
        <v>1035</v>
      </c>
      <c r="C68" s="10" t="s">
        <v>1036</v>
      </c>
      <c r="D68" s="10" t="s">
        <v>1037</v>
      </c>
      <c r="E68" s="10" t="s">
        <v>1038</v>
      </c>
      <c r="F68" s="241" t="s">
        <v>534</v>
      </c>
      <c r="H68" s="258" t="s">
        <v>727</v>
      </c>
      <c r="I68" s="10" t="s">
        <v>275</v>
      </c>
      <c r="J68" s="10" t="s">
        <v>928</v>
      </c>
      <c r="K68" s="10" t="s">
        <v>60</v>
      </c>
      <c r="L68" s="241" t="s">
        <v>731</v>
      </c>
    </row>
    <row r="69" spans="1:12" x14ac:dyDescent="0.35">
      <c r="B69" s="212" t="s">
        <v>1039</v>
      </c>
      <c r="C69" s="707"/>
      <c r="D69" s="707"/>
      <c r="E69" s="720">
        <f t="shared" ref="E69:E75" si="0">D69-C69</f>
        <v>0</v>
      </c>
      <c r="F69" s="213" t="s">
        <v>965</v>
      </c>
      <c r="H69" s="272"/>
      <c r="I69" s="148" t="s">
        <v>1040</v>
      </c>
      <c r="J69" s="17"/>
      <c r="K69" s="17"/>
      <c r="L69" s="213" t="s">
        <v>64</v>
      </c>
    </row>
    <row r="70" spans="1:12" x14ac:dyDescent="0.35">
      <c r="B70" s="212" t="s">
        <v>1041</v>
      </c>
      <c r="C70" s="707"/>
      <c r="D70" s="707"/>
      <c r="E70" s="720">
        <f t="shared" si="0"/>
        <v>0</v>
      </c>
      <c r="F70" s="213" t="s">
        <v>965</v>
      </c>
      <c r="H70" s="272"/>
      <c r="I70" s="148" t="s">
        <v>1042</v>
      </c>
      <c r="J70" s="17"/>
      <c r="K70" s="17"/>
      <c r="L70" s="213" t="s">
        <v>64</v>
      </c>
    </row>
    <row r="71" spans="1:12" x14ac:dyDescent="0.35">
      <c r="B71" s="212" t="s">
        <v>1043</v>
      </c>
      <c r="C71" s="707"/>
      <c r="D71" s="707"/>
      <c r="E71" s="720">
        <f t="shared" si="0"/>
        <v>0</v>
      </c>
      <c r="F71" s="213" t="s">
        <v>1044</v>
      </c>
      <c r="H71" s="272"/>
      <c r="I71" s="148" t="s">
        <v>1045</v>
      </c>
      <c r="J71" s="17" t="str">
        <f>""</f>
        <v/>
      </c>
      <c r="K71" s="17" t="str">
        <f>""</f>
        <v/>
      </c>
      <c r="L71" s="213" t="s">
        <v>64</v>
      </c>
    </row>
    <row r="72" spans="1:12" x14ac:dyDescent="0.35">
      <c r="B72" s="212" t="s">
        <v>1046</v>
      </c>
      <c r="C72" s="707"/>
      <c r="D72" s="707"/>
      <c r="E72" s="720">
        <f t="shared" si="0"/>
        <v>0</v>
      </c>
      <c r="F72" s="213" t="s">
        <v>1044</v>
      </c>
      <c r="H72" s="272"/>
      <c r="I72" s="148" t="s">
        <v>1047</v>
      </c>
      <c r="J72" s="17"/>
      <c r="K72" s="17"/>
      <c r="L72" s="213" t="s">
        <v>64</v>
      </c>
    </row>
    <row r="73" spans="1:12" x14ac:dyDescent="0.35">
      <c r="B73" s="212" t="s">
        <v>823</v>
      </c>
      <c r="C73" s="707"/>
      <c r="D73" s="707"/>
      <c r="E73" s="720">
        <f t="shared" si="0"/>
        <v>0</v>
      </c>
      <c r="F73" s="213" t="s">
        <v>1044</v>
      </c>
      <c r="H73" s="272"/>
      <c r="I73" s="148" t="s">
        <v>1048</v>
      </c>
      <c r="J73" s="17"/>
      <c r="K73" s="17"/>
      <c r="L73" s="213" t="s">
        <v>173</v>
      </c>
    </row>
    <row r="74" spans="1:12" x14ac:dyDescent="0.35">
      <c r="B74" s="212" t="s">
        <v>1029</v>
      </c>
      <c r="C74" s="707"/>
      <c r="D74" s="707"/>
      <c r="E74" s="720">
        <f>D74-C74</f>
        <v>0</v>
      </c>
      <c r="F74" s="213" t="s">
        <v>1044</v>
      </c>
      <c r="H74" s="272"/>
      <c r="I74" s="148" t="s">
        <v>2498</v>
      </c>
      <c r="J74" s="17"/>
      <c r="K74" s="17"/>
      <c r="L74" s="213" t="s">
        <v>808</v>
      </c>
    </row>
    <row r="75" spans="1:12" x14ac:dyDescent="0.35">
      <c r="B75" s="212" t="s">
        <v>1049</v>
      </c>
      <c r="C75" s="707"/>
      <c r="D75" s="707"/>
      <c r="E75" s="720">
        <f t="shared" si="0"/>
        <v>0</v>
      </c>
      <c r="F75" s="213" t="s">
        <v>1050</v>
      </c>
      <c r="H75" s="272"/>
      <c r="I75" s="148" t="s">
        <v>1051</v>
      </c>
      <c r="J75" s="17" t="str">
        <f>""</f>
        <v/>
      </c>
      <c r="K75" s="17"/>
      <c r="L75" s="213" t="s">
        <v>64</v>
      </c>
    </row>
    <row r="76" spans="1:12" x14ac:dyDescent="0.35">
      <c r="B76" s="212" t="s">
        <v>1052</v>
      </c>
      <c r="C76" s="721">
        <v>8.3999999999999995E-3</v>
      </c>
      <c r="D76" s="17"/>
      <c r="E76" s="17"/>
      <c r="F76" s="213" t="s">
        <v>544</v>
      </c>
      <c r="H76" s="272"/>
      <c r="I76" s="148" t="s">
        <v>1053</v>
      </c>
      <c r="J76" s="149" t="s">
        <v>1054</v>
      </c>
      <c r="K76" s="17"/>
      <c r="L76" s="213" t="s">
        <v>173</v>
      </c>
    </row>
    <row r="77" spans="1:12" x14ac:dyDescent="0.35">
      <c r="A77" s="511"/>
      <c r="B77" s="212" t="s">
        <v>1055</v>
      </c>
      <c r="C77" s="707" t="s">
        <v>1056</v>
      </c>
      <c r="D77" s="1060" t="s">
        <v>1056</v>
      </c>
      <c r="E77" s="720">
        <f>IF(C77=D77,0,IF(C77="Diesel",1,-1))</f>
        <v>0</v>
      </c>
      <c r="F77" s="213"/>
      <c r="G77" s="6"/>
      <c r="H77" s="272"/>
      <c r="I77" s="148" t="s">
        <v>1057</v>
      </c>
      <c r="J77" s="17" t="str">
        <f>""</f>
        <v/>
      </c>
      <c r="K77" s="17"/>
      <c r="L77" s="213" t="s">
        <v>173</v>
      </c>
    </row>
    <row r="78" spans="1:12" x14ac:dyDescent="0.35">
      <c r="A78" s="511"/>
      <c r="B78" s="212" t="s">
        <v>1058</v>
      </c>
      <c r="C78" s="464"/>
      <c r="D78" s="464"/>
      <c r="E78" s="464">
        <f>D78-C78</f>
        <v>0</v>
      </c>
      <c r="F78" s="213" t="s">
        <v>544</v>
      </c>
      <c r="G78" s="6"/>
      <c r="H78" s="272"/>
      <c r="I78" s="148" t="s">
        <v>1059</v>
      </c>
      <c r="J78" s="17"/>
      <c r="K78" s="17"/>
      <c r="L78" s="213" t="s">
        <v>173</v>
      </c>
    </row>
    <row r="79" spans="1:12" ht="18.5" x14ac:dyDescent="0.45">
      <c r="A79" s="511"/>
      <c r="B79" s="247" t="s">
        <v>1060</v>
      </c>
      <c r="C79" s="135"/>
      <c r="D79" s="66"/>
      <c r="E79" s="66"/>
      <c r="F79" s="263"/>
      <c r="H79" s="304"/>
      <c r="I79" s="1182"/>
      <c r="J79" s="66"/>
      <c r="K79" s="66"/>
      <c r="L79" s="263"/>
    </row>
    <row r="80" spans="1:12" x14ac:dyDescent="0.35">
      <c r="B80" s="215" t="s">
        <v>1061</v>
      </c>
      <c r="C80" s="9"/>
      <c r="D80" s="8"/>
      <c r="E80" s="8"/>
      <c r="F80" s="259"/>
      <c r="H80" s="278"/>
      <c r="I80" s="31"/>
      <c r="J80" s="8"/>
      <c r="K80" s="8"/>
      <c r="L80" s="259"/>
    </row>
    <row r="81" spans="1:12" x14ac:dyDescent="0.35">
      <c r="B81" s="212" t="s">
        <v>1062</v>
      </c>
      <c r="C81" s="682" t="s">
        <v>921</v>
      </c>
      <c r="D81" s="682" t="s">
        <v>921</v>
      </c>
      <c r="E81" s="712" t="str">
        <f>IF(Togtype_Ref=Togtype_Tiltak,"","Endret")</f>
        <v/>
      </c>
      <c r="F81" s="213" t="s">
        <v>1061</v>
      </c>
      <c r="H81" s="272"/>
      <c r="I81" s="65" t="s">
        <v>1063</v>
      </c>
      <c r="J81" s="17" t="str">
        <f>""</f>
        <v/>
      </c>
      <c r="K81" s="17" t="str">
        <f>""</f>
        <v/>
      </c>
      <c r="L81" s="213" t="s">
        <v>64</v>
      </c>
    </row>
    <row r="82" spans="1:12" x14ac:dyDescent="0.35">
      <c r="B82" s="212" t="s">
        <v>1064</v>
      </c>
      <c r="C82" s="722" t="s">
        <v>921</v>
      </c>
      <c r="D82" s="722" t="s">
        <v>921</v>
      </c>
      <c r="E82" s="712" t="str">
        <f>IF(TogtypeVogn_Ref=TogTypeVogn_Tiltak,"","Endret")</f>
        <v/>
      </c>
      <c r="F82" s="213" t="s">
        <v>1065</v>
      </c>
      <c r="H82" s="272"/>
      <c r="I82" s="149" t="s">
        <v>1066</v>
      </c>
      <c r="J82" s="17"/>
      <c r="K82" s="17"/>
      <c r="L82" s="213" t="s">
        <v>64</v>
      </c>
    </row>
    <row r="83" spans="1:12" x14ac:dyDescent="0.35">
      <c r="B83" s="212" t="s">
        <v>1067</v>
      </c>
      <c r="C83" s="722"/>
      <c r="D83" s="722"/>
      <c r="E83" s="631">
        <f>D83-C83</f>
        <v>0</v>
      </c>
      <c r="F83" s="213" t="s">
        <v>965</v>
      </c>
      <c r="H83" s="272"/>
      <c r="I83" s="149" t="s">
        <v>1068</v>
      </c>
      <c r="J83" s="17"/>
      <c r="K83" s="17"/>
      <c r="L83" s="213" t="s">
        <v>64</v>
      </c>
    </row>
    <row r="84" spans="1:12" x14ac:dyDescent="0.35">
      <c r="B84" s="215" t="s">
        <v>1069</v>
      </c>
      <c r="C84" s="9"/>
      <c r="D84" s="8"/>
      <c r="E84" s="8"/>
      <c r="F84" s="259"/>
      <c r="H84" s="278"/>
      <c r="I84" s="31"/>
      <c r="J84" s="8"/>
      <c r="K84" s="8"/>
      <c r="L84" s="259"/>
    </row>
    <row r="85" spans="1:12" x14ac:dyDescent="0.35">
      <c r="B85" s="212" t="s">
        <v>1070</v>
      </c>
      <c r="C85" s="708"/>
      <c r="D85" s="708"/>
      <c r="E85" s="712">
        <f>Togsett_Tiltak-Togsett_Ref</f>
        <v>0</v>
      </c>
      <c r="F85" s="213" t="s">
        <v>965</v>
      </c>
      <c r="H85" s="272"/>
      <c r="I85" s="149" t="s">
        <v>1071</v>
      </c>
      <c r="J85" s="17"/>
      <c r="K85" s="17"/>
      <c r="L85" s="213" t="s">
        <v>64</v>
      </c>
    </row>
    <row r="86" spans="1:12" x14ac:dyDescent="0.35">
      <c r="B86" s="215" t="s">
        <v>1072</v>
      </c>
      <c r="C86" s="9" t="s">
        <v>1073</v>
      </c>
      <c r="D86" s="9"/>
      <c r="E86" s="9"/>
      <c r="F86" s="216"/>
      <c r="H86" s="278"/>
      <c r="I86" s="31"/>
      <c r="J86" s="8"/>
      <c r="K86" s="8"/>
      <c r="L86" s="259"/>
    </row>
    <row r="87" spans="1:12" x14ac:dyDescent="0.35">
      <c r="B87" s="212" t="s">
        <v>1062</v>
      </c>
      <c r="C87" s="712" t="s">
        <v>921</v>
      </c>
      <c r="D87" s="712" t="s">
        <v>921</v>
      </c>
      <c r="E87" s="712" t="str">
        <f>IF(Togtype_Ref_2=Togtype_Tiltak_2,"","Endret")</f>
        <v/>
      </c>
      <c r="F87" s="213" t="s">
        <v>1061</v>
      </c>
      <c r="H87" s="272"/>
      <c r="I87" s="65" t="s">
        <v>1063</v>
      </c>
      <c r="J87" s="17"/>
      <c r="K87" s="17"/>
      <c r="L87" s="213" t="s">
        <v>117</v>
      </c>
    </row>
    <row r="88" spans="1:12" x14ac:dyDescent="0.35">
      <c r="B88" s="212" t="s">
        <v>1064</v>
      </c>
      <c r="C88" s="722" t="s">
        <v>921</v>
      </c>
      <c r="D88" s="722" t="s">
        <v>921</v>
      </c>
      <c r="E88" s="712" t="str">
        <f>IF(TogtypeVogn_Ref_2=TogTypeVogn_Tiltak_2,"","Endret")</f>
        <v/>
      </c>
      <c r="F88" s="213" t="s">
        <v>1065</v>
      </c>
      <c r="H88" s="272"/>
      <c r="I88" s="149" t="s">
        <v>1066</v>
      </c>
      <c r="J88" s="17"/>
      <c r="K88" s="17"/>
      <c r="L88" s="213" t="s">
        <v>117</v>
      </c>
    </row>
    <row r="89" spans="1:12" x14ac:dyDescent="0.35">
      <c r="B89" s="212" t="s">
        <v>1067</v>
      </c>
      <c r="C89" s="722"/>
      <c r="D89" s="722"/>
      <c r="E89" s="631">
        <f>D89-C89</f>
        <v>0</v>
      </c>
      <c r="F89" s="213" t="s">
        <v>965</v>
      </c>
      <c r="H89" s="272"/>
      <c r="I89" s="149" t="s">
        <v>1068</v>
      </c>
      <c r="J89" s="17"/>
      <c r="K89" s="17"/>
      <c r="L89" s="213" t="s">
        <v>117</v>
      </c>
    </row>
    <row r="90" spans="1:12" x14ac:dyDescent="0.35">
      <c r="B90" s="215" t="s">
        <v>1074</v>
      </c>
      <c r="C90" s="31"/>
      <c r="D90" s="31"/>
      <c r="E90" s="31"/>
      <c r="F90" s="259"/>
      <c r="H90" s="278"/>
      <c r="I90" s="31"/>
      <c r="J90" s="8"/>
      <c r="K90" s="8"/>
      <c r="L90" s="259"/>
    </row>
    <row r="91" spans="1:12" x14ac:dyDescent="0.35">
      <c r="B91" s="212" t="s">
        <v>1070</v>
      </c>
      <c r="C91" s="708"/>
      <c r="D91" s="708"/>
      <c r="E91" s="712">
        <f>Togsett_Tiltak_2-Togsett_Ref_2</f>
        <v>0</v>
      </c>
      <c r="F91" s="213" t="s">
        <v>965</v>
      </c>
      <c r="H91" s="272"/>
      <c r="I91" s="149" t="s">
        <v>1071</v>
      </c>
      <c r="J91" s="17"/>
      <c r="K91" s="17"/>
      <c r="L91" s="213" t="s">
        <v>117</v>
      </c>
    </row>
    <row r="92" spans="1:12" ht="18.5" x14ac:dyDescent="0.45">
      <c r="A92" s="527"/>
      <c r="B92" s="247" t="s">
        <v>1075</v>
      </c>
      <c r="C92" s="1183"/>
      <c r="D92" s="66"/>
      <c r="E92" s="66"/>
      <c r="F92" s="263"/>
      <c r="H92" s="304"/>
      <c r="I92" s="1182"/>
      <c r="J92" s="66"/>
      <c r="K92" s="66"/>
      <c r="L92" s="263"/>
    </row>
    <row r="93" spans="1:12" x14ac:dyDescent="0.35">
      <c r="B93" s="212" t="s">
        <v>1076</v>
      </c>
      <c r="C93" s="709"/>
      <c r="D93" s="709"/>
      <c r="E93" s="464">
        <f>PunktlighetTiltak-PunktlighetRef</f>
        <v>0</v>
      </c>
      <c r="F93" s="213" t="s">
        <v>544</v>
      </c>
      <c r="H93" s="272"/>
      <c r="I93" s="65" t="s">
        <v>1077</v>
      </c>
      <c r="J93" s="17" t="str">
        <f>""</f>
        <v/>
      </c>
      <c r="K93" s="17" t="str">
        <f>""</f>
        <v/>
      </c>
      <c r="L93" s="213" t="s">
        <v>102</v>
      </c>
    </row>
    <row r="94" spans="1:12" x14ac:dyDescent="0.35">
      <c r="B94" s="218" t="s">
        <v>1078</v>
      </c>
      <c r="C94" s="709"/>
      <c r="D94" s="709"/>
      <c r="E94" s="17"/>
      <c r="F94" s="213" t="s">
        <v>544</v>
      </c>
      <c r="H94" s="281"/>
      <c r="I94" s="65" t="s">
        <v>1079</v>
      </c>
      <c r="J94" s="17" t="s">
        <v>1080</v>
      </c>
      <c r="K94" s="69">
        <v>42907</v>
      </c>
      <c r="L94" s="213" t="s">
        <v>64</v>
      </c>
    </row>
    <row r="95" spans="1:12" x14ac:dyDescent="0.35">
      <c r="B95" s="218" t="s">
        <v>1081</v>
      </c>
      <c r="C95" s="1002" t="s">
        <v>1082</v>
      </c>
      <c r="D95" s="1198">
        <f>IF(Åpningsår&lt;=2023,75%,IF(Åpningsår=2024,60%,IF(Åpningsår=2025,45%,IF(Åpningsår=2026,30%,IF(Åpningsår=2027,15%,IF(Åpningsår&gt;=2027,0%))))))</f>
        <v>0.75</v>
      </c>
      <c r="E95" s="17"/>
      <c r="F95" s="213" t="s">
        <v>1083</v>
      </c>
      <c r="H95" s="272" t="s">
        <v>1084</v>
      </c>
      <c r="I95" s="65" t="s">
        <v>1085</v>
      </c>
      <c r="J95" s="17"/>
      <c r="K95" s="69">
        <v>45282</v>
      </c>
      <c r="L95" s="213" t="s">
        <v>1086</v>
      </c>
    </row>
    <row r="96" spans="1:12" x14ac:dyDescent="0.35">
      <c r="A96" s="511"/>
      <c r="B96" s="212" t="s">
        <v>1087</v>
      </c>
      <c r="C96" s="626" t="s">
        <v>1082</v>
      </c>
      <c r="D96" s="17"/>
      <c r="E96" s="17"/>
      <c r="F96" s="213" t="s">
        <v>1083</v>
      </c>
      <c r="G96" s="554"/>
      <c r="H96" s="275"/>
      <c r="I96" s="17" t="s">
        <v>1088</v>
      </c>
      <c r="J96" s="959" t="s">
        <v>106</v>
      </c>
      <c r="K96" s="101">
        <v>44016</v>
      </c>
      <c r="L96" s="221" t="s">
        <v>102</v>
      </c>
    </row>
    <row r="97" spans="1:12" x14ac:dyDescent="0.35">
      <c r="A97" s="511"/>
      <c r="B97" s="212" t="s">
        <v>1089</v>
      </c>
      <c r="C97" s="626" t="s">
        <v>1090</v>
      </c>
      <c r="D97" s="17"/>
      <c r="E97" s="17"/>
      <c r="F97" s="213" t="s">
        <v>1091</v>
      </c>
      <c r="G97" s="554"/>
      <c r="H97" s="275"/>
      <c r="I97" s="17" t="s">
        <v>1092</v>
      </c>
      <c r="J97" s="959"/>
      <c r="K97" s="101">
        <v>44545</v>
      </c>
      <c r="L97" s="221" t="s">
        <v>1086</v>
      </c>
    </row>
    <row r="98" spans="1:12" x14ac:dyDescent="0.35">
      <c r="A98" s="511"/>
      <c r="B98" s="212" t="s">
        <v>1093</v>
      </c>
      <c r="C98" s="1049">
        <v>0</v>
      </c>
      <c r="D98" s="17"/>
      <c r="E98" s="17"/>
      <c r="F98" s="213" t="s">
        <v>544</v>
      </c>
      <c r="G98" s="554"/>
      <c r="H98" s="275"/>
      <c r="I98" s="17"/>
      <c r="J98" s="959"/>
      <c r="K98" s="101">
        <v>44797</v>
      </c>
      <c r="L98" s="221" t="s">
        <v>1086</v>
      </c>
    </row>
    <row r="99" spans="1:12" ht="18.5" x14ac:dyDescent="0.45">
      <c r="B99" s="240" t="s">
        <v>1094</v>
      </c>
      <c r="C99" s="11"/>
      <c r="D99" s="10" t="s">
        <v>534</v>
      </c>
      <c r="E99" s="10"/>
      <c r="F99" s="241" t="s">
        <v>935</v>
      </c>
      <c r="H99" s="258" t="s">
        <v>727</v>
      </c>
      <c r="I99" s="10" t="s">
        <v>275</v>
      </c>
      <c r="J99" s="10" t="s">
        <v>928</v>
      </c>
      <c r="K99" s="10" t="s">
        <v>60</v>
      </c>
      <c r="L99" s="241" t="s">
        <v>731</v>
      </c>
    </row>
    <row r="100" spans="1:12" x14ac:dyDescent="0.35">
      <c r="B100" s="212" t="s">
        <v>1095</v>
      </c>
      <c r="C100" s="710"/>
      <c r="D100" s="17" t="s">
        <v>962</v>
      </c>
      <c r="E100" s="17"/>
      <c r="F100" s="213" t="s">
        <v>962</v>
      </c>
      <c r="H100" s="275" t="s">
        <v>322</v>
      </c>
      <c r="I100" s="65" t="s">
        <v>1096</v>
      </c>
      <c r="J100" s="17" t="s">
        <v>1097</v>
      </c>
      <c r="K100" s="69">
        <v>43258</v>
      </c>
      <c r="L100" s="213" t="s">
        <v>64</v>
      </c>
    </row>
    <row r="101" spans="1:12" s="6" customFormat="1" ht="15" thickBot="1" x14ac:dyDescent="0.4">
      <c r="A101" s="511"/>
      <c r="B101" s="266" t="s">
        <v>1098</v>
      </c>
      <c r="C101" s="584"/>
      <c r="D101" s="267" t="s">
        <v>962</v>
      </c>
      <c r="E101" s="415"/>
      <c r="F101" s="302" t="s">
        <v>962</v>
      </c>
      <c r="H101" s="583"/>
      <c r="I101" s="267" t="s">
        <v>1099</v>
      </c>
      <c r="J101" s="267" t="s">
        <v>1100</v>
      </c>
      <c r="K101" s="408">
        <v>44725</v>
      </c>
      <c r="L101" s="268" t="s">
        <v>808</v>
      </c>
    </row>
    <row r="103" spans="1:12" ht="15" thickBot="1" x14ac:dyDescent="0.4"/>
    <row r="104" spans="1:12" ht="21" x14ac:dyDescent="0.5">
      <c r="B104" s="207" t="s">
        <v>1101</v>
      </c>
      <c r="C104" s="208"/>
      <c r="D104" s="208"/>
      <c r="E104" s="208"/>
      <c r="F104" s="209"/>
      <c r="H104" s="207" t="s">
        <v>723</v>
      </c>
      <c r="I104" s="257"/>
      <c r="J104" s="257"/>
      <c r="K104" s="269" t="s">
        <v>1102</v>
      </c>
      <c r="L104" s="270"/>
    </row>
    <row r="105" spans="1:12" ht="18.5" x14ac:dyDescent="0.45">
      <c r="B105" s="247" t="s">
        <v>1103</v>
      </c>
      <c r="C105" s="66"/>
      <c r="D105" s="10" t="s">
        <v>534</v>
      </c>
      <c r="E105" s="10"/>
      <c r="F105" s="241" t="s">
        <v>935</v>
      </c>
      <c r="G105" s="71"/>
      <c r="H105" s="258" t="s">
        <v>727</v>
      </c>
      <c r="I105" s="10" t="s">
        <v>275</v>
      </c>
      <c r="J105" s="10" t="s">
        <v>928</v>
      </c>
      <c r="K105" s="10" t="s">
        <v>60</v>
      </c>
      <c r="L105" s="241" t="s">
        <v>731</v>
      </c>
    </row>
    <row r="106" spans="1:12" x14ac:dyDescent="0.35">
      <c r="B106" s="218" t="s">
        <v>1104</v>
      </c>
      <c r="C106" s="723">
        <f>IF('1.3 Persontransportmodell'!AH17&gt;0,'1.3 Persontransportmodell'!AH17/'1.3 Persontransportmodell'!AH20,0.41)</f>
        <v>0.41</v>
      </c>
      <c r="D106" s="17" t="s">
        <v>544</v>
      </c>
      <c r="E106" s="17"/>
      <c r="F106" s="213">
        <v>2021</v>
      </c>
      <c r="G106" s="71"/>
      <c r="H106" s="945" t="s">
        <v>1105</v>
      </c>
      <c r="I106" s="17" t="s">
        <v>1106</v>
      </c>
      <c r="J106" s="17" t="s">
        <v>1107</v>
      </c>
      <c r="K106" s="69">
        <v>44377</v>
      </c>
      <c r="L106" s="213" t="s">
        <v>117</v>
      </c>
    </row>
    <row r="107" spans="1:12" x14ac:dyDescent="0.35">
      <c r="B107" s="218" t="s">
        <v>1108</v>
      </c>
      <c r="C107" s="464">
        <f>IF('1.3 Persontransportmodell'!AH18&gt;0,'1.3 Persontransportmodell'!AH18/'1.3 Persontransportmodell'!AH20,0.54)</f>
        <v>0.54</v>
      </c>
      <c r="D107" s="17" t="s">
        <v>544</v>
      </c>
      <c r="E107" s="17"/>
      <c r="F107" s="213">
        <v>2021</v>
      </c>
      <c r="G107" s="71"/>
      <c r="H107" s="945" t="s">
        <v>1105</v>
      </c>
      <c r="I107" s="17" t="s">
        <v>1109</v>
      </c>
      <c r="J107" s="17" t="s">
        <v>1110</v>
      </c>
      <c r="K107" s="69">
        <v>44377</v>
      </c>
      <c r="L107" s="213" t="s">
        <v>117</v>
      </c>
    </row>
    <row r="108" spans="1:12" x14ac:dyDescent="0.35">
      <c r="B108" s="218" t="s">
        <v>1111</v>
      </c>
      <c r="C108" s="464">
        <f>IF('1.3 Persontransportmodell'!AH19&gt;0,'1.3 Persontransportmodell'!AH19/'1.3 Persontransportmodell'!AH20,0.05)</f>
        <v>0.05</v>
      </c>
      <c r="D108" s="17" t="s">
        <v>544</v>
      </c>
      <c r="E108" s="17"/>
      <c r="F108" s="213">
        <v>2021</v>
      </c>
      <c r="G108" s="71"/>
      <c r="H108" s="945" t="s">
        <v>1105</v>
      </c>
      <c r="I108" s="17" t="s">
        <v>1112</v>
      </c>
      <c r="J108" s="17" t="s">
        <v>1113</v>
      </c>
      <c r="K108" s="69">
        <v>44377</v>
      </c>
      <c r="L108" s="213" t="s">
        <v>117</v>
      </c>
    </row>
    <row r="109" spans="1:12" ht="18.5" x14ac:dyDescent="0.45">
      <c r="A109" s="511"/>
      <c r="B109" s="247" t="s">
        <v>1196</v>
      </c>
      <c r="C109" s="62"/>
      <c r="D109" s="11"/>
      <c r="E109" s="11"/>
      <c r="F109" s="249"/>
      <c r="H109" s="307"/>
      <c r="I109" s="11"/>
      <c r="J109" s="11"/>
      <c r="K109" s="958"/>
      <c r="L109" s="249"/>
    </row>
    <row r="110" spans="1:12" x14ac:dyDescent="0.35">
      <c r="A110" s="530"/>
      <c r="B110" s="212" t="s">
        <v>1197</v>
      </c>
      <c r="C110" s="64">
        <v>0.48</v>
      </c>
      <c r="D110" s="17" t="s">
        <v>544</v>
      </c>
      <c r="E110" s="17"/>
      <c r="F110" s="213">
        <v>2024</v>
      </c>
      <c r="G110" s="1222"/>
      <c r="H110" s="945" t="s">
        <v>2453</v>
      </c>
      <c r="I110" s="17" t="s">
        <v>1198</v>
      </c>
      <c r="J110" s="65"/>
      <c r="K110" s="69">
        <v>46078</v>
      </c>
      <c r="L110" s="213" t="s">
        <v>173</v>
      </c>
    </row>
    <row r="111" spans="1:12" x14ac:dyDescent="0.35">
      <c r="B111" s="212" t="s">
        <v>1199</v>
      </c>
      <c r="C111" s="64">
        <v>0.23</v>
      </c>
      <c r="D111" s="17" t="s">
        <v>544</v>
      </c>
      <c r="E111" s="17"/>
      <c r="F111" s="213">
        <v>2024</v>
      </c>
      <c r="H111" s="945" t="s">
        <v>2453</v>
      </c>
      <c r="I111" s="17" t="s">
        <v>1198</v>
      </c>
      <c r="J111" s="65"/>
      <c r="K111" s="69">
        <v>46078</v>
      </c>
      <c r="L111" s="213" t="s">
        <v>173</v>
      </c>
    </row>
    <row r="112" spans="1:12" x14ac:dyDescent="0.35">
      <c r="B112" s="212" t="s">
        <v>1200</v>
      </c>
      <c r="C112" s="64">
        <v>0</v>
      </c>
      <c r="D112" s="17" t="s">
        <v>544</v>
      </c>
      <c r="E112" s="17"/>
      <c r="F112" s="213">
        <v>2024</v>
      </c>
      <c r="H112" s="945" t="s">
        <v>2453</v>
      </c>
      <c r="I112" s="17" t="s">
        <v>1198</v>
      </c>
      <c r="J112" s="65"/>
      <c r="K112" s="69">
        <v>46078</v>
      </c>
      <c r="L112" s="213" t="s">
        <v>173</v>
      </c>
    </row>
    <row r="113" spans="1:12" x14ac:dyDescent="0.35">
      <c r="B113" s="212" t="s">
        <v>1201</v>
      </c>
      <c r="C113" s="64">
        <v>0.28999999999999998</v>
      </c>
      <c r="D113" s="17" t="s">
        <v>544</v>
      </c>
      <c r="E113" s="17"/>
      <c r="F113" s="213">
        <v>2024</v>
      </c>
      <c r="H113" s="945" t="s">
        <v>2453</v>
      </c>
      <c r="I113" s="17" t="s">
        <v>1198</v>
      </c>
      <c r="J113" s="65"/>
      <c r="K113" s="69">
        <v>46078</v>
      </c>
      <c r="L113" s="213" t="s">
        <v>173</v>
      </c>
    </row>
    <row r="114" spans="1:12" ht="18.5" x14ac:dyDescent="0.45">
      <c r="B114" s="247" t="s">
        <v>1114</v>
      </c>
      <c r="C114" s="946"/>
      <c r="D114" s="11"/>
      <c r="E114" s="11"/>
      <c r="F114" s="249"/>
      <c r="G114" s="71"/>
      <c r="H114" s="307"/>
      <c r="I114" s="11"/>
      <c r="J114" s="11"/>
      <c r="K114" s="958"/>
      <c r="L114" s="249"/>
    </row>
    <row r="115" spans="1:12" x14ac:dyDescent="0.35">
      <c r="B115" s="215" t="s">
        <v>1115</v>
      </c>
      <c r="C115" s="8"/>
      <c r="D115" s="8"/>
      <c r="E115" s="8"/>
      <c r="F115" s="259"/>
      <c r="H115" s="279"/>
      <c r="I115" s="8"/>
      <c r="J115" s="8"/>
      <c r="K115" s="8"/>
      <c r="L115" s="259"/>
    </row>
    <row r="116" spans="1:12" x14ac:dyDescent="0.35">
      <c r="B116" s="212" t="s">
        <v>1116</v>
      </c>
      <c r="C116" s="12">
        <v>1</v>
      </c>
      <c r="D116" s="17" t="s">
        <v>1114</v>
      </c>
      <c r="E116" s="17"/>
      <c r="F116" s="213">
        <v>2010</v>
      </c>
      <c r="H116" s="275" t="s">
        <v>1117</v>
      </c>
      <c r="I116" s="17" t="s">
        <v>1118</v>
      </c>
      <c r="J116" s="17" t="s">
        <v>1119</v>
      </c>
      <c r="K116" s="69">
        <v>43047</v>
      </c>
      <c r="L116" s="213" t="s">
        <v>64</v>
      </c>
    </row>
    <row r="117" spans="1:12" x14ac:dyDescent="0.35">
      <c r="B117" s="212" t="s">
        <v>1120</v>
      </c>
      <c r="C117" s="12">
        <v>1</v>
      </c>
      <c r="D117" s="17" t="s">
        <v>1114</v>
      </c>
      <c r="E117" s="17"/>
      <c r="F117" s="213">
        <v>2010</v>
      </c>
      <c r="H117" s="275" t="s">
        <v>1117</v>
      </c>
      <c r="I117" s="17" t="s">
        <v>1118</v>
      </c>
      <c r="J117" s="17" t="s">
        <v>1119</v>
      </c>
      <c r="K117" s="69">
        <v>43047</v>
      </c>
      <c r="L117" s="213" t="s">
        <v>64</v>
      </c>
    </row>
    <row r="118" spans="1:12" x14ac:dyDescent="0.35">
      <c r="B118" s="212" t="s">
        <v>1121</v>
      </c>
      <c r="C118" s="12">
        <v>1</v>
      </c>
      <c r="D118" s="17" t="s">
        <v>1114</v>
      </c>
      <c r="E118" s="17"/>
      <c r="F118" s="213">
        <v>2010</v>
      </c>
      <c r="H118" s="275" t="s">
        <v>1117</v>
      </c>
      <c r="I118" s="17" t="s">
        <v>1122</v>
      </c>
      <c r="J118" s="17" t="s">
        <v>1119</v>
      </c>
      <c r="K118" s="69">
        <v>43047</v>
      </c>
      <c r="L118" s="213" t="s">
        <v>64</v>
      </c>
    </row>
    <row r="119" spans="1:12" x14ac:dyDescent="0.35">
      <c r="A119" s="510"/>
      <c r="B119" s="220" t="s">
        <v>1123</v>
      </c>
      <c r="C119" s="8"/>
      <c r="D119" s="8"/>
      <c r="E119" s="8"/>
      <c r="F119" s="259"/>
      <c r="H119" s="275"/>
      <c r="I119" s="17"/>
      <c r="J119" s="17"/>
      <c r="K119" s="17"/>
      <c r="L119" s="213"/>
    </row>
    <row r="120" spans="1:12" x14ac:dyDescent="0.35">
      <c r="A120" s="511"/>
      <c r="B120" s="218" t="s">
        <v>1124</v>
      </c>
      <c r="C120" s="112" t="s">
        <v>1125</v>
      </c>
      <c r="D120" s="17" t="s">
        <v>1114</v>
      </c>
      <c r="E120" s="17"/>
      <c r="F120" s="213">
        <v>2017</v>
      </c>
      <c r="H120" s="275" t="s">
        <v>1126</v>
      </c>
      <c r="I120" s="17" t="s">
        <v>1127</v>
      </c>
      <c r="J120" s="17" t="s">
        <v>1128</v>
      </c>
      <c r="K120" s="69">
        <v>42920</v>
      </c>
      <c r="L120" s="213" t="s">
        <v>64</v>
      </c>
    </row>
    <row r="121" spans="1:12" x14ac:dyDescent="0.35">
      <c r="A121" s="511"/>
      <c r="B121" s="218" t="s">
        <v>1129</v>
      </c>
      <c r="C121" s="112" t="s">
        <v>1130</v>
      </c>
      <c r="D121" s="17" t="s">
        <v>1114</v>
      </c>
      <c r="E121" s="17"/>
      <c r="F121" s="213">
        <v>2017</v>
      </c>
      <c r="H121" s="275" t="s">
        <v>1126</v>
      </c>
      <c r="I121" s="17" t="s">
        <v>1131</v>
      </c>
      <c r="J121" s="17" t="s">
        <v>1128</v>
      </c>
      <c r="K121" s="69">
        <v>42920</v>
      </c>
      <c r="L121" s="213" t="s">
        <v>64</v>
      </c>
    </row>
    <row r="122" spans="1:12" x14ac:dyDescent="0.35">
      <c r="A122" s="511"/>
      <c r="B122" s="218" t="s">
        <v>1132</v>
      </c>
      <c r="C122" s="112" t="s">
        <v>1133</v>
      </c>
      <c r="D122" s="17" t="s">
        <v>1114</v>
      </c>
      <c r="E122" s="17"/>
      <c r="F122" s="213">
        <v>2017</v>
      </c>
      <c r="H122" s="275" t="s">
        <v>1126</v>
      </c>
      <c r="I122" s="17" t="s">
        <v>1134</v>
      </c>
      <c r="J122" s="17" t="s">
        <v>1128</v>
      </c>
      <c r="K122" s="69">
        <v>42920</v>
      </c>
      <c r="L122" s="213" t="s">
        <v>64</v>
      </c>
    </row>
    <row r="123" spans="1:12" x14ac:dyDescent="0.35">
      <c r="A123" s="511"/>
      <c r="B123" s="218" t="s">
        <v>1135</v>
      </c>
      <c r="C123" s="112" t="s">
        <v>1136</v>
      </c>
      <c r="D123" s="17" t="s">
        <v>1114</v>
      </c>
      <c r="E123" s="17"/>
      <c r="F123" s="213">
        <v>2017</v>
      </c>
      <c r="H123" s="275" t="s">
        <v>1126</v>
      </c>
      <c r="I123" s="17" t="s">
        <v>1137</v>
      </c>
      <c r="J123" s="17" t="s">
        <v>1128</v>
      </c>
      <c r="K123" s="69">
        <v>42920</v>
      </c>
      <c r="L123" s="213" t="s">
        <v>64</v>
      </c>
    </row>
    <row r="124" spans="1:12" ht="18.5" x14ac:dyDescent="0.45">
      <c r="B124" s="247" t="s">
        <v>1138</v>
      </c>
      <c r="C124" s="14"/>
      <c r="D124" s="14"/>
      <c r="E124" s="14"/>
      <c r="F124" s="248"/>
      <c r="H124" s="274"/>
      <c r="I124" s="14"/>
      <c r="J124" s="14"/>
      <c r="K124" s="14"/>
      <c r="L124" s="248"/>
    </row>
    <row r="125" spans="1:12" x14ac:dyDescent="0.35">
      <c r="B125" s="215" t="s">
        <v>1139</v>
      </c>
      <c r="C125" s="8"/>
      <c r="D125" s="8"/>
      <c r="E125" s="8"/>
      <c r="F125" s="259"/>
      <c r="H125" s="279"/>
      <c r="I125" s="8"/>
      <c r="J125" s="8"/>
      <c r="K125" s="8"/>
      <c r="L125" s="259"/>
    </row>
    <row r="126" spans="1:12" x14ac:dyDescent="0.35">
      <c r="A126" s="511"/>
      <c r="B126" s="212" t="s">
        <v>1026</v>
      </c>
      <c r="C126" s="12">
        <v>100</v>
      </c>
      <c r="D126" s="17" t="s">
        <v>1140</v>
      </c>
      <c r="E126" s="17"/>
      <c r="F126" s="213">
        <v>2017</v>
      </c>
      <c r="H126" s="275" t="s">
        <v>276</v>
      </c>
      <c r="I126" s="17" t="s">
        <v>1141</v>
      </c>
      <c r="J126" s="17" t="s">
        <v>1142</v>
      </c>
      <c r="K126" s="69">
        <v>42892</v>
      </c>
      <c r="L126" s="213" t="s">
        <v>64</v>
      </c>
    </row>
    <row r="127" spans="1:12" x14ac:dyDescent="0.35">
      <c r="A127" s="511"/>
      <c r="B127" s="212" t="s">
        <v>1028</v>
      </c>
      <c r="C127" s="12">
        <v>40</v>
      </c>
      <c r="D127" s="17" t="s">
        <v>1140</v>
      </c>
      <c r="E127" s="17"/>
      <c r="F127" s="213">
        <v>2017</v>
      </c>
      <c r="H127" s="275" t="s">
        <v>276</v>
      </c>
      <c r="I127" s="17" t="s">
        <v>1143</v>
      </c>
      <c r="J127" s="17" t="s">
        <v>1144</v>
      </c>
      <c r="K127" s="69">
        <v>42892</v>
      </c>
      <c r="L127" s="213" t="s">
        <v>64</v>
      </c>
    </row>
    <row r="128" spans="1:12" x14ac:dyDescent="0.35">
      <c r="A128" s="511"/>
      <c r="B128" s="212" t="s">
        <v>1029</v>
      </c>
      <c r="C128" s="12">
        <v>80</v>
      </c>
      <c r="D128" s="17" t="s">
        <v>1140</v>
      </c>
      <c r="E128" s="17"/>
      <c r="F128" s="213">
        <v>2026</v>
      </c>
      <c r="H128" s="275" t="s">
        <v>2531</v>
      </c>
      <c r="I128" s="17" t="s">
        <v>2530</v>
      </c>
      <c r="J128" s="17" t="s">
        <v>1144</v>
      </c>
      <c r="K128" s="69">
        <v>46237</v>
      </c>
      <c r="L128" s="213" t="s">
        <v>808</v>
      </c>
    </row>
    <row r="129" spans="1:12" x14ac:dyDescent="0.35">
      <c r="A129" s="511"/>
      <c r="B129" s="212" t="s">
        <v>1030</v>
      </c>
      <c r="C129" s="12">
        <v>40</v>
      </c>
      <c r="D129" s="17" t="s">
        <v>1140</v>
      </c>
      <c r="E129" s="17"/>
      <c r="F129" s="213">
        <v>2017</v>
      </c>
      <c r="H129" s="275" t="s">
        <v>276</v>
      </c>
      <c r="I129" s="17" t="s">
        <v>1145</v>
      </c>
      <c r="J129" s="17" t="s">
        <v>1144</v>
      </c>
      <c r="K129" s="69">
        <v>42892</v>
      </c>
      <c r="L129" s="213" t="s">
        <v>64</v>
      </c>
    </row>
    <row r="130" spans="1:12" x14ac:dyDescent="0.35">
      <c r="A130" s="511"/>
      <c r="B130" s="212" t="s">
        <v>1031</v>
      </c>
      <c r="C130" s="12">
        <v>25</v>
      </c>
      <c r="D130" s="17" t="s">
        <v>1140</v>
      </c>
      <c r="E130" s="17"/>
      <c r="F130" s="213">
        <v>2017</v>
      </c>
      <c r="H130" s="275" t="s">
        <v>276</v>
      </c>
      <c r="I130" s="17" t="s">
        <v>1146</v>
      </c>
      <c r="J130" s="17" t="s">
        <v>1144</v>
      </c>
      <c r="K130" s="69">
        <v>42892</v>
      </c>
      <c r="L130" s="213" t="s">
        <v>64</v>
      </c>
    </row>
    <row r="131" spans="1:12" x14ac:dyDescent="0.35">
      <c r="A131" s="511"/>
      <c r="B131" s="212" t="s">
        <v>1032</v>
      </c>
      <c r="C131" s="12">
        <v>5</v>
      </c>
      <c r="D131" s="17" t="s">
        <v>1140</v>
      </c>
      <c r="E131" s="17"/>
      <c r="F131" s="213">
        <v>2017</v>
      </c>
      <c r="H131" s="275"/>
      <c r="I131" s="17" t="s">
        <v>1147</v>
      </c>
      <c r="J131" s="17"/>
      <c r="K131" s="69">
        <v>45111</v>
      </c>
      <c r="L131" s="213" t="s">
        <v>173</v>
      </c>
    </row>
    <row r="132" spans="1:12" ht="18.5" x14ac:dyDescent="0.45">
      <c r="A132" s="511"/>
      <c r="B132" s="240" t="s">
        <v>1148</v>
      </c>
      <c r="C132" s="947"/>
      <c r="D132" s="14"/>
      <c r="E132" s="14"/>
      <c r="F132" s="248"/>
      <c r="H132" s="274"/>
      <c r="I132" s="14"/>
      <c r="J132" s="14"/>
      <c r="K132" s="14"/>
      <c r="L132" s="248"/>
    </row>
    <row r="133" spans="1:12" s="164" customFormat="1" ht="15.5" x14ac:dyDescent="0.35">
      <c r="A133" s="528"/>
      <c r="B133" s="210" t="s">
        <v>1149</v>
      </c>
      <c r="C133" s="948"/>
      <c r="D133" s="948"/>
      <c r="E133" s="948"/>
      <c r="F133" s="303"/>
      <c r="H133" s="308"/>
      <c r="I133" s="948"/>
      <c r="J133" s="948"/>
      <c r="K133" s="948"/>
      <c r="L133" s="303"/>
    </row>
    <row r="134" spans="1:12" ht="15.5" x14ac:dyDescent="0.35">
      <c r="A134" s="510"/>
      <c r="B134" s="210" t="s">
        <v>1150</v>
      </c>
      <c r="C134" s="8"/>
      <c r="D134" s="8"/>
      <c r="E134" s="8"/>
      <c r="F134" s="259"/>
      <c r="H134" s="271"/>
      <c r="I134" s="8"/>
      <c r="J134" s="8"/>
      <c r="K134" s="8"/>
      <c r="L134" s="259"/>
    </row>
    <row r="135" spans="1:12" x14ac:dyDescent="0.35">
      <c r="A135" s="510"/>
      <c r="B135" s="218" t="s">
        <v>1151</v>
      </c>
      <c r="C135" s="15">
        <v>0.82</v>
      </c>
      <c r="D135" s="17" t="s">
        <v>544</v>
      </c>
      <c r="E135" s="17"/>
      <c r="F135" s="213">
        <v>2024</v>
      </c>
      <c r="H135" s="945" t="s">
        <v>2453</v>
      </c>
      <c r="I135" s="17" t="s">
        <v>1152</v>
      </c>
      <c r="J135" s="17"/>
      <c r="K135" s="69">
        <v>46079</v>
      </c>
      <c r="L135" s="213" t="s">
        <v>808</v>
      </c>
    </row>
    <row r="136" spans="1:12" x14ac:dyDescent="0.35">
      <c r="A136" s="510"/>
      <c r="B136" s="218" t="s">
        <v>1153</v>
      </c>
      <c r="C136" s="15">
        <v>0.18</v>
      </c>
      <c r="D136" s="17" t="s">
        <v>544</v>
      </c>
      <c r="E136" s="17"/>
      <c r="F136" s="213">
        <v>2024</v>
      </c>
      <c r="H136" s="945" t="s">
        <v>2453</v>
      </c>
      <c r="I136" s="17" t="s">
        <v>1154</v>
      </c>
      <c r="J136" s="17"/>
      <c r="K136" s="69">
        <v>46079</v>
      </c>
      <c r="L136" s="213" t="s">
        <v>808</v>
      </c>
    </row>
    <row r="137" spans="1:12" x14ac:dyDescent="0.35">
      <c r="A137" s="511"/>
      <c r="B137" s="220" t="s">
        <v>2458</v>
      </c>
      <c r="C137" s="8"/>
      <c r="D137" s="8"/>
      <c r="E137" s="8"/>
      <c r="F137" s="259"/>
      <c r="H137" s="279"/>
      <c r="I137" s="8"/>
      <c r="J137" s="8"/>
      <c r="K137" s="8"/>
      <c r="L137" s="259"/>
    </row>
    <row r="138" spans="1:12" x14ac:dyDescent="0.35">
      <c r="A138" s="529"/>
      <c r="B138" s="218" t="s">
        <v>1104</v>
      </c>
      <c r="C138" s="21">
        <f>'Standardsatser-Forutsetninger'!$C$137</f>
        <v>1.0979442189341364</v>
      </c>
      <c r="D138" s="17" t="str">
        <f>'Standardsatser-Forutsetninger'!$D$137</f>
        <v>Personer pr. bil</v>
      </c>
      <c r="E138" s="17"/>
      <c r="F138" s="213">
        <v>2024</v>
      </c>
      <c r="H138" s="945" t="s">
        <v>2453</v>
      </c>
      <c r="I138" s="65"/>
      <c r="J138" s="959"/>
      <c r="K138" s="69">
        <v>46079</v>
      </c>
      <c r="L138" s="213" t="s">
        <v>808</v>
      </c>
    </row>
    <row r="139" spans="1:12" x14ac:dyDescent="0.35">
      <c r="B139" s="218" t="s">
        <v>1108</v>
      </c>
      <c r="C139" s="21">
        <f>'Standardsatser-Forutsetninger'!$C$138</f>
        <v>1.2268322014714206</v>
      </c>
      <c r="D139" s="91" t="str">
        <f>'Standardsatser-Forutsetninger'!$D$138</f>
        <v>Personer pr. bil</v>
      </c>
      <c r="E139" s="91"/>
      <c r="F139" s="213">
        <v>2024</v>
      </c>
      <c r="H139" s="945" t="s">
        <v>2453</v>
      </c>
      <c r="I139" s="65"/>
      <c r="J139" s="959"/>
      <c r="K139" s="69">
        <v>46079</v>
      </c>
      <c r="L139" s="213" t="s">
        <v>808</v>
      </c>
    </row>
    <row r="140" spans="1:12" x14ac:dyDescent="0.35">
      <c r="B140" s="218" t="s">
        <v>1111</v>
      </c>
      <c r="C140" s="21">
        <v>1.1063380281690141</v>
      </c>
      <c r="D140" s="17" t="str">
        <f>'Standardsatser-Forutsetninger'!$D$137</f>
        <v>Personer pr. bil</v>
      </c>
      <c r="E140" s="17"/>
      <c r="F140" s="213">
        <v>2024</v>
      </c>
      <c r="H140" s="945" t="s">
        <v>2453</v>
      </c>
      <c r="I140" s="65"/>
      <c r="J140" s="959"/>
      <c r="K140" s="69">
        <v>46079</v>
      </c>
      <c r="L140" s="213" t="s">
        <v>808</v>
      </c>
    </row>
    <row r="141" spans="1:12" x14ac:dyDescent="0.35">
      <c r="B141" s="220" t="s">
        <v>2459</v>
      </c>
      <c r="C141" s="8"/>
      <c r="D141" s="8"/>
      <c r="E141" s="8"/>
      <c r="F141" s="259"/>
      <c r="H141" s="279"/>
      <c r="I141" s="8"/>
      <c r="J141" s="8"/>
      <c r="K141" s="8"/>
      <c r="L141" s="259"/>
    </row>
    <row r="142" spans="1:12" x14ac:dyDescent="0.35">
      <c r="B142" s="218" t="s">
        <v>1104</v>
      </c>
      <c r="C142" s="21">
        <v>1.2</v>
      </c>
      <c r="D142" s="17" t="s">
        <v>1155</v>
      </c>
      <c r="E142" s="17"/>
      <c r="F142" s="213">
        <v>2024</v>
      </c>
      <c r="H142" s="945" t="s">
        <v>2453</v>
      </c>
      <c r="I142" s="148"/>
      <c r="J142" s="65" t="str">
        <f>""</f>
        <v/>
      </c>
      <c r="K142" s="69">
        <v>46079</v>
      </c>
      <c r="L142" s="213" t="s">
        <v>808</v>
      </c>
    </row>
    <row r="143" spans="1:12" x14ac:dyDescent="0.35">
      <c r="B143" s="218" t="s">
        <v>1108</v>
      </c>
      <c r="C143" s="21">
        <v>1.26</v>
      </c>
      <c r="D143" s="17" t="s">
        <v>1155</v>
      </c>
      <c r="E143" s="17"/>
      <c r="F143" s="213">
        <v>2024</v>
      </c>
      <c r="H143" s="945" t="s">
        <v>2453</v>
      </c>
      <c r="I143" s="148"/>
      <c r="J143" s="959"/>
      <c r="K143" s="69">
        <v>46079</v>
      </c>
      <c r="L143" s="213" t="s">
        <v>808</v>
      </c>
    </row>
    <row r="144" spans="1:12" x14ac:dyDescent="0.35">
      <c r="B144" s="218" t="s">
        <v>1111</v>
      </c>
      <c r="C144" s="12">
        <v>1.1399999999999999</v>
      </c>
      <c r="D144" s="17" t="s">
        <v>1155</v>
      </c>
      <c r="E144" s="17"/>
      <c r="F144" s="213">
        <v>2024</v>
      </c>
      <c r="H144" s="945" t="s">
        <v>2453</v>
      </c>
      <c r="I144" s="148"/>
      <c r="J144" s="65" t="str">
        <f>""</f>
        <v/>
      </c>
      <c r="K144" s="69">
        <v>46079</v>
      </c>
      <c r="L144" s="213" t="s">
        <v>808</v>
      </c>
    </row>
    <row r="145" spans="1:12" x14ac:dyDescent="0.35">
      <c r="B145" s="215" t="s">
        <v>1156</v>
      </c>
      <c r="C145" s="8"/>
      <c r="D145" s="8"/>
      <c r="E145" s="8"/>
      <c r="F145" s="259"/>
      <c r="H145" s="279"/>
      <c r="I145" s="8"/>
      <c r="J145" s="8"/>
      <c r="K145" s="8"/>
      <c r="L145" s="259"/>
    </row>
    <row r="146" spans="1:12" s="6" customFormat="1" x14ac:dyDescent="0.35">
      <c r="A146" s="511"/>
      <c r="B146" s="218" t="s">
        <v>795</v>
      </c>
      <c r="C146" s="752">
        <f>(C138*Bilreiser_under50km+C142*Bilreiser_over50km)*AndelArbeidsreiser+(C139*Bilreiser_under50km+C143*Bilreiser_over50km)*AndelFritidsreiser+(C140*Bilreiser_under50km+C144*Bilreiser_over50km)*AndelForretningsreiser</f>
        <v>1.1790220043721311</v>
      </c>
      <c r="D146" s="17" t="s">
        <v>1155</v>
      </c>
      <c r="E146" s="17"/>
      <c r="F146" s="213"/>
      <c r="H146" s="945" t="s">
        <v>2453</v>
      </c>
      <c r="I146" s="65"/>
      <c r="J146" s="148" t="s">
        <v>1157</v>
      </c>
      <c r="K146" s="69">
        <v>46079</v>
      </c>
      <c r="L146" s="213" t="s">
        <v>808</v>
      </c>
    </row>
    <row r="147" spans="1:12" s="164" customFormat="1" ht="15.5" x14ac:dyDescent="0.35">
      <c r="A147" s="528"/>
      <c r="B147" s="210" t="s">
        <v>1158</v>
      </c>
      <c r="C147" s="948"/>
      <c r="D147" s="948"/>
      <c r="E147" s="948"/>
      <c r="F147" s="303"/>
      <c r="H147" s="308"/>
      <c r="I147" s="948"/>
      <c r="J147" s="948"/>
      <c r="K147" s="948"/>
      <c r="L147" s="303"/>
    </row>
    <row r="148" spans="1:12" x14ac:dyDescent="0.35">
      <c r="A148" s="510"/>
      <c r="B148" s="218" t="s">
        <v>795</v>
      </c>
      <c r="C148" s="117">
        <v>10</v>
      </c>
      <c r="D148" s="17" t="s">
        <v>1159</v>
      </c>
      <c r="E148" s="17"/>
      <c r="F148" s="213">
        <v>2024</v>
      </c>
      <c r="H148" s="275" t="s">
        <v>326</v>
      </c>
      <c r="I148" s="17" t="s">
        <v>1160</v>
      </c>
      <c r="J148" s="17" t="s">
        <v>1161</v>
      </c>
      <c r="K148" s="69">
        <v>46079</v>
      </c>
      <c r="L148" s="213" t="s">
        <v>173</v>
      </c>
    </row>
    <row r="149" spans="1:12" s="164" customFormat="1" ht="15.5" x14ac:dyDescent="0.35">
      <c r="A149" s="528"/>
      <c r="B149" s="210" t="s">
        <v>1162</v>
      </c>
      <c r="C149" s="948"/>
      <c r="D149" s="948"/>
      <c r="E149" s="948"/>
      <c r="F149" s="303"/>
      <c r="H149" s="308"/>
      <c r="I149" s="948"/>
      <c r="J149" s="948"/>
      <c r="K149" s="948"/>
      <c r="L149" s="303"/>
    </row>
    <row r="150" spans="1:12" x14ac:dyDescent="0.35">
      <c r="A150" s="510"/>
      <c r="B150" s="212" t="s">
        <v>795</v>
      </c>
      <c r="C150" s="117">
        <v>59</v>
      </c>
      <c r="D150" s="17" t="s">
        <v>1163</v>
      </c>
      <c r="E150" s="17"/>
      <c r="F150" s="213">
        <v>2024</v>
      </c>
      <c r="H150" s="275" t="s">
        <v>2454</v>
      </c>
      <c r="I150" s="149" t="s">
        <v>1164</v>
      </c>
      <c r="J150" s="17"/>
      <c r="K150" s="69">
        <v>46079</v>
      </c>
      <c r="L150" s="213" t="s">
        <v>173</v>
      </c>
    </row>
    <row r="151" spans="1:12" ht="18.5" x14ac:dyDescent="0.45">
      <c r="A151" s="511"/>
      <c r="B151" s="247" t="s">
        <v>744</v>
      </c>
      <c r="C151" s="949"/>
      <c r="D151" s="950"/>
      <c r="E151" s="11"/>
      <c r="F151" s="249"/>
      <c r="H151" s="274"/>
      <c r="I151" s="14"/>
      <c r="J151" s="14"/>
      <c r="K151" s="14"/>
      <c r="L151" s="248"/>
    </row>
    <row r="152" spans="1:12" x14ac:dyDescent="0.35">
      <c r="B152" s="520" t="s">
        <v>1165</v>
      </c>
      <c r="C152" s="70"/>
      <c r="D152" s="70"/>
      <c r="E152" s="8"/>
      <c r="F152" s="259"/>
      <c r="H152" s="279"/>
      <c r="I152" s="8"/>
      <c r="J152" s="8"/>
      <c r="K152" s="8"/>
      <c r="L152" s="259"/>
    </row>
    <row r="153" spans="1:12" x14ac:dyDescent="0.35">
      <c r="A153" s="511"/>
      <c r="B153" s="218" t="s">
        <v>1166</v>
      </c>
      <c r="C153" s="117">
        <v>3</v>
      </c>
      <c r="D153" s="17" t="s">
        <v>1167</v>
      </c>
      <c r="E153" s="17"/>
      <c r="F153" s="213">
        <v>2020</v>
      </c>
      <c r="H153" s="275" t="s">
        <v>748</v>
      </c>
      <c r="I153" s="65" t="s">
        <v>1168</v>
      </c>
      <c r="J153" s="65" t="s">
        <v>1169</v>
      </c>
      <c r="K153" s="69">
        <v>44727</v>
      </c>
      <c r="L153" s="213" t="s">
        <v>808</v>
      </c>
    </row>
    <row r="154" spans="1:12" x14ac:dyDescent="0.35">
      <c r="A154" s="511"/>
      <c r="B154" s="218" t="s">
        <v>1170</v>
      </c>
      <c r="C154" s="117">
        <v>12</v>
      </c>
      <c r="D154" s="17" t="s">
        <v>1167</v>
      </c>
      <c r="E154" s="17"/>
      <c r="F154" s="213">
        <v>2020</v>
      </c>
      <c r="H154" s="275" t="s">
        <v>748</v>
      </c>
      <c r="I154" s="65" t="s">
        <v>1168</v>
      </c>
      <c r="J154" s="65" t="s">
        <v>1169</v>
      </c>
      <c r="K154" s="69">
        <v>44727</v>
      </c>
      <c r="L154" s="213" t="s">
        <v>808</v>
      </c>
    </row>
    <row r="155" spans="1:12" x14ac:dyDescent="0.35">
      <c r="A155" s="511"/>
      <c r="B155" s="218" t="s">
        <v>1171</v>
      </c>
      <c r="C155" s="117">
        <v>5</v>
      </c>
      <c r="D155" s="17" t="s">
        <v>1167</v>
      </c>
      <c r="E155" s="17"/>
      <c r="F155" s="213">
        <v>2020</v>
      </c>
      <c r="H155" s="275" t="s">
        <v>748</v>
      </c>
      <c r="I155" s="65" t="s">
        <v>1168</v>
      </c>
      <c r="J155" s="65" t="s">
        <v>1169</v>
      </c>
      <c r="K155" s="69">
        <v>44727</v>
      </c>
      <c r="L155" s="213" t="s">
        <v>808</v>
      </c>
    </row>
    <row r="156" spans="1:12" x14ac:dyDescent="0.35">
      <c r="A156" s="511"/>
      <c r="B156" s="218" t="s">
        <v>1172</v>
      </c>
      <c r="C156" s="117">
        <v>13</v>
      </c>
      <c r="D156" s="17" t="s">
        <v>1167</v>
      </c>
      <c r="E156" s="17"/>
      <c r="F156" s="213">
        <v>2020</v>
      </c>
      <c r="H156" s="275" t="s">
        <v>748</v>
      </c>
      <c r="I156" s="65" t="s">
        <v>1168</v>
      </c>
      <c r="J156" s="65" t="s">
        <v>1173</v>
      </c>
      <c r="K156" s="69">
        <v>44727</v>
      </c>
      <c r="L156" s="213" t="s">
        <v>808</v>
      </c>
    </row>
    <row r="157" spans="1:12" x14ac:dyDescent="0.35">
      <c r="A157" s="511"/>
      <c r="B157" s="218" t="s">
        <v>1174</v>
      </c>
      <c r="C157" s="117">
        <v>23</v>
      </c>
      <c r="D157" s="17" t="s">
        <v>1167</v>
      </c>
      <c r="E157" s="17"/>
      <c r="F157" s="213">
        <v>2020</v>
      </c>
      <c r="H157" s="275" t="s">
        <v>748</v>
      </c>
      <c r="I157" s="65" t="s">
        <v>1168</v>
      </c>
      <c r="J157" s="65" t="s">
        <v>1169</v>
      </c>
      <c r="K157" s="69">
        <v>44727</v>
      </c>
      <c r="L157" s="213" t="s">
        <v>808</v>
      </c>
    </row>
    <row r="158" spans="1:12" x14ac:dyDescent="0.35">
      <c r="A158" s="511"/>
      <c r="B158" s="218" t="s">
        <v>1175</v>
      </c>
      <c r="C158" s="117">
        <v>53</v>
      </c>
      <c r="D158" s="17" t="s">
        <v>1167</v>
      </c>
      <c r="E158" s="17"/>
      <c r="F158" s="213">
        <v>2020</v>
      </c>
      <c r="H158" s="275" t="s">
        <v>748</v>
      </c>
      <c r="I158" s="65" t="s">
        <v>1168</v>
      </c>
      <c r="J158" s="65" t="s">
        <v>1173</v>
      </c>
      <c r="K158" s="69">
        <v>44727</v>
      </c>
      <c r="L158" s="213" t="s">
        <v>808</v>
      </c>
    </row>
    <row r="159" spans="1:12" x14ac:dyDescent="0.35">
      <c r="A159" s="511"/>
      <c r="B159" s="520" t="s">
        <v>1176</v>
      </c>
      <c r="C159" s="951"/>
      <c r="D159" s="8"/>
      <c r="E159" s="8"/>
      <c r="F159" s="259"/>
      <c r="H159" s="271"/>
      <c r="I159" s="8"/>
      <c r="J159" s="8"/>
      <c r="K159" s="8"/>
      <c r="L159" s="259"/>
    </row>
    <row r="160" spans="1:12" x14ac:dyDescent="0.35">
      <c r="B160" s="218" t="s">
        <v>1177</v>
      </c>
      <c r="C160" s="12">
        <v>1.07</v>
      </c>
      <c r="D160" s="17" t="str">
        <f>'Standardsatser-Forutsetninger'!$D$140</f>
        <v>Vekt</v>
      </c>
      <c r="E160" s="17"/>
      <c r="F160" s="213">
        <v>2020</v>
      </c>
      <c r="H160" s="275" t="s">
        <v>748</v>
      </c>
      <c r="I160" s="65" t="s">
        <v>1168</v>
      </c>
      <c r="J160" s="65" t="s">
        <v>1178</v>
      </c>
      <c r="K160" s="69">
        <v>44732</v>
      </c>
      <c r="L160" s="213" t="s">
        <v>808</v>
      </c>
    </row>
    <row r="161" spans="1:12" x14ac:dyDescent="0.35">
      <c r="B161" s="218" t="s">
        <v>1179</v>
      </c>
      <c r="C161" s="12">
        <v>0.98</v>
      </c>
      <c r="D161" s="17" t="str">
        <f>'Standardsatser-Forutsetninger'!$D$140</f>
        <v>Vekt</v>
      </c>
      <c r="E161" s="17"/>
      <c r="F161" s="213">
        <v>2020</v>
      </c>
      <c r="H161" s="275" t="s">
        <v>748</v>
      </c>
      <c r="I161" s="65" t="s">
        <v>1168</v>
      </c>
      <c r="J161" s="65" t="s">
        <v>1178</v>
      </c>
      <c r="K161" s="69">
        <v>44732</v>
      </c>
      <c r="L161" s="213" t="s">
        <v>808</v>
      </c>
    </row>
    <row r="162" spans="1:12" x14ac:dyDescent="0.35">
      <c r="B162" s="218" t="s">
        <v>1180</v>
      </c>
      <c r="C162" s="12">
        <v>0.63</v>
      </c>
      <c r="D162" s="17" t="s">
        <v>644</v>
      </c>
      <c r="E162" s="17"/>
      <c r="F162" s="213">
        <v>2020</v>
      </c>
      <c r="H162" s="275" t="s">
        <v>748</v>
      </c>
      <c r="I162" s="65" t="s">
        <v>1168</v>
      </c>
      <c r="J162" s="65" t="s">
        <v>1178</v>
      </c>
      <c r="K162" s="69">
        <v>44732</v>
      </c>
      <c r="L162" s="213" t="s">
        <v>808</v>
      </c>
    </row>
    <row r="163" spans="1:12" x14ac:dyDescent="0.35">
      <c r="B163" s="218" t="s">
        <v>1181</v>
      </c>
      <c r="C163" s="12">
        <v>0.47</v>
      </c>
      <c r="D163" s="17" t="s">
        <v>644</v>
      </c>
      <c r="E163" s="17"/>
      <c r="F163" s="213">
        <v>2020</v>
      </c>
      <c r="H163" s="275" t="s">
        <v>748</v>
      </c>
      <c r="I163" s="65" t="s">
        <v>1168</v>
      </c>
      <c r="J163" s="65" t="s">
        <v>1178</v>
      </c>
      <c r="K163" s="69">
        <v>44732</v>
      </c>
      <c r="L163" s="213" t="s">
        <v>808</v>
      </c>
    </row>
    <row r="164" spans="1:12" x14ac:dyDescent="0.35">
      <c r="B164" s="218" t="s">
        <v>1182</v>
      </c>
      <c r="C164" s="12">
        <v>0.18</v>
      </c>
      <c r="D164" s="17" t="s">
        <v>644</v>
      </c>
      <c r="E164" s="17"/>
      <c r="F164" s="213">
        <v>2020</v>
      </c>
      <c r="H164" s="275" t="s">
        <v>748</v>
      </c>
      <c r="I164" s="65" t="s">
        <v>1168</v>
      </c>
      <c r="J164" s="65" t="s">
        <v>1178</v>
      </c>
      <c r="K164" s="69">
        <v>44732</v>
      </c>
      <c r="L164" s="213" t="s">
        <v>808</v>
      </c>
    </row>
    <row r="165" spans="1:12" x14ac:dyDescent="0.35">
      <c r="B165" s="520" t="s">
        <v>1183</v>
      </c>
      <c r="C165" s="8"/>
      <c r="D165" s="8"/>
      <c r="E165" s="8"/>
      <c r="F165" s="259"/>
      <c r="H165" s="279"/>
      <c r="I165" s="70"/>
      <c r="J165" s="70"/>
      <c r="K165" s="8"/>
      <c r="L165" s="259"/>
    </row>
    <row r="166" spans="1:12" x14ac:dyDescent="0.35">
      <c r="B166" s="218" t="s">
        <v>1177</v>
      </c>
      <c r="C166" s="12">
        <v>1.07</v>
      </c>
      <c r="D166" s="17" t="s">
        <v>644</v>
      </c>
      <c r="E166" s="17"/>
      <c r="F166" s="213">
        <v>2020</v>
      </c>
      <c r="H166" s="275" t="s">
        <v>748</v>
      </c>
      <c r="I166" s="65" t="s">
        <v>1168</v>
      </c>
      <c r="J166" s="65" t="s">
        <v>1184</v>
      </c>
      <c r="K166" s="69">
        <v>44732</v>
      </c>
      <c r="L166" s="213" t="s">
        <v>808</v>
      </c>
    </row>
    <row r="167" spans="1:12" x14ac:dyDescent="0.35">
      <c r="B167" s="218" t="s">
        <v>1179</v>
      </c>
      <c r="C167" s="12">
        <v>1.03</v>
      </c>
      <c r="D167" s="17" t="s">
        <v>644</v>
      </c>
      <c r="E167" s="17"/>
      <c r="F167" s="213">
        <v>2020</v>
      </c>
      <c r="H167" s="275" t="s">
        <v>748</v>
      </c>
      <c r="I167" s="65" t="s">
        <v>1168</v>
      </c>
      <c r="J167" s="65" t="s">
        <v>1184</v>
      </c>
      <c r="K167" s="69">
        <v>44732</v>
      </c>
      <c r="L167" s="213" t="s">
        <v>808</v>
      </c>
    </row>
    <row r="168" spans="1:12" x14ac:dyDescent="0.35">
      <c r="B168" s="218" t="s">
        <v>1180</v>
      </c>
      <c r="C168" s="12">
        <v>0.83</v>
      </c>
      <c r="D168" s="17" t="s">
        <v>644</v>
      </c>
      <c r="E168" s="17"/>
      <c r="F168" s="213">
        <v>2020</v>
      </c>
      <c r="H168" s="275" t="s">
        <v>748</v>
      </c>
      <c r="I168" s="65" t="s">
        <v>1168</v>
      </c>
      <c r="J168" s="65" t="s">
        <v>1184</v>
      </c>
      <c r="K168" s="69">
        <v>44732</v>
      </c>
      <c r="L168" s="213" t="s">
        <v>808</v>
      </c>
    </row>
    <row r="169" spans="1:12" x14ac:dyDescent="0.35">
      <c r="B169" s="218" t="s">
        <v>1181</v>
      </c>
      <c r="C169" s="12">
        <v>0.65</v>
      </c>
      <c r="D169" s="17" t="s">
        <v>644</v>
      </c>
      <c r="E169" s="17"/>
      <c r="F169" s="213">
        <v>2020</v>
      </c>
      <c r="H169" s="275" t="s">
        <v>748</v>
      </c>
      <c r="I169" s="65" t="s">
        <v>1168</v>
      </c>
      <c r="J169" s="65" t="s">
        <v>1184</v>
      </c>
      <c r="K169" s="69">
        <v>44732</v>
      </c>
      <c r="L169" s="213" t="s">
        <v>808</v>
      </c>
    </row>
    <row r="170" spans="1:12" x14ac:dyDescent="0.35">
      <c r="B170" s="218" t="s">
        <v>1182</v>
      </c>
      <c r="C170" s="12">
        <v>0.41</v>
      </c>
      <c r="D170" s="17" t="s">
        <v>644</v>
      </c>
      <c r="E170" s="17"/>
      <c r="F170" s="213">
        <v>2020</v>
      </c>
      <c r="H170" s="275" t="s">
        <v>748</v>
      </c>
      <c r="I170" s="65" t="s">
        <v>1168</v>
      </c>
      <c r="J170" s="65" t="s">
        <v>1184</v>
      </c>
      <c r="K170" s="69">
        <v>44732</v>
      </c>
      <c r="L170" s="213" t="s">
        <v>808</v>
      </c>
    </row>
    <row r="171" spans="1:12" x14ac:dyDescent="0.35">
      <c r="B171" s="1007" t="s">
        <v>1185</v>
      </c>
      <c r="C171" s="1008"/>
      <c r="D171" s="1008"/>
      <c r="E171" s="1008"/>
      <c r="F171" s="1009"/>
      <c r="H171" s="275"/>
      <c r="I171" s="18"/>
      <c r="J171" s="18"/>
      <c r="K171" s="69"/>
      <c r="L171" s="213"/>
    </row>
    <row r="172" spans="1:12" x14ac:dyDescent="0.35">
      <c r="B172" s="218" t="s">
        <v>1186</v>
      </c>
      <c r="C172" s="12">
        <v>1.3</v>
      </c>
      <c r="D172" s="17" t="s">
        <v>644</v>
      </c>
      <c r="E172" s="17"/>
      <c r="F172" s="213">
        <v>2020</v>
      </c>
      <c r="H172" s="275" t="s">
        <v>748</v>
      </c>
      <c r="I172" s="65" t="s">
        <v>1168</v>
      </c>
      <c r="J172" s="65" t="s">
        <v>1187</v>
      </c>
      <c r="K172" s="69">
        <v>44732</v>
      </c>
      <c r="L172" s="213" t="s">
        <v>808</v>
      </c>
    </row>
    <row r="173" spans="1:12" ht="14.25" customHeight="1" x14ac:dyDescent="0.35">
      <c r="B173" s="520" t="s">
        <v>1188</v>
      </c>
      <c r="C173" s="8"/>
      <c r="D173" s="8"/>
      <c r="E173" s="8"/>
      <c r="F173" s="259"/>
      <c r="H173" s="271"/>
      <c r="I173" s="8"/>
      <c r="J173" s="8"/>
      <c r="K173" s="8"/>
      <c r="L173" s="259"/>
    </row>
    <row r="174" spans="1:12" x14ac:dyDescent="0.35">
      <c r="A174" s="511"/>
      <c r="B174" s="218" t="s">
        <v>1189</v>
      </c>
      <c r="C174" s="21">
        <v>0.8</v>
      </c>
      <c r="D174" s="17" t="s">
        <v>644</v>
      </c>
      <c r="E174" s="17"/>
      <c r="F174" s="213">
        <v>2020</v>
      </c>
      <c r="H174" s="275" t="s">
        <v>748</v>
      </c>
      <c r="I174" s="65" t="s">
        <v>1168</v>
      </c>
      <c r="J174" s="1010" t="s">
        <v>1190</v>
      </c>
      <c r="K174" s="69">
        <v>44732</v>
      </c>
      <c r="L174" s="213" t="s">
        <v>808</v>
      </c>
    </row>
    <row r="175" spans="1:12" x14ac:dyDescent="0.35">
      <c r="A175" s="511"/>
      <c r="B175" s="218" t="s">
        <v>1191</v>
      </c>
      <c r="C175" s="21">
        <v>1</v>
      </c>
      <c r="D175" s="17" t="s">
        <v>644</v>
      </c>
      <c r="E175" s="17"/>
      <c r="F175" s="213">
        <v>2020</v>
      </c>
      <c r="H175" s="275" t="s">
        <v>748</v>
      </c>
      <c r="I175" s="65" t="s">
        <v>1168</v>
      </c>
      <c r="J175" s="1010" t="s">
        <v>1190</v>
      </c>
      <c r="K175" s="69">
        <v>44732</v>
      </c>
      <c r="L175" s="213" t="s">
        <v>808</v>
      </c>
    </row>
    <row r="176" spans="1:12" x14ac:dyDescent="0.35">
      <c r="A176" s="511"/>
      <c r="B176" s="218" t="s">
        <v>813</v>
      </c>
      <c r="C176" s="21">
        <v>0.8</v>
      </c>
      <c r="D176" s="17" t="s">
        <v>644</v>
      </c>
      <c r="E176" s="17"/>
      <c r="F176" s="213">
        <v>2020</v>
      </c>
      <c r="H176" s="275" t="s">
        <v>748</v>
      </c>
      <c r="I176" s="65" t="s">
        <v>1168</v>
      </c>
      <c r="J176" s="1010" t="s">
        <v>1190</v>
      </c>
      <c r="K176" s="69">
        <v>44732</v>
      </c>
      <c r="L176" s="213" t="s">
        <v>808</v>
      </c>
    </row>
    <row r="177" spans="1:12" x14ac:dyDescent="0.35">
      <c r="A177" s="511"/>
      <c r="B177" s="218" t="s">
        <v>1192</v>
      </c>
      <c r="C177" s="21">
        <v>1</v>
      </c>
      <c r="D177" s="17" t="s">
        <v>644</v>
      </c>
      <c r="E177" s="17"/>
      <c r="F177" s="213">
        <v>2020</v>
      </c>
      <c r="H177" s="275" t="s">
        <v>748</v>
      </c>
      <c r="I177" s="65" t="s">
        <v>1168</v>
      </c>
      <c r="J177" s="1010" t="s">
        <v>1190</v>
      </c>
      <c r="K177" s="69">
        <v>44732</v>
      </c>
      <c r="L177" s="213" t="s">
        <v>808</v>
      </c>
    </row>
    <row r="178" spans="1:12" x14ac:dyDescent="0.35">
      <c r="A178" s="511"/>
      <c r="B178" s="218" t="s">
        <v>1193</v>
      </c>
      <c r="C178" s="21">
        <v>0.9</v>
      </c>
      <c r="D178" s="17" t="s">
        <v>644</v>
      </c>
      <c r="E178" s="17"/>
      <c r="F178" s="213">
        <v>2020</v>
      </c>
      <c r="H178" s="275" t="s">
        <v>748</v>
      </c>
      <c r="I178" s="65" t="s">
        <v>1168</v>
      </c>
      <c r="J178" s="1010" t="s">
        <v>1190</v>
      </c>
      <c r="K178" s="69">
        <v>44732</v>
      </c>
      <c r="L178" s="213" t="s">
        <v>808</v>
      </c>
    </row>
    <row r="179" spans="1:12" x14ac:dyDescent="0.35">
      <c r="A179" s="511"/>
      <c r="B179" s="218" t="s">
        <v>1194</v>
      </c>
      <c r="C179" s="21">
        <v>0.9</v>
      </c>
      <c r="D179" s="17" t="s">
        <v>644</v>
      </c>
      <c r="E179" s="17"/>
      <c r="F179" s="213">
        <v>2020</v>
      </c>
      <c r="H179" s="275" t="s">
        <v>748</v>
      </c>
      <c r="I179" s="65" t="s">
        <v>1168</v>
      </c>
      <c r="J179" s="1010" t="s">
        <v>1190</v>
      </c>
      <c r="K179" s="69">
        <v>44732</v>
      </c>
      <c r="L179" s="213" t="s">
        <v>808</v>
      </c>
    </row>
    <row r="180" spans="1:12" ht="18.5" x14ac:dyDescent="0.45">
      <c r="A180" s="511"/>
      <c r="B180" s="247" t="s">
        <v>1195</v>
      </c>
      <c r="C180" s="11"/>
      <c r="D180" s="11"/>
      <c r="E180" s="11"/>
      <c r="F180" s="249"/>
      <c r="H180" s="309"/>
      <c r="I180" s="14"/>
      <c r="J180" s="14"/>
      <c r="K180" s="39"/>
      <c r="L180" s="248"/>
    </row>
    <row r="181" spans="1:12" x14ac:dyDescent="0.35">
      <c r="A181" s="511"/>
      <c r="B181" s="215" t="s">
        <v>595</v>
      </c>
      <c r="C181" s="8"/>
      <c r="D181" s="8"/>
      <c r="E181" s="8"/>
      <c r="F181" s="259"/>
      <c r="H181" s="279"/>
      <c r="I181" s="8"/>
      <c r="J181" s="8"/>
      <c r="K181" s="8"/>
      <c r="L181" s="259"/>
    </row>
    <row r="182" spans="1:12" x14ac:dyDescent="0.35">
      <c r="A182" s="531"/>
      <c r="B182" s="212" t="s">
        <v>880</v>
      </c>
      <c r="C182" s="724">
        <f>IF('1.3 Persontransportmodell'!$D$26="",'Standardsatser-Forutsetninger'!$C$142,'1.3 Persontransportmodell'!$D$26/SUM('1.3 Persontransportmodell'!$D$26:$D$28))</f>
        <v>0.12903225806451613</v>
      </c>
      <c r="D182" s="17" t="s">
        <v>1202</v>
      </c>
      <c r="E182" s="17"/>
      <c r="F182" s="213">
        <v>2001</v>
      </c>
      <c r="G182" s="71"/>
      <c r="H182" s="275" t="s">
        <v>1203</v>
      </c>
      <c r="I182" s="17" t="s">
        <v>1204</v>
      </c>
      <c r="J182" s="959" t="s">
        <v>928</v>
      </c>
      <c r="K182" s="69">
        <v>43103</v>
      </c>
      <c r="L182" s="213" t="s">
        <v>64</v>
      </c>
    </row>
    <row r="183" spans="1:12" x14ac:dyDescent="0.35">
      <c r="A183" s="532"/>
      <c r="B183" s="212" t="s">
        <v>882</v>
      </c>
      <c r="C183" s="724">
        <f>IF('1.3 Persontransportmodell'!$D$27="",'Standardsatser-Forutsetninger'!$C$143,'1.3 Persontransportmodell'!$D$27/SUM('1.3 Persontransportmodell'!$D$26:$D$28))</f>
        <v>0.29032258064516131</v>
      </c>
      <c r="D183" s="17" t="s">
        <v>1202</v>
      </c>
      <c r="E183" s="17"/>
      <c r="F183" s="213">
        <v>2001</v>
      </c>
      <c r="G183" s="71"/>
      <c r="H183" s="275" t="s">
        <v>1205</v>
      </c>
      <c r="I183" s="17" t="s">
        <v>1204</v>
      </c>
      <c r="J183" s="959" t="s">
        <v>928</v>
      </c>
      <c r="K183" s="69">
        <v>43103</v>
      </c>
      <c r="L183" s="213" t="s">
        <v>64</v>
      </c>
    </row>
    <row r="184" spans="1:12" x14ac:dyDescent="0.35">
      <c r="A184" s="532"/>
      <c r="B184" s="212" t="s">
        <v>883</v>
      </c>
      <c r="C184" s="724">
        <f>IF('1.3 Persontransportmodell'!$D$28="",'Standardsatser-Forutsetninger'!$C$144,'1.3 Persontransportmodell'!$D$28/SUM('1.3 Persontransportmodell'!$D$26:$D$28))</f>
        <v>0.58064516129032262</v>
      </c>
      <c r="D184" s="17" t="s">
        <v>1202</v>
      </c>
      <c r="E184" s="17"/>
      <c r="F184" s="213">
        <v>2001</v>
      </c>
      <c r="G184" s="71"/>
      <c r="H184" s="275" t="s">
        <v>1206</v>
      </c>
      <c r="I184" s="17" t="s">
        <v>1204</v>
      </c>
      <c r="J184" s="959" t="s">
        <v>928</v>
      </c>
      <c r="K184" s="69">
        <v>43103</v>
      </c>
      <c r="L184" s="213" t="s">
        <v>64</v>
      </c>
    </row>
    <row r="185" spans="1:12" x14ac:dyDescent="0.35">
      <c r="A185" s="532"/>
      <c r="B185" s="212" t="s">
        <v>885</v>
      </c>
      <c r="C185" s="724">
        <f>IF('1.3 Persontransportmodell'!$D$26="",'Standardsatser-Forutsetninger'!$C$142,'1.3 Persontransportmodell'!$D$26/SUM('1.3 Persontransportmodell'!$D$26:$D$28))</f>
        <v>0.12903225806451613</v>
      </c>
      <c r="D185" s="17" t="s">
        <v>1202</v>
      </c>
      <c r="E185" s="17"/>
      <c r="F185" s="213">
        <v>2001</v>
      </c>
      <c r="G185" s="71"/>
      <c r="H185" s="275" t="s">
        <v>1203</v>
      </c>
      <c r="I185" s="17" t="s">
        <v>1204</v>
      </c>
      <c r="J185" s="959" t="s">
        <v>928</v>
      </c>
      <c r="K185" s="69">
        <v>43103</v>
      </c>
      <c r="L185" s="213" t="s">
        <v>64</v>
      </c>
    </row>
    <row r="186" spans="1:12" x14ac:dyDescent="0.35">
      <c r="A186" s="532"/>
      <c r="B186" s="212" t="s">
        <v>886</v>
      </c>
      <c r="C186" s="724">
        <f>IF('1.3 Persontransportmodell'!$D$27="",'Standardsatser-Forutsetninger'!$C$143,'1.3 Persontransportmodell'!$D$27/SUM('1.3 Persontransportmodell'!$D$26:$D$28))</f>
        <v>0.29032258064516131</v>
      </c>
      <c r="D186" s="17" t="s">
        <v>1202</v>
      </c>
      <c r="E186" s="17"/>
      <c r="F186" s="213">
        <v>2001</v>
      </c>
      <c r="G186" s="71"/>
      <c r="H186" s="275" t="s">
        <v>1205</v>
      </c>
      <c r="I186" s="17" t="s">
        <v>1204</v>
      </c>
      <c r="J186" s="959" t="s">
        <v>928</v>
      </c>
      <c r="K186" s="69">
        <v>43103</v>
      </c>
      <c r="L186" s="213" t="s">
        <v>64</v>
      </c>
    </row>
    <row r="187" spans="1:12" x14ac:dyDescent="0.35">
      <c r="A187" s="532"/>
      <c r="B187" s="212" t="s">
        <v>887</v>
      </c>
      <c r="C187" s="724">
        <f>IF('1.3 Persontransportmodell'!$D$28="",'Standardsatser-Forutsetninger'!$C$144,'1.3 Persontransportmodell'!$D$28/SUM('1.3 Persontransportmodell'!$D$26:$D$28))</f>
        <v>0.58064516129032262</v>
      </c>
      <c r="D187" s="17" t="s">
        <v>1202</v>
      </c>
      <c r="E187" s="17"/>
      <c r="F187" s="213">
        <v>2001</v>
      </c>
      <c r="G187" s="71"/>
      <c r="H187" s="275" t="s">
        <v>1206</v>
      </c>
      <c r="I187" s="17" t="s">
        <v>1204</v>
      </c>
      <c r="J187" s="959" t="s">
        <v>928</v>
      </c>
      <c r="K187" s="69">
        <v>43103</v>
      </c>
      <c r="L187" s="213" t="s">
        <v>64</v>
      </c>
    </row>
    <row r="188" spans="1:12" x14ac:dyDescent="0.35">
      <c r="A188" s="511"/>
      <c r="B188" s="215" t="s">
        <v>596</v>
      </c>
      <c r="C188" s="31"/>
      <c r="D188" s="8"/>
      <c r="E188" s="8"/>
      <c r="F188" s="259"/>
      <c r="H188" s="271"/>
      <c r="I188" s="8"/>
      <c r="J188" s="8"/>
      <c r="K188" s="8"/>
      <c r="L188" s="259"/>
    </row>
    <row r="189" spans="1:12" x14ac:dyDescent="0.35">
      <c r="B189" s="212" t="s">
        <v>880</v>
      </c>
      <c r="C189" s="724">
        <f>IF('1.4 Godsmodell'!C85="",10.232%,'1.4 Godsmodell'!C85)</f>
        <v>0.10231999999999999</v>
      </c>
      <c r="D189" s="17" t="s">
        <v>1202</v>
      </c>
      <c r="E189" s="17"/>
      <c r="F189" s="213">
        <v>2016</v>
      </c>
      <c r="G189" s="71"/>
      <c r="H189" s="275" t="s">
        <v>322</v>
      </c>
      <c r="I189" s="17"/>
      <c r="J189" s="959"/>
      <c r="K189" s="69">
        <v>43103</v>
      </c>
      <c r="L189" s="213" t="s">
        <v>64</v>
      </c>
    </row>
    <row r="190" spans="1:12" x14ac:dyDescent="0.35">
      <c r="B190" s="212" t="s">
        <v>882</v>
      </c>
      <c r="C190" s="724">
        <f>IF('1.4 Godsmodell'!D85="",2.895%,'1.4 Godsmodell'!D85)</f>
        <v>2.895E-2</v>
      </c>
      <c r="D190" s="17" t="s">
        <v>1202</v>
      </c>
      <c r="E190" s="17"/>
      <c r="F190" s="213">
        <v>2016</v>
      </c>
      <c r="G190" s="71"/>
      <c r="H190" s="275" t="s">
        <v>322</v>
      </c>
      <c r="I190" s="17"/>
      <c r="J190" s="959"/>
      <c r="K190" s="69">
        <v>43103</v>
      </c>
      <c r="L190" s="213" t="s">
        <v>64</v>
      </c>
    </row>
    <row r="191" spans="1:12" x14ac:dyDescent="0.35">
      <c r="B191" s="212" t="s">
        <v>883</v>
      </c>
      <c r="C191" s="724">
        <f>IF('1.4 Godsmodell'!E85="",86.873%,'1.4 Godsmodell'!E85)</f>
        <v>0.86873</v>
      </c>
      <c r="D191" s="17" t="s">
        <v>1202</v>
      </c>
      <c r="E191" s="17"/>
      <c r="F191" s="213">
        <v>2016</v>
      </c>
      <c r="G191" s="71"/>
      <c r="H191" s="275" t="s">
        <v>322</v>
      </c>
      <c r="I191" s="17"/>
      <c r="J191" s="959"/>
      <c r="K191" s="69">
        <v>43103</v>
      </c>
      <c r="L191" s="213" t="s">
        <v>64</v>
      </c>
    </row>
    <row r="192" spans="1:12" x14ac:dyDescent="0.35">
      <c r="B192" s="212" t="s">
        <v>885</v>
      </c>
      <c r="C192" s="724">
        <f>IF('1.4 Godsmodell'!C86="",1.57%,'1.4 Godsmodell'!C86)</f>
        <v>1.5700000000000002E-2</v>
      </c>
      <c r="D192" s="17" t="s">
        <v>1202</v>
      </c>
      <c r="E192" s="17"/>
      <c r="F192" s="213">
        <v>2016</v>
      </c>
      <c r="G192" s="71"/>
      <c r="H192" s="275" t="s">
        <v>322</v>
      </c>
      <c r="I192" s="17"/>
      <c r="J192" s="959"/>
      <c r="K192" s="69">
        <v>43103</v>
      </c>
      <c r="L192" s="213" t="s">
        <v>64</v>
      </c>
    </row>
    <row r="193" spans="1:12" x14ac:dyDescent="0.35">
      <c r="B193" s="212" t="s">
        <v>886</v>
      </c>
      <c r="C193" s="724">
        <f>IF('1.4 Godsmodell'!D86="",1.636%,'1.4 Godsmodell'!D86)</f>
        <v>1.636E-2</v>
      </c>
      <c r="D193" s="17" t="s">
        <v>1202</v>
      </c>
      <c r="E193" s="17"/>
      <c r="F193" s="213">
        <v>2016</v>
      </c>
      <c r="G193" s="71"/>
      <c r="H193" s="275" t="s">
        <v>322</v>
      </c>
      <c r="I193" s="17"/>
      <c r="J193" s="959"/>
      <c r="K193" s="69">
        <v>43103</v>
      </c>
      <c r="L193" s="213" t="s">
        <v>64</v>
      </c>
    </row>
    <row r="194" spans="1:12" x14ac:dyDescent="0.35">
      <c r="B194" s="212" t="s">
        <v>887</v>
      </c>
      <c r="C194" s="724">
        <f>IF('1.4 Godsmodell'!E86="",96.793%,'1.4 Godsmodell'!E86)</f>
        <v>0.96793000000000007</v>
      </c>
      <c r="D194" s="17" t="s">
        <v>1202</v>
      </c>
      <c r="E194" s="17"/>
      <c r="F194" s="213">
        <v>2016</v>
      </c>
      <c r="G194" s="71"/>
      <c r="H194" s="275" t="s">
        <v>322</v>
      </c>
      <c r="I194" s="17"/>
      <c r="J194" s="959"/>
      <c r="K194" s="69">
        <v>43103</v>
      </c>
      <c r="L194" s="213" t="s">
        <v>64</v>
      </c>
    </row>
    <row r="195" spans="1:12" x14ac:dyDescent="0.35">
      <c r="A195" s="511"/>
      <c r="B195" s="215" t="s">
        <v>602</v>
      </c>
      <c r="C195" s="31"/>
      <c r="D195" s="8"/>
      <c r="E195" s="8"/>
      <c r="F195" s="259"/>
      <c r="H195" s="271"/>
      <c r="I195" s="8"/>
      <c r="J195" s="8"/>
      <c r="K195" s="8"/>
      <c r="L195" s="259"/>
    </row>
    <row r="196" spans="1:12" x14ac:dyDescent="0.35">
      <c r="A196" s="533"/>
      <c r="B196" s="212" t="s">
        <v>791</v>
      </c>
      <c r="C196" s="724">
        <f>IF('1.3 Persontransportmodell'!$D$26="",'Standardsatser-Forutsetninger'!$C$145,'1.3 Persontransportmodell'!$D$26/SUM('1.3 Persontransportmodell'!$D$26:$D$28))</f>
        <v>0.18604298203011171</v>
      </c>
      <c r="D196" s="17" t="s">
        <v>1202</v>
      </c>
      <c r="E196" s="17"/>
      <c r="F196" s="213">
        <f>'Standardsatser-Forutsetninger'!E145</f>
        <v>2011</v>
      </c>
      <c r="G196" s="71"/>
      <c r="H196" s="275" t="s">
        <v>1207</v>
      </c>
      <c r="I196" s="17" t="s">
        <v>1208</v>
      </c>
      <c r="J196" s="959" t="s">
        <v>928</v>
      </c>
      <c r="K196" s="69">
        <v>43089</v>
      </c>
      <c r="L196" s="213" t="s">
        <v>64</v>
      </c>
    </row>
    <row r="197" spans="1:12" x14ac:dyDescent="0.35">
      <c r="A197" s="533"/>
      <c r="B197" s="212" t="s">
        <v>793</v>
      </c>
      <c r="C197" s="724">
        <f>IF('1.3 Persontransportmodell'!$D$27="",'Standardsatser-Forutsetninger'!$C$146,'1.3 Persontransportmodell'!$D$27/SUM('1.3 Persontransportmodell'!$D$26:$D$28))</f>
        <v>0.18604298203011171</v>
      </c>
      <c r="D197" s="17" t="s">
        <v>1202</v>
      </c>
      <c r="E197" s="17"/>
      <c r="F197" s="213">
        <f>'Standardsatser-Forutsetninger'!E146</f>
        <v>2011</v>
      </c>
      <c r="G197" s="71"/>
      <c r="H197" s="275" t="s">
        <v>1207</v>
      </c>
      <c r="I197" s="17" t="s">
        <v>1208</v>
      </c>
      <c r="J197" s="959" t="s">
        <v>928</v>
      </c>
      <c r="K197" s="69">
        <v>43089</v>
      </c>
      <c r="L197" s="213" t="s">
        <v>64</v>
      </c>
    </row>
    <row r="198" spans="1:12" x14ac:dyDescent="0.35">
      <c r="A198" s="533"/>
      <c r="B198" s="212" t="s">
        <v>794</v>
      </c>
      <c r="C198" s="724">
        <f>IF('1.3 Persontransportmodell'!$D$28="",'Standardsatser-Forutsetninger'!$C$147,'1.3 Persontransportmodell'!$D$28/SUM('1.3 Persontransportmodell'!$D$26:$D$28))</f>
        <v>0.62791403593977657</v>
      </c>
      <c r="D198" s="17" t="s">
        <v>1202</v>
      </c>
      <c r="E198" s="17"/>
      <c r="F198" s="213">
        <f>'Standardsatser-Forutsetninger'!E147</f>
        <v>2011</v>
      </c>
      <c r="G198" s="71"/>
      <c r="H198" s="275" t="s">
        <v>1207</v>
      </c>
      <c r="I198" s="17" t="s">
        <v>1208</v>
      </c>
      <c r="J198" s="959" t="s">
        <v>928</v>
      </c>
      <c r="K198" s="69">
        <v>43089</v>
      </c>
      <c r="L198" s="213" t="s">
        <v>64</v>
      </c>
    </row>
    <row r="199" spans="1:12" x14ac:dyDescent="0.35">
      <c r="A199" s="511"/>
      <c r="B199" s="215" t="s">
        <v>603</v>
      </c>
      <c r="C199" s="31"/>
      <c r="D199" s="8"/>
      <c r="E199" s="8"/>
      <c r="F199" s="259"/>
      <c r="H199" s="271"/>
      <c r="I199" s="8"/>
      <c r="J199" s="8"/>
      <c r="K199" s="8"/>
      <c r="L199" s="259"/>
    </row>
    <row r="200" spans="1:12" x14ac:dyDescent="0.35">
      <c r="A200" s="533"/>
      <c r="B200" s="212" t="s">
        <v>791</v>
      </c>
      <c r="C200" s="724">
        <f>IF('1.3 Persontransportmodell'!$D$26="",'Standardsatser-Forutsetninger'!$C$148,'1.3 Persontransportmodell'!$D$26/SUM('1.3 Persontransportmodell'!$D$26:$D$28))</f>
        <v>0.27962962962962962</v>
      </c>
      <c r="D200" s="17" t="s">
        <v>1202</v>
      </c>
      <c r="E200" s="17"/>
      <c r="F200" s="213">
        <f>'Standardsatser-Forutsetninger'!E148</f>
        <v>2011</v>
      </c>
      <c r="G200" s="71"/>
      <c r="H200" s="275" t="s">
        <v>1207</v>
      </c>
      <c r="I200" s="17" t="s">
        <v>1208</v>
      </c>
      <c r="J200" s="959" t="s">
        <v>928</v>
      </c>
      <c r="K200" s="69">
        <v>43089</v>
      </c>
      <c r="L200" s="213" t="s">
        <v>64</v>
      </c>
    </row>
    <row r="201" spans="1:12" x14ac:dyDescent="0.35">
      <c r="A201" s="533"/>
      <c r="B201" s="212" t="s">
        <v>793</v>
      </c>
      <c r="C201" s="724">
        <f>IF('1.3 Persontransportmodell'!$D$27="",'Standardsatser-Forutsetninger'!$C$149,'1.3 Persontransportmodell'!$D$27/SUM('1.3 Persontransportmodell'!$D$26:$D$28))</f>
        <v>0.27962962962962962</v>
      </c>
      <c r="D201" s="17" t="s">
        <v>1202</v>
      </c>
      <c r="E201" s="17"/>
      <c r="F201" s="213">
        <f>'Standardsatser-Forutsetninger'!E149</f>
        <v>2011</v>
      </c>
      <c r="G201" s="71"/>
      <c r="H201" s="275" t="s">
        <v>1207</v>
      </c>
      <c r="I201" s="17" t="s">
        <v>1208</v>
      </c>
      <c r="J201" s="959" t="s">
        <v>928</v>
      </c>
      <c r="K201" s="69">
        <v>43089</v>
      </c>
      <c r="L201" s="213" t="s">
        <v>64</v>
      </c>
    </row>
    <row r="202" spans="1:12" x14ac:dyDescent="0.35">
      <c r="A202" s="533"/>
      <c r="B202" s="212" t="s">
        <v>794</v>
      </c>
      <c r="C202" s="724">
        <f>IF('1.3 Persontransportmodell'!$D$28="",'Standardsatser-Forutsetninger'!$C$150,'1.3 Persontransportmodell'!$D$28/SUM('1.3 Persontransportmodell'!$D$26:$D$28))</f>
        <v>0.44074074074074077</v>
      </c>
      <c r="D202" s="17" t="s">
        <v>1202</v>
      </c>
      <c r="E202" s="17"/>
      <c r="F202" s="213">
        <f>'Standardsatser-Forutsetninger'!E150</f>
        <v>2011</v>
      </c>
      <c r="G202" s="71"/>
      <c r="H202" s="275" t="s">
        <v>1207</v>
      </c>
      <c r="I202" s="17" t="s">
        <v>1208</v>
      </c>
      <c r="J202" s="959" t="s">
        <v>928</v>
      </c>
      <c r="K202" s="69">
        <v>43089</v>
      </c>
      <c r="L202" s="213" t="s">
        <v>64</v>
      </c>
    </row>
    <row r="203" spans="1:12" x14ac:dyDescent="0.35">
      <c r="A203" s="533"/>
      <c r="B203" s="215" t="s">
        <v>875</v>
      </c>
      <c r="C203" s="31"/>
      <c r="D203" s="8"/>
      <c r="E203" s="8"/>
      <c r="F203" s="259"/>
      <c r="H203" s="271"/>
      <c r="I203" s="8"/>
      <c r="J203" s="8"/>
      <c r="K203" s="8"/>
      <c r="L203" s="259"/>
    </row>
    <row r="204" spans="1:12" x14ac:dyDescent="0.35">
      <c r="A204" s="533"/>
      <c r="B204" s="212" t="s">
        <v>791</v>
      </c>
      <c r="C204" s="13">
        <v>0</v>
      </c>
      <c r="D204" s="17" t="s">
        <v>1202</v>
      </c>
      <c r="E204" s="17"/>
      <c r="F204" s="213"/>
      <c r="H204" s="275"/>
      <c r="I204" s="149" t="s">
        <v>1209</v>
      </c>
      <c r="J204" s="959"/>
      <c r="K204" s="17"/>
      <c r="L204" s="213"/>
    </row>
    <row r="205" spans="1:12" x14ac:dyDescent="0.35">
      <c r="A205" s="533"/>
      <c r="B205" s="212" t="s">
        <v>793</v>
      </c>
      <c r="C205" s="13">
        <v>0</v>
      </c>
      <c r="D205" s="17" t="s">
        <v>1202</v>
      </c>
      <c r="E205" s="17"/>
      <c r="F205" s="213"/>
      <c r="H205" s="275"/>
      <c r="I205" s="149" t="s">
        <v>1209</v>
      </c>
      <c r="J205" s="959"/>
      <c r="K205" s="17"/>
      <c r="L205" s="213"/>
    </row>
    <row r="206" spans="1:12" x14ac:dyDescent="0.35">
      <c r="A206" s="533"/>
      <c r="B206" s="212" t="s">
        <v>794</v>
      </c>
      <c r="C206" s="13">
        <v>1</v>
      </c>
      <c r="D206" s="17" t="s">
        <v>1202</v>
      </c>
      <c r="E206" s="17"/>
      <c r="F206" s="213"/>
      <c r="H206" s="275"/>
      <c r="I206" s="149" t="s">
        <v>1209</v>
      </c>
      <c r="J206" s="959"/>
      <c r="K206" s="17"/>
      <c r="L206" s="213"/>
    </row>
    <row r="207" spans="1:12" x14ac:dyDescent="0.35">
      <c r="A207" s="533"/>
      <c r="B207" s="215" t="s">
        <v>1210</v>
      </c>
      <c r="C207" s="31"/>
      <c r="D207" s="8"/>
      <c r="E207" s="8"/>
      <c r="F207" s="259"/>
      <c r="H207" s="271"/>
      <c r="I207" s="8"/>
      <c r="J207" s="8"/>
      <c r="K207" s="8"/>
      <c r="L207" s="259"/>
    </row>
    <row r="208" spans="1:12" x14ac:dyDescent="0.35">
      <c r="A208" s="533"/>
      <c r="B208" s="212" t="s">
        <v>791</v>
      </c>
      <c r="C208" s="724">
        <f>IF('1.4 Godsmodell'!C81="",'Standardsatser-Forutsetninger'!C151,'1.4 Godsmodell'!C81)</f>
        <v>0.12987012987012986</v>
      </c>
      <c r="D208" s="17" t="s">
        <v>1202</v>
      </c>
      <c r="E208" s="17"/>
      <c r="F208" s="213">
        <f>'Standardsatser-Forutsetninger'!E151</f>
        <v>2011</v>
      </c>
      <c r="H208" s="275" t="s">
        <v>1207</v>
      </c>
      <c r="I208" s="17" t="s">
        <v>1208</v>
      </c>
      <c r="J208" s="959" t="s">
        <v>928</v>
      </c>
      <c r="K208" s="69">
        <v>43089</v>
      </c>
      <c r="L208" s="213" t="s">
        <v>64</v>
      </c>
    </row>
    <row r="209" spans="1:12" x14ac:dyDescent="0.35">
      <c r="A209" s="533"/>
      <c r="B209" s="212" t="s">
        <v>793</v>
      </c>
      <c r="C209" s="724">
        <f>IF('1.4 Godsmodell'!D81="",'Standardsatser-Forutsetninger'!C152,'1.4 Godsmodell'!D81)</f>
        <v>0.12987012987012986</v>
      </c>
      <c r="D209" s="17" t="s">
        <v>1202</v>
      </c>
      <c r="E209" s="17"/>
      <c r="F209" s="213">
        <f>'Standardsatser-Forutsetninger'!E152</f>
        <v>2011</v>
      </c>
      <c r="G209" s="71"/>
      <c r="H209" s="275" t="s">
        <v>1207</v>
      </c>
      <c r="I209" s="17" t="s">
        <v>1208</v>
      </c>
      <c r="J209" s="959" t="s">
        <v>928</v>
      </c>
      <c r="K209" s="69">
        <v>43089</v>
      </c>
      <c r="L209" s="213" t="s">
        <v>64</v>
      </c>
    </row>
    <row r="210" spans="1:12" x14ac:dyDescent="0.35">
      <c r="A210" s="533"/>
      <c r="B210" s="212" t="s">
        <v>794</v>
      </c>
      <c r="C210" s="724">
        <f>IF('1.4 Godsmodell'!E81="",'Standardsatser-Forutsetninger'!C153,'1.4 Godsmodell'!E81)</f>
        <v>0.74025974025974028</v>
      </c>
      <c r="D210" s="17" t="s">
        <v>1202</v>
      </c>
      <c r="E210" s="17"/>
      <c r="F210" s="213">
        <f>'Standardsatser-Forutsetninger'!E153</f>
        <v>2011</v>
      </c>
      <c r="G210" s="71"/>
      <c r="H210" s="275" t="s">
        <v>1207</v>
      </c>
      <c r="I210" s="17" t="s">
        <v>1208</v>
      </c>
      <c r="J210" s="959" t="s">
        <v>928</v>
      </c>
      <c r="K210" s="69">
        <v>43089</v>
      </c>
      <c r="L210" s="213" t="s">
        <v>64</v>
      </c>
    </row>
    <row r="211" spans="1:12" x14ac:dyDescent="0.35">
      <c r="A211" s="533"/>
      <c r="B211" s="215" t="s">
        <v>1211</v>
      </c>
      <c r="C211" s="31"/>
      <c r="D211" s="8"/>
      <c r="E211" s="8"/>
      <c r="F211" s="259"/>
      <c r="H211" s="271"/>
      <c r="I211" s="8"/>
      <c r="J211" s="8"/>
      <c r="K211" s="8"/>
      <c r="L211" s="259"/>
    </row>
    <row r="212" spans="1:12" x14ac:dyDescent="0.35">
      <c r="A212" s="533"/>
      <c r="B212" s="212" t="s">
        <v>791</v>
      </c>
      <c r="C212" s="724">
        <f>IF('1.4 Godsmodell'!C82="",'Standardsatser-Forutsetninger'!C154,'1.4 Godsmodell'!C82)</f>
        <v>0.12755102040816327</v>
      </c>
      <c r="D212" s="17" t="s">
        <v>1202</v>
      </c>
      <c r="E212" s="17"/>
      <c r="F212" s="213">
        <f>'Standardsatser-Forutsetninger'!E154</f>
        <v>2011</v>
      </c>
      <c r="G212" s="71"/>
      <c r="H212" s="275" t="s">
        <v>1207</v>
      </c>
      <c r="I212" s="17" t="s">
        <v>1208</v>
      </c>
      <c r="J212" s="959" t="s">
        <v>928</v>
      </c>
      <c r="K212" s="69">
        <v>43089</v>
      </c>
      <c r="L212" s="213" t="s">
        <v>64</v>
      </c>
    </row>
    <row r="213" spans="1:12" x14ac:dyDescent="0.35">
      <c r="A213" s="533"/>
      <c r="B213" s="212" t="s">
        <v>793</v>
      </c>
      <c r="C213" s="724">
        <f>IF('1.4 Godsmodell'!D82="",'Standardsatser-Forutsetninger'!C155,'1.4 Godsmodell'!D82)</f>
        <v>0.12755102040816327</v>
      </c>
      <c r="D213" s="17" t="s">
        <v>1202</v>
      </c>
      <c r="E213" s="17"/>
      <c r="F213" s="213">
        <f>'Standardsatser-Forutsetninger'!E155</f>
        <v>2011</v>
      </c>
      <c r="G213" s="71"/>
      <c r="H213" s="275" t="s">
        <v>1207</v>
      </c>
      <c r="I213" s="17" t="s">
        <v>1208</v>
      </c>
      <c r="J213" s="959" t="s">
        <v>928</v>
      </c>
      <c r="K213" s="69">
        <v>43089</v>
      </c>
      <c r="L213" s="213" t="s">
        <v>64</v>
      </c>
    </row>
    <row r="214" spans="1:12" x14ac:dyDescent="0.35">
      <c r="A214" s="533"/>
      <c r="B214" s="212" t="s">
        <v>794</v>
      </c>
      <c r="C214" s="724">
        <f>IF('1.4 Godsmodell'!E82="",'Standardsatser-Forutsetninger'!C156,'1.4 Godsmodell'!E82)</f>
        <v>0.74489795918367352</v>
      </c>
      <c r="D214" s="17" t="s">
        <v>1202</v>
      </c>
      <c r="E214" s="17"/>
      <c r="F214" s="213">
        <f>'Standardsatser-Forutsetninger'!E156</f>
        <v>2011</v>
      </c>
      <c r="G214" s="71"/>
      <c r="H214" s="275" t="s">
        <v>1207</v>
      </c>
      <c r="I214" s="17" t="s">
        <v>1208</v>
      </c>
      <c r="J214" s="959" t="s">
        <v>928</v>
      </c>
      <c r="K214" s="69">
        <v>43089</v>
      </c>
      <c r="L214" s="213" t="s">
        <v>64</v>
      </c>
    </row>
    <row r="215" spans="1:12" x14ac:dyDescent="0.35">
      <c r="A215" s="533"/>
      <c r="B215" s="215" t="s">
        <v>1212</v>
      </c>
      <c r="C215" s="31"/>
      <c r="D215" s="8"/>
      <c r="E215" s="8"/>
      <c r="F215" s="259"/>
      <c r="H215" s="271"/>
      <c r="I215" s="8"/>
      <c r="J215" s="8"/>
      <c r="K215" s="8"/>
      <c r="L215" s="259"/>
    </row>
    <row r="216" spans="1:12" x14ac:dyDescent="0.35">
      <c r="A216" s="533"/>
      <c r="B216" s="212" t="s">
        <v>791</v>
      </c>
      <c r="C216" s="724">
        <f>IF('1.4 Godsmodell'!C83="",'Standardsatser-Forutsetninger'!C157,'1.4 Godsmodell'!C83)</f>
        <v>0.12755102040816327</v>
      </c>
      <c r="D216" s="17" t="s">
        <v>1202</v>
      </c>
      <c r="E216" s="17"/>
      <c r="F216" s="213">
        <f>'Standardsatser-Forutsetninger'!E157</f>
        <v>2011</v>
      </c>
      <c r="G216" s="71"/>
      <c r="H216" s="275" t="s">
        <v>1207</v>
      </c>
      <c r="I216" s="17" t="s">
        <v>1208</v>
      </c>
      <c r="J216" s="959" t="s">
        <v>928</v>
      </c>
      <c r="K216" s="69">
        <v>43089</v>
      </c>
      <c r="L216" s="213" t="s">
        <v>64</v>
      </c>
    </row>
    <row r="217" spans="1:12" x14ac:dyDescent="0.35">
      <c r="A217" s="533"/>
      <c r="B217" s="212" t="s">
        <v>793</v>
      </c>
      <c r="C217" s="724">
        <f>IF('1.4 Godsmodell'!D83="",'Standardsatser-Forutsetninger'!C158,'1.4 Godsmodell'!D83)</f>
        <v>0.12755102040816327</v>
      </c>
      <c r="D217" s="17" t="s">
        <v>1202</v>
      </c>
      <c r="E217" s="17"/>
      <c r="F217" s="213">
        <f>'Standardsatser-Forutsetninger'!E158</f>
        <v>2011</v>
      </c>
      <c r="G217" s="71"/>
      <c r="H217" s="275" t="s">
        <v>1207</v>
      </c>
      <c r="I217" s="17" t="s">
        <v>1208</v>
      </c>
      <c r="J217" s="959" t="s">
        <v>928</v>
      </c>
      <c r="K217" s="69">
        <v>43089</v>
      </c>
      <c r="L217" s="213" t="s">
        <v>64</v>
      </c>
    </row>
    <row r="218" spans="1:12" x14ac:dyDescent="0.35">
      <c r="A218" s="533"/>
      <c r="B218" s="212" t="s">
        <v>794</v>
      </c>
      <c r="C218" s="724">
        <f>IF('1.4 Godsmodell'!E83="",'Standardsatser-Forutsetninger'!C159,'1.4 Godsmodell'!E83)</f>
        <v>0.74489795918367352</v>
      </c>
      <c r="D218" s="17" t="s">
        <v>1202</v>
      </c>
      <c r="E218" s="17"/>
      <c r="F218" s="213">
        <f>'Standardsatser-Forutsetninger'!E159</f>
        <v>2011</v>
      </c>
      <c r="G218" s="71"/>
      <c r="H218" s="275" t="s">
        <v>1207</v>
      </c>
      <c r="I218" s="17" t="s">
        <v>1208</v>
      </c>
      <c r="J218" s="959" t="s">
        <v>928</v>
      </c>
      <c r="K218" s="69">
        <v>43089</v>
      </c>
      <c r="L218" s="213" t="s">
        <v>64</v>
      </c>
    </row>
    <row r="219" spans="1:12" x14ac:dyDescent="0.35">
      <c r="A219" s="533"/>
      <c r="B219" s="215" t="s">
        <v>1213</v>
      </c>
      <c r="C219" s="8"/>
      <c r="D219" s="8"/>
      <c r="E219" s="8"/>
      <c r="F219" s="259"/>
      <c r="H219" s="271"/>
      <c r="I219" s="8"/>
      <c r="J219" s="8"/>
      <c r="K219" s="8"/>
      <c r="L219" s="259"/>
    </row>
    <row r="220" spans="1:12" x14ac:dyDescent="0.35">
      <c r="A220" s="533"/>
      <c r="B220" s="212" t="s">
        <v>791</v>
      </c>
      <c r="C220" s="13">
        <v>0</v>
      </c>
      <c r="D220" s="17" t="s">
        <v>1202</v>
      </c>
      <c r="E220" s="17"/>
      <c r="F220" s="213"/>
      <c r="G220" s="71"/>
      <c r="H220" s="275"/>
      <c r="I220" s="149" t="s">
        <v>1214</v>
      </c>
      <c r="J220" s="959"/>
      <c r="K220" s="69">
        <v>43089</v>
      </c>
      <c r="L220" s="213" t="s">
        <v>64</v>
      </c>
    </row>
    <row r="221" spans="1:12" x14ac:dyDescent="0.35">
      <c r="A221" s="533"/>
      <c r="B221" s="212" t="s">
        <v>793</v>
      </c>
      <c r="C221" s="13">
        <v>0</v>
      </c>
      <c r="D221" s="17" t="s">
        <v>1202</v>
      </c>
      <c r="E221" s="17"/>
      <c r="F221" s="213"/>
      <c r="G221" s="71"/>
      <c r="H221" s="275"/>
      <c r="I221" s="149" t="s">
        <v>1214</v>
      </c>
      <c r="J221" s="959"/>
      <c r="K221" s="69">
        <v>43089</v>
      </c>
      <c r="L221" s="213" t="s">
        <v>64</v>
      </c>
    </row>
    <row r="222" spans="1:12" x14ac:dyDescent="0.35">
      <c r="A222" s="533"/>
      <c r="B222" s="212" t="s">
        <v>794</v>
      </c>
      <c r="C222" s="13">
        <v>1</v>
      </c>
      <c r="D222" s="17" t="s">
        <v>1202</v>
      </c>
      <c r="E222" s="17"/>
      <c r="F222" s="213"/>
      <c r="G222" s="71"/>
      <c r="H222" s="275"/>
      <c r="I222" s="149" t="s">
        <v>1214</v>
      </c>
      <c r="J222" s="959"/>
      <c r="K222" s="69">
        <v>43089</v>
      </c>
      <c r="L222" s="213" t="s">
        <v>64</v>
      </c>
    </row>
    <row r="223" spans="1:12" ht="18.5" x14ac:dyDescent="0.45">
      <c r="B223" s="247" t="s">
        <v>1215</v>
      </c>
      <c r="C223" s="11"/>
      <c r="D223" s="11"/>
      <c r="E223" s="11"/>
      <c r="F223" s="249"/>
      <c r="H223" s="247"/>
      <c r="I223" s="11"/>
      <c r="J223" s="11"/>
      <c r="K223" s="11"/>
      <c r="L223" s="249"/>
    </row>
    <row r="224" spans="1:12" s="6" customFormat="1" x14ac:dyDescent="0.35">
      <c r="A224" s="510"/>
      <c r="B224" s="220" t="s">
        <v>798</v>
      </c>
      <c r="C224" s="31"/>
      <c r="D224" s="31"/>
      <c r="E224" s="31"/>
      <c r="F224" s="245"/>
      <c r="H224" s="264"/>
      <c r="I224" s="31"/>
      <c r="J224" s="31"/>
      <c r="K224" s="31"/>
      <c r="L224" s="245"/>
    </row>
    <row r="225" spans="1:12" s="6" customFormat="1" x14ac:dyDescent="0.35">
      <c r="A225" s="511"/>
      <c r="B225" s="218" t="s">
        <v>1216</v>
      </c>
      <c r="C225" s="58">
        <v>1</v>
      </c>
      <c r="D225" s="65" t="s">
        <v>1044</v>
      </c>
      <c r="E225" s="65"/>
      <c r="F225" s="221">
        <v>2002</v>
      </c>
      <c r="H225" s="275" t="s">
        <v>1217</v>
      </c>
      <c r="I225" s="65" t="s">
        <v>1218</v>
      </c>
      <c r="J225" s="17" t="str">
        <f>""</f>
        <v/>
      </c>
      <c r="K225" s="101">
        <v>42963</v>
      </c>
      <c r="L225" s="213" t="s">
        <v>64</v>
      </c>
    </row>
    <row r="226" spans="1:12" ht="18.5" x14ac:dyDescent="0.45">
      <c r="B226" s="240" t="s">
        <v>1219</v>
      </c>
      <c r="C226" s="952"/>
      <c r="D226" s="66"/>
      <c r="E226" s="66"/>
      <c r="F226" s="263"/>
      <c r="G226" s="71"/>
      <c r="H226" s="310"/>
      <c r="I226" s="66"/>
      <c r="J226" s="960"/>
      <c r="K226" s="961"/>
      <c r="L226" s="263"/>
    </row>
    <row r="227" spans="1:12" x14ac:dyDescent="0.35">
      <c r="A227" s="511"/>
      <c r="B227" s="220" t="s">
        <v>1220</v>
      </c>
      <c r="C227" s="953"/>
      <c r="D227" s="8"/>
      <c r="E227" s="8"/>
      <c r="F227" s="259"/>
      <c r="G227" s="71"/>
      <c r="H227" s="271"/>
      <c r="I227" s="8"/>
      <c r="J227" s="962"/>
      <c r="K227" s="963"/>
      <c r="L227" s="259"/>
    </row>
    <row r="228" spans="1:12" x14ac:dyDescent="0.35">
      <c r="A228" s="530"/>
      <c r="B228" s="218" t="s">
        <v>839</v>
      </c>
      <c r="C228" s="33">
        <v>7.15</v>
      </c>
      <c r="D228" s="16" t="s">
        <v>574</v>
      </c>
      <c r="E228" s="17"/>
      <c r="F228" s="213">
        <v>2017</v>
      </c>
      <c r="H228" s="275" t="s">
        <v>322</v>
      </c>
      <c r="I228" s="17"/>
      <c r="J228" s="959"/>
      <c r="K228" s="69">
        <v>43028</v>
      </c>
      <c r="L228" s="213" t="s">
        <v>64</v>
      </c>
    </row>
    <row r="229" spans="1:12" x14ac:dyDescent="0.35">
      <c r="B229" s="218" t="s">
        <v>842</v>
      </c>
      <c r="C229" s="33">
        <v>10.33</v>
      </c>
      <c r="D229" s="16" t="s">
        <v>574</v>
      </c>
      <c r="E229" s="17"/>
      <c r="F229" s="213">
        <v>2024</v>
      </c>
      <c r="H229" s="275" t="s">
        <v>2529</v>
      </c>
      <c r="I229" s="17"/>
      <c r="J229" s="959"/>
      <c r="K229" s="69">
        <v>46162</v>
      </c>
      <c r="L229" s="213" t="s">
        <v>808</v>
      </c>
    </row>
    <row r="230" spans="1:12" x14ac:dyDescent="0.35">
      <c r="B230" s="218" t="s">
        <v>843</v>
      </c>
      <c r="C230" s="33">
        <v>9.9499999999999993</v>
      </c>
      <c r="D230" s="16" t="s">
        <v>574</v>
      </c>
      <c r="E230" s="17"/>
      <c r="F230" s="213">
        <v>2024</v>
      </c>
      <c r="H230" s="275" t="s">
        <v>2529</v>
      </c>
      <c r="I230" s="17"/>
      <c r="J230" s="959"/>
      <c r="K230" s="69">
        <v>46162</v>
      </c>
      <c r="L230" s="213" t="s">
        <v>808</v>
      </c>
    </row>
    <row r="231" spans="1:12" x14ac:dyDescent="0.35">
      <c r="B231" s="218" t="s">
        <v>2566</v>
      </c>
      <c r="C231" s="33">
        <v>10.172357341890706</v>
      </c>
      <c r="D231" s="16" t="s">
        <v>574</v>
      </c>
      <c r="E231" s="17"/>
      <c r="F231" s="213">
        <v>2024</v>
      </c>
      <c r="H231" s="275" t="s">
        <v>2529</v>
      </c>
      <c r="I231" s="17"/>
      <c r="J231" s="959"/>
      <c r="K231" s="69">
        <v>45903</v>
      </c>
      <c r="L231" s="213" t="s">
        <v>808</v>
      </c>
    </row>
    <row r="232" spans="1:12" x14ac:dyDescent="0.35">
      <c r="B232" s="218" t="s">
        <v>844</v>
      </c>
      <c r="C232" s="33">
        <v>9.08</v>
      </c>
      <c r="D232" s="16" t="s">
        <v>574</v>
      </c>
      <c r="E232" s="17"/>
      <c r="F232" s="213">
        <v>2024</v>
      </c>
      <c r="H232" s="275" t="s">
        <v>2529</v>
      </c>
      <c r="I232" s="17"/>
      <c r="J232" s="959"/>
      <c r="K232" s="69">
        <v>46162</v>
      </c>
      <c r="L232" s="213" t="s">
        <v>808</v>
      </c>
    </row>
    <row r="233" spans="1:12" x14ac:dyDescent="0.35">
      <c r="B233" s="218" t="s">
        <v>846</v>
      </c>
      <c r="C233" s="33">
        <f>kWhSettkm_75*0.8</f>
        <v>8.2640000000000011</v>
      </c>
      <c r="D233" s="16" t="s">
        <v>574</v>
      </c>
      <c r="E233" s="17"/>
      <c r="F233" s="213">
        <v>2020</v>
      </c>
      <c r="G233" s="71"/>
      <c r="H233" s="275" t="s">
        <v>322</v>
      </c>
      <c r="I233" s="17" t="s">
        <v>1221</v>
      </c>
      <c r="J233" s="959"/>
      <c r="K233" s="69">
        <v>43909</v>
      </c>
      <c r="L233" s="213" t="s">
        <v>102</v>
      </c>
    </row>
    <row r="234" spans="1:12" x14ac:dyDescent="0.35">
      <c r="B234" s="218" t="s">
        <v>845</v>
      </c>
      <c r="C234" s="33">
        <v>6.8</v>
      </c>
      <c r="D234" s="16" t="s">
        <v>574</v>
      </c>
      <c r="E234" s="17"/>
      <c r="F234" s="213">
        <v>2017</v>
      </c>
      <c r="G234" s="71"/>
      <c r="H234" s="275" t="s">
        <v>322</v>
      </c>
      <c r="I234" s="17"/>
      <c r="J234" s="959"/>
      <c r="K234" s="69">
        <v>43028</v>
      </c>
      <c r="L234" s="213" t="s">
        <v>64</v>
      </c>
    </row>
    <row r="235" spans="1:12" x14ac:dyDescent="0.35">
      <c r="B235" s="218" t="s">
        <v>849</v>
      </c>
      <c r="C235" s="33">
        <v>2.86</v>
      </c>
      <c r="D235" s="16" t="s">
        <v>574</v>
      </c>
      <c r="E235" s="17"/>
      <c r="F235" s="213">
        <v>2024</v>
      </c>
      <c r="H235" s="275" t="s">
        <v>2529</v>
      </c>
      <c r="I235" s="17"/>
      <c r="J235" s="959"/>
      <c r="K235" s="69">
        <v>46162</v>
      </c>
      <c r="L235" s="213" t="s">
        <v>808</v>
      </c>
    </row>
    <row r="236" spans="1:12" x14ac:dyDescent="0.35">
      <c r="B236" s="220" t="s">
        <v>1222</v>
      </c>
      <c r="C236" s="20"/>
      <c r="D236" s="8"/>
      <c r="E236" s="8"/>
      <c r="F236" s="259"/>
      <c r="G236" s="71"/>
      <c r="H236" s="271"/>
      <c r="I236" s="8"/>
      <c r="J236" s="962"/>
      <c r="K236" s="963"/>
      <c r="L236" s="259"/>
    </row>
    <row r="237" spans="1:12" x14ac:dyDescent="0.35">
      <c r="B237" s="218" t="s">
        <v>839</v>
      </c>
      <c r="C237" s="12">
        <v>500</v>
      </c>
      <c r="D237" s="16" t="s">
        <v>704</v>
      </c>
      <c r="E237" s="17"/>
      <c r="F237" s="213">
        <v>2017</v>
      </c>
      <c r="G237" s="71"/>
      <c r="H237" s="275" t="s">
        <v>322</v>
      </c>
      <c r="I237" s="17"/>
      <c r="J237" s="959"/>
      <c r="K237" s="69">
        <v>43028</v>
      </c>
      <c r="L237" s="213" t="s">
        <v>64</v>
      </c>
    </row>
    <row r="238" spans="1:12" x14ac:dyDescent="0.35">
      <c r="B238" s="218" t="s">
        <v>2581</v>
      </c>
      <c r="C238" s="12">
        <v>258</v>
      </c>
      <c r="D238" s="16" t="s">
        <v>704</v>
      </c>
      <c r="E238" s="17"/>
      <c r="F238" s="213">
        <v>2017</v>
      </c>
      <c r="G238" s="71"/>
      <c r="H238" s="275" t="s">
        <v>2529</v>
      </c>
      <c r="I238" s="17"/>
      <c r="J238" s="959"/>
      <c r="K238" s="69">
        <v>46269</v>
      </c>
      <c r="L238" s="213" t="s">
        <v>808</v>
      </c>
    </row>
    <row r="239" spans="1:12" x14ac:dyDescent="0.35">
      <c r="B239" s="218" t="s">
        <v>2582</v>
      </c>
      <c r="C239" s="12">
        <v>230</v>
      </c>
      <c r="D239" s="16" t="s">
        <v>704</v>
      </c>
      <c r="E239" s="17"/>
      <c r="F239" s="213">
        <v>2017</v>
      </c>
      <c r="G239" s="71"/>
      <c r="H239" s="275" t="s">
        <v>2529</v>
      </c>
      <c r="I239" s="17"/>
      <c r="J239" s="959"/>
      <c r="K239" s="69">
        <v>46269</v>
      </c>
      <c r="L239" s="213" t="s">
        <v>808</v>
      </c>
    </row>
    <row r="240" spans="1:12" x14ac:dyDescent="0.35">
      <c r="B240" s="218" t="s">
        <v>842</v>
      </c>
      <c r="C240" s="12">
        <v>300</v>
      </c>
      <c r="D240" s="16" t="s">
        <v>704</v>
      </c>
      <c r="E240" s="17"/>
      <c r="F240" s="213">
        <v>2017</v>
      </c>
      <c r="G240" s="71"/>
      <c r="H240" s="275" t="s">
        <v>322</v>
      </c>
      <c r="I240" s="17"/>
      <c r="J240" s="959"/>
      <c r="K240" s="69">
        <v>43028</v>
      </c>
      <c r="L240" s="213" t="s">
        <v>64</v>
      </c>
    </row>
    <row r="241" spans="2:12" x14ac:dyDescent="0.35">
      <c r="B241" s="218" t="s">
        <v>843</v>
      </c>
      <c r="C241" s="12">
        <v>250</v>
      </c>
      <c r="D241" s="16" t="s">
        <v>704</v>
      </c>
      <c r="E241" s="17"/>
      <c r="F241" s="213">
        <v>2017</v>
      </c>
      <c r="G241" s="71"/>
      <c r="H241" s="275" t="s">
        <v>322</v>
      </c>
      <c r="I241" s="17"/>
      <c r="J241" s="959"/>
      <c r="K241" s="69">
        <v>43028</v>
      </c>
      <c r="L241" s="213" t="s">
        <v>64</v>
      </c>
    </row>
    <row r="242" spans="2:12" x14ac:dyDescent="0.35">
      <c r="B242" s="218" t="s">
        <v>2566</v>
      </c>
      <c r="C242" s="12">
        <v>250</v>
      </c>
      <c r="D242" s="16" t="s">
        <v>704</v>
      </c>
      <c r="E242" s="17"/>
      <c r="F242" s="213">
        <v>2017</v>
      </c>
      <c r="G242" s="71"/>
      <c r="H242" s="275" t="s">
        <v>2529</v>
      </c>
      <c r="I242" s="17"/>
      <c r="J242" s="959"/>
      <c r="K242" s="69">
        <v>46268</v>
      </c>
      <c r="L242" s="213" t="s">
        <v>808</v>
      </c>
    </row>
    <row r="243" spans="2:12" x14ac:dyDescent="0.35">
      <c r="B243" s="218" t="s">
        <v>844</v>
      </c>
      <c r="C243" s="12">
        <v>310</v>
      </c>
      <c r="D243" s="16" t="s">
        <v>704</v>
      </c>
      <c r="E243" s="17"/>
      <c r="F243" s="213">
        <v>2017</v>
      </c>
      <c r="G243" s="71"/>
      <c r="H243" s="275" t="s">
        <v>322</v>
      </c>
      <c r="I243" s="17"/>
      <c r="J243" s="959"/>
      <c r="K243" s="69">
        <v>43028</v>
      </c>
      <c r="L243" s="213" t="s">
        <v>64</v>
      </c>
    </row>
    <row r="244" spans="2:12" x14ac:dyDescent="0.35">
      <c r="B244" s="218" t="s">
        <v>845</v>
      </c>
      <c r="C244" s="12">
        <v>250</v>
      </c>
      <c r="D244" s="16" t="s">
        <v>704</v>
      </c>
      <c r="E244" s="17"/>
      <c r="F244" s="213">
        <v>2017</v>
      </c>
      <c r="G244" s="71"/>
      <c r="H244" s="275" t="s">
        <v>322</v>
      </c>
      <c r="I244" s="17"/>
      <c r="J244" s="959"/>
      <c r="K244" s="69">
        <v>43028</v>
      </c>
      <c r="L244" s="213" t="s">
        <v>64</v>
      </c>
    </row>
    <row r="245" spans="2:12" x14ac:dyDescent="0.35">
      <c r="B245" s="218" t="s">
        <v>846</v>
      </c>
      <c r="C245" s="12">
        <v>300</v>
      </c>
      <c r="D245" s="16" t="s">
        <v>704</v>
      </c>
      <c r="E245" s="17"/>
      <c r="F245" s="213">
        <v>2020</v>
      </c>
      <c r="G245" s="71"/>
      <c r="H245" s="275" t="s">
        <v>322</v>
      </c>
      <c r="I245" s="17"/>
      <c r="J245" s="959"/>
      <c r="K245" s="69">
        <v>43909</v>
      </c>
      <c r="L245" s="213" t="s">
        <v>102</v>
      </c>
    </row>
    <row r="246" spans="2:12" x14ac:dyDescent="0.35">
      <c r="B246" s="218" t="s">
        <v>847</v>
      </c>
      <c r="C246" s="12">
        <v>75</v>
      </c>
      <c r="D246" s="16" t="s">
        <v>704</v>
      </c>
      <c r="E246" s="17"/>
      <c r="F246" s="213">
        <v>2017</v>
      </c>
      <c r="G246" s="71"/>
      <c r="H246" s="275" t="s">
        <v>322</v>
      </c>
      <c r="I246" s="17"/>
      <c r="J246" s="959"/>
      <c r="K246" s="69">
        <v>43028</v>
      </c>
      <c r="L246" s="213" t="s">
        <v>64</v>
      </c>
    </row>
    <row r="247" spans="2:12" x14ac:dyDescent="0.35">
      <c r="B247" s="218" t="s">
        <v>848</v>
      </c>
      <c r="C247" s="12">
        <v>250</v>
      </c>
      <c r="D247" s="16" t="s">
        <v>704</v>
      </c>
      <c r="E247" s="17"/>
      <c r="F247" s="213">
        <v>2017</v>
      </c>
      <c r="G247" s="71"/>
      <c r="H247" s="275" t="s">
        <v>322</v>
      </c>
      <c r="I247" s="17"/>
      <c r="J247" s="959"/>
      <c r="K247" s="69">
        <v>43028</v>
      </c>
      <c r="L247" s="213" t="s">
        <v>64</v>
      </c>
    </row>
    <row r="248" spans="2:12" x14ac:dyDescent="0.35">
      <c r="B248" s="218" t="s">
        <v>2568</v>
      </c>
      <c r="C248" s="12">
        <v>289</v>
      </c>
      <c r="D248" s="16" t="s">
        <v>704</v>
      </c>
      <c r="E248" s="17"/>
      <c r="F248" s="213">
        <v>2025</v>
      </c>
      <c r="G248" s="71"/>
      <c r="H248" s="275" t="s">
        <v>2529</v>
      </c>
      <c r="I248" s="17"/>
      <c r="J248" s="959"/>
      <c r="K248" s="69">
        <v>46269</v>
      </c>
      <c r="L248" s="213" t="s">
        <v>808</v>
      </c>
    </row>
    <row r="249" spans="2:12" x14ac:dyDescent="0.35">
      <c r="B249" s="218" t="s">
        <v>2569</v>
      </c>
      <c r="C249" s="12">
        <v>284</v>
      </c>
      <c r="D249" s="16" t="s">
        <v>704</v>
      </c>
      <c r="E249" s="17"/>
      <c r="F249" s="213">
        <v>2025</v>
      </c>
      <c r="G249" s="71"/>
      <c r="H249" s="275" t="s">
        <v>2529</v>
      </c>
      <c r="I249" s="17"/>
      <c r="J249" s="959"/>
      <c r="K249" s="69">
        <v>46269</v>
      </c>
      <c r="L249" s="213" t="s">
        <v>808</v>
      </c>
    </row>
    <row r="250" spans="2:12" x14ac:dyDescent="0.35">
      <c r="B250" s="218" t="s">
        <v>2573</v>
      </c>
      <c r="C250" s="12">
        <v>374</v>
      </c>
      <c r="D250" s="16" t="s">
        <v>704</v>
      </c>
      <c r="E250" s="17"/>
      <c r="F250" s="213">
        <v>2024</v>
      </c>
      <c r="G250" s="71"/>
      <c r="H250" s="275" t="s">
        <v>2529</v>
      </c>
      <c r="I250" s="17"/>
      <c r="J250" s="959"/>
      <c r="K250" s="69">
        <v>46269</v>
      </c>
      <c r="L250" s="213" t="s">
        <v>808</v>
      </c>
    </row>
    <row r="251" spans="2:12" x14ac:dyDescent="0.35">
      <c r="B251" s="218" t="s">
        <v>2574</v>
      </c>
      <c r="C251" s="12">
        <v>254</v>
      </c>
      <c r="D251" s="16" t="s">
        <v>704</v>
      </c>
      <c r="E251" s="17"/>
      <c r="F251" s="213">
        <v>2024</v>
      </c>
      <c r="G251" s="71"/>
      <c r="H251" s="275" t="s">
        <v>2529</v>
      </c>
      <c r="I251" s="17"/>
      <c r="J251" s="959"/>
      <c r="K251" s="69">
        <v>46269</v>
      </c>
      <c r="L251" s="213" t="s">
        <v>808</v>
      </c>
    </row>
    <row r="252" spans="2:12" x14ac:dyDescent="0.35">
      <c r="B252" s="218" t="s">
        <v>2570</v>
      </c>
      <c r="C252" s="12">
        <v>327</v>
      </c>
      <c r="D252" s="16" t="s">
        <v>704</v>
      </c>
      <c r="E252" s="17"/>
      <c r="F252" s="213">
        <v>2024</v>
      </c>
      <c r="G252" s="71"/>
      <c r="H252" s="275" t="s">
        <v>2529</v>
      </c>
      <c r="I252" s="17"/>
      <c r="J252" s="959"/>
      <c r="K252" s="69">
        <v>46269</v>
      </c>
      <c r="L252" s="213" t="s">
        <v>808</v>
      </c>
    </row>
    <row r="253" spans="2:12" x14ac:dyDescent="0.35">
      <c r="B253" s="218" t="s">
        <v>2571</v>
      </c>
      <c r="C253" s="12">
        <v>464</v>
      </c>
      <c r="D253" s="16" t="s">
        <v>704</v>
      </c>
      <c r="E253" s="17"/>
      <c r="F253" s="213">
        <v>2024</v>
      </c>
      <c r="G253" s="71"/>
      <c r="H253" s="275" t="s">
        <v>2529</v>
      </c>
      <c r="I253" s="17"/>
      <c r="J253" s="959"/>
      <c r="K253" s="69">
        <v>46269</v>
      </c>
      <c r="L253" s="213" t="s">
        <v>808</v>
      </c>
    </row>
    <row r="254" spans="2:12" x14ac:dyDescent="0.35">
      <c r="B254" s="218" t="s">
        <v>2572</v>
      </c>
      <c r="C254" s="12">
        <v>401</v>
      </c>
      <c r="D254" s="16" t="s">
        <v>704</v>
      </c>
      <c r="E254" s="17"/>
      <c r="F254" s="213">
        <v>2024</v>
      </c>
      <c r="G254" s="71"/>
      <c r="H254" s="275" t="s">
        <v>2529</v>
      </c>
      <c r="I254" s="17"/>
      <c r="J254" s="959"/>
      <c r="K254" s="69">
        <v>46269</v>
      </c>
      <c r="L254" s="213" t="s">
        <v>808</v>
      </c>
    </row>
    <row r="255" spans="2:12" x14ac:dyDescent="0.35">
      <c r="B255" s="218" t="s">
        <v>849</v>
      </c>
      <c r="C255" s="58">
        <v>0</v>
      </c>
      <c r="D255" s="16" t="s">
        <v>704</v>
      </c>
      <c r="E255" s="17"/>
      <c r="F255" s="213">
        <v>2017</v>
      </c>
      <c r="G255" s="71"/>
      <c r="H255" s="275" t="s">
        <v>322</v>
      </c>
      <c r="I255" s="17"/>
      <c r="J255" s="959"/>
      <c r="K255" s="69">
        <v>43028</v>
      </c>
      <c r="L255" s="213" t="s">
        <v>64</v>
      </c>
    </row>
    <row r="256" spans="2:12" x14ac:dyDescent="0.35">
      <c r="B256" s="218" t="s">
        <v>850</v>
      </c>
      <c r="C256" s="58">
        <v>0</v>
      </c>
      <c r="D256" s="16" t="s">
        <v>704</v>
      </c>
      <c r="E256" s="17"/>
      <c r="F256" s="213">
        <v>2017</v>
      </c>
      <c r="G256" s="71"/>
      <c r="H256" s="275" t="s">
        <v>322</v>
      </c>
      <c r="I256" s="17"/>
      <c r="J256" s="959"/>
      <c r="K256" s="69">
        <v>43028</v>
      </c>
      <c r="L256" s="213" t="s">
        <v>64</v>
      </c>
    </row>
    <row r="257" spans="1:12" x14ac:dyDescent="0.35">
      <c r="B257" s="218" t="s">
        <v>851</v>
      </c>
      <c r="C257" s="12">
        <v>70</v>
      </c>
      <c r="D257" s="16" t="s">
        <v>704</v>
      </c>
      <c r="E257" s="17"/>
      <c r="F257" s="213">
        <v>2017</v>
      </c>
      <c r="G257" s="71"/>
      <c r="H257" s="275" t="s">
        <v>322</v>
      </c>
      <c r="I257" s="17"/>
      <c r="J257" s="959"/>
      <c r="K257" s="69">
        <v>43028</v>
      </c>
      <c r="L257" s="213" t="s">
        <v>64</v>
      </c>
    </row>
    <row r="258" spans="1:12" x14ac:dyDescent="0.35">
      <c r="B258" s="218" t="s">
        <v>852</v>
      </c>
      <c r="C258" s="12">
        <v>30</v>
      </c>
      <c r="D258" s="16" t="s">
        <v>704</v>
      </c>
      <c r="E258" s="17"/>
      <c r="F258" s="213">
        <v>2017</v>
      </c>
      <c r="G258" s="71"/>
      <c r="H258" s="275" t="s">
        <v>322</v>
      </c>
      <c r="I258" s="17"/>
      <c r="J258" s="959"/>
      <c r="K258" s="69">
        <v>43028</v>
      </c>
      <c r="L258" s="213" t="s">
        <v>64</v>
      </c>
    </row>
    <row r="259" spans="1:12" x14ac:dyDescent="0.35">
      <c r="B259" s="220" t="s">
        <v>1223</v>
      </c>
      <c r="C259" s="953"/>
      <c r="D259" s="8"/>
      <c r="E259" s="8"/>
      <c r="F259" s="259"/>
      <c r="G259" s="71"/>
      <c r="H259" s="271"/>
      <c r="I259" s="8"/>
      <c r="J259" s="962"/>
      <c r="K259" s="963"/>
      <c r="L259" s="259"/>
    </row>
    <row r="260" spans="1:12" x14ac:dyDescent="0.35">
      <c r="B260" s="218" t="s">
        <v>1224</v>
      </c>
      <c r="C260" s="160">
        <v>30</v>
      </c>
      <c r="D260" s="17" t="s">
        <v>927</v>
      </c>
      <c r="E260" s="17"/>
      <c r="F260" s="213">
        <v>2017</v>
      </c>
      <c r="G260" s="71"/>
      <c r="H260" s="275" t="s">
        <v>322</v>
      </c>
      <c r="I260" s="17"/>
      <c r="J260" s="959"/>
      <c r="K260" s="69"/>
      <c r="L260" s="213"/>
    </row>
    <row r="261" spans="1:12" x14ac:dyDescent="0.35">
      <c r="A261" s="511"/>
      <c r="B261" s="215" t="s">
        <v>1225</v>
      </c>
      <c r="C261" s="954"/>
      <c r="D261" s="9"/>
      <c r="E261" s="9"/>
      <c r="F261" s="216"/>
      <c r="H261" s="279"/>
      <c r="I261" s="8"/>
      <c r="J261" s="8"/>
      <c r="K261" s="8"/>
      <c r="L261" s="259"/>
    </row>
    <row r="262" spans="1:12" x14ac:dyDescent="0.35">
      <c r="A262" s="511"/>
      <c r="B262" s="212" t="s">
        <v>1226</v>
      </c>
      <c r="C262" s="58">
        <v>650</v>
      </c>
      <c r="D262" s="17" t="s">
        <v>1227</v>
      </c>
      <c r="E262" s="17"/>
      <c r="F262" s="213">
        <v>2017</v>
      </c>
      <c r="H262" s="275" t="s">
        <v>1228</v>
      </c>
      <c r="I262" s="17" t="s">
        <v>1229</v>
      </c>
      <c r="J262" s="17"/>
      <c r="K262" s="69">
        <v>43074</v>
      </c>
      <c r="L262" s="213" t="s">
        <v>64</v>
      </c>
    </row>
    <row r="263" spans="1:12" x14ac:dyDescent="0.35">
      <c r="B263" s="212" t="s">
        <v>1230</v>
      </c>
      <c r="C263" s="12">
        <v>225</v>
      </c>
      <c r="D263" s="17" t="s">
        <v>1227</v>
      </c>
      <c r="E263" s="17"/>
      <c r="F263" s="213">
        <v>2017</v>
      </c>
      <c r="H263" s="275" t="s">
        <v>322</v>
      </c>
      <c r="I263" s="17" t="s">
        <v>1231</v>
      </c>
      <c r="J263" s="17"/>
      <c r="K263" s="69">
        <v>43028</v>
      </c>
      <c r="L263" s="213" t="s">
        <v>64</v>
      </c>
    </row>
    <row r="264" spans="1:12" x14ac:dyDescent="0.35">
      <c r="B264" s="212" t="s">
        <v>1232</v>
      </c>
      <c r="C264" s="12">
        <v>80</v>
      </c>
      <c r="D264" s="17" t="s">
        <v>1227</v>
      </c>
      <c r="E264" s="17"/>
      <c r="F264" s="213">
        <v>2017</v>
      </c>
      <c r="H264" s="275" t="s">
        <v>322</v>
      </c>
      <c r="I264" s="17" t="s">
        <v>1233</v>
      </c>
      <c r="J264" s="17"/>
      <c r="K264" s="69">
        <v>43028</v>
      </c>
      <c r="L264" s="213" t="s">
        <v>64</v>
      </c>
    </row>
    <row r="265" spans="1:12" x14ac:dyDescent="0.35">
      <c r="B265" s="212" t="s">
        <v>1234</v>
      </c>
      <c r="C265" s="12">
        <v>44</v>
      </c>
      <c r="D265" s="17" t="s">
        <v>1227</v>
      </c>
      <c r="E265" s="17"/>
      <c r="F265" s="213">
        <v>2017</v>
      </c>
      <c r="H265" s="275" t="s">
        <v>322</v>
      </c>
      <c r="I265" s="17" t="s">
        <v>1233</v>
      </c>
      <c r="J265" s="17"/>
      <c r="K265" s="69">
        <v>43028</v>
      </c>
      <c r="L265" s="213" t="s">
        <v>64</v>
      </c>
    </row>
    <row r="266" spans="1:12" ht="15.5" x14ac:dyDescent="0.35">
      <c r="B266" s="210" t="s">
        <v>1235</v>
      </c>
      <c r="C266" s="938"/>
      <c r="D266" s="938"/>
      <c r="E266" s="938"/>
      <c r="F266" s="211"/>
      <c r="H266" s="280"/>
      <c r="I266" s="8"/>
      <c r="J266" s="8"/>
      <c r="K266" s="8"/>
      <c r="L266" s="259"/>
    </row>
    <row r="267" spans="1:12" x14ac:dyDescent="0.35">
      <c r="B267" s="218" t="s">
        <v>839</v>
      </c>
      <c r="C267" s="58">
        <v>4</v>
      </c>
      <c r="D267" s="16" t="s">
        <v>1064</v>
      </c>
      <c r="E267" s="17"/>
      <c r="F267" s="213">
        <v>2017</v>
      </c>
      <c r="H267" s="275" t="s">
        <v>322</v>
      </c>
      <c r="I267" s="17"/>
      <c r="J267" s="17"/>
      <c r="K267" s="69">
        <v>43033</v>
      </c>
      <c r="L267" s="213" t="s">
        <v>64</v>
      </c>
    </row>
    <row r="268" spans="1:12" x14ac:dyDescent="0.35">
      <c r="B268" s="218" t="s">
        <v>842</v>
      </c>
      <c r="C268" s="58">
        <v>5</v>
      </c>
      <c r="D268" s="16" t="s">
        <v>1064</v>
      </c>
      <c r="E268" s="17"/>
      <c r="F268" s="213">
        <v>2017</v>
      </c>
      <c r="H268" s="275" t="s">
        <v>322</v>
      </c>
      <c r="I268" s="17"/>
      <c r="J268" s="17"/>
      <c r="K268" s="69">
        <v>43033</v>
      </c>
      <c r="L268" s="213" t="s">
        <v>64</v>
      </c>
    </row>
    <row r="269" spans="1:12" x14ac:dyDescent="0.35">
      <c r="B269" s="218" t="s">
        <v>843</v>
      </c>
      <c r="C269" s="58">
        <v>5</v>
      </c>
      <c r="D269" s="16" t="s">
        <v>1064</v>
      </c>
      <c r="E269" s="17"/>
      <c r="F269" s="213">
        <v>2017</v>
      </c>
      <c r="H269" s="275" t="s">
        <v>322</v>
      </c>
      <c r="I269" s="17"/>
      <c r="J269" s="17"/>
      <c r="K269" s="69">
        <v>43033</v>
      </c>
      <c r="L269" s="213" t="s">
        <v>64</v>
      </c>
    </row>
    <row r="270" spans="1:12" x14ac:dyDescent="0.35">
      <c r="B270" s="218" t="s">
        <v>844</v>
      </c>
      <c r="C270" s="58">
        <v>4</v>
      </c>
      <c r="D270" s="16" t="s">
        <v>1064</v>
      </c>
      <c r="E270" s="17"/>
      <c r="F270" s="213">
        <v>2017</v>
      </c>
      <c r="H270" s="275" t="s">
        <v>322</v>
      </c>
      <c r="I270" s="17"/>
      <c r="J270" s="17"/>
      <c r="K270" s="69">
        <v>43033</v>
      </c>
      <c r="L270" s="213" t="s">
        <v>64</v>
      </c>
    </row>
    <row r="271" spans="1:12" x14ac:dyDescent="0.35">
      <c r="B271" s="218" t="s">
        <v>845</v>
      </c>
      <c r="C271" s="58">
        <v>4</v>
      </c>
      <c r="D271" s="16" t="s">
        <v>1064</v>
      </c>
      <c r="E271" s="17"/>
      <c r="F271" s="213">
        <v>2017</v>
      </c>
      <c r="H271" s="275" t="s">
        <v>322</v>
      </c>
      <c r="I271" s="17"/>
      <c r="J271" s="17"/>
      <c r="K271" s="69">
        <v>43033</v>
      </c>
      <c r="L271" s="213" t="s">
        <v>64</v>
      </c>
    </row>
    <row r="272" spans="1:12" x14ac:dyDescent="0.35">
      <c r="B272" s="218" t="s">
        <v>846</v>
      </c>
      <c r="C272" s="58">
        <v>5</v>
      </c>
      <c r="D272" s="16" t="s">
        <v>1064</v>
      </c>
      <c r="E272" s="17"/>
      <c r="F272" s="213">
        <v>2020</v>
      </c>
      <c r="H272" s="275" t="s">
        <v>322</v>
      </c>
      <c r="I272" s="17"/>
      <c r="J272" s="17"/>
      <c r="K272" s="69">
        <v>43909</v>
      </c>
      <c r="L272" s="213" t="s">
        <v>102</v>
      </c>
    </row>
    <row r="273" spans="1:12" x14ac:dyDescent="0.35">
      <c r="B273" s="218" t="s">
        <v>847</v>
      </c>
      <c r="C273" s="58">
        <v>2</v>
      </c>
      <c r="D273" s="16" t="s">
        <v>1064</v>
      </c>
      <c r="E273" s="17"/>
      <c r="F273" s="213">
        <v>2017</v>
      </c>
      <c r="H273" s="275" t="s">
        <v>322</v>
      </c>
      <c r="I273" s="17"/>
      <c r="J273" s="17"/>
      <c r="K273" s="69">
        <v>43033</v>
      </c>
      <c r="L273" s="213" t="s">
        <v>64</v>
      </c>
    </row>
    <row r="274" spans="1:12" x14ac:dyDescent="0.35">
      <c r="B274" s="218" t="s">
        <v>848</v>
      </c>
      <c r="C274" s="58">
        <v>5</v>
      </c>
      <c r="D274" s="16" t="s">
        <v>1064</v>
      </c>
      <c r="E274" s="17"/>
      <c r="F274" s="213">
        <v>2017</v>
      </c>
      <c r="H274" s="275" t="s">
        <v>322</v>
      </c>
      <c r="I274" s="17"/>
      <c r="J274" s="17"/>
      <c r="K274" s="69">
        <v>43033</v>
      </c>
      <c r="L274" s="213" t="s">
        <v>64</v>
      </c>
    </row>
    <row r="275" spans="1:12" x14ac:dyDescent="0.35">
      <c r="B275" s="218" t="s">
        <v>849</v>
      </c>
      <c r="C275" s="58">
        <v>1</v>
      </c>
      <c r="D275" s="16" t="s">
        <v>1236</v>
      </c>
      <c r="E275" s="17"/>
      <c r="F275" s="213">
        <v>2017</v>
      </c>
      <c r="H275" s="275" t="s">
        <v>322</v>
      </c>
      <c r="I275" s="17"/>
      <c r="J275" s="17"/>
      <c r="K275" s="69">
        <v>43033</v>
      </c>
      <c r="L275" s="213" t="s">
        <v>64</v>
      </c>
    </row>
    <row r="276" spans="1:12" x14ac:dyDescent="0.35">
      <c r="B276" s="218" t="s">
        <v>850</v>
      </c>
      <c r="C276" s="58">
        <v>1</v>
      </c>
      <c r="D276" s="16" t="s">
        <v>1236</v>
      </c>
      <c r="E276" s="17"/>
      <c r="F276" s="213">
        <v>2017</v>
      </c>
      <c r="H276" s="275" t="s">
        <v>322</v>
      </c>
      <c r="I276" s="17"/>
      <c r="J276" s="17"/>
      <c r="K276" s="69">
        <v>43033</v>
      </c>
      <c r="L276" s="213" t="s">
        <v>64</v>
      </c>
    </row>
    <row r="277" spans="1:12" x14ac:dyDescent="0.35">
      <c r="B277" s="218" t="s">
        <v>851</v>
      </c>
      <c r="C277" s="58">
        <v>1</v>
      </c>
      <c r="D277" s="16" t="s">
        <v>1236</v>
      </c>
      <c r="E277" s="17"/>
      <c r="F277" s="213">
        <v>2017</v>
      </c>
      <c r="H277" s="275" t="s">
        <v>322</v>
      </c>
      <c r="I277" s="17"/>
      <c r="J277" s="17"/>
      <c r="K277" s="69">
        <v>43033</v>
      </c>
      <c r="L277" s="213" t="s">
        <v>64</v>
      </c>
    </row>
    <row r="278" spans="1:12" x14ac:dyDescent="0.35">
      <c r="B278" s="218" t="s">
        <v>852</v>
      </c>
      <c r="C278" s="58">
        <v>1</v>
      </c>
      <c r="D278" s="16" t="s">
        <v>1236</v>
      </c>
      <c r="E278" s="17"/>
      <c r="F278" s="213">
        <v>2017</v>
      </c>
      <c r="H278" s="275" t="s">
        <v>322</v>
      </c>
      <c r="I278" s="17"/>
      <c r="J278" s="17"/>
      <c r="K278" s="69">
        <v>43033</v>
      </c>
      <c r="L278" s="213" t="s">
        <v>64</v>
      </c>
    </row>
    <row r="279" spans="1:12" ht="18.5" x14ac:dyDescent="0.45">
      <c r="B279" s="240" t="s">
        <v>1237</v>
      </c>
      <c r="C279" s="952"/>
      <c r="D279" s="66"/>
      <c r="E279" s="66"/>
      <c r="F279" s="263"/>
      <c r="G279" s="71"/>
      <c r="H279" s="310"/>
      <c r="I279" s="66"/>
      <c r="J279" s="960"/>
      <c r="K279" s="961"/>
      <c r="L279" s="263"/>
    </row>
    <row r="280" spans="1:12" x14ac:dyDescent="0.35">
      <c r="A280" s="511"/>
      <c r="B280" s="215" t="s">
        <v>1238</v>
      </c>
      <c r="C280" s="8"/>
      <c r="D280" s="8"/>
      <c r="E280" s="8"/>
      <c r="F280" s="259"/>
      <c r="H280" s="279"/>
      <c r="I280" s="8"/>
      <c r="J280" s="8"/>
      <c r="K280" s="8"/>
      <c r="L280" s="259"/>
    </row>
    <row r="281" spans="1:12" x14ac:dyDescent="0.35">
      <c r="A281" s="534"/>
      <c r="B281" s="212" t="s">
        <v>1239</v>
      </c>
      <c r="C281" s="57">
        <v>0.5</v>
      </c>
      <c r="D281" s="17" t="s">
        <v>544</v>
      </c>
      <c r="E281" s="17"/>
      <c r="F281" s="213">
        <v>2017</v>
      </c>
      <c r="G281" s="6"/>
      <c r="H281" s="275" t="s">
        <v>322</v>
      </c>
      <c r="I281" s="17" t="s">
        <v>1240</v>
      </c>
      <c r="J281" s="65" t="s">
        <v>1241</v>
      </c>
      <c r="K281" s="69">
        <v>42968</v>
      </c>
      <c r="L281" s="213" t="s">
        <v>64</v>
      </c>
    </row>
    <row r="282" spans="1:12" x14ac:dyDescent="0.35">
      <c r="B282" s="215" t="s">
        <v>1242</v>
      </c>
      <c r="C282" s="8"/>
      <c r="D282" s="8"/>
      <c r="E282" s="8"/>
      <c r="F282" s="259"/>
      <c r="H282" s="279" t="s">
        <v>106</v>
      </c>
      <c r="I282" s="8"/>
      <c r="J282" s="8"/>
      <c r="K282" s="8"/>
      <c r="L282" s="259"/>
    </row>
    <row r="283" spans="1:12" x14ac:dyDescent="0.35">
      <c r="B283" s="212" t="s">
        <v>1243</v>
      </c>
      <c r="C283" s="15">
        <v>0.1</v>
      </c>
      <c r="D283" s="17" t="s">
        <v>544</v>
      </c>
      <c r="E283" s="17"/>
      <c r="F283" s="213">
        <v>2017</v>
      </c>
      <c r="H283" s="275" t="s">
        <v>322</v>
      </c>
      <c r="I283" s="17"/>
      <c r="J283" s="149" t="s">
        <v>1244</v>
      </c>
      <c r="K283" s="69">
        <v>42968</v>
      </c>
      <c r="L283" s="213" t="s">
        <v>64</v>
      </c>
    </row>
    <row r="284" spans="1:12" x14ac:dyDescent="0.35">
      <c r="B284" s="212" t="s">
        <v>1245</v>
      </c>
      <c r="C284" s="15">
        <v>0.15</v>
      </c>
      <c r="D284" s="17" t="s">
        <v>544</v>
      </c>
      <c r="E284" s="17"/>
      <c r="F284" s="213">
        <v>2017</v>
      </c>
      <c r="H284" s="275" t="s">
        <v>322</v>
      </c>
      <c r="I284" s="17"/>
      <c r="J284" s="149" t="s">
        <v>1246</v>
      </c>
      <c r="K284" s="69">
        <v>42968</v>
      </c>
      <c r="L284" s="213" t="s">
        <v>64</v>
      </c>
    </row>
    <row r="285" spans="1:12" ht="18.5" x14ac:dyDescent="0.45">
      <c r="A285" s="538"/>
      <c r="B285" s="247" t="s">
        <v>1247</v>
      </c>
      <c r="C285" s="955"/>
      <c r="D285" s="11"/>
      <c r="E285" s="11"/>
      <c r="F285" s="249"/>
      <c r="H285" s="274"/>
      <c r="I285" s="14"/>
      <c r="J285" s="14"/>
      <c r="K285" s="14"/>
      <c r="L285" s="248"/>
    </row>
    <row r="286" spans="1:12" x14ac:dyDescent="0.35">
      <c r="A286" s="545"/>
      <c r="B286" s="215" t="s">
        <v>595</v>
      </c>
      <c r="C286" s="8"/>
      <c r="D286" s="8"/>
      <c r="E286" s="8"/>
      <c r="F286" s="259"/>
      <c r="H286" s="279"/>
      <c r="I286" s="8"/>
      <c r="J286" s="8"/>
      <c r="K286" s="8"/>
      <c r="L286" s="259"/>
    </row>
    <row r="287" spans="1:12" x14ac:dyDescent="0.35">
      <c r="B287" s="218" t="s">
        <v>685</v>
      </c>
      <c r="C287" s="575">
        <f>'Standardsatser-Forutsetninger'!C162</f>
        <v>0.18240000000000001</v>
      </c>
      <c r="D287" s="65" t="s">
        <v>1248</v>
      </c>
      <c r="E287" s="65"/>
      <c r="F287" s="221">
        <v>2025</v>
      </c>
      <c r="H287" s="275" t="s">
        <v>494</v>
      </c>
      <c r="I287" s="964" t="s">
        <v>1249</v>
      </c>
      <c r="J287" s="959" t="s">
        <v>928</v>
      </c>
      <c r="K287" s="101">
        <v>44007</v>
      </c>
      <c r="L287" s="221" t="s">
        <v>102</v>
      </c>
    </row>
    <row r="288" spans="1:12" x14ac:dyDescent="0.35">
      <c r="B288" s="218" t="s">
        <v>687</v>
      </c>
      <c r="C288" s="575">
        <f>'Standardsatser-Forutsetninger'!C163</f>
        <v>1.5900000000000001E-2</v>
      </c>
      <c r="D288" s="65" t="s">
        <v>1248</v>
      </c>
      <c r="E288" s="65"/>
      <c r="F288" s="221">
        <v>2025</v>
      </c>
      <c r="G288" s="556"/>
      <c r="H288" s="275" t="s">
        <v>494</v>
      </c>
      <c r="I288" s="964" t="s">
        <v>1250</v>
      </c>
      <c r="J288" s="959" t="s">
        <v>928</v>
      </c>
      <c r="K288" s="101">
        <v>44007</v>
      </c>
      <c r="L288" s="221" t="s">
        <v>102</v>
      </c>
    </row>
    <row r="289" spans="1:12" x14ac:dyDescent="0.35">
      <c r="A289" s="543"/>
      <c r="B289" s="218" t="s">
        <v>591</v>
      </c>
      <c r="C289" s="575">
        <f>'Standardsatser-Forutsetninger'!C164</f>
        <v>1.9199999999999998E-2</v>
      </c>
      <c r="D289" s="65" t="s">
        <v>1248</v>
      </c>
      <c r="E289" s="65"/>
      <c r="F289" s="221">
        <v>2025</v>
      </c>
      <c r="G289" s="556"/>
      <c r="H289" s="275" t="s">
        <v>494</v>
      </c>
      <c r="I289" s="964" t="s">
        <v>1251</v>
      </c>
      <c r="J289" s="959" t="s">
        <v>928</v>
      </c>
      <c r="K289" s="101">
        <v>44007</v>
      </c>
      <c r="L289" s="221" t="s">
        <v>102</v>
      </c>
    </row>
    <row r="290" spans="1:12" x14ac:dyDescent="0.35">
      <c r="B290" s="220" t="s">
        <v>596</v>
      </c>
      <c r="C290" s="612"/>
      <c r="D290" s="31"/>
      <c r="E290" s="31"/>
      <c r="F290" s="245"/>
      <c r="G290" s="556"/>
      <c r="H290" s="279"/>
      <c r="I290" s="31"/>
      <c r="J290" s="8"/>
      <c r="K290" s="31"/>
      <c r="L290" s="245"/>
    </row>
    <row r="291" spans="1:12" x14ac:dyDescent="0.35">
      <c r="A291" s="543"/>
      <c r="B291" s="218" t="s">
        <v>685</v>
      </c>
      <c r="C291" s="575">
        <f>'Standardsatser-Forutsetninger'!C166</f>
        <v>0.10829999999999999</v>
      </c>
      <c r="D291" s="65" t="s">
        <v>1248</v>
      </c>
      <c r="E291" s="65"/>
      <c r="F291" s="221">
        <v>2025</v>
      </c>
      <c r="H291" s="275" t="s">
        <v>494</v>
      </c>
      <c r="I291" s="964" t="s">
        <v>1252</v>
      </c>
      <c r="J291" s="959" t="s">
        <v>928</v>
      </c>
      <c r="K291" s="101">
        <v>44007</v>
      </c>
      <c r="L291" s="221" t="s">
        <v>102</v>
      </c>
    </row>
    <row r="292" spans="1:12" x14ac:dyDescent="0.35">
      <c r="B292" s="218" t="s">
        <v>687</v>
      </c>
      <c r="C292" s="575">
        <f>'Standardsatser-Forutsetninger'!C167</f>
        <v>9.2999999999999992E-3</v>
      </c>
      <c r="D292" s="65" t="s">
        <v>1248</v>
      </c>
      <c r="E292" s="65"/>
      <c r="F292" s="221">
        <v>2025</v>
      </c>
      <c r="H292" s="275" t="s">
        <v>494</v>
      </c>
      <c r="I292" s="964" t="s">
        <v>1253</v>
      </c>
      <c r="J292" s="959" t="s">
        <v>928</v>
      </c>
      <c r="K292" s="101">
        <v>44007</v>
      </c>
      <c r="L292" s="221" t="s">
        <v>102</v>
      </c>
    </row>
    <row r="293" spans="1:12" x14ac:dyDescent="0.35">
      <c r="A293" s="543"/>
      <c r="B293" s="218" t="s">
        <v>591</v>
      </c>
      <c r="C293" s="575">
        <f>'Standardsatser-Forutsetninger'!C168</f>
        <v>1.0500000000000001E-2</v>
      </c>
      <c r="D293" s="65" t="s">
        <v>1248</v>
      </c>
      <c r="E293" s="65"/>
      <c r="F293" s="221">
        <v>2025</v>
      </c>
      <c r="H293" s="275" t="s">
        <v>494</v>
      </c>
      <c r="I293" s="964" t="s">
        <v>1251</v>
      </c>
      <c r="J293" s="959" t="s">
        <v>928</v>
      </c>
      <c r="K293" s="101">
        <v>44007</v>
      </c>
      <c r="L293" s="221" t="s">
        <v>102</v>
      </c>
    </row>
    <row r="294" spans="1:12" x14ac:dyDescent="0.35">
      <c r="A294" s="551"/>
      <c r="B294" s="220" t="s">
        <v>602</v>
      </c>
      <c r="C294" s="612"/>
      <c r="D294" s="31"/>
      <c r="E294" s="31"/>
      <c r="F294" s="245"/>
      <c r="H294" s="385"/>
      <c r="I294" s="965"/>
      <c r="J294" s="31"/>
      <c r="K294" s="966"/>
      <c r="L294" s="245"/>
    </row>
    <row r="295" spans="1:12" x14ac:dyDescent="0.35">
      <c r="B295" s="218" t="s">
        <v>685</v>
      </c>
      <c r="C295" s="575">
        <f>'Standardsatser-Forutsetninger'!C186</f>
        <v>0.16147339145002171</v>
      </c>
      <c r="D295" s="65" t="s">
        <v>1248</v>
      </c>
      <c r="E295" s="65"/>
      <c r="F295" s="221">
        <v>2019</v>
      </c>
      <c r="H295" s="275" t="s">
        <v>494</v>
      </c>
      <c r="I295" s="964" t="s">
        <v>1252</v>
      </c>
      <c r="J295" s="959" t="s">
        <v>928</v>
      </c>
      <c r="K295" s="101">
        <v>44007</v>
      </c>
      <c r="L295" s="221" t="s">
        <v>102</v>
      </c>
    </row>
    <row r="296" spans="1:12" x14ac:dyDescent="0.35">
      <c r="B296" s="218" t="s">
        <v>687</v>
      </c>
      <c r="C296" s="575">
        <f>'Standardsatser-Forutsetninger'!C187</f>
        <v>1.2901923434882424E-2</v>
      </c>
      <c r="D296" s="65" t="s">
        <v>1248</v>
      </c>
      <c r="E296" s="65"/>
      <c r="F296" s="221">
        <v>2019</v>
      </c>
      <c r="H296" s="275" t="s">
        <v>494</v>
      </c>
      <c r="I296" s="964" t="s">
        <v>1253</v>
      </c>
      <c r="J296" s="959" t="s">
        <v>928</v>
      </c>
      <c r="K296" s="101">
        <v>44007</v>
      </c>
      <c r="L296" s="221" t="s">
        <v>102</v>
      </c>
    </row>
    <row r="297" spans="1:12" x14ac:dyDescent="0.35">
      <c r="B297" s="218" t="s">
        <v>591</v>
      </c>
      <c r="C297" s="575">
        <f>'Standardsatser-Forutsetninger'!C188</f>
        <v>2.951727989079854E-3</v>
      </c>
      <c r="D297" s="65" t="s">
        <v>1248</v>
      </c>
      <c r="E297" s="65"/>
      <c r="F297" s="221">
        <v>2019</v>
      </c>
      <c r="H297" s="275" t="s">
        <v>494</v>
      </c>
      <c r="I297" s="964" t="s">
        <v>1251</v>
      </c>
      <c r="J297" s="959" t="s">
        <v>928</v>
      </c>
      <c r="K297" s="101">
        <v>44007</v>
      </c>
      <c r="L297" s="221" t="s">
        <v>102</v>
      </c>
    </row>
    <row r="298" spans="1:12" x14ac:dyDescent="0.35">
      <c r="B298" s="220" t="s">
        <v>603</v>
      </c>
      <c r="C298" s="612"/>
      <c r="D298" s="31"/>
      <c r="E298" s="31"/>
      <c r="F298" s="245"/>
      <c r="H298" s="385"/>
      <c r="I298" s="965"/>
      <c r="J298" s="31"/>
      <c r="K298" s="966"/>
      <c r="L298" s="245"/>
    </row>
    <row r="299" spans="1:12" x14ac:dyDescent="0.35">
      <c r="B299" s="218" t="s">
        <v>685</v>
      </c>
      <c r="C299" s="575">
        <f>'Standardsatser-Forutsetninger'!C190</f>
        <v>0.26120000000000004</v>
      </c>
      <c r="D299" s="65" t="s">
        <v>1248</v>
      </c>
      <c r="E299" s="65"/>
      <c r="F299" s="221">
        <v>2019</v>
      </c>
      <c r="H299" s="275" t="s">
        <v>494</v>
      </c>
      <c r="I299" s="964" t="s">
        <v>1252</v>
      </c>
      <c r="J299" s="959" t="s">
        <v>928</v>
      </c>
      <c r="K299" s="101">
        <v>44007</v>
      </c>
      <c r="L299" s="221" t="s">
        <v>102</v>
      </c>
    </row>
    <row r="300" spans="1:12" x14ac:dyDescent="0.35">
      <c r="B300" s="218" t="s">
        <v>687</v>
      </c>
      <c r="C300" s="575">
        <f>'Standardsatser-Forutsetninger'!C191</f>
        <v>2.6200000000000001E-2</v>
      </c>
      <c r="D300" s="65" t="s">
        <v>1248</v>
      </c>
      <c r="E300" s="65"/>
      <c r="F300" s="221">
        <v>2019</v>
      </c>
      <c r="H300" s="275" t="s">
        <v>494</v>
      </c>
      <c r="I300" s="964" t="s">
        <v>1253</v>
      </c>
      <c r="J300" s="959" t="s">
        <v>928</v>
      </c>
      <c r="K300" s="101">
        <v>44007</v>
      </c>
      <c r="L300" s="221" t="s">
        <v>102</v>
      </c>
    </row>
    <row r="301" spans="1:12" x14ac:dyDescent="0.35">
      <c r="B301" s="218" t="s">
        <v>591</v>
      </c>
      <c r="C301" s="575">
        <f>'Standardsatser-Forutsetninger'!C192</f>
        <v>8.6E-3</v>
      </c>
      <c r="D301" s="65" t="s">
        <v>1248</v>
      </c>
      <c r="E301" s="65"/>
      <c r="F301" s="221">
        <v>2019</v>
      </c>
      <c r="H301" s="275" t="s">
        <v>494</v>
      </c>
      <c r="I301" s="964" t="s">
        <v>1251</v>
      </c>
      <c r="J301" s="959" t="s">
        <v>928</v>
      </c>
      <c r="K301" s="101">
        <v>44007</v>
      </c>
      <c r="L301" s="221" t="s">
        <v>102</v>
      </c>
    </row>
    <row r="302" spans="1:12" x14ac:dyDescent="0.35">
      <c r="B302" s="220" t="s">
        <v>604</v>
      </c>
      <c r="C302" s="612"/>
      <c r="D302" s="31"/>
      <c r="E302" s="31"/>
      <c r="F302" s="245"/>
      <c r="H302" s="385"/>
      <c r="I302" s="965"/>
      <c r="J302" s="31"/>
      <c r="K302" s="966"/>
      <c r="L302" s="245"/>
    </row>
    <row r="303" spans="1:12" x14ac:dyDescent="0.35">
      <c r="B303" s="218" t="s">
        <v>685</v>
      </c>
      <c r="C303" s="575">
        <f>'Standardsatser-Forutsetninger'!C194</f>
        <v>8.1500000000000003E-2</v>
      </c>
      <c r="D303" s="65" t="s">
        <v>1248</v>
      </c>
      <c r="E303" s="65"/>
      <c r="F303" s="221">
        <v>2022</v>
      </c>
      <c r="H303" s="275" t="s">
        <v>494</v>
      </c>
      <c r="I303" s="964" t="s">
        <v>1252</v>
      </c>
      <c r="J303" s="959" t="s">
        <v>928</v>
      </c>
      <c r="K303" s="101">
        <v>44007</v>
      </c>
      <c r="L303" s="221" t="s">
        <v>102</v>
      </c>
    </row>
    <row r="304" spans="1:12" x14ac:dyDescent="0.35">
      <c r="B304" s="218" t="s">
        <v>687</v>
      </c>
      <c r="C304" s="575">
        <f>'Standardsatser-Forutsetninger'!C195</f>
        <v>8.1500000000000003E-2</v>
      </c>
      <c r="D304" s="65" t="s">
        <v>1248</v>
      </c>
      <c r="E304" s="65"/>
      <c r="F304" s="221">
        <v>2022</v>
      </c>
      <c r="H304" s="275" t="s">
        <v>494</v>
      </c>
      <c r="I304" s="964" t="s">
        <v>1253</v>
      </c>
      <c r="J304" s="959" t="s">
        <v>928</v>
      </c>
      <c r="K304" s="101">
        <v>44007</v>
      </c>
      <c r="L304" s="221" t="s">
        <v>102</v>
      </c>
    </row>
    <row r="305" spans="1:13" x14ac:dyDescent="0.35">
      <c r="B305" s="218" t="s">
        <v>591</v>
      </c>
      <c r="C305" s="575">
        <f>'Standardsatser-Forutsetninger'!C196</f>
        <v>6.3E-3</v>
      </c>
      <c r="D305" s="65" t="s">
        <v>1248</v>
      </c>
      <c r="E305" s="65"/>
      <c r="F305" s="221">
        <v>2022</v>
      </c>
      <c r="H305" s="275" t="s">
        <v>494</v>
      </c>
      <c r="I305" s="964" t="s">
        <v>1251</v>
      </c>
      <c r="J305" s="959" t="s">
        <v>928</v>
      </c>
      <c r="K305" s="101">
        <v>44007</v>
      </c>
      <c r="L305" s="221" t="s">
        <v>102</v>
      </c>
    </row>
    <row r="306" spans="1:13" x14ac:dyDescent="0.35">
      <c r="B306" s="220" t="s">
        <v>605</v>
      </c>
      <c r="C306" s="612"/>
      <c r="D306" s="31"/>
      <c r="E306" s="31"/>
      <c r="F306" s="245"/>
      <c r="H306" s="271"/>
      <c r="I306" s="965"/>
      <c r="J306" s="31"/>
      <c r="K306" s="966"/>
      <c r="L306" s="245"/>
    </row>
    <row r="307" spans="1:13" x14ac:dyDescent="0.35">
      <c r="B307" s="218" t="s">
        <v>685</v>
      </c>
      <c r="C307" s="575">
        <f>'Standardsatser-Forutsetninger'!C210</f>
        <v>6.8583237437667824E-2</v>
      </c>
      <c r="D307" s="65" t="s">
        <v>1248</v>
      </c>
      <c r="E307" s="65"/>
      <c r="F307" s="221">
        <v>2022</v>
      </c>
      <c r="H307" s="275" t="s">
        <v>494</v>
      </c>
      <c r="I307" s="964" t="s">
        <v>1249</v>
      </c>
      <c r="J307" s="959" t="s">
        <v>928</v>
      </c>
      <c r="K307" s="101">
        <v>44007</v>
      </c>
      <c r="L307" s="221" t="s">
        <v>102</v>
      </c>
    </row>
    <row r="308" spans="1:13" x14ac:dyDescent="0.35">
      <c r="B308" s="218" t="s">
        <v>687</v>
      </c>
      <c r="C308" s="575">
        <f>'Standardsatser-Forutsetninger'!C211</f>
        <v>6.9220687891573974E-3</v>
      </c>
      <c r="D308" s="65" t="s">
        <v>1248</v>
      </c>
      <c r="E308" s="65"/>
      <c r="F308" s="221">
        <v>2022</v>
      </c>
      <c r="H308" s="275" t="s">
        <v>494</v>
      </c>
      <c r="I308" s="964" t="s">
        <v>1250</v>
      </c>
      <c r="J308" s="959" t="s">
        <v>928</v>
      </c>
      <c r="K308" s="101">
        <v>44007</v>
      </c>
      <c r="L308" s="221" t="s">
        <v>102</v>
      </c>
    </row>
    <row r="309" spans="1:13" x14ac:dyDescent="0.35">
      <c r="B309" s="218" t="s">
        <v>591</v>
      </c>
      <c r="C309" s="575">
        <f>'Standardsatser-Forutsetninger'!C212</f>
        <v>2.288415803605677E-3</v>
      </c>
      <c r="D309" s="65" t="s">
        <v>1248</v>
      </c>
      <c r="E309" s="65"/>
      <c r="F309" s="221">
        <v>2022</v>
      </c>
      <c r="H309" s="275" t="s">
        <v>494</v>
      </c>
      <c r="I309" s="964" t="s">
        <v>1251</v>
      </c>
      <c r="J309" s="959" t="s">
        <v>928</v>
      </c>
      <c r="K309" s="101">
        <v>44007</v>
      </c>
      <c r="L309" s="221" t="s">
        <v>102</v>
      </c>
    </row>
    <row r="310" spans="1:13" x14ac:dyDescent="0.35">
      <c r="B310" s="220" t="s">
        <v>606</v>
      </c>
      <c r="C310" s="612"/>
      <c r="D310" s="31"/>
      <c r="E310" s="31"/>
      <c r="F310" s="245"/>
      <c r="H310" s="279"/>
      <c r="I310" s="31"/>
      <c r="J310" s="8"/>
      <c r="K310" s="31"/>
      <c r="L310" s="245"/>
    </row>
    <row r="311" spans="1:13" x14ac:dyDescent="0.35">
      <c r="B311" s="218" t="s">
        <v>685</v>
      </c>
      <c r="C311" s="575">
        <f>'Standardsatser-Forutsetninger'!C226</f>
        <v>0.12161067044381491</v>
      </c>
      <c r="D311" s="65" t="s">
        <v>1248</v>
      </c>
      <c r="E311" s="65"/>
      <c r="F311" s="221">
        <v>2022</v>
      </c>
      <c r="H311" s="275" t="s">
        <v>494</v>
      </c>
      <c r="I311" s="964" t="s">
        <v>1252</v>
      </c>
      <c r="J311" s="959" t="s">
        <v>928</v>
      </c>
      <c r="K311" s="101">
        <v>44007</v>
      </c>
      <c r="L311" s="221" t="s">
        <v>102</v>
      </c>
    </row>
    <row r="312" spans="1:13" x14ac:dyDescent="0.35">
      <c r="B312" s="218" t="s">
        <v>687</v>
      </c>
      <c r="C312" s="575">
        <f>'Standardsatser-Forutsetninger'!C227</f>
        <v>1.9177714825306891E-2</v>
      </c>
      <c r="D312" s="65" t="s">
        <v>1248</v>
      </c>
      <c r="E312" s="65"/>
      <c r="F312" s="221">
        <v>2022</v>
      </c>
      <c r="H312" s="275" t="s">
        <v>494</v>
      </c>
      <c r="I312" s="964" t="s">
        <v>1253</v>
      </c>
      <c r="J312" s="959" t="s">
        <v>928</v>
      </c>
      <c r="K312" s="101">
        <v>44007</v>
      </c>
      <c r="L312" s="221" t="s">
        <v>102</v>
      </c>
    </row>
    <row r="313" spans="1:13" x14ac:dyDescent="0.35">
      <c r="B313" s="218" t="s">
        <v>591</v>
      </c>
      <c r="C313" s="575">
        <f>'Standardsatser-Forutsetninger'!C228</f>
        <v>1.1707554296506138E-2</v>
      </c>
      <c r="D313" s="65" t="s">
        <v>1248</v>
      </c>
      <c r="E313" s="65"/>
      <c r="F313" s="221">
        <v>2022</v>
      </c>
      <c r="H313" s="275" t="s">
        <v>494</v>
      </c>
      <c r="I313" s="964" t="s">
        <v>1251</v>
      </c>
      <c r="J313" s="959" t="s">
        <v>928</v>
      </c>
      <c r="K313" s="101">
        <v>44007</v>
      </c>
      <c r="L313" s="221" t="s">
        <v>102</v>
      </c>
      <c r="M313" s="6"/>
    </row>
    <row r="314" spans="1:13" ht="18.5" x14ac:dyDescent="0.45">
      <c r="A314" s="511"/>
      <c r="B314" s="240" t="s">
        <v>610</v>
      </c>
      <c r="C314" s="956"/>
      <c r="D314" s="11"/>
      <c r="E314" s="11"/>
      <c r="F314" s="249"/>
      <c r="H314" s="274"/>
      <c r="I314" s="14"/>
      <c r="J314" s="14"/>
      <c r="K314" s="14"/>
      <c r="L314" s="248"/>
      <c r="M314" s="6"/>
    </row>
    <row r="315" spans="1:13" x14ac:dyDescent="0.35">
      <c r="A315" s="511"/>
      <c r="B315" s="215" t="s">
        <v>595</v>
      </c>
      <c r="C315" s="8"/>
      <c r="D315" s="8"/>
      <c r="E315" s="8"/>
      <c r="F315" s="259"/>
      <c r="H315" s="271"/>
      <c r="I315" s="8"/>
      <c r="J315" s="8"/>
      <c r="K315" s="8"/>
      <c r="L315" s="259"/>
      <c r="M315" s="6"/>
    </row>
    <row r="316" spans="1:13" x14ac:dyDescent="0.35">
      <c r="A316" s="511"/>
      <c r="B316" s="212" t="s">
        <v>1056</v>
      </c>
      <c r="C316" s="58">
        <v>0</v>
      </c>
      <c r="D316" s="17" t="s">
        <v>688</v>
      </c>
      <c r="E316" s="17"/>
      <c r="F316" s="213">
        <v>2025</v>
      </c>
      <c r="G316" s="155"/>
      <c r="H316" s="275" t="s">
        <v>825</v>
      </c>
      <c r="I316" s="17"/>
      <c r="J316" s="17"/>
      <c r="K316" s="101">
        <v>46044</v>
      </c>
      <c r="L316" s="221" t="s">
        <v>808</v>
      </c>
      <c r="M316" s="6"/>
    </row>
    <row r="317" spans="1:13" x14ac:dyDescent="0.35">
      <c r="A317" s="511"/>
      <c r="B317" s="218" t="s">
        <v>806</v>
      </c>
      <c r="C317" s="33">
        <f>'Standardsatser-Forutsetninger'!$C$230</f>
        <v>34.816945979410121</v>
      </c>
      <c r="D317" s="65" t="str">
        <f>'Standardsatser-Forutsetninger'!D230</f>
        <v>G/togkm</v>
      </c>
      <c r="E317" s="18"/>
      <c r="F317" s="221">
        <v>2025</v>
      </c>
      <c r="G317" s="552"/>
      <c r="H317" s="275" t="s">
        <v>825</v>
      </c>
      <c r="I317" s="17" t="s">
        <v>1254</v>
      </c>
      <c r="J317" s="959"/>
      <c r="K317" s="101">
        <v>46044</v>
      </c>
      <c r="L317" s="221" t="s">
        <v>808</v>
      </c>
      <c r="M317" s="6"/>
    </row>
    <row r="318" spans="1:13" x14ac:dyDescent="0.35">
      <c r="A318" s="511"/>
      <c r="B318" s="215" t="s">
        <v>596</v>
      </c>
      <c r="C318" s="41"/>
      <c r="D318" s="31"/>
      <c r="E318" s="8"/>
      <c r="F318" s="245"/>
      <c r="G318" s="155"/>
      <c r="H318" s="271"/>
      <c r="I318" s="8"/>
      <c r="J318" s="8"/>
      <c r="K318" s="31"/>
      <c r="L318" s="245"/>
    </row>
    <row r="319" spans="1:13" x14ac:dyDescent="0.35">
      <c r="A319" s="511"/>
      <c r="B319" s="212" t="s">
        <v>1056</v>
      </c>
      <c r="C319" s="33">
        <v>0</v>
      </c>
      <c r="D319" s="65" t="s">
        <v>688</v>
      </c>
      <c r="E319" s="17"/>
      <c r="F319" s="221">
        <v>2025</v>
      </c>
      <c r="G319" s="155"/>
      <c r="H319" s="275" t="s">
        <v>825</v>
      </c>
      <c r="I319" s="17"/>
      <c r="J319" s="17"/>
      <c r="K319" s="101">
        <v>46044</v>
      </c>
      <c r="L319" s="221" t="s">
        <v>808</v>
      </c>
    </row>
    <row r="320" spans="1:13" x14ac:dyDescent="0.35">
      <c r="A320" s="511"/>
      <c r="B320" s="218" t="s">
        <v>806</v>
      </c>
      <c r="C320" s="33">
        <f>'Standardsatser-Forutsetninger'!$C$231</f>
        <v>103.90144699351521</v>
      </c>
      <c r="D320" s="65" t="str">
        <f>'Standardsatser-Forutsetninger'!D231</f>
        <v>G/togkm</v>
      </c>
      <c r="E320" s="18"/>
      <c r="F320" s="221">
        <v>2025</v>
      </c>
      <c r="G320" s="552"/>
      <c r="H320" s="275" t="s">
        <v>825</v>
      </c>
      <c r="I320" s="17" t="s">
        <v>1254</v>
      </c>
      <c r="J320" s="959"/>
      <c r="K320" s="101">
        <v>46044</v>
      </c>
      <c r="L320" s="221" t="s">
        <v>808</v>
      </c>
    </row>
    <row r="321" spans="1:13" x14ac:dyDescent="0.35">
      <c r="A321" s="511"/>
      <c r="B321" s="215" t="s">
        <v>809</v>
      </c>
      <c r="C321" s="8"/>
      <c r="D321" s="8"/>
      <c r="E321" s="8"/>
      <c r="F321" s="245"/>
      <c r="G321" s="156"/>
      <c r="H321" s="271"/>
      <c r="I321" s="8"/>
      <c r="J321" s="8"/>
      <c r="K321" s="8"/>
      <c r="L321" s="259"/>
    </row>
    <row r="322" spans="1:13" x14ac:dyDescent="0.35">
      <c r="A322" s="511"/>
      <c r="B322" s="212" t="s">
        <v>810</v>
      </c>
      <c r="C322" s="107">
        <f>'Standardsatser-Forutsetninger'!C232</f>
        <v>0.24010020648981617</v>
      </c>
      <c r="D322" s="103" t="str">
        <f>'Standardsatser-Forutsetninger'!D232</f>
        <v>G/kjøretøykm</v>
      </c>
      <c r="E322" s="103"/>
      <c r="F322" s="261">
        <v>2019</v>
      </c>
      <c r="G322" s="553"/>
      <c r="H322" s="275" t="s">
        <v>1255</v>
      </c>
      <c r="I322" s="149" t="s">
        <v>1256</v>
      </c>
      <c r="J322" s="959" t="s">
        <v>928</v>
      </c>
      <c r="K322" s="101">
        <v>43696</v>
      </c>
      <c r="L322" s="221" t="s">
        <v>64</v>
      </c>
    </row>
    <row r="323" spans="1:13" x14ac:dyDescent="0.35">
      <c r="B323" s="212" t="s">
        <v>603</v>
      </c>
      <c r="C323" s="107">
        <f>'Standardsatser-Forutsetninger'!C233</f>
        <v>4.0666666666666664</v>
      </c>
      <c r="D323" s="17" t="s">
        <v>690</v>
      </c>
      <c r="E323" s="17"/>
      <c r="F323" s="221">
        <v>2019</v>
      </c>
      <c r="G323" s="553"/>
      <c r="H323" s="275" t="s">
        <v>1255</v>
      </c>
      <c r="I323" s="149" t="s">
        <v>1257</v>
      </c>
      <c r="J323" s="959" t="s">
        <v>928</v>
      </c>
      <c r="K323" s="101">
        <v>43696</v>
      </c>
      <c r="L323" s="221" t="s">
        <v>64</v>
      </c>
      <c r="M323" s="6"/>
    </row>
    <row r="324" spans="1:13" x14ac:dyDescent="0.35">
      <c r="B324" s="212" t="s">
        <v>875</v>
      </c>
      <c r="C324" s="107">
        <v>0</v>
      </c>
      <c r="D324" s="17" t="s">
        <v>690</v>
      </c>
      <c r="E324" s="17"/>
      <c r="F324" s="221">
        <v>2015</v>
      </c>
      <c r="G324" s="162"/>
      <c r="H324" s="275" t="s">
        <v>909</v>
      </c>
      <c r="I324" s="148" t="s">
        <v>1258</v>
      </c>
      <c r="J324" s="959" t="s">
        <v>928</v>
      </c>
      <c r="K324" s="101">
        <v>42969</v>
      </c>
      <c r="L324" s="221" t="s">
        <v>64</v>
      </c>
    </row>
    <row r="325" spans="1:13" x14ac:dyDescent="0.35">
      <c r="A325" s="534"/>
      <c r="B325" s="212" t="s">
        <v>605</v>
      </c>
      <c r="C325" s="107">
        <f>'Standardsatser-Forutsetninger'!C234</f>
        <v>1.4866666666666666</v>
      </c>
      <c r="D325" s="17" t="s">
        <v>690</v>
      </c>
      <c r="E325" s="17"/>
      <c r="F325" s="221">
        <v>2022</v>
      </c>
      <c r="G325" s="162"/>
      <c r="H325" s="275" t="s">
        <v>2466</v>
      </c>
      <c r="I325" s="148" t="s">
        <v>2482</v>
      </c>
      <c r="J325" s="959"/>
      <c r="K325" s="101">
        <v>46157</v>
      </c>
      <c r="L325" s="221" t="s">
        <v>808</v>
      </c>
    </row>
    <row r="326" spans="1:13" x14ac:dyDescent="0.35">
      <c r="A326" s="534"/>
      <c r="B326" s="212" t="s">
        <v>1355</v>
      </c>
      <c r="C326" s="107">
        <f>'Standardsatser-Forutsetninger'!C235</f>
        <v>2.2146666666666666</v>
      </c>
      <c r="D326" s="17" t="s">
        <v>690</v>
      </c>
      <c r="E326" s="17"/>
      <c r="F326" s="221">
        <v>2022</v>
      </c>
      <c r="G326" s="162"/>
      <c r="H326" s="275" t="s">
        <v>2466</v>
      </c>
      <c r="I326" s="148" t="s">
        <v>2483</v>
      </c>
      <c r="J326" s="959"/>
      <c r="K326" s="101">
        <v>46157</v>
      </c>
      <c r="L326" s="221" t="s">
        <v>808</v>
      </c>
    </row>
    <row r="327" spans="1:13" x14ac:dyDescent="0.35">
      <c r="B327" s="212" t="s">
        <v>1356</v>
      </c>
      <c r="C327" s="107">
        <f>'Standardsatser-Forutsetninger'!C236</f>
        <v>3.206666666666667</v>
      </c>
      <c r="D327" s="17" t="s">
        <v>690</v>
      </c>
      <c r="E327" s="17"/>
      <c r="F327" s="221">
        <v>2022</v>
      </c>
      <c r="G327" s="162"/>
      <c r="H327" s="275" t="s">
        <v>2466</v>
      </c>
      <c r="I327" s="148" t="s">
        <v>2484</v>
      </c>
      <c r="J327" s="959"/>
      <c r="K327" s="101">
        <v>46157</v>
      </c>
      <c r="L327" s="221" t="s">
        <v>808</v>
      </c>
    </row>
    <row r="328" spans="1:13" x14ac:dyDescent="0.35">
      <c r="A328" s="511"/>
      <c r="B328" s="212" t="s">
        <v>604</v>
      </c>
      <c r="C328" s="576">
        <f>'Standardsatser-Forutsetninger'!C237</f>
        <v>912.96965919115291</v>
      </c>
      <c r="D328" s="941" t="str">
        <f>'Standardsatser-Forutsetninger'!D237</f>
        <v>G/fartøykm</v>
      </c>
      <c r="E328" s="941"/>
      <c r="F328" s="221">
        <v>2019</v>
      </c>
      <c r="G328" s="155"/>
      <c r="H328" s="275" t="s">
        <v>1255</v>
      </c>
      <c r="I328" s="149" t="s">
        <v>1259</v>
      </c>
      <c r="J328" s="959" t="s">
        <v>928</v>
      </c>
      <c r="K328" s="69">
        <v>43706</v>
      </c>
      <c r="L328" s="213" t="s">
        <v>130</v>
      </c>
      <c r="M328" s="6"/>
    </row>
    <row r="329" spans="1:13" ht="18.5" x14ac:dyDescent="0.45">
      <c r="A329" s="511"/>
      <c r="B329" s="240" t="s">
        <v>611</v>
      </c>
      <c r="C329" s="956"/>
      <c r="D329" s="11"/>
      <c r="E329" s="11"/>
      <c r="F329" s="249"/>
      <c r="H329" s="274"/>
      <c r="I329" s="14"/>
      <c r="J329" s="14"/>
      <c r="K329" s="14"/>
      <c r="L329" s="248"/>
      <c r="M329" s="6"/>
    </row>
    <row r="330" spans="1:13" x14ac:dyDescent="0.35">
      <c r="A330" s="511"/>
      <c r="B330" s="215" t="s">
        <v>595</v>
      </c>
      <c r="C330" s="8"/>
      <c r="D330" s="8"/>
      <c r="E330" s="8"/>
      <c r="F330" s="259"/>
      <c r="H330" s="271"/>
      <c r="I330" s="8"/>
      <c r="J330" s="8"/>
      <c r="K330" s="8"/>
      <c r="L330" s="259"/>
      <c r="M330" s="6"/>
    </row>
    <row r="331" spans="1:13" x14ac:dyDescent="0.35">
      <c r="A331" s="511"/>
      <c r="B331" s="212" t="s">
        <v>1056</v>
      </c>
      <c r="C331" s="12">
        <v>0</v>
      </c>
      <c r="D331" s="17" t="s">
        <v>688</v>
      </c>
      <c r="E331" s="17"/>
      <c r="F331" s="213">
        <v>2025</v>
      </c>
      <c r="G331" s="155"/>
      <c r="H331" s="275" t="s">
        <v>825</v>
      </c>
      <c r="I331" s="17"/>
      <c r="J331" s="17"/>
      <c r="K331" s="101">
        <v>46044</v>
      </c>
      <c r="L331" s="213" t="s">
        <v>808</v>
      </c>
      <c r="M331" s="6"/>
    </row>
    <row r="332" spans="1:13" x14ac:dyDescent="0.35">
      <c r="A332" s="511"/>
      <c r="B332" s="218" t="s">
        <v>806</v>
      </c>
      <c r="C332" s="33">
        <f>'Standardsatser-Forutsetninger'!C239</f>
        <v>5.4749082958942887</v>
      </c>
      <c r="D332" s="537" t="str">
        <f>'Standardsatser-Forutsetninger'!D239</f>
        <v>G/togkm</v>
      </c>
      <c r="E332" s="18"/>
      <c r="F332" s="221">
        <v>2025</v>
      </c>
      <c r="G332" s="552"/>
      <c r="H332" s="275" t="s">
        <v>825</v>
      </c>
      <c r="I332" s="65" t="s">
        <v>1260</v>
      </c>
      <c r="J332" s="959" t="s">
        <v>928</v>
      </c>
      <c r="K332" s="101">
        <v>46044</v>
      </c>
      <c r="L332" s="213" t="s">
        <v>808</v>
      </c>
    </row>
    <row r="333" spans="1:13" x14ac:dyDescent="0.35">
      <c r="A333" s="511"/>
      <c r="B333" s="215" t="s">
        <v>596</v>
      </c>
      <c r="C333" s="20"/>
      <c r="D333" s="31"/>
      <c r="E333" s="8"/>
      <c r="F333" s="259"/>
      <c r="G333" s="155"/>
      <c r="H333" s="271"/>
      <c r="I333" s="31"/>
      <c r="J333" s="8"/>
      <c r="K333" s="31"/>
      <c r="L333" s="245"/>
    </row>
    <row r="334" spans="1:13" x14ac:dyDescent="0.35">
      <c r="A334" s="511"/>
      <c r="B334" s="212" t="s">
        <v>1056</v>
      </c>
      <c r="C334" s="117">
        <v>0</v>
      </c>
      <c r="D334" s="65" t="s">
        <v>688</v>
      </c>
      <c r="E334" s="17"/>
      <c r="F334" s="213">
        <v>2025</v>
      </c>
      <c r="G334" s="155"/>
      <c r="H334" s="275" t="s">
        <v>825</v>
      </c>
      <c r="I334" s="65"/>
      <c r="J334" s="17"/>
      <c r="K334" s="101">
        <v>46044</v>
      </c>
      <c r="L334" s="213" t="s">
        <v>808</v>
      </c>
    </row>
    <row r="335" spans="1:13" x14ac:dyDescent="0.35">
      <c r="A335" s="511"/>
      <c r="B335" s="218" t="s">
        <v>806</v>
      </c>
      <c r="C335" s="33">
        <f>'Standardsatser-Forutsetninger'!C240</f>
        <v>16.33833405252205</v>
      </c>
      <c r="D335" s="65" t="str">
        <f>'Standardsatser-Forutsetninger'!D240</f>
        <v>G/togkm</v>
      </c>
      <c r="E335" s="18"/>
      <c r="F335" s="221">
        <v>2025</v>
      </c>
      <c r="G335" s="552"/>
      <c r="H335" s="275" t="s">
        <v>825</v>
      </c>
      <c r="I335" s="65" t="s">
        <v>1260</v>
      </c>
      <c r="J335" s="959" t="s">
        <v>928</v>
      </c>
      <c r="K335" s="101">
        <v>46044</v>
      </c>
      <c r="L335" s="213" t="s">
        <v>808</v>
      </c>
      <c r="M335" s="6"/>
    </row>
    <row r="336" spans="1:13" ht="18.5" x14ac:dyDescent="0.45">
      <c r="A336" s="511"/>
      <c r="B336" s="240" t="s">
        <v>612</v>
      </c>
      <c r="C336" s="956"/>
      <c r="D336" s="11"/>
      <c r="E336" s="11"/>
      <c r="F336" s="249"/>
      <c r="H336" s="274"/>
      <c r="I336" s="967"/>
      <c r="J336" s="14"/>
      <c r="K336" s="967"/>
      <c r="L336" s="244"/>
      <c r="M336" s="6"/>
    </row>
    <row r="337" spans="1:13" x14ac:dyDescent="0.35">
      <c r="A337" s="511"/>
      <c r="B337" s="215" t="s">
        <v>595</v>
      </c>
      <c r="C337" s="8"/>
      <c r="D337" s="8"/>
      <c r="E337" s="8"/>
      <c r="F337" s="259"/>
      <c r="H337" s="271"/>
      <c r="I337" s="31"/>
      <c r="J337" s="8"/>
      <c r="K337" s="31"/>
      <c r="L337" s="245"/>
      <c r="M337" s="6"/>
    </row>
    <row r="338" spans="1:13" x14ac:dyDescent="0.35">
      <c r="A338" s="511"/>
      <c r="B338" s="212" t="s">
        <v>1056</v>
      </c>
      <c r="C338" s="117">
        <v>0</v>
      </c>
      <c r="D338" s="17" t="s">
        <v>688</v>
      </c>
      <c r="E338" s="17"/>
      <c r="F338" s="213">
        <v>2025</v>
      </c>
      <c r="G338" s="155"/>
      <c r="H338" s="275" t="s">
        <v>825</v>
      </c>
      <c r="I338" s="65"/>
      <c r="J338" s="17"/>
      <c r="K338" s="101">
        <v>46044</v>
      </c>
      <c r="L338" s="221" t="s">
        <v>808</v>
      </c>
      <c r="M338" s="6"/>
    </row>
    <row r="339" spans="1:13" x14ac:dyDescent="0.35">
      <c r="A339" s="511"/>
      <c r="B339" s="218" t="s">
        <v>806</v>
      </c>
      <c r="C339" s="33">
        <f>'Standardsatser-Forutsetninger'!C242</f>
        <v>2.2475939319987082E-2</v>
      </c>
      <c r="D339" s="537" t="str">
        <f>'Standardsatser-Forutsetninger'!D242</f>
        <v>G/togkm</v>
      </c>
      <c r="E339" s="18"/>
      <c r="F339" s="221">
        <v>2025</v>
      </c>
      <c r="G339" s="552"/>
      <c r="H339" s="275" t="s">
        <v>825</v>
      </c>
      <c r="I339" s="65" t="s">
        <v>1261</v>
      </c>
      <c r="J339" s="959"/>
      <c r="K339" s="101">
        <v>46044</v>
      </c>
      <c r="L339" s="221" t="s">
        <v>808</v>
      </c>
    </row>
    <row r="340" spans="1:13" x14ac:dyDescent="0.35">
      <c r="A340" s="511"/>
      <c r="B340" s="220" t="s">
        <v>596</v>
      </c>
      <c r="C340" s="20"/>
      <c r="D340" s="31"/>
      <c r="E340" s="8"/>
      <c r="F340" s="259"/>
      <c r="G340" s="552"/>
      <c r="H340" s="271"/>
      <c r="I340" s="31"/>
      <c r="J340" s="8"/>
      <c r="K340" s="31"/>
      <c r="L340" s="245"/>
    </row>
    <row r="341" spans="1:13" x14ac:dyDescent="0.35">
      <c r="A341" s="511"/>
      <c r="B341" s="212" t="s">
        <v>1056</v>
      </c>
      <c r="C341" s="117">
        <v>0</v>
      </c>
      <c r="D341" s="65" t="s">
        <v>688</v>
      </c>
      <c r="E341" s="17"/>
      <c r="F341" s="213">
        <v>2025</v>
      </c>
      <c r="G341" s="552"/>
      <c r="H341" s="275" t="s">
        <v>825</v>
      </c>
      <c r="I341" s="65"/>
      <c r="J341" s="17"/>
      <c r="K341" s="101">
        <v>46044</v>
      </c>
      <c r="L341" s="221" t="s">
        <v>808</v>
      </c>
    </row>
    <row r="342" spans="1:13" x14ac:dyDescent="0.35">
      <c r="A342" s="511"/>
      <c r="B342" s="218" t="s">
        <v>806</v>
      </c>
      <c r="C342" s="33">
        <f>'Standardsatser-Forutsetninger'!C243</f>
        <v>6.7073160847195792E-2</v>
      </c>
      <c r="D342" s="537" t="str">
        <f>'Standardsatser-Forutsetninger'!D240</f>
        <v>G/togkm</v>
      </c>
      <c r="E342" s="18"/>
      <c r="F342" s="221">
        <v>2025</v>
      </c>
      <c r="G342" s="552"/>
      <c r="H342" s="275" t="s">
        <v>825</v>
      </c>
      <c r="I342" s="65" t="s">
        <v>1261</v>
      </c>
      <c r="J342" s="959"/>
      <c r="K342" s="101">
        <v>46044</v>
      </c>
      <c r="L342" s="221" t="s">
        <v>808</v>
      </c>
    </row>
    <row r="343" spans="1:13" ht="18.5" x14ac:dyDescent="0.45">
      <c r="A343" s="511"/>
      <c r="B343" s="240" t="s">
        <v>1262</v>
      </c>
      <c r="C343" s="956"/>
      <c r="D343" s="11"/>
      <c r="E343" s="11"/>
      <c r="F343" s="249"/>
      <c r="G343" s="545"/>
      <c r="H343" s="274"/>
      <c r="I343" s="14"/>
      <c r="J343" s="14"/>
      <c r="K343" s="14"/>
      <c r="L343" s="248"/>
    </row>
    <row r="344" spans="1:13" x14ac:dyDescent="0.35">
      <c r="B344" s="215" t="s">
        <v>595</v>
      </c>
      <c r="C344" s="8"/>
      <c r="D344" s="8"/>
      <c r="E344" s="8"/>
      <c r="F344" s="259"/>
      <c r="G344" s="545"/>
      <c r="H344" s="279"/>
      <c r="I344" s="8"/>
      <c r="J344" s="8"/>
      <c r="K344" s="8"/>
      <c r="L344" s="259"/>
    </row>
    <row r="345" spans="1:13" x14ac:dyDescent="0.35">
      <c r="A345" s="511"/>
      <c r="B345" s="212" t="s">
        <v>1056</v>
      </c>
      <c r="C345" s="12">
        <v>0</v>
      </c>
      <c r="D345" s="17" t="s">
        <v>695</v>
      </c>
      <c r="E345" s="17"/>
      <c r="F345" s="213">
        <v>2025</v>
      </c>
      <c r="G345" s="554"/>
      <c r="H345" s="275" t="s">
        <v>825</v>
      </c>
      <c r="I345" s="17" t="s">
        <v>1056</v>
      </c>
      <c r="J345" s="17"/>
      <c r="K345" s="101">
        <v>46044</v>
      </c>
      <c r="L345" s="213" t="s">
        <v>808</v>
      </c>
    </row>
    <row r="346" spans="1:13" x14ac:dyDescent="0.35">
      <c r="A346" s="511"/>
      <c r="B346" s="218" t="s">
        <v>806</v>
      </c>
      <c r="C346" s="33">
        <f>'Standardsatser-Forutsetninger'!$C$245</f>
        <v>4.567226131048657</v>
      </c>
      <c r="D346" s="65" t="str">
        <f>'Standardsatser-Forutsetninger'!D245</f>
        <v>Kg/togkm</v>
      </c>
      <c r="E346" s="65"/>
      <c r="F346" s="221">
        <v>2025</v>
      </c>
      <c r="G346" s="554"/>
      <c r="H346" s="275" t="s">
        <v>825</v>
      </c>
      <c r="I346" s="17" t="s">
        <v>696</v>
      </c>
      <c r="J346" s="959"/>
      <c r="K346" s="101">
        <v>46044</v>
      </c>
      <c r="L346" s="213" t="s">
        <v>808</v>
      </c>
    </row>
    <row r="347" spans="1:13" x14ac:dyDescent="0.35">
      <c r="A347" s="511"/>
      <c r="B347" s="220" t="s">
        <v>596</v>
      </c>
      <c r="C347" s="31"/>
      <c r="D347" s="31"/>
      <c r="E347" s="31"/>
      <c r="F347" s="245"/>
      <c r="G347" s="554"/>
      <c r="H347" s="271"/>
      <c r="I347" s="8"/>
      <c r="J347" s="8"/>
      <c r="K347" s="31"/>
      <c r="L347" s="245"/>
      <c r="M347" s="6"/>
    </row>
    <row r="348" spans="1:13" x14ac:dyDescent="0.35">
      <c r="A348" s="511"/>
      <c r="B348" s="218" t="s">
        <v>1056</v>
      </c>
      <c r="C348" s="58">
        <v>0</v>
      </c>
      <c r="D348" s="65" t="s">
        <v>695</v>
      </c>
      <c r="E348" s="65"/>
      <c r="F348" s="213">
        <v>2025</v>
      </c>
      <c r="G348" s="554"/>
      <c r="H348" s="275" t="s">
        <v>825</v>
      </c>
      <c r="I348" s="17" t="s">
        <v>1056</v>
      </c>
      <c r="J348" s="17"/>
      <c r="K348" s="101">
        <v>46044</v>
      </c>
      <c r="L348" s="213" t="s">
        <v>808</v>
      </c>
    </row>
    <row r="349" spans="1:13" x14ac:dyDescent="0.35">
      <c r="A349" s="511"/>
      <c r="B349" s="218" t="s">
        <v>806</v>
      </c>
      <c r="C349" s="33">
        <f>'Standardsatser-Forutsetninger'!$C$246</f>
        <v>13.629610249077604</v>
      </c>
      <c r="D349" s="65" t="str">
        <f>'Standardsatser-Forutsetninger'!D246</f>
        <v>Kg/togkm</v>
      </c>
      <c r="E349" s="65"/>
      <c r="F349" s="221">
        <v>2025</v>
      </c>
      <c r="G349" s="554"/>
      <c r="H349" s="275" t="s">
        <v>825</v>
      </c>
      <c r="I349" s="17" t="s">
        <v>696</v>
      </c>
      <c r="J349" s="959"/>
      <c r="K349" s="101">
        <v>46044</v>
      </c>
      <c r="L349" s="213" t="s">
        <v>808</v>
      </c>
    </row>
    <row r="350" spans="1:13" x14ac:dyDescent="0.35">
      <c r="A350" s="511"/>
      <c r="B350" s="215" t="s">
        <v>809</v>
      </c>
      <c r="C350" s="8"/>
      <c r="D350" s="8"/>
      <c r="E350" s="8"/>
      <c r="F350" s="259"/>
      <c r="G350" s="554"/>
      <c r="H350" s="271"/>
      <c r="I350" s="8"/>
      <c r="J350" s="8"/>
      <c r="K350" s="8"/>
      <c r="L350" s="259"/>
    </row>
    <row r="351" spans="1:13" x14ac:dyDescent="0.35">
      <c r="A351" s="511"/>
      <c r="B351" s="218" t="s">
        <v>602</v>
      </c>
      <c r="C351" s="33">
        <f>LOOKUP(FørsteBeregningsår,SerieÅR,SerieCO2utslipp_Bil)</f>
        <v>0.18622082979533278</v>
      </c>
      <c r="D351" s="65" t="s">
        <v>697</v>
      </c>
      <c r="E351" s="17"/>
      <c r="F351" s="213">
        <v>2019</v>
      </c>
      <c r="G351" s="554"/>
      <c r="H351" s="275" t="s">
        <v>2529</v>
      </c>
      <c r="I351" s="17" t="s">
        <v>1263</v>
      </c>
      <c r="J351" s="959" t="s">
        <v>928</v>
      </c>
      <c r="K351" s="101">
        <v>43704</v>
      </c>
      <c r="L351" s="221" t="s">
        <v>64</v>
      </c>
    </row>
    <row r="352" spans="1:13" x14ac:dyDescent="0.35">
      <c r="A352" s="511"/>
      <c r="B352" s="212" t="s">
        <v>603</v>
      </c>
      <c r="C352" s="33">
        <f>'Standardsatser-Forutsetninger'!C247</f>
        <v>1.0717317996306683</v>
      </c>
      <c r="D352" s="91" t="str">
        <f>'Standardsatser-Forutsetninger'!D247</f>
        <v>Kg/kjøretøykm</v>
      </c>
      <c r="E352" s="91"/>
      <c r="F352" s="213">
        <v>2019</v>
      </c>
      <c r="G352" s="554"/>
      <c r="H352" s="275" t="s">
        <v>2529</v>
      </c>
      <c r="I352" s="17" t="s">
        <v>1263</v>
      </c>
      <c r="J352" s="959" t="s">
        <v>928</v>
      </c>
      <c r="K352" s="101">
        <v>43704</v>
      </c>
      <c r="L352" s="221" t="s">
        <v>64</v>
      </c>
    </row>
    <row r="353" spans="1:12" x14ac:dyDescent="0.35">
      <c r="A353" s="511"/>
      <c r="B353" s="212" t="s">
        <v>875</v>
      </c>
      <c r="C353" s="33">
        <f>'Standardsatser-Forutsetninger'!C248</f>
        <v>14.026154999999999</v>
      </c>
      <c r="D353" s="91" t="str">
        <f>'Standardsatser-Forutsetninger'!D248</f>
        <v>Kg/fartøykm</v>
      </c>
      <c r="E353" s="91"/>
      <c r="F353" s="262">
        <v>2019</v>
      </c>
      <c r="G353" s="554"/>
      <c r="H353" s="275" t="s">
        <v>2529</v>
      </c>
      <c r="I353" s="17" t="s">
        <v>1264</v>
      </c>
      <c r="J353" s="959" t="s">
        <v>928</v>
      </c>
      <c r="K353" s="101">
        <v>43087</v>
      </c>
      <c r="L353" s="221" t="s">
        <v>64</v>
      </c>
    </row>
    <row r="354" spans="1:12" x14ac:dyDescent="0.35">
      <c r="A354" s="511"/>
      <c r="B354" s="212" t="s">
        <v>605</v>
      </c>
      <c r="C354" s="33">
        <f>'Standardsatser-Forutsetninger'!C249</f>
        <v>0.32249</v>
      </c>
      <c r="D354" s="91" t="str">
        <f>'Standardsatser-Forutsetninger'!D249</f>
        <v>Kg/kjøretøykm</v>
      </c>
      <c r="E354" s="91"/>
      <c r="F354" s="262">
        <v>2022</v>
      </c>
      <c r="G354" s="554"/>
      <c r="H354" s="275" t="s">
        <v>2466</v>
      </c>
      <c r="I354" s="17" t="s">
        <v>696</v>
      </c>
      <c r="J354" s="959" t="str">
        <f>""</f>
        <v/>
      </c>
      <c r="K354" s="101">
        <v>46157</v>
      </c>
      <c r="L354" s="221" t="s">
        <v>808</v>
      </c>
    </row>
    <row r="355" spans="1:12" x14ac:dyDescent="0.35">
      <c r="A355" s="511"/>
      <c r="B355" s="212" t="s">
        <v>1355</v>
      </c>
      <c r="C355" s="33">
        <f>'Standardsatser-Forutsetninger'!C250</f>
        <v>0.79999200000000004</v>
      </c>
      <c r="D355" s="91" t="str">
        <f>'Standardsatser-Forutsetninger'!D250</f>
        <v>Kg/kjøretøykm</v>
      </c>
      <c r="E355" s="91"/>
      <c r="F355" s="262">
        <v>2022</v>
      </c>
      <c r="G355" s="554"/>
      <c r="H355" s="275" t="s">
        <v>2466</v>
      </c>
      <c r="I355" s="17" t="s">
        <v>696</v>
      </c>
      <c r="J355" s="959" t="str">
        <f>""</f>
        <v/>
      </c>
      <c r="K355" s="101">
        <v>46157</v>
      </c>
      <c r="L355" s="221" t="s">
        <v>808</v>
      </c>
    </row>
    <row r="356" spans="1:12" x14ac:dyDescent="0.35">
      <c r="A356" s="511"/>
      <c r="B356" s="212" t="s">
        <v>1356</v>
      </c>
      <c r="C356" s="33">
        <f>'Standardsatser-Forutsetninger'!C251</f>
        <v>1.3143499999999999</v>
      </c>
      <c r="D356" s="91" t="str">
        <f>'Standardsatser-Forutsetninger'!D251</f>
        <v>Kg/kjøretøykm</v>
      </c>
      <c r="E356" s="91"/>
      <c r="F356" s="262">
        <v>2022</v>
      </c>
      <c r="G356" s="554"/>
      <c r="H356" s="275" t="s">
        <v>2466</v>
      </c>
      <c r="I356" s="17" t="s">
        <v>696</v>
      </c>
      <c r="J356" s="959" t="str">
        <f>""</f>
        <v/>
      </c>
      <c r="K356" s="101">
        <v>46157</v>
      </c>
      <c r="L356" s="221" t="s">
        <v>808</v>
      </c>
    </row>
    <row r="357" spans="1:12" x14ac:dyDescent="0.35">
      <c r="A357" s="511"/>
      <c r="B357" s="212" t="s">
        <v>1265</v>
      </c>
      <c r="C357" s="33">
        <f>'Standardsatser-Forutsetninger'!C252</f>
        <v>85.993501384440279</v>
      </c>
      <c r="D357" s="17" t="str">
        <f>'Standardsatser-Forutsetninger'!D252</f>
        <v>Kg/fartøykm</v>
      </c>
      <c r="E357" s="17"/>
      <c r="F357" s="213">
        <v>2019</v>
      </c>
      <c r="G357" s="554"/>
      <c r="H357" s="275" t="s">
        <v>1255</v>
      </c>
      <c r="I357" s="17" t="s">
        <v>696</v>
      </c>
      <c r="J357" s="959" t="s">
        <v>928</v>
      </c>
      <c r="K357" s="101">
        <v>43635</v>
      </c>
      <c r="L357" s="221" t="s">
        <v>64</v>
      </c>
    </row>
    <row r="358" spans="1:12" x14ac:dyDescent="0.35">
      <c r="A358" s="511"/>
      <c r="B358" s="212" t="s">
        <v>1266</v>
      </c>
      <c r="C358" s="33">
        <f>'Standardsatser-Forutsetninger'!C253</f>
        <v>77.394151245996269</v>
      </c>
      <c r="D358" s="17" t="str">
        <f>'Standardsatser-Forutsetninger'!D253</f>
        <v>Kg/fartøykm</v>
      </c>
      <c r="E358" s="17"/>
      <c r="F358" s="213">
        <v>2019</v>
      </c>
      <c r="G358" s="554"/>
      <c r="H358" s="275" t="s">
        <v>1255</v>
      </c>
      <c r="I358" s="17" t="s">
        <v>1267</v>
      </c>
      <c r="J358" s="959" t="s">
        <v>928</v>
      </c>
      <c r="K358" s="101">
        <v>43635</v>
      </c>
      <c r="L358" s="221" t="s">
        <v>64</v>
      </c>
    </row>
    <row r="359" spans="1:12" x14ac:dyDescent="0.35">
      <c r="A359" s="511"/>
      <c r="B359" s="212" t="s">
        <v>1268</v>
      </c>
      <c r="C359" s="33">
        <f>'Standardsatser-Forutsetninger'!C254</f>
        <v>60.195450969108201</v>
      </c>
      <c r="D359" s="17" t="str">
        <f>'Standardsatser-Forutsetninger'!D254</f>
        <v>Kg/fartøykm</v>
      </c>
      <c r="E359" s="17"/>
      <c r="F359" s="213">
        <v>2019</v>
      </c>
      <c r="G359" s="554"/>
      <c r="H359" s="275" t="s">
        <v>1255</v>
      </c>
      <c r="I359" s="17" t="s">
        <v>1267</v>
      </c>
      <c r="J359" s="959" t="s">
        <v>928</v>
      </c>
      <c r="K359" s="101">
        <v>43635</v>
      </c>
      <c r="L359" s="221" t="s">
        <v>64</v>
      </c>
    </row>
    <row r="360" spans="1:12" ht="18.5" x14ac:dyDescent="0.45">
      <c r="B360" s="247" t="s">
        <v>1269</v>
      </c>
      <c r="C360" s="956"/>
      <c r="D360" s="11"/>
      <c r="E360" s="11"/>
      <c r="F360" s="249"/>
      <c r="G360" s="545"/>
      <c r="H360" s="282"/>
      <c r="I360" s="66"/>
      <c r="J360" s="66"/>
      <c r="K360" s="66"/>
      <c r="L360" s="263"/>
    </row>
    <row r="361" spans="1:12" x14ac:dyDescent="0.35">
      <c r="A361" s="511"/>
      <c r="B361" s="218" t="s">
        <v>1270</v>
      </c>
      <c r="C361" s="21">
        <v>2.71</v>
      </c>
      <c r="D361" s="17" t="s">
        <v>541</v>
      </c>
      <c r="E361" s="17"/>
      <c r="F361" s="213">
        <v>2022</v>
      </c>
      <c r="G361" s="545"/>
      <c r="H361" s="275" t="s">
        <v>2466</v>
      </c>
      <c r="I361" s="17" t="s">
        <v>1272</v>
      </c>
      <c r="J361" s="17"/>
      <c r="K361" s="69">
        <v>46157</v>
      </c>
      <c r="L361" s="213" t="s">
        <v>808</v>
      </c>
    </row>
    <row r="362" spans="1:12" x14ac:dyDescent="0.35">
      <c r="B362" s="218" t="s">
        <v>1273</v>
      </c>
      <c r="C362" s="21">
        <v>2.86</v>
      </c>
      <c r="D362" s="17" t="s">
        <v>541</v>
      </c>
      <c r="E362" s="17"/>
      <c r="F362" s="213">
        <v>2014</v>
      </c>
      <c r="G362" s="545"/>
      <c r="H362" s="275" t="s">
        <v>1271</v>
      </c>
      <c r="I362" s="17" t="s">
        <v>1272</v>
      </c>
      <c r="J362" s="17"/>
      <c r="K362" s="69">
        <v>43087</v>
      </c>
      <c r="L362" s="213" t="s">
        <v>64</v>
      </c>
    </row>
    <row r="363" spans="1:12" x14ac:dyDescent="0.35">
      <c r="A363" s="511"/>
      <c r="B363" s="218" t="s">
        <v>1274</v>
      </c>
      <c r="C363" s="21">
        <v>3.17</v>
      </c>
      <c r="D363" s="17" t="s">
        <v>1275</v>
      </c>
      <c r="E363" s="17"/>
      <c r="F363" s="213">
        <v>2025</v>
      </c>
      <c r="G363" s="545"/>
      <c r="H363" s="275" t="s">
        <v>825</v>
      </c>
      <c r="I363" s="65"/>
      <c r="J363" s="65"/>
      <c r="K363" s="101">
        <v>46044</v>
      </c>
      <c r="L363" s="221" t="s">
        <v>808</v>
      </c>
    </row>
    <row r="364" spans="1:12" x14ac:dyDescent="0.35">
      <c r="A364" s="511"/>
      <c r="B364" s="212" t="s">
        <v>1276</v>
      </c>
      <c r="C364" s="21">
        <v>3.21</v>
      </c>
      <c r="D364" s="17" t="s">
        <v>1277</v>
      </c>
      <c r="E364" s="17"/>
      <c r="F364" s="213">
        <v>2019</v>
      </c>
      <c r="G364" s="545"/>
      <c r="H364" s="275" t="s">
        <v>293</v>
      </c>
      <c r="I364" s="17" t="s">
        <v>1272</v>
      </c>
      <c r="J364" s="18"/>
      <c r="K364" s="69">
        <v>43706</v>
      </c>
      <c r="L364" s="213" t="s">
        <v>130</v>
      </c>
    </row>
    <row r="365" spans="1:12" x14ac:dyDescent="0.35">
      <c r="A365" s="511"/>
      <c r="B365" s="218" t="s">
        <v>1278</v>
      </c>
      <c r="C365" s="576">
        <v>24.165591014734513</v>
      </c>
      <c r="D365" s="17" t="s">
        <v>1279</v>
      </c>
      <c r="E365" s="17"/>
      <c r="F365" s="213">
        <v>2025</v>
      </c>
      <c r="G365" s="545"/>
      <c r="H365" s="275" t="s">
        <v>825</v>
      </c>
      <c r="I365" s="65"/>
      <c r="J365" s="65"/>
      <c r="K365" s="101">
        <v>46044</v>
      </c>
      <c r="L365" s="221" t="s">
        <v>808</v>
      </c>
    </row>
    <row r="366" spans="1:12" x14ac:dyDescent="0.35">
      <c r="A366" s="511"/>
      <c r="B366" s="218" t="s">
        <v>1280</v>
      </c>
      <c r="C366" s="576">
        <v>3.8</v>
      </c>
      <c r="D366" s="17" t="s">
        <v>1279</v>
      </c>
      <c r="E366" s="17"/>
      <c r="F366" s="213">
        <v>2025</v>
      </c>
      <c r="G366" s="545"/>
      <c r="H366" s="275" t="s">
        <v>825</v>
      </c>
      <c r="I366" s="65"/>
      <c r="J366" s="65"/>
      <c r="K366" s="101">
        <v>46044</v>
      </c>
      <c r="L366" s="221" t="s">
        <v>808</v>
      </c>
    </row>
    <row r="367" spans="1:12" x14ac:dyDescent="0.35">
      <c r="A367" s="511"/>
      <c r="B367" s="218" t="s">
        <v>1281</v>
      </c>
      <c r="C367" s="107">
        <v>1.5599999999999999E-2</v>
      </c>
      <c r="D367" s="17" t="s">
        <v>1279</v>
      </c>
      <c r="E367" s="17"/>
      <c r="F367" s="213">
        <v>2025</v>
      </c>
      <c r="G367" s="545"/>
      <c r="H367" s="275" t="s">
        <v>825</v>
      </c>
      <c r="I367" s="65"/>
      <c r="J367" s="65"/>
      <c r="K367" s="101">
        <v>46044</v>
      </c>
      <c r="L367" s="221" t="s">
        <v>808</v>
      </c>
    </row>
    <row r="368" spans="1:12" x14ac:dyDescent="0.35">
      <c r="A368" s="511"/>
      <c r="B368" s="218" t="s">
        <v>1282</v>
      </c>
      <c r="C368" s="21">
        <v>0.84</v>
      </c>
      <c r="D368" s="17" t="s">
        <v>541</v>
      </c>
      <c r="E368" s="17"/>
      <c r="F368" s="213">
        <v>2017</v>
      </c>
      <c r="G368" s="545"/>
      <c r="H368" s="275" t="s">
        <v>503</v>
      </c>
      <c r="I368" s="17" t="s">
        <v>1283</v>
      </c>
      <c r="J368" s="17"/>
      <c r="K368" s="69">
        <v>42965</v>
      </c>
      <c r="L368" s="213" t="s">
        <v>64</v>
      </c>
    </row>
    <row r="369" spans="1:12" ht="18.5" x14ac:dyDescent="0.45">
      <c r="B369" s="247" t="s">
        <v>1284</v>
      </c>
      <c r="C369" s="956"/>
      <c r="D369" s="11"/>
      <c r="E369" s="11"/>
      <c r="F369" s="249"/>
      <c r="G369" s="545"/>
      <c r="H369" s="247"/>
      <c r="I369" s="11"/>
      <c r="J369" s="11"/>
      <c r="K369" s="11"/>
      <c r="L369" s="249"/>
    </row>
    <row r="370" spans="1:12" s="6" customFormat="1" x14ac:dyDescent="0.35">
      <c r="A370" s="60"/>
      <c r="B370" s="215" t="s">
        <v>1285</v>
      </c>
      <c r="C370" s="8"/>
      <c r="D370" s="8"/>
      <c r="E370" s="8"/>
      <c r="F370" s="259"/>
      <c r="G370" s="545"/>
      <c r="H370" s="279"/>
      <c r="I370" s="8"/>
      <c r="J370" s="8"/>
      <c r="K370" s="8"/>
      <c r="L370" s="259"/>
    </row>
    <row r="371" spans="1:12" x14ac:dyDescent="0.35">
      <c r="B371" s="218" t="s">
        <v>1286</v>
      </c>
      <c r="C371" s="21">
        <v>1.75</v>
      </c>
      <c r="D371" s="17" t="s">
        <v>546</v>
      </c>
      <c r="E371" s="17"/>
      <c r="F371" s="213">
        <v>2024</v>
      </c>
      <c r="G371" s="545"/>
      <c r="H371" s="275" t="s">
        <v>2529</v>
      </c>
      <c r="I371" s="17"/>
      <c r="J371" s="17" t="s">
        <v>1287</v>
      </c>
      <c r="K371" s="69">
        <v>46162</v>
      </c>
      <c r="L371" s="213" t="s">
        <v>808</v>
      </c>
    </row>
    <row r="372" spans="1:12" x14ac:dyDescent="0.35">
      <c r="B372" s="218" t="s">
        <v>850</v>
      </c>
      <c r="C372" s="21">
        <v>2.5</v>
      </c>
      <c r="D372" s="17" t="s">
        <v>546</v>
      </c>
      <c r="E372" s="17"/>
      <c r="F372" s="213">
        <v>2024</v>
      </c>
      <c r="G372" s="545"/>
      <c r="H372" s="275" t="s">
        <v>2529</v>
      </c>
      <c r="I372" s="17"/>
      <c r="J372" s="17" t="s">
        <v>1288</v>
      </c>
      <c r="K372" s="69">
        <v>46162</v>
      </c>
      <c r="L372" s="213" t="s">
        <v>808</v>
      </c>
    </row>
    <row r="373" spans="1:12" x14ac:dyDescent="0.35">
      <c r="B373" s="218" t="s">
        <v>848</v>
      </c>
      <c r="C373" s="21">
        <v>1.56</v>
      </c>
      <c r="D373" s="17" t="s">
        <v>546</v>
      </c>
      <c r="E373" s="17"/>
      <c r="F373" s="213">
        <v>2024</v>
      </c>
      <c r="G373" s="545"/>
      <c r="H373" s="275" t="s">
        <v>2529</v>
      </c>
      <c r="I373" s="65"/>
      <c r="J373" s="65" t="s">
        <v>2522</v>
      </c>
      <c r="K373" s="101">
        <v>46162</v>
      </c>
      <c r="L373" s="221" t="s">
        <v>808</v>
      </c>
    </row>
    <row r="374" spans="1:12" x14ac:dyDescent="0.35">
      <c r="A374" s="511"/>
      <c r="B374" s="218" t="s">
        <v>1289</v>
      </c>
      <c r="C374" s="33">
        <v>1.7151968345533488</v>
      </c>
      <c r="D374" s="17" t="s">
        <v>546</v>
      </c>
      <c r="E374" s="17"/>
      <c r="F374" s="213">
        <v>2025</v>
      </c>
      <c r="G374" s="545"/>
      <c r="H374" s="275" t="s">
        <v>825</v>
      </c>
      <c r="I374" s="65"/>
      <c r="J374" s="65" t="s">
        <v>1290</v>
      </c>
      <c r="K374" s="101">
        <v>46044</v>
      </c>
      <c r="L374" s="221" t="s">
        <v>808</v>
      </c>
    </row>
    <row r="375" spans="1:12" x14ac:dyDescent="0.35">
      <c r="B375" s="220" t="s">
        <v>596</v>
      </c>
      <c r="C375" s="31"/>
      <c r="D375" s="31"/>
      <c r="E375" s="8"/>
      <c r="F375" s="259"/>
      <c r="G375" s="545"/>
      <c r="H375" s="279"/>
      <c r="I375" s="8"/>
      <c r="J375" s="8"/>
      <c r="K375" s="8"/>
      <c r="L375" s="259"/>
    </row>
    <row r="376" spans="1:12" x14ac:dyDescent="0.35">
      <c r="A376" s="511"/>
      <c r="B376" s="218" t="s">
        <v>1291</v>
      </c>
      <c r="C376" s="33">
        <v>5.1185257056773343</v>
      </c>
      <c r="D376" s="17" t="s">
        <v>546</v>
      </c>
      <c r="E376" s="17"/>
      <c r="F376" s="213">
        <v>2025</v>
      </c>
      <c r="G376" s="545"/>
      <c r="H376" s="275" t="s">
        <v>825</v>
      </c>
      <c r="I376" s="65"/>
      <c r="J376" s="65" t="s">
        <v>1292</v>
      </c>
      <c r="K376" s="101">
        <v>46044</v>
      </c>
      <c r="L376" s="221" t="s">
        <v>808</v>
      </c>
    </row>
    <row r="377" spans="1:12" x14ac:dyDescent="0.35">
      <c r="B377" s="215" t="s">
        <v>809</v>
      </c>
      <c r="C377" s="8"/>
      <c r="D377" s="8"/>
      <c r="E377" s="8"/>
      <c r="F377" s="259"/>
      <c r="G377" s="545"/>
      <c r="H377" s="279"/>
      <c r="I377" s="8"/>
      <c r="J377" s="8"/>
      <c r="K377" s="8"/>
      <c r="L377" s="259"/>
    </row>
    <row r="378" spans="1:12" x14ac:dyDescent="0.35">
      <c r="A378" s="511"/>
      <c r="B378" s="212" t="s">
        <v>1293</v>
      </c>
      <c r="C378" s="107">
        <v>6.1487968001910948E-2</v>
      </c>
      <c r="D378" s="65" t="s">
        <v>546</v>
      </c>
      <c r="E378" s="65"/>
      <c r="F378" s="221">
        <v>2019</v>
      </c>
      <c r="G378" s="545"/>
      <c r="H378" s="275" t="s">
        <v>1255</v>
      </c>
      <c r="I378" s="149" t="s">
        <v>1294</v>
      </c>
      <c r="J378" s="17"/>
      <c r="K378" s="101">
        <v>43705</v>
      </c>
      <c r="L378" s="221" t="s">
        <v>64</v>
      </c>
    </row>
    <row r="379" spans="1:12" x14ac:dyDescent="0.35">
      <c r="A379" s="511"/>
      <c r="B379" s="212" t="s">
        <v>1295</v>
      </c>
      <c r="C379" s="107">
        <v>6.0935534163978081E-2</v>
      </c>
      <c r="D379" s="65" t="s">
        <v>546</v>
      </c>
      <c r="E379" s="65"/>
      <c r="F379" s="221">
        <v>2019</v>
      </c>
      <c r="G379" s="545"/>
      <c r="H379" s="275" t="s">
        <v>1255</v>
      </c>
      <c r="I379" s="149" t="s">
        <v>1296</v>
      </c>
      <c r="J379" s="17"/>
      <c r="K379" s="101">
        <v>43705</v>
      </c>
      <c r="L379" s="221" t="s">
        <v>64</v>
      </c>
    </row>
    <row r="380" spans="1:12" x14ac:dyDescent="0.35">
      <c r="A380" s="511"/>
      <c r="B380" s="212" t="s">
        <v>603</v>
      </c>
      <c r="C380" s="107">
        <v>0.39547298879360454</v>
      </c>
      <c r="D380" s="65" t="s">
        <v>546</v>
      </c>
      <c r="E380" s="65"/>
      <c r="F380" s="221">
        <v>2019</v>
      </c>
      <c r="G380" s="545"/>
      <c r="H380" s="275" t="s">
        <v>1255</v>
      </c>
      <c r="I380" s="149" t="s">
        <v>1297</v>
      </c>
      <c r="J380" s="17"/>
      <c r="K380" s="101">
        <v>43705</v>
      </c>
      <c r="L380" s="221" t="s">
        <v>64</v>
      </c>
    </row>
    <row r="381" spans="1:12" x14ac:dyDescent="0.35">
      <c r="A381" s="511"/>
      <c r="B381" s="212" t="s">
        <v>605</v>
      </c>
      <c r="C381" s="107">
        <v>0.11899999999999999</v>
      </c>
      <c r="D381" s="65" t="s">
        <v>546</v>
      </c>
      <c r="E381" s="65"/>
      <c r="F381" s="221">
        <v>2022</v>
      </c>
      <c r="G381" s="545"/>
      <c r="H381" s="275" t="s">
        <v>2466</v>
      </c>
      <c r="I381" s="149" t="s">
        <v>2485</v>
      </c>
      <c r="J381" s="17"/>
      <c r="K381" s="101">
        <v>46157</v>
      </c>
      <c r="L381" s="221" t="s">
        <v>808</v>
      </c>
    </row>
    <row r="382" spans="1:12" x14ac:dyDescent="0.35">
      <c r="A382" s="511"/>
      <c r="B382" s="212" t="s">
        <v>1355</v>
      </c>
      <c r="C382" s="107">
        <f>'Standardsatser-Forutsetninger'!C257</f>
        <v>0.29520000000000002</v>
      </c>
      <c r="D382" s="65" t="str">
        <f>'Standardsatser-Forutsetninger'!D257</f>
        <v>l/km</v>
      </c>
      <c r="E382" s="65"/>
      <c r="F382" s="221">
        <f>'Standardsatser-Forutsetninger'!E257</f>
        <v>2022</v>
      </c>
      <c r="G382" s="545"/>
      <c r="H382" s="275" t="s">
        <v>2466</v>
      </c>
      <c r="I382" s="149" t="s">
        <v>2488</v>
      </c>
      <c r="J382" s="959"/>
      <c r="K382" s="101">
        <v>46157</v>
      </c>
      <c r="L382" s="221" t="s">
        <v>808</v>
      </c>
    </row>
    <row r="383" spans="1:12" x14ac:dyDescent="0.35">
      <c r="A383" s="511"/>
      <c r="B383" s="212" t="s">
        <v>1356</v>
      </c>
      <c r="C383" s="107">
        <f>'Standardsatser-Forutsetninger'!C258</f>
        <v>0.48499999999999999</v>
      </c>
      <c r="D383" s="65" t="s">
        <v>546</v>
      </c>
      <c r="E383" s="65"/>
      <c r="F383" s="221">
        <v>2022</v>
      </c>
      <c r="G383" s="545"/>
      <c r="H383" s="275" t="s">
        <v>2466</v>
      </c>
      <c r="I383" s="149" t="s">
        <v>2489</v>
      </c>
      <c r="J383" s="959"/>
      <c r="K383" s="101">
        <v>46157</v>
      </c>
      <c r="L383" s="221" t="s">
        <v>808</v>
      </c>
    </row>
    <row r="384" spans="1:12" x14ac:dyDescent="0.35">
      <c r="A384" s="511"/>
      <c r="B384" s="212" t="s">
        <v>604</v>
      </c>
      <c r="C384" s="21">
        <f>'Standardsatser-Forutsetninger'!C259</f>
        <v>32.24660295068616</v>
      </c>
      <c r="D384" s="17" t="str">
        <f>'Standardsatser-Forutsetninger'!D259</f>
        <v>l/km</v>
      </c>
      <c r="E384" s="17"/>
      <c r="F384" s="213">
        <v>2019</v>
      </c>
      <c r="G384" s="545"/>
      <c r="H384" s="275" t="s">
        <v>322</v>
      </c>
      <c r="I384" s="17" t="s">
        <v>1298</v>
      </c>
      <c r="J384" s="959" t="s">
        <v>928</v>
      </c>
      <c r="K384" s="69">
        <v>43706</v>
      </c>
      <c r="L384" s="221" t="s">
        <v>64</v>
      </c>
    </row>
    <row r="385" spans="1:12" x14ac:dyDescent="0.35">
      <c r="A385" s="511"/>
      <c r="B385" s="212" t="s">
        <v>875</v>
      </c>
      <c r="C385" s="22">
        <f>'Standardsatser-Forutsetninger'!C267</f>
        <v>4.9042500000000002</v>
      </c>
      <c r="D385" s="957" t="str">
        <f>'Standardsatser-Forutsetninger'!D267</f>
        <v>l/km</v>
      </c>
      <c r="E385" s="957"/>
      <c r="F385" s="262">
        <f>'Standardsatser-Forutsetninger'!E267</f>
        <v>2017</v>
      </c>
      <c r="G385" s="545"/>
      <c r="H385" s="275" t="s">
        <v>322</v>
      </c>
      <c r="I385" s="17"/>
      <c r="J385" s="17"/>
      <c r="K385" s="69">
        <v>42997</v>
      </c>
      <c r="L385" s="213" t="s">
        <v>64</v>
      </c>
    </row>
    <row r="386" spans="1:12" ht="18.5" x14ac:dyDescent="0.45">
      <c r="B386" s="247" t="s">
        <v>1299</v>
      </c>
      <c r="C386" s="956"/>
      <c r="D386" s="11"/>
      <c r="E386" s="11"/>
      <c r="F386" s="249"/>
      <c r="H386" s="247"/>
      <c r="I386" s="11"/>
      <c r="J386" s="11"/>
      <c r="K386" s="11"/>
      <c r="L386" s="249"/>
    </row>
    <row r="387" spans="1:12" x14ac:dyDescent="0.35">
      <c r="B387" s="215" t="s">
        <v>1300</v>
      </c>
      <c r="C387" s="8"/>
      <c r="D387" s="8"/>
      <c r="E387" s="8"/>
      <c r="F387" s="259"/>
      <c r="H387" s="279"/>
      <c r="I387" s="8"/>
      <c r="J387" s="8"/>
      <c r="K387" s="8"/>
      <c r="L387" s="259"/>
    </row>
    <row r="388" spans="1:12" x14ac:dyDescent="0.35">
      <c r="B388" s="212" t="s">
        <v>1291</v>
      </c>
      <c r="C388" s="57">
        <v>0.32113901172379822</v>
      </c>
      <c r="D388" s="17" t="s">
        <v>544</v>
      </c>
      <c r="E388" s="17"/>
      <c r="F388" s="213">
        <v>2025</v>
      </c>
      <c r="H388" s="275" t="s">
        <v>2538</v>
      </c>
      <c r="I388" s="17" t="s">
        <v>1301</v>
      </c>
      <c r="J388" s="17"/>
      <c r="K388" s="69">
        <v>46266</v>
      </c>
      <c r="L388" s="213" t="s">
        <v>165</v>
      </c>
    </row>
    <row r="389" spans="1:12" x14ac:dyDescent="0.35">
      <c r="B389" s="212" t="s">
        <v>1302</v>
      </c>
      <c r="C389" s="57">
        <v>0.23047492657723542</v>
      </c>
      <c r="D389" s="17" t="s">
        <v>544</v>
      </c>
      <c r="E389" s="17"/>
      <c r="F389" s="213">
        <v>2025</v>
      </c>
      <c r="H389" s="275" t="s">
        <v>2538</v>
      </c>
      <c r="I389" s="17" t="s">
        <v>1303</v>
      </c>
      <c r="J389" s="17"/>
      <c r="K389" s="69">
        <v>46266</v>
      </c>
      <c r="L389" s="213" t="s">
        <v>165</v>
      </c>
    </row>
    <row r="390" spans="1:12" x14ac:dyDescent="0.35">
      <c r="B390" s="212" t="s">
        <v>1304</v>
      </c>
      <c r="C390" s="57">
        <v>0.32195720462793342</v>
      </c>
      <c r="D390" s="17" t="s">
        <v>544</v>
      </c>
      <c r="E390" s="17"/>
      <c r="F390" s="213">
        <v>2025</v>
      </c>
      <c r="H390" s="275" t="s">
        <v>2538</v>
      </c>
      <c r="I390" s="17" t="s">
        <v>1305</v>
      </c>
      <c r="J390" s="17"/>
      <c r="K390" s="69">
        <v>46266</v>
      </c>
      <c r="L390" s="213" t="s">
        <v>165</v>
      </c>
    </row>
    <row r="391" spans="1:12" ht="15" thickBot="1" x14ac:dyDescent="0.4">
      <c r="B391" s="252" t="s">
        <v>1306</v>
      </c>
      <c r="C391" s="1218">
        <v>0.12637503755444116</v>
      </c>
      <c r="D391" s="301" t="s">
        <v>544</v>
      </c>
      <c r="E391" s="301"/>
      <c r="F391" s="302">
        <v>2025</v>
      </c>
      <c r="G391" s="1219"/>
      <c r="H391" s="1247" t="s">
        <v>2538</v>
      </c>
      <c r="I391" s="301" t="s">
        <v>1307</v>
      </c>
      <c r="J391" s="301"/>
      <c r="K391" s="305">
        <v>46266</v>
      </c>
      <c r="L391" s="302" t="s">
        <v>165</v>
      </c>
    </row>
    <row r="392" spans="1:12" x14ac:dyDescent="0.35">
      <c r="C392" s="45"/>
      <c r="H392" s="6"/>
      <c r="K392" s="143"/>
    </row>
    <row r="393" spans="1:12" x14ac:dyDescent="0.35">
      <c r="C393" s="45"/>
      <c r="H393" s="6"/>
      <c r="K393" s="143"/>
    </row>
    <row r="394" spans="1:12" x14ac:dyDescent="0.35">
      <c r="C394" s="45"/>
      <c r="H394" s="6"/>
      <c r="K394" s="143"/>
    </row>
    <row r="395" spans="1:12" x14ac:dyDescent="0.35">
      <c r="C395" s="45"/>
      <c r="H395" s="6"/>
      <c r="K395" s="143"/>
    </row>
  </sheetData>
  <dataConsolidate/>
  <phoneticPr fontId="64" type="noConversion"/>
  <conditionalFormatting sqref="C82:C83">
    <cfRule type="expression" dxfId="728" priority="36">
      <formula>OR($C$81="EL18",$C$81="Di4")</formula>
    </cfRule>
  </conditionalFormatting>
  <conditionalFormatting sqref="D82:D83">
    <cfRule type="expression" dxfId="727" priority="35">
      <formula>OR($D$81="EL18",$D$81="Di4")</formula>
    </cfRule>
  </conditionalFormatting>
  <conditionalFormatting sqref="C106:C108 C182:C187 C196:C198 C200:C202 C110:C113">
    <cfRule type="expression" dxfId="726" priority="32">
      <formula>Modell_Person="-"</formula>
    </cfRule>
  </conditionalFormatting>
  <conditionalFormatting sqref="C85:D85 C91:D91">
    <cfRule type="expression" dxfId="725" priority="30">
      <formula>Modell_Person="-"</formula>
    </cfRule>
  </conditionalFormatting>
  <conditionalFormatting sqref="D11">
    <cfRule type="expression" dxfId="724" priority="29">
      <formula>Modell_Person="-"</formula>
    </cfRule>
  </conditionalFormatting>
  <conditionalFormatting sqref="D12">
    <cfRule type="expression" dxfId="723" priority="28">
      <formula>Modell_Gods="-"</formula>
    </cfRule>
  </conditionalFormatting>
  <conditionalFormatting sqref="C101">
    <cfRule type="expression" dxfId="722" priority="24">
      <formula>IF(OR(NOT(E85=0),(NOT(C81=D81)),(NOT(E91=0)),(NOT(C87=D87)),(AntallDøgn=1)),TRUE,FALSE)</formula>
    </cfRule>
  </conditionalFormatting>
  <conditionalFormatting sqref="C95:D95">
    <cfRule type="expression" dxfId="721" priority="19">
      <formula>NOT(Modell_Gods="-")</formula>
    </cfRule>
  </conditionalFormatting>
  <conditionalFormatting sqref="C78">
    <cfRule type="expression" dxfId="720" priority="14">
      <formula>IF($C$77="Bimodalt",TRUE,FALSE)</formula>
    </cfRule>
  </conditionalFormatting>
  <conditionalFormatting sqref="D78">
    <cfRule type="expression" dxfId="719" priority="13">
      <formula>IF($D$77="Bimodalt",TRUE,FALSE)</formula>
    </cfRule>
  </conditionalFormatting>
  <conditionalFormatting sqref="C88:C89">
    <cfRule type="expression" dxfId="718" priority="8">
      <formula>OR($C$87="EL18",$C$87="Di4")</formula>
    </cfRule>
  </conditionalFormatting>
  <conditionalFormatting sqref="D88:D89">
    <cfRule type="expression" dxfId="717" priority="7">
      <formula>OR($D$87="EL18",$D$87="Di4")</formula>
    </cfRule>
  </conditionalFormatting>
  <conditionalFormatting sqref="C189:C194">
    <cfRule type="expression" dxfId="716" priority="6">
      <formula>Modell_Person="-"</formula>
    </cfRule>
  </conditionalFormatting>
  <conditionalFormatting sqref="C208:C210">
    <cfRule type="expression" dxfId="715" priority="4">
      <formula>Modell_Person="-"</formula>
    </cfRule>
  </conditionalFormatting>
  <conditionalFormatting sqref="C212:C214">
    <cfRule type="expression" dxfId="714" priority="3">
      <formula>Modell_Person="-"</formula>
    </cfRule>
  </conditionalFormatting>
  <conditionalFormatting sqref="C216:C218">
    <cfRule type="expression" dxfId="713" priority="2">
      <formula>Modell_Person="-"</formula>
    </cfRule>
  </conditionalFormatting>
  <conditionalFormatting sqref="C131">
    <cfRule type="expression" dxfId="712" priority="1">
      <formula>IF($C$66&gt;0,TRUE,FALSE)</formula>
    </cfRule>
  </conditionalFormatting>
  <dataValidations count="10">
    <dataValidation type="list" showInputMessage="1" showErrorMessage="1" sqref="C48" xr:uid="{00000000-0002-0000-0700-000000000000}">
      <formula1>"Vekstprognose, Lineær trend"</formula1>
    </dataValidation>
    <dataValidation type="list" allowBlank="1" showInputMessage="1" showErrorMessage="1" sqref="C77:D77" xr:uid="{00000000-0002-0000-0700-000001000000}">
      <formula1>"Diesel, Elektrisk,Bimodalt"</formula1>
    </dataValidation>
    <dataValidation type="list" allowBlank="1" showInputMessage="1" showErrorMessage="1" sqref="C82:D82 C88:D88" xr:uid="{00000000-0002-0000-0700-000002000000}">
      <formula1>"-,Sittevogn"</formula1>
    </dataValidation>
    <dataValidation type="list" allowBlank="1" showInputMessage="1" showErrorMessage="1" sqref="C87:D87" xr:uid="{00000000-0002-0000-0700-000003000000}">
      <formula1>"-,72,74,75,76,77,78,93D,Stog,EL18,Di4,Godstog"</formula1>
    </dataValidation>
    <dataValidation type="list" allowBlank="1" showInputMessage="1" showErrorMessage="1" sqref="D81" xr:uid="{00000000-0002-0000-0700-000004000000}">
      <formula1>"-,69,70,72,73,74,75,76,N05,N06,N10dag,N10natt,N11,N12,N13,77,78,93D,Stog,El18,Di4,Godstog"</formula1>
    </dataValidation>
    <dataValidation type="list" allowBlank="1" showInputMessage="1" showErrorMessage="1" sqref="C11" xr:uid="{00000000-0002-0000-0700-000005000000}">
      <formula1>"-,Trenklin, RTM, RTM23+, NTM/Annen modell/ Egen beregning"</formula1>
    </dataValidation>
    <dataValidation type="list" allowBlank="1" showInputMessage="1" showErrorMessage="1" sqref="C12" xr:uid="{00000000-0002-0000-0700-000006000000}">
      <formula1>"-,NGM, Annen modell/ Egen beregning"</formula1>
    </dataValidation>
    <dataValidation type="list" allowBlank="1" showInputMessage="1" showErrorMessage="1" sqref="C97" xr:uid="{6D55F855-C71C-4385-BA97-2D214AFB6A71}">
      <formula1>"Høyt alternativ, Lavt alternativ, Hovedalternativ"</formula1>
    </dataValidation>
    <dataValidation type="list" allowBlank="1" showInputMessage="1" showErrorMessage="1" sqref="C95:C96" xr:uid="{E24F2F0D-5609-43AE-A073-31C8AD799AE7}">
      <formula1>"Nei,Ja"</formula1>
    </dataValidation>
    <dataValidation type="list" allowBlank="1" showInputMessage="1" showErrorMessage="1" sqref="C81" xr:uid="{B652E053-A60F-4BAB-B113-9316954A03F7}">
      <formula1>"-,69,70,72,73,74,75,76,N05,N06,N10dag,N10natt,N11,N12,N13,77,78,93D,Stog,EL18,Di4,Godstog"</formula1>
    </dataValidation>
  </dataValidations>
  <hyperlinks>
    <hyperlink ref="H133" location="TØIRapport_1050_2009" display="RVU 2005, RVU 2009, TØI-rapport 1050/2009" xr:uid="{00000000-0004-0000-0700-000000000000}"/>
    <hyperlink ref="H182" location="ECONRapport_2003_054" display="Econ 2003-054, tabell V.B.1 s.105, tabell V.B.2 s.106." xr:uid="{00000000-0004-0000-0700-000001000000}"/>
    <hyperlink ref="H290" location="TØIRapport1307_2014" display="TØI-rapport 1307/2014" xr:uid="{00000000-0004-0000-0700-000002000000}"/>
    <hyperlink ref="H126" location="BaneNOR_2017_1" display="Bane NOR (2017)" xr:uid="{00000000-0004-0000-0700-000003000000}"/>
    <hyperlink ref="H25" location="Regjeringen_2021" display="Regjeringen (2021)" xr:uid="{00000000-0004-0000-0700-000004000000}"/>
    <hyperlink ref="H18" location="NOU_2012_16" display="NOU 2012: 16 (2012), s. 84" xr:uid="{00000000-0004-0000-0700-000005000000}"/>
    <hyperlink ref="H20" location="Regjeringen_2014" display="Regjeringen (2014)" xr:uid="{00000000-0004-0000-0700-000006000000}"/>
    <hyperlink ref="H49" location="Regjeringen_2014" display="Regjeringen (2014), s. 5" xr:uid="{00000000-0004-0000-0700-000008000000}"/>
    <hyperlink ref="H50" location="Regjeringen_2014" display="Regjeringen (2014), s. 5" xr:uid="{00000000-0004-0000-0700-000009000000}"/>
    <hyperlink ref="H21" location="Regjeringen_2016" display="Regjeringen (2016)" xr:uid="{00000000-0004-0000-0700-00000A000000}"/>
    <hyperlink ref="H116" location="TØI_1053B_2010" display="TØI-rapport 1053B/2010, s.44." xr:uid="{00000000-0004-0000-0700-00000C000000}"/>
    <hyperlink ref="H183" location="ECONRapport_2003_054" display="Econ 2003-054, tabell V.B.1 s.105, tabell V.B.3 s.107." xr:uid="{00000000-0004-0000-0700-00000D000000}"/>
    <hyperlink ref="H184" location="ECONRapport_2003_054" display="Econ 2003-054, tabell V.B.1 s.105, tabell V.B.4 s.108." xr:uid="{00000000-0004-0000-0700-00000E000000}"/>
    <hyperlink ref="H225" location="TØI_567_2002" display="TØI-rapport 567/2002, s.5." xr:uid="{00000000-0004-0000-0700-00000F000000}"/>
    <hyperlink ref="H185" location="ECONRapport_2003_054" display="Econ 2003-054, tabell V.B.1 s.105, tabell V.B.2 s.106." xr:uid="{00000000-0004-0000-0700-000010000000}"/>
    <hyperlink ref="H186" location="ECONRapport_2003_054" display="Econ 2003-054, tabell V.B.1 s.105, tabell V.B.3 s.107." xr:uid="{00000000-0004-0000-0700-000011000000}"/>
    <hyperlink ref="H187" location="ECONRapport_2003_054" display="Econ 2003-054, tabell V.B.1 s.105, tabell V.B.4 s.108." xr:uid="{00000000-0004-0000-0700-000012000000}"/>
    <hyperlink ref="H127" location="BaneNOR_2017_1" display="Bane NOR (2017)" xr:uid="{00000000-0004-0000-0700-000027000000}"/>
    <hyperlink ref="H129" location="BaneNOR_2017_1" display="Bane NOR (2017)" xr:uid="{00000000-0004-0000-0700-000029000000}"/>
    <hyperlink ref="H130" location="BaneNOR_2017_1" display="Bane NOR (2017)" xr:uid="{00000000-0004-0000-0700-00002A000000}"/>
    <hyperlink ref="H117" location="TØI_1053B_2010" display="TØI-rapport 1053B/2010, s.44." xr:uid="{00000000-0004-0000-0700-00002B000000}"/>
    <hyperlink ref="H118" location="TØI_1053B_2010" display="TØI-rapport 1053B/2010, s.44." xr:uid="{00000000-0004-0000-0700-00002C000000}"/>
    <hyperlink ref="H368" location="Wikipedia_2017" display="Wikipedia (2017)" xr:uid="{00000000-0004-0000-0700-000034000000}"/>
    <hyperlink ref="H28" location="Regjeringen_2017" display="Regjeringen (2017)" xr:uid="{00000000-0004-0000-0700-00003C000000}"/>
    <hyperlink ref="H120:H123" location="OsloEconomics_2017" display="Oslo Economics (2017), s. 4" xr:uid="{00000000-0004-0000-0700-000051000000}"/>
    <hyperlink ref="H24" location="Skatteetaten_2018" display="Skatteetaten (2018)" xr:uid="{00000000-0004-0000-0700-000052000000}"/>
    <hyperlink ref="H262" location="BaneNOR_2017_5" display="Bane NOR (2017), s.25" xr:uid="{00000000-0004-0000-0700-000053000000}"/>
    <hyperlink ref="J21" location="'Standardsatser-Forutsetninger'!A1" display="Bakgrunn til forutsetning" xr:uid="{00000000-0004-0000-0700-000055000000}"/>
    <hyperlink ref="H362" location="'0.5 Kilder'!A1" display="European Commission (2014)" xr:uid="{00000000-0004-0000-0700-000058000000}"/>
    <hyperlink ref="J196:J198" location="'Hjelpeark satser-forutsetninger'!A1" display="Bakgrunn til forutsetning" xr:uid="{00000000-0004-0000-0700-000059000000}"/>
    <hyperlink ref="H148" location="Civitas_2011" display="Civitas (2011), s. 5" xr:uid="{00000000-0004-0000-0700-00005D000000}"/>
    <hyperlink ref="H196:H198" location="TØI_1307_2014" display="TØI-rapport 1307/2014, s. 6 Tabell 2.2.2" xr:uid="{00000000-0004-0000-0700-000061000000}"/>
    <hyperlink ref="H200:H202" location="TØI_1307_2014" display="TØI-rapport 1307/2014, s. 6 Tabell 2.2.2" xr:uid="{00000000-0004-0000-0700-000062000000}"/>
    <hyperlink ref="H208:H210" location="TØI_1307_2014" display="TØI-rapport 1307/2014, s. 6 Tabell 2.2.2" xr:uid="{00000000-0004-0000-0700-000063000000}"/>
    <hyperlink ref="H212:H214" location="TØI_1307_2014" display="TØI-rapport 1307/2014, s. 6 Tabell 2.2.2" xr:uid="{00000000-0004-0000-0700-000064000000}"/>
    <hyperlink ref="H216:H218" location="TØI_1307_2014" display="TØI-rapport 1307/2014, s. 6 Tabell 2.2.2" xr:uid="{00000000-0004-0000-0700-000065000000}"/>
    <hyperlink ref="J182:J187" location="'Hjelpeark satser-forutsetninger'!A1" display="Bakgrunn til forutsetning" xr:uid="{00000000-0004-0000-0700-00006A000000}"/>
    <hyperlink ref="J200:J202" location="'Hjelpeark satser-forutsetninger'!A1" display="Bakgrunn til forutsetning" xr:uid="{00000000-0004-0000-0700-00006B000000}"/>
    <hyperlink ref="J208:J210" location="'Hjelpeark satser-forutsetninger'!A1" display="Bakgrunn til forutsetning" xr:uid="{00000000-0004-0000-0700-00006C000000}"/>
    <hyperlink ref="J212:J214" location="'Hjelpeark satser-forutsetninger'!A1" display="Bakgrunn til forutsetning" xr:uid="{00000000-0004-0000-0700-00006D000000}"/>
    <hyperlink ref="J216:J218" location="'Hjelpeark satser-forutsetninger'!A1" display="Bakgrunn til forutsetning" xr:uid="{00000000-0004-0000-0700-00006E000000}"/>
    <hyperlink ref="J322" location="'Standardsatser-Forutsetninger'!A1" display="Bakgrunn til forutsetning" xr:uid="{00000000-0004-0000-0700-000071000000}"/>
    <hyperlink ref="H27" location="NorgesBank_2018" display="Norges Bank (2017)" xr:uid="{00000000-0004-0000-0700-00008F000000}"/>
    <hyperlink ref="J182" location="'Standardsatser-Forutsetninger'!A1" display="Bakgrunn til forutsetning" xr:uid="{00000000-0004-0000-0700-000093000000}"/>
    <hyperlink ref="J183" location="'Standardsatser-Forutsetninger'!A1" display="Bakgrunn til forutsetning" xr:uid="{00000000-0004-0000-0700-000094000000}"/>
    <hyperlink ref="J184" location="'Standardsatser-Forutsetninger'!A1" display="Bakgrunn til forutsetning" xr:uid="{00000000-0004-0000-0700-000095000000}"/>
    <hyperlink ref="J185" location="'Standardsatser-Forutsetninger'!A1" display="Bakgrunn til forutsetning" xr:uid="{00000000-0004-0000-0700-000096000000}"/>
    <hyperlink ref="J186" location="'Standardsatser-Forutsetninger'!A1" display="Bakgrunn til forutsetning" xr:uid="{00000000-0004-0000-0700-000097000000}"/>
    <hyperlink ref="J187" location="'Standardsatser-Forutsetninger'!A1" display="Bakgrunn til forutsetning" xr:uid="{00000000-0004-0000-0700-000098000000}"/>
    <hyperlink ref="J196" location="'Standardsatser-Forutsetninger'!A1" display="Bakgrunn til forutsetning" xr:uid="{00000000-0004-0000-0700-000099000000}"/>
    <hyperlink ref="J197" location="'Standardsatser-Forutsetninger'!A1" display="Bakgrunn til forutsetning" xr:uid="{00000000-0004-0000-0700-00009A000000}"/>
    <hyperlink ref="J198" location="'Standardsatser-Forutsetninger'!A1" display="Bakgrunn til forutsetning" xr:uid="{00000000-0004-0000-0700-00009B000000}"/>
    <hyperlink ref="J200" location="'Standardsatser-Forutsetninger'!A1" display="Bakgrunn til forutsetning" xr:uid="{00000000-0004-0000-0700-00009C000000}"/>
    <hyperlink ref="J201" location="'Standardsatser-Forutsetninger'!A1" display="Bakgrunn til forutsetning" xr:uid="{00000000-0004-0000-0700-00009D000000}"/>
    <hyperlink ref="J202" location="'Standardsatser-Forutsetninger'!A1" display="Bakgrunn til forutsetning" xr:uid="{00000000-0004-0000-0700-00009E000000}"/>
    <hyperlink ref="J208" location="'Standardsatser-Forutsetninger'!A1" display="Bakgrunn til forutsetning" xr:uid="{00000000-0004-0000-0700-00009F000000}"/>
    <hyperlink ref="J209" location="'Standardsatser-Forutsetninger'!A1" display="Bakgrunn til forutsetning" xr:uid="{00000000-0004-0000-0700-0000A0000000}"/>
    <hyperlink ref="J210" location="'Standardsatser-Forutsetninger'!A1" display="Bakgrunn til forutsetning" xr:uid="{00000000-0004-0000-0700-0000A1000000}"/>
    <hyperlink ref="J212" location="'Standardsatser-Forutsetninger'!A1" display="Bakgrunn til forutsetning" xr:uid="{00000000-0004-0000-0700-0000A2000000}"/>
    <hyperlink ref="J213" location="'Standardsatser-Forutsetninger'!A1" display="Bakgrunn til forutsetning" xr:uid="{00000000-0004-0000-0700-0000A3000000}"/>
    <hyperlink ref="J214" location="'Standardsatser-Forutsetninger'!A1" display="Bakgrunn til forutsetning" xr:uid="{00000000-0004-0000-0700-0000A4000000}"/>
    <hyperlink ref="J216" location="'Standardsatser-Forutsetninger'!A1" display="Bakgrunn til forutsetning" xr:uid="{00000000-0004-0000-0700-0000A5000000}"/>
    <hyperlink ref="J217" location="'Standardsatser-Forutsetninger'!A1" display="Bakgrunn til forutsetning" xr:uid="{00000000-0004-0000-0700-0000A6000000}"/>
    <hyperlink ref="J218" location="'Standardsatser-Forutsetninger'!A1" display="Bakgrunn til forutsetning" xr:uid="{00000000-0004-0000-0700-0000A7000000}"/>
    <hyperlink ref="J351" location="'Standardsatser-Forutsetninger'!A1" display="Bakgrunn til forutsetning" xr:uid="{00000000-0004-0000-0700-0000A8000000}"/>
    <hyperlink ref="H26" location="Regjeringen_2017" display="Regjeringen (2017)" xr:uid="{00000000-0004-0000-0700-0000AE000000}"/>
    <hyperlink ref="H286" location="TØIRapport1307_2014" display="TØI-rapport 1307/2014" xr:uid="{53987D80-805F-40EB-861C-5D1FB20756FC}"/>
    <hyperlink ref="J287" location="'Hjelpeark satser-forutsetninger'!A1" display="Bakgrunn til forutsetning" xr:uid="{54D34E5D-C9C9-494F-B5F8-6231C1772589}"/>
    <hyperlink ref="J288" location="'Hjelpeark satser-forutsetninger'!A1" display="Bakgrunn til forutsetning" xr:uid="{E92D8B28-0666-421B-828A-F2DC6D6EB668}"/>
    <hyperlink ref="J289" location="'Hjelpeark satser-forutsetninger'!A1" display="Bakgrunn til forutsetning" xr:uid="{8F7DD6DA-BEB7-4CD0-8F30-0909A9222C86}"/>
    <hyperlink ref="H310" location="TØIRapport1307_2014" display="TØI-rapport 1307/2014" xr:uid="{1FA7C40F-CD8B-4E90-91B8-FD13FEF6287A}"/>
    <hyperlink ref="H287" location="TØI_1704_2019" display="TØI-rapport 1704/2019" xr:uid="{494B621D-FD0C-4568-9B7C-819B3C72029E}"/>
    <hyperlink ref="H288" location="TØI_1704_2019" display="TØI-rapport 1704/2019" xr:uid="{0C406467-9750-4E4D-A1D4-D48FBE2FCB78}"/>
    <hyperlink ref="H289" location="TØI_1704_2019" display="TØI-rapport 1704/2019" xr:uid="{491A8C16-C718-4EEC-9728-3FD329AC8223}"/>
    <hyperlink ref="H291" location="TØI_1704_2019" display="TØI-rapport 1704/2019" xr:uid="{720021C0-DF3D-404C-92BE-9B7E22EC8D0C}"/>
    <hyperlink ref="H292" location="TØI_1704_2019" display="TØI-rapport 1704/2019" xr:uid="{426CC5D9-C779-4CF4-96F1-371C8CA44885}"/>
    <hyperlink ref="H293" location="TØI_1704_2019" display="TØI-rapport 1704/2019" xr:uid="{BA299724-6AEB-4A9B-ACF9-BFA96365164B}"/>
    <hyperlink ref="H295" location="TØI_1704_2019" display="TØI-rapport 1704/2019" xr:uid="{A72C9645-DD9B-4324-94A4-FD39BFB062D0}"/>
    <hyperlink ref="H296" location="TØI_1704_2019" display="TØI-rapport 1704/2019" xr:uid="{A76BFAF6-F9AE-42D1-B281-D9169711203C}"/>
    <hyperlink ref="H297" location="TØI_1704_2019" display="TØI-rapport 1704/2019" xr:uid="{7241F1F9-F258-4640-B150-790B0266E049}"/>
    <hyperlink ref="H307" location="TØI_1704_2019" display="TØI-rapport 1704/2019" xr:uid="{87C8F8E3-7C14-4CD5-98EA-CE15E9A8465F}"/>
    <hyperlink ref="H308" location="TØI_1704_2019" display="TØI-rapport 1704/2019" xr:uid="{7A7A42B0-894E-4B54-B8D3-AC8B8DA62DD0}"/>
    <hyperlink ref="H309" location="TØI_1704_2019" display="TØI-rapport 1704/2019" xr:uid="{16327C98-CC76-4DD0-B593-EBDCDA3E3A62}"/>
    <hyperlink ref="H311" location="TØI_1704_2019" display="TØI-rapport 1704/2019" xr:uid="{2E151569-FFB4-4F43-A507-2FF813FBE191}"/>
    <hyperlink ref="H312" location="TØI_1704_2019" display="TØI-rapport 1704/2019" xr:uid="{24DB8A7A-43E4-4604-ACAE-FA026F47E4CA}"/>
    <hyperlink ref="H313" location="TØI_1704_2019" display="TØI-rapport 1704/2019" xr:uid="{20C600BE-2062-49BE-B222-1F9AC58CF8F0}"/>
    <hyperlink ref="J287:J289" location="'Standardsatser-Forutsetninger'!A1" display="Bakgrunn til forutsetning" xr:uid="{92F868F6-7FD9-4C0C-AC6E-B09F92982719}"/>
    <hyperlink ref="J291" location="'Hjelpeark satser-forutsetninger'!A1" display="Bakgrunn til forutsetning" xr:uid="{25C5306C-014D-49E4-AB5A-2D8B5B68A155}"/>
    <hyperlink ref="J292" location="'Hjelpeark satser-forutsetninger'!A1" display="Bakgrunn til forutsetning" xr:uid="{081CAD03-97FC-4D3D-9A0F-6713DF15EA21}"/>
    <hyperlink ref="J293" location="'Hjelpeark satser-forutsetninger'!A1" display="Bakgrunn til forutsetning" xr:uid="{E2C68F92-2049-40D0-BB5D-4D6CB0EE32A7}"/>
    <hyperlink ref="J291:J293" location="'Standardsatser-Forutsetninger'!A1" display="Bakgrunn til forutsetning" xr:uid="{A84D64FE-E140-4EE8-8FE6-E552BF9E2B59}"/>
    <hyperlink ref="J295" location="'Hjelpeark satser-forutsetninger'!A1" display="Bakgrunn til forutsetning" xr:uid="{87F7C162-4F6A-489E-A6FB-39355769EFA3}"/>
    <hyperlink ref="J296" location="'Hjelpeark satser-forutsetninger'!A1" display="Bakgrunn til forutsetning" xr:uid="{C9B4EA61-D6B9-4361-B591-E63F9C65AD95}"/>
    <hyperlink ref="J297" location="'Hjelpeark satser-forutsetninger'!A1" display="Bakgrunn til forutsetning" xr:uid="{20837DFE-1060-4531-B7A9-14507DDC87D4}"/>
    <hyperlink ref="J295:J297" location="'Standardsatser-Forutsetninger'!A1" display="Bakgrunn til forutsetning" xr:uid="{977E069F-32B2-48A1-BFCB-1F615756A019}"/>
    <hyperlink ref="J307" location="'Hjelpeark satser-forutsetninger'!A1" display="Bakgrunn til forutsetning" xr:uid="{0A90188A-FC7B-4B96-BA7D-A74E681A7C80}"/>
    <hyperlink ref="J308" location="'Hjelpeark satser-forutsetninger'!A1" display="Bakgrunn til forutsetning" xr:uid="{8E4CBFBD-BABB-4FDC-8E0D-2746DEC4C095}"/>
    <hyperlink ref="J309" location="'Hjelpeark satser-forutsetninger'!A1" display="Bakgrunn til forutsetning" xr:uid="{3C1B4882-6F09-4A42-9A76-0488594CB17E}"/>
    <hyperlink ref="J307:J309" location="'Standardsatser-Forutsetninger'!A1" display="Bakgrunn til forutsetning" xr:uid="{97CDA117-888A-4161-A02D-45D454568CCC}"/>
    <hyperlink ref="J311" location="'Hjelpeark satser-forutsetninger'!A1" display="Bakgrunn til forutsetning" xr:uid="{46FD608A-C420-4308-84D3-6734A8506096}"/>
    <hyperlink ref="J312" location="'Hjelpeark satser-forutsetninger'!A1" display="Bakgrunn til forutsetning" xr:uid="{E776FCC9-0F11-46D1-A9A6-5E6390F83E10}"/>
    <hyperlink ref="J313" location="'Hjelpeark satser-forutsetninger'!A1" display="Bakgrunn til forutsetning" xr:uid="{A859ADC8-596F-49CC-B126-9F08ECAA67E8}"/>
    <hyperlink ref="J311:J313" location="'Standardsatser-Forutsetninger'!A1" display="Bakgrunn til forutsetning" xr:uid="{D69CCB29-D681-4856-A857-15A4611863D0}"/>
    <hyperlink ref="J335" location="'Standardsatser-Forutsetninger'!A1" display="Bakgrunn til forutsetning" xr:uid="{856D26BB-94AA-40F8-AE8A-FAB78F4C8436}"/>
    <hyperlink ref="J332" location="'Standardsatser-Forutsetninger'!A1" display="Bakgrunn til forutsetning" xr:uid="{469EE324-FCFD-4526-98F0-90C09AE42A95}"/>
    <hyperlink ref="H324" location="JDIR_2018" display="Jernbanedirektoratet (2018)" xr:uid="{4A116BEB-46A5-4E55-8086-C3DD0A1FBA8C}"/>
    <hyperlink ref="J352" location="'Standardsatser-Forutsetninger'!A1" display="Bakgrunn til forutsetning" xr:uid="{9DB0A70D-29BC-4EC5-88B1-B153FCEB06F8}"/>
    <hyperlink ref="J353" location="'Standardsatser-Forutsetninger'!A1" display="Bakgrunn til forutsetning" xr:uid="{D3BB0F9F-4CFE-44A4-96D0-FE4F778D172C}"/>
    <hyperlink ref="J357" location="'Standardsatser-Forutsetninger'!A1" display="Bakgrunn til forutsetning" xr:uid="{7A3F2DC3-4A95-4A9E-BFE7-9EBEA90D32C1}"/>
    <hyperlink ref="J358" location="'Standardsatser-Forutsetninger'!A1" display="Bakgrunn til forutsetning" xr:uid="{7B68C3BF-8D7E-4140-8CC8-7C80FACF26F5}"/>
    <hyperlink ref="J359" location="'Standardsatser-Forutsetninger'!A1" display="Bakgrunn til forutsetning" xr:uid="{CC151C1F-5914-4EBA-B27A-B7C33BA5FCA9}"/>
    <hyperlink ref="J384" location="'Standardsatser-Forutsetninger'!A1" display="Bakgrunn til forutsetning" xr:uid="{25341B0A-8161-493A-BAEF-EAF38B731BA4}"/>
    <hyperlink ref="H364" location="CUT_2012" display="Chalmers University of Technology (2012)" xr:uid="{DE3A9E6D-9AA2-4D22-AD10-D37AA1ABB446}"/>
    <hyperlink ref="H29" location="JDIR_2019_1" display="Jernbanedirektoratet (2019)" xr:uid="{D898CE75-A086-4B24-BB8B-79FFA2D78FDF}"/>
    <hyperlink ref="H100" location="JDIR_2019_1" display="Jernbanedirektoratet (2019)" xr:uid="{87FB6C22-DA68-4CF9-A912-5E06AECBC15E}"/>
    <hyperlink ref="H189" location="JDIR_2019_1" display="Jernbanedirektoratet (2019)" xr:uid="{0D5DA4C0-5F36-4FB0-9CCB-CF3797157138}"/>
    <hyperlink ref="H190:H194" location="JDIR_2019_1" display="Jernbanedirektoratet (2019)" xr:uid="{C2D7F70D-F9C7-49CA-8A0C-EDA70387AED1}"/>
    <hyperlink ref="H228" location="JDIR_2019_1" display="Jernbanedirektoratet (2019)" xr:uid="{0063C36E-5BE3-4529-880D-67B2450E4141}"/>
    <hyperlink ref="H237" location="JDIR_2019_1" display="Jernbanedirektoratet (2019)" xr:uid="{1D20B275-E4DE-49C1-AADC-F232ADE42D7A}"/>
    <hyperlink ref="H260" location="JDIR_2019_1" display="Jernbanedirektoratet (2019)" xr:uid="{E2A02999-AEA0-449A-81C1-4F3699A9BC41}"/>
    <hyperlink ref="H263" location="JDIR_2019_1" display="Jernbanedirektoratet (2019)" xr:uid="{D044ED2F-B2A8-40C5-92CB-A36F8FDE3363}"/>
    <hyperlink ref="H264" location="JDIR_2019_1" display="Jernbanedirektoratet (2019)" xr:uid="{25358918-576D-4344-A4C5-993918576A39}"/>
    <hyperlink ref="H265" location="JDIR_2019_1" display="Jernbanedirektoratet (2019)" xr:uid="{FC953F41-E4B2-4D17-90D0-0F9430A79C23}"/>
    <hyperlink ref="H267" location="JDIR_2019_1" display="Jernbanedirektoratet (2019)" xr:uid="{2DFC84D5-93C0-4205-8E5B-0EC82753E952}"/>
    <hyperlink ref="H281" location="JDIR_2019_1" display="Jernbanedirektoratet (2019)" xr:uid="{69937549-7628-4AFE-B2FF-5A058C4BAF16}"/>
    <hyperlink ref="H283" location="JDIR_2019_1" display="Jernbanedirektoratet (2019)" xr:uid="{A1EE1365-3E54-490E-844A-4FCD06006907}"/>
    <hyperlink ref="H284" location="JDIR_2019_1" display="Jernbanedirektoratet (2019)" xr:uid="{500BFA1B-E74E-4416-8DEF-E28464BA6462}"/>
    <hyperlink ref="H384" location="JDIR_2019_1" display="Jernbanedirektoratet (2019)" xr:uid="{DF2940FD-02F9-43BC-8D05-058D35FDE382}"/>
    <hyperlink ref="H385" location="JDIR_2019_1" display="Jernbanedirektoratet (2019)" xr:uid="{1A6E55DF-9544-4761-A2B5-879769A9825F}"/>
    <hyperlink ref="H23" location="Skatteetaten_2018" display="Skatteetaten (2018)" xr:uid="{A9987882-C982-4F01-BD71-3DAC37A4F375}"/>
    <hyperlink ref="H299" location="TØI_1704_2019" display="TØI-rapport 1704/2019" xr:uid="{C453D469-6396-4F33-B940-A5B9C938FB8E}"/>
    <hyperlink ref="H300" location="TØI_1704_2019" display="TØI-rapport 1704/2019" xr:uid="{72174932-ACEB-4504-933A-1E3A003614FB}"/>
    <hyperlink ref="H301" location="TØI_1704_2019" display="TØI-rapport 1704/2019" xr:uid="{AFB39CBE-027D-4AF6-820B-F817EE3EA93F}"/>
    <hyperlink ref="J299" location="'Hjelpeark satser-forutsetninger'!A1" display="Bakgrunn til forutsetning" xr:uid="{24B510BF-3A22-4ED6-A4AA-8DD5161728D5}"/>
    <hyperlink ref="J300" location="'Hjelpeark satser-forutsetninger'!A1" display="Bakgrunn til forutsetning" xr:uid="{F8416F00-0649-4EAA-B95E-A15A87466F59}"/>
    <hyperlink ref="J301" location="'Hjelpeark satser-forutsetninger'!A1" display="Bakgrunn til forutsetning" xr:uid="{06FC8AB1-0068-4140-83D3-611AFE5F35D4}"/>
    <hyperlink ref="J299:J301" location="'Standardsatser-Forutsetninger'!A1" display="Bakgrunn til forutsetning" xr:uid="{961F45FE-ECEB-414F-9D70-CEF646B0CA10}"/>
    <hyperlink ref="H303" location="TØI_1704_2019" display="TØI-rapport 1704/2019" xr:uid="{48AB9364-8B87-4C06-9D70-D9E3F21F499A}"/>
    <hyperlink ref="H304" location="TØI_1704_2019" display="TØI-rapport 1704/2019" xr:uid="{C7DD5343-A90D-4EE0-AE97-A2C7283D581D}"/>
    <hyperlink ref="H305" location="TØI_1704_2019" display="TØI-rapport 1704/2019" xr:uid="{4389B61E-C622-4B04-9C2D-21C01FA9FCB2}"/>
    <hyperlink ref="J303" location="'Hjelpeark satser-forutsetninger'!A1" display="Bakgrunn til forutsetning" xr:uid="{969BC6F7-D623-471B-B193-9E20E4315BC0}"/>
    <hyperlink ref="J304" location="'Hjelpeark satser-forutsetninger'!A1" display="Bakgrunn til forutsetning" xr:uid="{A2D25F53-4969-4A20-9510-C5110D35DC16}"/>
    <hyperlink ref="J305" location="'Hjelpeark satser-forutsetninger'!A1" display="Bakgrunn til forutsetning" xr:uid="{DA315C48-0CE1-4C4E-81F8-EA32AE262336}"/>
    <hyperlink ref="J303:J305" location="'Standardsatser-Forutsetninger'!A1" display="Bakgrunn til forutsetning" xr:uid="{951F5658-1661-4C2F-B7FB-8E4326694320}"/>
    <hyperlink ref="H150" location="Avinor_2019" display="Avinor_2019" xr:uid="{14C4DEA5-83E5-4C18-A572-45D656193D6B}"/>
    <hyperlink ref="H153" location="TØI_51445_2019" display="LEGG INN KILDE" xr:uid="{CF4966A3-5CB2-4C4B-932D-F9B00AD18556}"/>
    <hyperlink ref="H154:H155" location="TØI_51445_2019" display="LEGG INN KILDE" xr:uid="{D07392C9-3849-4160-9F47-BB17DC9B3E5D}"/>
    <hyperlink ref="H160" location="TØI_51445_2019" display="LEGG INN KILDE" xr:uid="{D26882A5-808B-48CF-9E31-F59BAF5F7B54}"/>
    <hyperlink ref="H161:H162" location="TØI_51445_2019" display="LEGG INN KILDE" xr:uid="{FA2581EB-343F-461B-9A79-55C56CC64730}"/>
    <hyperlink ref="H163" location="TØI_51445_2019" display="LEGG INN KILDE" xr:uid="{55391F51-3B13-40D9-9EA0-33D2A2087374}"/>
    <hyperlink ref="H164" location="TØI_51445_2019" display="LEGG INN KILDE" xr:uid="{0828E145-4E0E-4674-AAD1-C47752D8F130}"/>
    <hyperlink ref="H174" location="TØI_51445_2019" display="LEGG INN KILDE" xr:uid="{3C133524-37F3-4854-B8FC-7DD92E78665A}"/>
    <hyperlink ref="H175:H176" location="TØI_51445_2019" display="LEGG INN KILDE" xr:uid="{DA7F3BC7-4DCD-418B-83A4-F4AA43425F49}"/>
    <hyperlink ref="H177" location="TØI_51445_2019" display="LEGG INN KILDE" xr:uid="{43BC8082-3ECE-404B-8822-DEBE8D7870CA}"/>
    <hyperlink ref="H178:H179" location="TØI_51445_2019" display="LEGG INN KILDE" xr:uid="{5C28E181-5649-430F-A0C3-50AC0A9DA8F5}"/>
    <hyperlink ref="H156" location="TØI_51445_2019" display="LEGG INN KILDE" xr:uid="{B25FA056-75CB-44C4-94B0-D124A8A38E9E}"/>
    <hyperlink ref="H157:H158" location="TØI_51445_2019" display="LEGG INN KILDE" xr:uid="{760C2317-B882-4A9C-8AAD-1B69DDD07D94}"/>
    <hyperlink ref="H166" location="TØI_51445_2019" display="LEGG INN KILDE" xr:uid="{8D170BA0-6023-4631-A765-09BF4CFA0918}"/>
    <hyperlink ref="H167:H168" location="TØI_51445_2019" display="LEGG INN KILDE" xr:uid="{97D1A1B9-41BE-4DB8-8611-F81E19181660}"/>
    <hyperlink ref="H169" location="TØI_51445_2019" display="LEGG INN KILDE" xr:uid="{0FF0E637-6C19-471E-AF06-167E9783263F}"/>
    <hyperlink ref="H170" location="TØI_51445_2019" display="LEGG INN KILDE" xr:uid="{3B5BA349-A4BB-418F-8F57-D56AFD05AC7B}"/>
    <hyperlink ref="H172" location="TØI_51445_2019" display="LEGG INN KILDE" xr:uid="{D97B50B9-5677-4266-885E-A1C2E849D18B}"/>
    <hyperlink ref="H95" location="BaneNOR_2023" display="BaneNOR_2023" xr:uid="{99821DB6-422C-48A0-A655-CF0B9BF03C60}"/>
    <hyperlink ref="H376" location="TØI_2025" display="TØI-rapport 2126/2025" xr:uid="{50B4458B-3DFC-4D89-8FB6-833C9DEFCBC8}"/>
    <hyperlink ref="H363" location="TØI_2025" display="TØI-rapport 2126/2025" xr:uid="{0B816DAA-53CD-4EF8-AF8A-4AF5941E3A81}"/>
    <hyperlink ref="H365" location="TØI_2025" display="TØI-rapport 2126/2025" xr:uid="{1303EC3D-7932-4FB9-9C30-01BDED8192D6}"/>
    <hyperlink ref="H366" location="TØI_2025" display="TØI-rapport 2126/2025" xr:uid="{FB093636-D775-41C4-9F08-D047D1687BE7}"/>
    <hyperlink ref="H367" location="TØI_2025" display="TØI-rapport 2126/2025" xr:uid="{DCA0D5B8-FB27-492B-AEE0-FF1FC33D8267}"/>
    <hyperlink ref="H317" location="TØI_2025" display="TØI-rapport 2126/2025" xr:uid="{B9C00FD9-B728-4C65-976C-E1B99D224983}"/>
    <hyperlink ref="H320" location="TØI_2025" display="TØI-rapport 2126/2025" xr:uid="{6BB3F4EF-0E46-49B0-A16C-7DABA008CAB6}"/>
    <hyperlink ref="H345" location="TØI_2025" display="TØI-rapport 2126/2025" xr:uid="{090EB664-CFCB-44F3-9487-AC4B305687DD}"/>
    <hyperlink ref="H346" location="TØI_2025" display="TØI-rapport 2126/2025" xr:uid="{7474B01E-E5A7-47CE-A7A0-47CAB60BE7B6}"/>
    <hyperlink ref="H348" location="TØI_2025" display="TØI-rapport 2126/2025" xr:uid="{4D5BBD3B-852D-4861-B479-47BA90715EBB}"/>
    <hyperlink ref="H349" location="TØI_2025" display="TØI-rapport 2126/2025" xr:uid="{4BBA7B51-CE3D-49ED-A0AA-E3429EE7FA1F}"/>
    <hyperlink ref="H338" location="TØI_2025" display="TØI-rapport 2126/2025" xr:uid="{9BDE33E9-98C3-4897-A563-58CC736AB316}"/>
    <hyperlink ref="H339" location="TØI_2025" display="TØI-rapport 2126/2025" xr:uid="{3444EEA9-5B2A-4F53-9BAE-745BB4DD24A1}"/>
    <hyperlink ref="H341" location="TØI_2025" display="TØI-rapport 2126/2025" xr:uid="{04610D37-33D7-42D7-941A-414A0A71AB6B}"/>
    <hyperlink ref="H342" location="TØI_2025" display="TØI-rapport 2126/2025" xr:uid="{E53B6FB6-7FFA-4A67-A62B-BBEE325610E8}"/>
    <hyperlink ref="H331" location="TØI_2025" display="TØI-rapport 2126/2025" xr:uid="{79690A2D-0716-426A-9C0E-77D3CCFC399C}"/>
    <hyperlink ref="H332" location="TØI_2025" display="TØI-rapport 2126/2025" xr:uid="{D4ACE6BE-FD37-4349-89C5-4F4159C47791}"/>
    <hyperlink ref="H334" location="TØI_2025" display="TØI-rapport 2126/2025" xr:uid="{9893A08E-7B2D-48B2-A102-CC64FE9D345B}"/>
    <hyperlink ref="H335" location="TØI_2025" display="TØI-rapport 2126/2025" xr:uid="{8FA93315-C40F-4F88-A582-3740E1AB76DA}"/>
    <hyperlink ref="H316" location="TØI_2025" display="TØI-rapport 2126/2025" xr:uid="{AB00CC87-67DC-4930-A8A3-4E9FF220633D}"/>
    <hyperlink ref="H319" location="TØI_2025" display="TØI-rapport 2126/2025" xr:uid="{7CB81BB1-5B26-4F4D-970F-48272181A780}"/>
    <hyperlink ref="H325" location="TØI_2023" display="TØI-rapport 1953/2023" xr:uid="{B7DB1735-93F5-4B48-873A-47B626E848A7}"/>
    <hyperlink ref="H326" location="TØI_2023" display="TØI-rapport 1953/2023" xr:uid="{D0963768-6C25-4CA6-BEE0-639DF38AACF4}"/>
    <hyperlink ref="H327" location="TØI_2023" display="TØI-rapport 1953/2023" xr:uid="{978DDEB3-7565-444B-A55A-1504D3C1CF0A}"/>
    <hyperlink ref="H381" location="TØI_2023" display="TØI-rapport 1953/2023" xr:uid="{618CBE89-3022-4FA2-A2E9-9AF10C07F528}"/>
    <hyperlink ref="H382" location="TØI_2023" display="TØI-rapport 1953/2023" xr:uid="{5DD11021-78CA-4131-8517-F4E9AC4FCC70}"/>
    <hyperlink ref="H383" location="TØI_2023" display="TØI-rapport 1953/2023" xr:uid="{C45FFB6F-59C4-4569-81AB-887B85CC049A}"/>
    <hyperlink ref="H354" location="TØI_2023" display="TØI-rapport 1953/2023" xr:uid="{935AB1C3-3210-41E2-BBCC-2DD3D51BB831}"/>
    <hyperlink ref="H355" location="TØI_2023" display="TØI-rapport 1953/2023" xr:uid="{41C62E84-3EAC-4951-82B7-21EF68DD627A}"/>
    <hyperlink ref="H356" location="TØI_2023" display="TØI-rapport 1953/2023" xr:uid="{5D507E57-33D1-4348-801E-B43032F76F81}"/>
    <hyperlink ref="H361" location="TØI_2023" display="TØI-rapport 1953/2023" xr:uid="{132C9876-21B1-43E7-85A1-78B3BA7DB86C}"/>
    <hyperlink ref="H374" location="TØI_2025" display="TØI-rapport 2126/2025" xr:uid="{5549AE38-15C5-4B76-BB7B-5103E606B480}"/>
    <hyperlink ref="H388" location="SSB_2025" display="SSB_2025" xr:uid="{906AD525-21A0-4AFC-BB66-5DA89BAFD5B7}"/>
    <hyperlink ref="H389" location="SSB_2025" display="SSB_2025" xr:uid="{1056E4B1-49E3-4DC2-BA7F-D58C49F7CDE0}"/>
    <hyperlink ref="H390" location="SSB_2025" display="SSB_2025" xr:uid="{F7228D25-C3D1-4649-86FE-5B1F625281AF}"/>
    <hyperlink ref="H391" location="SSB_2025" display="SSB_2025" xr:uid="{576C1B12-01F9-4636-A745-AEE7CADC5C53}"/>
  </hyperlinks>
  <pageMargins left="0.7" right="0.7" top="0.75" bottom="0.75" header="0.3" footer="0.3"/>
  <pageSetup paperSize="9" orientation="portrait" r:id="rId1"/>
  <ignoredErrors>
    <ignoredError sqref="C139" formula="1"/>
  </ignoredErrors>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Ark6">
    <tabColor theme="4" tint="0.59999389629810485"/>
  </sheetPr>
  <dimension ref="A3:BP105"/>
  <sheetViews>
    <sheetView zoomScaleNormal="100" workbookViewId="0"/>
  </sheetViews>
  <sheetFormatPr baseColWidth="10" defaultColWidth="11.453125" defaultRowHeight="14.5" x14ac:dyDescent="0.35"/>
  <cols>
    <col min="1" max="1" width="42.453125" style="59" customWidth="1"/>
    <col min="2" max="2" width="26.453125" style="59" customWidth="1"/>
    <col min="3" max="3" width="13.1796875" style="59" customWidth="1"/>
    <col min="4" max="4" width="10.81640625" style="59" bestFit="1" customWidth="1"/>
    <col min="5" max="5" width="12" style="59" customWidth="1"/>
    <col min="6" max="6" width="11" style="59" bestFit="1" customWidth="1"/>
    <col min="7" max="7" width="11.453125" style="59"/>
    <col min="8" max="8" width="31.54296875" style="59" customWidth="1"/>
    <col min="9" max="13" width="11.453125" style="59"/>
    <col min="14" max="14" width="25.81640625" style="59" customWidth="1"/>
    <col min="15" max="15" width="10.1796875" style="59" bestFit="1" customWidth="1"/>
    <col min="16" max="16" width="11.453125" style="59"/>
    <col min="17" max="17" width="11.7265625" style="59" bestFit="1" customWidth="1"/>
    <col min="18" max="18" width="11" style="59" bestFit="1" customWidth="1"/>
    <col min="19" max="19" width="11.453125" style="59"/>
    <col min="20" max="20" width="24.81640625" style="59" customWidth="1"/>
    <col min="21" max="21" width="10.1796875" style="59" bestFit="1" customWidth="1"/>
    <col min="22" max="22" width="10.81640625" style="59" customWidth="1"/>
    <col min="23" max="23" width="10.1796875" style="59" bestFit="1" customWidth="1"/>
    <col min="24" max="24" width="11" style="59" bestFit="1" customWidth="1"/>
    <col min="25" max="25" width="11.453125" style="59"/>
    <col min="26" max="26" width="25.1796875" style="59" customWidth="1"/>
    <col min="27" max="27" width="10.1796875" style="59" bestFit="1" customWidth="1"/>
    <col min="28" max="28" width="11.453125" style="59"/>
    <col min="29" max="29" width="7.81640625" style="59" bestFit="1" customWidth="1"/>
    <col min="30" max="30" width="11" style="59" bestFit="1" customWidth="1"/>
    <col min="31" max="31" width="11.453125" style="59"/>
    <col min="32" max="32" width="27.453125" style="59" customWidth="1"/>
    <col min="33" max="34" width="13.453125" style="59" bestFit="1" customWidth="1"/>
    <col min="35" max="35" width="13.1796875" style="59" bestFit="1" customWidth="1"/>
    <col min="36" max="36" width="11" style="59" bestFit="1" customWidth="1"/>
    <col min="37" max="37" width="16.453125" style="59" bestFit="1" customWidth="1"/>
    <col min="38" max="38" width="27.54296875" style="59" customWidth="1"/>
    <col min="39" max="42" width="11.54296875" style="59" customWidth="1"/>
    <col min="43" max="43" width="16.453125" style="59" customWidth="1"/>
    <col min="44" max="44" width="29.1796875" style="59" customWidth="1"/>
    <col min="45" max="45" width="14.1796875" style="59" customWidth="1"/>
    <col min="46" max="46" width="14.453125" style="59" bestFit="1" customWidth="1"/>
    <col min="47" max="47" width="11.453125" style="59" bestFit="1" customWidth="1"/>
    <col min="48" max="48" width="11" style="59" bestFit="1" customWidth="1"/>
    <col min="49" max="49" width="11.453125" style="59"/>
    <col min="50" max="50" width="29.1796875" style="59" customWidth="1"/>
    <col min="51" max="52" width="12.453125" style="59" bestFit="1" customWidth="1"/>
    <col min="53" max="53" width="10.453125" style="59" bestFit="1" customWidth="1"/>
    <col min="54" max="54" width="11" style="59" bestFit="1" customWidth="1"/>
    <col min="55" max="55" width="11.453125" style="59"/>
    <col min="56" max="56" width="25.453125" style="59" customWidth="1"/>
    <col min="57" max="57" width="14.1796875" style="59" customWidth="1"/>
    <col min="58" max="58" width="15.453125" style="59" customWidth="1"/>
    <col min="59" max="59" width="10.453125" style="59" customWidth="1"/>
    <col min="60" max="60" width="11" style="59" bestFit="1" customWidth="1"/>
    <col min="61" max="16384" width="11.453125" style="59"/>
  </cols>
  <sheetData>
    <row r="3" spans="1:68" ht="15" thickBot="1" x14ac:dyDescent="0.4"/>
    <row r="4" spans="1:68" ht="18.5" x14ac:dyDescent="0.45">
      <c r="A4" s="253" t="s">
        <v>717</v>
      </c>
      <c r="B4" s="387"/>
    </row>
    <row r="5" spans="1:68" x14ac:dyDescent="0.35">
      <c r="A5" s="254" t="s">
        <v>1308</v>
      </c>
      <c r="B5" s="725" t="s">
        <v>912</v>
      </c>
    </row>
    <row r="6" spans="1:68" ht="15" thickBot="1" x14ac:dyDescent="0.4">
      <c r="A6" s="266" t="s">
        <v>915</v>
      </c>
      <c r="B6" s="726" t="s">
        <v>916</v>
      </c>
    </row>
    <row r="10" spans="1:68" ht="15" thickBot="1" x14ac:dyDescent="0.4">
      <c r="H10" s="71" t="s">
        <v>1073</v>
      </c>
      <c r="AL10" s="71"/>
    </row>
    <row r="11" spans="1:68" ht="21" x14ac:dyDescent="0.5">
      <c r="B11" s="340" t="str">
        <f>("TOG ("&amp;FørsteBeregningsår&amp;")")</f>
        <v>TOG ()</v>
      </c>
      <c r="C11" s="388" t="s">
        <v>1309</v>
      </c>
      <c r="D11" s="306"/>
      <c r="E11" s="306"/>
      <c r="F11" s="387"/>
      <c r="H11" s="340" t="str">
        <f>("TOG - Materielltype 2 ("&amp;FørsteBeregningsår&amp;")")</f>
        <v>TOG - Materielltype 2 ()</v>
      </c>
      <c r="I11" s="306"/>
      <c r="J11" s="306"/>
      <c r="K11" s="388" t="s">
        <v>1309</v>
      </c>
      <c r="L11" s="387"/>
      <c r="N11" s="340" t="str">
        <f>("BIL ("&amp;FørsteBeregningsår&amp;")")</f>
        <v>BIL ()</v>
      </c>
      <c r="O11" s="388" t="s">
        <v>1309</v>
      </c>
      <c r="P11" s="306"/>
      <c r="Q11" s="306"/>
      <c r="R11" s="387"/>
      <c r="T11" s="340" t="str">
        <f>("BUSS ("&amp;FørsteBeregningsår&amp;")")</f>
        <v>BUSS ()</v>
      </c>
      <c r="U11" s="388" t="s">
        <v>1309</v>
      </c>
      <c r="V11" s="306"/>
      <c r="W11" s="306"/>
      <c r="X11" s="387"/>
      <c r="Z11" s="340" t="str">
        <f>("FLY ("&amp;FørsteBeregningsår&amp;")")</f>
        <v>FLY ()</v>
      </c>
      <c r="AA11" s="388" t="s">
        <v>1309</v>
      </c>
      <c r="AB11" s="306"/>
      <c r="AC11" s="306"/>
      <c r="AD11" s="387"/>
      <c r="AF11" s="340" t="str">
        <f>("TOG ("&amp;FørsteBeregningsår&amp;")")</f>
        <v>TOG ()</v>
      </c>
      <c r="AG11" s="388" t="s">
        <v>1310</v>
      </c>
      <c r="AH11" s="269"/>
      <c r="AI11" s="269"/>
      <c r="AJ11" s="389"/>
      <c r="AL11" s="340" t="str">
        <f>("TOG - Materielltype 2 ("&amp;FørsteBeregningsår&amp;")")</f>
        <v>TOG - Materielltype 2 ()</v>
      </c>
      <c r="AM11" s="388"/>
      <c r="AN11" s="269"/>
      <c r="AO11" s="388" t="s">
        <v>1310</v>
      </c>
      <c r="AP11" s="389"/>
      <c r="AR11" s="340" t="str">
        <f>("BIL ("&amp;FørsteBeregningsår&amp;")")</f>
        <v>BIL ()</v>
      </c>
      <c r="AS11" s="388" t="s">
        <v>1310</v>
      </c>
      <c r="AT11" s="306"/>
      <c r="AU11" s="306"/>
      <c r="AV11" s="387"/>
      <c r="AX11" s="340" t="str">
        <f>("BUSS ("&amp;FørsteBeregningsår&amp;")")</f>
        <v>BUSS ()</v>
      </c>
      <c r="AY11" s="388" t="s">
        <v>1310</v>
      </c>
      <c r="AZ11" s="306"/>
      <c r="BA11" s="306"/>
      <c r="BB11" s="387"/>
      <c r="BD11" s="340" t="str">
        <f>("FLY ("&amp;FørsteBeregningsår&amp;")")</f>
        <v>FLY ()</v>
      </c>
      <c r="BE11" s="388" t="s">
        <v>1310</v>
      </c>
      <c r="BF11" s="306"/>
      <c r="BG11" s="306"/>
      <c r="BH11" s="387"/>
      <c r="BP11" s="102"/>
    </row>
    <row r="12" spans="1:68" x14ac:dyDescent="0.35">
      <c r="B12" s="220" t="s">
        <v>1311</v>
      </c>
      <c r="C12" s="40" t="s">
        <v>1036</v>
      </c>
      <c r="D12" s="40" t="s">
        <v>1037</v>
      </c>
      <c r="E12" s="40" t="s">
        <v>1038</v>
      </c>
      <c r="F12" s="390" t="s">
        <v>1312</v>
      </c>
      <c r="H12" s="220" t="s">
        <v>1311</v>
      </c>
      <c r="I12" s="40" t="s">
        <v>1036</v>
      </c>
      <c r="J12" s="40" t="s">
        <v>1037</v>
      </c>
      <c r="K12" s="40" t="s">
        <v>1038</v>
      </c>
      <c r="L12" s="390" t="s">
        <v>1312</v>
      </c>
      <c r="N12" s="220" t="s">
        <v>1311</v>
      </c>
      <c r="O12" s="40" t="s">
        <v>1036</v>
      </c>
      <c r="P12" s="40" t="s">
        <v>1037</v>
      </c>
      <c r="Q12" s="40" t="s">
        <v>1038</v>
      </c>
      <c r="R12" s="390" t="s">
        <v>1312</v>
      </c>
      <c r="T12" s="220" t="s">
        <v>1311</v>
      </c>
      <c r="U12" s="40" t="s">
        <v>1036</v>
      </c>
      <c r="V12" s="40" t="s">
        <v>1037</v>
      </c>
      <c r="W12" s="40" t="s">
        <v>1038</v>
      </c>
      <c r="X12" s="390" t="s">
        <v>1312</v>
      </c>
      <c r="Z12" s="220" t="s">
        <v>1311</v>
      </c>
      <c r="AA12" s="40" t="s">
        <v>1036</v>
      </c>
      <c r="AB12" s="40" t="s">
        <v>1037</v>
      </c>
      <c r="AC12" s="40" t="s">
        <v>1038</v>
      </c>
      <c r="AD12" s="390" t="s">
        <v>1312</v>
      </c>
      <c r="AF12" s="220" t="s">
        <v>1311</v>
      </c>
      <c r="AG12" s="40" t="s">
        <v>1036</v>
      </c>
      <c r="AH12" s="40" t="s">
        <v>1037</v>
      </c>
      <c r="AI12" s="40" t="s">
        <v>1038</v>
      </c>
      <c r="AJ12" s="390" t="s">
        <v>1312</v>
      </c>
      <c r="AL12" s="220" t="s">
        <v>1311</v>
      </c>
      <c r="AM12" s="40" t="s">
        <v>1036</v>
      </c>
      <c r="AN12" s="40" t="s">
        <v>1037</v>
      </c>
      <c r="AO12" s="40" t="s">
        <v>1038</v>
      </c>
      <c r="AP12" s="390" t="s">
        <v>1312</v>
      </c>
      <c r="AR12" s="220" t="s">
        <v>1311</v>
      </c>
      <c r="AS12" s="40" t="s">
        <v>1036</v>
      </c>
      <c r="AT12" s="40" t="s">
        <v>1037</v>
      </c>
      <c r="AU12" s="40" t="s">
        <v>1038</v>
      </c>
      <c r="AV12" s="390" t="s">
        <v>1312</v>
      </c>
      <c r="AX12" s="220" t="s">
        <v>1311</v>
      </c>
      <c r="AY12" s="40" t="s">
        <v>1036</v>
      </c>
      <c r="AZ12" s="40" t="s">
        <v>1037</v>
      </c>
      <c r="BA12" s="40" t="s">
        <v>1038</v>
      </c>
      <c r="BB12" s="390" t="s">
        <v>1312</v>
      </c>
      <c r="BD12" s="220" t="s">
        <v>1311</v>
      </c>
      <c r="BE12" s="40" t="s">
        <v>1036</v>
      </c>
      <c r="BF12" s="40" t="s">
        <v>1037</v>
      </c>
      <c r="BG12" s="40" t="s">
        <v>1038</v>
      </c>
      <c r="BH12" s="390" t="s">
        <v>1312</v>
      </c>
    </row>
    <row r="13" spans="1:68" x14ac:dyDescent="0.35">
      <c r="B13" s="218" t="s">
        <v>1313</v>
      </c>
      <c r="C13" s="83"/>
      <c r="D13" s="83"/>
      <c r="E13" s="727"/>
      <c r="F13" s="315"/>
      <c r="H13" s="218" t="s">
        <v>1313</v>
      </c>
      <c r="I13" s="83"/>
      <c r="J13" s="83"/>
      <c r="K13" s="727"/>
      <c r="L13" s="315"/>
      <c r="N13" s="218" t="s">
        <v>1313</v>
      </c>
      <c r="O13" s="83"/>
      <c r="P13" s="83"/>
      <c r="Q13" s="727"/>
      <c r="R13" s="315"/>
      <c r="T13" s="218" t="s">
        <v>1313</v>
      </c>
      <c r="U13" s="83"/>
      <c r="V13" s="83"/>
      <c r="W13" s="727"/>
      <c r="X13" s="315"/>
      <c r="Z13" s="218" t="s">
        <v>1313</v>
      </c>
      <c r="AA13" s="83"/>
      <c r="AB13" s="83"/>
      <c r="AC13" s="727"/>
      <c r="AD13" s="315"/>
      <c r="AF13" s="218" t="s">
        <v>1313</v>
      </c>
      <c r="AG13" s="83"/>
      <c r="AH13" s="83"/>
      <c r="AI13" s="727">
        <f>E13*AntallDøgn</f>
        <v>0</v>
      </c>
      <c r="AJ13" s="315"/>
      <c r="AL13" s="218" t="s">
        <v>1313</v>
      </c>
      <c r="AM13" s="83"/>
      <c r="AN13" s="83"/>
      <c r="AO13" s="727">
        <f>K13*AntallDøgn</f>
        <v>0</v>
      </c>
      <c r="AP13" s="315"/>
      <c r="AR13" s="218" t="s">
        <v>1313</v>
      </c>
      <c r="AS13" s="83"/>
      <c r="AT13" s="83"/>
      <c r="AU13" s="727">
        <f>Q13*AntallDøgn</f>
        <v>0</v>
      </c>
      <c r="AV13" s="315"/>
      <c r="AX13" s="218" t="s">
        <v>1313</v>
      </c>
      <c r="AY13" s="83"/>
      <c r="AZ13" s="83"/>
      <c r="BA13" s="727">
        <f>W13*AntallDøgn</f>
        <v>0</v>
      </c>
      <c r="BB13" s="315"/>
      <c r="BD13" s="218" t="s">
        <v>1313</v>
      </c>
      <c r="BE13" s="83"/>
      <c r="BF13" s="83"/>
      <c r="BG13" s="727">
        <f>AC13*AntallDøgn</f>
        <v>0</v>
      </c>
      <c r="BH13" s="315"/>
    </row>
    <row r="14" spans="1:68" x14ac:dyDescent="0.35">
      <c r="B14" s="218" t="s">
        <v>1314</v>
      </c>
      <c r="C14" s="83"/>
      <c r="D14" s="83"/>
      <c r="E14" s="727"/>
      <c r="F14" s="315"/>
      <c r="H14" s="218" t="s">
        <v>1314</v>
      </c>
      <c r="I14" s="83"/>
      <c r="J14" s="83"/>
      <c r="K14" s="727"/>
      <c r="L14" s="315"/>
      <c r="N14" s="218" t="s">
        <v>1314</v>
      </c>
      <c r="O14" s="83"/>
      <c r="P14" s="83"/>
      <c r="Q14" s="727"/>
      <c r="R14" s="315"/>
      <c r="T14" s="218" t="s">
        <v>1314</v>
      </c>
      <c r="U14" s="83"/>
      <c r="V14" s="83"/>
      <c r="W14" s="727"/>
      <c r="X14" s="315"/>
      <c r="Z14" s="218" t="s">
        <v>1314</v>
      </c>
      <c r="AA14" s="83"/>
      <c r="AB14" s="83"/>
      <c r="AC14" s="727"/>
      <c r="AD14" s="315"/>
      <c r="AF14" s="218" t="s">
        <v>1314</v>
      </c>
      <c r="AG14" s="83"/>
      <c r="AH14" s="83"/>
      <c r="AI14" s="727">
        <f>E14*AntallDøgn</f>
        <v>0</v>
      </c>
      <c r="AJ14" s="315"/>
      <c r="AL14" s="218" t="s">
        <v>1314</v>
      </c>
      <c r="AM14" s="83"/>
      <c r="AN14" s="83"/>
      <c r="AO14" s="727">
        <f>K14*AntallDøgn</f>
        <v>0</v>
      </c>
      <c r="AP14" s="315"/>
      <c r="AR14" s="218" t="s">
        <v>1314</v>
      </c>
      <c r="AS14" s="83"/>
      <c r="AT14" s="83"/>
      <c r="AU14" s="727">
        <f>Q14*AntallDøgn</f>
        <v>0</v>
      </c>
      <c r="AV14" s="315"/>
      <c r="AX14" s="218" t="s">
        <v>1314</v>
      </c>
      <c r="AY14" s="83"/>
      <c r="AZ14" s="83"/>
      <c r="BA14" s="727">
        <f>W14*AntallDøgn</f>
        <v>0</v>
      </c>
      <c r="BB14" s="315"/>
      <c r="BD14" s="218" t="s">
        <v>1314</v>
      </c>
      <c r="BE14" s="83"/>
      <c r="BF14" s="83"/>
      <c r="BG14" s="727">
        <f>AC14*AntallDøgn</f>
        <v>0</v>
      </c>
      <c r="BH14" s="315"/>
    </row>
    <row r="15" spans="1:68" x14ac:dyDescent="0.35">
      <c r="B15" s="218" t="s">
        <v>594</v>
      </c>
      <c r="C15" s="83"/>
      <c r="D15" s="83"/>
      <c r="E15" s="727"/>
      <c r="F15" s="315"/>
      <c r="H15" s="218" t="s">
        <v>594</v>
      </c>
      <c r="I15" s="83"/>
      <c r="J15" s="83"/>
      <c r="K15" s="727"/>
      <c r="L15" s="315"/>
      <c r="N15" s="218" t="s">
        <v>594</v>
      </c>
      <c r="O15" s="83"/>
      <c r="P15" s="83"/>
      <c r="Q15" s="727"/>
      <c r="R15" s="315"/>
      <c r="T15" s="218" t="s">
        <v>594</v>
      </c>
      <c r="U15" s="83"/>
      <c r="V15" s="83"/>
      <c r="W15" s="727"/>
      <c r="X15" s="315"/>
      <c r="Z15" s="218" t="s">
        <v>594</v>
      </c>
      <c r="AA15" s="83"/>
      <c r="AB15" s="83"/>
      <c r="AC15" s="727"/>
      <c r="AD15" s="315"/>
      <c r="AF15" s="218" t="s">
        <v>594</v>
      </c>
      <c r="AG15" s="83"/>
      <c r="AH15" s="83"/>
      <c r="AI15" s="727">
        <f>E15*AntallDøgn</f>
        <v>0</v>
      </c>
      <c r="AJ15" s="315"/>
      <c r="AL15" s="218" t="s">
        <v>594</v>
      </c>
      <c r="AM15" s="83"/>
      <c r="AN15" s="83"/>
      <c r="AO15" s="727">
        <f>K15*AntallDøgn</f>
        <v>0</v>
      </c>
      <c r="AP15" s="315"/>
      <c r="AR15" s="218" t="s">
        <v>594</v>
      </c>
      <c r="AS15" s="83"/>
      <c r="AT15" s="83"/>
      <c r="AU15" s="727">
        <f>Q15*AntallDøgn</f>
        <v>0</v>
      </c>
      <c r="AV15" s="315"/>
      <c r="AX15" s="218" t="s">
        <v>594</v>
      </c>
      <c r="AY15" s="83"/>
      <c r="AZ15" s="83"/>
      <c r="BA15" s="727">
        <f>W15*AntallDøgn</f>
        <v>0</v>
      </c>
      <c r="BB15" s="315"/>
      <c r="BD15" s="218" t="s">
        <v>594</v>
      </c>
      <c r="BE15" s="83"/>
      <c r="BF15" s="83"/>
      <c r="BG15" s="727">
        <f>AC15*AntallDøgn</f>
        <v>0</v>
      </c>
      <c r="BH15" s="315"/>
    </row>
    <row r="16" spans="1:68" x14ac:dyDescent="0.35">
      <c r="B16" s="220" t="s">
        <v>1315</v>
      </c>
      <c r="C16" s="391"/>
      <c r="D16" s="391"/>
      <c r="E16" s="391"/>
      <c r="F16" s="392"/>
      <c r="H16" s="220" t="s">
        <v>1315</v>
      </c>
      <c r="I16" s="391"/>
      <c r="J16" s="391"/>
      <c r="K16" s="391"/>
      <c r="L16" s="392"/>
      <c r="N16" s="220" t="s">
        <v>1315</v>
      </c>
      <c r="O16" s="391"/>
      <c r="P16" s="391"/>
      <c r="Q16" s="391"/>
      <c r="R16" s="392"/>
      <c r="T16" s="220" t="s">
        <v>1315</v>
      </c>
      <c r="U16" s="391"/>
      <c r="V16" s="391"/>
      <c r="W16" s="391"/>
      <c r="X16" s="392"/>
      <c r="Z16" s="220" t="s">
        <v>1315</v>
      </c>
      <c r="AA16" s="391"/>
      <c r="AB16" s="391"/>
      <c r="AC16" s="391"/>
      <c r="AD16" s="392"/>
      <c r="AF16" s="220" t="s">
        <v>1315</v>
      </c>
      <c r="AG16" s="391"/>
      <c r="AH16" s="391"/>
      <c r="AI16" s="391"/>
      <c r="AJ16" s="392"/>
      <c r="AL16" s="220" t="s">
        <v>1315</v>
      </c>
      <c r="AM16" s="391"/>
      <c r="AN16" s="391"/>
      <c r="AO16" s="391"/>
      <c r="AP16" s="392"/>
      <c r="AR16" s="220" t="s">
        <v>1315</v>
      </c>
      <c r="AS16" s="391"/>
      <c r="AT16" s="391"/>
      <c r="AU16" s="391"/>
      <c r="AV16" s="392"/>
      <c r="AX16" s="220" t="s">
        <v>1315</v>
      </c>
      <c r="AY16" s="391"/>
      <c r="AZ16" s="391"/>
      <c r="BA16" s="391"/>
      <c r="BB16" s="392"/>
      <c r="BD16" s="220" t="s">
        <v>1315</v>
      </c>
      <c r="BE16" s="391"/>
      <c r="BF16" s="391"/>
      <c r="BG16" s="391"/>
      <c r="BH16" s="392"/>
    </row>
    <row r="17" spans="2:60" x14ac:dyDescent="0.35">
      <c r="B17" s="218" t="s">
        <v>1316</v>
      </c>
      <c r="C17" s="727"/>
      <c r="D17" s="727"/>
      <c r="E17" s="727"/>
      <c r="F17" s="728"/>
      <c r="H17" s="218" t="s">
        <v>1316</v>
      </c>
      <c r="I17" s="727"/>
      <c r="J17" s="727"/>
      <c r="K17" s="727"/>
      <c r="L17" s="730"/>
      <c r="N17" s="218" t="s">
        <v>1316</v>
      </c>
      <c r="O17" s="727"/>
      <c r="P17" s="727"/>
      <c r="Q17" s="727"/>
      <c r="R17" s="729"/>
      <c r="T17" s="218" t="s">
        <v>1316</v>
      </c>
      <c r="U17" s="727"/>
      <c r="V17" s="727"/>
      <c r="W17" s="727"/>
      <c r="X17" s="728"/>
      <c r="Z17" s="218" t="s">
        <v>1316</v>
      </c>
      <c r="AA17" s="727"/>
      <c r="AB17" s="727"/>
      <c r="AC17" s="727"/>
      <c r="AD17" s="728"/>
      <c r="AF17" s="218" t="s">
        <v>1316</v>
      </c>
      <c r="AG17" s="727">
        <f t="shared" ref="AG17:AI21" si="0">C17*AntallDøgn</f>
        <v>0</v>
      </c>
      <c r="AH17" s="727">
        <f t="shared" si="0"/>
        <v>0</v>
      </c>
      <c r="AI17" s="727">
        <f t="shared" si="0"/>
        <v>0</v>
      </c>
      <c r="AJ17" s="728">
        <f>IFERROR(AI17/AG17,0)</f>
        <v>0</v>
      </c>
      <c r="AL17" s="218" t="s">
        <v>1316</v>
      </c>
      <c r="AM17" s="727">
        <f t="shared" ref="AM17:AO21" si="1">I17*AntallDøgn</f>
        <v>0</v>
      </c>
      <c r="AN17" s="727">
        <f t="shared" si="1"/>
        <v>0</v>
      </c>
      <c r="AO17" s="727">
        <f t="shared" si="1"/>
        <v>0</v>
      </c>
      <c r="AP17" s="728">
        <f>IFERROR(AO17/AM17,0)</f>
        <v>0</v>
      </c>
      <c r="AR17" s="218" t="s">
        <v>1316</v>
      </c>
      <c r="AS17" s="727">
        <f t="shared" ref="AS17:AT20" si="2">O17*AntallDøgn</f>
        <v>0</v>
      </c>
      <c r="AT17" s="727">
        <f t="shared" si="2"/>
        <v>0</v>
      </c>
      <c r="AU17" s="727">
        <f>IF(Q17="",-(AI17+AO17)*OverførtTrafikk_Bil,Q17*AntallDøgn)</f>
        <v>0</v>
      </c>
      <c r="AV17" s="728">
        <f>IFERROR(AU17/AS17,0)</f>
        <v>0</v>
      </c>
      <c r="AX17" s="218" t="s">
        <v>1316</v>
      </c>
      <c r="AY17" s="727">
        <f t="shared" ref="AY17:AZ21" si="3">U17*AntallDøgn</f>
        <v>0</v>
      </c>
      <c r="AZ17" s="727">
        <f t="shared" si="3"/>
        <v>0</v>
      </c>
      <c r="BA17" s="727">
        <f>IF(W17="",-(AI17+AO17)*OverførtTrafikk_Buss,W17*AntallDøgn)</f>
        <v>0</v>
      </c>
      <c r="BB17" s="728">
        <f>IFERROR(BA17/AY17,0)</f>
        <v>0</v>
      </c>
      <c r="BD17" s="218" t="s">
        <v>1316</v>
      </c>
      <c r="BE17" s="727">
        <f t="shared" ref="BE17:BF20" si="4">AA17*AntallDøgn</f>
        <v>0</v>
      </c>
      <c r="BF17" s="727">
        <f t="shared" si="4"/>
        <v>0</v>
      </c>
      <c r="BG17" s="727">
        <f>IF(AC17="",-(AI17+AO17)*OverførtTrafikk_Fly,AC17*AntallDøgn)</f>
        <v>0</v>
      </c>
      <c r="BH17" s="728">
        <f>IFERROR(BG17/BE17,0)</f>
        <v>0</v>
      </c>
    </row>
    <row r="18" spans="2:60" x14ac:dyDescent="0.35">
      <c r="B18" s="218" t="s">
        <v>1317</v>
      </c>
      <c r="C18" s="727"/>
      <c r="D18" s="727"/>
      <c r="E18" s="727"/>
      <c r="F18" s="728"/>
      <c r="H18" s="218" t="s">
        <v>1317</v>
      </c>
      <c r="I18" s="727"/>
      <c r="J18" s="727"/>
      <c r="K18" s="727"/>
      <c r="L18" s="730"/>
      <c r="N18" s="218" t="s">
        <v>1317</v>
      </c>
      <c r="O18" s="727"/>
      <c r="P18" s="727"/>
      <c r="Q18" s="727"/>
      <c r="R18" s="729"/>
      <c r="T18" s="218" t="s">
        <v>1317</v>
      </c>
      <c r="U18" s="727"/>
      <c r="V18" s="727"/>
      <c r="W18" s="727"/>
      <c r="X18" s="728"/>
      <c r="Z18" s="218" t="s">
        <v>1317</v>
      </c>
      <c r="AA18" s="727"/>
      <c r="AB18" s="727"/>
      <c r="AC18" s="727"/>
      <c r="AD18" s="728"/>
      <c r="AF18" s="218" t="s">
        <v>1317</v>
      </c>
      <c r="AG18" s="727">
        <f t="shared" si="0"/>
        <v>0</v>
      </c>
      <c r="AH18" s="727">
        <f t="shared" si="0"/>
        <v>0</v>
      </c>
      <c r="AI18" s="727">
        <f t="shared" si="0"/>
        <v>0</v>
      </c>
      <c r="AJ18" s="728">
        <f t="shared" ref="AJ18:AJ38" si="5">IFERROR(AI18/AG18,0)</f>
        <v>0</v>
      </c>
      <c r="AL18" s="218" t="s">
        <v>1317</v>
      </c>
      <c r="AM18" s="727">
        <f t="shared" si="1"/>
        <v>0</v>
      </c>
      <c r="AN18" s="727">
        <f t="shared" si="1"/>
        <v>0</v>
      </c>
      <c r="AO18" s="727">
        <f t="shared" si="1"/>
        <v>0</v>
      </c>
      <c r="AP18" s="728">
        <f t="shared" ref="AP18:AP19" si="6">IFERROR(AO18/AM18,0)</f>
        <v>0</v>
      </c>
      <c r="AR18" s="218" t="s">
        <v>1317</v>
      </c>
      <c r="AS18" s="727">
        <f t="shared" si="2"/>
        <v>0</v>
      </c>
      <c r="AT18" s="727">
        <f t="shared" si="2"/>
        <v>0</v>
      </c>
      <c r="AU18" s="727">
        <f>IF(Q18="",-(AI18+AO18)*OverførtTrafikk_Bil,Q18*AntallDøgn)</f>
        <v>0</v>
      </c>
      <c r="AV18" s="728">
        <f>IFERROR(AU18/AS18,0)</f>
        <v>0</v>
      </c>
      <c r="AX18" s="218" t="s">
        <v>1317</v>
      </c>
      <c r="AY18" s="727">
        <f t="shared" si="3"/>
        <v>0</v>
      </c>
      <c r="AZ18" s="727">
        <f t="shared" si="3"/>
        <v>0</v>
      </c>
      <c r="BA18" s="727">
        <f>IF(W18="",-(AI18+AO18)*OverførtTrafikk_Buss,W18*AntallDøgn)</f>
        <v>0</v>
      </c>
      <c r="BB18" s="728">
        <f>IFERROR(BA18/AY18,0)</f>
        <v>0</v>
      </c>
      <c r="BD18" s="218" t="s">
        <v>1317</v>
      </c>
      <c r="BE18" s="727">
        <f t="shared" si="4"/>
        <v>0</v>
      </c>
      <c r="BF18" s="727">
        <f t="shared" si="4"/>
        <v>0</v>
      </c>
      <c r="BG18" s="727">
        <f>IF(AC18="",-(AI18+AO19)*OverførtTrafikk_Fly,AC18*AntallDøgn)</f>
        <v>0</v>
      </c>
      <c r="BH18" s="728">
        <f>IFERROR(BG18/BE18,0)</f>
        <v>0</v>
      </c>
    </row>
    <row r="19" spans="2:60" x14ac:dyDescent="0.35">
      <c r="B19" s="218" t="s">
        <v>1318</v>
      </c>
      <c r="C19" s="727"/>
      <c r="D19" s="727"/>
      <c r="E19" s="727"/>
      <c r="F19" s="728"/>
      <c r="H19" s="218" t="s">
        <v>1318</v>
      </c>
      <c r="I19" s="727"/>
      <c r="J19" s="727"/>
      <c r="K19" s="727"/>
      <c r="L19" s="730"/>
      <c r="N19" s="218" t="s">
        <v>1318</v>
      </c>
      <c r="O19" s="727"/>
      <c r="P19" s="727"/>
      <c r="Q19" s="727"/>
      <c r="R19" s="729"/>
      <c r="T19" s="218" t="s">
        <v>1318</v>
      </c>
      <c r="U19" s="727"/>
      <c r="V19" s="727"/>
      <c r="W19" s="727"/>
      <c r="X19" s="728"/>
      <c r="Z19" s="218" t="s">
        <v>1318</v>
      </c>
      <c r="AA19" s="727"/>
      <c r="AB19" s="727"/>
      <c r="AC19" s="727"/>
      <c r="AD19" s="728"/>
      <c r="AF19" s="218" t="s">
        <v>1318</v>
      </c>
      <c r="AG19" s="727">
        <f t="shared" si="0"/>
        <v>0</v>
      </c>
      <c r="AH19" s="727">
        <f t="shared" si="0"/>
        <v>0</v>
      </c>
      <c r="AI19" s="727">
        <f t="shared" si="0"/>
        <v>0</v>
      </c>
      <c r="AJ19" s="728">
        <f t="shared" si="5"/>
        <v>0</v>
      </c>
      <c r="AL19" s="218" t="s">
        <v>1318</v>
      </c>
      <c r="AM19" s="727">
        <f t="shared" si="1"/>
        <v>0</v>
      </c>
      <c r="AN19" s="727">
        <f t="shared" si="1"/>
        <v>0</v>
      </c>
      <c r="AO19" s="727">
        <f t="shared" si="1"/>
        <v>0</v>
      </c>
      <c r="AP19" s="728">
        <f t="shared" si="6"/>
        <v>0</v>
      </c>
      <c r="AR19" s="218" t="s">
        <v>1318</v>
      </c>
      <c r="AS19" s="727">
        <f t="shared" si="2"/>
        <v>0</v>
      </c>
      <c r="AT19" s="727">
        <f t="shared" si="2"/>
        <v>0</v>
      </c>
      <c r="AU19" s="727">
        <f>IF(Q19="",-(AI19+AO19)*OverførtTrafikk_Bil,Q19*AntallDøgn)</f>
        <v>0</v>
      </c>
      <c r="AV19" s="728">
        <f>IFERROR(AU19/AS19,0)</f>
        <v>0</v>
      </c>
      <c r="AX19" s="218" t="s">
        <v>1318</v>
      </c>
      <c r="AY19" s="727">
        <f t="shared" si="3"/>
        <v>0</v>
      </c>
      <c r="AZ19" s="727">
        <f t="shared" si="3"/>
        <v>0</v>
      </c>
      <c r="BA19" s="727">
        <f>IF(W19="",-(AI19+AO19)*OverførtTrafikk_Buss,W19*AntallDøgn)</f>
        <v>0</v>
      </c>
      <c r="BB19" s="728">
        <f>IFERROR(BA19/AY19,0)</f>
        <v>0</v>
      </c>
      <c r="BD19" s="218" t="s">
        <v>1318</v>
      </c>
      <c r="BE19" s="727">
        <f t="shared" si="4"/>
        <v>0</v>
      </c>
      <c r="BF19" s="727">
        <f t="shared" si="4"/>
        <v>0</v>
      </c>
      <c r="BG19" s="727">
        <f>IF(AC19="",-(AI19+AO19)*OverførtTrafikk_Fly,AC19*AntallDøgn)</f>
        <v>0</v>
      </c>
      <c r="BH19" s="728">
        <f>IFERROR(BG19/BE19,0)</f>
        <v>0</v>
      </c>
    </row>
    <row r="20" spans="2:60" x14ac:dyDescent="0.35">
      <c r="B20" s="218" t="s">
        <v>594</v>
      </c>
      <c r="C20" s="727"/>
      <c r="D20" s="727"/>
      <c r="E20" s="727"/>
      <c r="F20" s="728"/>
      <c r="H20" s="218" t="s">
        <v>594</v>
      </c>
      <c r="I20" s="727"/>
      <c r="J20" s="727"/>
      <c r="K20" s="727"/>
      <c r="L20" s="730"/>
      <c r="N20" s="218" t="s">
        <v>594</v>
      </c>
      <c r="O20" s="727"/>
      <c r="P20" s="727"/>
      <c r="Q20" s="727"/>
      <c r="R20" s="729"/>
      <c r="T20" s="218" t="s">
        <v>594</v>
      </c>
      <c r="U20" s="727"/>
      <c r="V20" s="727"/>
      <c r="W20" s="727"/>
      <c r="X20" s="728"/>
      <c r="Z20" s="218" t="s">
        <v>594</v>
      </c>
      <c r="AA20" s="727"/>
      <c r="AB20" s="727"/>
      <c r="AC20" s="727"/>
      <c r="AD20" s="728"/>
      <c r="AF20" s="218" t="s">
        <v>594</v>
      </c>
      <c r="AG20" s="727">
        <f t="shared" si="0"/>
        <v>0</v>
      </c>
      <c r="AH20" s="727">
        <f t="shared" si="0"/>
        <v>0</v>
      </c>
      <c r="AI20" s="727">
        <f t="shared" si="0"/>
        <v>0</v>
      </c>
      <c r="AJ20" s="728">
        <f>IFERROR(AI20/AG20,0)</f>
        <v>0</v>
      </c>
      <c r="AL20" s="218" t="s">
        <v>594</v>
      </c>
      <c r="AM20" s="727">
        <f t="shared" si="1"/>
        <v>0</v>
      </c>
      <c r="AN20" s="727">
        <f t="shared" si="1"/>
        <v>0</v>
      </c>
      <c r="AO20" s="727">
        <f t="shared" si="1"/>
        <v>0</v>
      </c>
      <c r="AP20" s="728">
        <f>IFERROR(AO20/AM20,0)</f>
        <v>0</v>
      </c>
      <c r="AR20" s="218" t="s">
        <v>594</v>
      </c>
      <c r="AS20" s="727">
        <f t="shared" si="2"/>
        <v>0</v>
      </c>
      <c r="AT20" s="727">
        <f t="shared" si="2"/>
        <v>0</v>
      </c>
      <c r="AU20" s="727">
        <f>IF(Q20="",-(AI20+AO20)*OverførtTrafikk_Bil,Q20*AntallDøgn)</f>
        <v>0</v>
      </c>
      <c r="AV20" s="728">
        <f>IFERROR(AU20/AS20,0)</f>
        <v>0</v>
      </c>
      <c r="AX20" s="218" t="s">
        <v>594</v>
      </c>
      <c r="AY20" s="727">
        <f t="shared" si="3"/>
        <v>0</v>
      </c>
      <c r="AZ20" s="727">
        <f t="shared" si="3"/>
        <v>0</v>
      </c>
      <c r="BA20" s="727">
        <f>IF(W20="",-(AI20+AO20)*OverførtTrafikk_Buss,W20*AntallDøgn)</f>
        <v>0</v>
      </c>
      <c r="BB20" s="728">
        <f>IFERROR(BA20/AY20,0)</f>
        <v>0</v>
      </c>
      <c r="BD20" s="218" t="s">
        <v>594</v>
      </c>
      <c r="BE20" s="727">
        <f t="shared" si="4"/>
        <v>0</v>
      </c>
      <c r="BF20" s="727">
        <f t="shared" si="4"/>
        <v>0</v>
      </c>
      <c r="BG20" s="727">
        <f>IF(AC20="",-(AI20+AO20)*OverførtTrafikk_Fly,AC20*AntallDøgn)</f>
        <v>0</v>
      </c>
      <c r="BH20" s="728">
        <f>IFERROR(BG20/BE20,0)</f>
        <v>0</v>
      </c>
    </row>
    <row r="21" spans="2:60" x14ac:dyDescent="0.35">
      <c r="B21" s="314" t="s">
        <v>1319</v>
      </c>
      <c r="C21" s="727"/>
      <c r="D21" s="727"/>
      <c r="E21" s="727"/>
      <c r="F21" s="728"/>
      <c r="H21" s="314" t="s">
        <v>1319</v>
      </c>
      <c r="I21" s="727"/>
      <c r="J21" s="727"/>
      <c r="K21" s="727"/>
      <c r="L21" s="730"/>
      <c r="N21" s="218"/>
      <c r="O21" s="83"/>
      <c r="P21" s="83"/>
      <c r="Q21" s="83"/>
      <c r="R21" s="315"/>
      <c r="T21" s="314" t="s">
        <v>1319</v>
      </c>
      <c r="U21" s="727"/>
      <c r="V21" s="727"/>
      <c r="W21" s="727"/>
      <c r="X21" s="728"/>
      <c r="Z21" s="218"/>
      <c r="AA21" s="83"/>
      <c r="AB21" s="83"/>
      <c r="AC21" s="83"/>
      <c r="AD21" s="315"/>
      <c r="AF21" s="314" t="s">
        <v>1319</v>
      </c>
      <c r="AG21" s="727">
        <f t="shared" si="0"/>
        <v>0</v>
      </c>
      <c r="AH21" s="727">
        <f t="shared" si="0"/>
        <v>0</v>
      </c>
      <c r="AI21" s="727">
        <f t="shared" si="0"/>
        <v>0</v>
      </c>
      <c r="AJ21" s="728">
        <f t="shared" si="5"/>
        <v>0</v>
      </c>
      <c r="AL21" s="314" t="s">
        <v>1319</v>
      </c>
      <c r="AM21" s="727">
        <f t="shared" si="1"/>
        <v>0</v>
      </c>
      <c r="AN21" s="727">
        <f t="shared" si="1"/>
        <v>0</v>
      </c>
      <c r="AO21" s="727">
        <f t="shared" si="1"/>
        <v>0</v>
      </c>
      <c r="AP21" s="728">
        <f t="shared" ref="AP21" si="7">IFERROR(AO21/AM21,0)</f>
        <v>0</v>
      </c>
      <c r="AR21" s="314"/>
      <c r="AS21" s="83"/>
      <c r="AT21" s="83"/>
      <c r="AU21" s="83"/>
      <c r="AV21" s="315"/>
      <c r="AX21" s="314" t="s">
        <v>1319</v>
      </c>
      <c r="AY21" s="727">
        <f t="shared" si="3"/>
        <v>0</v>
      </c>
      <c r="AZ21" s="727">
        <f t="shared" si="3"/>
        <v>0</v>
      </c>
      <c r="BA21" s="727">
        <f>IF(W21="",-(AI21+AO21)*OverførtTrafikk_Buss,W21*AntallDøgn)</f>
        <v>0</v>
      </c>
      <c r="BB21" s="728">
        <f>IFERROR(BA21/AY21,0)</f>
        <v>0</v>
      </c>
      <c r="BD21" s="218"/>
      <c r="BE21" s="83"/>
      <c r="BF21" s="83"/>
      <c r="BG21" s="83"/>
      <c r="BH21" s="315"/>
    </row>
    <row r="22" spans="2:60" x14ac:dyDescent="0.35">
      <c r="B22" s="218"/>
      <c r="C22" s="83"/>
      <c r="D22" s="83"/>
      <c r="E22" s="83"/>
      <c r="F22" s="315"/>
      <c r="H22" s="218"/>
      <c r="I22" s="83"/>
      <c r="J22" s="83"/>
      <c r="K22" s="83"/>
      <c r="L22" s="315"/>
      <c r="N22" s="218"/>
      <c r="O22" s="83"/>
      <c r="P22" s="83"/>
      <c r="Q22" s="83"/>
      <c r="R22" s="315"/>
      <c r="T22" s="218"/>
      <c r="U22" s="83"/>
      <c r="V22" s="83"/>
      <c r="W22" s="83"/>
      <c r="X22" s="315"/>
      <c r="Z22" s="218"/>
      <c r="AA22" s="83"/>
      <c r="AB22" s="83"/>
      <c r="AC22" s="83"/>
      <c r="AD22" s="315"/>
      <c r="AF22" s="218"/>
      <c r="AG22" s="83" t="s">
        <v>884</v>
      </c>
      <c r="AH22" s="83" t="s">
        <v>884</v>
      </c>
      <c r="AI22" s="83" t="s">
        <v>884</v>
      </c>
      <c r="AJ22" s="315"/>
      <c r="AL22" s="218"/>
      <c r="AM22" s="83" t="s">
        <v>884</v>
      </c>
      <c r="AN22" s="83" t="s">
        <v>884</v>
      </c>
      <c r="AO22" s="83" t="s">
        <v>884</v>
      </c>
      <c r="AP22" s="315"/>
      <c r="AR22" s="314"/>
      <c r="AS22" s="83"/>
      <c r="AT22" s="83"/>
      <c r="AU22" s="83"/>
      <c r="AV22" s="315"/>
      <c r="AX22" s="218"/>
      <c r="AY22" s="83"/>
      <c r="AZ22" s="83"/>
      <c r="BA22" s="83"/>
      <c r="BB22" s="315"/>
      <c r="BD22" s="218"/>
      <c r="BE22" s="83"/>
      <c r="BF22" s="83"/>
      <c r="BG22" s="83"/>
      <c r="BH22" s="315"/>
    </row>
    <row r="23" spans="2:60" x14ac:dyDescent="0.35">
      <c r="B23" s="314" t="s">
        <v>1320</v>
      </c>
      <c r="C23" s="727"/>
      <c r="D23" s="727"/>
      <c r="E23" s="727"/>
      <c r="F23" s="728"/>
      <c r="H23" s="314" t="s">
        <v>1320</v>
      </c>
      <c r="I23" s="727"/>
      <c r="J23" s="727"/>
      <c r="K23" s="727"/>
      <c r="L23" s="730"/>
      <c r="N23" s="314"/>
      <c r="O23" s="83"/>
      <c r="P23" s="83"/>
      <c r="Q23" s="83"/>
      <c r="R23" s="315"/>
      <c r="T23" s="314" t="s">
        <v>1320</v>
      </c>
      <c r="U23" s="727"/>
      <c r="V23" s="727"/>
      <c r="W23" s="727"/>
      <c r="X23" s="728"/>
      <c r="Z23" s="218"/>
      <c r="AA23" s="83"/>
      <c r="AB23" s="83"/>
      <c r="AC23" s="83"/>
      <c r="AD23" s="315"/>
      <c r="AF23" s="314" t="s">
        <v>1320</v>
      </c>
      <c r="AG23" s="727">
        <f>C23*AntallDøgn/(1+Moms_Billett)</f>
        <v>0</v>
      </c>
      <c r="AH23" s="727">
        <f>D23*AntallDøgn/(1+Moms_Billett)</f>
        <v>0</v>
      </c>
      <c r="AI23" s="727">
        <f>E23*AntallDøgn/(1+Moms_Billett)</f>
        <v>0</v>
      </c>
      <c r="AJ23" s="728">
        <f>IFERROR(AI23/AG23,0)</f>
        <v>0</v>
      </c>
      <c r="AL23" s="314" t="s">
        <v>1320</v>
      </c>
      <c r="AM23" s="727">
        <f>I23*AntallDøgn/(1+Moms_Billett)</f>
        <v>0</v>
      </c>
      <c r="AN23" s="727">
        <f>J23*AntallDøgn/(1+Moms_Billett)</f>
        <v>0</v>
      </c>
      <c r="AO23" s="727">
        <f>K23*AntallDøgn/(1+Moms_Billett)</f>
        <v>0</v>
      </c>
      <c r="AP23" s="728">
        <f>IFERROR(AO23/AM23,0)</f>
        <v>0</v>
      </c>
      <c r="AR23" s="314"/>
      <c r="AS23" s="83"/>
      <c r="AT23" s="83"/>
      <c r="AU23" s="83"/>
      <c r="AV23" s="315"/>
      <c r="AX23" s="314" t="s">
        <v>1320</v>
      </c>
      <c r="AY23" s="727">
        <f>IF(U23="",0,U23*AntallDøgn/(1+Moms_Billett))</f>
        <v>0</v>
      </c>
      <c r="AZ23" s="727">
        <f>IF(V23="",0,V23*AntallDøgn/(1+Moms_Billett))</f>
        <v>0</v>
      </c>
      <c r="BA23" s="727">
        <f>IF(W23="",0,W23*AntallDøgn/(1+Moms_Billett))</f>
        <v>0</v>
      </c>
      <c r="BB23" s="728">
        <f>IFERROR(BA23/AY23,0)</f>
        <v>0</v>
      </c>
      <c r="BD23" s="218"/>
      <c r="BE23" s="83"/>
      <c r="BF23" s="83"/>
      <c r="BG23" s="83"/>
      <c r="BH23" s="315"/>
    </row>
    <row r="24" spans="2:60" x14ac:dyDescent="0.35">
      <c r="B24" s="218"/>
      <c r="C24" s="83"/>
      <c r="D24" s="83"/>
      <c r="E24" s="83"/>
      <c r="F24" s="315"/>
      <c r="H24" s="218"/>
      <c r="I24" s="83"/>
      <c r="J24" s="83"/>
      <c r="K24" s="83"/>
      <c r="L24" s="315"/>
      <c r="N24" s="218"/>
      <c r="O24" s="83"/>
      <c r="P24" s="83"/>
      <c r="Q24" s="83"/>
      <c r="R24" s="315"/>
      <c r="T24" s="218"/>
      <c r="U24" s="83"/>
      <c r="V24" s="83"/>
      <c r="W24" s="83"/>
      <c r="X24" s="393"/>
      <c r="Z24" s="218"/>
      <c r="AA24" s="83"/>
      <c r="AB24" s="83"/>
      <c r="AC24" s="83"/>
      <c r="AD24" s="315"/>
      <c r="AF24" s="218"/>
      <c r="AG24" s="83" t="s">
        <v>884</v>
      </c>
      <c r="AH24" s="83" t="s">
        <v>884</v>
      </c>
      <c r="AI24" s="83" t="s">
        <v>884</v>
      </c>
      <c r="AJ24" s="315"/>
      <c r="AL24" s="218"/>
      <c r="AM24" s="83" t="s">
        <v>884</v>
      </c>
      <c r="AN24" s="83" t="s">
        <v>884</v>
      </c>
      <c r="AO24" s="83" t="s">
        <v>884</v>
      </c>
      <c r="AP24" s="315"/>
      <c r="AR24" s="218"/>
      <c r="AS24" s="83"/>
      <c r="AT24" s="83"/>
      <c r="AU24" s="83"/>
      <c r="AV24" s="315"/>
      <c r="AX24" s="218"/>
      <c r="AY24" s="83"/>
      <c r="AZ24" s="83"/>
      <c r="BA24" s="83"/>
      <c r="BB24" s="315"/>
      <c r="BD24" s="218"/>
      <c r="BE24" s="83"/>
      <c r="BF24" s="83"/>
      <c r="BG24" s="83"/>
      <c r="BH24" s="315"/>
    </row>
    <row r="25" spans="2:60" x14ac:dyDescent="0.35">
      <c r="B25" s="220" t="s">
        <v>1321</v>
      </c>
      <c r="C25" s="95"/>
      <c r="D25" s="95"/>
      <c r="E25" s="95"/>
      <c r="F25" s="394"/>
      <c r="H25" s="220" t="s">
        <v>1321</v>
      </c>
      <c r="I25" s="95"/>
      <c r="J25" s="95"/>
      <c r="K25" s="95"/>
      <c r="L25" s="394"/>
      <c r="N25" s="220" t="s">
        <v>1322</v>
      </c>
      <c r="O25" s="95"/>
      <c r="P25" s="95"/>
      <c r="Q25" s="95"/>
      <c r="R25" s="394"/>
      <c r="T25" s="220" t="s">
        <v>1321</v>
      </c>
      <c r="U25" s="95"/>
      <c r="V25" s="95"/>
      <c r="W25" s="95"/>
      <c r="X25" s="394"/>
      <c r="Z25" s="220" t="s">
        <v>1321</v>
      </c>
      <c r="AA25" s="95"/>
      <c r="AB25" s="95"/>
      <c r="AC25" s="95"/>
      <c r="AD25" s="394"/>
      <c r="AF25" s="220" t="s">
        <v>1321</v>
      </c>
      <c r="AG25" s="391"/>
      <c r="AH25" s="391"/>
      <c r="AI25" s="391"/>
      <c r="AJ25" s="392"/>
      <c r="AL25" s="220" t="s">
        <v>1321</v>
      </c>
      <c r="AM25" s="391"/>
      <c r="AN25" s="391"/>
      <c r="AO25" s="391"/>
      <c r="AP25" s="392"/>
      <c r="AR25" s="220" t="s">
        <v>1322</v>
      </c>
      <c r="AS25" s="95"/>
      <c r="AT25" s="95"/>
      <c r="AU25" s="95"/>
      <c r="AV25" s="394"/>
      <c r="AX25" s="220" t="s">
        <v>1321</v>
      </c>
      <c r="AY25" s="95"/>
      <c r="AZ25" s="95"/>
      <c r="BA25" s="95"/>
      <c r="BB25" s="394"/>
      <c r="BD25" s="220" t="s">
        <v>1321</v>
      </c>
      <c r="BE25" s="95"/>
      <c r="BF25" s="95"/>
      <c r="BG25" s="95"/>
      <c r="BH25" s="394"/>
    </row>
    <row r="26" spans="2:60" x14ac:dyDescent="0.35">
      <c r="B26" s="218" t="s">
        <v>1323</v>
      </c>
      <c r="C26" s="727"/>
      <c r="D26" s="727"/>
      <c r="E26" s="727"/>
      <c r="F26" s="730"/>
      <c r="H26" s="218" t="s">
        <v>1323</v>
      </c>
      <c r="I26" s="727"/>
      <c r="J26" s="727"/>
      <c r="K26" s="727"/>
      <c r="L26" s="730"/>
      <c r="N26" s="218" t="s">
        <v>1323</v>
      </c>
      <c r="O26" s="727"/>
      <c r="P26" s="727"/>
      <c r="Q26" s="727"/>
      <c r="R26" s="728"/>
      <c r="T26" s="218" t="s">
        <v>1323</v>
      </c>
      <c r="U26" s="727"/>
      <c r="V26" s="727"/>
      <c r="W26" s="727"/>
      <c r="X26" s="728"/>
      <c r="Z26" s="218" t="s">
        <v>1323</v>
      </c>
      <c r="AA26" s="727"/>
      <c r="AB26" s="727"/>
      <c r="AC26" s="727"/>
      <c r="AD26" s="728"/>
      <c r="AF26" s="218" t="s">
        <v>1323</v>
      </c>
      <c r="AG26" s="727">
        <f t="shared" ref="AG26:AI29" si="8">C26*AntallDøgn</f>
        <v>0</v>
      </c>
      <c r="AH26" s="727">
        <f t="shared" si="8"/>
        <v>0</v>
      </c>
      <c r="AI26" s="727">
        <f t="shared" si="8"/>
        <v>0</v>
      </c>
      <c r="AJ26" s="728">
        <f t="shared" si="5"/>
        <v>0</v>
      </c>
      <c r="AK26" s="395"/>
      <c r="AL26" s="218" t="s">
        <v>1323</v>
      </c>
      <c r="AM26" s="727">
        <f t="shared" ref="AM26:AO29" si="9">I26*AntallDøgn</f>
        <v>0</v>
      </c>
      <c r="AN26" s="727">
        <f t="shared" si="9"/>
        <v>0</v>
      </c>
      <c r="AO26" s="727">
        <f t="shared" si="9"/>
        <v>0</v>
      </c>
      <c r="AP26" s="728">
        <f t="shared" ref="AP26:AP29" si="10">IFERROR(AO26/AM26,0)</f>
        <v>0</v>
      </c>
      <c r="AQ26" s="395"/>
      <c r="AR26" s="218" t="s">
        <v>1323</v>
      </c>
      <c r="AS26" s="727">
        <f t="shared" ref="AS26:AU28" si="11">O26*AntallDøgn</f>
        <v>0</v>
      </c>
      <c r="AT26" s="727">
        <f t="shared" si="11"/>
        <v>0</v>
      </c>
      <c r="AU26" s="727">
        <f t="shared" si="11"/>
        <v>0</v>
      </c>
      <c r="AV26" s="728">
        <f>IFERROR(AU26/AS26,0)</f>
        <v>0</v>
      </c>
      <c r="AX26" s="218" t="s">
        <v>1323</v>
      </c>
      <c r="AY26" s="727">
        <f t="shared" ref="AY26:BA28" si="12">U26*AntallDøgn</f>
        <v>0</v>
      </c>
      <c r="AZ26" s="727">
        <f t="shared" si="12"/>
        <v>0</v>
      </c>
      <c r="BA26" s="727">
        <f t="shared" si="12"/>
        <v>0</v>
      </c>
      <c r="BB26" s="728">
        <f>IFERROR(BA26/AY26,0)</f>
        <v>0</v>
      </c>
      <c r="BD26" s="218" t="s">
        <v>1323</v>
      </c>
      <c r="BE26" s="727">
        <f t="shared" ref="BE26:BG28" si="13">AA26*AntallDøgn</f>
        <v>0</v>
      </c>
      <c r="BF26" s="727">
        <f t="shared" si="13"/>
        <v>0</v>
      </c>
      <c r="BG26" s="727">
        <f t="shared" si="13"/>
        <v>0</v>
      </c>
      <c r="BH26" s="728">
        <f>IFERROR(BG26/BE26,0)</f>
        <v>0</v>
      </c>
    </row>
    <row r="27" spans="2:60" x14ac:dyDescent="0.35">
      <c r="B27" s="218" t="s">
        <v>1324</v>
      </c>
      <c r="C27" s="727"/>
      <c r="D27" s="727"/>
      <c r="E27" s="727"/>
      <c r="F27" s="728"/>
      <c r="H27" s="218" t="s">
        <v>1324</v>
      </c>
      <c r="I27" s="727"/>
      <c r="J27" s="727"/>
      <c r="K27" s="727"/>
      <c r="L27" s="730"/>
      <c r="N27" s="218" t="s">
        <v>1324</v>
      </c>
      <c r="O27" s="727"/>
      <c r="P27" s="727"/>
      <c r="Q27" s="727"/>
      <c r="R27" s="728"/>
      <c r="T27" s="218" t="s">
        <v>1324</v>
      </c>
      <c r="U27" s="727"/>
      <c r="V27" s="727"/>
      <c r="W27" s="727"/>
      <c r="X27" s="728"/>
      <c r="Z27" s="218" t="s">
        <v>1324</v>
      </c>
      <c r="AA27" s="727"/>
      <c r="AB27" s="727"/>
      <c r="AC27" s="727"/>
      <c r="AD27" s="728"/>
      <c r="AF27" s="218" t="s">
        <v>1324</v>
      </c>
      <c r="AG27" s="727">
        <f t="shared" si="8"/>
        <v>0</v>
      </c>
      <c r="AH27" s="727">
        <f t="shared" si="8"/>
        <v>0</v>
      </c>
      <c r="AI27" s="727">
        <f t="shared" si="8"/>
        <v>0</v>
      </c>
      <c r="AJ27" s="728">
        <f t="shared" si="5"/>
        <v>0</v>
      </c>
      <c r="AL27" s="218" t="s">
        <v>1324</v>
      </c>
      <c r="AM27" s="727">
        <f t="shared" si="9"/>
        <v>0</v>
      </c>
      <c r="AN27" s="727">
        <f t="shared" si="9"/>
        <v>0</v>
      </c>
      <c r="AO27" s="727">
        <f t="shared" si="9"/>
        <v>0</v>
      </c>
      <c r="AP27" s="728">
        <f t="shared" si="10"/>
        <v>0</v>
      </c>
      <c r="AR27" s="218" t="s">
        <v>1324</v>
      </c>
      <c r="AS27" s="727">
        <f t="shared" si="11"/>
        <v>0</v>
      </c>
      <c r="AT27" s="727">
        <f t="shared" si="11"/>
        <v>0</v>
      </c>
      <c r="AU27" s="727">
        <f t="shared" si="11"/>
        <v>0</v>
      </c>
      <c r="AV27" s="728">
        <f>IFERROR(AU27/AS27,0)</f>
        <v>0</v>
      </c>
      <c r="AX27" s="218" t="s">
        <v>1324</v>
      </c>
      <c r="AY27" s="727">
        <f t="shared" si="12"/>
        <v>0</v>
      </c>
      <c r="AZ27" s="727">
        <f t="shared" si="12"/>
        <v>0</v>
      </c>
      <c r="BA27" s="727">
        <f t="shared" si="12"/>
        <v>0</v>
      </c>
      <c r="BB27" s="728">
        <f>IFERROR(BA27/AY27,0)</f>
        <v>0</v>
      </c>
      <c r="BD27" s="218" t="s">
        <v>1324</v>
      </c>
      <c r="BE27" s="727">
        <f t="shared" si="13"/>
        <v>0</v>
      </c>
      <c r="BF27" s="727">
        <f t="shared" si="13"/>
        <v>0</v>
      </c>
      <c r="BG27" s="727">
        <f t="shared" si="13"/>
        <v>0</v>
      </c>
      <c r="BH27" s="728">
        <f>IFERROR(BG27/BE27,0)</f>
        <v>0</v>
      </c>
    </row>
    <row r="28" spans="2:60" x14ac:dyDescent="0.35">
      <c r="B28" s="218" t="s">
        <v>1325</v>
      </c>
      <c r="C28" s="727"/>
      <c r="D28" s="727"/>
      <c r="E28" s="727"/>
      <c r="F28" s="730"/>
      <c r="H28" s="218" t="s">
        <v>1325</v>
      </c>
      <c r="I28" s="727"/>
      <c r="J28" s="727"/>
      <c r="K28" s="727"/>
      <c r="L28" s="730"/>
      <c r="N28" s="218" t="s">
        <v>1325</v>
      </c>
      <c r="O28" s="727"/>
      <c r="P28" s="727"/>
      <c r="Q28" s="727"/>
      <c r="R28" s="728"/>
      <c r="T28" s="218" t="s">
        <v>1325</v>
      </c>
      <c r="U28" s="727"/>
      <c r="V28" s="727"/>
      <c r="W28" s="727"/>
      <c r="X28" s="728"/>
      <c r="Z28" s="218" t="s">
        <v>1325</v>
      </c>
      <c r="AA28" s="727"/>
      <c r="AB28" s="727"/>
      <c r="AC28" s="727"/>
      <c r="AD28" s="728"/>
      <c r="AF28" s="218" t="s">
        <v>1325</v>
      </c>
      <c r="AG28" s="727">
        <f t="shared" si="8"/>
        <v>0</v>
      </c>
      <c r="AH28" s="727">
        <f t="shared" si="8"/>
        <v>0</v>
      </c>
      <c r="AI28" s="727">
        <f t="shared" si="8"/>
        <v>0</v>
      </c>
      <c r="AJ28" s="728">
        <f t="shared" si="5"/>
        <v>0</v>
      </c>
      <c r="AL28" s="218" t="s">
        <v>1325</v>
      </c>
      <c r="AM28" s="727">
        <f t="shared" si="9"/>
        <v>0</v>
      </c>
      <c r="AN28" s="727">
        <f t="shared" si="9"/>
        <v>0</v>
      </c>
      <c r="AO28" s="727">
        <f t="shared" si="9"/>
        <v>0</v>
      </c>
      <c r="AP28" s="728">
        <f t="shared" si="10"/>
        <v>0</v>
      </c>
      <c r="AR28" s="218" t="s">
        <v>1325</v>
      </c>
      <c r="AS28" s="727">
        <f t="shared" si="11"/>
        <v>0</v>
      </c>
      <c r="AT28" s="727">
        <f t="shared" si="11"/>
        <v>0</v>
      </c>
      <c r="AU28" s="727">
        <f t="shared" si="11"/>
        <v>0</v>
      </c>
      <c r="AV28" s="728">
        <f>IFERROR(AU28/AS28,0)</f>
        <v>0</v>
      </c>
      <c r="AX28" s="218" t="s">
        <v>1325</v>
      </c>
      <c r="AY28" s="727">
        <f t="shared" si="12"/>
        <v>0</v>
      </c>
      <c r="AZ28" s="727">
        <f t="shared" si="12"/>
        <v>0</v>
      </c>
      <c r="BA28" s="727">
        <f t="shared" si="12"/>
        <v>0</v>
      </c>
      <c r="BB28" s="728">
        <f>IFERROR(BA28/AY28,0)</f>
        <v>0</v>
      </c>
      <c r="BD28" s="218" t="s">
        <v>1325</v>
      </c>
      <c r="BE28" s="727">
        <f t="shared" si="13"/>
        <v>0</v>
      </c>
      <c r="BF28" s="727">
        <f t="shared" si="13"/>
        <v>0</v>
      </c>
      <c r="BG28" s="727">
        <f t="shared" si="13"/>
        <v>0</v>
      </c>
      <c r="BH28" s="728">
        <f>IFERROR(BG28/BE28,0)</f>
        <v>0</v>
      </c>
    </row>
    <row r="29" spans="2:60" ht="15" thickBot="1" x14ac:dyDescent="0.4">
      <c r="B29" s="218" t="s">
        <v>594</v>
      </c>
      <c r="C29" s="727"/>
      <c r="D29" s="727"/>
      <c r="E29" s="727"/>
      <c r="F29" s="728"/>
      <c r="H29" s="218" t="s">
        <v>594</v>
      </c>
      <c r="I29" s="727"/>
      <c r="J29" s="727"/>
      <c r="K29" s="727"/>
      <c r="L29" s="730"/>
      <c r="N29" s="266" t="s">
        <v>594</v>
      </c>
      <c r="O29" s="731"/>
      <c r="P29" s="731"/>
      <c r="Q29" s="731"/>
      <c r="R29" s="732"/>
      <c r="T29" s="266" t="s">
        <v>594</v>
      </c>
      <c r="U29" s="731"/>
      <c r="V29" s="731"/>
      <c r="W29" s="731"/>
      <c r="X29" s="732"/>
      <c r="Z29" s="266" t="s">
        <v>594</v>
      </c>
      <c r="AA29" s="731"/>
      <c r="AB29" s="731"/>
      <c r="AC29" s="731"/>
      <c r="AD29" s="732"/>
      <c r="AF29" s="218" t="s">
        <v>594</v>
      </c>
      <c r="AG29" s="727">
        <f t="shared" si="8"/>
        <v>0</v>
      </c>
      <c r="AH29" s="727">
        <f t="shared" si="8"/>
        <v>0</v>
      </c>
      <c r="AI29" s="727">
        <f t="shared" si="8"/>
        <v>0</v>
      </c>
      <c r="AJ29" s="728">
        <f t="shared" si="5"/>
        <v>0</v>
      </c>
      <c r="AL29" s="218" t="s">
        <v>594</v>
      </c>
      <c r="AM29" s="727">
        <f t="shared" si="9"/>
        <v>0</v>
      </c>
      <c r="AN29" s="727">
        <f t="shared" si="9"/>
        <v>0</v>
      </c>
      <c r="AO29" s="727">
        <f t="shared" si="9"/>
        <v>0</v>
      </c>
      <c r="AP29" s="728">
        <f t="shared" si="10"/>
        <v>0</v>
      </c>
      <c r="AR29" s="266" t="s">
        <v>594</v>
      </c>
      <c r="AS29" s="731">
        <f>O29*AntallDøgn</f>
        <v>0</v>
      </c>
      <c r="AT29" s="731">
        <f>P29*AntallDøgn</f>
        <v>0</v>
      </c>
      <c r="AU29" s="731">
        <f>IF(Q29="",-(AI29+AO29)*OverførtTrafikk_Bil,Q29*AntallDøgn)</f>
        <v>0</v>
      </c>
      <c r="AV29" s="732">
        <f>IFERROR(AU29/AS29,0)</f>
        <v>0</v>
      </c>
      <c r="AX29" s="266" t="s">
        <v>594</v>
      </c>
      <c r="AY29" s="731">
        <f>U29*AntallDøgn</f>
        <v>0</v>
      </c>
      <c r="AZ29" s="731">
        <f>V29*AntallDøgn</f>
        <v>0</v>
      </c>
      <c r="BA29" s="731">
        <f>IF(W29="",-(AI29+AO29)*OverførtTrafikk_Buss,W29*AntallDøgn)</f>
        <v>0</v>
      </c>
      <c r="BB29" s="732">
        <f>IFERROR(BA29/AY29,0)</f>
        <v>0</v>
      </c>
      <c r="BD29" s="266" t="s">
        <v>594</v>
      </c>
      <c r="BE29" s="731">
        <f>AA29*AntallDøgn</f>
        <v>0</v>
      </c>
      <c r="BF29" s="731">
        <f>AB29*AntallDøgn</f>
        <v>0</v>
      </c>
      <c r="BG29" s="731">
        <f>IF(AC29="",-(AI29+AO29)*OverførtTrafikk_Fly,AC29*AntallDøgn)</f>
        <v>0</v>
      </c>
      <c r="BH29" s="732">
        <f>IFERROR(BG29/BE29,0)</f>
        <v>0</v>
      </c>
    </row>
    <row r="30" spans="2:60" x14ac:dyDescent="0.35">
      <c r="B30" s="218" t="s">
        <v>1326</v>
      </c>
      <c r="C30" s="727"/>
      <c r="D30" s="727"/>
      <c r="E30" s="727"/>
      <c r="F30" s="728"/>
      <c r="H30" s="218" t="s">
        <v>1326</v>
      </c>
      <c r="I30" s="727"/>
      <c r="J30" s="727"/>
      <c r="K30" s="727"/>
      <c r="L30" s="730"/>
      <c r="O30" s="198"/>
      <c r="P30" s="198"/>
      <c r="Q30" s="198"/>
      <c r="R30" s="396"/>
      <c r="U30"/>
      <c r="V30"/>
      <c r="W30"/>
      <c r="X30"/>
      <c r="AA30" s="198"/>
      <c r="AB30" s="198"/>
      <c r="AC30" s="198"/>
      <c r="AD30" s="396"/>
      <c r="AF30" s="218"/>
      <c r="AG30" s="83"/>
      <c r="AH30" s="83"/>
      <c r="AI30" s="83"/>
      <c r="AJ30" s="315"/>
      <c r="AL30" s="218"/>
      <c r="AM30" s="83"/>
      <c r="AN30" s="83"/>
      <c r="AO30" s="83"/>
      <c r="AP30" s="315"/>
      <c r="AS30" s="198"/>
      <c r="AT30" s="198"/>
      <c r="AU30" s="198"/>
      <c r="AV30" s="396"/>
      <c r="AY30" s="198"/>
      <c r="AZ30" s="198"/>
      <c r="BA30" s="198"/>
      <c r="BB30" s="396"/>
    </row>
    <row r="31" spans="2:60" x14ac:dyDescent="0.35">
      <c r="B31" s="220" t="s">
        <v>1327</v>
      </c>
      <c r="C31" s="95"/>
      <c r="D31" s="95"/>
      <c r="E31" s="95"/>
      <c r="F31" s="394"/>
      <c r="H31" s="220" t="s">
        <v>1327</v>
      </c>
      <c r="I31" s="95"/>
      <c r="J31" s="95"/>
      <c r="K31" s="95"/>
      <c r="L31" s="394"/>
      <c r="U31"/>
      <c r="V31"/>
      <c r="W31"/>
      <c r="X31"/>
      <c r="AF31" s="220" t="s">
        <v>1327</v>
      </c>
      <c r="AG31" s="391" t="s">
        <v>884</v>
      </c>
      <c r="AH31" s="391" t="s">
        <v>884</v>
      </c>
      <c r="AI31" s="391" t="s">
        <v>884</v>
      </c>
      <c r="AJ31" s="392"/>
      <c r="AL31" s="220" t="s">
        <v>1327</v>
      </c>
      <c r="AM31" s="391" t="s">
        <v>884</v>
      </c>
      <c r="AN31" s="391" t="s">
        <v>884</v>
      </c>
      <c r="AO31" s="391" t="s">
        <v>884</v>
      </c>
      <c r="AP31" s="392"/>
    </row>
    <row r="32" spans="2:60" x14ac:dyDescent="0.35">
      <c r="B32" s="218" t="s">
        <v>1328</v>
      </c>
      <c r="C32" s="727"/>
      <c r="D32" s="727"/>
      <c r="E32" s="727"/>
      <c r="F32" s="728"/>
      <c r="H32" s="218" t="s">
        <v>1328</v>
      </c>
      <c r="I32" s="727"/>
      <c r="J32" s="727"/>
      <c r="K32" s="727"/>
      <c r="L32" s="730"/>
      <c r="AF32" s="218" t="s">
        <v>1328</v>
      </c>
      <c r="AG32" s="727">
        <f t="shared" ref="AG32" si="14">C32*AntallDøgn*(1+Tomtogkjøring)</f>
        <v>0</v>
      </c>
      <c r="AH32" s="727">
        <f t="shared" ref="AH32" si="15">D32*AntallDøgn*(1+Tomtogkjøring_Tiltak)</f>
        <v>0</v>
      </c>
      <c r="AI32" s="727">
        <f>Settkm_TiltakÅr1-Settkm_RefÅr1</f>
        <v>0</v>
      </c>
      <c r="AJ32" s="728">
        <f t="shared" si="5"/>
        <v>0</v>
      </c>
      <c r="AL32" s="218" t="s">
        <v>1328</v>
      </c>
      <c r="AM32" s="727">
        <f t="shared" ref="AM32" si="16">I32*AntallDøgn*(1+Tomtogkjøring)</f>
        <v>0</v>
      </c>
      <c r="AN32" s="727">
        <f t="shared" ref="AN32" si="17">J32*AntallDøgn*(1+Tomtogkjøring_Tiltak)</f>
        <v>0</v>
      </c>
      <c r="AO32" s="727">
        <f>Settkm_TiltakÅr1_Togtype_2-Settkm_RefÅr1_Togtype_2</f>
        <v>0</v>
      </c>
      <c r="AP32" s="728">
        <f t="shared" ref="AP32" si="18">IFERROR(AO32/AM32,0)</f>
        <v>0</v>
      </c>
    </row>
    <row r="33" spans="2:68" x14ac:dyDescent="0.35">
      <c r="B33" s="218" t="s">
        <v>1329</v>
      </c>
      <c r="C33" s="727"/>
      <c r="D33" s="727"/>
      <c r="E33" s="727"/>
      <c r="F33" s="728"/>
      <c r="H33" s="218" t="s">
        <v>1329</v>
      </c>
      <c r="I33" s="727"/>
      <c r="J33" s="727"/>
      <c r="K33" s="727"/>
      <c r="L33" s="730"/>
      <c r="AF33" s="218" t="s">
        <v>1330</v>
      </c>
      <c r="AG33" s="727">
        <f>C33*AntallDøgn*(1+Tomtogkjøring)</f>
        <v>0</v>
      </c>
      <c r="AH33" s="727">
        <f>D33*AntallDøgn*(1+Tomtogkjøring_Tiltak)</f>
        <v>0</v>
      </c>
      <c r="AI33" s="727">
        <f>TogkmEL_TiltakÅr1-TogkmEL_RefÅr1</f>
        <v>0</v>
      </c>
      <c r="AJ33" s="728" cm="1">
        <f t="array" ref="AJ33">IFERROR(IF(AND(TogkmEL_RefÅr1&gt;0,TogkmEL_TiltakÅr1&gt;0),TogkmEL_År1/TogkmEL_RefÅr1,_xlfn.IFS(AND(TogkmEL_RefÅr1=0,TogkmEL_TiltakÅr1=0),0%,TogkmEL_RefÅr1=0,100%,TogkmEL_TiltakÅr1=0,-100%)),0)</f>
        <v>0</v>
      </c>
      <c r="AL33" s="218" t="s">
        <v>1330</v>
      </c>
      <c r="AM33" s="727">
        <f>I33*AntallDøgn*(1+Tomtogkjøring)</f>
        <v>0</v>
      </c>
      <c r="AN33" s="727">
        <f>J33*AntallDøgn*(1+Tomtogkjøring_Tiltak)</f>
        <v>0</v>
      </c>
      <c r="AO33" s="727">
        <f>TogkmEL_TiltakÅr1_Togtype_2-TogkmEL_RefÅr1_Togtype_2</f>
        <v>0</v>
      </c>
      <c r="AP33" s="728" cm="1">
        <f t="array" ref="AP33">IFERROR(IF(AND(TogkmEL_RefÅr1_Togtype_2&gt;0,TogkmEL_TiltakÅr1_Togtype_2&gt;0),TogkmEL_År1_Togtype_2/TogkmEL_RefÅr1_Togtype_2,_xlfn.IFS(AND(TogkmEL_RefÅr1_Togtype_2=0,TogkmEL_TiltakÅr1_Togtype_2=0),0%,TogkmEL_RefÅr1_Togtype_2=0,100%,TogkmEL_TiltakÅr1_Togtype_2=0,-100%)),0)</f>
        <v>0</v>
      </c>
      <c r="AR33" s="397"/>
      <c r="AS33" s="1078"/>
    </row>
    <row r="34" spans="2:68" x14ac:dyDescent="0.35">
      <c r="B34" s="218" t="s">
        <v>1331</v>
      </c>
      <c r="C34" s="727"/>
      <c r="D34" s="727"/>
      <c r="E34" s="727"/>
      <c r="F34" s="728"/>
      <c r="H34" s="218" t="s">
        <v>1331</v>
      </c>
      <c r="I34" s="727"/>
      <c r="J34" s="727"/>
      <c r="K34" s="727"/>
      <c r="L34" s="730"/>
      <c r="AB34" s="1078"/>
      <c r="AF34" s="218" t="s">
        <v>1332</v>
      </c>
      <c r="AG34" s="727">
        <f>IF(Energikilde_Ref="Bimodalt",0,C34*AntallDøgn*(1+Tomtogkjøring))</f>
        <v>0</v>
      </c>
      <c r="AH34" s="727">
        <f>IF(Energikilde_Tiltak="Bimodalt",0,D34*AntallDøgn*(1+Tomtogkjøring))</f>
        <v>0</v>
      </c>
      <c r="AI34" s="727">
        <f>TogkmD_TiltakÅr1-TogkmD_RefÅr1</f>
        <v>0</v>
      </c>
      <c r="AJ34" s="728" cm="1">
        <f t="array" ref="AJ34">IFERROR(IF(AND(TogkmD_RefÅr1&gt;0,TogkmD_TiltakÅr1&gt;0),TogkmD_År1/TogkmD_RefÅr1,_xlfn.IFS(AND(TogkmD_RefÅr1=0,TogkmD_TiltakÅr1=0),0%,TogkmD_RefÅr1=0,100%,TogkmD_TiltakÅr1=0,-100%)),0)</f>
        <v>0</v>
      </c>
      <c r="AL34" s="218" t="s">
        <v>1332</v>
      </c>
      <c r="AM34" s="727">
        <f>IF(Energikilde_Ref="Bimodalt",0,I34*AntallDøgn*(1+Tomtogkjøring))</f>
        <v>0</v>
      </c>
      <c r="AN34" s="727">
        <f>IF(Energikilde_Tiltak="Bimodalt",0,J34*AntallDøgn*(1+Tomtogkjøring))</f>
        <v>0</v>
      </c>
      <c r="AO34" s="727">
        <f>TogkmD_TiltakÅr1_Togtype_2-TogkmD_RefÅr1_Togtype_2</f>
        <v>0</v>
      </c>
      <c r="AP34" s="728" cm="1">
        <f t="array" ref="AP34">IFERROR(IF(AND(TogkmD_RefÅr1_Togtype_2&gt;0,TogkmD_TiltakÅr1_Togtype_2&gt;0),TogkmD_År1_Togtype_2/TogkmD_RefÅr1_Togtype_2,_xlfn.IFS(AND(TogkmD_RefÅr1_Togtype_2=0,TogkmD_TiltakÅr1_Togtype_2=0),0%,TogkmD_RefÅr1_Togtype_2=0,100%,TogkmD_TiltakÅr1_Togtype_2=0,-100%)),0)</f>
        <v>0</v>
      </c>
    </row>
    <row r="35" spans="2:68" x14ac:dyDescent="0.35">
      <c r="B35" s="218" t="s">
        <v>1333</v>
      </c>
      <c r="C35" s="727"/>
      <c r="D35" s="727"/>
      <c r="E35" s="727"/>
      <c r="F35" s="728"/>
      <c r="H35" s="218" t="s">
        <v>1333</v>
      </c>
      <c r="I35" s="727"/>
      <c r="J35" s="727"/>
      <c r="K35" s="727"/>
      <c r="L35" s="730"/>
      <c r="AF35" s="218" t="s">
        <v>1334</v>
      </c>
      <c r="AG35" s="727">
        <f>IF(Energikilde_Ref="Bimodalt",C34*AntallDøgn*(1+Tomtogkjøring)*(1-AndelKmDiesel_ref),0)</f>
        <v>0</v>
      </c>
      <c r="AH35" s="727">
        <f>IF(Energikilde_Tiltak="Bimodalt",D34*AntallDøgn*(1+Tomtogkjøring)*(1-AndelKmDiesel_tiltak),0)</f>
        <v>0</v>
      </c>
      <c r="AI35" s="727">
        <f>TogkmBiEl_TiltakÅr1-TogkmBiEl_RefÅr1</f>
        <v>0</v>
      </c>
      <c r="AJ35" s="728" cm="1">
        <f t="array" ref="AJ35">IFERROR(IF(AND(TogkmBiEl_RefÅr1&gt;0,TogkmBiEl_TiltakÅr1&gt;0),TogkmBiEl_År1/TogkmBiEl_RefÅr1,_xlfn.IFS(AND(TogkmBiEl_RefÅr1=0,TogkmBiEl_TiltakÅr1=0),0%,TogkmBiEl_RefÅr1=0,100%,TogkmBiEl_TiltakÅr1=0,-100%)),0)</f>
        <v>0</v>
      </c>
      <c r="AL35" s="218" t="s">
        <v>1334</v>
      </c>
      <c r="AM35" s="727">
        <f>IF(Energikilde_Ref="Bimodalt",I34*AntallDøgn*(1+Tomtogkjøring)*(1-AndelKmDiesel_ref),0)</f>
        <v>0</v>
      </c>
      <c r="AN35" s="727">
        <f>IF(Energikilde_Tiltak="Bimodalt",J34*AntallDøgn*(1+Tomtogkjøring)*(1-AndelKmDiesel_tiltak),0)</f>
        <v>0</v>
      </c>
      <c r="AO35" s="727">
        <f>TogkmBiEl_TiltakÅr1_Togtype_2-TogkmBiEl_RefÅr1_Togtype_2</f>
        <v>0</v>
      </c>
      <c r="AP35" s="728" cm="1">
        <f t="array" ref="AP35">IFERROR(IF(AND(TogkmBiEl_RefÅr1_Togtype_2&gt;0,TogkmBiEl_TiltakÅr1_Togtype_2&gt;0),TogkmBiEl_År1_Togtype_2/TogkmBiEl_RefÅr1_Togtype_2,_xlfn.IFS(AND(TogkmBiEl_RefÅr1_Togtype_2=0,TogkmBiEl_TiltakÅr1_Togtype_2=0),0%,TogkmBiEl_RefÅr1_Togtype_2=0,100%,TogkmBiEl_TiltakÅr1_Togtype_2=0,-100%)),0)</f>
        <v>0</v>
      </c>
      <c r="AR35" s="198"/>
    </row>
    <row r="36" spans="2:68" ht="15" thickBot="1" x14ac:dyDescent="0.4">
      <c r="B36" s="266" t="s">
        <v>1335</v>
      </c>
      <c r="C36" s="731"/>
      <c r="D36" s="731"/>
      <c r="E36" s="731"/>
      <c r="F36" s="732"/>
      <c r="H36" s="266" t="s">
        <v>1335</v>
      </c>
      <c r="I36" s="731"/>
      <c r="J36" s="731"/>
      <c r="K36" s="731"/>
      <c r="L36" s="1201"/>
      <c r="AF36" s="218" t="s">
        <v>1336</v>
      </c>
      <c r="AG36" s="727">
        <f>IF(Energikilde_Ref="Bimodalt",C34*AntallDøgn*(1+Tomtogkjøring)*(AndelKmDiesel_ref),0)</f>
        <v>0</v>
      </c>
      <c r="AH36" s="727">
        <f>IF(Energikilde_Tiltak="Bimodalt",D34*AntallDøgn*(1+Tomtogkjøring)*(AndelKmDiesel_tiltak),0)</f>
        <v>0</v>
      </c>
      <c r="AI36" s="727">
        <f>TogkmBiDi_TiltakÅr1-TogkmBiDi_RefÅr1</f>
        <v>0</v>
      </c>
      <c r="AJ36" s="728" cm="1">
        <f t="array" ref="AJ36">IFERROR(IF(AND(TogkmBiDi_RefÅr1&gt;0,TogkmBiDi_TiltakÅr1&gt;0),TogkmBiDi_År1/TogkmBiDi_RefÅr1,_xlfn.IFS(AND(TogkmBiDi_RefÅr1=0,TogkmBiDi_TiltakÅr1=0),0%,TogkmBiDi_RefÅr1=0,100%,TogkmBiDi_TiltakÅr1=0,-100%)),0)</f>
        <v>0</v>
      </c>
      <c r="AL36" s="218" t="s">
        <v>1336</v>
      </c>
      <c r="AM36" s="727">
        <f>IF(Energikilde_Ref="Bimodalt",I34*AntallDøgn*(1+Tomtogkjøring)*(AndelKmDiesel_ref),0)</f>
        <v>0</v>
      </c>
      <c r="AN36" s="727">
        <f>IF(Energikilde_Tiltak="Bimodalt",J34*AntallDøgn*(1+Tomtogkjøring)*(AndelKmDiesel_tiltak),0)</f>
        <v>0</v>
      </c>
      <c r="AO36" s="727">
        <f>TogkmBiDi_TiltakÅr1_Togtype_2-TogkmBiDi_RefÅr1_Togtype_2</f>
        <v>0</v>
      </c>
      <c r="AP36" s="728" cm="1">
        <f t="array" ref="AP36">IFERROR(IF(AND(TogkmBiDi_RefÅr1_Togtype_2&gt;0,TogkmBiDi_TiltakÅr1_Togtype_2&gt;0),TogkmBiDi_År1_Togtype_2/TogkmBiDi_RefÅr1_Togtype_2,_xlfn.IFS(AND(TogkmBiDi_RefÅr1_Togtype_2=0,TogkmBiDi_TiltakÅr1_Togtype_2=0),0%,TogkmBiDi_RefÅr1_Togtype_2=0,100%,TogkmBiDi_TiltakÅr1_Togtype_2=0,-100%)),0)</f>
        <v>0</v>
      </c>
    </row>
    <row r="37" spans="2:68" x14ac:dyDescent="0.35">
      <c r="C37"/>
      <c r="D37"/>
      <c r="F37"/>
      <c r="I37"/>
      <c r="J37"/>
      <c r="L37"/>
      <c r="AF37" s="218" t="s">
        <v>1333</v>
      </c>
      <c r="AG37" s="727">
        <f>C35*AntallDøgn*(1+Tomtogkjøring)</f>
        <v>0</v>
      </c>
      <c r="AH37" s="727">
        <f>D35*AntallDøgn*(1+Tomtogkjøring_Tiltak)</f>
        <v>0</v>
      </c>
      <c r="AI37" s="727">
        <f>Togtimer_TiltakÅr1-Togtimer_RefÅr1</f>
        <v>0</v>
      </c>
      <c r="AJ37" s="728">
        <f>IFERROR(AI37/AG37,0)</f>
        <v>0</v>
      </c>
      <c r="AL37" s="218" t="s">
        <v>1333</v>
      </c>
      <c r="AM37" s="727">
        <f>I35*AntallDøgn*(1+Tomtogkjøring)</f>
        <v>0</v>
      </c>
      <c r="AN37" s="727">
        <f>J35*AntallDøgn*(1+Tomtogkjøring_Tiltak)</f>
        <v>0</v>
      </c>
      <c r="AO37" s="727">
        <f>Togtimer_TiltakÅr1_Togtype_2-Togtimer_RefÅr1_Togtype_2</f>
        <v>0</v>
      </c>
      <c r="AP37" s="728">
        <f>IFERROR(AO37/AM37,0)</f>
        <v>0</v>
      </c>
    </row>
    <row r="38" spans="2:68" ht="15" thickBot="1" x14ac:dyDescent="0.4">
      <c r="C38"/>
      <c r="D38"/>
      <c r="F38"/>
      <c r="I38"/>
      <c r="J38"/>
      <c r="L38"/>
      <c r="AF38" s="256" t="s">
        <v>1335</v>
      </c>
      <c r="AG38" s="731">
        <f>C36*AntallDøgn*(1+Tomtogkjøring)</f>
        <v>0</v>
      </c>
      <c r="AH38" s="731">
        <f>D36*AntallDøgn*(1+Tomtogkjøring_Tiltak)</f>
        <v>0</v>
      </c>
      <c r="AI38" s="731">
        <f>Settimer_TiltakÅr1-Settimer_RefÅr1</f>
        <v>0</v>
      </c>
      <c r="AJ38" s="732">
        <f t="shared" si="5"/>
        <v>0</v>
      </c>
      <c r="AL38" s="256" t="s">
        <v>1335</v>
      </c>
      <c r="AM38" s="731">
        <f>I36*AntallDøgn*(1+Tomtogkjøring)</f>
        <v>0</v>
      </c>
      <c r="AN38" s="731">
        <f>J36*AntallDøgn*(1+Tomtogkjøring_Tiltak)</f>
        <v>0</v>
      </c>
      <c r="AO38" s="731">
        <f>Settimer_TiltakÅr1_Togtype_2-Settimer_RefÅr1_Togtype_2</f>
        <v>0</v>
      </c>
      <c r="AP38" s="732">
        <f t="shared" ref="AP38" si="19">IFERROR(AO38/AM38,0)</f>
        <v>0</v>
      </c>
      <c r="AR38" s="397"/>
    </row>
    <row r="39" spans="2:68" x14ac:dyDescent="0.35">
      <c r="C39"/>
      <c r="D39"/>
      <c r="F39"/>
      <c r="I39"/>
      <c r="J39"/>
      <c r="L39"/>
    </row>
    <row r="40" spans="2:68" x14ac:dyDescent="0.35">
      <c r="C40"/>
      <c r="D40"/>
      <c r="F40"/>
      <c r="I40"/>
      <c r="J40"/>
      <c r="L40"/>
    </row>
    <row r="41" spans="2:68" x14ac:dyDescent="0.35">
      <c r="C41"/>
      <c r="D41"/>
      <c r="F41"/>
      <c r="I41"/>
      <c r="J41"/>
      <c r="L41"/>
    </row>
    <row r="42" spans="2:68" ht="15" thickBot="1" x14ac:dyDescent="0.4">
      <c r="C42"/>
      <c r="D42"/>
      <c r="F42"/>
      <c r="H42" s="71" t="s">
        <v>1073</v>
      </c>
      <c r="I42"/>
      <c r="J42"/>
      <c r="L42"/>
    </row>
    <row r="43" spans="2:68" ht="21" x14ac:dyDescent="0.5">
      <c r="B43" s="340" t="str">
        <f>("TOG ("&amp;AndreBeregningsår&amp;")")</f>
        <v>TOG ()</v>
      </c>
      <c r="C43" s="388" t="s">
        <v>1309</v>
      </c>
      <c r="D43" s="306"/>
      <c r="E43" s="306"/>
      <c r="F43" s="387"/>
      <c r="H43" s="340" t="str">
        <f>("TOG - Materielltype 2 ("&amp;AndreBeregningsår&amp;")")</f>
        <v>TOG - Materielltype 2 ()</v>
      </c>
      <c r="I43" s="388"/>
      <c r="J43" s="306"/>
      <c r="K43" s="388" t="s">
        <v>1309</v>
      </c>
      <c r="L43" s="387"/>
      <c r="BP43" s="102"/>
    </row>
    <row r="44" spans="2:68" ht="15" thickBot="1" x14ac:dyDescent="0.4">
      <c r="B44" s="220" t="s">
        <v>1311</v>
      </c>
      <c r="C44" s="40" t="s">
        <v>1036</v>
      </c>
      <c r="D44" s="40" t="s">
        <v>1037</v>
      </c>
      <c r="E44" s="40" t="s">
        <v>1038</v>
      </c>
      <c r="F44" s="390" t="s">
        <v>1312</v>
      </c>
      <c r="H44" s="220" t="s">
        <v>1311</v>
      </c>
      <c r="I44" s="40" t="s">
        <v>1036</v>
      </c>
      <c r="J44" s="40" t="s">
        <v>1037</v>
      </c>
      <c r="K44" s="40" t="s">
        <v>1038</v>
      </c>
      <c r="L44" s="390" t="s">
        <v>1312</v>
      </c>
      <c r="AL44" s="71"/>
    </row>
    <row r="45" spans="2:68" ht="21" x14ac:dyDescent="0.5">
      <c r="B45" s="218" t="s">
        <v>1313</v>
      </c>
      <c r="C45" s="83"/>
      <c r="D45" s="83"/>
      <c r="E45" s="727"/>
      <c r="F45" s="315"/>
      <c r="H45" s="218" t="s">
        <v>1313</v>
      </c>
      <c r="I45" s="83"/>
      <c r="J45" s="83"/>
      <c r="K45" s="727"/>
      <c r="L45" s="315"/>
      <c r="N45" s="340" t="str">
        <f>("BIL ("&amp;AndreBeregningsår&amp;")")</f>
        <v>BIL ()</v>
      </c>
      <c r="O45" s="388" t="s">
        <v>1309</v>
      </c>
      <c r="P45" s="306"/>
      <c r="Q45" s="306"/>
      <c r="R45" s="387"/>
      <c r="T45" s="340" t="str">
        <f>("BUSS ("&amp;AndreBeregningsår&amp;")")</f>
        <v>BUSS ()</v>
      </c>
      <c r="U45" s="388" t="s">
        <v>1309</v>
      </c>
      <c r="V45" s="306"/>
      <c r="W45" s="306"/>
      <c r="X45" s="387"/>
      <c r="Z45" s="340" t="str">
        <f>("FLY ("&amp;AndreBeregningsår&amp;")")</f>
        <v>FLY ()</v>
      </c>
      <c r="AA45" s="388" t="s">
        <v>1309</v>
      </c>
      <c r="AB45" s="306"/>
      <c r="AC45" s="306"/>
      <c r="AD45" s="387"/>
      <c r="AF45" s="340" t="str">
        <f>("TOG ("&amp;AndreBeregningsår&amp;")")</f>
        <v>TOG ()</v>
      </c>
      <c r="AG45" s="388" t="s">
        <v>1310</v>
      </c>
      <c r="AH45" s="269"/>
      <c r="AI45" s="269"/>
      <c r="AJ45" s="389"/>
      <c r="AL45" s="340" t="str">
        <f>("TOG - Materielltype 2 ("&amp;AndreBeregningsår&amp;")")</f>
        <v>TOG - Materielltype 2 ()</v>
      </c>
      <c r="AM45" s="388"/>
      <c r="AN45" s="269"/>
      <c r="AO45" s="388" t="s">
        <v>1310</v>
      </c>
      <c r="AP45" s="389"/>
      <c r="AR45" s="340" t="str">
        <f>("BIL ("&amp;AndreBeregningsår&amp;")")</f>
        <v>BIL ()</v>
      </c>
      <c r="AS45" s="388" t="s">
        <v>1310</v>
      </c>
      <c r="AT45" s="269"/>
      <c r="AU45" s="269"/>
      <c r="AV45" s="389"/>
      <c r="AX45" s="340" t="str">
        <f>("BUSS ("&amp;AndreBeregningsår&amp;")")</f>
        <v>BUSS ()</v>
      </c>
      <c r="AY45" s="388" t="s">
        <v>1310</v>
      </c>
      <c r="AZ45" s="269"/>
      <c r="BA45" s="269"/>
      <c r="BB45" s="389"/>
      <c r="BD45" s="340" t="str">
        <f>("FLY ("&amp;AndreBeregningsår&amp;")")</f>
        <v>FLY ()</v>
      </c>
      <c r="BE45" s="388" t="s">
        <v>1310</v>
      </c>
      <c r="BF45" s="269"/>
      <c r="BG45" s="269"/>
      <c r="BH45" s="389"/>
    </row>
    <row r="46" spans="2:68" x14ac:dyDescent="0.35">
      <c r="B46" s="218" t="s">
        <v>1314</v>
      </c>
      <c r="C46" s="83"/>
      <c r="D46" s="83"/>
      <c r="E46" s="727"/>
      <c r="F46" s="315"/>
      <c r="H46" s="218" t="s">
        <v>1314</v>
      </c>
      <c r="I46" s="83"/>
      <c r="J46" s="83"/>
      <c r="K46" s="727"/>
      <c r="L46" s="315"/>
      <c r="N46" s="220" t="s">
        <v>1311</v>
      </c>
      <c r="O46" s="40" t="s">
        <v>1036</v>
      </c>
      <c r="P46" s="40" t="s">
        <v>1037</v>
      </c>
      <c r="Q46" s="40" t="s">
        <v>1038</v>
      </c>
      <c r="R46" s="390" t="s">
        <v>1312</v>
      </c>
      <c r="T46" s="220" t="s">
        <v>1311</v>
      </c>
      <c r="U46" s="40" t="s">
        <v>1036</v>
      </c>
      <c r="V46" s="40" t="s">
        <v>1037</v>
      </c>
      <c r="W46" s="40" t="s">
        <v>1038</v>
      </c>
      <c r="X46" s="390" t="s">
        <v>1312</v>
      </c>
      <c r="Z46" s="220" t="s">
        <v>1311</v>
      </c>
      <c r="AA46" s="40" t="s">
        <v>1036</v>
      </c>
      <c r="AB46" s="40" t="s">
        <v>1037</v>
      </c>
      <c r="AC46" s="40" t="s">
        <v>1038</v>
      </c>
      <c r="AD46" s="390" t="s">
        <v>1312</v>
      </c>
      <c r="AF46" s="220" t="s">
        <v>1311</v>
      </c>
      <c r="AG46" s="40" t="s">
        <v>1036</v>
      </c>
      <c r="AH46" s="40" t="s">
        <v>1037</v>
      </c>
      <c r="AI46" s="40" t="s">
        <v>1038</v>
      </c>
      <c r="AJ46" s="390" t="s">
        <v>1312</v>
      </c>
      <c r="AL46" s="220" t="s">
        <v>1311</v>
      </c>
      <c r="AM46" s="40" t="s">
        <v>1036</v>
      </c>
      <c r="AN46" s="40" t="s">
        <v>1037</v>
      </c>
      <c r="AO46" s="40" t="s">
        <v>1038</v>
      </c>
      <c r="AP46" s="390" t="s">
        <v>1312</v>
      </c>
      <c r="AR46" s="220" t="s">
        <v>1311</v>
      </c>
      <c r="AS46" s="40" t="s">
        <v>1036</v>
      </c>
      <c r="AT46" s="40" t="s">
        <v>1037</v>
      </c>
      <c r="AU46" s="40" t="s">
        <v>1038</v>
      </c>
      <c r="AV46" s="390" t="s">
        <v>1312</v>
      </c>
      <c r="AX46" s="220" t="s">
        <v>1311</v>
      </c>
      <c r="AY46" s="40" t="s">
        <v>1036</v>
      </c>
      <c r="AZ46" s="40" t="s">
        <v>1037</v>
      </c>
      <c r="BA46" s="40" t="s">
        <v>1038</v>
      </c>
      <c r="BB46" s="390" t="s">
        <v>1312</v>
      </c>
      <c r="BD46" s="220" t="s">
        <v>1311</v>
      </c>
      <c r="BE46" s="40" t="s">
        <v>1036</v>
      </c>
      <c r="BF46" s="40" t="s">
        <v>1037</v>
      </c>
      <c r="BG46" s="40" t="s">
        <v>1038</v>
      </c>
      <c r="BH46" s="390" t="s">
        <v>1312</v>
      </c>
    </row>
    <row r="47" spans="2:68" x14ac:dyDescent="0.35">
      <c r="B47" s="218" t="s">
        <v>594</v>
      </c>
      <c r="C47" s="83"/>
      <c r="D47" s="83"/>
      <c r="E47" s="727"/>
      <c r="F47" s="315"/>
      <c r="H47" s="218" t="s">
        <v>594</v>
      </c>
      <c r="I47" s="83"/>
      <c r="J47" s="83"/>
      <c r="K47" s="727"/>
      <c r="L47" s="315"/>
      <c r="N47" s="218" t="s">
        <v>1313</v>
      </c>
      <c r="O47" s="83"/>
      <c r="P47" s="83"/>
      <c r="Q47" s="727"/>
      <c r="R47" s="315"/>
      <c r="T47" s="218" t="s">
        <v>1313</v>
      </c>
      <c r="U47" s="83"/>
      <c r="V47" s="83"/>
      <c r="W47" s="727"/>
      <c r="X47" s="315"/>
      <c r="Z47" s="218" t="s">
        <v>1313</v>
      </c>
      <c r="AA47" s="83"/>
      <c r="AB47" s="83"/>
      <c r="AC47" s="727"/>
      <c r="AD47" s="315"/>
      <c r="AF47" s="218" t="s">
        <v>1313</v>
      </c>
      <c r="AG47" s="83"/>
      <c r="AH47" s="83"/>
      <c r="AI47" s="727">
        <f>E45*AntallDøgn</f>
        <v>0</v>
      </c>
      <c r="AJ47" s="315"/>
      <c r="AL47" s="218" t="s">
        <v>1313</v>
      </c>
      <c r="AM47" s="83"/>
      <c r="AN47" s="83"/>
      <c r="AO47" s="727">
        <f>K45*AntallDøgn</f>
        <v>0</v>
      </c>
      <c r="AP47" s="315"/>
      <c r="AR47" s="218" t="s">
        <v>1313</v>
      </c>
      <c r="AS47" s="83"/>
      <c r="AT47" s="83"/>
      <c r="AU47" s="727">
        <f>Q47*AntallDøgn</f>
        <v>0</v>
      </c>
      <c r="AV47" s="315"/>
      <c r="AX47" s="218" t="s">
        <v>1313</v>
      </c>
      <c r="AY47" s="83"/>
      <c r="AZ47" s="83"/>
      <c r="BA47" s="727">
        <f>W47*AntallDøgn</f>
        <v>0</v>
      </c>
      <c r="BB47" s="315"/>
      <c r="BD47" s="218" t="s">
        <v>1313</v>
      </c>
      <c r="BE47" s="83"/>
      <c r="BF47" s="83"/>
      <c r="BG47" s="727">
        <f>AC47*AntallDøgn</f>
        <v>0</v>
      </c>
      <c r="BH47" s="315"/>
    </row>
    <row r="48" spans="2:68" x14ac:dyDescent="0.35">
      <c r="B48" s="220" t="s">
        <v>1315</v>
      </c>
      <c r="C48" s="391"/>
      <c r="D48" s="391"/>
      <c r="E48" s="391"/>
      <c r="F48" s="392"/>
      <c r="H48" s="220" t="s">
        <v>1315</v>
      </c>
      <c r="I48" s="391"/>
      <c r="J48" s="391"/>
      <c r="K48" s="391"/>
      <c r="L48" s="392"/>
      <c r="N48" s="218" t="s">
        <v>1314</v>
      </c>
      <c r="O48" s="83"/>
      <c r="P48" s="83"/>
      <c r="Q48" s="727"/>
      <c r="R48" s="315"/>
      <c r="T48" s="218" t="s">
        <v>1314</v>
      </c>
      <c r="U48" s="83"/>
      <c r="V48" s="83"/>
      <c r="W48" s="727"/>
      <c r="X48" s="315"/>
      <c r="Z48" s="218" t="s">
        <v>1314</v>
      </c>
      <c r="AA48" s="83"/>
      <c r="AB48" s="83"/>
      <c r="AC48" s="727"/>
      <c r="AD48" s="315"/>
      <c r="AF48" s="218" t="s">
        <v>1314</v>
      </c>
      <c r="AG48" s="83"/>
      <c r="AH48" s="83"/>
      <c r="AI48" s="727">
        <f>E46*AntallDøgn</f>
        <v>0</v>
      </c>
      <c r="AJ48" s="315"/>
      <c r="AL48" s="218" t="s">
        <v>1314</v>
      </c>
      <c r="AM48" s="83"/>
      <c r="AN48" s="83"/>
      <c r="AO48" s="727">
        <f>K46*AntallDøgn</f>
        <v>0</v>
      </c>
      <c r="AP48" s="315"/>
      <c r="AR48" s="218" t="s">
        <v>1314</v>
      </c>
      <c r="AS48" s="83"/>
      <c r="AT48" s="83"/>
      <c r="AU48" s="727">
        <f>Q48*AntallDøgn</f>
        <v>0</v>
      </c>
      <c r="AV48" s="315"/>
      <c r="AX48" s="218" t="s">
        <v>1314</v>
      </c>
      <c r="AY48" s="83"/>
      <c r="AZ48" s="83"/>
      <c r="BA48" s="727">
        <f>W48*AntallDøgn</f>
        <v>0</v>
      </c>
      <c r="BB48" s="315"/>
      <c r="BD48" s="218" t="s">
        <v>1314</v>
      </c>
      <c r="BE48" s="83"/>
      <c r="BF48" s="83"/>
      <c r="BG48" s="727">
        <f>AC48*AntallDøgn</f>
        <v>0</v>
      </c>
      <c r="BH48" s="315"/>
    </row>
    <row r="49" spans="2:60" x14ac:dyDescent="0.35">
      <c r="B49" s="218" t="s">
        <v>1316</v>
      </c>
      <c r="C49" s="727"/>
      <c r="D49" s="727"/>
      <c r="E49" s="727"/>
      <c r="F49" s="728"/>
      <c r="H49" s="218" t="s">
        <v>1316</v>
      </c>
      <c r="I49" s="727"/>
      <c r="J49" s="727"/>
      <c r="K49" s="727"/>
      <c r="L49" s="730"/>
      <c r="N49" s="218" t="s">
        <v>594</v>
      </c>
      <c r="O49" s="83"/>
      <c r="P49" s="83"/>
      <c r="Q49" s="727"/>
      <c r="R49" s="315"/>
      <c r="T49" s="218" t="s">
        <v>594</v>
      </c>
      <c r="U49" s="83"/>
      <c r="V49" s="83"/>
      <c r="W49" s="727"/>
      <c r="X49" s="315"/>
      <c r="Z49" s="218" t="s">
        <v>594</v>
      </c>
      <c r="AA49" s="83"/>
      <c r="AB49" s="83"/>
      <c r="AC49" s="727"/>
      <c r="AD49" s="315"/>
      <c r="AF49" s="218" t="s">
        <v>594</v>
      </c>
      <c r="AG49" s="83"/>
      <c r="AH49" s="83"/>
      <c r="AI49" s="727">
        <f>E47*AntallDøgn</f>
        <v>0</v>
      </c>
      <c r="AJ49" s="315"/>
      <c r="AL49" s="218" t="s">
        <v>594</v>
      </c>
      <c r="AM49" s="83"/>
      <c r="AN49" s="83"/>
      <c r="AO49" s="727">
        <f>K47*AntallDøgn</f>
        <v>0</v>
      </c>
      <c r="AP49" s="315"/>
      <c r="AR49" s="218" t="s">
        <v>594</v>
      </c>
      <c r="AS49" s="83"/>
      <c r="AT49" s="83"/>
      <c r="AU49" s="727">
        <f>Q49*AntallDøgn</f>
        <v>0</v>
      </c>
      <c r="AV49" s="315"/>
      <c r="AX49" s="218" t="s">
        <v>594</v>
      </c>
      <c r="AY49" s="83"/>
      <c r="AZ49" s="83"/>
      <c r="BA49" s="727">
        <f>W49*AntallDøgn</f>
        <v>0</v>
      </c>
      <c r="BB49" s="315"/>
      <c r="BD49" s="218" t="s">
        <v>594</v>
      </c>
      <c r="BE49" s="83"/>
      <c r="BF49" s="83"/>
      <c r="BG49" s="727">
        <f>AC49*AntallDøgn</f>
        <v>0</v>
      </c>
      <c r="BH49" s="315"/>
    </row>
    <row r="50" spans="2:60" x14ac:dyDescent="0.35">
      <c r="B50" s="218" t="s">
        <v>1317</v>
      </c>
      <c r="C50" s="727"/>
      <c r="D50" s="727"/>
      <c r="E50" s="727"/>
      <c r="F50" s="728"/>
      <c r="H50" s="218" t="s">
        <v>1317</v>
      </c>
      <c r="I50" s="727"/>
      <c r="J50" s="727"/>
      <c r="K50" s="727"/>
      <c r="L50" s="730"/>
      <c r="N50" s="220" t="s">
        <v>1315</v>
      </c>
      <c r="O50" s="391"/>
      <c r="P50" s="391"/>
      <c r="Q50" s="391"/>
      <c r="R50" s="392"/>
      <c r="T50" s="220" t="s">
        <v>1315</v>
      </c>
      <c r="U50" s="391"/>
      <c r="V50" s="391"/>
      <c r="W50" s="391"/>
      <c r="X50" s="392"/>
      <c r="Z50" s="220" t="s">
        <v>1315</v>
      </c>
      <c r="AA50" s="391"/>
      <c r="AB50" s="391"/>
      <c r="AC50" s="391"/>
      <c r="AD50" s="392"/>
      <c r="AF50" s="220" t="s">
        <v>1315</v>
      </c>
      <c r="AG50" s="391"/>
      <c r="AH50" s="391"/>
      <c r="AI50" s="391"/>
      <c r="AJ50" s="392"/>
      <c r="AL50" s="220" t="s">
        <v>1315</v>
      </c>
      <c r="AM50" s="391"/>
      <c r="AN50" s="391"/>
      <c r="AO50" s="391"/>
      <c r="AP50" s="392"/>
      <c r="AR50" s="220" t="s">
        <v>1315</v>
      </c>
      <c r="AS50" s="391"/>
      <c r="AT50" s="391"/>
      <c r="AU50" s="391"/>
      <c r="AV50" s="392"/>
      <c r="AX50" s="220" t="s">
        <v>1315</v>
      </c>
      <c r="AY50" s="391"/>
      <c r="AZ50" s="391"/>
      <c r="BA50" s="391"/>
      <c r="BB50" s="392"/>
      <c r="BD50" s="220" t="s">
        <v>1315</v>
      </c>
      <c r="BE50" s="391"/>
      <c r="BF50" s="391"/>
      <c r="BG50" s="391"/>
      <c r="BH50" s="392"/>
    </row>
    <row r="51" spans="2:60" x14ac:dyDescent="0.35">
      <c r="B51" s="218" t="s">
        <v>1318</v>
      </c>
      <c r="C51" s="727"/>
      <c r="D51" s="727"/>
      <c r="E51" s="727"/>
      <c r="F51" s="728"/>
      <c r="H51" s="218" t="s">
        <v>1318</v>
      </c>
      <c r="I51" s="727"/>
      <c r="J51" s="727"/>
      <c r="K51" s="727"/>
      <c r="L51" s="730"/>
      <c r="N51" s="218" t="s">
        <v>1316</v>
      </c>
      <c r="O51" s="727"/>
      <c r="P51" s="727"/>
      <c r="Q51" s="727"/>
      <c r="R51" s="728"/>
      <c r="T51" s="218" t="s">
        <v>1316</v>
      </c>
      <c r="U51" s="727"/>
      <c r="V51" s="727"/>
      <c r="W51" s="727"/>
      <c r="X51" s="728"/>
      <c r="Z51" s="218" t="s">
        <v>1316</v>
      </c>
      <c r="AA51" s="727"/>
      <c r="AB51" s="727"/>
      <c r="AC51" s="727"/>
      <c r="AD51" s="728"/>
      <c r="AF51" s="218" t="s">
        <v>1316</v>
      </c>
      <c r="AG51" s="727">
        <f t="shared" ref="AG51:AI55" si="20">C49*AntallDøgn</f>
        <v>0</v>
      </c>
      <c r="AH51" s="727">
        <f t="shared" si="20"/>
        <v>0</v>
      </c>
      <c r="AI51" s="727">
        <f t="shared" si="20"/>
        <v>0</v>
      </c>
      <c r="AJ51" s="728">
        <f>IFERROR(AI51/AG51,0)</f>
        <v>0</v>
      </c>
      <c r="AL51" s="218" t="s">
        <v>1316</v>
      </c>
      <c r="AM51" s="727">
        <f t="shared" ref="AM51:AO55" si="21">I49*AntallDøgn</f>
        <v>0</v>
      </c>
      <c r="AN51" s="727">
        <f t="shared" si="21"/>
        <v>0</v>
      </c>
      <c r="AO51" s="727">
        <f t="shared" si="21"/>
        <v>0</v>
      </c>
      <c r="AP51" s="728">
        <f>IFERROR(AO51/AM51,0)</f>
        <v>0</v>
      </c>
      <c r="AR51" s="218" t="s">
        <v>1316</v>
      </c>
      <c r="AS51" s="727">
        <f t="shared" ref="AS51:AT54" si="22">O51*AntallDøgn</f>
        <v>0</v>
      </c>
      <c r="AT51" s="727">
        <f t="shared" si="22"/>
        <v>0</v>
      </c>
      <c r="AU51" s="727">
        <f>IF(Q51="",-(AI51+AO51)*OverførtTrafikk_Bil,Q51*AntallDøgn)</f>
        <v>0</v>
      </c>
      <c r="AV51" s="728">
        <f>IFERROR(AU51/AS51,0)</f>
        <v>0</v>
      </c>
      <c r="AX51" s="218" t="s">
        <v>1316</v>
      </c>
      <c r="AY51" s="727">
        <f t="shared" ref="AY51:AZ55" si="23">U51*AntallDøgn</f>
        <v>0</v>
      </c>
      <c r="AZ51" s="727">
        <f t="shared" si="23"/>
        <v>0</v>
      </c>
      <c r="BA51" s="727">
        <f>IF(W51="",-(AI51+AO51)*OverførtTrafikk_Buss,W51*AntallDøgn)</f>
        <v>0</v>
      </c>
      <c r="BB51" s="728">
        <f>IFERROR(BA51/AY51,0)</f>
        <v>0</v>
      </c>
      <c r="BD51" s="218" t="s">
        <v>1316</v>
      </c>
      <c r="BE51" s="727">
        <f t="shared" ref="BE51:BF54" si="24">AA51*AntallDøgn</f>
        <v>0</v>
      </c>
      <c r="BF51" s="727">
        <f t="shared" si="24"/>
        <v>0</v>
      </c>
      <c r="BG51" s="727">
        <f>IF(AC51="",-(AI51+AO51)*OverførtTrafikk_Fly,AC51*AntallDøgn)</f>
        <v>0</v>
      </c>
      <c r="BH51" s="728">
        <f>IFERROR(BG51/BE51,0)</f>
        <v>0</v>
      </c>
    </row>
    <row r="52" spans="2:60" x14ac:dyDescent="0.35">
      <c r="B52" s="218" t="s">
        <v>594</v>
      </c>
      <c r="C52" s="727"/>
      <c r="D52" s="727"/>
      <c r="E52" s="727"/>
      <c r="F52" s="728"/>
      <c r="H52" s="218" t="s">
        <v>594</v>
      </c>
      <c r="I52" s="727"/>
      <c r="J52" s="727"/>
      <c r="K52" s="727"/>
      <c r="L52" s="730"/>
      <c r="N52" s="218" t="s">
        <v>1317</v>
      </c>
      <c r="O52" s="727"/>
      <c r="P52" s="727"/>
      <c r="Q52" s="727"/>
      <c r="R52" s="728"/>
      <c r="T52" s="218" t="s">
        <v>1317</v>
      </c>
      <c r="U52" s="727"/>
      <c r="V52" s="727"/>
      <c r="W52" s="727"/>
      <c r="X52" s="728"/>
      <c r="Z52" s="218" t="s">
        <v>1317</v>
      </c>
      <c r="AA52" s="727"/>
      <c r="AB52" s="727"/>
      <c r="AC52" s="727"/>
      <c r="AD52" s="728"/>
      <c r="AF52" s="218" t="s">
        <v>1317</v>
      </c>
      <c r="AG52" s="727">
        <f t="shared" si="20"/>
        <v>0</v>
      </c>
      <c r="AH52" s="727">
        <f t="shared" si="20"/>
        <v>0</v>
      </c>
      <c r="AI52" s="727">
        <f t="shared" si="20"/>
        <v>0</v>
      </c>
      <c r="AJ52" s="728">
        <f t="shared" ref="AJ52:AJ53" si="25">IFERROR(AI52/AG52,0)</f>
        <v>0</v>
      </c>
      <c r="AL52" s="218" t="s">
        <v>1317</v>
      </c>
      <c r="AM52" s="727">
        <f t="shared" si="21"/>
        <v>0</v>
      </c>
      <c r="AN52" s="727">
        <f t="shared" si="21"/>
        <v>0</v>
      </c>
      <c r="AO52" s="727">
        <f t="shared" si="21"/>
        <v>0</v>
      </c>
      <c r="AP52" s="728">
        <f t="shared" ref="AP52:AP53" si="26">IFERROR(AO52/AM52,0)</f>
        <v>0</v>
      </c>
      <c r="AR52" s="218" t="s">
        <v>1317</v>
      </c>
      <c r="AS52" s="727">
        <f t="shared" si="22"/>
        <v>0</v>
      </c>
      <c r="AT52" s="727">
        <f t="shared" si="22"/>
        <v>0</v>
      </c>
      <c r="AU52" s="727">
        <f>IF(Q52="",-(AI52+AO52)*OverførtTrafikk_Bil,Q52*AntallDøgn)</f>
        <v>0</v>
      </c>
      <c r="AV52" s="728">
        <f>IFERROR(AU52/AS52,0)</f>
        <v>0</v>
      </c>
      <c r="AX52" s="218" t="s">
        <v>1317</v>
      </c>
      <c r="AY52" s="727">
        <f t="shared" si="23"/>
        <v>0</v>
      </c>
      <c r="AZ52" s="727">
        <f t="shared" si="23"/>
        <v>0</v>
      </c>
      <c r="BA52" s="727">
        <f>IF(W52="",-(AI52+AO52)*OverførtTrafikk_Buss,W52*AntallDøgn)</f>
        <v>0</v>
      </c>
      <c r="BB52" s="728">
        <f>IFERROR(BA52/AY52,0)</f>
        <v>0</v>
      </c>
      <c r="BD52" s="218" t="s">
        <v>1317</v>
      </c>
      <c r="BE52" s="727">
        <f t="shared" si="24"/>
        <v>0</v>
      </c>
      <c r="BF52" s="727">
        <f t="shared" si="24"/>
        <v>0</v>
      </c>
      <c r="BG52" s="727">
        <f>IF(AC52="",-(AI52+AO52)*OverførtTrafikk_Fly,AC52*AntallDøgn)</f>
        <v>0</v>
      </c>
      <c r="BH52" s="728">
        <f>IFERROR(BG52/BE52,0)</f>
        <v>0</v>
      </c>
    </row>
    <row r="53" spans="2:60" x14ac:dyDescent="0.35">
      <c r="B53" s="314" t="s">
        <v>1319</v>
      </c>
      <c r="C53" s="727"/>
      <c r="D53" s="727"/>
      <c r="E53" s="727"/>
      <c r="F53" s="728"/>
      <c r="H53" s="314" t="s">
        <v>1319</v>
      </c>
      <c r="I53" s="727"/>
      <c r="J53" s="727"/>
      <c r="K53" s="727"/>
      <c r="L53" s="730"/>
      <c r="N53" s="218" t="s">
        <v>1318</v>
      </c>
      <c r="O53" s="727"/>
      <c r="P53" s="727"/>
      <c r="Q53" s="727"/>
      <c r="R53" s="728"/>
      <c r="T53" s="218" t="s">
        <v>1318</v>
      </c>
      <c r="U53" s="727"/>
      <c r="V53" s="727"/>
      <c r="W53" s="727"/>
      <c r="X53" s="728"/>
      <c r="Z53" s="218" t="s">
        <v>1318</v>
      </c>
      <c r="AA53" s="727"/>
      <c r="AB53" s="727"/>
      <c r="AC53" s="727"/>
      <c r="AD53" s="728"/>
      <c r="AF53" s="218" t="s">
        <v>1318</v>
      </c>
      <c r="AG53" s="727">
        <f t="shared" si="20"/>
        <v>0</v>
      </c>
      <c r="AH53" s="727">
        <f t="shared" si="20"/>
        <v>0</v>
      </c>
      <c r="AI53" s="727">
        <f t="shared" si="20"/>
        <v>0</v>
      </c>
      <c r="AJ53" s="728">
        <f t="shared" si="25"/>
        <v>0</v>
      </c>
      <c r="AL53" s="218" t="s">
        <v>1318</v>
      </c>
      <c r="AM53" s="727">
        <f t="shared" si="21"/>
        <v>0</v>
      </c>
      <c r="AN53" s="727">
        <f t="shared" si="21"/>
        <v>0</v>
      </c>
      <c r="AO53" s="727">
        <f t="shared" si="21"/>
        <v>0</v>
      </c>
      <c r="AP53" s="728">
        <f t="shared" si="26"/>
        <v>0</v>
      </c>
      <c r="AR53" s="218" t="s">
        <v>1318</v>
      </c>
      <c r="AS53" s="727">
        <f t="shared" si="22"/>
        <v>0</v>
      </c>
      <c r="AT53" s="727">
        <f t="shared" si="22"/>
        <v>0</v>
      </c>
      <c r="AU53" s="727">
        <f>IF(Q53="",-(AI53+AO53)*OverførtTrafikk_Bil,Q53*AntallDøgn)</f>
        <v>0</v>
      </c>
      <c r="AV53" s="728">
        <f>IFERROR(AU53/AS53,0)</f>
        <v>0</v>
      </c>
      <c r="AX53" s="218" t="s">
        <v>1318</v>
      </c>
      <c r="AY53" s="727">
        <f t="shared" si="23"/>
        <v>0</v>
      </c>
      <c r="AZ53" s="727">
        <f t="shared" si="23"/>
        <v>0</v>
      </c>
      <c r="BA53" s="727">
        <f>IF(W53="",-(AI53+AO53)*OverførtTrafikk_Buss,W53*AntallDøgn)</f>
        <v>0</v>
      </c>
      <c r="BB53" s="728">
        <f>IFERROR(BA53/AY53,0)</f>
        <v>0</v>
      </c>
      <c r="BD53" s="218" t="s">
        <v>1318</v>
      </c>
      <c r="BE53" s="727">
        <f t="shared" si="24"/>
        <v>0</v>
      </c>
      <c r="BF53" s="727">
        <f t="shared" si="24"/>
        <v>0</v>
      </c>
      <c r="BG53" s="727">
        <f>IF(AC53="",-(AI53+AO53)*OverførtTrafikk_Fly,AC53*AntallDøgn)</f>
        <v>0</v>
      </c>
      <c r="BH53" s="728">
        <f>IFERROR(BG53/BE53,0)</f>
        <v>0</v>
      </c>
    </row>
    <row r="54" spans="2:60" x14ac:dyDescent="0.35">
      <c r="B54" s="218"/>
      <c r="C54" s="83"/>
      <c r="D54" s="83"/>
      <c r="E54" s="83"/>
      <c r="F54" s="315"/>
      <c r="H54" s="218"/>
      <c r="I54" s="83"/>
      <c r="J54" s="83"/>
      <c r="K54" s="83"/>
      <c r="L54" s="315"/>
      <c r="N54" s="218" t="s">
        <v>594</v>
      </c>
      <c r="O54" s="727"/>
      <c r="P54" s="727"/>
      <c r="Q54" s="727"/>
      <c r="R54" s="728"/>
      <c r="T54" s="218" t="s">
        <v>594</v>
      </c>
      <c r="U54" s="727"/>
      <c r="V54" s="727"/>
      <c r="W54" s="727"/>
      <c r="X54" s="728"/>
      <c r="Z54" s="218" t="s">
        <v>594</v>
      </c>
      <c r="AA54" s="727"/>
      <c r="AB54" s="727"/>
      <c r="AC54" s="727"/>
      <c r="AD54" s="728"/>
      <c r="AF54" s="218" t="s">
        <v>594</v>
      </c>
      <c r="AG54" s="727">
        <f t="shared" si="20"/>
        <v>0</v>
      </c>
      <c r="AH54" s="727">
        <f t="shared" si="20"/>
        <v>0</v>
      </c>
      <c r="AI54" s="727">
        <f t="shared" si="20"/>
        <v>0</v>
      </c>
      <c r="AJ54" s="728">
        <f>IFERROR(AI54/AG54,0)</f>
        <v>0</v>
      </c>
      <c r="AL54" s="218" t="s">
        <v>594</v>
      </c>
      <c r="AM54" s="727">
        <f t="shared" si="21"/>
        <v>0</v>
      </c>
      <c r="AN54" s="727">
        <f t="shared" si="21"/>
        <v>0</v>
      </c>
      <c r="AO54" s="727">
        <f t="shared" si="21"/>
        <v>0</v>
      </c>
      <c r="AP54" s="728">
        <f>IFERROR(AO54/AM54,0)</f>
        <v>0</v>
      </c>
      <c r="AR54" s="218" t="s">
        <v>594</v>
      </c>
      <c r="AS54" s="727">
        <f t="shared" si="22"/>
        <v>0</v>
      </c>
      <c r="AT54" s="727">
        <f t="shared" si="22"/>
        <v>0</v>
      </c>
      <c r="AU54" s="727">
        <f>IF(Q54="",-(AI54+AO54)*OverførtTrafikk_Bil,Q54*AntallDøgn)</f>
        <v>0</v>
      </c>
      <c r="AV54" s="728">
        <f>IFERROR(AU54/AS54,0)</f>
        <v>0</v>
      </c>
      <c r="AX54" s="218" t="s">
        <v>594</v>
      </c>
      <c r="AY54" s="727">
        <f t="shared" si="23"/>
        <v>0</v>
      </c>
      <c r="AZ54" s="727">
        <f t="shared" si="23"/>
        <v>0</v>
      </c>
      <c r="BA54" s="727">
        <f>IF(W54="",-(AI54+AO54)*OverførtTrafikk_Buss,W54*AntallDøgn)</f>
        <v>0</v>
      </c>
      <c r="BB54" s="728">
        <f>IFERROR(BA54/AY54,0)</f>
        <v>0</v>
      </c>
      <c r="BD54" s="218" t="s">
        <v>594</v>
      </c>
      <c r="BE54" s="727">
        <f t="shared" si="24"/>
        <v>0</v>
      </c>
      <c r="BF54" s="727">
        <f t="shared" si="24"/>
        <v>0</v>
      </c>
      <c r="BG54" s="727">
        <f>IF(AC54="",-(AI54+AO54)*OverførtTrafikk_Fly,AC54*AntallDøgn)</f>
        <v>0</v>
      </c>
      <c r="BH54" s="728">
        <f>IFERROR(BG54/BE54,0)</f>
        <v>0</v>
      </c>
    </row>
    <row r="55" spans="2:60" x14ac:dyDescent="0.35">
      <c r="B55" s="314" t="s">
        <v>1320</v>
      </c>
      <c r="C55" s="727"/>
      <c r="D55" s="727"/>
      <c r="E55" s="727"/>
      <c r="F55" s="728"/>
      <c r="H55" s="314" t="s">
        <v>1320</v>
      </c>
      <c r="I55" s="727"/>
      <c r="J55" s="727"/>
      <c r="K55" s="727"/>
      <c r="L55" s="730"/>
      <c r="N55" s="314"/>
      <c r="O55" s="83"/>
      <c r="P55" s="83"/>
      <c r="Q55" s="83"/>
      <c r="R55" s="315"/>
      <c r="T55" s="314" t="s">
        <v>1319</v>
      </c>
      <c r="U55" s="727"/>
      <c r="V55" s="727"/>
      <c r="W55" s="727"/>
      <c r="X55" s="728"/>
      <c r="Z55" s="218"/>
      <c r="AA55" s="83"/>
      <c r="AB55" s="83"/>
      <c r="AC55" s="83"/>
      <c r="AD55" s="315"/>
      <c r="AF55" s="314" t="s">
        <v>1319</v>
      </c>
      <c r="AG55" s="727">
        <f t="shared" si="20"/>
        <v>0</v>
      </c>
      <c r="AH55" s="727">
        <f t="shared" si="20"/>
        <v>0</v>
      </c>
      <c r="AI55" s="727">
        <f t="shared" si="20"/>
        <v>0</v>
      </c>
      <c r="AJ55" s="728">
        <f t="shared" ref="AJ55" si="27">IFERROR(AI55/AG55,0)</f>
        <v>0</v>
      </c>
      <c r="AL55" s="314" t="s">
        <v>1319</v>
      </c>
      <c r="AM55" s="727">
        <f t="shared" si="21"/>
        <v>0</v>
      </c>
      <c r="AN55" s="727">
        <f t="shared" si="21"/>
        <v>0</v>
      </c>
      <c r="AO55" s="727">
        <f t="shared" si="21"/>
        <v>0</v>
      </c>
      <c r="AP55" s="728">
        <f t="shared" ref="AP55" si="28">IFERROR(AO55/AM55,0)</f>
        <v>0</v>
      </c>
      <c r="AR55" s="314"/>
      <c r="AS55" s="83"/>
      <c r="AT55" s="83"/>
      <c r="AU55" s="83"/>
      <c r="AV55" s="315"/>
      <c r="AX55" s="314" t="s">
        <v>1319</v>
      </c>
      <c r="AY55" s="727">
        <f t="shared" si="23"/>
        <v>0</v>
      </c>
      <c r="AZ55" s="727">
        <f t="shared" si="23"/>
        <v>0</v>
      </c>
      <c r="BA55" s="727">
        <f>IF(W55="",-(AI55+AO55)*OverførtTrafikk_Buss,W55*AntallDøgn)</f>
        <v>0</v>
      </c>
      <c r="BB55" s="728">
        <f>IFERROR(BA55/AY55,0)</f>
        <v>0</v>
      </c>
      <c r="BD55" s="218"/>
      <c r="BE55" s="83"/>
      <c r="BF55" s="83"/>
      <c r="BG55" s="83"/>
      <c r="BH55" s="315"/>
    </row>
    <row r="56" spans="2:60" x14ac:dyDescent="0.35">
      <c r="B56" s="218"/>
      <c r="C56" s="83"/>
      <c r="D56" s="83"/>
      <c r="E56" s="83"/>
      <c r="F56" s="315"/>
      <c r="H56" s="218"/>
      <c r="I56" s="83"/>
      <c r="J56" s="83"/>
      <c r="K56" s="83"/>
      <c r="L56" s="315"/>
      <c r="N56" s="314"/>
      <c r="O56" s="83"/>
      <c r="P56" s="83"/>
      <c r="Q56" s="83"/>
      <c r="R56" s="315"/>
      <c r="T56" s="218"/>
      <c r="U56" s="83"/>
      <c r="V56" s="83"/>
      <c r="W56" s="83"/>
      <c r="X56" s="315"/>
      <c r="Z56" s="218"/>
      <c r="AA56" s="83"/>
      <c r="AB56" s="83"/>
      <c r="AC56" s="83"/>
      <c r="AD56" s="315"/>
      <c r="AF56" s="218"/>
      <c r="AG56" s="83" t="s">
        <v>884</v>
      </c>
      <c r="AH56" s="83" t="s">
        <v>884</v>
      </c>
      <c r="AI56" s="83" t="s">
        <v>884</v>
      </c>
      <c r="AJ56" s="315"/>
      <c r="AL56" s="218"/>
      <c r="AM56" s="83" t="s">
        <v>884</v>
      </c>
      <c r="AN56" s="83" t="s">
        <v>884</v>
      </c>
      <c r="AO56" s="83" t="s">
        <v>884</v>
      </c>
      <c r="AP56" s="315"/>
      <c r="AR56" s="218"/>
      <c r="AS56" s="83"/>
      <c r="AT56" s="83"/>
      <c r="AU56" s="83"/>
      <c r="AV56" s="315"/>
      <c r="AX56" s="218"/>
      <c r="AY56" s="83"/>
      <c r="AZ56" s="83"/>
      <c r="BA56" s="83"/>
      <c r="BB56" s="315"/>
      <c r="BD56" s="218"/>
      <c r="BE56" s="83"/>
      <c r="BF56" s="83"/>
      <c r="BG56" s="83"/>
      <c r="BH56" s="315"/>
    </row>
    <row r="57" spans="2:60" x14ac:dyDescent="0.35">
      <c r="B57" s="220" t="s">
        <v>1321</v>
      </c>
      <c r="C57" s="95"/>
      <c r="D57" s="95"/>
      <c r="E57" s="95"/>
      <c r="F57" s="394"/>
      <c r="H57" s="220" t="s">
        <v>1321</v>
      </c>
      <c r="I57" s="95"/>
      <c r="J57" s="95"/>
      <c r="K57" s="95"/>
      <c r="L57" s="394"/>
      <c r="N57" s="314"/>
      <c r="O57" s="83"/>
      <c r="P57" s="83"/>
      <c r="Q57" s="83"/>
      <c r="R57" s="315"/>
      <c r="T57" s="314" t="s">
        <v>1320</v>
      </c>
      <c r="U57" s="727"/>
      <c r="V57" s="727"/>
      <c r="W57" s="727"/>
      <c r="X57" s="728"/>
      <c r="Z57" s="314"/>
      <c r="AA57" s="83"/>
      <c r="AB57" s="83"/>
      <c r="AC57" s="83"/>
      <c r="AD57" s="315"/>
      <c r="AF57" s="314" t="s">
        <v>1320</v>
      </c>
      <c r="AG57" s="727">
        <f>C55*AntallDøgn/(1+Moms_Billett)</f>
        <v>0</v>
      </c>
      <c r="AH57" s="727">
        <f>D55*AntallDøgn/(1+Moms_Billett)</f>
        <v>0</v>
      </c>
      <c r="AI57" s="727">
        <f>E55*AntallDøgn/(1+Moms_Billett)</f>
        <v>0</v>
      </c>
      <c r="AJ57" s="728">
        <f>IFERROR(AI57/AG57,0)</f>
        <v>0</v>
      </c>
      <c r="AL57" s="314" t="s">
        <v>1320</v>
      </c>
      <c r="AM57" s="727">
        <f>I55*AntallDøgn/(1+Moms_Billett)</f>
        <v>0</v>
      </c>
      <c r="AN57" s="727">
        <f>J55*AntallDøgn/(1+Moms_Billett)</f>
        <v>0</v>
      </c>
      <c r="AO57" s="727">
        <f>K55*AntallDøgn/(1+Moms_Billett)</f>
        <v>0</v>
      </c>
      <c r="AP57" s="728">
        <f>IFERROR(AO57/AM57,0)</f>
        <v>0</v>
      </c>
      <c r="AR57" s="314"/>
      <c r="AS57" s="83"/>
      <c r="AT57" s="83"/>
      <c r="AU57" s="83"/>
      <c r="AV57" s="315"/>
      <c r="AX57" s="314" t="s">
        <v>1320</v>
      </c>
      <c r="AY57" s="727">
        <f>IF(U57="",0,U57*AntallDøgn/(1+Moms_Billett))</f>
        <v>0</v>
      </c>
      <c r="AZ57" s="727">
        <f>IF(V57="",0,V57*AntallDøgn/(1+Moms_Billett))</f>
        <v>0</v>
      </c>
      <c r="BA57" s="727">
        <f>IF(W57="",0,W57*AntallDøgn/(1+Moms_Billett))</f>
        <v>0</v>
      </c>
      <c r="BB57" s="728">
        <f>IFERROR(BA57/AY57,0)</f>
        <v>0</v>
      </c>
      <c r="BD57" s="218"/>
      <c r="BE57" s="83"/>
      <c r="BF57" s="83"/>
      <c r="BG57" s="83"/>
      <c r="BH57" s="315"/>
    </row>
    <row r="58" spans="2:60" x14ac:dyDescent="0.35">
      <c r="B58" s="218" t="s">
        <v>1323</v>
      </c>
      <c r="C58" s="727"/>
      <c r="D58" s="727"/>
      <c r="E58" s="727"/>
      <c r="F58" s="728"/>
      <c r="H58" s="218" t="s">
        <v>1323</v>
      </c>
      <c r="I58" s="727"/>
      <c r="J58" s="727"/>
      <c r="K58" s="727"/>
      <c r="L58" s="730"/>
      <c r="N58" s="218"/>
      <c r="O58" s="83"/>
      <c r="P58" s="83"/>
      <c r="Q58" s="83"/>
      <c r="R58" s="315"/>
      <c r="T58" s="218"/>
      <c r="U58" s="83"/>
      <c r="V58" s="83"/>
      <c r="W58" s="83"/>
      <c r="X58" s="393"/>
      <c r="Z58" s="218"/>
      <c r="AA58" s="83"/>
      <c r="AB58" s="83"/>
      <c r="AC58" s="83"/>
      <c r="AD58" s="315"/>
      <c r="AF58" s="218"/>
      <c r="AG58" s="83" t="s">
        <v>884</v>
      </c>
      <c r="AH58" s="83" t="s">
        <v>884</v>
      </c>
      <c r="AI58" s="83" t="s">
        <v>884</v>
      </c>
      <c r="AJ58" s="315"/>
      <c r="AL58" s="218"/>
      <c r="AM58" s="83" t="s">
        <v>884</v>
      </c>
      <c r="AN58" s="83" t="s">
        <v>884</v>
      </c>
      <c r="AO58" s="83" t="s">
        <v>884</v>
      </c>
      <c r="AP58" s="315"/>
      <c r="AR58" s="218"/>
      <c r="AS58" s="83"/>
      <c r="AT58" s="83"/>
      <c r="AU58" s="83"/>
      <c r="AV58" s="315"/>
      <c r="AX58" s="218"/>
      <c r="AY58" s="83"/>
      <c r="AZ58" s="83"/>
      <c r="BA58" s="83"/>
      <c r="BB58" s="315"/>
      <c r="BD58" s="218"/>
      <c r="BE58" s="83"/>
      <c r="BF58" s="83"/>
      <c r="BG58" s="83"/>
      <c r="BH58" s="315"/>
    </row>
    <row r="59" spans="2:60" x14ac:dyDescent="0.35">
      <c r="B59" s="218" t="s">
        <v>1324</v>
      </c>
      <c r="C59" s="727"/>
      <c r="D59" s="727"/>
      <c r="E59" s="727"/>
      <c r="F59" s="728"/>
      <c r="H59" s="218" t="s">
        <v>1324</v>
      </c>
      <c r="I59" s="727"/>
      <c r="J59" s="727"/>
      <c r="K59" s="727"/>
      <c r="L59" s="730"/>
      <c r="N59" s="220" t="s">
        <v>1322</v>
      </c>
      <c r="O59" s="95"/>
      <c r="P59" s="95"/>
      <c r="Q59" s="95"/>
      <c r="R59" s="394"/>
      <c r="T59" s="220" t="s">
        <v>1321</v>
      </c>
      <c r="U59" s="95"/>
      <c r="V59" s="95"/>
      <c r="W59" s="95"/>
      <c r="X59" s="394"/>
      <c r="Z59" s="220" t="s">
        <v>1321</v>
      </c>
      <c r="AA59" s="95"/>
      <c r="AB59" s="95"/>
      <c r="AC59" s="95"/>
      <c r="AD59" s="394"/>
      <c r="AF59" s="220" t="s">
        <v>1321</v>
      </c>
      <c r="AG59" s="391"/>
      <c r="AH59" s="391"/>
      <c r="AI59" s="391"/>
      <c r="AJ59" s="392"/>
      <c r="AL59" s="220" t="s">
        <v>1321</v>
      </c>
      <c r="AM59" s="391"/>
      <c r="AN59" s="391"/>
      <c r="AO59" s="391"/>
      <c r="AP59" s="392"/>
      <c r="AR59" s="220" t="s">
        <v>1322</v>
      </c>
      <c r="AS59" s="95"/>
      <c r="AT59" s="95"/>
      <c r="AU59" s="95"/>
      <c r="AV59" s="394"/>
      <c r="AX59" s="220" t="s">
        <v>1321</v>
      </c>
      <c r="AY59" s="95"/>
      <c r="AZ59" s="95"/>
      <c r="BA59" s="95"/>
      <c r="BB59" s="394"/>
      <c r="BD59" s="220" t="s">
        <v>1321</v>
      </c>
      <c r="BE59" s="95"/>
      <c r="BF59" s="95"/>
      <c r="BG59" s="95"/>
      <c r="BH59" s="394"/>
    </row>
    <row r="60" spans="2:60" x14ac:dyDescent="0.35">
      <c r="B60" s="218" t="s">
        <v>1325</v>
      </c>
      <c r="C60" s="727"/>
      <c r="D60" s="727"/>
      <c r="E60" s="727"/>
      <c r="F60" s="728"/>
      <c r="H60" s="218" t="s">
        <v>1325</v>
      </c>
      <c r="I60" s="727"/>
      <c r="J60" s="727"/>
      <c r="K60" s="727"/>
      <c r="L60" s="730"/>
      <c r="N60" s="218" t="s">
        <v>1323</v>
      </c>
      <c r="O60" s="727"/>
      <c r="P60" s="727"/>
      <c r="Q60" s="727"/>
      <c r="R60" s="728"/>
      <c r="T60" s="218" t="s">
        <v>1323</v>
      </c>
      <c r="U60" s="727"/>
      <c r="V60" s="727"/>
      <c r="W60" s="727"/>
      <c r="X60" s="728"/>
      <c r="Z60" s="218" t="s">
        <v>1323</v>
      </c>
      <c r="AA60" s="727"/>
      <c r="AB60" s="727"/>
      <c r="AC60" s="727"/>
      <c r="AD60" s="728"/>
      <c r="AF60" s="218" t="s">
        <v>1323</v>
      </c>
      <c r="AG60" s="727">
        <f t="shared" ref="AG60:AI63" si="29">C58*AntallDøgn</f>
        <v>0</v>
      </c>
      <c r="AH60" s="727">
        <f t="shared" si="29"/>
        <v>0</v>
      </c>
      <c r="AI60" s="727">
        <f t="shared" si="29"/>
        <v>0</v>
      </c>
      <c r="AJ60" s="728">
        <f t="shared" ref="AJ60:AJ63" si="30">IFERROR(AI60/AG60,0)</f>
        <v>0</v>
      </c>
      <c r="AL60" s="218" t="s">
        <v>1323</v>
      </c>
      <c r="AM60" s="727">
        <f t="shared" ref="AM60:AO63" si="31">I58*AntallDøgn</f>
        <v>0</v>
      </c>
      <c r="AN60" s="727">
        <f t="shared" si="31"/>
        <v>0</v>
      </c>
      <c r="AO60" s="727">
        <f t="shared" si="31"/>
        <v>0</v>
      </c>
      <c r="AP60" s="728">
        <f t="shared" ref="AP60:AP63" si="32">IFERROR(AO60/AM60,0)</f>
        <v>0</v>
      </c>
      <c r="AR60" s="218" t="s">
        <v>1323</v>
      </c>
      <c r="AS60" s="727">
        <f t="shared" ref="AS60:AU62" si="33">O60*AntallDøgn</f>
        <v>0</v>
      </c>
      <c r="AT60" s="727">
        <f t="shared" si="33"/>
        <v>0</v>
      </c>
      <c r="AU60" s="727">
        <f t="shared" si="33"/>
        <v>0</v>
      </c>
      <c r="AV60" s="728">
        <f>IFERROR(AU60/AS60,0)</f>
        <v>0</v>
      </c>
      <c r="AX60" s="218" t="s">
        <v>1323</v>
      </c>
      <c r="AY60" s="727">
        <f t="shared" ref="AY60:BA62" si="34">U60*AntallDøgn</f>
        <v>0</v>
      </c>
      <c r="AZ60" s="727">
        <f t="shared" si="34"/>
        <v>0</v>
      </c>
      <c r="BA60" s="727">
        <f t="shared" si="34"/>
        <v>0</v>
      </c>
      <c r="BB60" s="728">
        <f>IFERROR(BA60/AY60,0)</f>
        <v>0</v>
      </c>
      <c r="BD60" s="218" t="s">
        <v>1323</v>
      </c>
      <c r="BE60" s="727">
        <f t="shared" ref="BE60:BG62" si="35">AA60*AntallDøgn</f>
        <v>0</v>
      </c>
      <c r="BF60" s="727">
        <f t="shared" si="35"/>
        <v>0</v>
      </c>
      <c r="BG60" s="727">
        <f t="shared" si="35"/>
        <v>0</v>
      </c>
      <c r="BH60" s="728">
        <f>IFERROR(BG60/BE60,0)</f>
        <v>0</v>
      </c>
    </row>
    <row r="61" spans="2:60" x14ac:dyDescent="0.35">
      <c r="B61" s="218" t="s">
        <v>594</v>
      </c>
      <c r="C61" s="727"/>
      <c r="D61" s="727"/>
      <c r="E61" s="727"/>
      <c r="F61" s="728"/>
      <c r="H61" s="218" t="s">
        <v>594</v>
      </c>
      <c r="I61" s="727"/>
      <c r="J61" s="727"/>
      <c r="K61" s="727"/>
      <c r="L61" s="730"/>
      <c r="N61" s="218" t="s">
        <v>1324</v>
      </c>
      <c r="O61" s="727"/>
      <c r="P61" s="727"/>
      <c r="Q61" s="727"/>
      <c r="R61" s="728"/>
      <c r="T61" s="218" t="s">
        <v>1324</v>
      </c>
      <c r="U61" s="727"/>
      <c r="V61" s="727"/>
      <c r="W61" s="727"/>
      <c r="X61" s="728"/>
      <c r="Z61" s="218" t="s">
        <v>1324</v>
      </c>
      <c r="AA61" s="727"/>
      <c r="AB61" s="727"/>
      <c r="AC61" s="727"/>
      <c r="AD61" s="728"/>
      <c r="AF61" s="218" t="s">
        <v>1324</v>
      </c>
      <c r="AG61" s="727">
        <f t="shared" si="29"/>
        <v>0</v>
      </c>
      <c r="AH61" s="727">
        <f t="shared" si="29"/>
        <v>0</v>
      </c>
      <c r="AI61" s="727">
        <f t="shared" si="29"/>
        <v>0</v>
      </c>
      <c r="AJ61" s="728">
        <f t="shared" si="30"/>
        <v>0</v>
      </c>
      <c r="AL61" s="218" t="s">
        <v>1324</v>
      </c>
      <c r="AM61" s="727">
        <f t="shared" si="31"/>
        <v>0</v>
      </c>
      <c r="AN61" s="727">
        <f t="shared" si="31"/>
        <v>0</v>
      </c>
      <c r="AO61" s="727">
        <f t="shared" si="31"/>
        <v>0</v>
      </c>
      <c r="AP61" s="728">
        <f t="shared" si="32"/>
        <v>0</v>
      </c>
      <c r="AR61" s="218" t="s">
        <v>1324</v>
      </c>
      <c r="AS61" s="727">
        <f t="shared" si="33"/>
        <v>0</v>
      </c>
      <c r="AT61" s="727">
        <f t="shared" si="33"/>
        <v>0</v>
      </c>
      <c r="AU61" s="727">
        <f t="shared" si="33"/>
        <v>0</v>
      </c>
      <c r="AV61" s="728">
        <f>IFERROR(AU61/AS61,0)</f>
        <v>0</v>
      </c>
      <c r="AX61" s="218" t="s">
        <v>1324</v>
      </c>
      <c r="AY61" s="727">
        <f t="shared" si="34"/>
        <v>0</v>
      </c>
      <c r="AZ61" s="727">
        <f t="shared" si="34"/>
        <v>0</v>
      </c>
      <c r="BA61" s="727">
        <f t="shared" si="34"/>
        <v>0</v>
      </c>
      <c r="BB61" s="728">
        <f>IFERROR(BA61/AY61,0)</f>
        <v>0</v>
      </c>
      <c r="BD61" s="218" t="s">
        <v>1324</v>
      </c>
      <c r="BE61" s="727">
        <f t="shared" si="35"/>
        <v>0</v>
      </c>
      <c r="BF61" s="727">
        <f t="shared" si="35"/>
        <v>0</v>
      </c>
      <c r="BG61" s="727">
        <f t="shared" si="35"/>
        <v>0</v>
      </c>
      <c r="BH61" s="728">
        <f>IFERROR(BG61/BE61,0)</f>
        <v>0</v>
      </c>
    </row>
    <row r="62" spans="2:60" x14ac:dyDescent="0.35">
      <c r="B62" s="218" t="s">
        <v>1326</v>
      </c>
      <c r="C62" s="727"/>
      <c r="D62" s="727"/>
      <c r="E62" s="727"/>
      <c r="F62" s="728"/>
      <c r="H62" s="218" t="s">
        <v>1326</v>
      </c>
      <c r="I62" s="727"/>
      <c r="J62" s="727"/>
      <c r="K62" s="727"/>
      <c r="L62" s="730"/>
      <c r="N62" s="218" t="s">
        <v>1325</v>
      </c>
      <c r="O62" s="727"/>
      <c r="P62" s="727"/>
      <c r="Q62" s="727"/>
      <c r="R62" s="728"/>
      <c r="T62" s="218" t="s">
        <v>1325</v>
      </c>
      <c r="U62" s="727"/>
      <c r="V62" s="727"/>
      <c r="W62" s="727"/>
      <c r="X62" s="728"/>
      <c r="Z62" s="218" t="s">
        <v>1325</v>
      </c>
      <c r="AA62" s="727"/>
      <c r="AB62" s="727"/>
      <c r="AC62" s="727"/>
      <c r="AD62" s="728"/>
      <c r="AF62" s="218" t="s">
        <v>1325</v>
      </c>
      <c r="AG62" s="727">
        <f t="shared" si="29"/>
        <v>0</v>
      </c>
      <c r="AH62" s="727">
        <f t="shared" si="29"/>
        <v>0</v>
      </c>
      <c r="AI62" s="727">
        <f t="shared" si="29"/>
        <v>0</v>
      </c>
      <c r="AJ62" s="728">
        <f t="shared" si="30"/>
        <v>0</v>
      </c>
      <c r="AL62" s="218" t="s">
        <v>1325</v>
      </c>
      <c r="AM62" s="727">
        <f t="shared" si="31"/>
        <v>0</v>
      </c>
      <c r="AN62" s="727">
        <f t="shared" si="31"/>
        <v>0</v>
      </c>
      <c r="AO62" s="727">
        <f t="shared" si="31"/>
        <v>0</v>
      </c>
      <c r="AP62" s="728">
        <f t="shared" si="32"/>
        <v>0</v>
      </c>
      <c r="AR62" s="218" t="s">
        <v>1325</v>
      </c>
      <c r="AS62" s="727">
        <f t="shared" si="33"/>
        <v>0</v>
      </c>
      <c r="AT62" s="727">
        <f t="shared" si="33"/>
        <v>0</v>
      </c>
      <c r="AU62" s="727">
        <f t="shared" si="33"/>
        <v>0</v>
      </c>
      <c r="AV62" s="728">
        <f>IFERROR(AU62/AS62,0)</f>
        <v>0</v>
      </c>
      <c r="AX62" s="218" t="s">
        <v>1325</v>
      </c>
      <c r="AY62" s="727">
        <f t="shared" si="34"/>
        <v>0</v>
      </c>
      <c r="AZ62" s="727">
        <f t="shared" si="34"/>
        <v>0</v>
      </c>
      <c r="BA62" s="727">
        <f t="shared" si="34"/>
        <v>0</v>
      </c>
      <c r="BB62" s="728">
        <f>IFERROR(BA62/AY62,0)</f>
        <v>0</v>
      </c>
      <c r="BD62" s="218" t="s">
        <v>1325</v>
      </c>
      <c r="BE62" s="727">
        <f t="shared" si="35"/>
        <v>0</v>
      </c>
      <c r="BF62" s="727">
        <f t="shared" si="35"/>
        <v>0</v>
      </c>
      <c r="BG62" s="727">
        <f t="shared" si="35"/>
        <v>0</v>
      </c>
      <c r="BH62" s="728">
        <f>IFERROR(BG62/BE62,0)</f>
        <v>0</v>
      </c>
    </row>
    <row r="63" spans="2:60" ht="15" thickBot="1" x14ac:dyDescent="0.4">
      <c r="B63" s="220" t="s">
        <v>1327</v>
      </c>
      <c r="C63" s="95"/>
      <c r="D63" s="95"/>
      <c r="E63" s="95"/>
      <c r="F63" s="394"/>
      <c r="H63" s="220" t="s">
        <v>1327</v>
      </c>
      <c r="I63" s="95"/>
      <c r="J63" s="95"/>
      <c r="K63" s="95"/>
      <c r="L63" s="394"/>
      <c r="N63" s="266" t="s">
        <v>594</v>
      </c>
      <c r="O63" s="731"/>
      <c r="P63" s="731"/>
      <c r="Q63" s="731"/>
      <c r="R63" s="732"/>
      <c r="T63" s="266" t="s">
        <v>594</v>
      </c>
      <c r="U63" s="731"/>
      <c r="V63" s="731"/>
      <c r="W63" s="731"/>
      <c r="X63" s="732"/>
      <c r="Z63" s="266" t="s">
        <v>594</v>
      </c>
      <c r="AA63" s="731"/>
      <c r="AB63" s="731"/>
      <c r="AC63" s="731"/>
      <c r="AD63" s="732"/>
      <c r="AF63" s="218" t="s">
        <v>594</v>
      </c>
      <c r="AG63" s="727">
        <f t="shared" si="29"/>
        <v>0</v>
      </c>
      <c r="AH63" s="727">
        <f t="shared" si="29"/>
        <v>0</v>
      </c>
      <c r="AI63" s="727">
        <f t="shared" si="29"/>
        <v>0</v>
      </c>
      <c r="AJ63" s="728">
        <f t="shared" si="30"/>
        <v>0</v>
      </c>
      <c r="AL63" s="218" t="s">
        <v>594</v>
      </c>
      <c r="AM63" s="727">
        <f t="shared" si="31"/>
        <v>0</v>
      </c>
      <c r="AN63" s="727">
        <f t="shared" si="31"/>
        <v>0</v>
      </c>
      <c r="AO63" s="727">
        <f t="shared" si="31"/>
        <v>0</v>
      </c>
      <c r="AP63" s="728">
        <f t="shared" si="32"/>
        <v>0</v>
      </c>
      <c r="AR63" s="266" t="s">
        <v>594</v>
      </c>
      <c r="AS63" s="731">
        <f>O63*AntallDøgn</f>
        <v>0</v>
      </c>
      <c r="AT63" s="731">
        <f>P63*AntallDøgn</f>
        <v>0</v>
      </c>
      <c r="AU63" s="731">
        <f>IF(Q63="",-(AI63+AO63)*OverførtTrafikk_Bil,Q63*AntallDøgn)</f>
        <v>0</v>
      </c>
      <c r="AV63" s="732">
        <f>IFERROR(AU63/AS63,0)</f>
        <v>0</v>
      </c>
      <c r="AX63" s="266" t="s">
        <v>594</v>
      </c>
      <c r="AY63" s="731">
        <f>U63*AntallDøgn</f>
        <v>0</v>
      </c>
      <c r="AZ63" s="731">
        <f>V63*AntallDøgn</f>
        <v>0</v>
      </c>
      <c r="BA63" s="731">
        <f>IF(W63="",-(AI63+AO63)*OverførtTrafikk_Buss,W63*AntallDøgn)</f>
        <v>0</v>
      </c>
      <c r="BB63" s="732">
        <f>IFERROR(BA63/AY63,0)</f>
        <v>0</v>
      </c>
      <c r="BD63" s="266" t="s">
        <v>594</v>
      </c>
      <c r="BE63" s="731">
        <f>AA63*AntallDøgn</f>
        <v>0</v>
      </c>
      <c r="BF63" s="731">
        <f>AB63*AntallDøgn</f>
        <v>0</v>
      </c>
      <c r="BG63" s="731">
        <f>IF(AC63="",-(AI63+AO63)*OverførtTrafikk_Fly,AC63*AntallDøgn)</f>
        <v>0</v>
      </c>
      <c r="BH63" s="732">
        <f>IFERROR(BG63/BE63,0)</f>
        <v>0</v>
      </c>
    </row>
    <row r="64" spans="2:60" x14ac:dyDescent="0.35">
      <c r="B64" s="218" t="s">
        <v>1328</v>
      </c>
      <c r="C64" s="727"/>
      <c r="D64" s="727"/>
      <c r="E64" s="727"/>
      <c r="F64" s="728"/>
      <c r="H64" s="218" t="s">
        <v>1328</v>
      </c>
      <c r="I64" s="727"/>
      <c r="J64" s="727"/>
      <c r="K64" s="727"/>
      <c r="L64" s="730"/>
      <c r="O64" s="198"/>
      <c r="P64" s="198"/>
      <c r="Q64" s="198"/>
      <c r="R64" s="396"/>
      <c r="U64" s="198"/>
      <c r="V64" s="198"/>
      <c r="W64" s="198"/>
      <c r="X64" s="396"/>
      <c r="AF64" s="218"/>
      <c r="AG64" s="83"/>
      <c r="AH64" s="83"/>
      <c r="AI64" s="83"/>
      <c r="AJ64" s="315"/>
      <c r="AL64" s="218"/>
      <c r="AM64" s="83"/>
      <c r="AN64" s="83"/>
      <c r="AO64" s="83"/>
      <c r="AP64" s="315"/>
      <c r="AS64" s="198"/>
      <c r="AT64" s="198"/>
      <c r="AU64" s="198"/>
      <c r="AV64" s="396"/>
      <c r="AY64" s="198"/>
      <c r="AZ64" s="198"/>
      <c r="BA64" s="198"/>
      <c r="BB64" s="396"/>
    </row>
    <row r="65" spans="2:60" x14ac:dyDescent="0.35">
      <c r="B65" s="218" t="s">
        <v>1329</v>
      </c>
      <c r="C65" s="727"/>
      <c r="D65" s="727"/>
      <c r="E65" s="727"/>
      <c r="F65" s="728"/>
      <c r="H65" s="218" t="s">
        <v>1329</v>
      </c>
      <c r="I65" s="727"/>
      <c r="J65" s="727"/>
      <c r="K65" s="727"/>
      <c r="L65" s="730"/>
      <c r="AF65" s="220" t="s">
        <v>1327</v>
      </c>
      <c r="AG65" s="391" t="s">
        <v>884</v>
      </c>
      <c r="AH65" s="391" t="s">
        <v>884</v>
      </c>
      <c r="AI65" s="391" t="s">
        <v>884</v>
      </c>
      <c r="AJ65" s="392"/>
      <c r="AL65" s="220" t="s">
        <v>1327</v>
      </c>
      <c r="AM65" s="391" t="s">
        <v>884</v>
      </c>
      <c r="AN65" s="391" t="s">
        <v>884</v>
      </c>
      <c r="AO65" s="391" t="s">
        <v>884</v>
      </c>
      <c r="AP65" s="392"/>
    </row>
    <row r="66" spans="2:60" x14ac:dyDescent="0.35">
      <c r="B66" s="218" t="s">
        <v>1331</v>
      </c>
      <c r="C66" s="727"/>
      <c r="D66" s="727"/>
      <c r="E66" s="727"/>
      <c r="F66" s="728"/>
      <c r="H66" s="218" t="s">
        <v>1331</v>
      </c>
      <c r="I66" s="727"/>
      <c r="J66" s="727"/>
      <c r="K66" s="727"/>
      <c r="L66" s="730"/>
      <c r="AF66" s="218" t="s">
        <v>1328</v>
      </c>
      <c r="AG66" s="727">
        <f>C64*AntallDøgn*(1+Tomtogkjøring)</f>
        <v>0</v>
      </c>
      <c r="AH66" s="727">
        <f t="shared" ref="AH66:AH67" si="36">D64*AntallDøgn*(1+Tomtogkjøring_Tiltak)</f>
        <v>0</v>
      </c>
      <c r="AI66" s="727">
        <f>Settkm_TiltakÅr2-Settkm_RefÅr2</f>
        <v>0</v>
      </c>
      <c r="AJ66" s="728">
        <f t="shared" ref="AJ66" si="37">IFERROR(AI66/AG66,0)</f>
        <v>0</v>
      </c>
      <c r="AK66" s="198"/>
      <c r="AL66" s="218" t="s">
        <v>1328</v>
      </c>
      <c r="AM66" s="727">
        <f>I64*AntallDøgn*(1+Tomtogkjøring)</f>
        <v>0</v>
      </c>
      <c r="AN66" s="727">
        <f t="shared" ref="AN66:AN67" si="38">J64*AntallDøgn*(1+Tomtogkjøring_Tiltak)</f>
        <v>0</v>
      </c>
      <c r="AO66" s="727">
        <f>Settkm_TiltakÅr2_Togtype_2-Settkm_RefÅr2_Togtype_2</f>
        <v>0</v>
      </c>
      <c r="AP66" s="728">
        <f t="shared" ref="AP66" si="39">IFERROR(AO66/AM66,0)</f>
        <v>0</v>
      </c>
      <c r="AQ66" s="198"/>
    </row>
    <row r="67" spans="2:60" x14ac:dyDescent="0.35">
      <c r="B67" s="218" t="s">
        <v>1333</v>
      </c>
      <c r="C67" s="727"/>
      <c r="D67" s="727"/>
      <c r="E67" s="727"/>
      <c r="F67" s="728"/>
      <c r="H67" s="218" t="s">
        <v>1333</v>
      </c>
      <c r="I67" s="727"/>
      <c r="J67" s="727"/>
      <c r="K67" s="727"/>
      <c r="L67" s="730"/>
      <c r="AF67" s="218" t="s">
        <v>1330</v>
      </c>
      <c r="AG67" s="727">
        <f>C65*AntallDøgn*(1+Tomtogkjøring)</f>
        <v>0</v>
      </c>
      <c r="AH67" s="727">
        <f t="shared" si="36"/>
        <v>0</v>
      </c>
      <c r="AI67" s="727">
        <f>TogkmEL_TiltakÅr2-TogkmEL_RefÅr2</f>
        <v>0</v>
      </c>
      <c r="AJ67" s="728" cm="1">
        <f t="array" ref="AJ67">IFERROR(IF(AND(TogkmEL_RefÅr2&gt;0,TogkmEL_TiltakÅr2&gt;0),TogkmEL_År2/TogkmEL_RefÅr2,_xlfn.IFS(AND(TogkmEL_RefÅr2=0,TogkmEL_TiltakÅr2=0),0%,TogkmEL_RefÅr2=0,100%,TogkmEL_TiltakÅr2=0,-100%)),0)</f>
        <v>0</v>
      </c>
      <c r="AK67" s="198"/>
      <c r="AL67" s="218" t="s">
        <v>1330</v>
      </c>
      <c r="AM67" s="727">
        <f>I65*AntallDøgn*(1+Tomtogkjøring)</f>
        <v>0</v>
      </c>
      <c r="AN67" s="727">
        <f t="shared" si="38"/>
        <v>0</v>
      </c>
      <c r="AO67" s="727">
        <f>TogkmEL_TiltakÅr2_Togtype_2-TogkmEL_RefÅr2_Togtype_2</f>
        <v>0</v>
      </c>
      <c r="AP67" s="728" cm="1">
        <f t="array" ref="AP67">IFERROR(IF(AND(TogkmEL_RefÅr2_Togtype_2&gt;0,TogkmEL_TiltakÅr2_Togtype_2&gt;0),TogkmEL_År2_Togtype_2/TogkmEL_RefÅr2_Togtype_2,_xlfn.IFS(AND(TogkmEL_RefÅr2_Togtype_2=0,TogkmEL_TiltakÅr2_Togtype_2=0),0%,TogkmEL_RefÅr2_Togtype_2=0,100%,TogkmEL_TiltakÅr2_Togtype_2=0,-100%)),0)</f>
        <v>0</v>
      </c>
      <c r="AQ67" s="198"/>
    </row>
    <row r="68" spans="2:60" ht="15" thickBot="1" x14ac:dyDescent="0.4">
      <c r="B68" s="266" t="s">
        <v>1335</v>
      </c>
      <c r="C68" s="731"/>
      <c r="D68" s="731"/>
      <c r="E68" s="731"/>
      <c r="F68" s="732"/>
      <c r="H68" s="266" t="s">
        <v>1335</v>
      </c>
      <c r="I68" s="731"/>
      <c r="J68" s="731"/>
      <c r="K68" s="731"/>
      <c r="L68" s="1201"/>
      <c r="AF68" s="218" t="s">
        <v>1332</v>
      </c>
      <c r="AG68" s="727">
        <f>IF(Energikilde_Ref="Bimodalt",0,C66*AntallDøgn*(1+Tomtogkjøring))</f>
        <v>0</v>
      </c>
      <c r="AH68" s="727">
        <f>IF(Energikilde_Tiltak="Bimodalt",0,D66*AntallDøgn*(1+Tomtogkjøring_Tiltak))</f>
        <v>0</v>
      </c>
      <c r="AI68" s="727">
        <f>TogkmD_TiltakÅr2-TogkmD_RefÅr2</f>
        <v>0</v>
      </c>
      <c r="AJ68" s="728" cm="1">
        <f t="array" ref="AJ68">IFERROR(IF(AND(TogkmD_RefÅr2&gt;0,TogkmD_TiltakÅr2&gt;0),TogkmD_År2/TogkmD_RefÅr2,_xlfn.IFS(AND(TogkmD_RefÅr2=0,TogkmD_TiltakÅr2=0),0%,TogkmD_RefÅr2=0,100%,TogkmD_TiltakÅr2=0,-100%)),0)</f>
        <v>0</v>
      </c>
      <c r="AK68" s="198"/>
      <c r="AL68" s="218" t="s">
        <v>1332</v>
      </c>
      <c r="AM68" s="727">
        <f>IF(Energikilde_Ref="Bimodalt",0,I66*AntallDøgn*(1+Tomtogkjøring))</f>
        <v>0</v>
      </c>
      <c r="AN68" s="727">
        <f>IF(Energikilde_Tiltak="Bimodalt",0,J66*AntallDøgn*(1+Tomtogkjøring_Tiltak))</f>
        <v>0</v>
      </c>
      <c r="AO68" s="727">
        <f>TogkmD_TiltakÅr2_Togtype_2-TogkmD_RefÅr2_Togtype_2</f>
        <v>0</v>
      </c>
      <c r="AP68" s="728" cm="1">
        <f t="array" ref="AP68">IFERROR(IF(AND(TogkmD_RefÅr2_Togtype_2&gt;0,TogkmD_TiltakÅr2_Togtype_2&gt;0),TogkmD_År2_Togtype_2/TogkmD_RefÅr2_Togtype_2,_xlfn.IFS(AND(TogkmD_RefÅr2_Togtype_2=0,TogkmD_TiltakÅr2_Togtype_2=0),0%,TogkmD_RefÅr2_Togtype_2=0,100%,TogkmD_TiltakÅr2_Togtype_2=0,-100%)),0)</f>
        <v>0</v>
      </c>
      <c r="AQ68" s="198"/>
    </row>
    <row r="69" spans="2:60" x14ac:dyDescent="0.35">
      <c r="AF69" s="218" t="s">
        <v>1334</v>
      </c>
      <c r="AG69" s="727">
        <f>IF(Energikilde_Ref="Bimodalt",C66*AntallDøgn*(1+Tomtogkjøring)*(1-AndelKmDiesel_ref),0)</f>
        <v>0</v>
      </c>
      <c r="AH69" s="727">
        <f>IF(Energikilde_Tiltak="Bimodalt",D66*AntallDøgn*(1+Tomtogkjøring_Tiltak)*(1-AndelKmDiesel_tiltak),0)</f>
        <v>0</v>
      </c>
      <c r="AI69" s="727">
        <f>TogkmBiEl_TiltakÅr2-TogkmBiEl_RefÅr2</f>
        <v>0</v>
      </c>
      <c r="AJ69" s="728" cm="1">
        <f t="array" ref="AJ69">IFERROR(IF(AND(TogkmBiEl_RefÅr2&gt;0,TogkmBiEl_TiltakÅr2&gt;0),TogkmBiEl_År2/TogkmBiEl_RefÅr2,_xlfn.IFS(AND(TogkmBiEl_RefÅr2=0,TogkmBiEl_TiltakÅr2=0),0%,TogkmBiEl_RefÅr2=0,100%,TogkmBiEl_TiltakÅr2=0,-100%)),0)</f>
        <v>0</v>
      </c>
      <c r="AK69" s="198"/>
      <c r="AL69" s="218" t="s">
        <v>1334</v>
      </c>
      <c r="AM69" s="727">
        <f>IF(Energikilde_Ref="Bimodalt",I66*AntallDøgn*(1+Tomtogkjøring)*(1-AndelKmDiesel_ref),0)</f>
        <v>0</v>
      </c>
      <c r="AN69" s="727">
        <f>IF(Energikilde_Tiltak="Bimodalt",J66*AntallDøgn*(1+Tomtogkjøring_Tiltak)*(1-AndelKmDiesel_tiltak),0)</f>
        <v>0</v>
      </c>
      <c r="AO69" s="727">
        <f>TogkmBiEl_TiltakÅr2_Togtype_2-TogkmBiEl_RefÅr2_Togtype_2</f>
        <v>0</v>
      </c>
      <c r="AP69" s="728" cm="1">
        <f t="array" ref="AP69">IFERROR(IF(AND(TogkmBiEl_RefÅr2_Togtype_2&gt;0,TogkmBiEl_TiltakÅr2_Togtype_2&gt;0),TogkmBiEl_År2_Togtype_2/TogkmBiEl_RefÅr2_Togtype_2,_xlfn.IFS(AND(TogkmBiEl_RefÅr2_Togtype_2=0,TogkmBiEl_TiltakÅr2_Togtype_2=0),0%,TogkmBiEl_RefÅr2_Togtype_2=0,100%,TogkmBiEl_TiltakÅr2_Togtype_2=0,-100%)),0)</f>
        <v>0</v>
      </c>
      <c r="AQ69" s="198"/>
    </row>
    <row r="70" spans="2:60" x14ac:dyDescent="0.35">
      <c r="AF70" s="218" t="s">
        <v>1337</v>
      </c>
      <c r="AG70" s="727">
        <f>IF(Energikilde_Ref="Bimodalt",C66*AntallDøgn*(1+Tomtogkjøring)*AndelKmDiesel_ref,0)</f>
        <v>0</v>
      </c>
      <c r="AH70" s="727">
        <f>IF(Energikilde_Tiltak="Bimodalt",D66*AntallDøgn*(1+Tomtogkjøring_Tiltak)*AndelKmDiesel_tiltak,0)</f>
        <v>0</v>
      </c>
      <c r="AI70" s="727">
        <f>TogkmBiDi_TiltakÅr2-TogkmBiDi_RefÅr2</f>
        <v>0</v>
      </c>
      <c r="AJ70" s="728" cm="1">
        <f t="array" ref="AJ70">IFERROR(IF(AND(TogkmBiDi_RefÅr2&gt;0,TogkmBiDi_TiltakÅr2&gt;0),TogkmBiDi_År2/TogkmBiDi_RefÅr2,_xlfn.IFS(AND(TogkmBiDi_RefÅr2=0,TogkmBiDi_TiltakÅr2=0),0%,TogkmBiDi_RefÅr2=0,100%,TogkmBiDi_TiltakÅr2=0,-100%)),0)</f>
        <v>0</v>
      </c>
      <c r="AK70" s="198"/>
      <c r="AL70" s="218" t="s">
        <v>1337</v>
      </c>
      <c r="AM70" s="727">
        <f>IF(Energikilde_Ref="Bimodalt",I66*AntallDøgn*(1+Tomtogkjøring)*AndelKmDiesel_ref,0)</f>
        <v>0</v>
      </c>
      <c r="AN70" s="727">
        <f>IF(Energikilde_Tiltak="Bimodalt",J66*AntallDøgn*(1+Tomtogkjøring_Tiltak)*AndelKmDiesel_tiltak,0)</f>
        <v>0</v>
      </c>
      <c r="AO70" s="727">
        <f>TogkmBiDi_TiltakÅr2_Togtype_2-TogkmBiDi_RefÅr2_Togtype_2</f>
        <v>0</v>
      </c>
      <c r="AP70" s="728" cm="1">
        <f t="array" ref="AP70">IFERROR(IF(AND(TogkmBiDi_RefÅr2_Togtype_2&gt;0,TogkmBiDi_TiltakÅr2_Togtype_2&gt;0),TogkmBiDi_År2_Togtype_2/TogkmBiDi_RefÅr2_Togtype_2,_xlfn.IFS(AND(TogkmBiDi_RefÅr2_Togtype_2=0,TogkmBiDi_TiltakÅr2_Togtype_2=0),0%,TogkmBiDi_RefÅr2_Togtype_2=0,100%,TogkmBiDi_TiltakÅr2_Togtype_2=0,-100%)),0)</f>
        <v>0</v>
      </c>
      <c r="AQ70" s="198"/>
    </row>
    <row r="71" spans="2:60" x14ac:dyDescent="0.35">
      <c r="AF71" s="218" t="s">
        <v>1333</v>
      </c>
      <c r="AG71" s="727">
        <f>C67*AntallDøgn*(1+Tomtogkjøring)</f>
        <v>0</v>
      </c>
      <c r="AH71" s="727">
        <f>D67*AntallDøgn*(1+Tomtogkjøring_Tiltak)</f>
        <v>0</v>
      </c>
      <c r="AI71" s="727">
        <f>Togtimer_TiltakÅr2-Togtimer_RefÅr2</f>
        <v>0</v>
      </c>
      <c r="AJ71" s="728">
        <f t="shared" ref="AJ71:AJ72" si="40">IFERROR(AI71/AG71,0)</f>
        <v>0</v>
      </c>
      <c r="AK71" s="198"/>
      <c r="AL71" s="218" t="s">
        <v>1333</v>
      </c>
      <c r="AM71" s="727">
        <f>I67*AntallDøgn*(1+Tomtogkjøring)</f>
        <v>0</v>
      </c>
      <c r="AN71" s="727">
        <f>J67*AntallDøgn*(1+Tomtogkjøring_Tiltak)</f>
        <v>0</v>
      </c>
      <c r="AO71" s="727">
        <f>Togtimer_TiltakÅr2_Togtype_2-Togtimer_RefÅr2_Togtype_2</f>
        <v>0</v>
      </c>
      <c r="AP71" s="728">
        <f t="shared" ref="AP71:AP72" si="41">IFERROR(AO71/AM71,0)</f>
        <v>0</v>
      </c>
      <c r="AQ71" s="198"/>
    </row>
    <row r="72" spans="2:60" ht="15" thickBot="1" x14ac:dyDescent="0.4">
      <c r="AF72" s="256" t="s">
        <v>1335</v>
      </c>
      <c r="AG72" s="731">
        <f>C68*AntallDøgn*(1+Tomtogkjøring)</f>
        <v>0</v>
      </c>
      <c r="AH72" s="731">
        <f>D68*AntallDøgn*(1+Tomtogkjøring_Tiltak)</f>
        <v>0</v>
      </c>
      <c r="AI72" s="731">
        <f>Settimer_TiltakÅr2-Settimer_RefÅr2</f>
        <v>0</v>
      </c>
      <c r="AJ72" s="732">
        <f t="shared" si="40"/>
        <v>0</v>
      </c>
      <c r="AK72" s="198"/>
      <c r="AL72" s="256" t="s">
        <v>1335</v>
      </c>
      <c r="AM72" s="731">
        <f>I68*AntallDøgn*(1+Tomtogkjøring)</f>
        <v>0</v>
      </c>
      <c r="AN72" s="731">
        <f>J68*AntallDøgn*(1+Tomtogkjøring_Tiltak)</f>
        <v>0</v>
      </c>
      <c r="AO72" s="731">
        <f>Settimer_TiltakÅr2_Togtype_2-Settimer_RefÅr2_Togtype_2</f>
        <v>0</v>
      </c>
      <c r="AP72" s="732">
        <f t="shared" si="41"/>
        <v>0</v>
      </c>
      <c r="AQ72" s="198"/>
    </row>
    <row r="75" spans="2:60" ht="15" thickBot="1" x14ac:dyDescent="0.4">
      <c r="H75" s="71" t="s">
        <v>1073</v>
      </c>
    </row>
    <row r="76" spans="2:60" ht="21" x14ac:dyDescent="0.5">
      <c r="B76" s="340" t="str">
        <f>("TOG ("&amp;TredjeBeregningsår&amp;")")</f>
        <v>TOG ()</v>
      </c>
      <c r="C76" s="388" t="s">
        <v>1309</v>
      </c>
      <c r="D76" s="306"/>
      <c r="E76" s="306"/>
      <c r="F76" s="387"/>
      <c r="H76" s="340" t="str">
        <f>("TOG - Materielltype 2 ("&amp;TredjeBeregningsår&amp;")")</f>
        <v>TOG - Materielltype 2 ()</v>
      </c>
      <c r="I76" s="388"/>
      <c r="J76" s="306"/>
      <c r="K76" s="388" t="s">
        <v>1309</v>
      </c>
      <c r="L76" s="387"/>
    </row>
    <row r="77" spans="2:60" ht="15" thickBot="1" x14ac:dyDescent="0.4">
      <c r="B77" s="220" t="s">
        <v>1311</v>
      </c>
      <c r="C77" s="40" t="s">
        <v>1036</v>
      </c>
      <c r="D77" s="40" t="s">
        <v>1037</v>
      </c>
      <c r="E77" s="40" t="s">
        <v>1038</v>
      </c>
      <c r="F77" s="390" t="s">
        <v>1312</v>
      </c>
      <c r="H77" s="220" t="s">
        <v>1311</v>
      </c>
      <c r="I77" s="40" t="s">
        <v>1036</v>
      </c>
      <c r="J77" s="40" t="s">
        <v>1037</v>
      </c>
      <c r="K77" s="40" t="s">
        <v>1038</v>
      </c>
      <c r="L77" s="390" t="s">
        <v>1312</v>
      </c>
    </row>
    <row r="78" spans="2:60" ht="21" x14ac:dyDescent="0.5">
      <c r="B78" s="218" t="s">
        <v>1313</v>
      </c>
      <c r="C78" s="83"/>
      <c r="D78" s="83"/>
      <c r="E78" s="727"/>
      <c r="F78" s="315"/>
      <c r="H78" s="218" t="s">
        <v>1313</v>
      </c>
      <c r="I78" s="83"/>
      <c r="J78" s="83"/>
      <c r="K78" s="727"/>
      <c r="L78" s="315"/>
      <c r="N78" s="340" t="str">
        <f>("BIL ("&amp;TredjeBeregningsår&amp;")")</f>
        <v>BIL ()</v>
      </c>
      <c r="O78" s="388" t="s">
        <v>1309</v>
      </c>
      <c r="P78" s="306"/>
      <c r="Q78" s="306"/>
      <c r="R78" s="387"/>
      <c r="T78" s="340" t="str">
        <f>("BUSS ("&amp;TredjeBeregningsår&amp;")")</f>
        <v>BUSS ()</v>
      </c>
      <c r="U78" s="388" t="s">
        <v>1309</v>
      </c>
      <c r="V78" s="306"/>
      <c r="W78" s="306"/>
      <c r="X78" s="387"/>
      <c r="Z78" s="340" t="str">
        <f>("FLY ("&amp;TredjeBeregningsår&amp;")")</f>
        <v>FLY ()</v>
      </c>
      <c r="AA78" s="388" t="s">
        <v>1309</v>
      </c>
      <c r="AB78" s="306"/>
      <c r="AC78" s="306"/>
      <c r="AD78" s="387"/>
      <c r="AF78" s="340" t="str">
        <f>("TOG ("&amp;TredjeBeregningsår&amp;")")</f>
        <v>TOG ()</v>
      </c>
      <c r="AG78" s="388" t="s">
        <v>1310</v>
      </c>
      <c r="AH78" s="269"/>
      <c r="AI78" s="269"/>
      <c r="AJ78" s="389"/>
      <c r="AL78" s="340" t="str">
        <f>("TOG - Materielltype 2 ("&amp;TredjeBeregningsår&amp;")")</f>
        <v>TOG - Materielltype 2 ()</v>
      </c>
      <c r="AM78" s="388"/>
      <c r="AN78" s="269"/>
      <c r="AO78" s="388" t="s">
        <v>1310</v>
      </c>
      <c r="AP78" s="389"/>
      <c r="AR78" s="340" t="str">
        <f>("BIL ("&amp;TredjeBeregningsår&amp;")")</f>
        <v>BIL ()</v>
      </c>
      <c r="AS78" s="388" t="s">
        <v>1310</v>
      </c>
      <c r="AT78" s="269"/>
      <c r="AU78" s="269"/>
      <c r="AV78" s="389"/>
      <c r="AX78" s="340" t="str">
        <f>("BUSS ("&amp;TredjeBeregningsår&amp;")")</f>
        <v>BUSS ()</v>
      </c>
      <c r="AY78" s="388" t="s">
        <v>1310</v>
      </c>
      <c r="AZ78" s="269"/>
      <c r="BA78" s="269"/>
      <c r="BB78" s="389"/>
      <c r="BD78" s="340" t="str">
        <f>("FLY ("&amp;TredjeBeregningsår&amp;")")</f>
        <v>FLY ()</v>
      </c>
      <c r="BE78" s="388" t="s">
        <v>1310</v>
      </c>
      <c r="BF78" s="269"/>
      <c r="BG78" s="269"/>
      <c r="BH78" s="389"/>
    </row>
    <row r="79" spans="2:60" x14ac:dyDescent="0.35">
      <c r="B79" s="218" t="s">
        <v>1314</v>
      </c>
      <c r="C79" s="83"/>
      <c r="D79" s="83"/>
      <c r="E79" s="727"/>
      <c r="F79" s="315"/>
      <c r="H79" s="218" t="s">
        <v>1314</v>
      </c>
      <c r="I79" s="83"/>
      <c r="J79" s="83"/>
      <c r="K79" s="727"/>
      <c r="L79" s="315"/>
      <c r="N79" s="220" t="s">
        <v>1311</v>
      </c>
      <c r="O79" s="40" t="s">
        <v>1036</v>
      </c>
      <c r="P79" s="40" t="s">
        <v>1037</v>
      </c>
      <c r="Q79" s="40" t="s">
        <v>1038</v>
      </c>
      <c r="R79" s="390" t="s">
        <v>1312</v>
      </c>
      <c r="T79" s="220" t="s">
        <v>1311</v>
      </c>
      <c r="U79" s="40" t="s">
        <v>1036</v>
      </c>
      <c r="V79" s="40" t="s">
        <v>1037</v>
      </c>
      <c r="W79" s="40" t="s">
        <v>1038</v>
      </c>
      <c r="X79" s="390" t="s">
        <v>1312</v>
      </c>
      <c r="Z79" s="220" t="s">
        <v>1311</v>
      </c>
      <c r="AA79" s="40" t="s">
        <v>1036</v>
      </c>
      <c r="AB79" s="40" t="s">
        <v>1037</v>
      </c>
      <c r="AC79" s="40" t="s">
        <v>1038</v>
      </c>
      <c r="AD79" s="390" t="s">
        <v>1312</v>
      </c>
      <c r="AF79" s="220" t="s">
        <v>1311</v>
      </c>
      <c r="AG79" s="40" t="s">
        <v>1036</v>
      </c>
      <c r="AH79" s="40" t="s">
        <v>1037</v>
      </c>
      <c r="AI79" s="40" t="s">
        <v>1038</v>
      </c>
      <c r="AJ79" s="390" t="s">
        <v>1312</v>
      </c>
      <c r="AL79" s="220" t="s">
        <v>1311</v>
      </c>
      <c r="AM79" s="40" t="s">
        <v>1036</v>
      </c>
      <c r="AN79" s="40" t="s">
        <v>1037</v>
      </c>
      <c r="AO79" s="40" t="s">
        <v>1038</v>
      </c>
      <c r="AP79" s="390" t="s">
        <v>1312</v>
      </c>
      <c r="AR79" s="220" t="s">
        <v>1311</v>
      </c>
      <c r="AS79" s="40" t="s">
        <v>1036</v>
      </c>
      <c r="AT79" s="40" t="s">
        <v>1037</v>
      </c>
      <c r="AU79" s="40" t="s">
        <v>1038</v>
      </c>
      <c r="AV79" s="390" t="s">
        <v>1312</v>
      </c>
      <c r="AX79" s="220" t="s">
        <v>1311</v>
      </c>
      <c r="AY79" s="40" t="s">
        <v>1036</v>
      </c>
      <c r="AZ79" s="40" t="s">
        <v>1037</v>
      </c>
      <c r="BA79" s="40" t="s">
        <v>1038</v>
      </c>
      <c r="BB79" s="390" t="s">
        <v>1312</v>
      </c>
      <c r="BD79" s="220" t="s">
        <v>1311</v>
      </c>
      <c r="BE79" s="40" t="s">
        <v>1036</v>
      </c>
      <c r="BF79" s="40" t="s">
        <v>1037</v>
      </c>
      <c r="BG79" s="40" t="s">
        <v>1038</v>
      </c>
      <c r="BH79" s="390" t="s">
        <v>1312</v>
      </c>
    </row>
    <row r="80" spans="2:60" x14ac:dyDescent="0.35">
      <c r="B80" s="218" t="s">
        <v>594</v>
      </c>
      <c r="C80" s="83"/>
      <c r="D80" s="83"/>
      <c r="E80" s="727"/>
      <c r="F80" s="315"/>
      <c r="H80" s="218" t="s">
        <v>594</v>
      </c>
      <c r="I80" s="83"/>
      <c r="J80" s="83"/>
      <c r="K80" s="727"/>
      <c r="L80" s="315"/>
      <c r="N80" s="218" t="s">
        <v>1313</v>
      </c>
      <c r="O80" s="83"/>
      <c r="P80" s="83"/>
      <c r="Q80" s="727"/>
      <c r="R80" s="315"/>
      <c r="T80" s="218" t="s">
        <v>1313</v>
      </c>
      <c r="U80" s="83"/>
      <c r="V80" s="83"/>
      <c r="W80" s="727"/>
      <c r="X80" s="315"/>
      <c r="Z80" s="218" t="s">
        <v>1313</v>
      </c>
      <c r="AA80" s="83"/>
      <c r="AB80" s="83"/>
      <c r="AC80" s="727"/>
      <c r="AD80" s="315"/>
      <c r="AF80" s="218" t="s">
        <v>1313</v>
      </c>
      <c r="AG80" s="83"/>
      <c r="AH80" s="83"/>
      <c r="AI80" s="727">
        <f>E78*AntallDøgn</f>
        <v>0</v>
      </c>
      <c r="AJ80" s="315"/>
      <c r="AL80" s="218" t="s">
        <v>1313</v>
      </c>
      <c r="AM80" s="83"/>
      <c r="AN80" s="83"/>
      <c r="AO80" s="727">
        <f>K78*AntallDøgn</f>
        <v>0</v>
      </c>
      <c r="AP80" s="315"/>
      <c r="AR80" s="218" t="s">
        <v>1313</v>
      </c>
      <c r="AS80" s="83"/>
      <c r="AT80" s="83"/>
      <c r="AU80" s="727">
        <f>Q80*AntallDøgn</f>
        <v>0</v>
      </c>
      <c r="AV80" s="315"/>
      <c r="AX80" s="218" t="s">
        <v>1313</v>
      </c>
      <c r="AY80" s="83"/>
      <c r="AZ80" s="83"/>
      <c r="BA80" s="727">
        <f>W80*AntallDøgn</f>
        <v>0</v>
      </c>
      <c r="BB80" s="315"/>
      <c r="BD80" s="218" t="s">
        <v>1313</v>
      </c>
      <c r="BE80" s="83"/>
      <c r="BF80" s="83"/>
      <c r="BG80" s="727">
        <f>AC80*AntallDøgn</f>
        <v>0</v>
      </c>
      <c r="BH80" s="315"/>
    </row>
    <row r="81" spans="2:60" x14ac:dyDescent="0.35">
      <c r="B81" s="220" t="s">
        <v>1315</v>
      </c>
      <c r="C81" s="391"/>
      <c r="D81" s="391"/>
      <c r="E81" s="391"/>
      <c r="F81" s="392"/>
      <c r="H81" s="220" t="s">
        <v>1315</v>
      </c>
      <c r="I81" s="391"/>
      <c r="J81" s="391"/>
      <c r="K81" s="391"/>
      <c r="L81" s="392"/>
      <c r="N81" s="218" t="s">
        <v>1314</v>
      </c>
      <c r="O81" s="83"/>
      <c r="P81" s="83"/>
      <c r="Q81" s="727"/>
      <c r="R81" s="315"/>
      <c r="T81" s="218" t="s">
        <v>1314</v>
      </c>
      <c r="U81" s="83"/>
      <c r="V81" s="83"/>
      <c r="W81" s="727"/>
      <c r="X81" s="315"/>
      <c r="Z81" s="218" t="s">
        <v>1314</v>
      </c>
      <c r="AA81" s="83"/>
      <c r="AB81" s="83"/>
      <c r="AC81" s="727"/>
      <c r="AD81" s="315"/>
      <c r="AF81" s="218" t="s">
        <v>1314</v>
      </c>
      <c r="AG81" s="83"/>
      <c r="AH81" s="83"/>
      <c r="AI81" s="727">
        <f>E79*AntallDøgn</f>
        <v>0</v>
      </c>
      <c r="AJ81" s="315"/>
      <c r="AL81" s="218" t="s">
        <v>1314</v>
      </c>
      <c r="AM81" s="83"/>
      <c r="AN81" s="83"/>
      <c r="AO81" s="727">
        <f>K79*AntallDøgn</f>
        <v>0</v>
      </c>
      <c r="AP81" s="315"/>
      <c r="AR81" s="218" t="s">
        <v>1314</v>
      </c>
      <c r="AS81" s="83"/>
      <c r="AT81" s="83"/>
      <c r="AU81" s="727">
        <f>Q81*AntallDøgn</f>
        <v>0</v>
      </c>
      <c r="AV81" s="315"/>
      <c r="AX81" s="218" t="s">
        <v>1314</v>
      </c>
      <c r="AY81" s="83"/>
      <c r="AZ81" s="83"/>
      <c r="BA81" s="727">
        <f>W81*AntallDøgn</f>
        <v>0</v>
      </c>
      <c r="BB81" s="315"/>
      <c r="BD81" s="218" t="s">
        <v>1314</v>
      </c>
      <c r="BE81" s="83"/>
      <c r="BF81" s="83"/>
      <c r="BG81" s="727">
        <f>AC81*AntallDøgn</f>
        <v>0</v>
      </c>
      <c r="BH81" s="315"/>
    </row>
    <row r="82" spans="2:60" x14ac:dyDescent="0.35">
      <c r="B82" s="218" t="s">
        <v>1316</v>
      </c>
      <c r="C82" s="727"/>
      <c r="D82" s="727"/>
      <c r="E82" s="727"/>
      <c r="F82" s="728"/>
      <c r="H82" s="218" t="s">
        <v>1316</v>
      </c>
      <c r="I82" s="727"/>
      <c r="J82" s="727"/>
      <c r="K82" s="727"/>
      <c r="L82" s="728"/>
      <c r="N82" s="218" t="s">
        <v>594</v>
      </c>
      <c r="O82" s="83"/>
      <c r="P82" s="83"/>
      <c r="Q82" s="727"/>
      <c r="R82" s="315"/>
      <c r="T82" s="218" t="s">
        <v>594</v>
      </c>
      <c r="U82" s="83"/>
      <c r="V82" s="83"/>
      <c r="W82" s="727"/>
      <c r="X82" s="315"/>
      <c r="Z82" s="218" t="s">
        <v>594</v>
      </c>
      <c r="AA82" s="83"/>
      <c r="AB82" s="83"/>
      <c r="AC82" s="727"/>
      <c r="AD82" s="315"/>
      <c r="AF82" s="218" t="s">
        <v>594</v>
      </c>
      <c r="AG82" s="83"/>
      <c r="AH82" s="83"/>
      <c r="AI82" s="727">
        <f>E80*AntallDøgn</f>
        <v>0</v>
      </c>
      <c r="AJ82" s="315"/>
      <c r="AL82" s="218" t="s">
        <v>594</v>
      </c>
      <c r="AM82" s="83"/>
      <c r="AN82" s="83"/>
      <c r="AO82" s="727">
        <f>K80*AntallDøgn</f>
        <v>0</v>
      </c>
      <c r="AP82" s="315"/>
      <c r="AR82" s="218" t="s">
        <v>594</v>
      </c>
      <c r="AS82" s="83"/>
      <c r="AT82" s="83"/>
      <c r="AU82" s="727">
        <f>Q82*AntallDøgn</f>
        <v>0</v>
      </c>
      <c r="AV82" s="315"/>
      <c r="AX82" s="218" t="s">
        <v>594</v>
      </c>
      <c r="AY82" s="83"/>
      <c r="AZ82" s="83"/>
      <c r="BA82" s="727">
        <f>W82*AntallDøgn</f>
        <v>0</v>
      </c>
      <c r="BB82" s="315"/>
      <c r="BD82" s="218" t="s">
        <v>594</v>
      </c>
      <c r="BE82" s="83"/>
      <c r="BF82" s="83"/>
      <c r="BG82" s="727">
        <f>AC82*AntallDøgn</f>
        <v>0</v>
      </c>
      <c r="BH82" s="315"/>
    </row>
    <row r="83" spans="2:60" x14ac:dyDescent="0.35">
      <c r="B83" s="218" t="s">
        <v>1317</v>
      </c>
      <c r="C83" s="727"/>
      <c r="D83" s="727"/>
      <c r="E83" s="727"/>
      <c r="F83" s="728"/>
      <c r="H83" s="218" t="s">
        <v>1317</v>
      </c>
      <c r="I83" s="727"/>
      <c r="J83" s="727"/>
      <c r="K83" s="727"/>
      <c r="L83" s="728"/>
      <c r="N83" s="220" t="s">
        <v>1315</v>
      </c>
      <c r="O83" s="391"/>
      <c r="P83" s="391"/>
      <c r="Q83" s="391"/>
      <c r="R83" s="392"/>
      <c r="T83" s="220" t="s">
        <v>1315</v>
      </c>
      <c r="U83" s="391"/>
      <c r="V83" s="391"/>
      <c r="W83" s="391"/>
      <c r="X83" s="392"/>
      <c r="Z83" s="220" t="s">
        <v>1315</v>
      </c>
      <c r="AA83" s="391"/>
      <c r="AB83" s="391"/>
      <c r="AC83" s="391"/>
      <c r="AD83" s="392"/>
      <c r="AF83" s="220" t="s">
        <v>1315</v>
      </c>
      <c r="AG83" s="391"/>
      <c r="AH83" s="391"/>
      <c r="AI83" s="391"/>
      <c r="AJ83" s="392"/>
      <c r="AL83" s="220" t="s">
        <v>1315</v>
      </c>
      <c r="AM83" s="391"/>
      <c r="AN83" s="391"/>
      <c r="AO83" s="391"/>
      <c r="AP83" s="392"/>
      <c r="AR83" s="220" t="s">
        <v>1315</v>
      </c>
      <c r="AS83" s="391"/>
      <c r="AT83" s="391"/>
      <c r="AU83" s="391"/>
      <c r="AV83" s="392"/>
      <c r="AX83" s="220" t="s">
        <v>1315</v>
      </c>
      <c r="AY83" s="391"/>
      <c r="AZ83" s="391"/>
      <c r="BA83" s="391"/>
      <c r="BB83" s="392"/>
      <c r="BD83" s="220" t="s">
        <v>1315</v>
      </c>
      <c r="BE83" s="391"/>
      <c r="BF83" s="391"/>
      <c r="BG83" s="391"/>
      <c r="BH83" s="392"/>
    </row>
    <row r="84" spans="2:60" x14ac:dyDescent="0.35">
      <c r="B84" s="218" t="s">
        <v>1318</v>
      </c>
      <c r="C84" s="727"/>
      <c r="D84" s="727"/>
      <c r="E84" s="727"/>
      <c r="F84" s="728"/>
      <c r="H84" s="218" t="s">
        <v>1318</v>
      </c>
      <c r="I84" s="727"/>
      <c r="J84" s="727"/>
      <c r="K84" s="727"/>
      <c r="L84" s="728"/>
      <c r="N84" s="218" t="s">
        <v>1316</v>
      </c>
      <c r="O84" s="727"/>
      <c r="P84" s="727"/>
      <c r="Q84" s="727"/>
      <c r="R84" s="728"/>
      <c r="T84" s="218" t="s">
        <v>1316</v>
      </c>
      <c r="U84" s="727"/>
      <c r="V84" s="727"/>
      <c r="W84" s="727"/>
      <c r="X84" s="728"/>
      <c r="Z84" s="218" t="s">
        <v>1316</v>
      </c>
      <c r="AA84" s="727"/>
      <c r="AB84" s="727"/>
      <c r="AC84" s="727"/>
      <c r="AD84" s="728"/>
      <c r="AF84" s="218" t="s">
        <v>1316</v>
      </c>
      <c r="AG84" s="727">
        <f t="shared" ref="AG84:AI88" si="42">C82*AntallDøgn</f>
        <v>0</v>
      </c>
      <c r="AH84" s="727">
        <f t="shared" si="42"/>
        <v>0</v>
      </c>
      <c r="AI84" s="727">
        <f t="shared" si="42"/>
        <v>0</v>
      </c>
      <c r="AJ84" s="728">
        <f>IFERROR(AI84/AG84,0)</f>
        <v>0</v>
      </c>
      <c r="AL84" s="218" t="s">
        <v>1316</v>
      </c>
      <c r="AM84" s="727">
        <f t="shared" ref="AM84:AO88" si="43">I82*AntallDøgn</f>
        <v>0</v>
      </c>
      <c r="AN84" s="727">
        <f t="shared" si="43"/>
        <v>0</v>
      </c>
      <c r="AO84" s="727">
        <f t="shared" si="43"/>
        <v>0</v>
      </c>
      <c r="AP84" s="728">
        <f>IFERROR(AO84/AM84,0)</f>
        <v>0</v>
      </c>
      <c r="AR84" s="218" t="s">
        <v>1316</v>
      </c>
      <c r="AS84" s="727">
        <f t="shared" ref="AS84:AT87" si="44">O84*AntallDøgn</f>
        <v>0</v>
      </c>
      <c r="AT84" s="727">
        <f t="shared" si="44"/>
        <v>0</v>
      </c>
      <c r="AU84" s="727">
        <f>IF(Q84="",-(AI84+AO84)*OverførtTrafikk_Bil,Q84*AntallDøgn)</f>
        <v>0</v>
      </c>
      <c r="AV84" s="728">
        <f>IFERROR(AU84/AS84,0)</f>
        <v>0</v>
      </c>
      <c r="AX84" s="218" t="s">
        <v>1316</v>
      </c>
      <c r="AY84" s="727">
        <f t="shared" ref="AY84:AZ88" si="45">U84*AntallDøgn</f>
        <v>0</v>
      </c>
      <c r="AZ84" s="727">
        <f t="shared" si="45"/>
        <v>0</v>
      </c>
      <c r="BA84" s="727">
        <f>IF(W84="",-(AI84+AO84)*OverførtTrafikk_Buss,W84*AntallDøgn)</f>
        <v>0</v>
      </c>
      <c r="BB84" s="728">
        <f>IFERROR(BA84/AY84,0)</f>
        <v>0</v>
      </c>
      <c r="BD84" s="218" t="s">
        <v>1316</v>
      </c>
      <c r="BE84" s="727">
        <f t="shared" ref="BE84:BF87" si="46">AA84*AntallDøgn</f>
        <v>0</v>
      </c>
      <c r="BF84" s="727">
        <f t="shared" si="46"/>
        <v>0</v>
      </c>
      <c r="BG84" s="727">
        <f>IF(AC84="",-(AI84+AO84)*OverførtTrafikk_Fly,AC84*AntallDøgn)</f>
        <v>0</v>
      </c>
      <c r="BH84" s="728">
        <f>IFERROR(BG84/BE84,0)</f>
        <v>0</v>
      </c>
    </row>
    <row r="85" spans="2:60" x14ac:dyDescent="0.35">
      <c r="B85" s="218" t="s">
        <v>594</v>
      </c>
      <c r="C85" s="727"/>
      <c r="D85" s="727"/>
      <c r="E85" s="727"/>
      <c r="F85" s="728"/>
      <c r="H85" s="218" t="s">
        <v>594</v>
      </c>
      <c r="I85" s="727"/>
      <c r="J85" s="727"/>
      <c r="K85" s="727"/>
      <c r="L85" s="728"/>
      <c r="N85" s="218" t="s">
        <v>1317</v>
      </c>
      <c r="O85" s="727"/>
      <c r="P85" s="727"/>
      <c r="Q85" s="727"/>
      <c r="R85" s="728"/>
      <c r="T85" s="218" t="s">
        <v>1317</v>
      </c>
      <c r="U85" s="727"/>
      <c r="V85" s="727"/>
      <c r="W85" s="727"/>
      <c r="X85" s="728"/>
      <c r="Z85" s="218" t="s">
        <v>1317</v>
      </c>
      <c r="AA85" s="727"/>
      <c r="AB85" s="727"/>
      <c r="AC85" s="727"/>
      <c r="AD85" s="728"/>
      <c r="AF85" s="218" t="s">
        <v>1317</v>
      </c>
      <c r="AG85" s="727">
        <f t="shared" si="42"/>
        <v>0</v>
      </c>
      <c r="AH85" s="727">
        <f t="shared" si="42"/>
        <v>0</v>
      </c>
      <c r="AI85" s="727">
        <f t="shared" si="42"/>
        <v>0</v>
      </c>
      <c r="AJ85" s="728">
        <f t="shared" ref="AJ85:AJ86" si="47">IFERROR(AI85/AG85,0)</f>
        <v>0</v>
      </c>
      <c r="AL85" s="218" t="s">
        <v>1317</v>
      </c>
      <c r="AM85" s="727">
        <f t="shared" si="43"/>
        <v>0</v>
      </c>
      <c r="AN85" s="727">
        <f t="shared" si="43"/>
        <v>0</v>
      </c>
      <c r="AO85" s="727">
        <f t="shared" si="43"/>
        <v>0</v>
      </c>
      <c r="AP85" s="728">
        <f t="shared" ref="AP85:AP86" si="48">IFERROR(AO85/AM85,0)</f>
        <v>0</v>
      </c>
      <c r="AR85" s="218" t="s">
        <v>1317</v>
      </c>
      <c r="AS85" s="727">
        <f t="shared" si="44"/>
        <v>0</v>
      </c>
      <c r="AT85" s="727">
        <f t="shared" si="44"/>
        <v>0</v>
      </c>
      <c r="AU85" s="727">
        <f>IF(Q85="",-(AI85+AO85)*OverførtTrafikk_Bil,Q85*AntallDøgn)</f>
        <v>0</v>
      </c>
      <c r="AV85" s="728">
        <f>IFERROR(AU85/AS85,0)</f>
        <v>0</v>
      </c>
      <c r="AX85" s="218" t="s">
        <v>1317</v>
      </c>
      <c r="AY85" s="727">
        <f t="shared" si="45"/>
        <v>0</v>
      </c>
      <c r="AZ85" s="727">
        <f t="shared" si="45"/>
        <v>0</v>
      </c>
      <c r="BA85" s="727">
        <f>IF(W85="",-(AI85+AO85)*OverførtTrafikk_Buss,W85*AntallDøgn)</f>
        <v>0</v>
      </c>
      <c r="BB85" s="728">
        <f>IFERROR(BA85/AY85,0)</f>
        <v>0</v>
      </c>
      <c r="BD85" s="218" t="s">
        <v>1317</v>
      </c>
      <c r="BE85" s="727">
        <f t="shared" si="46"/>
        <v>0</v>
      </c>
      <c r="BF85" s="727">
        <f t="shared" si="46"/>
        <v>0</v>
      </c>
      <c r="BG85" s="727">
        <f>IF(AC85="",-(AI85+AO85)*OverførtTrafikk_Fly,AC85*AntallDøgn)</f>
        <v>0</v>
      </c>
      <c r="BH85" s="728">
        <f>IFERROR(BG85/BE85,0)</f>
        <v>0</v>
      </c>
    </row>
    <row r="86" spans="2:60" x14ac:dyDescent="0.35">
      <c r="B86" s="314" t="s">
        <v>1319</v>
      </c>
      <c r="C86" s="727"/>
      <c r="D86" s="727"/>
      <c r="E86" s="727"/>
      <c r="F86" s="728"/>
      <c r="H86" s="314" t="s">
        <v>1319</v>
      </c>
      <c r="I86" s="727"/>
      <c r="J86" s="727"/>
      <c r="K86" s="727"/>
      <c r="L86" s="728"/>
      <c r="N86" s="218" t="s">
        <v>1318</v>
      </c>
      <c r="O86" s="727"/>
      <c r="P86" s="727"/>
      <c r="Q86" s="727"/>
      <c r="R86" s="728"/>
      <c r="T86" s="218" t="s">
        <v>1318</v>
      </c>
      <c r="U86" s="727"/>
      <c r="V86" s="727"/>
      <c r="W86" s="727"/>
      <c r="X86" s="728"/>
      <c r="Z86" s="218" t="s">
        <v>1318</v>
      </c>
      <c r="AA86" s="727"/>
      <c r="AB86" s="727"/>
      <c r="AC86" s="727"/>
      <c r="AD86" s="728"/>
      <c r="AF86" s="218" t="s">
        <v>1318</v>
      </c>
      <c r="AG86" s="727">
        <f t="shared" si="42"/>
        <v>0</v>
      </c>
      <c r="AH86" s="727">
        <f t="shared" si="42"/>
        <v>0</v>
      </c>
      <c r="AI86" s="727">
        <f t="shared" si="42"/>
        <v>0</v>
      </c>
      <c r="AJ86" s="728">
        <f t="shared" si="47"/>
        <v>0</v>
      </c>
      <c r="AL86" s="218" t="s">
        <v>1318</v>
      </c>
      <c r="AM86" s="727">
        <f t="shared" si="43"/>
        <v>0</v>
      </c>
      <c r="AN86" s="727">
        <f t="shared" si="43"/>
        <v>0</v>
      </c>
      <c r="AO86" s="727">
        <f t="shared" si="43"/>
        <v>0</v>
      </c>
      <c r="AP86" s="728">
        <f t="shared" si="48"/>
        <v>0</v>
      </c>
      <c r="AR86" s="218" t="s">
        <v>1318</v>
      </c>
      <c r="AS86" s="727">
        <f t="shared" si="44"/>
        <v>0</v>
      </c>
      <c r="AT86" s="727">
        <f t="shared" si="44"/>
        <v>0</v>
      </c>
      <c r="AU86" s="727">
        <f>IF(Q86="",-(AI86+AO86)*OverførtTrafikk_Bil,Q86*AntallDøgn)</f>
        <v>0</v>
      </c>
      <c r="AV86" s="728">
        <f>IFERROR(AU86/AS86,0)</f>
        <v>0</v>
      </c>
      <c r="AX86" s="218" t="s">
        <v>1318</v>
      </c>
      <c r="AY86" s="727">
        <f t="shared" si="45"/>
        <v>0</v>
      </c>
      <c r="AZ86" s="727">
        <f t="shared" si="45"/>
        <v>0</v>
      </c>
      <c r="BA86" s="727">
        <f>IF(W86="",-(AI86+AO86)*OverførtTrafikk_Buss,W86*AntallDøgn)</f>
        <v>0</v>
      </c>
      <c r="BB86" s="728">
        <f>IFERROR(BA86/AY86,0)</f>
        <v>0</v>
      </c>
      <c r="BD86" s="218" t="s">
        <v>1318</v>
      </c>
      <c r="BE86" s="727">
        <f t="shared" si="46"/>
        <v>0</v>
      </c>
      <c r="BF86" s="727">
        <f t="shared" si="46"/>
        <v>0</v>
      </c>
      <c r="BG86" s="727">
        <f>IF(AC86="",-(AI86+AO86)*OverførtTrafikk_Fly,AC86*AntallDøgn)</f>
        <v>0</v>
      </c>
      <c r="BH86" s="728">
        <f>IFERROR(BG86/BE86,0)</f>
        <v>0</v>
      </c>
    </row>
    <row r="87" spans="2:60" x14ac:dyDescent="0.35">
      <c r="B87" s="218"/>
      <c r="C87" s="83"/>
      <c r="D87" s="83"/>
      <c r="E87" s="83"/>
      <c r="F87" s="315"/>
      <c r="H87" s="218"/>
      <c r="I87" s="83"/>
      <c r="J87" s="83"/>
      <c r="K87" s="83"/>
      <c r="L87" s="315"/>
      <c r="N87" s="218" t="s">
        <v>594</v>
      </c>
      <c r="O87" s="727"/>
      <c r="P87" s="727"/>
      <c r="Q87" s="727"/>
      <c r="R87" s="728"/>
      <c r="T87" s="218" t="s">
        <v>594</v>
      </c>
      <c r="U87" s="727"/>
      <c r="V87" s="727"/>
      <c r="W87" s="727"/>
      <c r="X87" s="728"/>
      <c r="Z87" s="218" t="s">
        <v>594</v>
      </c>
      <c r="AA87" s="727"/>
      <c r="AB87" s="727"/>
      <c r="AC87" s="727"/>
      <c r="AD87" s="728"/>
      <c r="AF87" s="218" t="s">
        <v>594</v>
      </c>
      <c r="AG87" s="727">
        <f t="shared" si="42"/>
        <v>0</v>
      </c>
      <c r="AH87" s="727">
        <f t="shared" si="42"/>
        <v>0</v>
      </c>
      <c r="AI87" s="727">
        <f t="shared" si="42"/>
        <v>0</v>
      </c>
      <c r="AJ87" s="728">
        <f>IFERROR(AI87/AG87,0)</f>
        <v>0</v>
      </c>
      <c r="AL87" s="218" t="s">
        <v>594</v>
      </c>
      <c r="AM87" s="727">
        <f t="shared" si="43"/>
        <v>0</v>
      </c>
      <c r="AN87" s="727">
        <f t="shared" si="43"/>
        <v>0</v>
      </c>
      <c r="AO87" s="727">
        <f t="shared" si="43"/>
        <v>0</v>
      </c>
      <c r="AP87" s="728">
        <f>IFERROR(AO87/AM87,0)</f>
        <v>0</v>
      </c>
      <c r="AR87" s="218" t="s">
        <v>594</v>
      </c>
      <c r="AS87" s="727">
        <f t="shared" si="44"/>
        <v>0</v>
      </c>
      <c r="AT87" s="727">
        <f t="shared" si="44"/>
        <v>0</v>
      </c>
      <c r="AU87" s="727">
        <f>IF(Q87="",-(AI87+AO87)*OverførtTrafikk_Bil,Q87*AntallDøgn)</f>
        <v>0</v>
      </c>
      <c r="AV87" s="728">
        <f>IFERROR(AU87/AS87,0)</f>
        <v>0</v>
      </c>
      <c r="AX87" s="218" t="s">
        <v>594</v>
      </c>
      <c r="AY87" s="727">
        <f t="shared" si="45"/>
        <v>0</v>
      </c>
      <c r="AZ87" s="727">
        <f t="shared" si="45"/>
        <v>0</v>
      </c>
      <c r="BA87" s="727">
        <f>IF(W87="",-(AI87+AO87)*OverførtTrafikk_Buss,W87*AntallDøgn)</f>
        <v>0</v>
      </c>
      <c r="BB87" s="728">
        <f>IFERROR(BA87/AY87,0)</f>
        <v>0</v>
      </c>
      <c r="BD87" s="218" t="s">
        <v>594</v>
      </c>
      <c r="BE87" s="727">
        <f t="shared" si="46"/>
        <v>0</v>
      </c>
      <c r="BF87" s="727">
        <f t="shared" si="46"/>
        <v>0</v>
      </c>
      <c r="BG87" s="727">
        <f>IF(AC87="",-(AI87+AO87)*OverførtTrafikk_Fly,AC87*AntallDøgn)</f>
        <v>0</v>
      </c>
      <c r="BH87" s="728">
        <f>IFERROR(BG87/BE87,0)</f>
        <v>0</v>
      </c>
    </row>
    <row r="88" spans="2:60" x14ac:dyDescent="0.35">
      <c r="B88" s="314" t="s">
        <v>1320</v>
      </c>
      <c r="C88" s="727"/>
      <c r="D88" s="727"/>
      <c r="E88" s="727"/>
      <c r="F88" s="728"/>
      <c r="H88" s="314" t="s">
        <v>1320</v>
      </c>
      <c r="I88" s="727"/>
      <c r="J88" s="727"/>
      <c r="K88" s="727"/>
      <c r="L88" s="728"/>
      <c r="N88" s="314"/>
      <c r="O88" s="83"/>
      <c r="P88" s="83"/>
      <c r="Q88" s="83"/>
      <c r="R88" s="315"/>
      <c r="T88" s="314" t="s">
        <v>1319</v>
      </c>
      <c r="U88" s="727"/>
      <c r="V88" s="727"/>
      <c r="W88" s="727"/>
      <c r="X88" s="728"/>
      <c r="Z88" s="218"/>
      <c r="AA88" s="83"/>
      <c r="AB88" s="83"/>
      <c r="AC88" s="83"/>
      <c r="AD88" s="315"/>
      <c r="AF88" s="314" t="s">
        <v>1319</v>
      </c>
      <c r="AG88" s="727">
        <f t="shared" si="42"/>
        <v>0</v>
      </c>
      <c r="AH88" s="727">
        <f t="shared" si="42"/>
        <v>0</v>
      </c>
      <c r="AI88" s="727">
        <f t="shared" si="42"/>
        <v>0</v>
      </c>
      <c r="AJ88" s="728">
        <f t="shared" ref="AJ88" si="49">IFERROR(AI88/AG88,0)</f>
        <v>0</v>
      </c>
      <c r="AL88" s="314" t="s">
        <v>1319</v>
      </c>
      <c r="AM88" s="727">
        <f t="shared" si="43"/>
        <v>0</v>
      </c>
      <c r="AN88" s="727">
        <f t="shared" si="43"/>
        <v>0</v>
      </c>
      <c r="AO88" s="727">
        <f t="shared" si="43"/>
        <v>0</v>
      </c>
      <c r="AP88" s="728">
        <f t="shared" ref="AP88" si="50">IFERROR(AO88/AM88,0)</f>
        <v>0</v>
      </c>
      <c r="AR88" s="218"/>
      <c r="AS88" s="83"/>
      <c r="AT88" s="83"/>
      <c r="AU88" s="83"/>
      <c r="AV88" s="315"/>
      <c r="AX88" s="314" t="s">
        <v>1319</v>
      </c>
      <c r="AY88" s="727">
        <f t="shared" si="45"/>
        <v>0</v>
      </c>
      <c r="AZ88" s="727">
        <f t="shared" si="45"/>
        <v>0</v>
      </c>
      <c r="BA88" s="727">
        <f>IF(W88="",-(AI88+AO88)*OverførtTrafikk_Buss,W88*AntallDøgn)</f>
        <v>0</v>
      </c>
      <c r="BB88" s="728">
        <f>IFERROR(BA88/AY88,0)</f>
        <v>0</v>
      </c>
      <c r="BD88" s="314"/>
      <c r="BE88" s="83"/>
      <c r="BF88" s="83"/>
      <c r="BG88" s="83"/>
      <c r="BH88" s="315"/>
    </row>
    <row r="89" spans="2:60" x14ac:dyDescent="0.35">
      <c r="B89" s="218"/>
      <c r="C89" s="83"/>
      <c r="D89" s="83"/>
      <c r="E89" s="83"/>
      <c r="F89" s="315"/>
      <c r="H89" s="218"/>
      <c r="I89" s="83"/>
      <c r="J89" s="83"/>
      <c r="K89" s="83"/>
      <c r="L89" s="315"/>
      <c r="N89" s="314"/>
      <c r="O89" s="83"/>
      <c r="P89" s="83"/>
      <c r="Q89" s="83"/>
      <c r="R89" s="315"/>
      <c r="T89" s="218"/>
      <c r="U89" s="83"/>
      <c r="V89" s="83"/>
      <c r="W89" s="83"/>
      <c r="X89" s="315"/>
      <c r="Z89" s="218"/>
      <c r="AA89" s="83"/>
      <c r="AB89" s="83"/>
      <c r="AC89" s="83"/>
      <c r="AD89" s="315"/>
      <c r="AF89" s="218"/>
      <c r="AG89" s="83" t="s">
        <v>884</v>
      </c>
      <c r="AH89" s="83" t="s">
        <v>884</v>
      </c>
      <c r="AI89" s="83" t="s">
        <v>884</v>
      </c>
      <c r="AJ89" s="315"/>
      <c r="AL89" s="218"/>
      <c r="AM89" s="83" t="s">
        <v>884</v>
      </c>
      <c r="AN89" s="83" t="s">
        <v>884</v>
      </c>
      <c r="AO89" s="83" t="s">
        <v>884</v>
      </c>
      <c r="AP89" s="315"/>
      <c r="AR89" s="314"/>
      <c r="AS89" s="83"/>
      <c r="AT89" s="83"/>
      <c r="AU89" s="83"/>
      <c r="AV89" s="315"/>
      <c r="AX89" s="218"/>
      <c r="AY89" s="83"/>
      <c r="AZ89" s="83"/>
      <c r="BA89" s="83"/>
      <c r="BB89" s="315"/>
      <c r="BD89" s="218"/>
      <c r="BE89" s="83"/>
      <c r="BF89" s="83"/>
      <c r="BG89" s="83"/>
      <c r="BH89" s="315"/>
    </row>
    <row r="90" spans="2:60" x14ac:dyDescent="0.35">
      <c r="B90" s="220" t="s">
        <v>1321</v>
      </c>
      <c r="C90" s="95"/>
      <c r="D90" s="95"/>
      <c r="E90" s="95"/>
      <c r="F90" s="394"/>
      <c r="H90" s="220" t="s">
        <v>1321</v>
      </c>
      <c r="I90" s="95"/>
      <c r="J90" s="95"/>
      <c r="K90" s="95"/>
      <c r="L90" s="394"/>
      <c r="N90" s="314"/>
      <c r="O90" s="83"/>
      <c r="P90" s="83"/>
      <c r="Q90" s="83"/>
      <c r="R90" s="315"/>
      <c r="T90" s="314" t="s">
        <v>1320</v>
      </c>
      <c r="U90" s="727"/>
      <c r="V90" s="727"/>
      <c r="W90" s="727"/>
      <c r="X90" s="728"/>
      <c r="Z90" s="314"/>
      <c r="AA90" s="83"/>
      <c r="AB90" s="83"/>
      <c r="AC90" s="83"/>
      <c r="AD90" s="315"/>
      <c r="AF90" s="314" t="s">
        <v>1320</v>
      </c>
      <c r="AG90" s="727">
        <f>C88*AntallDøgn/(1+Moms_Billett)</f>
        <v>0</v>
      </c>
      <c r="AH90" s="727">
        <f>D88*AntallDøgn/(1+Moms_Billett)</f>
        <v>0</v>
      </c>
      <c r="AI90" s="727">
        <f>E88*AntallDøgn/(1+Moms_Billett)</f>
        <v>0</v>
      </c>
      <c r="AJ90" s="728">
        <f>IFERROR(AI90/AG90,0)</f>
        <v>0</v>
      </c>
      <c r="AL90" s="314" t="s">
        <v>1320</v>
      </c>
      <c r="AM90" s="727">
        <f>I88*AntallDøgn/(1+Moms_Billett)</f>
        <v>0</v>
      </c>
      <c r="AN90" s="727">
        <f>J88*AntallDøgn/(1+Moms_Billett)</f>
        <v>0</v>
      </c>
      <c r="AO90" s="727">
        <f>K88*AntallDøgn/(1+Moms_Billett)</f>
        <v>0</v>
      </c>
      <c r="AP90" s="728">
        <f>IFERROR(AO90/AM90,0)</f>
        <v>0</v>
      </c>
      <c r="AR90" s="314"/>
      <c r="AS90" s="83"/>
      <c r="AT90" s="83"/>
      <c r="AU90" s="83"/>
      <c r="AV90" s="315"/>
      <c r="AX90" s="314" t="s">
        <v>1320</v>
      </c>
      <c r="AY90" s="727">
        <f>IF(U90="",0,U90*AntallDøgn/(1+Moms_Billett))</f>
        <v>0</v>
      </c>
      <c r="AZ90" s="727">
        <f>IF(V90="",0,V90*AntallDøgn/(1+Moms_Billett))</f>
        <v>0</v>
      </c>
      <c r="BA90" s="727">
        <f>IF(W90="",0,W90*AntallDøgn/(1+Moms_Billett))</f>
        <v>0</v>
      </c>
      <c r="BB90" s="728">
        <f>IFERROR(BA90/AY90,0)</f>
        <v>0</v>
      </c>
      <c r="BD90" s="314"/>
      <c r="BE90" s="83"/>
      <c r="BF90" s="83"/>
      <c r="BG90" s="83"/>
      <c r="BH90" s="315"/>
    </row>
    <row r="91" spans="2:60" x14ac:dyDescent="0.35">
      <c r="B91" s="218" t="s">
        <v>1323</v>
      </c>
      <c r="C91" s="727"/>
      <c r="D91" s="727"/>
      <c r="E91" s="727"/>
      <c r="F91" s="728"/>
      <c r="H91" s="218" t="s">
        <v>1323</v>
      </c>
      <c r="I91" s="727"/>
      <c r="J91" s="727"/>
      <c r="K91" s="727"/>
      <c r="L91" s="728"/>
      <c r="N91" s="218"/>
      <c r="O91" s="83"/>
      <c r="P91" s="83"/>
      <c r="Q91" s="83"/>
      <c r="R91" s="315"/>
      <c r="T91" s="218"/>
      <c r="U91" s="83"/>
      <c r="V91" s="83"/>
      <c r="W91" s="83"/>
      <c r="X91" s="393"/>
      <c r="Z91" s="218"/>
      <c r="AA91" s="83"/>
      <c r="AB91" s="83"/>
      <c r="AC91" s="83"/>
      <c r="AD91" s="315"/>
      <c r="AF91" s="218"/>
      <c r="AG91" s="83" t="s">
        <v>884</v>
      </c>
      <c r="AH91" s="83" t="s">
        <v>884</v>
      </c>
      <c r="AI91" s="83" t="s">
        <v>884</v>
      </c>
      <c r="AJ91" s="315"/>
      <c r="AL91" s="218"/>
      <c r="AM91" s="83" t="s">
        <v>884</v>
      </c>
      <c r="AN91" s="83" t="s">
        <v>884</v>
      </c>
      <c r="AO91" s="83" t="s">
        <v>884</v>
      </c>
      <c r="AP91" s="315"/>
      <c r="AR91" s="218"/>
      <c r="AS91" s="83"/>
      <c r="AT91" s="83"/>
      <c r="AU91" s="83"/>
      <c r="AV91" s="315"/>
      <c r="AX91" s="218"/>
      <c r="AY91" s="83"/>
      <c r="AZ91" s="83"/>
      <c r="BA91" s="83"/>
      <c r="BB91" s="315"/>
      <c r="BD91" s="218"/>
      <c r="BE91" s="83"/>
      <c r="BF91" s="83"/>
      <c r="BG91" s="83"/>
      <c r="BH91" s="315"/>
    </row>
    <row r="92" spans="2:60" x14ac:dyDescent="0.35">
      <c r="B92" s="218" t="s">
        <v>1324</v>
      </c>
      <c r="C92" s="727"/>
      <c r="D92" s="727"/>
      <c r="E92" s="727"/>
      <c r="F92" s="728"/>
      <c r="H92" s="218" t="s">
        <v>1324</v>
      </c>
      <c r="I92" s="727"/>
      <c r="J92" s="727"/>
      <c r="K92" s="727"/>
      <c r="L92" s="728"/>
      <c r="N92" s="220" t="s">
        <v>1322</v>
      </c>
      <c r="O92" s="95"/>
      <c r="P92" s="95"/>
      <c r="Q92" s="95"/>
      <c r="R92" s="394"/>
      <c r="T92" s="220" t="s">
        <v>1321</v>
      </c>
      <c r="U92" s="95"/>
      <c r="V92" s="95"/>
      <c r="W92" s="95"/>
      <c r="X92" s="394"/>
      <c r="Z92" s="220" t="s">
        <v>1321</v>
      </c>
      <c r="AA92" s="95"/>
      <c r="AB92" s="95"/>
      <c r="AC92" s="95"/>
      <c r="AD92" s="394"/>
      <c r="AF92" s="220" t="s">
        <v>1321</v>
      </c>
      <c r="AG92" s="391"/>
      <c r="AH92" s="391"/>
      <c r="AI92" s="391"/>
      <c r="AJ92" s="392"/>
      <c r="AL92" s="220" t="s">
        <v>1321</v>
      </c>
      <c r="AM92" s="391"/>
      <c r="AN92" s="391"/>
      <c r="AO92" s="391"/>
      <c r="AP92" s="392"/>
      <c r="AR92" s="220" t="s">
        <v>1322</v>
      </c>
      <c r="AS92" s="95"/>
      <c r="AT92" s="95"/>
      <c r="AU92" s="95"/>
      <c r="AV92" s="394"/>
      <c r="AX92" s="220" t="s">
        <v>1321</v>
      </c>
      <c r="AY92" s="95"/>
      <c r="AZ92" s="95"/>
      <c r="BA92" s="95"/>
      <c r="BB92" s="394"/>
      <c r="BD92" s="220" t="s">
        <v>1321</v>
      </c>
      <c r="BE92" s="95"/>
      <c r="BF92" s="95"/>
      <c r="BG92" s="95"/>
      <c r="BH92" s="394"/>
    </row>
    <row r="93" spans="2:60" x14ac:dyDescent="0.35">
      <c r="B93" s="218" t="s">
        <v>1325</v>
      </c>
      <c r="C93" s="727"/>
      <c r="D93" s="727"/>
      <c r="E93" s="727"/>
      <c r="F93" s="728"/>
      <c r="H93" s="218" t="s">
        <v>1325</v>
      </c>
      <c r="I93" s="727"/>
      <c r="J93" s="727"/>
      <c r="K93" s="727"/>
      <c r="L93" s="728"/>
      <c r="N93" s="218" t="s">
        <v>1323</v>
      </c>
      <c r="O93" s="727"/>
      <c r="P93" s="727"/>
      <c r="Q93" s="727"/>
      <c r="R93" s="728"/>
      <c r="T93" s="218" t="s">
        <v>1323</v>
      </c>
      <c r="U93" s="727"/>
      <c r="V93" s="727"/>
      <c r="W93" s="727"/>
      <c r="X93" s="728"/>
      <c r="Z93" s="218" t="s">
        <v>1323</v>
      </c>
      <c r="AA93" s="727"/>
      <c r="AB93" s="727"/>
      <c r="AC93" s="727"/>
      <c r="AD93" s="728"/>
      <c r="AF93" s="218" t="s">
        <v>1323</v>
      </c>
      <c r="AG93" s="727">
        <f t="shared" ref="AG93:AI96" si="51">C91*AntallDøgn</f>
        <v>0</v>
      </c>
      <c r="AH93" s="727">
        <f t="shared" si="51"/>
        <v>0</v>
      </c>
      <c r="AI93" s="727">
        <f t="shared" si="51"/>
        <v>0</v>
      </c>
      <c r="AJ93" s="728">
        <f t="shared" ref="AJ93:AJ96" si="52">IFERROR(AI93/AG93,0)</f>
        <v>0</v>
      </c>
      <c r="AL93" s="218" t="s">
        <v>1323</v>
      </c>
      <c r="AM93" s="727">
        <f t="shared" ref="AM93:AO96" si="53">I91*AntallDøgn</f>
        <v>0</v>
      </c>
      <c r="AN93" s="727">
        <f t="shared" si="53"/>
        <v>0</v>
      </c>
      <c r="AO93" s="727">
        <f t="shared" si="53"/>
        <v>0</v>
      </c>
      <c r="AP93" s="728">
        <f t="shared" ref="AP93:AP96" si="54">IFERROR(AO93/AM93,0)</f>
        <v>0</v>
      </c>
      <c r="AR93" s="218" t="s">
        <v>1323</v>
      </c>
      <c r="AS93" s="727">
        <f t="shared" ref="AS93:AU95" si="55">O93*AntallDøgn</f>
        <v>0</v>
      </c>
      <c r="AT93" s="727">
        <f t="shared" si="55"/>
        <v>0</v>
      </c>
      <c r="AU93" s="727">
        <f t="shared" si="55"/>
        <v>0</v>
      </c>
      <c r="AV93" s="728">
        <f>IFERROR(AU93/AS93,0)</f>
        <v>0</v>
      </c>
      <c r="AX93" s="218" t="s">
        <v>1323</v>
      </c>
      <c r="AY93" s="727">
        <f t="shared" ref="AY93:BA95" si="56">U93*AntallDøgn</f>
        <v>0</v>
      </c>
      <c r="AZ93" s="727">
        <f t="shared" si="56"/>
        <v>0</v>
      </c>
      <c r="BA93" s="727">
        <f t="shared" si="56"/>
        <v>0</v>
      </c>
      <c r="BB93" s="728">
        <f>IFERROR(BA93/AY93,0)</f>
        <v>0</v>
      </c>
      <c r="BD93" s="218" t="s">
        <v>1323</v>
      </c>
      <c r="BE93" s="727">
        <f t="shared" ref="BE93:BG95" si="57">AA93*AntallDøgn</f>
        <v>0</v>
      </c>
      <c r="BF93" s="727">
        <f t="shared" si="57"/>
        <v>0</v>
      </c>
      <c r="BG93" s="727">
        <f t="shared" si="57"/>
        <v>0</v>
      </c>
      <c r="BH93" s="728">
        <f>IFERROR(BG93/BE93,0)</f>
        <v>0</v>
      </c>
    </row>
    <row r="94" spans="2:60" x14ac:dyDescent="0.35">
      <c r="B94" s="218" t="s">
        <v>594</v>
      </c>
      <c r="C94" s="727"/>
      <c r="D94" s="727"/>
      <c r="E94" s="727"/>
      <c r="F94" s="728"/>
      <c r="H94" s="218" t="s">
        <v>594</v>
      </c>
      <c r="I94" s="727"/>
      <c r="J94" s="727"/>
      <c r="K94" s="727"/>
      <c r="L94" s="728"/>
      <c r="N94" s="218" t="s">
        <v>1324</v>
      </c>
      <c r="O94" s="727"/>
      <c r="P94" s="727"/>
      <c r="Q94" s="727"/>
      <c r="R94" s="728"/>
      <c r="T94" s="218" t="s">
        <v>1324</v>
      </c>
      <c r="U94" s="727"/>
      <c r="V94" s="727"/>
      <c r="W94" s="727"/>
      <c r="X94" s="728"/>
      <c r="Z94" s="218" t="s">
        <v>1324</v>
      </c>
      <c r="AA94" s="727"/>
      <c r="AB94" s="727"/>
      <c r="AC94" s="727"/>
      <c r="AD94" s="728"/>
      <c r="AF94" s="218" t="s">
        <v>1324</v>
      </c>
      <c r="AG94" s="727">
        <f t="shared" si="51"/>
        <v>0</v>
      </c>
      <c r="AH94" s="727">
        <f t="shared" si="51"/>
        <v>0</v>
      </c>
      <c r="AI94" s="727">
        <f t="shared" si="51"/>
        <v>0</v>
      </c>
      <c r="AJ94" s="728">
        <f t="shared" si="52"/>
        <v>0</v>
      </c>
      <c r="AL94" s="218" t="s">
        <v>1324</v>
      </c>
      <c r="AM94" s="727">
        <f t="shared" si="53"/>
        <v>0</v>
      </c>
      <c r="AN94" s="727">
        <f t="shared" si="53"/>
        <v>0</v>
      </c>
      <c r="AO94" s="727">
        <f t="shared" si="53"/>
        <v>0</v>
      </c>
      <c r="AP94" s="728">
        <f t="shared" si="54"/>
        <v>0</v>
      </c>
      <c r="AR94" s="218" t="s">
        <v>1324</v>
      </c>
      <c r="AS94" s="727">
        <f t="shared" si="55"/>
        <v>0</v>
      </c>
      <c r="AT94" s="727">
        <f t="shared" si="55"/>
        <v>0</v>
      </c>
      <c r="AU94" s="727">
        <f t="shared" si="55"/>
        <v>0</v>
      </c>
      <c r="AV94" s="728">
        <f>IFERROR(AU94/AS94,0)</f>
        <v>0</v>
      </c>
      <c r="AX94" s="218" t="s">
        <v>1324</v>
      </c>
      <c r="AY94" s="727">
        <f t="shared" si="56"/>
        <v>0</v>
      </c>
      <c r="AZ94" s="727">
        <f t="shared" si="56"/>
        <v>0</v>
      </c>
      <c r="BA94" s="727">
        <f t="shared" si="56"/>
        <v>0</v>
      </c>
      <c r="BB94" s="728">
        <f>IFERROR(BA94/AY94,0)</f>
        <v>0</v>
      </c>
      <c r="BD94" s="218" t="s">
        <v>1324</v>
      </c>
      <c r="BE94" s="727">
        <f t="shared" si="57"/>
        <v>0</v>
      </c>
      <c r="BF94" s="727">
        <f t="shared" si="57"/>
        <v>0</v>
      </c>
      <c r="BG94" s="727">
        <f t="shared" si="57"/>
        <v>0</v>
      </c>
      <c r="BH94" s="728">
        <f>IFERROR(BG94/BE94,0)</f>
        <v>0</v>
      </c>
    </row>
    <row r="95" spans="2:60" x14ac:dyDescent="0.35">
      <c r="B95" s="218" t="s">
        <v>1326</v>
      </c>
      <c r="C95" s="727"/>
      <c r="D95" s="727"/>
      <c r="E95" s="727"/>
      <c r="F95" s="728"/>
      <c r="H95" s="218" t="s">
        <v>1326</v>
      </c>
      <c r="I95" s="727"/>
      <c r="J95" s="727"/>
      <c r="K95" s="727"/>
      <c r="L95" s="728"/>
      <c r="N95" s="218" t="s">
        <v>1325</v>
      </c>
      <c r="O95" s="727"/>
      <c r="P95" s="727"/>
      <c r="Q95" s="727"/>
      <c r="R95" s="728"/>
      <c r="T95" s="218" t="s">
        <v>1325</v>
      </c>
      <c r="U95" s="727"/>
      <c r="V95" s="727"/>
      <c r="W95" s="727"/>
      <c r="X95" s="728"/>
      <c r="Z95" s="218" t="s">
        <v>1325</v>
      </c>
      <c r="AA95" s="727"/>
      <c r="AB95" s="727"/>
      <c r="AC95" s="727"/>
      <c r="AD95" s="728"/>
      <c r="AF95" s="218" t="s">
        <v>1325</v>
      </c>
      <c r="AG95" s="727">
        <f t="shared" si="51"/>
        <v>0</v>
      </c>
      <c r="AH95" s="727">
        <f t="shared" si="51"/>
        <v>0</v>
      </c>
      <c r="AI95" s="727">
        <f t="shared" si="51"/>
        <v>0</v>
      </c>
      <c r="AJ95" s="728">
        <f t="shared" si="52"/>
        <v>0</v>
      </c>
      <c r="AL95" s="218" t="s">
        <v>1325</v>
      </c>
      <c r="AM95" s="727">
        <f t="shared" si="53"/>
        <v>0</v>
      </c>
      <c r="AN95" s="727">
        <f t="shared" si="53"/>
        <v>0</v>
      </c>
      <c r="AO95" s="727">
        <f t="shared" si="53"/>
        <v>0</v>
      </c>
      <c r="AP95" s="728">
        <f t="shared" si="54"/>
        <v>0</v>
      </c>
      <c r="AR95" s="218" t="s">
        <v>1325</v>
      </c>
      <c r="AS95" s="727">
        <f t="shared" si="55"/>
        <v>0</v>
      </c>
      <c r="AT95" s="727">
        <f t="shared" si="55"/>
        <v>0</v>
      </c>
      <c r="AU95" s="727">
        <f t="shared" si="55"/>
        <v>0</v>
      </c>
      <c r="AV95" s="728">
        <f>IFERROR(AU95/AS95,0)</f>
        <v>0</v>
      </c>
      <c r="AX95" s="218" t="s">
        <v>1325</v>
      </c>
      <c r="AY95" s="727">
        <f t="shared" si="56"/>
        <v>0</v>
      </c>
      <c r="AZ95" s="727">
        <f t="shared" si="56"/>
        <v>0</v>
      </c>
      <c r="BA95" s="727">
        <f t="shared" si="56"/>
        <v>0</v>
      </c>
      <c r="BB95" s="728">
        <f>IFERROR(BA95/AY95,0)</f>
        <v>0</v>
      </c>
      <c r="BD95" s="218" t="s">
        <v>1325</v>
      </c>
      <c r="BE95" s="727">
        <f t="shared" si="57"/>
        <v>0</v>
      </c>
      <c r="BF95" s="727">
        <f t="shared" si="57"/>
        <v>0</v>
      </c>
      <c r="BG95" s="727">
        <f t="shared" si="57"/>
        <v>0</v>
      </c>
      <c r="BH95" s="728">
        <f>IFERROR(BG95/BE95,0)</f>
        <v>0</v>
      </c>
    </row>
    <row r="96" spans="2:60" ht="15" thickBot="1" x14ac:dyDescent="0.4">
      <c r="B96" s="220" t="s">
        <v>1327</v>
      </c>
      <c r="C96" s="95"/>
      <c r="D96" s="95"/>
      <c r="E96" s="95"/>
      <c r="F96" s="394"/>
      <c r="H96" s="220" t="s">
        <v>1327</v>
      </c>
      <c r="I96" s="95"/>
      <c r="J96" s="95"/>
      <c r="K96" s="95"/>
      <c r="L96" s="394"/>
      <c r="N96" s="266" t="s">
        <v>594</v>
      </c>
      <c r="O96" s="731"/>
      <c r="P96" s="731"/>
      <c r="Q96" s="731"/>
      <c r="R96" s="732"/>
      <c r="T96" s="266" t="s">
        <v>594</v>
      </c>
      <c r="U96" s="731"/>
      <c r="V96" s="731"/>
      <c r="W96" s="731"/>
      <c r="X96" s="732"/>
      <c r="Z96" s="266" t="s">
        <v>594</v>
      </c>
      <c r="AA96" s="731"/>
      <c r="AB96" s="731"/>
      <c r="AC96" s="731"/>
      <c r="AD96" s="732"/>
      <c r="AF96" s="218" t="s">
        <v>594</v>
      </c>
      <c r="AG96" s="727">
        <f t="shared" si="51"/>
        <v>0</v>
      </c>
      <c r="AH96" s="727">
        <f t="shared" si="51"/>
        <v>0</v>
      </c>
      <c r="AI96" s="727">
        <f t="shared" si="51"/>
        <v>0</v>
      </c>
      <c r="AJ96" s="728">
        <f t="shared" si="52"/>
        <v>0</v>
      </c>
      <c r="AL96" s="218" t="s">
        <v>594</v>
      </c>
      <c r="AM96" s="727">
        <f t="shared" si="53"/>
        <v>0</v>
      </c>
      <c r="AN96" s="727">
        <f t="shared" si="53"/>
        <v>0</v>
      </c>
      <c r="AO96" s="727">
        <f t="shared" si="53"/>
        <v>0</v>
      </c>
      <c r="AP96" s="728">
        <f t="shared" si="54"/>
        <v>0</v>
      </c>
      <c r="AR96" s="266" t="s">
        <v>594</v>
      </c>
      <c r="AS96" s="731">
        <f>O96*AntallDøgn</f>
        <v>0</v>
      </c>
      <c r="AT96" s="731">
        <f>P96*AntallDøgn</f>
        <v>0</v>
      </c>
      <c r="AU96" s="731">
        <f>IF(Q96="",-(AI96+AO96)*OverførtTrafikk_Bil,Q96*AntallDøgn)</f>
        <v>0</v>
      </c>
      <c r="AV96" s="732">
        <f>IFERROR(AU96/AS96,0)</f>
        <v>0</v>
      </c>
      <c r="AX96" s="266" t="s">
        <v>594</v>
      </c>
      <c r="AY96" s="731">
        <f>U96*AntallDøgn</f>
        <v>0</v>
      </c>
      <c r="AZ96" s="731">
        <f>V96*AntallDøgn</f>
        <v>0</v>
      </c>
      <c r="BA96" s="731">
        <f>IF(W96="",-(AI96+AO96)*OverførtTrafikk_Buss,W96*AntallDøgn)</f>
        <v>0</v>
      </c>
      <c r="BB96" s="732">
        <f>IFERROR(BA96/AY96,0)</f>
        <v>0</v>
      </c>
      <c r="BD96" s="266" t="s">
        <v>594</v>
      </c>
      <c r="BE96" s="731">
        <f>AA96*AntallDøgn</f>
        <v>0</v>
      </c>
      <c r="BF96" s="731">
        <f>AB96*AntallDøgn</f>
        <v>0</v>
      </c>
      <c r="BG96" s="731">
        <f>IF(AC96="",-(AI96+AO96)*OverførtTrafikk_Fly,AC96*AntallDøgn)</f>
        <v>0</v>
      </c>
      <c r="BH96" s="732">
        <f>IFERROR(BG96/BE96,0)</f>
        <v>0</v>
      </c>
    </row>
    <row r="97" spans="2:54" x14ac:dyDescent="0.35">
      <c r="B97" s="218" t="s">
        <v>1328</v>
      </c>
      <c r="C97" s="727"/>
      <c r="D97" s="727"/>
      <c r="E97" s="727"/>
      <c r="F97" s="728"/>
      <c r="H97" s="218" t="s">
        <v>1328</v>
      </c>
      <c r="I97" s="727"/>
      <c r="J97" s="727"/>
      <c r="K97" s="727"/>
      <c r="L97" s="728"/>
      <c r="O97" s="198"/>
      <c r="P97" s="198"/>
      <c r="Q97" s="198"/>
      <c r="R97" s="396"/>
      <c r="U97" s="198"/>
      <c r="V97" s="198"/>
      <c r="W97" s="198"/>
      <c r="X97" s="396"/>
      <c r="AF97" s="218"/>
      <c r="AG97" s="83"/>
      <c r="AH97" s="83"/>
      <c r="AI97" s="83"/>
      <c r="AJ97" s="315"/>
      <c r="AL97" s="218"/>
      <c r="AM97" s="83"/>
      <c r="AN97" s="83"/>
      <c r="AO97" s="83"/>
      <c r="AP97" s="315"/>
      <c r="AS97" s="198"/>
      <c r="AT97" s="198"/>
      <c r="AU97" s="198"/>
      <c r="AV97" s="396"/>
      <c r="AY97" s="198"/>
      <c r="AZ97" s="198"/>
      <c r="BA97" s="198"/>
      <c r="BB97" s="396"/>
    </row>
    <row r="98" spans="2:54" x14ac:dyDescent="0.35">
      <c r="B98" s="218" t="s">
        <v>1329</v>
      </c>
      <c r="C98" s="727"/>
      <c r="D98" s="727"/>
      <c r="E98" s="727"/>
      <c r="F98" s="728"/>
      <c r="H98" s="218" t="s">
        <v>1329</v>
      </c>
      <c r="I98" s="727"/>
      <c r="J98" s="727"/>
      <c r="K98" s="727"/>
      <c r="L98" s="728"/>
      <c r="AF98" s="220" t="s">
        <v>1327</v>
      </c>
      <c r="AG98" s="391" t="s">
        <v>884</v>
      </c>
      <c r="AH98" s="391" t="s">
        <v>884</v>
      </c>
      <c r="AI98" s="391" t="s">
        <v>884</v>
      </c>
      <c r="AJ98" s="392"/>
      <c r="AL98" s="220" t="s">
        <v>1327</v>
      </c>
      <c r="AM98" s="391" t="s">
        <v>884</v>
      </c>
      <c r="AN98" s="391" t="s">
        <v>884</v>
      </c>
      <c r="AO98" s="391" t="s">
        <v>884</v>
      </c>
      <c r="AP98" s="392"/>
    </row>
    <row r="99" spans="2:54" x14ac:dyDescent="0.35">
      <c r="B99" s="218" t="s">
        <v>1331</v>
      </c>
      <c r="C99" s="727"/>
      <c r="D99" s="727"/>
      <c r="E99" s="727"/>
      <c r="F99" s="728"/>
      <c r="H99" s="218" t="s">
        <v>1331</v>
      </c>
      <c r="I99" s="727"/>
      <c r="J99" s="727"/>
      <c r="K99" s="727"/>
      <c r="L99" s="728"/>
      <c r="AF99" s="218" t="s">
        <v>1328</v>
      </c>
      <c r="AG99" s="727">
        <f>C97*AntallDøgn*(1+Tomtogkjøring)</f>
        <v>0</v>
      </c>
      <c r="AH99" s="727">
        <f t="shared" ref="AH99:AH100" si="58">D97*AntallDøgn*(1+Tomtogkjøring_Tiltak)</f>
        <v>0</v>
      </c>
      <c r="AI99" s="727">
        <f>Settkm_TiltakÅr3-Settkm_RefÅr3</f>
        <v>0</v>
      </c>
      <c r="AJ99" s="728">
        <f t="shared" ref="AJ99" si="59">IFERROR(AI99/AG99,0)</f>
        <v>0</v>
      </c>
      <c r="AL99" s="218" t="s">
        <v>1328</v>
      </c>
      <c r="AM99" s="727">
        <f>I97*AntallDøgn*(1+Tomtogkjøring)</f>
        <v>0</v>
      </c>
      <c r="AN99" s="727">
        <f t="shared" ref="AN99:AN100" si="60">J97*AntallDøgn*(1+Tomtogkjøring_Tiltak)</f>
        <v>0</v>
      </c>
      <c r="AO99" s="727">
        <f>Settkm_TiltakÅr3_Togtype_2-Settkm_RefÅr3_Togtype_2</f>
        <v>0</v>
      </c>
      <c r="AP99" s="728">
        <f t="shared" ref="AP99" si="61">IFERROR(AO99/AM99,0)</f>
        <v>0</v>
      </c>
    </row>
    <row r="100" spans="2:54" x14ac:dyDescent="0.35">
      <c r="B100" s="218" t="s">
        <v>1333</v>
      </c>
      <c r="C100" s="727"/>
      <c r="D100" s="727"/>
      <c r="E100" s="727"/>
      <c r="F100" s="728"/>
      <c r="H100" s="218" t="s">
        <v>1333</v>
      </c>
      <c r="I100" s="727"/>
      <c r="J100" s="727"/>
      <c r="K100" s="727"/>
      <c r="L100" s="728"/>
      <c r="AF100" s="218" t="s">
        <v>1330</v>
      </c>
      <c r="AG100" s="727">
        <f>C98*AntallDøgn*(1+Tomtogkjøring)</f>
        <v>0</v>
      </c>
      <c r="AH100" s="727">
        <f t="shared" si="58"/>
        <v>0</v>
      </c>
      <c r="AI100" s="727">
        <f>TogkmEL_TiltakÅr3-TogkmEL_RefÅr3</f>
        <v>0</v>
      </c>
      <c r="AJ100" s="728" cm="1">
        <f t="array" ref="AJ100">IFERROR(IF(AND(TogkmEL_RefÅr3&gt;0,TogkmEL_TiltakÅr3&gt;0),TogkmEL_År3/TogkmEL_RefÅr3,_xlfn.IFS(AND(TogkmEL_RefÅr3=0,TogkmEL_TiltakÅr3=0),0%,TogkmEL_RefÅr3=0,100%,TogkmEL_TiltakÅr3=0,-100%)),0)</f>
        <v>0</v>
      </c>
      <c r="AL100" s="218" t="s">
        <v>1330</v>
      </c>
      <c r="AM100" s="727">
        <f>I98*AntallDøgn*(1+Tomtogkjøring)</f>
        <v>0</v>
      </c>
      <c r="AN100" s="727">
        <f t="shared" si="60"/>
        <v>0</v>
      </c>
      <c r="AO100" s="727">
        <f>TogkmEL_TiltakÅr3_Togtype_2-TogkmEL_RefÅr3_Togtype_2</f>
        <v>0</v>
      </c>
      <c r="AP100" s="728" cm="1">
        <f t="array" ref="AP100">IFERROR(IF(AND(TogkmEL_RefÅr3_Togtype_2&gt;0,TogkmEL_TiltakÅr3_Togtype_2&gt;0),TogkmEL_År3_Togtype_2/TogkmEL_RefÅr3_Togtype_2,_xlfn.IFS(AND(TogkmEL_RefÅr3_Togtype_2=0,TogkmEL_TiltakÅr3_Togtype_2=0),0%,TogkmEL_RefÅr3_Togtype_2=0,100%,TogkmEL_TiltakÅr3_Togtype_2=0,-100%)),0)</f>
        <v>0</v>
      </c>
    </row>
    <row r="101" spans="2:54" ht="15" thickBot="1" x14ac:dyDescent="0.4">
      <c r="B101" s="266" t="s">
        <v>1335</v>
      </c>
      <c r="C101" s="731"/>
      <c r="D101" s="731"/>
      <c r="E101" s="731"/>
      <c r="F101" s="732"/>
      <c r="H101" s="266" t="s">
        <v>1335</v>
      </c>
      <c r="I101" s="731"/>
      <c r="J101" s="731"/>
      <c r="K101" s="731"/>
      <c r="L101" s="732"/>
      <c r="AF101" s="218" t="s">
        <v>1332</v>
      </c>
      <c r="AG101" s="727">
        <f>IF(Energikilde_Ref="Bimodalt",0,C99*AntallDøgn*(1+Tomtogkjøring))</f>
        <v>0</v>
      </c>
      <c r="AH101" s="727">
        <f>IF(Energikilde_Tiltak="Bimodalt",0,D99*AntallDøgn*(1+Tomtogkjøring_Tiltak))</f>
        <v>0</v>
      </c>
      <c r="AI101" s="727">
        <f>TogkmD_TiltakÅr3-TogkmD_RefÅr3</f>
        <v>0</v>
      </c>
      <c r="AJ101" s="728" cm="1">
        <f t="array" ref="AJ101">IFERROR(IF(AND(TogkmD_RefÅr3&gt;0,TogkmD_TiltakÅr3&gt;0),TogkmD_År3/TogkmD_RefÅr3,_xlfn.IFS(AND(TogkmD_RefÅr3=0,TogkmD_TiltakÅr3=0),0%,TogkmD_RefÅr3=0,100%,TogkmD_TiltakÅr3=0,-100%)),0)</f>
        <v>0</v>
      </c>
      <c r="AL101" s="218" t="s">
        <v>1332</v>
      </c>
      <c r="AM101" s="727">
        <f>IF(Energikilde_Ref="Bimodalt",0,I99*AntallDøgn*(1+Tomtogkjøring))</f>
        <v>0</v>
      </c>
      <c r="AN101" s="727">
        <f>IF(Energikilde_Tiltak="Bimodalt",0,J99*AntallDøgn*(1+Tomtogkjøring_Tiltak))</f>
        <v>0</v>
      </c>
      <c r="AO101" s="727">
        <f>TogkmD_TiltakÅr3_Togtype_2-TogkmD_RefÅr3_Togtype_2</f>
        <v>0</v>
      </c>
      <c r="AP101" s="728" cm="1">
        <f t="array" ref="AP101">IFERROR(IF(AND(TogkmD_RefÅr3_Togtype_2&gt;0,TogkmD_TiltakÅr3_Togtype_2&gt;0),TogkmD_År3_Togtype_2/TogkmD_RefÅr3_Togtype_2,_xlfn.IFS(AND(TogkmD_RefÅr3_Togtype_2=0,TogkmD_TiltakÅr3_Togtype_2=0),0%,TogkmD_RefÅr3_Togtype_2=0,100%,TogkmD_TiltakÅr3_Togtype_2=0,-100%)),0)</f>
        <v>0</v>
      </c>
    </row>
    <row r="102" spans="2:54" x14ac:dyDescent="0.35">
      <c r="AF102" s="218" t="s">
        <v>1334</v>
      </c>
      <c r="AG102" s="727">
        <f>IF(Energikilde_Ref="Bimodalt",C99*AntallDøgn*(1+Tomtogkjøring)*(1-AndelKmDiesel_ref),0)</f>
        <v>0</v>
      </c>
      <c r="AH102" s="727">
        <f>IF(Energikilde_Tiltak="Bimodalt",D99*AntallDøgn*(1+Tomtogkjøring_Tiltak)*(1-AndelKmDiesel_tiltak),0)</f>
        <v>0</v>
      </c>
      <c r="AI102" s="727">
        <f>TogkmBiEl_TiltakÅr3-TogkmBiEL_RefÅr3</f>
        <v>0</v>
      </c>
      <c r="AJ102" s="728" cm="1">
        <f t="array" ref="AJ102">IFERROR(IF(AND(TogkmBiEL_RefÅr3&gt;0,TogkmBiEl_TiltakÅr3&gt;0),TogkmBiEl_År3/TogkmBiEL_RefÅr3,_xlfn.IFS(AND(TogkmBiEL_RefÅr3=0,TogkmBiEl_TiltakÅr3=0),0%,TogkmBiEL_RefÅr3=0,100%,TogkmBiEl_TiltakÅr3=0,-100%)),0)</f>
        <v>0</v>
      </c>
      <c r="AL102" s="218" t="s">
        <v>1334</v>
      </c>
      <c r="AM102" s="727">
        <f>IF(Energikilde_Ref="Bimodalt",I99*AntallDøgn*(1+Tomtogkjøring)*(1-AndelKmDiesel_ref),0)</f>
        <v>0</v>
      </c>
      <c r="AN102" s="727">
        <f>IF(Energikilde_Tiltak="Bimodalt",J99*AntallDøgn*(1+Tomtogkjøring_Tiltak)*(1-AndelKmDiesel_tiltak),0)</f>
        <v>0</v>
      </c>
      <c r="AO102" s="727">
        <f>TogkmBiEl_TiltakÅr3_Togtype_2-TogkmBiEL_RefÅr3_Togtype_2</f>
        <v>0</v>
      </c>
      <c r="AP102" s="728" cm="1">
        <f t="array" ref="AP102">IFERROR(IF(AND(TogkmBiEL_RefÅr3_Togtype_2&gt;0,TogkmBiEl_TiltakÅr3_Togtype_2&gt;0),TogkmBiEl_År3_Togtype_2/TogkmBiEL_RefÅr3_Togtype_2,_xlfn.IFS(AND(TogkmBiEL_RefÅr3_Togtype_2=0,TogkmBiEl_TiltakÅr3_Togtype_2=0),0%,TogkmBiEL_RefÅr3_Togtype_2=0,100%,TogkmBiEl_TiltakÅr3_Togtype_2=0,-100%)),0)</f>
        <v>0</v>
      </c>
    </row>
    <row r="103" spans="2:54" x14ac:dyDescent="0.35">
      <c r="AF103" s="218" t="s">
        <v>1336</v>
      </c>
      <c r="AG103" s="727">
        <f>IF(Energikilde_Ref="Bimodalt",C99*AntallDøgn*(1+Tomtogkjøring)*(AndelKmDiesel_ref),0)</f>
        <v>0</v>
      </c>
      <c r="AH103" s="727">
        <f>IF(Energikilde_Tiltak="Bimodalt",D99*AntallDøgn*(1+Tomtogkjøring_Tiltak)*(AndelKmDiesel_tiltak),0)</f>
        <v>0</v>
      </c>
      <c r="AI103" s="727">
        <f>TogkmBiDi_TiltakÅr3-TogkmBiDi_RefÅr3</f>
        <v>0</v>
      </c>
      <c r="AJ103" s="728" cm="1">
        <f t="array" ref="AJ103">IFERROR(IF(AND(TogkmBiDi_RefÅr3&gt;0,TogkmBiDi_TiltakÅr3&gt;0),TogkmBiDi_År3/TogkmBiDi_RefÅr3,_xlfn.IFS(AND(TogkmBiDi_RefÅr3=0,TogkmBiDi_TiltakÅr3=0),0%,TogkmBiDi_RefÅr3=0,100%,TogkmBiDi_TiltakÅr3=0,-100%)),0)</f>
        <v>0</v>
      </c>
      <c r="AL103" s="218" t="s">
        <v>1336</v>
      </c>
      <c r="AM103" s="727">
        <f>IF(Energikilde_Ref="Bimodalt",I99*AntallDøgn*(1+Tomtogkjøring)*(AndelKmDiesel_ref),0)</f>
        <v>0</v>
      </c>
      <c r="AN103" s="727">
        <f>IF(Energikilde_Tiltak="Bimodalt",J99*AntallDøgn*(1+Tomtogkjøring_Tiltak)*(AndelKmDiesel_tiltak),0)</f>
        <v>0</v>
      </c>
      <c r="AO103" s="727">
        <f>TogkmBiDi_TiltakÅr3_Togtype_2-TogkmBiDi_RefÅr3_Togtype_2</f>
        <v>0</v>
      </c>
      <c r="AP103" s="728" cm="1">
        <f t="array" ref="AP103">IFERROR(IF(AND(TogkmBiDi_RefÅr3_Togtype_2&gt;0,TogkmBiDi_TiltakÅr3_Togtype_2&gt;0),TogkmBiDi_År3_Togtype_2/TogkmBiDi_RefÅr3_Togtype_2,_xlfn.IFS(AND(TogkmBiDi_RefÅr3_Togtype_2=0,TogkmBiDi_TiltakÅr3_Togtype_2=0),0%,TogkmBiDi_RefÅr3_Togtype_2=0,100%,TogkmBiDi_TiltakÅr3_Togtype_2=0,-100%)),0)</f>
        <v>0</v>
      </c>
    </row>
    <row r="104" spans="2:54" x14ac:dyDescent="0.35">
      <c r="AF104" s="218" t="s">
        <v>1333</v>
      </c>
      <c r="AG104" s="727">
        <f>C100*AntallDøgn*(1+Tomtogkjøring)</f>
        <v>0</v>
      </c>
      <c r="AH104" s="727">
        <f>D100*AntallDøgn*(1+Tomtogkjøring_Tiltak)</f>
        <v>0</v>
      </c>
      <c r="AI104" s="727">
        <f>Togtimer_TiltakÅr3-Togtimer_RefÅr3</f>
        <v>0</v>
      </c>
      <c r="AJ104" s="728">
        <f t="shared" ref="AJ104:AJ105" si="62">IFERROR(AI104/AG104,0)</f>
        <v>0</v>
      </c>
      <c r="AL104" s="218" t="s">
        <v>1333</v>
      </c>
      <c r="AM104" s="727">
        <f>I100*AntallDøgn*(1+Tomtogkjøring)</f>
        <v>0</v>
      </c>
      <c r="AN104" s="727">
        <f>J100*AntallDøgn*(1+Tomtogkjøring_Tiltak)</f>
        <v>0</v>
      </c>
      <c r="AO104" s="727">
        <f>Togtimer_TiltakÅr3_Togtype_2-Togtimer_RefÅr3_Togtype_2</f>
        <v>0</v>
      </c>
      <c r="AP104" s="728">
        <f t="shared" ref="AP104:AP105" si="63">IFERROR(AO104/AM104,0)</f>
        <v>0</v>
      </c>
    </row>
    <row r="105" spans="2:54" ht="15" thickBot="1" x14ac:dyDescent="0.4">
      <c r="AF105" s="256" t="s">
        <v>1335</v>
      </c>
      <c r="AG105" s="731">
        <f>C101*AntallDøgn*(1+Tomtogkjøring)</f>
        <v>0</v>
      </c>
      <c r="AH105" s="731">
        <f>D101*AntallDøgn*(1+Tomtogkjøring_Tiltak)</f>
        <v>0</v>
      </c>
      <c r="AI105" s="731">
        <f>Settimer_TiltakÅr3-Settimer_RefÅr3</f>
        <v>0</v>
      </c>
      <c r="AJ105" s="732">
        <f t="shared" si="62"/>
        <v>0</v>
      </c>
      <c r="AL105" s="256" t="s">
        <v>1335</v>
      </c>
      <c r="AM105" s="731">
        <f>I101*AntallDøgn*(1+Tomtogkjøring)</f>
        <v>0</v>
      </c>
      <c r="AN105" s="731">
        <f>J101*AntallDøgn*(1+Tomtogkjøring_Tiltak)</f>
        <v>0</v>
      </c>
      <c r="AO105" s="731">
        <f>Settimer_TiltakÅr3_Togtype_2-Settimer_RefÅr3_Togtype_2</f>
        <v>0</v>
      </c>
      <c r="AP105" s="732">
        <f t="shared" si="63"/>
        <v>0</v>
      </c>
    </row>
  </sheetData>
  <dataConsolidate/>
  <conditionalFormatting sqref="C17:D21 C23:D23 Q13:Q15 O17:R20 O26:R29 W13:W15 U17:X21 U23:X23 AC13:AC15 AA17:AD20 F23 F17:F21 F29:F30 C29:D30 C32:F36 U26:X29 AA26:AD29">
    <cfRule type="expression" dxfId="711" priority="89">
      <formula>FørsteBeregningsår&gt;0</formula>
    </cfRule>
  </conditionalFormatting>
  <conditionalFormatting sqref="C49:D53 C55:D55 C58:D62 Q47:Q49 O51:R54 O60:R63 W47:W49 U51:X55 U57:X57 U60:X63 AC47:AC49 AA51:AD54 AA60:AD63 F64:F68 F58:F62 F55 F49:F53">
    <cfRule type="expression" dxfId="710" priority="88">
      <formula>AndreBeregningsår&gt;0</formula>
    </cfRule>
  </conditionalFormatting>
  <conditionalFormatting sqref="C88 Q80:Q82 O84:R87 O93:R96 W80:W82 U84:X88 U90:X90 U93:X96 AC80:AC82 AA84:AD87 AA93:AD96 C82:D86 F82:F86 C91:C95 C97:C101">
    <cfRule type="expression" dxfId="709" priority="87">
      <formula>TredjeBeregningsår&gt;0</formula>
    </cfRule>
  </conditionalFormatting>
  <conditionalFormatting sqref="Q13:Q15 O17:R20 O26:R29 W13:W15 U17:X21 U23:X23 AC13:AC15 AA17:AD20 Q47:Q49 O51:R54 W47:W49 U51:X55 U57:X57 AC47:AC49 AA51:AD54 AA60:AD63 Q80:Q82 O84:R87 O93:R96 W80:W82 U84:X88 U90:X90 U93:X96 AC80:AC82 AA84:AD87 AA93:AD96 O60:R63 U60:X63 U26:X29 AA26:AD29">
    <cfRule type="expression" dxfId="708" priority="82">
      <formula>AND(FørsteBeregningsår&gt;1,Modell_Person="Trenklin")</formula>
    </cfRule>
  </conditionalFormatting>
  <conditionalFormatting sqref="AC13:AC15 AA17:AD20 AA26:AD29 AC47:AC49 AA51:AD54 AA60:AD63 AC80:AC82 AA84:AD87 AA93:AD96">
    <cfRule type="expression" dxfId="707" priority="81">
      <formula>AND(FørsteBeregningsår&gt;1,Modell_Person="RTM/NTM")</formula>
    </cfRule>
  </conditionalFormatting>
  <conditionalFormatting sqref="C17:D21 C23:D23 Q13:Q15 O17:R20 O26:R29 W13:W15 U17:X21 U23:X23 AC13:AC15 AA17:AD20 C49:D53 C55:D55 C58:D62 Q47:Q49 O51:R54 W47:W49 U51:X55 U57:X57 AC47:AC49 AA51:AD54 AA60:AD63 C88 Q80:Q82 O84:R87 O93:R96 W80:W82 U84:X88 U90:X90 U93:X96 AC80:AC82 AA84:AD87 AA93:AD96 F64:F68 F58:F62 F55 F49:F53 F23 F17:F21 F29:F30 C29:D30 C82:D86 F82:F86 C91:C95 C97:C101 O60:R63 U60:X63 C32:F36 U26:X29 AA26:AD29">
    <cfRule type="expression" dxfId="706" priority="79">
      <formula>Modell_Person="-"</formula>
    </cfRule>
  </conditionalFormatting>
  <conditionalFormatting sqref="E13:E15 E17:E21 E23 E29:E30">
    <cfRule type="expression" dxfId="705" priority="78">
      <formula>FørsteBeregningsår&gt;0</formula>
    </cfRule>
  </conditionalFormatting>
  <conditionalFormatting sqref="E45:E47 E49:E53 E55 E58:E62">
    <cfRule type="expression" dxfId="704" priority="77">
      <formula>AndreBeregningsår&gt;0</formula>
    </cfRule>
  </conditionalFormatting>
  <conditionalFormatting sqref="E82:E86 E78:E80">
    <cfRule type="expression" dxfId="703" priority="76">
      <formula>TredjeBeregningsår&gt;0</formula>
    </cfRule>
  </conditionalFormatting>
  <conditionalFormatting sqref="E13:E15 E17:E21 E23 E49:E53 E55 E58:E62 E29:E30 E82:E86 E78:E80 E45:E47">
    <cfRule type="expression" dxfId="702" priority="74">
      <formula>Modell_Person="-"</formula>
    </cfRule>
  </conditionalFormatting>
  <conditionalFormatting sqref="C27:D27 F27">
    <cfRule type="expression" dxfId="701" priority="73">
      <formula>FørsteBeregningsår&gt;0</formula>
    </cfRule>
  </conditionalFormatting>
  <conditionalFormatting sqref="C27:D27 F27">
    <cfRule type="expression" dxfId="700" priority="71">
      <formula>Modell_Person="-"</formula>
    </cfRule>
  </conditionalFormatting>
  <conditionalFormatting sqref="E27">
    <cfRule type="expression" dxfId="699" priority="70">
      <formula>FørsteBeregningsår&gt;0</formula>
    </cfRule>
  </conditionalFormatting>
  <conditionalFormatting sqref="E27">
    <cfRule type="expression" dxfId="698" priority="68">
      <formula>Modell_Person="-"</formula>
    </cfRule>
  </conditionalFormatting>
  <conditionalFormatting sqref="C26:F26">
    <cfRule type="expression" dxfId="697" priority="67">
      <formula>FørsteBeregningsår&gt;0</formula>
    </cfRule>
  </conditionalFormatting>
  <conditionalFormatting sqref="C26:F26">
    <cfRule type="expression" dxfId="696" priority="66">
      <formula>Modell_Person="-"</formula>
    </cfRule>
  </conditionalFormatting>
  <conditionalFormatting sqref="C28:F28">
    <cfRule type="expression" dxfId="695" priority="57">
      <formula>FørsteBeregningsår&gt;0</formula>
    </cfRule>
  </conditionalFormatting>
  <conditionalFormatting sqref="C28:F28">
    <cfRule type="expression" dxfId="694" priority="56">
      <formula>Modell_Person="-"</formula>
    </cfRule>
  </conditionalFormatting>
  <conditionalFormatting sqref="D88 F88">
    <cfRule type="expression" dxfId="693" priority="55">
      <formula>TredjeBeregningsår&gt;0</formula>
    </cfRule>
  </conditionalFormatting>
  <conditionalFormatting sqref="D88 F88">
    <cfRule type="expression" dxfId="692" priority="54">
      <formula>Modell_Person="-"</formula>
    </cfRule>
  </conditionalFormatting>
  <conditionalFormatting sqref="E88">
    <cfRule type="expression" dxfId="691" priority="53">
      <formula>TredjeBeregningsår&gt;0</formula>
    </cfRule>
  </conditionalFormatting>
  <conditionalFormatting sqref="E88">
    <cfRule type="expression" dxfId="690" priority="52">
      <formula>Modell_Person="-"</formula>
    </cfRule>
  </conditionalFormatting>
  <conditionalFormatting sqref="D91:D95 F91:F95">
    <cfRule type="expression" dxfId="689" priority="47">
      <formula>TredjeBeregningsår&gt;0</formula>
    </cfRule>
  </conditionalFormatting>
  <conditionalFormatting sqref="D91:D95 F91:F95">
    <cfRule type="expression" dxfId="688" priority="46">
      <formula>Modell_Person="-"</formula>
    </cfRule>
  </conditionalFormatting>
  <conditionalFormatting sqref="E91:E95">
    <cfRule type="expression" dxfId="687" priority="45">
      <formula>TredjeBeregningsår&gt;0</formula>
    </cfRule>
  </conditionalFormatting>
  <conditionalFormatting sqref="E91:E95">
    <cfRule type="expression" dxfId="686" priority="44">
      <formula>Modell_Person="-"</formula>
    </cfRule>
  </conditionalFormatting>
  <conditionalFormatting sqref="D97:D101 F97:F101">
    <cfRule type="expression" dxfId="685" priority="43">
      <formula>TredjeBeregningsår&gt;0</formula>
    </cfRule>
  </conditionalFormatting>
  <conditionalFormatting sqref="D97:D101 F97:F101">
    <cfRule type="expression" dxfId="684" priority="42">
      <formula>Modell_Person="-"</formula>
    </cfRule>
  </conditionalFormatting>
  <conditionalFormatting sqref="E97:E101">
    <cfRule type="expression" dxfId="683" priority="41">
      <formula>TredjeBeregningsår&gt;0</formula>
    </cfRule>
  </conditionalFormatting>
  <conditionalFormatting sqref="E97:E101">
    <cfRule type="expression" dxfId="682" priority="40">
      <formula>Modell_Person="-"</formula>
    </cfRule>
  </conditionalFormatting>
  <conditionalFormatting sqref="C64:D68">
    <cfRule type="expression" dxfId="681" priority="36">
      <formula>AndreBeregningsår&gt;0</formula>
    </cfRule>
  </conditionalFormatting>
  <conditionalFormatting sqref="C64:D68">
    <cfRule type="expression" dxfId="680" priority="35">
      <formula>Modell_Person="-"</formula>
    </cfRule>
  </conditionalFormatting>
  <conditionalFormatting sqref="E64:E68">
    <cfRule type="expression" dxfId="679" priority="34">
      <formula>AndreBeregningsår&gt;0</formula>
    </cfRule>
  </conditionalFormatting>
  <conditionalFormatting sqref="E64:E68">
    <cfRule type="expression" dxfId="678" priority="33">
      <formula>Modell_Person="-"</formula>
    </cfRule>
  </conditionalFormatting>
  <conditionalFormatting sqref="I17:L21 I23:L23 I32:L36">
    <cfRule type="expression" dxfId="677" priority="32">
      <formula>FørsteBeregningsår&gt;0</formula>
    </cfRule>
  </conditionalFormatting>
  <conditionalFormatting sqref="I49:L53 I55:L55 I58:L62">
    <cfRule type="expression" dxfId="676" priority="31">
      <formula>AndreBeregningsår&gt;0</formula>
    </cfRule>
  </conditionalFormatting>
  <conditionalFormatting sqref="I88 I82:J86 L82:L86 I91:I95 I97:I101">
    <cfRule type="expression" dxfId="675" priority="30">
      <formula>TredjeBeregningsår&gt;0</formula>
    </cfRule>
  </conditionalFormatting>
  <conditionalFormatting sqref="I88 I82:J86 L82:L86 I91:I95 I97:I101 I17:L21 I23:L23 I32:L36 I49:L53 I55:L55 I58:L62">
    <cfRule type="expression" dxfId="674" priority="29">
      <formula>Modell_Person="-"</formula>
    </cfRule>
  </conditionalFormatting>
  <conditionalFormatting sqref="K13:K15">
    <cfRule type="expression" dxfId="673" priority="28">
      <formula>FørsteBeregningsår&gt;0</formula>
    </cfRule>
  </conditionalFormatting>
  <conditionalFormatting sqref="K45:K47">
    <cfRule type="expression" dxfId="672" priority="27">
      <formula>AndreBeregningsår&gt;0</formula>
    </cfRule>
  </conditionalFormatting>
  <conditionalFormatting sqref="K82:K86 K78:K80">
    <cfRule type="expression" dxfId="671" priority="26">
      <formula>TredjeBeregningsår&gt;0</formula>
    </cfRule>
  </conditionalFormatting>
  <conditionalFormatting sqref="K82:K86 K78:K80 K13:K15 K45:K47">
    <cfRule type="expression" dxfId="670" priority="25">
      <formula>Modell_Person="-"</formula>
    </cfRule>
  </conditionalFormatting>
  <conditionalFormatting sqref="I26:L30">
    <cfRule type="expression" dxfId="669" priority="20">
      <formula>FørsteBeregningsår&gt;0</formula>
    </cfRule>
  </conditionalFormatting>
  <conditionalFormatting sqref="I26:L30">
    <cfRule type="expression" dxfId="668" priority="19">
      <formula>Modell_Person="-"</formula>
    </cfRule>
  </conditionalFormatting>
  <conditionalFormatting sqref="J88 L88">
    <cfRule type="expression" dxfId="667" priority="16">
      <formula>TredjeBeregningsår&gt;0</formula>
    </cfRule>
  </conditionalFormatting>
  <conditionalFormatting sqref="J88 L88">
    <cfRule type="expression" dxfId="666" priority="15">
      <formula>Modell_Person="-"</formula>
    </cfRule>
  </conditionalFormatting>
  <conditionalFormatting sqref="K88">
    <cfRule type="expression" dxfId="665" priority="14">
      <formula>TredjeBeregningsår&gt;0</formula>
    </cfRule>
  </conditionalFormatting>
  <conditionalFormatting sqref="K88">
    <cfRule type="expression" dxfId="664" priority="13">
      <formula>Modell_Person="-"</formula>
    </cfRule>
  </conditionalFormatting>
  <conditionalFormatting sqref="J91:J95 L91:L95">
    <cfRule type="expression" dxfId="663" priority="12">
      <formula>TredjeBeregningsår&gt;0</formula>
    </cfRule>
  </conditionalFormatting>
  <conditionalFormatting sqref="J91:J95 L91:L95">
    <cfRule type="expression" dxfId="662" priority="11">
      <formula>Modell_Person="-"</formula>
    </cfRule>
  </conditionalFormatting>
  <conditionalFormatting sqref="K91:K95">
    <cfRule type="expression" dxfId="661" priority="10">
      <formula>TredjeBeregningsår&gt;0</formula>
    </cfRule>
  </conditionalFormatting>
  <conditionalFormatting sqref="K91:K95">
    <cfRule type="expression" dxfId="660" priority="9">
      <formula>Modell_Person="-"</formula>
    </cfRule>
  </conditionalFormatting>
  <conditionalFormatting sqref="J97:J101 L97:L101">
    <cfRule type="expression" dxfId="659" priority="8">
      <formula>TredjeBeregningsår&gt;0</formula>
    </cfRule>
  </conditionalFormatting>
  <conditionalFormatting sqref="J97:J101 L97:L101">
    <cfRule type="expression" dxfId="658" priority="7">
      <formula>Modell_Person="-"</formula>
    </cfRule>
  </conditionalFormatting>
  <conditionalFormatting sqref="K97:K101">
    <cfRule type="expression" dxfId="657" priority="6">
      <formula>TredjeBeregningsår&gt;0</formula>
    </cfRule>
  </conditionalFormatting>
  <conditionalFormatting sqref="K97:K101">
    <cfRule type="expression" dxfId="656" priority="5">
      <formula>Modell_Person="-"</formula>
    </cfRule>
  </conditionalFormatting>
  <conditionalFormatting sqref="I64:L68">
    <cfRule type="expression" dxfId="655" priority="4">
      <formula>AndreBeregningsår&gt;0</formula>
    </cfRule>
  </conditionalFormatting>
  <conditionalFormatting sqref="I64:L68">
    <cfRule type="expression" dxfId="654" priority="3">
      <formula>Modell_Person="-"</formula>
    </cfRule>
  </conditionalFormatting>
  <pageMargins left="0.7" right="0.7" top="0.75" bottom="0.75" header="0.3" footer="0.3"/>
  <pageSetup paperSize="9" orientation="portrait" r:id="rId1"/>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Ark20">
    <tabColor theme="4" tint="0.59999389629810485"/>
  </sheetPr>
  <dimension ref="A3:S202"/>
  <sheetViews>
    <sheetView zoomScaleNormal="100" workbookViewId="0"/>
  </sheetViews>
  <sheetFormatPr baseColWidth="10" defaultColWidth="11.453125" defaultRowHeight="14.5" x14ac:dyDescent="0.35"/>
  <cols>
    <col min="1" max="1" width="22.1796875" customWidth="1"/>
    <col min="2" max="2" width="45.453125" customWidth="1"/>
    <col min="3" max="3" width="10.1796875" bestFit="1" customWidth="1"/>
    <col min="4" max="4" width="10" bestFit="1" customWidth="1"/>
    <col min="5" max="5" width="11.453125" bestFit="1" customWidth="1"/>
    <col min="6" max="6" width="11" bestFit="1" customWidth="1"/>
    <col min="7" max="7" width="18.453125" style="177" bestFit="1" customWidth="1"/>
    <col min="8" max="8" width="20.453125" customWidth="1"/>
    <col min="9" max="9" width="41.1796875" customWidth="1"/>
    <col min="10" max="10" width="10.1796875" bestFit="1" customWidth="1"/>
    <col min="11" max="11" width="10" bestFit="1" customWidth="1"/>
    <col min="12" max="12" width="11.453125" bestFit="1" customWidth="1"/>
    <col min="13" max="13" width="11" bestFit="1" customWidth="1"/>
    <col min="14" max="14" width="15.1796875" customWidth="1"/>
    <col min="15" max="15" width="43.453125" customWidth="1"/>
    <col min="16" max="16" width="10.1796875" bestFit="1" customWidth="1"/>
    <col min="17" max="17" width="10" bestFit="1" customWidth="1"/>
    <col min="18" max="18" width="11.453125" bestFit="1" customWidth="1"/>
    <col min="19" max="19" width="12.453125" customWidth="1"/>
  </cols>
  <sheetData>
    <row r="3" spans="1:19" ht="15" thickBot="1" x14ac:dyDescent="0.4"/>
    <row r="4" spans="1:19" ht="18.5" x14ac:dyDescent="0.45">
      <c r="A4" s="290" t="s">
        <v>717</v>
      </c>
      <c r="B4" s="209"/>
    </row>
    <row r="5" spans="1:19" x14ac:dyDescent="0.35">
      <c r="A5" s="212" t="s">
        <v>1308</v>
      </c>
      <c r="B5" s="700" t="s">
        <v>912</v>
      </c>
    </row>
    <row r="6" spans="1:19" ht="15" thickBot="1" x14ac:dyDescent="0.4">
      <c r="A6" s="252" t="s">
        <v>720</v>
      </c>
      <c r="B6" s="711" t="s">
        <v>721</v>
      </c>
    </row>
    <row r="8" spans="1:19" x14ac:dyDescent="0.35">
      <c r="I8" s="6"/>
    </row>
    <row r="9" spans="1:19" ht="15" thickBot="1" x14ac:dyDescent="0.4"/>
    <row r="10" spans="1:19" ht="21" x14ac:dyDescent="0.5">
      <c r="B10" s="207" t="str">
        <f>"NGM-modellen "&amp;FørsteBeregningsår&amp;""</f>
        <v xml:space="preserve">NGM-modellen </v>
      </c>
      <c r="C10" s="298" t="s">
        <v>1036</v>
      </c>
      <c r="D10" s="298" t="s">
        <v>1037</v>
      </c>
      <c r="E10" s="298" t="s">
        <v>1038</v>
      </c>
      <c r="F10" s="298" t="s">
        <v>1312</v>
      </c>
      <c r="G10" s="317"/>
      <c r="I10" s="207" t="str">
        <f>"NGM-modellen "&amp;AndreBeregningsår&amp;""</f>
        <v xml:space="preserve">NGM-modellen </v>
      </c>
      <c r="J10" s="298" t="s">
        <v>1036</v>
      </c>
      <c r="K10" s="298" t="s">
        <v>1037</v>
      </c>
      <c r="L10" s="298" t="s">
        <v>1038</v>
      </c>
      <c r="M10" s="332" t="s">
        <v>1312</v>
      </c>
      <c r="O10" s="207" t="str">
        <f>"NGM-modellen "&amp;TredjeBeregningsår&amp;""</f>
        <v xml:space="preserve">NGM-modellen </v>
      </c>
      <c r="P10" s="298" t="s">
        <v>1036</v>
      </c>
      <c r="Q10" s="298" t="s">
        <v>1037</v>
      </c>
      <c r="R10" s="298" t="s">
        <v>1038</v>
      </c>
      <c r="S10" s="332" t="s">
        <v>1312</v>
      </c>
    </row>
    <row r="11" spans="1:19" ht="18.5" x14ac:dyDescent="0.45">
      <c r="B11" s="247" t="s">
        <v>1338</v>
      </c>
      <c r="C11" s="168"/>
      <c r="D11" s="168"/>
      <c r="E11" s="168"/>
      <c r="F11" s="11"/>
      <c r="G11" s="318" t="s">
        <v>1339</v>
      </c>
      <c r="H11" s="175"/>
      <c r="I11" s="247" t="s">
        <v>1338</v>
      </c>
      <c r="J11" s="168"/>
      <c r="K11" s="168"/>
      <c r="L11" s="168"/>
      <c r="M11" s="249"/>
      <c r="O11" s="247" t="s">
        <v>1338</v>
      </c>
      <c r="P11" s="168"/>
      <c r="Q11" s="168"/>
      <c r="R11" s="168"/>
      <c r="S11" s="249"/>
    </row>
    <row r="12" spans="1:19" x14ac:dyDescent="0.35">
      <c r="B12" s="212" t="s">
        <v>1340</v>
      </c>
      <c r="C12" s="733"/>
      <c r="D12" s="733"/>
      <c r="E12" s="733"/>
      <c r="F12" s="734"/>
      <c r="G12" s="319"/>
      <c r="I12" s="212" t="s">
        <v>1340</v>
      </c>
      <c r="J12" s="733"/>
      <c r="K12" s="733"/>
      <c r="L12" s="733"/>
      <c r="M12" s="735"/>
      <c r="O12" s="212" t="s">
        <v>1340</v>
      </c>
      <c r="P12" s="733"/>
      <c r="Q12" s="733"/>
      <c r="R12" s="733"/>
      <c r="S12" s="735"/>
    </row>
    <row r="13" spans="1:19" x14ac:dyDescent="0.35">
      <c r="B13" s="212" t="s">
        <v>1341</v>
      </c>
      <c r="C13" s="733"/>
      <c r="D13" s="733"/>
      <c r="E13" s="733"/>
      <c r="F13" s="734"/>
      <c r="G13" s="319"/>
      <c r="I13" s="212" t="s">
        <v>1341</v>
      </c>
      <c r="J13" s="733"/>
      <c r="K13" s="733"/>
      <c r="L13" s="733"/>
      <c r="M13" s="735"/>
      <c r="O13" s="212" t="s">
        <v>1341</v>
      </c>
      <c r="P13" s="733"/>
      <c r="Q13" s="733"/>
      <c r="R13" s="733"/>
      <c r="S13" s="735"/>
    </row>
    <row r="14" spans="1:19" x14ac:dyDescent="0.35">
      <c r="B14" s="212" t="s">
        <v>1342</v>
      </c>
      <c r="C14" s="733"/>
      <c r="D14" s="733"/>
      <c r="E14" s="733"/>
      <c r="F14" s="734"/>
      <c r="G14" s="319"/>
      <c r="I14" s="212" t="s">
        <v>1342</v>
      </c>
      <c r="J14" s="733"/>
      <c r="K14" s="733"/>
      <c r="L14" s="733"/>
      <c r="M14" s="735"/>
      <c r="O14" s="212" t="s">
        <v>1342</v>
      </c>
      <c r="P14" s="733"/>
      <c r="Q14" s="733"/>
      <c r="R14" s="733"/>
      <c r="S14" s="735"/>
    </row>
    <row r="15" spans="1:19" x14ac:dyDescent="0.35">
      <c r="B15" s="212" t="s">
        <v>1343</v>
      </c>
      <c r="C15" s="733"/>
      <c r="D15" s="733"/>
      <c r="E15" s="733"/>
      <c r="F15" s="734"/>
      <c r="G15" s="319"/>
      <c r="I15" s="212" t="s">
        <v>1343</v>
      </c>
      <c r="J15" s="733"/>
      <c r="K15" s="733"/>
      <c r="L15" s="733"/>
      <c r="M15" s="735"/>
      <c r="O15" s="212" t="s">
        <v>1343</v>
      </c>
      <c r="P15" s="733"/>
      <c r="Q15" s="733"/>
      <c r="R15" s="733"/>
      <c r="S15" s="735"/>
    </row>
    <row r="16" spans="1:19" x14ac:dyDescent="0.35">
      <c r="B16" s="212" t="s">
        <v>1344</v>
      </c>
      <c r="C16" s="733"/>
      <c r="D16" s="733"/>
      <c r="E16" s="733"/>
      <c r="F16" s="734"/>
      <c r="G16" s="319"/>
      <c r="I16" s="212" t="s">
        <v>1344</v>
      </c>
      <c r="J16" s="733"/>
      <c r="K16" s="733"/>
      <c r="L16" s="733"/>
      <c r="M16" s="735"/>
      <c r="O16" s="212" t="s">
        <v>1344</v>
      </c>
      <c r="P16" s="733"/>
      <c r="Q16" s="733"/>
      <c r="R16" s="733"/>
      <c r="S16" s="735"/>
    </row>
    <row r="17" spans="2:19" x14ac:dyDescent="0.35">
      <c r="B17" s="212" t="s">
        <v>1345</v>
      </c>
      <c r="C17" s="733"/>
      <c r="D17" s="733"/>
      <c r="E17" s="733"/>
      <c r="F17" s="734"/>
      <c r="G17" s="319"/>
      <c r="I17" s="212" t="s">
        <v>1345</v>
      </c>
      <c r="J17" s="733"/>
      <c r="K17" s="733"/>
      <c r="L17" s="733"/>
      <c r="M17" s="735"/>
      <c r="O17" s="212" t="s">
        <v>1345</v>
      </c>
      <c r="P17" s="733"/>
      <c r="Q17" s="733"/>
      <c r="R17" s="733"/>
      <c r="S17" s="735"/>
    </row>
    <row r="18" spans="2:19" x14ac:dyDescent="0.35">
      <c r="B18" s="212" t="s">
        <v>1346</v>
      </c>
      <c r="C18" s="733"/>
      <c r="D18" s="733"/>
      <c r="E18" s="733"/>
      <c r="F18" s="734"/>
      <c r="G18" s="319"/>
      <c r="I18" s="212" t="s">
        <v>1346</v>
      </c>
      <c r="J18" s="733"/>
      <c r="K18" s="733"/>
      <c r="L18" s="733"/>
      <c r="M18" s="735"/>
      <c r="O18" s="212" t="s">
        <v>1346</v>
      </c>
      <c r="P18" s="733"/>
      <c r="Q18" s="733"/>
      <c r="R18" s="733"/>
      <c r="S18" s="735"/>
    </row>
    <row r="19" spans="2:19" x14ac:dyDescent="0.35">
      <c r="B19" s="212" t="s">
        <v>1347</v>
      </c>
      <c r="C19" s="733"/>
      <c r="D19" s="733"/>
      <c r="E19" s="733"/>
      <c r="F19" s="734"/>
      <c r="G19" s="319"/>
      <c r="H19" s="331"/>
      <c r="I19" s="212" t="s">
        <v>1347</v>
      </c>
      <c r="J19" s="733"/>
      <c r="K19" s="733"/>
      <c r="L19" s="733"/>
      <c r="M19" s="735"/>
      <c r="O19" s="212" t="s">
        <v>1347</v>
      </c>
      <c r="P19" s="733"/>
      <c r="Q19" s="733"/>
      <c r="R19" s="733"/>
      <c r="S19" s="735"/>
    </row>
    <row r="20" spans="2:19" x14ac:dyDescent="0.35">
      <c r="B20" s="212" t="s">
        <v>1348</v>
      </c>
      <c r="C20" s="733"/>
      <c r="D20" s="733"/>
      <c r="E20" s="733"/>
      <c r="F20" s="734"/>
      <c r="G20" s="319"/>
      <c r="I20" s="212" t="s">
        <v>1348</v>
      </c>
      <c r="J20" s="733"/>
      <c r="K20" s="733"/>
      <c r="L20" s="733"/>
      <c r="M20" s="735"/>
      <c r="O20" s="212" t="s">
        <v>1348</v>
      </c>
      <c r="P20" s="733"/>
      <c r="Q20" s="733"/>
      <c r="R20" s="733"/>
      <c r="S20" s="735"/>
    </row>
    <row r="21" spans="2:19" x14ac:dyDescent="0.35">
      <c r="B21" s="215" t="s">
        <v>1349</v>
      </c>
      <c r="C21" s="27"/>
      <c r="D21" s="27"/>
      <c r="E21" s="27"/>
      <c r="F21" s="176"/>
      <c r="G21" s="320"/>
      <c r="I21" s="215" t="s">
        <v>1349</v>
      </c>
      <c r="J21" s="27"/>
      <c r="K21" s="27"/>
      <c r="L21" s="27"/>
      <c r="M21" s="312"/>
      <c r="O21" s="215" t="s">
        <v>1349</v>
      </c>
      <c r="P21" s="27"/>
      <c r="Q21" s="27"/>
      <c r="R21" s="27"/>
      <c r="S21" s="312"/>
    </row>
    <row r="22" spans="2:19" x14ac:dyDescent="0.35">
      <c r="B22" s="212" t="s">
        <v>1350</v>
      </c>
      <c r="C22" s="733"/>
      <c r="D22" s="733"/>
      <c r="E22" s="733"/>
      <c r="F22" s="734"/>
      <c r="G22" s="319"/>
      <c r="I22" s="212" t="s">
        <v>1350</v>
      </c>
      <c r="J22" s="733"/>
      <c r="K22" s="733"/>
      <c r="L22" s="733"/>
      <c r="M22" s="735"/>
      <c r="O22" s="212" t="s">
        <v>1350</v>
      </c>
      <c r="P22" s="733"/>
      <c r="Q22" s="733"/>
      <c r="R22" s="733"/>
      <c r="S22" s="735"/>
    </row>
    <row r="23" spans="2:19" x14ac:dyDescent="0.35">
      <c r="B23" s="212" t="s">
        <v>1351</v>
      </c>
      <c r="C23" s="733"/>
      <c r="D23" s="733"/>
      <c r="E23" s="733"/>
      <c r="F23" s="734"/>
      <c r="G23" s="319"/>
      <c r="I23" s="212" t="s">
        <v>1351</v>
      </c>
      <c r="J23" s="733"/>
      <c r="K23" s="733"/>
      <c r="L23" s="733"/>
      <c r="M23" s="735"/>
      <c r="O23" s="212" t="s">
        <v>1351</v>
      </c>
      <c r="P23" s="733"/>
      <c r="Q23" s="733"/>
      <c r="R23" s="733"/>
      <c r="S23" s="735"/>
    </row>
    <row r="24" spans="2:19" x14ac:dyDescent="0.35">
      <c r="B24" s="212" t="s">
        <v>1352</v>
      </c>
      <c r="C24" s="733"/>
      <c r="D24" s="733"/>
      <c r="E24" s="733"/>
      <c r="F24" s="734"/>
      <c r="G24" s="319"/>
      <c r="I24" s="212" t="s">
        <v>1352</v>
      </c>
      <c r="J24" s="733"/>
      <c r="K24" s="733"/>
      <c r="L24" s="733"/>
      <c r="M24" s="735"/>
      <c r="O24" s="212" t="s">
        <v>1352</v>
      </c>
      <c r="P24" s="733"/>
      <c r="Q24" s="733"/>
      <c r="R24" s="733"/>
      <c r="S24" s="735"/>
    </row>
    <row r="25" spans="2:19" x14ac:dyDescent="0.35">
      <c r="B25" s="212" t="s">
        <v>1348</v>
      </c>
      <c r="C25" s="733"/>
      <c r="D25" s="733"/>
      <c r="E25" s="733"/>
      <c r="F25" s="734"/>
      <c r="G25" s="319"/>
      <c r="I25" s="212" t="s">
        <v>1348</v>
      </c>
      <c r="J25" s="733"/>
      <c r="K25" s="733"/>
      <c r="L25" s="733"/>
      <c r="M25" s="735"/>
      <c r="O25" s="212" t="s">
        <v>1348</v>
      </c>
      <c r="P25" s="733"/>
      <c r="Q25" s="733"/>
      <c r="R25" s="733"/>
      <c r="S25" s="735"/>
    </row>
    <row r="26" spans="2:19" x14ac:dyDescent="0.35">
      <c r="B26" s="313" t="s">
        <v>1353</v>
      </c>
      <c r="C26" s="736"/>
      <c r="D26" s="736"/>
      <c r="E26" s="736"/>
      <c r="F26" s="736"/>
      <c r="G26" s="319"/>
      <c r="I26" s="313" t="s">
        <v>1353</v>
      </c>
      <c r="J26" s="736"/>
      <c r="K26" s="736"/>
      <c r="L26" s="736"/>
      <c r="M26" s="737"/>
      <c r="O26" s="313" t="s">
        <v>1353</v>
      </c>
      <c r="P26" s="733"/>
      <c r="Q26" s="733"/>
      <c r="R26" s="733"/>
      <c r="S26" s="735"/>
    </row>
    <row r="27" spans="2:19" s="89" customFormat="1" ht="18.5" x14ac:dyDescent="0.45">
      <c r="B27" s="247" t="s">
        <v>1354</v>
      </c>
      <c r="C27" s="169"/>
      <c r="D27" s="169"/>
      <c r="E27" s="169"/>
      <c r="F27" s="170"/>
      <c r="G27" s="321"/>
      <c r="I27" s="247" t="s">
        <v>1354</v>
      </c>
      <c r="J27" s="169"/>
      <c r="K27" s="169"/>
      <c r="L27" s="169"/>
      <c r="M27" s="333"/>
      <c r="O27" s="247" t="s">
        <v>1354</v>
      </c>
      <c r="P27" s="169"/>
      <c r="Q27" s="169"/>
      <c r="R27" s="169"/>
      <c r="S27" s="333"/>
    </row>
    <row r="28" spans="2:19" x14ac:dyDescent="0.35">
      <c r="B28" s="212" t="s">
        <v>605</v>
      </c>
      <c r="C28" s="733"/>
      <c r="D28" s="733"/>
      <c r="E28" s="733"/>
      <c r="F28" s="734"/>
      <c r="G28" s="319"/>
      <c r="I28" s="212" t="s">
        <v>605</v>
      </c>
      <c r="J28" s="733"/>
      <c r="K28" s="733"/>
      <c r="L28" s="733"/>
      <c r="M28" s="735"/>
      <c r="O28" s="212" t="s">
        <v>605</v>
      </c>
      <c r="P28" s="733"/>
      <c r="Q28" s="733"/>
      <c r="R28" s="733"/>
      <c r="S28" s="735"/>
    </row>
    <row r="29" spans="2:19" x14ac:dyDescent="0.35">
      <c r="B29" s="212" t="s">
        <v>1355</v>
      </c>
      <c r="C29" s="733"/>
      <c r="D29" s="733"/>
      <c r="E29" s="733"/>
      <c r="F29" s="734"/>
      <c r="G29" s="319"/>
      <c r="I29" s="212" t="s">
        <v>1355</v>
      </c>
      <c r="J29" s="733"/>
      <c r="K29" s="733"/>
      <c r="L29" s="733"/>
      <c r="M29" s="735"/>
      <c r="O29" s="212" t="s">
        <v>1355</v>
      </c>
      <c r="P29" s="733"/>
      <c r="Q29" s="733"/>
      <c r="R29" s="733"/>
      <c r="S29" s="735"/>
    </row>
    <row r="30" spans="2:19" x14ac:dyDescent="0.35">
      <c r="B30" s="212" t="s">
        <v>1356</v>
      </c>
      <c r="C30" s="733"/>
      <c r="D30" s="733"/>
      <c r="E30" s="733"/>
      <c r="F30" s="734"/>
      <c r="G30" s="319"/>
      <c r="I30" s="212" t="s">
        <v>1356</v>
      </c>
      <c r="J30" s="733"/>
      <c r="K30" s="733"/>
      <c r="L30" s="733"/>
      <c r="M30" s="735"/>
      <c r="O30" s="212" t="s">
        <v>1356</v>
      </c>
      <c r="P30" s="733"/>
      <c r="Q30" s="733"/>
      <c r="R30" s="733"/>
      <c r="S30" s="735"/>
    </row>
    <row r="31" spans="2:19" x14ac:dyDescent="0.35">
      <c r="B31" s="212" t="s">
        <v>604</v>
      </c>
      <c r="C31" s="733"/>
      <c r="D31" s="733"/>
      <c r="E31" s="733"/>
      <c r="F31" s="734"/>
      <c r="G31" s="319"/>
      <c r="I31" s="212" t="s">
        <v>604</v>
      </c>
      <c r="J31" s="733"/>
      <c r="K31" s="733"/>
      <c r="L31" s="733"/>
      <c r="M31" s="735"/>
      <c r="O31" s="212" t="s">
        <v>604</v>
      </c>
      <c r="P31" s="733"/>
      <c r="Q31" s="733"/>
      <c r="R31" s="733"/>
      <c r="S31" s="735"/>
    </row>
    <row r="32" spans="2:19" x14ac:dyDescent="0.35">
      <c r="B32" s="212" t="s">
        <v>1357</v>
      </c>
      <c r="C32" s="733"/>
      <c r="D32" s="733"/>
      <c r="E32" s="733"/>
      <c r="F32" s="734"/>
      <c r="G32" s="319"/>
      <c r="I32" s="212" t="s">
        <v>1357</v>
      </c>
      <c r="J32" s="733"/>
      <c r="K32" s="733"/>
      <c r="L32" s="733"/>
      <c r="M32" s="735"/>
      <c r="O32" s="212" t="s">
        <v>1357</v>
      </c>
      <c r="P32" s="733"/>
      <c r="Q32" s="733"/>
      <c r="R32" s="733"/>
      <c r="S32" s="735"/>
    </row>
    <row r="33" spans="2:19" x14ac:dyDescent="0.35">
      <c r="B33" s="212" t="s">
        <v>1358</v>
      </c>
      <c r="C33" s="733"/>
      <c r="D33" s="733"/>
      <c r="E33" s="733"/>
      <c r="F33" s="734"/>
      <c r="G33" s="319"/>
      <c r="I33" s="212" t="s">
        <v>1358</v>
      </c>
      <c r="J33" s="733"/>
      <c r="K33" s="733"/>
      <c r="L33" s="733"/>
      <c r="M33" s="735"/>
      <c r="O33" s="212" t="s">
        <v>1358</v>
      </c>
      <c r="P33" s="733"/>
      <c r="Q33" s="733"/>
      <c r="R33" s="733"/>
      <c r="S33" s="735"/>
    </row>
    <row r="34" spans="2:19" x14ac:dyDescent="0.35">
      <c r="B34" s="212" t="s">
        <v>1359</v>
      </c>
      <c r="C34" s="733"/>
      <c r="D34" s="733"/>
      <c r="E34" s="733"/>
      <c r="F34" s="734"/>
      <c r="G34" s="319"/>
      <c r="I34" s="212" t="s">
        <v>1359</v>
      </c>
      <c r="J34" s="733"/>
      <c r="K34" s="733"/>
      <c r="L34" s="733"/>
      <c r="M34" s="735"/>
      <c r="O34" s="212" t="s">
        <v>1359</v>
      </c>
      <c r="P34" s="733"/>
      <c r="Q34" s="733"/>
      <c r="R34" s="733"/>
      <c r="S34" s="735"/>
    </row>
    <row r="35" spans="2:19" x14ac:dyDescent="0.35">
      <c r="B35" s="212" t="s">
        <v>875</v>
      </c>
      <c r="C35" s="733"/>
      <c r="D35" s="733"/>
      <c r="E35" s="733"/>
      <c r="F35" s="734"/>
      <c r="G35" s="319"/>
      <c r="I35" s="212" t="s">
        <v>875</v>
      </c>
      <c r="J35" s="733"/>
      <c r="K35" s="733"/>
      <c r="L35" s="733"/>
      <c r="M35" s="735"/>
      <c r="O35" s="212" t="s">
        <v>875</v>
      </c>
      <c r="P35" s="733"/>
      <c r="Q35" s="733"/>
      <c r="R35" s="733"/>
      <c r="S35" s="735"/>
    </row>
    <row r="36" spans="2:19" x14ac:dyDescent="0.35">
      <c r="B36" s="313" t="s">
        <v>1360</v>
      </c>
      <c r="C36" s="736"/>
      <c r="D36" s="736"/>
      <c r="E36" s="736"/>
      <c r="F36" s="738"/>
      <c r="G36" s="322" t="s">
        <v>1361</v>
      </c>
      <c r="I36" s="313" t="s">
        <v>1360</v>
      </c>
      <c r="J36" s="736"/>
      <c r="K36" s="736"/>
      <c r="L36" s="736"/>
      <c r="M36" s="739"/>
      <c r="O36" s="313" t="s">
        <v>1360</v>
      </c>
      <c r="P36" s="733"/>
      <c r="Q36" s="733"/>
      <c r="R36" s="733"/>
      <c r="S36" s="735"/>
    </row>
    <row r="37" spans="2:19" ht="18.5" x14ac:dyDescent="0.45">
      <c r="B37" s="247" t="s">
        <v>1362</v>
      </c>
      <c r="C37" s="171"/>
      <c r="D37" s="171"/>
      <c r="E37" s="171"/>
      <c r="F37" s="62"/>
      <c r="G37" s="323"/>
      <c r="I37" s="247" t="s">
        <v>1362</v>
      </c>
      <c r="J37" s="171"/>
      <c r="K37" s="171"/>
      <c r="L37" s="171"/>
      <c r="M37" s="334"/>
      <c r="O37" s="247" t="s">
        <v>1362</v>
      </c>
      <c r="P37" s="171"/>
      <c r="Q37" s="171"/>
      <c r="R37" s="171"/>
      <c r="S37" s="334"/>
    </row>
    <row r="38" spans="2:19" x14ac:dyDescent="0.35">
      <c r="B38" s="313" t="s">
        <v>1363</v>
      </c>
      <c r="C38" s="26"/>
      <c r="D38" s="26"/>
      <c r="E38" s="26"/>
      <c r="F38" s="67"/>
      <c r="G38" s="319"/>
      <c r="I38" s="313" t="s">
        <v>1363</v>
      </c>
      <c r="J38" s="26"/>
      <c r="K38" s="26"/>
      <c r="L38" s="26"/>
      <c r="M38" s="311"/>
      <c r="O38" s="313" t="s">
        <v>1363</v>
      </c>
      <c r="P38" s="26"/>
      <c r="Q38" s="26"/>
      <c r="R38" s="26"/>
      <c r="S38" s="311"/>
    </row>
    <row r="39" spans="2:19" x14ac:dyDescent="0.35">
      <c r="B39" s="212" t="s">
        <v>605</v>
      </c>
      <c r="C39" s="733"/>
      <c r="D39" s="733"/>
      <c r="E39" s="733"/>
      <c r="F39" s="810"/>
      <c r="G39" s="319"/>
      <c r="I39" s="212" t="s">
        <v>605</v>
      </c>
      <c r="J39" s="733"/>
      <c r="K39" s="733"/>
      <c r="L39" s="733"/>
      <c r="M39" s="735"/>
      <c r="O39" s="212" t="s">
        <v>605</v>
      </c>
      <c r="P39" s="733"/>
      <c r="Q39" s="733"/>
      <c r="R39" s="733"/>
      <c r="S39" s="735"/>
    </row>
    <row r="40" spans="2:19" x14ac:dyDescent="0.35">
      <c r="B40" s="212" t="s">
        <v>1355</v>
      </c>
      <c r="C40" s="733"/>
      <c r="D40" s="733"/>
      <c r="E40" s="733"/>
      <c r="F40" s="810"/>
      <c r="G40" s="319"/>
      <c r="I40" s="212" t="s">
        <v>1355</v>
      </c>
      <c r="J40" s="733"/>
      <c r="K40" s="733"/>
      <c r="L40" s="733"/>
      <c r="M40" s="735"/>
      <c r="O40" s="212" t="s">
        <v>1355</v>
      </c>
      <c r="P40" s="733"/>
      <c r="Q40" s="733"/>
      <c r="R40" s="733"/>
      <c r="S40" s="735"/>
    </row>
    <row r="41" spans="2:19" x14ac:dyDescent="0.35">
      <c r="B41" s="212" t="s">
        <v>1356</v>
      </c>
      <c r="C41" s="733"/>
      <c r="D41" s="733"/>
      <c r="E41" s="733"/>
      <c r="F41" s="810"/>
      <c r="G41" s="319"/>
      <c r="I41" s="212" t="s">
        <v>1356</v>
      </c>
      <c r="J41" s="733"/>
      <c r="K41" s="733"/>
      <c r="L41" s="733"/>
      <c r="M41" s="735"/>
      <c r="O41" s="212" t="s">
        <v>1356</v>
      </c>
      <c r="P41" s="733"/>
      <c r="Q41" s="733"/>
      <c r="R41" s="733"/>
      <c r="S41" s="735"/>
    </row>
    <row r="42" spans="2:19" x14ac:dyDescent="0.35">
      <c r="B42" s="212" t="s">
        <v>604</v>
      </c>
      <c r="C42" s="733"/>
      <c r="D42" s="733"/>
      <c r="E42" s="733"/>
      <c r="F42" s="810"/>
      <c r="G42" s="319"/>
      <c r="I42" s="212" t="s">
        <v>604</v>
      </c>
      <c r="J42" s="733"/>
      <c r="K42" s="733"/>
      <c r="L42" s="733"/>
      <c r="M42" s="735"/>
      <c r="O42" s="212" t="s">
        <v>604</v>
      </c>
      <c r="P42" s="733"/>
      <c r="Q42" s="733"/>
      <c r="R42" s="733"/>
      <c r="S42" s="735"/>
    </row>
    <row r="43" spans="2:19" x14ac:dyDescent="0.35">
      <c r="B43" s="212" t="s">
        <v>1357</v>
      </c>
      <c r="C43" s="733"/>
      <c r="D43" s="733"/>
      <c r="E43" s="733"/>
      <c r="F43" s="810"/>
      <c r="G43" s="319"/>
      <c r="I43" s="212" t="s">
        <v>1357</v>
      </c>
      <c r="J43" s="733"/>
      <c r="K43" s="733"/>
      <c r="L43" s="733"/>
      <c r="M43" s="735"/>
      <c r="O43" s="212" t="s">
        <v>1357</v>
      </c>
      <c r="P43" s="733"/>
      <c r="Q43" s="733"/>
      <c r="R43" s="733"/>
      <c r="S43" s="735"/>
    </row>
    <row r="44" spans="2:19" x14ac:dyDescent="0.35">
      <c r="B44" s="212" t="s">
        <v>1358</v>
      </c>
      <c r="C44" s="733"/>
      <c r="D44" s="733"/>
      <c r="E44" s="733"/>
      <c r="F44" s="810"/>
      <c r="G44" s="319"/>
      <c r="I44" s="212" t="s">
        <v>1358</v>
      </c>
      <c r="J44" s="733"/>
      <c r="K44" s="733"/>
      <c r="L44" s="733"/>
      <c r="M44" s="735"/>
      <c r="O44" s="212" t="s">
        <v>1358</v>
      </c>
      <c r="P44" s="733"/>
      <c r="Q44" s="733"/>
      <c r="R44" s="733"/>
      <c r="S44" s="735"/>
    </row>
    <row r="45" spans="2:19" x14ac:dyDescent="0.35">
      <c r="B45" s="212" t="s">
        <v>1359</v>
      </c>
      <c r="C45" s="733"/>
      <c r="D45" s="733"/>
      <c r="E45" s="733"/>
      <c r="F45" s="810"/>
      <c r="G45" s="319"/>
      <c r="I45" s="212" t="s">
        <v>1359</v>
      </c>
      <c r="J45" s="733"/>
      <c r="K45" s="733"/>
      <c r="L45" s="733"/>
      <c r="M45" s="735"/>
      <c r="O45" s="212" t="s">
        <v>1359</v>
      </c>
      <c r="P45" s="733"/>
      <c r="Q45" s="733"/>
      <c r="R45" s="733"/>
      <c r="S45" s="735"/>
    </row>
    <row r="46" spans="2:19" x14ac:dyDescent="0.35">
      <c r="B46" s="212" t="s">
        <v>875</v>
      </c>
      <c r="C46" s="733"/>
      <c r="D46" s="733"/>
      <c r="E46" s="733"/>
      <c r="F46" s="810"/>
      <c r="G46" s="319"/>
      <c r="I46" s="212" t="s">
        <v>875</v>
      </c>
      <c r="J46" s="733"/>
      <c r="K46" s="733"/>
      <c r="L46" s="733"/>
      <c r="M46" s="735"/>
      <c r="O46" s="212" t="s">
        <v>875</v>
      </c>
      <c r="P46" s="733"/>
      <c r="Q46" s="733"/>
      <c r="R46" s="733"/>
      <c r="S46" s="735"/>
    </row>
    <row r="47" spans="2:19" x14ac:dyDescent="0.35">
      <c r="B47" s="313" t="s">
        <v>1364</v>
      </c>
      <c r="C47" s="736"/>
      <c r="D47" s="736"/>
      <c r="E47" s="736"/>
      <c r="F47" s="738"/>
      <c r="G47" s="319"/>
      <c r="I47" s="313" t="s">
        <v>1364</v>
      </c>
      <c r="J47" s="736"/>
      <c r="K47" s="736"/>
      <c r="L47" s="736"/>
      <c r="M47" s="739"/>
      <c r="O47" s="313" t="s">
        <v>1364</v>
      </c>
      <c r="P47" s="733"/>
      <c r="Q47" s="733"/>
      <c r="R47" s="733"/>
      <c r="S47" s="735"/>
    </row>
    <row r="48" spans="2:19" ht="18.5" x14ac:dyDescent="0.45">
      <c r="B48" s="247" t="s">
        <v>1365</v>
      </c>
      <c r="C48" s="171"/>
      <c r="D48" s="171"/>
      <c r="E48" s="171"/>
      <c r="F48" s="62"/>
      <c r="G48" s="323"/>
      <c r="I48" s="247" t="s">
        <v>1365</v>
      </c>
      <c r="J48" s="171"/>
      <c r="K48" s="171"/>
      <c r="L48" s="171"/>
      <c r="M48" s="334"/>
      <c r="O48" s="247" t="s">
        <v>1365</v>
      </c>
      <c r="P48" s="171"/>
      <c r="Q48" s="171"/>
      <c r="R48" s="171"/>
      <c r="S48" s="334"/>
    </row>
    <row r="49" spans="1:19" x14ac:dyDescent="0.35">
      <c r="B49" s="215" t="s">
        <v>1363</v>
      </c>
      <c r="C49" s="172"/>
      <c r="D49" s="172"/>
      <c r="E49" s="172"/>
      <c r="F49" s="173"/>
      <c r="G49" s="324"/>
      <c r="I49" s="215" t="s">
        <v>1363</v>
      </c>
      <c r="J49" s="172"/>
      <c r="K49" s="172"/>
      <c r="L49" s="172"/>
      <c r="M49" s="335"/>
      <c r="O49" s="215" t="s">
        <v>1363</v>
      </c>
      <c r="P49" s="172"/>
      <c r="Q49" s="172"/>
      <c r="R49" s="172"/>
      <c r="S49" s="335"/>
    </row>
    <row r="50" spans="1:19" x14ac:dyDescent="0.35">
      <c r="B50" s="212" t="s">
        <v>605</v>
      </c>
      <c r="C50" s="740"/>
      <c r="D50" s="740"/>
      <c r="E50" s="741"/>
      <c r="F50" s="811"/>
      <c r="G50" s="325"/>
      <c r="I50" s="212" t="s">
        <v>605</v>
      </c>
      <c r="J50" s="740"/>
      <c r="K50" s="740"/>
      <c r="L50" s="741"/>
      <c r="M50" s="742"/>
      <c r="O50" s="212" t="s">
        <v>605</v>
      </c>
      <c r="P50" s="733"/>
      <c r="Q50" s="733"/>
      <c r="R50" s="733"/>
      <c r="S50" s="735"/>
    </row>
    <row r="51" spans="1:19" x14ac:dyDescent="0.35">
      <c r="B51" s="212" t="s">
        <v>1355</v>
      </c>
      <c r="C51" s="733"/>
      <c r="D51" s="733"/>
      <c r="E51" s="743"/>
      <c r="F51" s="810"/>
      <c r="G51" s="325"/>
      <c r="H51" s="46"/>
      <c r="I51" s="212" t="s">
        <v>1355</v>
      </c>
      <c r="J51" s="733"/>
      <c r="K51" s="733"/>
      <c r="L51" s="743"/>
      <c r="M51" s="735"/>
      <c r="O51" s="212" t="s">
        <v>1355</v>
      </c>
      <c r="P51" s="733"/>
      <c r="Q51" s="733"/>
      <c r="R51" s="733"/>
      <c r="S51" s="735"/>
    </row>
    <row r="52" spans="1:19" x14ac:dyDescent="0.35">
      <c r="B52" s="212" t="s">
        <v>1356</v>
      </c>
      <c r="C52" s="733"/>
      <c r="D52" s="733"/>
      <c r="E52" s="743"/>
      <c r="F52" s="810"/>
      <c r="G52" s="325"/>
      <c r="I52" s="212" t="s">
        <v>1356</v>
      </c>
      <c r="J52" s="733"/>
      <c r="K52" s="733"/>
      <c r="L52" s="743"/>
      <c r="M52" s="735"/>
      <c r="O52" s="212" t="s">
        <v>1356</v>
      </c>
      <c r="P52" s="733"/>
      <c r="Q52" s="733"/>
      <c r="R52" s="733"/>
      <c r="S52" s="735"/>
    </row>
    <row r="53" spans="1:19" x14ac:dyDescent="0.35">
      <c r="B53" s="212" t="s">
        <v>604</v>
      </c>
      <c r="C53" s="733"/>
      <c r="D53" s="733"/>
      <c r="E53" s="743"/>
      <c r="F53" s="810"/>
      <c r="G53" s="325"/>
      <c r="I53" s="212" t="s">
        <v>604</v>
      </c>
      <c r="J53" s="733"/>
      <c r="K53" s="733"/>
      <c r="L53" s="743"/>
      <c r="M53" s="735"/>
      <c r="O53" s="212" t="s">
        <v>604</v>
      </c>
      <c r="P53" s="733"/>
      <c r="Q53" s="733"/>
      <c r="R53" s="733"/>
      <c r="S53" s="735"/>
    </row>
    <row r="54" spans="1:19" x14ac:dyDescent="0.35">
      <c r="A54" s="6"/>
      <c r="B54" s="212" t="s">
        <v>1357</v>
      </c>
      <c r="C54" s="733"/>
      <c r="D54" s="733"/>
      <c r="E54" s="743"/>
      <c r="F54" s="810"/>
      <c r="G54" s="319"/>
      <c r="H54" s="150"/>
      <c r="I54" s="212" t="s">
        <v>1357</v>
      </c>
      <c r="J54" s="733"/>
      <c r="K54" s="733"/>
      <c r="L54" s="743"/>
      <c r="M54" s="735"/>
      <c r="O54" s="212" t="s">
        <v>1357</v>
      </c>
      <c r="P54" s="733"/>
      <c r="Q54" s="733"/>
      <c r="R54" s="733"/>
      <c r="S54" s="735"/>
    </row>
    <row r="55" spans="1:19" x14ac:dyDescent="0.35">
      <c r="B55" s="212" t="s">
        <v>1358</v>
      </c>
      <c r="C55" s="733"/>
      <c r="D55" s="733"/>
      <c r="E55" s="743"/>
      <c r="F55" s="810"/>
      <c r="G55" s="319"/>
      <c r="I55" s="212" t="s">
        <v>1358</v>
      </c>
      <c r="J55" s="733"/>
      <c r="K55" s="733"/>
      <c r="L55" s="743"/>
      <c r="M55" s="735"/>
      <c r="O55" s="212" t="s">
        <v>1358</v>
      </c>
      <c r="P55" s="733"/>
      <c r="Q55" s="733"/>
      <c r="R55" s="733"/>
      <c r="S55" s="735"/>
    </row>
    <row r="56" spans="1:19" x14ac:dyDescent="0.35">
      <c r="B56" s="212" t="s">
        <v>1359</v>
      </c>
      <c r="C56" s="733"/>
      <c r="D56" s="733"/>
      <c r="E56" s="743"/>
      <c r="F56" s="810"/>
      <c r="G56" s="326"/>
      <c r="I56" s="212" t="s">
        <v>1359</v>
      </c>
      <c r="J56" s="733"/>
      <c r="K56" s="733"/>
      <c r="L56" s="743"/>
      <c r="M56" s="735"/>
      <c r="O56" s="212" t="s">
        <v>1359</v>
      </c>
      <c r="P56" s="733"/>
      <c r="Q56" s="733"/>
      <c r="R56" s="733"/>
      <c r="S56" s="735"/>
    </row>
    <row r="57" spans="1:19" x14ac:dyDescent="0.35">
      <c r="B57" s="212" t="s">
        <v>875</v>
      </c>
      <c r="C57" s="733"/>
      <c r="D57" s="733"/>
      <c r="E57" s="743"/>
      <c r="F57" s="810"/>
      <c r="G57" s="319"/>
      <c r="I57" s="212" t="s">
        <v>875</v>
      </c>
      <c r="J57" s="733"/>
      <c r="K57" s="733"/>
      <c r="L57" s="743"/>
      <c r="M57" s="735"/>
      <c r="O57" s="212" t="s">
        <v>875</v>
      </c>
      <c r="P57" s="733"/>
      <c r="Q57" s="733"/>
      <c r="R57" s="733"/>
      <c r="S57" s="735"/>
    </row>
    <row r="58" spans="1:19" x14ac:dyDescent="0.35">
      <c r="B58" s="215" t="s">
        <v>1366</v>
      </c>
      <c r="C58" s="27"/>
      <c r="D58" s="27"/>
      <c r="E58" s="812"/>
      <c r="F58" s="813"/>
      <c r="G58" s="320"/>
      <c r="I58" s="215" t="s">
        <v>1366</v>
      </c>
      <c r="J58" s="28"/>
      <c r="K58" s="28"/>
      <c r="L58" s="174"/>
      <c r="M58" s="316"/>
      <c r="O58" s="215" t="s">
        <v>1366</v>
      </c>
      <c r="P58" s="28"/>
      <c r="Q58" s="28"/>
      <c r="R58" s="174"/>
      <c r="S58" s="316"/>
    </row>
    <row r="59" spans="1:19" x14ac:dyDescent="0.35">
      <c r="B59" s="212" t="s">
        <v>1367</v>
      </c>
      <c r="C59" s="733"/>
      <c r="D59" s="733"/>
      <c r="E59" s="743"/>
      <c r="F59" s="810"/>
      <c r="G59" s="319"/>
      <c r="I59" s="212" t="s">
        <v>1367</v>
      </c>
      <c r="J59" s="733"/>
      <c r="K59" s="733"/>
      <c r="L59" s="743"/>
      <c r="M59" s="735"/>
      <c r="O59" s="212" t="s">
        <v>1367</v>
      </c>
      <c r="P59" s="733"/>
      <c r="Q59" s="733"/>
      <c r="R59" s="743"/>
      <c r="S59" s="735"/>
    </row>
    <row r="60" spans="1:19" ht="15" thickBot="1" x14ac:dyDescent="0.4">
      <c r="B60" s="252" t="s">
        <v>1368</v>
      </c>
      <c r="C60" s="744"/>
      <c r="D60" s="744"/>
      <c r="E60" s="745"/>
      <c r="F60" s="814"/>
      <c r="G60" s="327"/>
      <c r="I60" s="252" t="s">
        <v>1368</v>
      </c>
      <c r="J60" s="744"/>
      <c r="K60" s="744"/>
      <c r="L60" s="745"/>
      <c r="M60" s="747"/>
      <c r="O60" s="252" t="s">
        <v>1368</v>
      </c>
      <c r="P60" s="744"/>
      <c r="Q60" s="744"/>
      <c r="R60" s="745"/>
      <c r="S60" s="747"/>
    </row>
    <row r="62" spans="1:19" ht="15" thickBot="1" x14ac:dyDescent="0.4"/>
    <row r="63" spans="1:19" ht="18.5" x14ac:dyDescent="0.45">
      <c r="B63" s="290" t="s">
        <v>1369</v>
      </c>
      <c r="C63" s="208"/>
      <c r="D63" s="208"/>
      <c r="E63" s="208"/>
      <c r="F63" s="208"/>
      <c r="G63" s="317"/>
      <c r="I63" s="290" t="s">
        <v>1369</v>
      </c>
      <c r="J63" s="208"/>
      <c r="K63" s="208"/>
      <c r="L63" s="208"/>
      <c r="M63" s="209"/>
      <c r="O63" s="290" t="s">
        <v>1369</v>
      </c>
      <c r="P63" s="208"/>
      <c r="Q63" s="208"/>
      <c r="R63" s="208"/>
      <c r="S63" s="209"/>
    </row>
    <row r="64" spans="1:19" x14ac:dyDescent="0.35">
      <c r="B64" s="328"/>
      <c r="C64" s="9" t="s">
        <v>1036</v>
      </c>
      <c r="D64" s="9" t="s">
        <v>1037</v>
      </c>
      <c r="E64" s="9" t="s">
        <v>1038</v>
      </c>
      <c r="F64" s="9" t="s">
        <v>1370</v>
      </c>
      <c r="G64" s="329"/>
      <c r="I64" s="328"/>
      <c r="J64" s="9"/>
      <c r="K64" s="9"/>
      <c r="L64" s="9"/>
      <c r="M64" s="216"/>
      <c r="O64" s="328"/>
      <c r="P64" s="9"/>
      <c r="Q64" s="9"/>
      <c r="R64" s="9"/>
      <c r="S64" s="216"/>
    </row>
    <row r="65" spans="2:19" x14ac:dyDescent="0.35">
      <c r="B65" s="328" t="str">
        <f>"Første beregningsår, "&amp;FørsteBeregningsår&amp;""</f>
        <v xml:space="preserve">Første beregningsår, </v>
      </c>
      <c r="C65" s="25"/>
      <c r="D65" s="25"/>
      <c r="E65" s="25"/>
      <c r="F65" s="93" t="s">
        <v>570</v>
      </c>
      <c r="G65" s="329"/>
      <c r="I65" s="328" t="s">
        <v>1371</v>
      </c>
      <c r="J65" s="25"/>
      <c r="K65" s="25"/>
      <c r="L65" s="25"/>
      <c r="M65" s="336"/>
      <c r="O65" s="328" t="str">
        <f>"Tredje beregningsår, "&amp;TredjeBeregningsår&amp;""</f>
        <v xml:space="preserve">Tredje beregningsår, </v>
      </c>
      <c r="P65" s="25"/>
      <c r="Q65" s="25"/>
      <c r="R65" s="25"/>
      <c r="S65" s="336"/>
    </row>
    <row r="66" spans="2:19" x14ac:dyDescent="0.35">
      <c r="B66" s="212" t="s">
        <v>605</v>
      </c>
      <c r="C66" s="733"/>
      <c r="D66" s="733"/>
      <c r="E66" s="733"/>
      <c r="F66" s="734"/>
      <c r="G66" s="319"/>
      <c r="I66" s="212" t="s">
        <v>605</v>
      </c>
      <c r="J66" s="733"/>
      <c r="K66" s="733"/>
      <c r="L66" s="733"/>
      <c r="M66" s="735"/>
      <c r="O66" s="212" t="s">
        <v>605</v>
      </c>
      <c r="P66" s="733"/>
      <c r="Q66" s="733"/>
      <c r="R66" s="733"/>
      <c r="S66" s="735"/>
    </row>
    <row r="67" spans="2:19" x14ac:dyDescent="0.35">
      <c r="B67" s="212" t="s">
        <v>1355</v>
      </c>
      <c r="C67" s="733"/>
      <c r="D67" s="733"/>
      <c r="E67" s="733"/>
      <c r="F67" s="734"/>
      <c r="G67" s="319"/>
      <c r="I67" s="212" t="s">
        <v>1355</v>
      </c>
      <c r="J67" s="733"/>
      <c r="K67" s="733"/>
      <c r="L67" s="733"/>
      <c r="M67" s="735"/>
      <c r="O67" s="212" t="s">
        <v>1355</v>
      </c>
      <c r="P67" s="733"/>
      <c r="Q67" s="733"/>
      <c r="R67" s="733"/>
      <c r="S67" s="735"/>
    </row>
    <row r="68" spans="2:19" x14ac:dyDescent="0.35">
      <c r="B68" s="212" t="s">
        <v>1356</v>
      </c>
      <c r="C68" s="733"/>
      <c r="D68" s="733"/>
      <c r="E68" s="733"/>
      <c r="F68" s="734"/>
      <c r="G68" s="319"/>
      <c r="I68" s="212" t="s">
        <v>1356</v>
      </c>
      <c r="J68" s="733"/>
      <c r="K68" s="733"/>
      <c r="L68" s="733"/>
      <c r="M68" s="735"/>
      <c r="O68" s="212" t="s">
        <v>1356</v>
      </c>
      <c r="P68" s="733"/>
      <c r="Q68" s="733"/>
      <c r="R68" s="733"/>
      <c r="S68" s="735"/>
    </row>
    <row r="69" spans="2:19" x14ac:dyDescent="0.35">
      <c r="B69" s="212" t="s">
        <v>1372</v>
      </c>
      <c r="C69" s="733"/>
      <c r="D69" s="733"/>
      <c r="E69" s="733"/>
      <c r="F69" s="734"/>
      <c r="G69" s="319"/>
      <c r="I69" s="212" t="s">
        <v>1372</v>
      </c>
      <c r="J69" s="733"/>
      <c r="K69" s="733"/>
      <c r="L69" s="733"/>
      <c r="M69" s="735"/>
      <c r="O69" s="212" t="s">
        <v>1372</v>
      </c>
      <c r="P69" s="733"/>
      <c r="Q69" s="733"/>
      <c r="R69" s="733"/>
      <c r="S69" s="735"/>
    </row>
    <row r="70" spans="2:19" x14ac:dyDescent="0.35">
      <c r="B70" s="212" t="s">
        <v>1373</v>
      </c>
      <c r="C70" s="733"/>
      <c r="D70" s="733"/>
      <c r="E70" s="733"/>
      <c r="F70" s="734"/>
      <c r="G70" s="319"/>
      <c r="I70" s="212" t="s">
        <v>1373</v>
      </c>
      <c r="J70" s="733"/>
      <c r="K70" s="733"/>
      <c r="L70" s="733"/>
      <c r="M70" s="735"/>
      <c r="O70" s="212" t="s">
        <v>1373</v>
      </c>
      <c r="P70" s="733"/>
      <c r="Q70" s="733"/>
      <c r="R70" s="733"/>
      <c r="S70" s="735"/>
    </row>
    <row r="71" spans="2:19" x14ac:dyDescent="0.35">
      <c r="B71" s="212" t="s">
        <v>1374</v>
      </c>
      <c r="C71" s="733"/>
      <c r="D71" s="733"/>
      <c r="E71" s="733"/>
      <c r="F71" s="734"/>
      <c r="G71" s="319"/>
      <c r="I71" s="212" t="s">
        <v>1374</v>
      </c>
      <c r="J71" s="733"/>
      <c r="K71" s="733"/>
      <c r="L71" s="733"/>
      <c r="M71" s="735"/>
      <c r="O71" s="212" t="s">
        <v>1374</v>
      </c>
      <c r="P71" s="733"/>
      <c r="Q71" s="733"/>
      <c r="R71" s="733"/>
      <c r="S71" s="735"/>
    </row>
    <row r="72" spans="2:19" x14ac:dyDescent="0.35">
      <c r="B72" s="212" t="s">
        <v>1358</v>
      </c>
      <c r="C72" s="733"/>
      <c r="D72" s="733"/>
      <c r="E72" s="733"/>
      <c r="F72" s="734"/>
      <c r="G72" s="319"/>
      <c r="I72" s="212" t="s">
        <v>1358</v>
      </c>
      <c r="J72" s="733"/>
      <c r="K72" s="733"/>
      <c r="L72" s="733"/>
      <c r="M72" s="735"/>
      <c r="O72" s="212" t="s">
        <v>1358</v>
      </c>
      <c r="P72" s="733"/>
      <c r="Q72" s="733"/>
      <c r="R72" s="733"/>
      <c r="S72" s="735"/>
    </row>
    <row r="73" spans="2:19" x14ac:dyDescent="0.35">
      <c r="B73" s="212" t="s">
        <v>1375</v>
      </c>
      <c r="C73" s="733"/>
      <c r="D73" s="733"/>
      <c r="E73" s="733"/>
      <c r="F73" s="734"/>
      <c r="G73" s="319"/>
      <c r="I73" s="212" t="s">
        <v>1375</v>
      </c>
      <c r="J73" s="733"/>
      <c r="K73" s="733"/>
      <c r="L73" s="733"/>
      <c r="M73" s="735"/>
      <c r="O73" s="212" t="s">
        <v>1375</v>
      </c>
      <c r="P73" s="733"/>
      <c r="Q73" s="733"/>
      <c r="R73" s="733"/>
      <c r="S73" s="735"/>
    </row>
    <row r="74" spans="2:19" x14ac:dyDescent="0.35">
      <c r="B74" s="212" t="s">
        <v>1359</v>
      </c>
      <c r="C74" s="733"/>
      <c r="D74" s="733"/>
      <c r="E74" s="733"/>
      <c r="F74" s="734"/>
      <c r="G74" s="319"/>
      <c r="I74" s="212" t="s">
        <v>1359</v>
      </c>
      <c r="J74" s="733"/>
      <c r="K74" s="733"/>
      <c r="L74" s="733"/>
      <c r="M74" s="735"/>
      <c r="O74" s="212" t="s">
        <v>1359</v>
      </c>
      <c r="P74" s="733"/>
      <c r="Q74" s="733"/>
      <c r="R74" s="733"/>
      <c r="S74" s="735"/>
    </row>
    <row r="75" spans="2:19" ht="15" thickBot="1" x14ac:dyDescent="0.4">
      <c r="B75" s="292" t="s">
        <v>875</v>
      </c>
      <c r="C75" s="744"/>
      <c r="D75" s="744"/>
      <c r="E75" s="744"/>
      <c r="F75" s="746"/>
      <c r="G75" s="327"/>
      <c r="I75" s="292" t="s">
        <v>875</v>
      </c>
      <c r="J75" s="744"/>
      <c r="K75" s="744"/>
      <c r="L75" s="744"/>
      <c r="M75" s="747"/>
      <c r="O75" s="292" t="s">
        <v>875</v>
      </c>
      <c r="P75" s="744"/>
      <c r="Q75" s="744"/>
      <c r="R75" s="744"/>
      <c r="S75" s="747"/>
    </row>
    <row r="77" spans="2:19" ht="15" thickBot="1" x14ac:dyDescent="0.4"/>
    <row r="78" spans="2:19" ht="18.5" x14ac:dyDescent="0.45">
      <c r="B78" s="290" t="s">
        <v>1376</v>
      </c>
      <c r="C78" s="208"/>
      <c r="D78" s="208"/>
      <c r="E78" s="208"/>
      <c r="F78" s="208"/>
      <c r="G78" s="317"/>
      <c r="I78" s="290" t="s">
        <v>1376</v>
      </c>
      <c r="J78" s="208"/>
      <c r="K78" s="208"/>
      <c r="L78" s="208"/>
      <c r="M78" s="209"/>
      <c r="O78" s="290" t="s">
        <v>1376</v>
      </c>
      <c r="P78" s="208"/>
      <c r="Q78" s="208"/>
      <c r="R78" s="208"/>
      <c r="S78" s="209"/>
    </row>
    <row r="79" spans="2:19" x14ac:dyDescent="0.35">
      <c r="B79" s="215"/>
      <c r="C79" s="9" t="s">
        <v>1377</v>
      </c>
      <c r="D79" s="9" t="s">
        <v>1378</v>
      </c>
      <c r="E79" s="9"/>
      <c r="F79" s="96"/>
      <c r="G79" s="329"/>
      <c r="I79" s="215"/>
      <c r="J79" s="9"/>
      <c r="K79" s="9"/>
      <c r="L79" s="9"/>
      <c r="M79" s="337"/>
      <c r="O79" s="215"/>
      <c r="P79" s="9" t="s">
        <v>1377</v>
      </c>
      <c r="Q79" s="9" t="s">
        <v>1378</v>
      </c>
      <c r="R79" s="9"/>
      <c r="S79" s="337"/>
    </row>
    <row r="80" spans="2:19" x14ac:dyDescent="0.35">
      <c r="B80" s="328" t="str">
        <f>"Første beregningsår, "&amp;FørsteBeregningsår&amp;""</f>
        <v xml:space="preserve">Første beregningsår, </v>
      </c>
      <c r="C80" s="25" t="s">
        <v>1379</v>
      </c>
      <c r="D80" s="25" t="s">
        <v>1379</v>
      </c>
      <c r="E80" s="25" t="s">
        <v>1380</v>
      </c>
      <c r="F80" s="96"/>
      <c r="G80" s="329"/>
      <c r="I80" s="328" t="s">
        <v>1371</v>
      </c>
      <c r="J80" s="25"/>
      <c r="K80" s="25"/>
      <c r="L80" s="25"/>
      <c r="M80" s="337"/>
      <c r="O80" s="328" t="str">
        <f>"Tredje beregningsår, "&amp;TredjeBeregningsår&amp;""</f>
        <v xml:space="preserve">Tredje beregningsår, </v>
      </c>
      <c r="P80" s="25" t="s">
        <v>1379</v>
      </c>
      <c r="Q80" s="25" t="s">
        <v>1379</v>
      </c>
      <c r="R80" s="25" t="s">
        <v>1380</v>
      </c>
      <c r="S80" s="337"/>
    </row>
    <row r="81" spans="2:19" x14ac:dyDescent="0.35">
      <c r="B81" s="212" t="s">
        <v>605</v>
      </c>
      <c r="C81" s="464"/>
      <c r="D81" s="464"/>
      <c r="E81" s="748"/>
      <c r="F81" s="97"/>
      <c r="G81" s="319"/>
      <c r="I81" s="212" t="s">
        <v>605</v>
      </c>
      <c r="J81" s="464"/>
      <c r="K81" s="464"/>
      <c r="L81" s="748"/>
      <c r="M81" s="338"/>
      <c r="O81" s="212" t="s">
        <v>605</v>
      </c>
      <c r="P81" s="464"/>
      <c r="Q81" s="464"/>
      <c r="R81" s="748"/>
      <c r="S81" s="338"/>
    </row>
    <row r="82" spans="2:19" x14ac:dyDescent="0.35">
      <c r="B82" s="212" t="s">
        <v>1355</v>
      </c>
      <c r="C82" s="464"/>
      <c r="D82" s="464"/>
      <c r="E82" s="748"/>
      <c r="F82" s="97"/>
      <c r="G82" s="319"/>
      <c r="I82" s="212" t="s">
        <v>1355</v>
      </c>
      <c r="J82" s="464"/>
      <c r="K82" s="464"/>
      <c r="L82" s="748"/>
      <c r="M82" s="338"/>
      <c r="O82" s="212" t="s">
        <v>1355</v>
      </c>
      <c r="P82" s="464"/>
      <c r="Q82" s="464"/>
      <c r="R82" s="748"/>
      <c r="S82" s="338"/>
    </row>
    <row r="83" spans="2:19" x14ac:dyDescent="0.35">
      <c r="B83" s="212" t="s">
        <v>1356</v>
      </c>
      <c r="C83" s="464"/>
      <c r="D83" s="464"/>
      <c r="E83" s="748"/>
      <c r="F83" s="97"/>
      <c r="G83" s="319"/>
      <c r="I83" s="212" t="s">
        <v>1356</v>
      </c>
      <c r="J83" s="464"/>
      <c r="K83" s="464"/>
      <c r="L83" s="748"/>
      <c r="M83" s="338"/>
      <c r="O83" s="212" t="s">
        <v>1356</v>
      </c>
      <c r="P83" s="464"/>
      <c r="Q83" s="464"/>
      <c r="R83" s="748"/>
      <c r="S83" s="338"/>
    </row>
    <row r="84" spans="2:19" x14ac:dyDescent="0.35">
      <c r="B84" s="212" t="s">
        <v>604</v>
      </c>
      <c r="C84" s="464"/>
      <c r="D84" s="464"/>
      <c r="E84" s="748"/>
      <c r="F84" s="97"/>
      <c r="G84" s="319"/>
      <c r="I84" s="212" t="s">
        <v>604</v>
      </c>
      <c r="J84" s="464"/>
      <c r="K84" s="464"/>
      <c r="L84" s="748"/>
      <c r="M84" s="338"/>
      <c r="O84" s="212" t="s">
        <v>604</v>
      </c>
      <c r="P84" s="464"/>
      <c r="Q84" s="464"/>
      <c r="R84" s="748"/>
      <c r="S84" s="338"/>
    </row>
    <row r="85" spans="2:19" x14ac:dyDescent="0.35">
      <c r="B85" s="212" t="s">
        <v>1357</v>
      </c>
      <c r="C85" s="464"/>
      <c r="D85" s="464"/>
      <c r="E85" s="748"/>
      <c r="F85" s="97"/>
      <c r="G85" s="319"/>
      <c r="I85" s="212" t="s">
        <v>1357</v>
      </c>
      <c r="J85" s="464"/>
      <c r="K85" s="464"/>
      <c r="L85" s="748"/>
      <c r="M85" s="338"/>
      <c r="O85" s="212" t="s">
        <v>1357</v>
      </c>
      <c r="P85" s="464"/>
      <c r="Q85" s="464"/>
      <c r="R85" s="748"/>
      <c r="S85" s="338"/>
    </row>
    <row r="86" spans="2:19" x14ac:dyDescent="0.35">
      <c r="B86" s="212" t="s">
        <v>1358</v>
      </c>
      <c r="C86" s="464"/>
      <c r="D86" s="464"/>
      <c r="E86" s="748"/>
      <c r="F86" s="97"/>
      <c r="G86" s="319"/>
      <c r="I86" s="212" t="s">
        <v>1358</v>
      </c>
      <c r="J86" s="464"/>
      <c r="K86" s="464"/>
      <c r="L86" s="748"/>
      <c r="M86" s="338"/>
      <c r="O86" s="212" t="s">
        <v>1358</v>
      </c>
      <c r="P86" s="464"/>
      <c r="Q86" s="464"/>
      <c r="R86" s="748"/>
      <c r="S86" s="338"/>
    </row>
    <row r="87" spans="2:19" x14ac:dyDescent="0.35">
      <c r="B87" s="212" t="s">
        <v>1359</v>
      </c>
      <c r="C87" s="464"/>
      <c r="D87" s="464"/>
      <c r="E87" s="748"/>
      <c r="F87" s="97"/>
      <c r="G87" s="319"/>
      <c r="I87" s="212" t="s">
        <v>1359</v>
      </c>
      <c r="J87" s="464"/>
      <c r="K87" s="464"/>
      <c r="L87" s="748"/>
      <c r="M87" s="338"/>
      <c r="O87" s="212" t="s">
        <v>1359</v>
      </c>
      <c r="P87" s="464"/>
      <c r="Q87" s="464"/>
      <c r="R87" s="748"/>
      <c r="S87" s="338"/>
    </row>
    <row r="88" spans="2:19" ht="15" thickBot="1" x14ac:dyDescent="0.4">
      <c r="B88" s="292" t="s">
        <v>875</v>
      </c>
      <c r="C88" s="749"/>
      <c r="D88" s="749"/>
      <c r="E88" s="750"/>
      <c r="F88" s="330"/>
      <c r="G88" s="327"/>
      <c r="I88" s="292" t="s">
        <v>875</v>
      </c>
      <c r="J88" s="749"/>
      <c r="K88" s="749"/>
      <c r="L88" s="750"/>
      <c r="M88" s="339"/>
      <c r="O88" s="292" t="s">
        <v>875</v>
      </c>
      <c r="P88" s="749"/>
      <c r="Q88" s="749"/>
      <c r="R88" s="750"/>
      <c r="S88" s="339"/>
    </row>
    <row r="202" spans="3:3" x14ac:dyDescent="0.35">
      <c r="C202" t="b">
        <f>IF('1.4 Godsmodell'!E86&gt;0,75%)</f>
        <v>0</v>
      </c>
    </row>
  </sheetData>
  <conditionalFormatting sqref="J12:M20 J22:M26 J28:M36 J39:M47 J50:M57 J59:M60 J66:M75 J81:L88">
    <cfRule type="expression" dxfId="653" priority="5">
      <formula>AndreBeregningsår&gt;0</formula>
    </cfRule>
  </conditionalFormatting>
  <conditionalFormatting sqref="P59:S60 P66:S75 P81:R88 P12:S20 P22:S26 P28:S36 P39:S47 P50:S57">
    <cfRule type="expression" dxfId="652" priority="4">
      <formula>TredjeBeregningsår&gt;0</formula>
    </cfRule>
  </conditionalFormatting>
  <conditionalFormatting sqref="C12:F20 C22:F26 C28:F36 C39:F47 C50:F57 C59:F60 C66:F75 C81:E88">
    <cfRule type="expression" dxfId="651" priority="3">
      <formula>FørsteBeregningsår&gt;0</formula>
    </cfRule>
  </conditionalFormatting>
  <conditionalFormatting sqref="C12:F20 C22:F26 C28:F36 C39:F47 C50:F57 C59:F60 C66:F75 C81:E88 J12:M20 J22:M26 J28:M36 J39:M47 J50:M57 J59:M60 J66:M75 J81:L88 P59:S60 P66:S75 P81:R88 P12:S20 P22:S26 P28:S36 P39:S47 P50:S57">
    <cfRule type="expression" dxfId="650" priority="1">
      <formula>Modell_Gods="-"</formula>
    </cfRule>
  </conditionalFormatting>
  <pageMargins left="0.7" right="0.7" top="0.75" bottom="0.75" header="0.3" footer="0.3"/>
  <pageSetup paperSize="9" orientation="portrait" r:id="rId1"/>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Ark18">
    <tabColor theme="4" tint="0.59999389629810485"/>
  </sheetPr>
  <dimension ref="A3:EP181"/>
  <sheetViews>
    <sheetView zoomScaleNormal="100" workbookViewId="0"/>
  </sheetViews>
  <sheetFormatPr baseColWidth="10" defaultColWidth="11.453125" defaultRowHeight="14.5" x14ac:dyDescent="0.35"/>
  <cols>
    <col min="1" max="3" width="11.453125" style="59"/>
    <col min="4" max="4" width="13.26953125" style="59" customWidth="1"/>
    <col min="5" max="5" width="29.1796875" style="59" bestFit="1" customWidth="1"/>
    <col min="6" max="6" width="12.54296875" style="59" customWidth="1"/>
    <col min="7" max="7" width="68.453125" style="59" customWidth="1"/>
    <col min="8" max="8" width="11.453125" style="59"/>
    <col min="9" max="17" width="11.453125" style="59" customWidth="1"/>
    <col min="18" max="18" width="11.453125" style="59"/>
    <col min="19" max="19" width="11.453125" style="59" customWidth="1"/>
    <col min="20" max="21" width="11.453125" style="59"/>
    <col min="22" max="22" width="12.453125" style="59" bestFit="1" customWidth="1"/>
    <col min="23" max="27" width="11.453125" style="59"/>
    <col min="28" max="28" width="13.453125" style="59" bestFit="1" customWidth="1"/>
    <col min="29" max="62" width="11.453125" style="59"/>
    <col min="63" max="63" width="12" style="59" bestFit="1" customWidth="1"/>
    <col min="64" max="73" width="11.453125" style="59"/>
    <col min="74" max="74" width="12.453125" style="59" bestFit="1" customWidth="1"/>
    <col min="75" max="87" width="11.453125" style="59"/>
    <col min="88" max="98" width="13.26953125" style="59" bestFit="1" customWidth="1"/>
    <col min="99" max="112" width="11.453125" style="59"/>
    <col min="113" max="113" width="15.81640625" style="59" bestFit="1" customWidth="1"/>
    <col min="114" max="114" width="14.54296875" style="59" customWidth="1"/>
    <col min="115" max="125" width="11.453125" style="59"/>
    <col min="126" max="126" width="13.453125" style="59" customWidth="1"/>
    <col min="127" max="127" width="11" style="59" customWidth="1"/>
    <col min="128" max="16384" width="11.453125" style="59"/>
  </cols>
  <sheetData>
    <row r="3" spans="1:127" ht="15" thickBot="1" x14ac:dyDescent="0.4"/>
    <row r="4" spans="1:127" ht="18.5" x14ac:dyDescent="0.45">
      <c r="C4" s="253" t="s">
        <v>717</v>
      </c>
      <c r="D4" s="306"/>
      <c r="E4" s="387"/>
    </row>
    <row r="5" spans="1:127" x14ac:dyDescent="0.35">
      <c r="C5" s="1255" t="s">
        <v>1381</v>
      </c>
      <c r="D5" s="1256"/>
      <c r="E5" s="751" t="s">
        <v>916</v>
      </c>
    </row>
    <row r="6" spans="1:127" ht="15" thickBot="1" x14ac:dyDescent="0.4">
      <c r="C6" s="1257" t="s">
        <v>1382</v>
      </c>
      <c r="D6" s="1258"/>
      <c r="E6" s="429" t="s">
        <v>1383</v>
      </c>
    </row>
    <row r="7" spans="1:127" x14ac:dyDescent="0.35">
      <c r="AB7" s="61"/>
      <c r="CJ7" s="406"/>
      <c r="CK7" s="406"/>
      <c r="CL7" s="406"/>
      <c r="CM7" s="406"/>
      <c r="CN7" s="406"/>
      <c r="CO7" s="406"/>
      <c r="CP7" s="406"/>
      <c r="CQ7" s="406"/>
      <c r="CR7" s="406"/>
      <c r="CS7" s="406"/>
      <c r="CT7" s="406"/>
    </row>
    <row r="9" spans="1:127" ht="15" thickBot="1" x14ac:dyDescent="0.4">
      <c r="H9" s="997"/>
      <c r="CY9" s="997"/>
      <c r="CZ9" s="997"/>
      <c r="DA9" s="997"/>
      <c r="DB9" s="997"/>
      <c r="DC9" s="997"/>
      <c r="DD9" s="997"/>
      <c r="DE9" s="997"/>
      <c r="DF9" s="997"/>
      <c r="DG9" s="997"/>
      <c r="DH9" s="997"/>
      <c r="DI9" s="997"/>
      <c r="DJ9" s="997"/>
      <c r="DK9" s="997"/>
      <c r="DL9" s="997"/>
      <c r="DM9" s="997"/>
      <c r="DN9" s="997"/>
      <c r="DO9" s="997"/>
      <c r="DP9" s="997"/>
      <c r="DQ9" s="997"/>
      <c r="DR9" s="997"/>
      <c r="DS9" s="997"/>
      <c r="DT9" s="997"/>
      <c r="DU9" s="997"/>
      <c r="DV9" s="997"/>
      <c r="DW9" s="997"/>
    </row>
    <row r="10" spans="1:127" ht="21" x14ac:dyDescent="0.5">
      <c r="A10" s="253" t="s">
        <v>1384</v>
      </c>
      <c r="B10" s="269"/>
      <c r="C10" s="269"/>
      <c r="D10" s="269" t="s">
        <v>1102</v>
      </c>
      <c r="E10" s="402"/>
      <c r="G10" s="340" t="s">
        <v>1385</v>
      </c>
      <c r="H10" s="388"/>
      <c r="I10" s="388"/>
      <c r="J10" s="388"/>
      <c r="K10" s="388"/>
      <c r="L10" s="388"/>
      <c r="M10" s="388"/>
      <c r="N10" s="388"/>
      <c r="O10" s="388"/>
      <c r="P10" s="388"/>
      <c r="Q10" s="388"/>
      <c r="R10" s="388">
        <f t="shared" ref="R10:AA10" si="0">S10-1</f>
        <v>-10</v>
      </c>
      <c r="S10" s="388">
        <f t="shared" si="0"/>
        <v>-9</v>
      </c>
      <c r="T10" s="388">
        <f t="shared" si="0"/>
        <v>-8</v>
      </c>
      <c r="U10" s="388">
        <f t="shared" si="0"/>
        <v>-7</v>
      </c>
      <c r="V10" s="388">
        <f t="shared" si="0"/>
        <v>-6</v>
      </c>
      <c r="W10" s="388">
        <f t="shared" si="0"/>
        <v>-5</v>
      </c>
      <c r="X10" s="388">
        <f t="shared" si="0"/>
        <v>-4</v>
      </c>
      <c r="Y10" s="388">
        <f t="shared" si="0"/>
        <v>-3</v>
      </c>
      <c r="Z10" s="388">
        <f t="shared" si="0"/>
        <v>-2</v>
      </c>
      <c r="AA10" s="388">
        <f t="shared" si="0"/>
        <v>-1</v>
      </c>
      <c r="AB10" s="388">
        <f>Åpningsår</f>
        <v>0</v>
      </c>
      <c r="AC10" s="388">
        <f t="shared" ref="AC10:BH10" si="1">AB10+1</f>
        <v>1</v>
      </c>
      <c r="AD10" s="388">
        <f t="shared" si="1"/>
        <v>2</v>
      </c>
      <c r="AE10" s="388">
        <f t="shared" si="1"/>
        <v>3</v>
      </c>
      <c r="AF10" s="388">
        <f t="shared" si="1"/>
        <v>4</v>
      </c>
      <c r="AG10" s="388">
        <f t="shared" si="1"/>
        <v>5</v>
      </c>
      <c r="AH10" s="388">
        <f t="shared" si="1"/>
        <v>6</v>
      </c>
      <c r="AI10" s="388">
        <f t="shared" si="1"/>
        <v>7</v>
      </c>
      <c r="AJ10" s="388">
        <f t="shared" si="1"/>
        <v>8</v>
      </c>
      <c r="AK10" s="388">
        <f t="shared" si="1"/>
        <v>9</v>
      </c>
      <c r="AL10" s="388">
        <f t="shared" si="1"/>
        <v>10</v>
      </c>
      <c r="AM10" s="388">
        <f t="shared" si="1"/>
        <v>11</v>
      </c>
      <c r="AN10" s="388">
        <f t="shared" si="1"/>
        <v>12</v>
      </c>
      <c r="AO10" s="388">
        <f t="shared" si="1"/>
        <v>13</v>
      </c>
      <c r="AP10" s="388">
        <f t="shared" si="1"/>
        <v>14</v>
      </c>
      <c r="AQ10" s="388">
        <f t="shared" si="1"/>
        <v>15</v>
      </c>
      <c r="AR10" s="388">
        <f t="shared" si="1"/>
        <v>16</v>
      </c>
      <c r="AS10" s="388">
        <f t="shared" si="1"/>
        <v>17</v>
      </c>
      <c r="AT10" s="388">
        <f t="shared" si="1"/>
        <v>18</v>
      </c>
      <c r="AU10" s="388">
        <f t="shared" si="1"/>
        <v>19</v>
      </c>
      <c r="AV10" s="388">
        <f t="shared" si="1"/>
        <v>20</v>
      </c>
      <c r="AW10" s="388">
        <f t="shared" si="1"/>
        <v>21</v>
      </c>
      <c r="AX10" s="388">
        <f t="shared" si="1"/>
        <v>22</v>
      </c>
      <c r="AY10" s="388">
        <f t="shared" si="1"/>
        <v>23</v>
      </c>
      <c r="AZ10" s="388">
        <f t="shared" si="1"/>
        <v>24</v>
      </c>
      <c r="BA10" s="388">
        <f t="shared" si="1"/>
        <v>25</v>
      </c>
      <c r="BB10" s="388">
        <f t="shared" si="1"/>
        <v>26</v>
      </c>
      <c r="BC10" s="388">
        <f t="shared" si="1"/>
        <v>27</v>
      </c>
      <c r="BD10" s="388">
        <f t="shared" si="1"/>
        <v>28</v>
      </c>
      <c r="BE10" s="388">
        <f t="shared" si="1"/>
        <v>29</v>
      </c>
      <c r="BF10" s="388">
        <f t="shared" si="1"/>
        <v>30</v>
      </c>
      <c r="BG10" s="388">
        <f t="shared" si="1"/>
        <v>31</v>
      </c>
      <c r="BH10" s="388">
        <f t="shared" si="1"/>
        <v>32</v>
      </c>
      <c r="BI10" s="388">
        <f t="shared" ref="BI10:CN10" si="2">BH10+1</f>
        <v>33</v>
      </c>
      <c r="BJ10" s="388">
        <f t="shared" si="2"/>
        <v>34</v>
      </c>
      <c r="BK10" s="388">
        <f t="shared" si="2"/>
        <v>35</v>
      </c>
      <c r="BL10" s="388">
        <f t="shared" si="2"/>
        <v>36</v>
      </c>
      <c r="BM10" s="388">
        <f t="shared" si="2"/>
        <v>37</v>
      </c>
      <c r="BN10" s="388">
        <f t="shared" si="2"/>
        <v>38</v>
      </c>
      <c r="BO10" s="388">
        <f t="shared" si="2"/>
        <v>39</v>
      </c>
      <c r="BP10" s="388">
        <f t="shared" si="2"/>
        <v>40</v>
      </c>
      <c r="BQ10" s="388">
        <f t="shared" si="2"/>
        <v>41</v>
      </c>
      <c r="BR10" s="388">
        <f t="shared" si="2"/>
        <v>42</v>
      </c>
      <c r="BS10" s="388">
        <f t="shared" si="2"/>
        <v>43</v>
      </c>
      <c r="BT10" s="388">
        <f t="shared" si="2"/>
        <v>44</v>
      </c>
      <c r="BU10" s="388">
        <f t="shared" si="2"/>
        <v>45</v>
      </c>
      <c r="BV10" s="388">
        <f t="shared" si="2"/>
        <v>46</v>
      </c>
      <c r="BW10" s="388">
        <f t="shared" si="2"/>
        <v>47</v>
      </c>
      <c r="BX10" s="388">
        <f t="shared" si="2"/>
        <v>48</v>
      </c>
      <c r="BY10" s="388">
        <f t="shared" si="2"/>
        <v>49</v>
      </c>
      <c r="BZ10" s="388">
        <f t="shared" si="2"/>
        <v>50</v>
      </c>
      <c r="CA10" s="388">
        <f t="shared" si="2"/>
        <v>51</v>
      </c>
      <c r="CB10" s="388">
        <f t="shared" si="2"/>
        <v>52</v>
      </c>
      <c r="CC10" s="388">
        <f t="shared" si="2"/>
        <v>53</v>
      </c>
      <c r="CD10" s="388">
        <f t="shared" si="2"/>
        <v>54</v>
      </c>
      <c r="CE10" s="388">
        <f t="shared" si="2"/>
        <v>55</v>
      </c>
      <c r="CF10" s="388">
        <f t="shared" si="2"/>
        <v>56</v>
      </c>
      <c r="CG10" s="388">
        <f t="shared" si="2"/>
        <v>57</v>
      </c>
      <c r="CH10" s="388">
        <f t="shared" si="2"/>
        <v>58</v>
      </c>
      <c r="CI10" s="388">
        <f t="shared" si="2"/>
        <v>59</v>
      </c>
      <c r="CJ10" s="388">
        <f t="shared" si="2"/>
        <v>60</v>
      </c>
      <c r="CK10" s="388">
        <f t="shared" si="2"/>
        <v>61</v>
      </c>
      <c r="CL10" s="388">
        <f t="shared" si="2"/>
        <v>62</v>
      </c>
      <c r="CM10" s="388">
        <f t="shared" si="2"/>
        <v>63</v>
      </c>
      <c r="CN10" s="388">
        <f t="shared" si="2"/>
        <v>64</v>
      </c>
      <c r="CO10" s="388">
        <f t="shared" ref="CO10:CX10" si="3">CN10+1</f>
        <v>65</v>
      </c>
      <c r="CP10" s="388">
        <f t="shared" si="3"/>
        <v>66</v>
      </c>
      <c r="CQ10" s="388">
        <f t="shared" si="3"/>
        <v>67</v>
      </c>
      <c r="CR10" s="388">
        <f t="shared" si="3"/>
        <v>68</v>
      </c>
      <c r="CS10" s="388">
        <f t="shared" si="3"/>
        <v>69</v>
      </c>
      <c r="CT10" s="388">
        <f t="shared" si="3"/>
        <v>70</v>
      </c>
      <c r="CU10" s="388">
        <f t="shared" si="3"/>
        <v>71</v>
      </c>
      <c r="CV10" s="388">
        <f t="shared" si="3"/>
        <v>72</v>
      </c>
      <c r="CW10" s="388">
        <f t="shared" si="3"/>
        <v>73</v>
      </c>
      <c r="CX10" s="388">
        <f t="shared" si="3"/>
        <v>74</v>
      </c>
      <c r="CY10" s="388">
        <f t="shared" ref="CY10" si="4">CX10+1</f>
        <v>75</v>
      </c>
      <c r="CZ10" s="388">
        <f t="shared" ref="CZ10" si="5">CY10+1</f>
        <v>76</v>
      </c>
      <c r="DA10" s="388">
        <f t="shared" ref="DA10" si="6">CZ10+1</f>
        <v>77</v>
      </c>
      <c r="DB10" s="388">
        <f t="shared" ref="DB10" si="7">DA10+1</f>
        <v>78</v>
      </c>
      <c r="DC10" s="388">
        <f t="shared" ref="DC10" si="8">DB10+1</f>
        <v>79</v>
      </c>
      <c r="DD10" s="388">
        <f t="shared" ref="DD10" si="9">DC10+1</f>
        <v>80</v>
      </c>
      <c r="DE10" s="388">
        <f t="shared" ref="DE10" si="10">DD10+1</f>
        <v>81</v>
      </c>
      <c r="DF10" s="388">
        <f t="shared" ref="DF10" si="11">DE10+1</f>
        <v>82</v>
      </c>
      <c r="DG10" s="388">
        <f t="shared" ref="DG10" si="12">DF10+1</f>
        <v>83</v>
      </c>
      <c r="DH10" s="388">
        <f t="shared" ref="DH10" si="13">DG10+1</f>
        <v>84</v>
      </c>
      <c r="DI10" s="388">
        <f t="shared" ref="DI10" si="14">DH10+1</f>
        <v>85</v>
      </c>
      <c r="DJ10" s="388">
        <f t="shared" ref="DJ10" si="15">DI10+1</f>
        <v>86</v>
      </c>
      <c r="DK10" s="388">
        <f t="shared" ref="DK10" si="16">DJ10+1</f>
        <v>87</v>
      </c>
      <c r="DL10" s="388">
        <f t="shared" ref="DL10" si="17">DK10+1</f>
        <v>88</v>
      </c>
      <c r="DM10" s="388">
        <f t="shared" ref="DM10" si="18">DL10+1</f>
        <v>89</v>
      </c>
      <c r="DN10" s="388">
        <f t="shared" ref="DN10" si="19">DM10+1</f>
        <v>90</v>
      </c>
      <c r="DO10" s="388">
        <f t="shared" ref="DO10" si="20">DN10+1</f>
        <v>91</v>
      </c>
      <c r="DP10" s="388">
        <f t="shared" ref="DP10" si="21">DO10+1</f>
        <v>92</v>
      </c>
      <c r="DQ10" s="388">
        <f t="shared" ref="DQ10" si="22">DP10+1</f>
        <v>93</v>
      </c>
      <c r="DR10" s="388">
        <f t="shared" ref="DR10" si="23">DQ10+1</f>
        <v>94</v>
      </c>
      <c r="DS10" s="388">
        <f t="shared" ref="DS10" si="24">DR10+1</f>
        <v>95</v>
      </c>
      <c r="DT10" s="388">
        <f t="shared" ref="DT10" si="25">DS10+1</f>
        <v>96</v>
      </c>
      <c r="DU10" s="388">
        <f t="shared" ref="DU10" si="26">DT10+1</f>
        <v>97</v>
      </c>
      <c r="DV10" s="388">
        <f t="shared" ref="DV10" si="27">DU10+1</f>
        <v>98</v>
      </c>
      <c r="DW10" s="401">
        <f t="shared" ref="DW10" si="28">DV10+1</f>
        <v>99</v>
      </c>
    </row>
    <row r="11" spans="1:127" ht="21" x14ac:dyDescent="0.5">
      <c r="A11" s="404" t="s">
        <v>727</v>
      </c>
      <c r="B11" s="973" t="s">
        <v>275</v>
      </c>
      <c r="C11" s="973" t="s">
        <v>1386</v>
      </c>
      <c r="D11" s="973" t="s">
        <v>60</v>
      </c>
      <c r="E11" s="405" t="s">
        <v>731</v>
      </c>
      <c r="G11" s="403"/>
      <c r="H11" s="973"/>
      <c r="I11" s="973"/>
      <c r="J11" s="973"/>
      <c r="K11" s="973"/>
      <c r="L11" s="973"/>
      <c r="M11" s="973"/>
      <c r="N11" s="973"/>
      <c r="O11" s="973"/>
      <c r="P11" s="973"/>
      <c r="Q11" s="973"/>
      <c r="R11" s="973"/>
      <c r="S11" s="973"/>
      <c r="T11" s="973"/>
      <c r="U11" s="973"/>
      <c r="V11" s="973"/>
      <c r="W11" s="973"/>
      <c r="X11" s="973"/>
      <c r="Y11" s="973"/>
      <c r="Z11" s="973"/>
      <c r="AA11" s="973"/>
      <c r="AB11" s="973"/>
      <c r="AC11" s="973"/>
      <c r="AD11" s="973"/>
      <c r="AE11" s="973"/>
      <c r="AF11" s="973"/>
      <c r="AG11" s="973"/>
      <c r="AH11" s="973"/>
      <c r="AI11" s="973"/>
      <c r="AJ11" s="973"/>
      <c r="AK11" s="973"/>
      <c r="AL11" s="973"/>
      <c r="AM11" s="973"/>
      <c r="AN11" s="973"/>
      <c r="AO11" s="973"/>
      <c r="AP11" s="973"/>
      <c r="AQ11" s="973"/>
      <c r="AR11" s="973"/>
      <c r="AS11" s="973"/>
      <c r="AT11" s="973"/>
      <c r="AU11" s="973"/>
      <c r="AV11" s="973"/>
      <c r="AW11" s="973"/>
      <c r="AX11" s="973"/>
      <c r="AY11" s="973"/>
      <c r="AZ11" s="973"/>
      <c r="BA11" s="973"/>
      <c r="BB11" s="973"/>
      <c r="BC11" s="973"/>
      <c r="BD11" s="973"/>
      <c r="BE11" s="973"/>
      <c r="BF11" s="973"/>
      <c r="BG11" s="973"/>
      <c r="BH11" s="973"/>
      <c r="BI11" s="973"/>
      <c r="BJ11" s="973"/>
      <c r="BK11" s="973"/>
      <c r="BL11" s="973"/>
      <c r="BM11" s="973"/>
      <c r="BN11" s="973"/>
      <c r="BO11" s="973"/>
      <c r="BP11" s="973"/>
      <c r="BQ11" s="973"/>
      <c r="BR11" s="973"/>
      <c r="BS11" s="973"/>
      <c r="BT11" s="973"/>
      <c r="BU11" s="973"/>
      <c r="BV11" s="973"/>
      <c r="BW11" s="973"/>
      <c r="BX11" s="973"/>
      <c r="BY11" s="973"/>
      <c r="BZ11" s="973"/>
      <c r="CA11" s="973"/>
      <c r="CB11" s="973"/>
      <c r="CC11" s="973"/>
      <c r="CD11" s="973"/>
      <c r="CE11" s="973"/>
      <c r="CF11" s="973"/>
      <c r="CG11" s="973"/>
      <c r="CH11" s="973"/>
      <c r="CI11" s="973"/>
      <c r="CJ11" s="973"/>
      <c r="CK11" s="973"/>
      <c r="CL11" s="973"/>
      <c r="CM11" s="973"/>
      <c r="CN11" s="973"/>
      <c r="CO11" s="973"/>
      <c r="CP11" s="973"/>
      <c r="CQ11" s="973"/>
      <c r="CR11" s="973"/>
      <c r="CS11" s="973"/>
      <c r="CT11" s="973"/>
      <c r="CU11" s="973"/>
      <c r="CV11" s="973"/>
      <c r="CW11" s="973"/>
      <c r="CX11" s="973"/>
      <c r="CY11" s="973"/>
      <c r="CZ11" s="973"/>
      <c r="DA11" s="973"/>
      <c r="DB11" s="973"/>
      <c r="DC11" s="973"/>
      <c r="DD11" s="973"/>
      <c r="DE11" s="973"/>
      <c r="DF11" s="973"/>
      <c r="DG11" s="973"/>
      <c r="DH11" s="973"/>
      <c r="DI11" s="973"/>
      <c r="DJ11" s="973"/>
      <c r="DK11" s="973"/>
      <c r="DL11" s="973"/>
      <c r="DM11" s="973"/>
      <c r="DN11" s="973"/>
      <c r="DO11" s="973"/>
      <c r="DP11" s="973"/>
      <c r="DQ11" s="973"/>
      <c r="DR11" s="973"/>
      <c r="DS11" s="973"/>
      <c r="DT11" s="973"/>
      <c r="DU11" s="973"/>
      <c r="DV11" s="973"/>
      <c r="DW11" s="1193"/>
    </row>
    <row r="12" spans="1:127" x14ac:dyDescent="0.35">
      <c r="A12" s="287"/>
      <c r="B12" s="65" t="s">
        <v>1387</v>
      </c>
      <c r="C12" s="65"/>
      <c r="D12" s="65"/>
      <c r="E12" s="217"/>
      <c r="G12" s="218" t="s">
        <v>1388</v>
      </c>
      <c r="H12" s="65"/>
      <c r="I12" s="65"/>
      <c r="J12" s="65"/>
      <c r="K12" s="65"/>
      <c r="L12" s="65"/>
      <c r="M12" s="65"/>
      <c r="N12" s="65"/>
      <c r="O12" s="65"/>
      <c r="P12" s="65"/>
      <c r="Q12" s="65"/>
      <c r="R12" s="752">
        <f>(1/(1+Kalkulasjonsrente1))^(MINA(R10,År2)-Diskonteringsår)*IF(SerieÅR&gt;År2,(1/(1+Kalkulasjonsrente2))^(MINA(R10,År3)-År2),1)*IF(SerieÅR&gt;År3,(1/(1+Kalkulasjonsrente3))^(SerieÅR-År3),1)</f>
        <v>1.4802442849183455</v>
      </c>
      <c r="S12" s="752">
        <f t="shared" ref="S12:AW12" si="29">(1/(1+Kalkulasjonsrente1))^(MINA(S10,År2)-Diskonteringsår)*IF(SerieÅR&gt;År2,(1/(1+Kalkulasjonsrente2))^(MINA(S10,År3)-År2),1)*IF(SerieÅR&gt;År3,(1/(1+Kalkulasjonsrente3))^(SerieÅR-År3),1)</f>
        <v>1.4233118124214856</v>
      </c>
      <c r="T12" s="752">
        <f t="shared" si="29"/>
        <v>1.3685690504052748</v>
      </c>
      <c r="U12" s="752">
        <f>(1/(1+Kalkulasjonsrente1))^(MINA(U10,År2)-Diskonteringsår)*IF(SerieÅR&gt;År2,(1/(1+Kalkulasjonsrente2))^(MINA(U10,År3)-År2),1)*IF(SerieÅR&gt;År3,(1/(1+Kalkulasjonsrente3))^(SerieÅR-År3),1)</f>
        <v>1.3159317792358409</v>
      </c>
      <c r="V12" s="752">
        <f>(1/(1+Kalkulasjonsrente1))^(MINA(V10,År2)-Diskonteringsår)*IF(SerieÅR&gt;År2,(1/(1+Kalkulasjonsrente2))^(MINA(V10,År3)-År2),1)*IF(SerieÅR&gt;År3,(1/(1+Kalkulasjonsrente3))^(SerieÅR-År3),1)</f>
        <v>1.2653190184960008</v>
      </c>
      <c r="W12" s="752">
        <f t="shared" si="29"/>
        <v>1.2166529024000006</v>
      </c>
      <c r="X12" s="752">
        <f t="shared" si="29"/>
        <v>1.1698585600000004</v>
      </c>
      <c r="Y12" s="752">
        <f t="shared" si="29"/>
        <v>1.1248640000000003</v>
      </c>
      <c r="Z12" s="752">
        <f t="shared" si="29"/>
        <v>1.0816000000000003</v>
      </c>
      <c r="AA12" s="752">
        <f t="shared" si="29"/>
        <v>1.04</v>
      </c>
      <c r="AB12" s="752">
        <f>(1/(1+Kalkulasjonsrente1))^(MINA(AB10,År2)-Diskonteringsår)*IF(SerieÅR&gt;År2,(1/(1+Kalkulasjonsrente2))^(MINA(AB10,År3)-År2),1)*IF(SerieÅR&gt;År3,(1/(1+Kalkulasjonsrente3))^(SerieÅR-År3),1)</f>
        <v>1</v>
      </c>
      <c r="AC12" s="752">
        <f t="shared" si="29"/>
        <v>0.96153846153846145</v>
      </c>
      <c r="AD12" s="752">
        <f t="shared" si="29"/>
        <v>0.92455621301775126</v>
      </c>
      <c r="AE12" s="752">
        <f t="shared" si="29"/>
        <v>0.88899635867091464</v>
      </c>
      <c r="AF12" s="752">
        <f t="shared" si="29"/>
        <v>0.85480419102972549</v>
      </c>
      <c r="AG12" s="752">
        <f t="shared" si="29"/>
        <v>0.82192710675935132</v>
      </c>
      <c r="AH12" s="752">
        <f t="shared" si="29"/>
        <v>0.79031452573014538</v>
      </c>
      <c r="AI12" s="752">
        <f t="shared" si="29"/>
        <v>0.75991781320206286</v>
      </c>
      <c r="AJ12" s="752">
        <f t="shared" si="29"/>
        <v>0.73069020500198345</v>
      </c>
      <c r="AK12" s="752">
        <f t="shared" si="29"/>
        <v>0.70258673557883022</v>
      </c>
      <c r="AL12" s="752">
        <f t="shared" si="29"/>
        <v>0.67556416882579817</v>
      </c>
      <c r="AM12" s="752">
        <f t="shared" si="29"/>
        <v>0.64958093156326746</v>
      </c>
      <c r="AN12" s="752">
        <f t="shared" si="29"/>
        <v>0.62459704958006479</v>
      </c>
      <c r="AO12" s="752">
        <f t="shared" si="29"/>
        <v>0.60057408613467755</v>
      </c>
      <c r="AP12" s="752">
        <f t="shared" si="29"/>
        <v>0.57747508282180526</v>
      </c>
      <c r="AQ12" s="752">
        <f t="shared" si="29"/>
        <v>0.55526450271327432</v>
      </c>
      <c r="AR12" s="752">
        <f t="shared" si="29"/>
        <v>0.53390817568584059</v>
      </c>
      <c r="AS12" s="752">
        <f t="shared" si="29"/>
        <v>0.5133732458517698</v>
      </c>
      <c r="AT12" s="752">
        <f t="shared" si="29"/>
        <v>0.49362812101131698</v>
      </c>
      <c r="AU12" s="752">
        <f t="shared" si="29"/>
        <v>0.47464242404934326</v>
      </c>
      <c r="AV12" s="752">
        <f t="shared" si="29"/>
        <v>0.4563869462012915</v>
      </c>
      <c r="AW12" s="752">
        <f t="shared" si="29"/>
        <v>0.43883360211662642</v>
      </c>
      <c r="AX12" s="752">
        <f t="shared" ref="AX12:CC12" si="30">(1/(1+Kalkulasjonsrente1))^(MINA(AX10,År2)-Diskonteringsår)*IF(SerieÅR&gt;År2,(1/(1+Kalkulasjonsrente2))^(MINA(AX10,År3)-År2),1)*IF(SerieÅR&gt;År3,(1/(1+Kalkulasjonsrente3))^(SerieÅR-År3),1)</f>
        <v>0.42195538665060223</v>
      </c>
      <c r="AY12" s="752">
        <f t="shared" si="30"/>
        <v>0.40572633331788677</v>
      </c>
      <c r="AZ12" s="752">
        <f t="shared" si="30"/>
        <v>0.39012147434412187</v>
      </c>
      <c r="BA12" s="752">
        <f t="shared" si="30"/>
        <v>0.37511680225396332</v>
      </c>
      <c r="BB12" s="752">
        <f t="shared" si="30"/>
        <v>0.36068923293650312</v>
      </c>
      <c r="BC12" s="752">
        <f t="shared" si="30"/>
        <v>0.346816570131253</v>
      </c>
      <c r="BD12" s="752">
        <f t="shared" si="30"/>
        <v>0.3334774712800509</v>
      </c>
      <c r="BE12" s="752">
        <f t="shared" si="30"/>
        <v>0.32065141469235658</v>
      </c>
      <c r="BF12" s="752">
        <f t="shared" si="30"/>
        <v>0.30831866797341972</v>
      </c>
      <c r="BG12" s="752">
        <f t="shared" si="30"/>
        <v>0.29646025766674977</v>
      </c>
      <c r="BH12" s="752">
        <f t="shared" si="30"/>
        <v>0.28505794006418245</v>
      </c>
      <c r="BI12" s="752">
        <f t="shared" si="30"/>
        <v>0.27409417313863693</v>
      </c>
      <c r="BJ12" s="752">
        <f t="shared" si="30"/>
        <v>0.26355208955638165</v>
      </c>
      <c r="BK12" s="752">
        <f t="shared" si="30"/>
        <v>0.25341547072729004</v>
      </c>
      <c r="BL12" s="752">
        <f t="shared" si="30"/>
        <v>0.24366872185316346</v>
      </c>
      <c r="BM12" s="752">
        <f t="shared" si="30"/>
        <v>0.23429684793573405</v>
      </c>
      <c r="BN12" s="752">
        <f t="shared" si="30"/>
        <v>0.22528543070743656</v>
      </c>
      <c r="BO12" s="752">
        <f t="shared" si="30"/>
        <v>0.21662060644945824</v>
      </c>
      <c r="BP12" s="752">
        <f t="shared" si="30"/>
        <v>0.20828904466294057</v>
      </c>
      <c r="BQ12" s="752">
        <f t="shared" si="30"/>
        <v>0.20222237345916561</v>
      </c>
      <c r="BR12" s="752">
        <f t="shared" si="30"/>
        <v>0.19633240141666564</v>
      </c>
      <c r="BS12" s="752">
        <f t="shared" si="30"/>
        <v>0.19061398195792781</v>
      </c>
      <c r="BT12" s="752">
        <f t="shared" si="30"/>
        <v>0.18506211840575515</v>
      </c>
      <c r="BU12" s="752">
        <f t="shared" si="30"/>
        <v>0.179671959617238</v>
      </c>
      <c r="BV12" s="752">
        <f t="shared" si="30"/>
        <v>0.17443879574489127</v>
      </c>
      <c r="BW12" s="752">
        <f t="shared" si="30"/>
        <v>0.16935805412125365</v>
      </c>
      <c r="BX12" s="752">
        <f t="shared" si="30"/>
        <v>0.16442529526335306</v>
      </c>
      <c r="BY12" s="752">
        <f t="shared" si="30"/>
        <v>0.15963620899354666</v>
      </c>
      <c r="BZ12" s="752">
        <f t="shared" si="30"/>
        <v>0.15498661067334626</v>
      </c>
      <c r="CA12" s="752">
        <f t="shared" si="30"/>
        <v>0.15047243754693812</v>
      </c>
      <c r="CB12" s="752">
        <f t="shared" si="30"/>
        <v>0.14608974519120208</v>
      </c>
      <c r="CC12" s="752">
        <f t="shared" si="30"/>
        <v>0.14183470406912821</v>
      </c>
      <c r="CD12" s="752">
        <f t="shared" ref="CD12:CX12" si="31">(1/(1+Kalkulasjonsrente1))^(MINA(CD10,År2)-Diskonteringsår)*IF(SerieÅR&gt;År2,(1/(1+Kalkulasjonsrente2))^(MINA(CD10,År3)-År2),1)*IF(SerieÅR&gt;År3,(1/(1+Kalkulasjonsrente3))^(SerieÅR-År3),1)</f>
        <v>0.13770359618361963</v>
      </c>
      <c r="CE12" s="752">
        <f t="shared" si="31"/>
        <v>0.13369281182875692</v>
      </c>
      <c r="CF12" s="752">
        <f t="shared" si="31"/>
        <v>0.12979884643568632</v>
      </c>
      <c r="CG12" s="752">
        <f t="shared" si="31"/>
        <v>0.12601829751037508</v>
      </c>
      <c r="CH12" s="752">
        <f t="shared" si="31"/>
        <v>0.12234786166055832</v>
      </c>
      <c r="CI12" s="752">
        <f t="shared" si="31"/>
        <v>0.11878433170927992</v>
      </c>
      <c r="CJ12" s="752">
        <f t="shared" si="31"/>
        <v>0.11532459389250478</v>
      </c>
      <c r="CK12" s="752">
        <f t="shared" si="31"/>
        <v>0.11196562513835416</v>
      </c>
      <c r="CL12" s="752">
        <f t="shared" si="31"/>
        <v>0.10870449042558657</v>
      </c>
      <c r="CM12" s="752">
        <f t="shared" si="31"/>
        <v>0.10553834021901608</v>
      </c>
      <c r="CN12" s="752">
        <f t="shared" si="31"/>
        <v>0.10246440797962725</v>
      </c>
      <c r="CO12" s="752">
        <f t="shared" si="31"/>
        <v>9.9480007747210927E-2</v>
      </c>
      <c r="CP12" s="752">
        <f t="shared" si="31"/>
        <v>9.6582531793408657E-2</v>
      </c>
      <c r="CQ12" s="752">
        <f t="shared" si="31"/>
        <v>9.3769448343115208E-2</v>
      </c>
      <c r="CR12" s="752">
        <f t="shared" si="31"/>
        <v>9.103829936224779E-2</v>
      </c>
      <c r="CS12" s="752">
        <f t="shared" si="31"/>
        <v>8.8386698409949296E-2</v>
      </c>
      <c r="CT12" s="752">
        <f t="shared" si="31"/>
        <v>8.5812328553348832E-2</v>
      </c>
      <c r="CU12" s="752">
        <f t="shared" si="31"/>
        <v>8.3312940343057126E-2</v>
      </c>
      <c r="CV12" s="752">
        <f t="shared" si="31"/>
        <v>8.0886349847628269E-2</v>
      </c>
      <c r="CW12" s="752">
        <f>(1/(1+Kalkulasjonsrente1))^(MINA(CW10,År2)-Diskonteringsår)*IF(SerieÅR&gt;År2,(1/(1+Kalkulasjonsrente2))^(MINA(CW10,År3)-År2),1)*IF(SerieÅR&gt;År3,(1/(1+Kalkulasjonsrente3))^(SerieÅR-År3),1)</f>
        <v>7.853043674527016E-2</v>
      </c>
      <c r="CX12" s="768">
        <f t="shared" si="31"/>
        <v>7.6243142471136074E-2</v>
      </c>
      <c r="CY12" s="752">
        <f t="shared" ref="CY12:DT12" si="32">(1/(1+Kalkulasjonsrente1))^(MINA(CY10,År2)-Diskonteringsår)*IF(SerieÅR&gt;År2,(1/(1+Kalkulasjonsrente2))^(MINA(CY10,År3)-År2),1)*IF(SerieÅR&gt;År3,(1/(1+Kalkulasjonsrente3))^(SerieÅR-År3),1)</f>
        <v>7.4022468418578721E-2</v>
      </c>
      <c r="CZ12" s="752">
        <f t="shared" si="32"/>
        <v>7.2571047469194822E-2</v>
      </c>
      <c r="DA12" s="752">
        <f t="shared" si="32"/>
        <v>7.1148085754112564E-2</v>
      </c>
      <c r="DB12" s="752">
        <f t="shared" si="32"/>
        <v>6.9753025249129963E-2</v>
      </c>
      <c r="DC12" s="752">
        <f t="shared" si="32"/>
        <v>6.8385318871696049E-2</v>
      </c>
      <c r="DD12" s="752">
        <f t="shared" si="32"/>
        <v>6.7044430266368665E-2</v>
      </c>
      <c r="DE12" s="752">
        <f t="shared" si="32"/>
        <v>6.5729833594479078E-2</v>
      </c>
      <c r="DF12" s="752">
        <f t="shared" si="32"/>
        <v>6.4441013327920668E-2</v>
      </c>
      <c r="DG12" s="752">
        <f t="shared" si="32"/>
        <v>6.3177464046981047E-2</v>
      </c>
      <c r="DH12" s="752">
        <f t="shared" si="32"/>
        <v>6.1938690242138279E-2</v>
      </c>
      <c r="DI12" s="752">
        <f t="shared" si="32"/>
        <v>6.0724206119743405E-2</v>
      </c>
      <c r="DJ12" s="752">
        <f t="shared" si="32"/>
        <v>5.9533535411513135E-2</v>
      </c>
      <c r="DK12" s="752">
        <f t="shared" si="32"/>
        <v>5.8366211187757977E-2</v>
      </c>
      <c r="DL12" s="752">
        <f t="shared" si="32"/>
        <v>5.7221775674272522E-2</v>
      </c>
      <c r="DM12" s="752">
        <f t="shared" si="32"/>
        <v>5.6099780072816199E-2</v>
      </c>
      <c r="DN12" s="752">
        <f t="shared" si="32"/>
        <v>5.4999784385113923E-2</v>
      </c>
      <c r="DO12" s="752">
        <f t="shared" si="32"/>
        <v>5.3921357240307756E-2</v>
      </c>
      <c r="DP12" s="752">
        <f t="shared" si="32"/>
        <v>5.2864075725791916E-2</v>
      </c>
      <c r="DQ12" s="752">
        <f t="shared" si="32"/>
        <v>5.182752522136462E-2</v>
      </c>
      <c r="DR12" s="752">
        <f t="shared" si="32"/>
        <v>5.0811299236631982E-2</v>
      </c>
      <c r="DS12" s="752">
        <f t="shared" si="32"/>
        <v>4.9814999251599976E-2</v>
      </c>
      <c r="DT12" s="752">
        <f t="shared" si="32"/>
        <v>4.8838234560392137E-2</v>
      </c>
      <c r="DU12" s="752">
        <f t="shared" ref="DU12:DW12" si="33">(1/(1+Kalkulasjonsrente1))^(MINA(DU10,År2)-Diskonteringsår)*IF(SerieÅR&gt;År2,(1/(1+Kalkulasjonsrente2))^(MINA(DU10,År3)-År2),1)*IF(SerieÅR&gt;År3,(1/(1+Kalkulasjonsrente3))^(SerieÅR-År3),1)</f>
        <v>4.7880622118031506E-2</v>
      </c>
      <c r="DV12" s="752">
        <f t="shared" si="33"/>
        <v>4.6941786390226961E-2</v>
      </c>
      <c r="DW12" s="753">
        <f t="shared" si="33"/>
        <v>4.6021359206104867E-2</v>
      </c>
    </row>
    <row r="13" spans="1:127" x14ac:dyDescent="0.35">
      <c r="A13" s="287"/>
      <c r="B13" s="65" t="s">
        <v>1387</v>
      </c>
      <c r="C13" s="65"/>
      <c r="D13" s="65"/>
      <c r="E13" s="217"/>
      <c r="G13" s="218" t="s">
        <v>1389</v>
      </c>
      <c r="H13" s="65"/>
      <c r="I13" s="65"/>
      <c r="J13" s="18"/>
      <c r="K13" s="65"/>
      <c r="L13" s="65"/>
      <c r="M13" s="65"/>
      <c r="N13" s="65"/>
      <c r="O13" s="65"/>
      <c r="P13" s="65"/>
      <c r="Q13" s="754">
        <v>1</v>
      </c>
      <c r="R13" s="752" t="e">
        <f t="shared" ref="R13:AW13" si="34">IF(SerieÅR&lt;=SisteStatistikkÅr,LOOKUP(SerieÅR,StatistikkOgPrognoseÅr,BNPIndeks)/LOOKUP(SisteStatistikkÅr,StatistikkOgPrognoseÅr,BNPIndeks),IF(SerieÅR&lt;=SisteÅrMedRealprisvekst,Q13*(1+LOOKUP(SerieÅR,StatistikkOgPrognoseÅr,PrognoseRealpris)),Q13))</f>
        <v>#N/A</v>
      </c>
      <c r="S13" s="752" t="e">
        <f t="shared" si="34"/>
        <v>#N/A</v>
      </c>
      <c r="T13" s="752" t="e">
        <f t="shared" si="34"/>
        <v>#N/A</v>
      </c>
      <c r="U13" s="752" t="e">
        <f t="shared" si="34"/>
        <v>#N/A</v>
      </c>
      <c r="V13" s="752" t="e">
        <f t="shared" si="34"/>
        <v>#N/A</v>
      </c>
      <c r="W13" s="752" t="e">
        <f t="shared" si="34"/>
        <v>#N/A</v>
      </c>
      <c r="X13" s="752" t="e">
        <f t="shared" si="34"/>
        <v>#N/A</v>
      </c>
      <c r="Y13" s="752" t="e">
        <f t="shared" si="34"/>
        <v>#N/A</v>
      </c>
      <c r="Z13" s="752" t="e">
        <f t="shared" si="34"/>
        <v>#N/A</v>
      </c>
      <c r="AA13" s="752" t="e">
        <f t="shared" si="34"/>
        <v>#N/A</v>
      </c>
      <c r="AB13" s="752" t="e">
        <f t="shared" si="34"/>
        <v>#N/A</v>
      </c>
      <c r="AC13" s="752" t="e">
        <f t="shared" si="34"/>
        <v>#N/A</v>
      </c>
      <c r="AD13" s="752" t="e">
        <f t="shared" si="34"/>
        <v>#N/A</v>
      </c>
      <c r="AE13" s="752" t="e">
        <f t="shared" si="34"/>
        <v>#N/A</v>
      </c>
      <c r="AF13" s="752" t="e">
        <f t="shared" si="34"/>
        <v>#N/A</v>
      </c>
      <c r="AG13" s="752" t="e">
        <f t="shared" si="34"/>
        <v>#N/A</v>
      </c>
      <c r="AH13" s="752" t="e">
        <f t="shared" si="34"/>
        <v>#N/A</v>
      </c>
      <c r="AI13" s="752" t="e">
        <f t="shared" si="34"/>
        <v>#N/A</v>
      </c>
      <c r="AJ13" s="752" t="e">
        <f t="shared" si="34"/>
        <v>#N/A</v>
      </c>
      <c r="AK13" s="752" t="e">
        <f t="shared" si="34"/>
        <v>#N/A</v>
      </c>
      <c r="AL13" s="752" t="e">
        <f t="shared" si="34"/>
        <v>#N/A</v>
      </c>
      <c r="AM13" s="752" t="e">
        <f t="shared" si="34"/>
        <v>#N/A</v>
      </c>
      <c r="AN13" s="752" t="e">
        <f t="shared" si="34"/>
        <v>#N/A</v>
      </c>
      <c r="AO13" s="752" t="e">
        <f t="shared" si="34"/>
        <v>#N/A</v>
      </c>
      <c r="AP13" s="752" t="e">
        <f t="shared" si="34"/>
        <v>#N/A</v>
      </c>
      <c r="AQ13" s="752" t="e">
        <f t="shared" si="34"/>
        <v>#N/A</v>
      </c>
      <c r="AR13" s="752" t="e">
        <f t="shared" si="34"/>
        <v>#N/A</v>
      </c>
      <c r="AS13" s="752" t="e">
        <f t="shared" si="34"/>
        <v>#N/A</v>
      </c>
      <c r="AT13" s="752" t="e">
        <f t="shared" si="34"/>
        <v>#N/A</v>
      </c>
      <c r="AU13" s="752" t="e">
        <f t="shared" si="34"/>
        <v>#N/A</v>
      </c>
      <c r="AV13" s="752" t="e">
        <f t="shared" si="34"/>
        <v>#N/A</v>
      </c>
      <c r="AW13" s="752" t="e">
        <f t="shared" si="34"/>
        <v>#N/A</v>
      </c>
      <c r="AX13" s="752" t="e">
        <f t="shared" ref="AX13:CC13" si="35">IF(SerieÅR&lt;=SisteStatistikkÅr,LOOKUP(SerieÅR,StatistikkOgPrognoseÅr,BNPIndeks)/LOOKUP(SisteStatistikkÅr,StatistikkOgPrognoseÅr,BNPIndeks),IF(SerieÅR&lt;=SisteÅrMedRealprisvekst,AW13*(1+LOOKUP(SerieÅR,StatistikkOgPrognoseÅr,PrognoseRealpris)),AW13))</f>
        <v>#N/A</v>
      </c>
      <c r="AY13" s="752" t="e">
        <f t="shared" si="35"/>
        <v>#N/A</v>
      </c>
      <c r="AZ13" s="752" t="e">
        <f t="shared" si="35"/>
        <v>#N/A</v>
      </c>
      <c r="BA13" s="752" t="e">
        <f t="shared" si="35"/>
        <v>#N/A</v>
      </c>
      <c r="BB13" s="752" t="e">
        <f t="shared" si="35"/>
        <v>#N/A</v>
      </c>
      <c r="BC13" s="752" t="e">
        <f t="shared" si="35"/>
        <v>#N/A</v>
      </c>
      <c r="BD13" s="752" t="e">
        <f t="shared" si="35"/>
        <v>#N/A</v>
      </c>
      <c r="BE13" s="752" t="e">
        <f t="shared" si="35"/>
        <v>#N/A</v>
      </c>
      <c r="BF13" s="752" t="e">
        <f t="shared" si="35"/>
        <v>#N/A</v>
      </c>
      <c r="BG13" s="752" t="e">
        <f t="shared" si="35"/>
        <v>#N/A</v>
      </c>
      <c r="BH13" s="752" t="e">
        <f t="shared" si="35"/>
        <v>#N/A</v>
      </c>
      <c r="BI13" s="752" t="e">
        <f t="shared" si="35"/>
        <v>#N/A</v>
      </c>
      <c r="BJ13" s="752" t="e">
        <f t="shared" si="35"/>
        <v>#N/A</v>
      </c>
      <c r="BK13" s="752" t="e">
        <f t="shared" si="35"/>
        <v>#N/A</v>
      </c>
      <c r="BL13" s="752" t="e">
        <f t="shared" si="35"/>
        <v>#N/A</v>
      </c>
      <c r="BM13" s="752" t="e">
        <f t="shared" si="35"/>
        <v>#N/A</v>
      </c>
      <c r="BN13" s="752" t="e">
        <f t="shared" si="35"/>
        <v>#N/A</v>
      </c>
      <c r="BO13" s="752" t="e">
        <f t="shared" si="35"/>
        <v>#N/A</v>
      </c>
      <c r="BP13" s="752" t="e">
        <f t="shared" si="35"/>
        <v>#N/A</v>
      </c>
      <c r="BQ13" s="752" t="e">
        <f t="shared" si="35"/>
        <v>#N/A</v>
      </c>
      <c r="BR13" s="752" t="e">
        <f t="shared" si="35"/>
        <v>#N/A</v>
      </c>
      <c r="BS13" s="752" t="e">
        <f t="shared" si="35"/>
        <v>#N/A</v>
      </c>
      <c r="BT13" s="752" t="e">
        <f t="shared" si="35"/>
        <v>#N/A</v>
      </c>
      <c r="BU13" s="752" t="e">
        <f t="shared" si="35"/>
        <v>#N/A</v>
      </c>
      <c r="BV13" s="752" t="e">
        <f t="shared" si="35"/>
        <v>#N/A</v>
      </c>
      <c r="BW13" s="752" t="e">
        <f t="shared" si="35"/>
        <v>#N/A</v>
      </c>
      <c r="BX13" s="752" t="e">
        <f t="shared" si="35"/>
        <v>#N/A</v>
      </c>
      <c r="BY13" s="752" t="e">
        <f t="shared" si="35"/>
        <v>#N/A</v>
      </c>
      <c r="BZ13" s="752" t="e">
        <f t="shared" si="35"/>
        <v>#N/A</v>
      </c>
      <c r="CA13" s="752" t="e">
        <f t="shared" si="35"/>
        <v>#N/A</v>
      </c>
      <c r="CB13" s="752" t="e">
        <f t="shared" si="35"/>
        <v>#N/A</v>
      </c>
      <c r="CC13" s="752" t="e">
        <f t="shared" si="35"/>
        <v>#N/A</v>
      </c>
      <c r="CD13" s="752" t="e">
        <f t="shared" ref="CD13:CX13" si="36">IF(SerieÅR&lt;=SisteStatistikkÅr,LOOKUP(SerieÅR,StatistikkOgPrognoseÅr,BNPIndeks)/LOOKUP(SisteStatistikkÅr,StatistikkOgPrognoseÅr,BNPIndeks),IF(SerieÅR&lt;=SisteÅrMedRealprisvekst,CC13*(1+LOOKUP(SerieÅR,StatistikkOgPrognoseÅr,PrognoseRealpris)),CC13))</f>
        <v>#N/A</v>
      </c>
      <c r="CE13" s="752" t="e">
        <f t="shared" si="36"/>
        <v>#N/A</v>
      </c>
      <c r="CF13" s="752" t="e">
        <f t="shared" si="36"/>
        <v>#N/A</v>
      </c>
      <c r="CG13" s="752" t="e">
        <f t="shared" si="36"/>
        <v>#N/A</v>
      </c>
      <c r="CH13" s="752" t="e">
        <f t="shared" si="36"/>
        <v>#N/A</v>
      </c>
      <c r="CI13" s="752" t="e">
        <f t="shared" si="36"/>
        <v>#N/A</v>
      </c>
      <c r="CJ13" s="752" t="e">
        <f t="shared" si="36"/>
        <v>#N/A</v>
      </c>
      <c r="CK13" s="752" t="e">
        <f t="shared" si="36"/>
        <v>#N/A</v>
      </c>
      <c r="CL13" s="752" t="e">
        <f t="shared" si="36"/>
        <v>#N/A</v>
      </c>
      <c r="CM13" s="752" t="e">
        <f t="shared" si="36"/>
        <v>#N/A</v>
      </c>
      <c r="CN13" s="752" t="e">
        <f t="shared" si="36"/>
        <v>#N/A</v>
      </c>
      <c r="CO13" s="752" t="e">
        <f t="shared" si="36"/>
        <v>#N/A</v>
      </c>
      <c r="CP13" s="752" t="e">
        <f t="shared" si="36"/>
        <v>#N/A</v>
      </c>
      <c r="CQ13" s="752" t="e">
        <f t="shared" si="36"/>
        <v>#N/A</v>
      </c>
      <c r="CR13" s="752" t="e">
        <f t="shared" si="36"/>
        <v>#N/A</v>
      </c>
      <c r="CS13" s="752" t="e">
        <f t="shared" si="36"/>
        <v>#N/A</v>
      </c>
      <c r="CT13" s="752" t="e">
        <f t="shared" si="36"/>
        <v>#N/A</v>
      </c>
      <c r="CU13" s="752" t="e">
        <f t="shared" si="36"/>
        <v>#N/A</v>
      </c>
      <c r="CV13" s="752" t="e">
        <f t="shared" si="36"/>
        <v>#N/A</v>
      </c>
      <c r="CW13" s="752" t="e">
        <f t="shared" si="36"/>
        <v>#N/A</v>
      </c>
      <c r="CX13" s="768" t="e">
        <f t="shared" si="36"/>
        <v>#N/A</v>
      </c>
      <c r="CY13" s="752" t="e">
        <f t="shared" ref="CY13:DT13" si="37">IF(SerieÅR&lt;=SisteStatistikkÅr,LOOKUP(SerieÅR,StatistikkOgPrognoseÅr,BNPIndeks)/LOOKUP(SisteStatistikkÅr,StatistikkOgPrognoseÅr,BNPIndeks),IF(SerieÅR&lt;=SisteÅrMedRealprisvekst,CX13*(1+LOOKUP(SerieÅR,StatistikkOgPrognoseÅr,PrognoseRealpris)),CX13))</f>
        <v>#N/A</v>
      </c>
      <c r="CZ13" s="752" t="e">
        <f t="shared" si="37"/>
        <v>#N/A</v>
      </c>
      <c r="DA13" s="752" t="e">
        <f t="shared" si="37"/>
        <v>#N/A</v>
      </c>
      <c r="DB13" s="752" t="e">
        <f t="shared" si="37"/>
        <v>#N/A</v>
      </c>
      <c r="DC13" s="752" t="e">
        <f t="shared" si="37"/>
        <v>#N/A</v>
      </c>
      <c r="DD13" s="752" t="e">
        <f t="shared" si="37"/>
        <v>#N/A</v>
      </c>
      <c r="DE13" s="752" t="e">
        <f t="shared" si="37"/>
        <v>#N/A</v>
      </c>
      <c r="DF13" s="752" t="e">
        <f t="shared" si="37"/>
        <v>#N/A</v>
      </c>
      <c r="DG13" s="752" t="e">
        <f t="shared" si="37"/>
        <v>#N/A</v>
      </c>
      <c r="DH13" s="752" t="e">
        <f t="shared" si="37"/>
        <v>#N/A</v>
      </c>
      <c r="DI13" s="752" t="e">
        <f t="shared" si="37"/>
        <v>#N/A</v>
      </c>
      <c r="DJ13" s="752" t="e">
        <f t="shared" si="37"/>
        <v>#N/A</v>
      </c>
      <c r="DK13" s="752" t="e">
        <f t="shared" si="37"/>
        <v>#N/A</v>
      </c>
      <c r="DL13" s="752" t="e">
        <f t="shared" si="37"/>
        <v>#N/A</v>
      </c>
      <c r="DM13" s="752" t="e">
        <f t="shared" si="37"/>
        <v>#N/A</v>
      </c>
      <c r="DN13" s="752" t="e">
        <f t="shared" si="37"/>
        <v>#N/A</v>
      </c>
      <c r="DO13" s="752" t="e">
        <f t="shared" si="37"/>
        <v>#N/A</v>
      </c>
      <c r="DP13" s="752" t="e">
        <f t="shared" si="37"/>
        <v>#N/A</v>
      </c>
      <c r="DQ13" s="752" t="e">
        <f t="shared" si="37"/>
        <v>#N/A</v>
      </c>
      <c r="DR13" s="752" t="e">
        <f t="shared" si="37"/>
        <v>#N/A</v>
      </c>
      <c r="DS13" s="752" t="e">
        <f t="shared" si="37"/>
        <v>#N/A</v>
      </c>
      <c r="DT13" s="752" t="e">
        <f t="shared" si="37"/>
        <v>#N/A</v>
      </c>
      <c r="DU13" s="752" t="e">
        <f t="shared" ref="DU13:DW13" si="38">IF(SerieÅR&lt;=SisteStatistikkÅr,LOOKUP(SerieÅR,StatistikkOgPrognoseÅr,BNPIndeks)/LOOKUP(SisteStatistikkÅr,StatistikkOgPrognoseÅr,BNPIndeks),IF(SerieÅR&lt;=SisteÅrMedRealprisvekst,DT13*(1+LOOKUP(SerieÅR,StatistikkOgPrognoseÅr,PrognoseRealpris)),DT13))</f>
        <v>#N/A</v>
      </c>
      <c r="DV13" s="752" t="e">
        <f t="shared" si="38"/>
        <v>#N/A</v>
      </c>
      <c r="DW13" s="753" t="e">
        <f t="shared" si="38"/>
        <v>#N/A</v>
      </c>
    </row>
    <row r="14" spans="1:127" x14ac:dyDescent="0.35">
      <c r="A14" s="287"/>
      <c r="B14" s="65" t="s">
        <v>1387</v>
      </c>
      <c r="C14" s="65"/>
      <c r="D14" s="65"/>
      <c r="E14" s="217"/>
      <c r="G14" s="218" t="s">
        <v>1390</v>
      </c>
      <c r="H14" s="65"/>
      <c r="I14" s="65"/>
      <c r="J14" s="65"/>
      <c r="K14" s="65"/>
      <c r="L14" s="65"/>
      <c r="M14" s="65"/>
      <c r="N14" s="65"/>
      <c r="O14" s="65"/>
      <c r="P14" s="65"/>
      <c r="Q14" s="754">
        <v>1</v>
      </c>
      <c r="R14" s="752" t="e">
        <f t="shared" ref="R14:AW14" si="39">IF(SerieÅR&lt;=Tidskostnader_Kroneår,LOOKUP(SerieÅR,StatistikkOgPrognoseÅr,Lønnskostnadsindeks)/LOOKUP(Tidskostnader_Kroneår,StatistikkOgPrognoseÅr,Lønnskostnadsindeks),IF(SerieÅR&lt;=SisteÅrMedRealprisvekst,Q14*(1+LOOKUP(SerieÅR,StatistikkOgPrognoseÅr,PrognoseRealpris)),Q14))</f>
        <v>#N/A</v>
      </c>
      <c r="S14" s="752" t="e">
        <f t="shared" si="39"/>
        <v>#N/A</v>
      </c>
      <c r="T14" s="752" t="e">
        <f t="shared" si="39"/>
        <v>#N/A</v>
      </c>
      <c r="U14" s="752" t="e">
        <f t="shared" si="39"/>
        <v>#N/A</v>
      </c>
      <c r="V14" s="752" t="e">
        <f t="shared" si="39"/>
        <v>#N/A</v>
      </c>
      <c r="W14" s="752" t="e">
        <f t="shared" si="39"/>
        <v>#N/A</v>
      </c>
      <c r="X14" s="752" t="e">
        <f t="shared" si="39"/>
        <v>#N/A</v>
      </c>
      <c r="Y14" s="752" t="e">
        <f t="shared" si="39"/>
        <v>#N/A</v>
      </c>
      <c r="Z14" s="752" t="e">
        <f t="shared" si="39"/>
        <v>#N/A</v>
      </c>
      <c r="AA14" s="752" t="e">
        <f t="shared" si="39"/>
        <v>#N/A</v>
      </c>
      <c r="AB14" s="752" t="e">
        <f t="shared" si="39"/>
        <v>#N/A</v>
      </c>
      <c r="AC14" s="752" t="e">
        <f t="shared" si="39"/>
        <v>#N/A</v>
      </c>
      <c r="AD14" s="752" t="e">
        <f t="shared" si="39"/>
        <v>#N/A</v>
      </c>
      <c r="AE14" s="752" t="e">
        <f t="shared" si="39"/>
        <v>#N/A</v>
      </c>
      <c r="AF14" s="752" t="e">
        <f t="shared" si="39"/>
        <v>#N/A</v>
      </c>
      <c r="AG14" s="752" t="e">
        <f t="shared" si="39"/>
        <v>#N/A</v>
      </c>
      <c r="AH14" s="752" t="e">
        <f t="shared" si="39"/>
        <v>#N/A</v>
      </c>
      <c r="AI14" s="752" t="e">
        <f t="shared" si="39"/>
        <v>#N/A</v>
      </c>
      <c r="AJ14" s="752" t="e">
        <f t="shared" si="39"/>
        <v>#N/A</v>
      </c>
      <c r="AK14" s="752" t="e">
        <f t="shared" si="39"/>
        <v>#N/A</v>
      </c>
      <c r="AL14" s="752" t="e">
        <f t="shared" si="39"/>
        <v>#N/A</v>
      </c>
      <c r="AM14" s="752" t="e">
        <f t="shared" si="39"/>
        <v>#N/A</v>
      </c>
      <c r="AN14" s="752" t="e">
        <f t="shared" si="39"/>
        <v>#N/A</v>
      </c>
      <c r="AO14" s="752" t="e">
        <f t="shared" si="39"/>
        <v>#N/A</v>
      </c>
      <c r="AP14" s="752" t="e">
        <f t="shared" si="39"/>
        <v>#N/A</v>
      </c>
      <c r="AQ14" s="752" t="e">
        <f t="shared" si="39"/>
        <v>#N/A</v>
      </c>
      <c r="AR14" s="752" t="e">
        <f t="shared" si="39"/>
        <v>#N/A</v>
      </c>
      <c r="AS14" s="752" t="e">
        <f t="shared" si="39"/>
        <v>#N/A</v>
      </c>
      <c r="AT14" s="752" t="e">
        <f t="shared" si="39"/>
        <v>#N/A</v>
      </c>
      <c r="AU14" s="752" t="e">
        <f t="shared" si="39"/>
        <v>#N/A</v>
      </c>
      <c r="AV14" s="752" t="e">
        <f t="shared" si="39"/>
        <v>#N/A</v>
      </c>
      <c r="AW14" s="752" t="e">
        <f t="shared" si="39"/>
        <v>#N/A</v>
      </c>
      <c r="AX14" s="752" t="e">
        <f t="shared" ref="AX14:CC14" si="40">IF(SerieÅR&lt;=Tidskostnader_Kroneår,LOOKUP(SerieÅR,StatistikkOgPrognoseÅr,Lønnskostnadsindeks)/LOOKUP(Tidskostnader_Kroneår,StatistikkOgPrognoseÅr,Lønnskostnadsindeks),IF(SerieÅR&lt;=SisteÅrMedRealprisvekst,AW14*(1+LOOKUP(SerieÅR,StatistikkOgPrognoseÅr,PrognoseRealpris)),AW14))</f>
        <v>#N/A</v>
      </c>
      <c r="AY14" s="752" t="e">
        <f t="shared" si="40"/>
        <v>#N/A</v>
      </c>
      <c r="AZ14" s="752" t="e">
        <f t="shared" si="40"/>
        <v>#N/A</v>
      </c>
      <c r="BA14" s="752" t="e">
        <f t="shared" si="40"/>
        <v>#N/A</v>
      </c>
      <c r="BB14" s="752" t="e">
        <f t="shared" si="40"/>
        <v>#N/A</v>
      </c>
      <c r="BC14" s="752" t="e">
        <f t="shared" si="40"/>
        <v>#N/A</v>
      </c>
      <c r="BD14" s="752" t="e">
        <f t="shared" si="40"/>
        <v>#N/A</v>
      </c>
      <c r="BE14" s="752" t="e">
        <f t="shared" si="40"/>
        <v>#N/A</v>
      </c>
      <c r="BF14" s="752" t="e">
        <f t="shared" si="40"/>
        <v>#N/A</v>
      </c>
      <c r="BG14" s="752" t="e">
        <f t="shared" si="40"/>
        <v>#N/A</v>
      </c>
      <c r="BH14" s="752" t="e">
        <f t="shared" si="40"/>
        <v>#N/A</v>
      </c>
      <c r="BI14" s="752" t="e">
        <f t="shared" si="40"/>
        <v>#N/A</v>
      </c>
      <c r="BJ14" s="752" t="e">
        <f t="shared" si="40"/>
        <v>#N/A</v>
      </c>
      <c r="BK14" s="752" t="e">
        <f t="shared" si="40"/>
        <v>#N/A</v>
      </c>
      <c r="BL14" s="752" t="e">
        <f t="shared" si="40"/>
        <v>#N/A</v>
      </c>
      <c r="BM14" s="752" t="e">
        <f t="shared" si="40"/>
        <v>#N/A</v>
      </c>
      <c r="BN14" s="752" t="e">
        <f t="shared" si="40"/>
        <v>#N/A</v>
      </c>
      <c r="BO14" s="752" t="e">
        <f t="shared" si="40"/>
        <v>#N/A</v>
      </c>
      <c r="BP14" s="752" t="e">
        <f t="shared" si="40"/>
        <v>#N/A</v>
      </c>
      <c r="BQ14" s="752" t="e">
        <f t="shared" si="40"/>
        <v>#N/A</v>
      </c>
      <c r="BR14" s="752" t="e">
        <f t="shared" si="40"/>
        <v>#N/A</v>
      </c>
      <c r="BS14" s="752" t="e">
        <f t="shared" si="40"/>
        <v>#N/A</v>
      </c>
      <c r="BT14" s="752" t="e">
        <f t="shared" si="40"/>
        <v>#N/A</v>
      </c>
      <c r="BU14" s="752" t="e">
        <f t="shared" si="40"/>
        <v>#N/A</v>
      </c>
      <c r="BV14" s="752" t="e">
        <f t="shared" si="40"/>
        <v>#N/A</v>
      </c>
      <c r="BW14" s="752" t="e">
        <f t="shared" si="40"/>
        <v>#N/A</v>
      </c>
      <c r="BX14" s="752" t="e">
        <f t="shared" si="40"/>
        <v>#N/A</v>
      </c>
      <c r="BY14" s="752" t="e">
        <f t="shared" si="40"/>
        <v>#N/A</v>
      </c>
      <c r="BZ14" s="752" t="e">
        <f t="shared" si="40"/>
        <v>#N/A</v>
      </c>
      <c r="CA14" s="752" t="e">
        <f t="shared" si="40"/>
        <v>#N/A</v>
      </c>
      <c r="CB14" s="752" t="e">
        <f t="shared" si="40"/>
        <v>#N/A</v>
      </c>
      <c r="CC14" s="752" t="e">
        <f t="shared" si="40"/>
        <v>#N/A</v>
      </c>
      <c r="CD14" s="752" t="e">
        <f t="shared" ref="CD14:CX14" si="41">IF(SerieÅR&lt;=Tidskostnader_Kroneår,LOOKUP(SerieÅR,StatistikkOgPrognoseÅr,Lønnskostnadsindeks)/LOOKUP(Tidskostnader_Kroneår,StatistikkOgPrognoseÅr,Lønnskostnadsindeks),IF(SerieÅR&lt;=SisteÅrMedRealprisvekst,CC14*(1+LOOKUP(SerieÅR,StatistikkOgPrognoseÅr,PrognoseRealpris)),CC14))</f>
        <v>#N/A</v>
      </c>
      <c r="CE14" s="752" t="e">
        <f t="shared" si="41"/>
        <v>#N/A</v>
      </c>
      <c r="CF14" s="752" t="e">
        <f t="shared" si="41"/>
        <v>#N/A</v>
      </c>
      <c r="CG14" s="752" t="e">
        <f t="shared" si="41"/>
        <v>#N/A</v>
      </c>
      <c r="CH14" s="752" t="e">
        <f t="shared" si="41"/>
        <v>#N/A</v>
      </c>
      <c r="CI14" s="752" t="e">
        <f t="shared" si="41"/>
        <v>#N/A</v>
      </c>
      <c r="CJ14" s="752" t="e">
        <f t="shared" si="41"/>
        <v>#N/A</v>
      </c>
      <c r="CK14" s="752" t="e">
        <f t="shared" si="41"/>
        <v>#N/A</v>
      </c>
      <c r="CL14" s="752" t="e">
        <f t="shared" si="41"/>
        <v>#N/A</v>
      </c>
      <c r="CM14" s="752" t="e">
        <f t="shared" si="41"/>
        <v>#N/A</v>
      </c>
      <c r="CN14" s="752" t="e">
        <f t="shared" si="41"/>
        <v>#N/A</v>
      </c>
      <c r="CO14" s="752" t="e">
        <f t="shared" si="41"/>
        <v>#N/A</v>
      </c>
      <c r="CP14" s="752" t="e">
        <f t="shared" si="41"/>
        <v>#N/A</v>
      </c>
      <c r="CQ14" s="752" t="e">
        <f t="shared" si="41"/>
        <v>#N/A</v>
      </c>
      <c r="CR14" s="752" t="e">
        <f t="shared" si="41"/>
        <v>#N/A</v>
      </c>
      <c r="CS14" s="752" t="e">
        <f t="shared" si="41"/>
        <v>#N/A</v>
      </c>
      <c r="CT14" s="752" t="e">
        <f t="shared" si="41"/>
        <v>#N/A</v>
      </c>
      <c r="CU14" s="752" t="e">
        <f t="shared" si="41"/>
        <v>#N/A</v>
      </c>
      <c r="CV14" s="752" t="e">
        <f t="shared" si="41"/>
        <v>#N/A</v>
      </c>
      <c r="CW14" s="752" t="e">
        <f t="shared" si="41"/>
        <v>#N/A</v>
      </c>
      <c r="CX14" s="768" t="e">
        <f t="shared" si="41"/>
        <v>#N/A</v>
      </c>
      <c r="CY14" s="752" t="e">
        <f t="shared" ref="CY14" si="42">IF(SerieÅR&lt;=Tidskostnader_Kroneår,LOOKUP(SerieÅR,StatistikkOgPrognoseÅr,Lønnskostnadsindeks)/LOOKUP(Tidskostnader_Kroneår,StatistikkOgPrognoseÅr,Lønnskostnadsindeks),IF(SerieÅR&lt;=SisteÅrMedRealprisvekst,CX14*(1+LOOKUP(SerieÅR,StatistikkOgPrognoseÅr,PrognoseRealpris)),CX14))</f>
        <v>#N/A</v>
      </c>
      <c r="CZ14" s="752" t="e">
        <f t="shared" ref="CZ14" si="43">IF(SerieÅR&lt;=Tidskostnader_Kroneår,LOOKUP(SerieÅR,StatistikkOgPrognoseÅr,Lønnskostnadsindeks)/LOOKUP(Tidskostnader_Kroneår,StatistikkOgPrognoseÅr,Lønnskostnadsindeks),IF(SerieÅR&lt;=SisteÅrMedRealprisvekst,CY14*(1+LOOKUP(SerieÅR,StatistikkOgPrognoseÅr,PrognoseRealpris)),CY14))</f>
        <v>#N/A</v>
      </c>
      <c r="DA14" s="752" t="e">
        <f t="shared" ref="DA14" si="44">IF(SerieÅR&lt;=Tidskostnader_Kroneår,LOOKUP(SerieÅR,StatistikkOgPrognoseÅr,Lønnskostnadsindeks)/LOOKUP(Tidskostnader_Kroneår,StatistikkOgPrognoseÅr,Lønnskostnadsindeks),IF(SerieÅR&lt;=SisteÅrMedRealprisvekst,CZ14*(1+LOOKUP(SerieÅR,StatistikkOgPrognoseÅr,PrognoseRealpris)),CZ14))</f>
        <v>#N/A</v>
      </c>
      <c r="DB14" s="752" t="e">
        <f t="shared" ref="DB14" si="45">IF(SerieÅR&lt;=Tidskostnader_Kroneår,LOOKUP(SerieÅR,StatistikkOgPrognoseÅr,Lønnskostnadsindeks)/LOOKUP(Tidskostnader_Kroneår,StatistikkOgPrognoseÅr,Lønnskostnadsindeks),IF(SerieÅR&lt;=SisteÅrMedRealprisvekst,DA14*(1+LOOKUP(SerieÅR,StatistikkOgPrognoseÅr,PrognoseRealpris)),DA14))</f>
        <v>#N/A</v>
      </c>
      <c r="DC14" s="752" t="e">
        <f t="shared" ref="DC14" si="46">IF(SerieÅR&lt;=Tidskostnader_Kroneår,LOOKUP(SerieÅR,StatistikkOgPrognoseÅr,Lønnskostnadsindeks)/LOOKUP(Tidskostnader_Kroneår,StatistikkOgPrognoseÅr,Lønnskostnadsindeks),IF(SerieÅR&lt;=SisteÅrMedRealprisvekst,DB14*(1+LOOKUP(SerieÅR,StatistikkOgPrognoseÅr,PrognoseRealpris)),DB14))</f>
        <v>#N/A</v>
      </c>
      <c r="DD14" s="752" t="e">
        <f t="shared" ref="DD14" si="47">IF(SerieÅR&lt;=Tidskostnader_Kroneår,LOOKUP(SerieÅR,StatistikkOgPrognoseÅr,Lønnskostnadsindeks)/LOOKUP(Tidskostnader_Kroneår,StatistikkOgPrognoseÅr,Lønnskostnadsindeks),IF(SerieÅR&lt;=SisteÅrMedRealprisvekst,DC14*(1+LOOKUP(SerieÅR,StatistikkOgPrognoseÅr,PrognoseRealpris)),DC14))</f>
        <v>#N/A</v>
      </c>
      <c r="DE14" s="752" t="e">
        <f t="shared" ref="DE14" si="48">IF(SerieÅR&lt;=Tidskostnader_Kroneår,LOOKUP(SerieÅR,StatistikkOgPrognoseÅr,Lønnskostnadsindeks)/LOOKUP(Tidskostnader_Kroneår,StatistikkOgPrognoseÅr,Lønnskostnadsindeks),IF(SerieÅR&lt;=SisteÅrMedRealprisvekst,DD14*(1+LOOKUP(SerieÅR,StatistikkOgPrognoseÅr,PrognoseRealpris)),DD14))</f>
        <v>#N/A</v>
      </c>
      <c r="DF14" s="752" t="e">
        <f t="shared" ref="DF14" si="49">IF(SerieÅR&lt;=Tidskostnader_Kroneår,LOOKUP(SerieÅR,StatistikkOgPrognoseÅr,Lønnskostnadsindeks)/LOOKUP(Tidskostnader_Kroneår,StatistikkOgPrognoseÅr,Lønnskostnadsindeks),IF(SerieÅR&lt;=SisteÅrMedRealprisvekst,DE14*(1+LOOKUP(SerieÅR,StatistikkOgPrognoseÅr,PrognoseRealpris)),DE14))</f>
        <v>#N/A</v>
      </c>
      <c r="DG14" s="752" t="e">
        <f t="shared" ref="DG14" si="50">IF(SerieÅR&lt;=Tidskostnader_Kroneår,LOOKUP(SerieÅR,StatistikkOgPrognoseÅr,Lønnskostnadsindeks)/LOOKUP(Tidskostnader_Kroneår,StatistikkOgPrognoseÅr,Lønnskostnadsindeks),IF(SerieÅR&lt;=SisteÅrMedRealprisvekst,DF14*(1+LOOKUP(SerieÅR,StatistikkOgPrognoseÅr,PrognoseRealpris)),DF14))</f>
        <v>#N/A</v>
      </c>
      <c r="DH14" s="752" t="e">
        <f t="shared" ref="DH14" si="51">IF(SerieÅR&lt;=Tidskostnader_Kroneår,LOOKUP(SerieÅR,StatistikkOgPrognoseÅr,Lønnskostnadsindeks)/LOOKUP(Tidskostnader_Kroneår,StatistikkOgPrognoseÅr,Lønnskostnadsindeks),IF(SerieÅR&lt;=SisteÅrMedRealprisvekst,DG14*(1+LOOKUP(SerieÅR,StatistikkOgPrognoseÅr,PrognoseRealpris)),DG14))</f>
        <v>#N/A</v>
      </c>
      <c r="DI14" s="752" t="e">
        <f t="shared" ref="DI14" si="52">IF(SerieÅR&lt;=Tidskostnader_Kroneår,LOOKUP(SerieÅR,StatistikkOgPrognoseÅr,Lønnskostnadsindeks)/LOOKUP(Tidskostnader_Kroneår,StatistikkOgPrognoseÅr,Lønnskostnadsindeks),IF(SerieÅR&lt;=SisteÅrMedRealprisvekst,DH14*(1+LOOKUP(SerieÅR,StatistikkOgPrognoseÅr,PrognoseRealpris)),DH14))</f>
        <v>#N/A</v>
      </c>
      <c r="DJ14" s="752" t="e">
        <f t="shared" ref="DJ14" si="53">IF(SerieÅR&lt;=Tidskostnader_Kroneår,LOOKUP(SerieÅR,StatistikkOgPrognoseÅr,Lønnskostnadsindeks)/LOOKUP(Tidskostnader_Kroneår,StatistikkOgPrognoseÅr,Lønnskostnadsindeks),IF(SerieÅR&lt;=SisteÅrMedRealprisvekst,DI14*(1+LOOKUP(SerieÅR,StatistikkOgPrognoseÅr,PrognoseRealpris)),DI14))</f>
        <v>#N/A</v>
      </c>
      <c r="DK14" s="752" t="e">
        <f t="shared" ref="DK14" si="54">IF(SerieÅR&lt;=Tidskostnader_Kroneår,LOOKUP(SerieÅR,StatistikkOgPrognoseÅr,Lønnskostnadsindeks)/LOOKUP(Tidskostnader_Kroneår,StatistikkOgPrognoseÅr,Lønnskostnadsindeks),IF(SerieÅR&lt;=SisteÅrMedRealprisvekst,DJ14*(1+LOOKUP(SerieÅR,StatistikkOgPrognoseÅr,PrognoseRealpris)),DJ14))</f>
        <v>#N/A</v>
      </c>
      <c r="DL14" s="752" t="e">
        <f t="shared" ref="DL14" si="55">IF(SerieÅR&lt;=Tidskostnader_Kroneår,LOOKUP(SerieÅR,StatistikkOgPrognoseÅr,Lønnskostnadsindeks)/LOOKUP(Tidskostnader_Kroneår,StatistikkOgPrognoseÅr,Lønnskostnadsindeks),IF(SerieÅR&lt;=SisteÅrMedRealprisvekst,DK14*(1+LOOKUP(SerieÅR,StatistikkOgPrognoseÅr,PrognoseRealpris)),DK14))</f>
        <v>#N/A</v>
      </c>
      <c r="DM14" s="752" t="e">
        <f t="shared" ref="DM14" si="56">IF(SerieÅR&lt;=Tidskostnader_Kroneår,LOOKUP(SerieÅR,StatistikkOgPrognoseÅr,Lønnskostnadsindeks)/LOOKUP(Tidskostnader_Kroneår,StatistikkOgPrognoseÅr,Lønnskostnadsindeks),IF(SerieÅR&lt;=SisteÅrMedRealprisvekst,DL14*(1+LOOKUP(SerieÅR,StatistikkOgPrognoseÅr,PrognoseRealpris)),DL14))</f>
        <v>#N/A</v>
      </c>
      <c r="DN14" s="752" t="e">
        <f t="shared" ref="DN14" si="57">IF(SerieÅR&lt;=Tidskostnader_Kroneår,LOOKUP(SerieÅR,StatistikkOgPrognoseÅr,Lønnskostnadsindeks)/LOOKUP(Tidskostnader_Kroneår,StatistikkOgPrognoseÅr,Lønnskostnadsindeks),IF(SerieÅR&lt;=SisteÅrMedRealprisvekst,DM14*(1+LOOKUP(SerieÅR,StatistikkOgPrognoseÅr,PrognoseRealpris)),DM14))</f>
        <v>#N/A</v>
      </c>
      <c r="DO14" s="752" t="e">
        <f t="shared" ref="DO14" si="58">IF(SerieÅR&lt;=Tidskostnader_Kroneår,LOOKUP(SerieÅR,StatistikkOgPrognoseÅr,Lønnskostnadsindeks)/LOOKUP(Tidskostnader_Kroneår,StatistikkOgPrognoseÅr,Lønnskostnadsindeks),IF(SerieÅR&lt;=SisteÅrMedRealprisvekst,DN14*(1+LOOKUP(SerieÅR,StatistikkOgPrognoseÅr,PrognoseRealpris)),DN14))</f>
        <v>#N/A</v>
      </c>
      <c r="DP14" s="752" t="e">
        <f t="shared" ref="DP14" si="59">IF(SerieÅR&lt;=Tidskostnader_Kroneår,LOOKUP(SerieÅR,StatistikkOgPrognoseÅr,Lønnskostnadsindeks)/LOOKUP(Tidskostnader_Kroneår,StatistikkOgPrognoseÅr,Lønnskostnadsindeks),IF(SerieÅR&lt;=SisteÅrMedRealprisvekst,DO14*(1+LOOKUP(SerieÅR,StatistikkOgPrognoseÅr,PrognoseRealpris)),DO14))</f>
        <v>#N/A</v>
      </c>
      <c r="DQ14" s="752" t="e">
        <f t="shared" ref="DQ14" si="60">IF(SerieÅR&lt;=Tidskostnader_Kroneår,LOOKUP(SerieÅR,StatistikkOgPrognoseÅr,Lønnskostnadsindeks)/LOOKUP(Tidskostnader_Kroneår,StatistikkOgPrognoseÅr,Lønnskostnadsindeks),IF(SerieÅR&lt;=SisteÅrMedRealprisvekst,DP14*(1+LOOKUP(SerieÅR,StatistikkOgPrognoseÅr,PrognoseRealpris)),DP14))</f>
        <v>#N/A</v>
      </c>
      <c r="DR14" s="752" t="e">
        <f t="shared" ref="DR14" si="61">IF(SerieÅR&lt;=Tidskostnader_Kroneår,LOOKUP(SerieÅR,StatistikkOgPrognoseÅr,Lønnskostnadsindeks)/LOOKUP(Tidskostnader_Kroneår,StatistikkOgPrognoseÅr,Lønnskostnadsindeks),IF(SerieÅR&lt;=SisteÅrMedRealprisvekst,DQ14*(1+LOOKUP(SerieÅR,StatistikkOgPrognoseÅr,PrognoseRealpris)),DQ14))</f>
        <v>#N/A</v>
      </c>
      <c r="DS14" s="752" t="e">
        <f t="shared" ref="DS14" si="62">IF(SerieÅR&lt;=Tidskostnader_Kroneår,LOOKUP(SerieÅR,StatistikkOgPrognoseÅr,Lønnskostnadsindeks)/LOOKUP(Tidskostnader_Kroneår,StatistikkOgPrognoseÅr,Lønnskostnadsindeks),IF(SerieÅR&lt;=SisteÅrMedRealprisvekst,DR14*(1+LOOKUP(SerieÅR,StatistikkOgPrognoseÅr,PrognoseRealpris)),DR14))</f>
        <v>#N/A</v>
      </c>
      <c r="DT14" s="752" t="e">
        <f t="shared" ref="DT14" si="63">IF(SerieÅR&lt;=Tidskostnader_Kroneår,LOOKUP(SerieÅR,StatistikkOgPrognoseÅr,Lønnskostnadsindeks)/LOOKUP(Tidskostnader_Kroneår,StatistikkOgPrognoseÅr,Lønnskostnadsindeks),IF(SerieÅR&lt;=SisteÅrMedRealprisvekst,DS14*(1+LOOKUP(SerieÅR,StatistikkOgPrognoseÅr,PrognoseRealpris)),DS14))</f>
        <v>#N/A</v>
      </c>
      <c r="DU14" s="752" t="e">
        <f t="shared" ref="DU14" si="64">IF(SerieÅR&lt;=Tidskostnader_Kroneår,LOOKUP(SerieÅR,StatistikkOgPrognoseÅr,Lønnskostnadsindeks)/LOOKUP(Tidskostnader_Kroneår,StatistikkOgPrognoseÅr,Lønnskostnadsindeks),IF(SerieÅR&lt;=SisteÅrMedRealprisvekst,DT14*(1+LOOKUP(SerieÅR,StatistikkOgPrognoseÅr,PrognoseRealpris)),DT14))</f>
        <v>#N/A</v>
      </c>
      <c r="DV14" s="752" t="e">
        <f t="shared" ref="DV14" si="65">IF(SerieÅR&lt;=Tidskostnader_Kroneår,LOOKUP(SerieÅR,StatistikkOgPrognoseÅr,Lønnskostnadsindeks)/LOOKUP(Tidskostnader_Kroneår,StatistikkOgPrognoseÅr,Lønnskostnadsindeks),IF(SerieÅR&lt;=SisteÅrMedRealprisvekst,DU14*(1+LOOKUP(SerieÅR,StatistikkOgPrognoseÅr,PrognoseRealpris)),DU14))</f>
        <v>#N/A</v>
      </c>
      <c r="DW14" s="753" t="e">
        <f t="shared" ref="DW14" si="66">IF(SerieÅR&lt;=Tidskostnader_Kroneår,LOOKUP(SerieÅR,StatistikkOgPrognoseÅr,Lønnskostnadsindeks)/LOOKUP(Tidskostnader_Kroneår,StatistikkOgPrognoseÅr,Lønnskostnadsindeks),IF(SerieÅR&lt;=SisteÅrMedRealprisvekst,DV14*(1+LOOKUP(SerieÅR,StatistikkOgPrognoseÅr,PrognoseRealpris)),DV14))</f>
        <v>#N/A</v>
      </c>
    </row>
    <row r="15" spans="1:127" s="6" customFormat="1" x14ac:dyDescent="0.35">
      <c r="A15" s="275"/>
      <c r="B15" s="65" t="s">
        <v>1387</v>
      </c>
      <c r="C15" s="92"/>
      <c r="D15" s="101"/>
      <c r="E15" s="217"/>
      <c r="F15" s="511"/>
      <c r="G15" s="218" t="str">
        <f>"Karbonprisbane ("&amp;SisteStatistikkÅr&amp;"-kr) (kr/tonn)"</f>
        <v>Karbonprisbane (2025-kr) (kr/tonn)</v>
      </c>
      <c r="H15" s="65"/>
      <c r="I15" s="65"/>
      <c r="J15" s="65"/>
      <c r="K15" s="65"/>
      <c r="L15" s="65"/>
      <c r="M15" s="65"/>
      <c r="N15" s="65"/>
      <c r="O15" s="65"/>
      <c r="P15" s="65"/>
      <c r="Q15" s="65"/>
      <c r="R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S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T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U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V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W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X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Y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Z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AA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AB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AC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AD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AE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AF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AG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AH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AI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AJ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AK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AL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AM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AN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AO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AP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AQ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AR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AS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AT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AU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AV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AW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AX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AY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AZ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BA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BB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BC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BD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BE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BF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BG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BH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BI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BJ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BK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BL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BM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BN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BO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BP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BQ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BR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BS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BT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BU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BV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BW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BX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BY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BZ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CA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CB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CC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CD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CE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CF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CG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CH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CI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CJ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CK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CL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CM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CN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CO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CP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CQ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CR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CS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CT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CU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CV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CW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CX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CY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CZ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DA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DB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DC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DD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DE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DF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DG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DH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DI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DJ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DK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DL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DM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DN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DO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DP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DQ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DR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DS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DT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DU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DV15" s="752"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c r="DW15" s="753" t="e">
        <f>IF(LOOKUP(SerieÅR,StatistikkOgPrognoseÅr,SerieKarbonprisbane_Hovedalternativ)="",$AF$95,IF('1.2 Forutsetninger'!$C$97="Hovedalternativ", LOOKUP(SerieÅR,StatistikkOgPrognoseÅr,SerieKarbonprisbane_Hovedalternativ), IF('1.2 Forutsetninger'!$C$97="Lavt alternativ",LOOKUP(SerieÅR,StatistikkOgPrognoseÅr,Seriekarbonprisbane_Hovedalternativlav), IF('1.2 Forutsetninger'!$C$97="Høyt alternativ",LOOKUP(SerieÅR,StatistikkOgPrognoseÅr,SerieKarbonprisbane_Hovedalternativhoy)))))/LOOKUP($H$95,StatistikkOgPrognoseÅr,KPIIndeks)</f>
        <v>#N/A</v>
      </c>
    </row>
    <row r="16" spans="1:127" s="6" customFormat="1" x14ac:dyDescent="0.35">
      <c r="A16" s="275"/>
      <c r="B16" s="65" t="s">
        <v>1387</v>
      </c>
      <c r="C16" s="92"/>
      <c r="D16" s="101"/>
      <c r="E16" s="217"/>
      <c r="F16" s="511"/>
      <c r="G16" s="218" t="str">
        <f>"Karbonprisbane lav ("&amp;SisteStatistikkÅr&amp;"-kr) (kr/tonn)"</f>
        <v>Karbonprisbane lav (2025-kr) (kr/tonn)</v>
      </c>
      <c r="H16" s="65"/>
      <c r="I16" s="65"/>
      <c r="J16" s="65"/>
      <c r="K16" s="65"/>
      <c r="L16" s="65"/>
      <c r="M16" s="65"/>
      <c r="N16" s="65"/>
      <c r="O16" s="65"/>
      <c r="P16" s="65"/>
      <c r="Q16" s="65"/>
      <c r="R16" s="752" t="e">
        <f t="shared" ref="R16:AW16" si="67">IF(LOOKUP(SerieÅR,StatistikkOgPrognoseÅr,Seriekarbonprisbane_Hovedalternativlav)="",$AF$96,LOOKUP(SerieÅR,StatistikkOgPrognoseÅr,Seriekarbonprisbane_Hovedalternativlav))/LOOKUP($H$96,StatistikkOgPrognoseÅr,KPIIndeks)</f>
        <v>#N/A</v>
      </c>
      <c r="S16" s="752" t="e">
        <f t="shared" si="67"/>
        <v>#N/A</v>
      </c>
      <c r="T16" s="752" t="e">
        <f t="shared" si="67"/>
        <v>#N/A</v>
      </c>
      <c r="U16" s="752" t="e">
        <f t="shared" si="67"/>
        <v>#N/A</v>
      </c>
      <c r="V16" s="752" t="e">
        <f t="shared" si="67"/>
        <v>#N/A</v>
      </c>
      <c r="W16" s="752" t="e">
        <f t="shared" si="67"/>
        <v>#N/A</v>
      </c>
      <c r="X16" s="752" t="e">
        <f t="shared" si="67"/>
        <v>#N/A</v>
      </c>
      <c r="Y16" s="752" t="e">
        <f t="shared" si="67"/>
        <v>#N/A</v>
      </c>
      <c r="Z16" s="752" t="e">
        <f t="shared" si="67"/>
        <v>#N/A</v>
      </c>
      <c r="AA16" s="752" t="e">
        <f t="shared" si="67"/>
        <v>#N/A</v>
      </c>
      <c r="AB16" s="752" t="e">
        <f t="shared" si="67"/>
        <v>#N/A</v>
      </c>
      <c r="AC16" s="752" t="e">
        <f t="shared" si="67"/>
        <v>#N/A</v>
      </c>
      <c r="AD16" s="752" t="e">
        <f t="shared" si="67"/>
        <v>#N/A</v>
      </c>
      <c r="AE16" s="752" t="e">
        <f t="shared" si="67"/>
        <v>#N/A</v>
      </c>
      <c r="AF16" s="752" t="e">
        <f t="shared" si="67"/>
        <v>#N/A</v>
      </c>
      <c r="AG16" s="752" t="e">
        <f t="shared" si="67"/>
        <v>#N/A</v>
      </c>
      <c r="AH16" s="752" t="e">
        <f t="shared" si="67"/>
        <v>#N/A</v>
      </c>
      <c r="AI16" s="752" t="e">
        <f t="shared" si="67"/>
        <v>#N/A</v>
      </c>
      <c r="AJ16" s="752" t="e">
        <f t="shared" si="67"/>
        <v>#N/A</v>
      </c>
      <c r="AK16" s="752" t="e">
        <f t="shared" si="67"/>
        <v>#N/A</v>
      </c>
      <c r="AL16" s="752" t="e">
        <f t="shared" si="67"/>
        <v>#N/A</v>
      </c>
      <c r="AM16" s="752" t="e">
        <f t="shared" si="67"/>
        <v>#N/A</v>
      </c>
      <c r="AN16" s="752" t="e">
        <f t="shared" si="67"/>
        <v>#N/A</v>
      </c>
      <c r="AO16" s="752" t="e">
        <f t="shared" si="67"/>
        <v>#N/A</v>
      </c>
      <c r="AP16" s="752" t="e">
        <f t="shared" si="67"/>
        <v>#N/A</v>
      </c>
      <c r="AQ16" s="752" t="e">
        <f t="shared" si="67"/>
        <v>#N/A</v>
      </c>
      <c r="AR16" s="752" t="e">
        <f t="shared" si="67"/>
        <v>#N/A</v>
      </c>
      <c r="AS16" s="752" t="e">
        <f t="shared" si="67"/>
        <v>#N/A</v>
      </c>
      <c r="AT16" s="752" t="e">
        <f t="shared" si="67"/>
        <v>#N/A</v>
      </c>
      <c r="AU16" s="752" t="e">
        <f t="shared" si="67"/>
        <v>#N/A</v>
      </c>
      <c r="AV16" s="752" t="e">
        <f t="shared" si="67"/>
        <v>#N/A</v>
      </c>
      <c r="AW16" s="752" t="e">
        <f t="shared" si="67"/>
        <v>#N/A</v>
      </c>
      <c r="AX16" s="752" t="e">
        <f t="shared" ref="AX16:CC16" si="68">IF(LOOKUP(SerieÅR,StatistikkOgPrognoseÅr,Seriekarbonprisbane_Hovedalternativlav)="",$AF$96,LOOKUP(SerieÅR,StatistikkOgPrognoseÅr,Seriekarbonprisbane_Hovedalternativlav))/LOOKUP($H$96,StatistikkOgPrognoseÅr,KPIIndeks)</f>
        <v>#N/A</v>
      </c>
      <c r="AY16" s="752" t="e">
        <f t="shared" si="68"/>
        <v>#N/A</v>
      </c>
      <c r="AZ16" s="752" t="e">
        <f t="shared" si="68"/>
        <v>#N/A</v>
      </c>
      <c r="BA16" s="752" t="e">
        <f t="shared" si="68"/>
        <v>#N/A</v>
      </c>
      <c r="BB16" s="752" t="e">
        <f t="shared" si="68"/>
        <v>#N/A</v>
      </c>
      <c r="BC16" s="752" t="e">
        <f t="shared" si="68"/>
        <v>#N/A</v>
      </c>
      <c r="BD16" s="752" t="e">
        <f t="shared" si="68"/>
        <v>#N/A</v>
      </c>
      <c r="BE16" s="752" t="e">
        <f t="shared" si="68"/>
        <v>#N/A</v>
      </c>
      <c r="BF16" s="752" t="e">
        <f t="shared" si="68"/>
        <v>#N/A</v>
      </c>
      <c r="BG16" s="752" t="e">
        <f t="shared" si="68"/>
        <v>#N/A</v>
      </c>
      <c r="BH16" s="752" t="e">
        <f t="shared" si="68"/>
        <v>#N/A</v>
      </c>
      <c r="BI16" s="752" t="e">
        <f t="shared" si="68"/>
        <v>#N/A</v>
      </c>
      <c r="BJ16" s="752" t="e">
        <f t="shared" si="68"/>
        <v>#N/A</v>
      </c>
      <c r="BK16" s="752" t="e">
        <f t="shared" si="68"/>
        <v>#N/A</v>
      </c>
      <c r="BL16" s="752" t="e">
        <f t="shared" si="68"/>
        <v>#N/A</v>
      </c>
      <c r="BM16" s="752" t="e">
        <f t="shared" si="68"/>
        <v>#N/A</v>
      </c>
      <c r="BN16" s="752" t="e">
        <f t="shared" si="68"/>
        <v>#N/A</v>
      </c>
      <c r="BO16" s="752" t="e">
        <f t="shared" si="68"/>
        <v>#N/A</v>
      </c>
      <c r="BP16" s="752" t="e">
        <f t="shared" si="68"/>
        <v>#N/A</v>
      </c>
      <c r="BQ16" s="752" t="e">
        <f t="shared" si="68"/>
        <v>#N/A</v>
      </c>
      <c r="BR16" s="752" t="e">
        <f t="shared" si="68"/>
        <v>#N/A</v>
      </c>
      <c r="BS16" s="752" t="e">
        <f t="shared" si="68"/>
        <v>#N/A</v>
      </c>
      <c r="BT16" s="752" t="e">
        <f t="shared" si="68"/>
        <v>#N/A</v>
      </c>
      <c r="BU16" s="752" t="e">
        <f t="shared" si="68"/>
        <v>#N/A</v>
      </c>
      <c r="BV16" s="752" t="e">
        <f t="shared" si="68"/>
        <v>#N/A</v>
      </c>
      <c r="BW16" s="752" t="e">
        <f t="shared" si="68"/>
        <v>#N/A</v>
      </c>
      <c r="BX16" s="752" t="e">
        <f t="shared" si="68"/>
        <v>#N/A</v>
      </c>
      <c r="BY16" s="752" t="e">
        <f t="shared" si="68"/>
        <v>#N/A</v>
      </c>
      <c r="BZ16" s="752" t="e">
        <f t="shared" si="68"/>
        <v>#N/A</v>
      </c>
      <c r="CA16" s="752" t="e">
        <f t="shared" si="68"/>
        <v>#N/A</v>
      </c>
      <c r="CB16" s="752" t="e">
        <f t="shared" si="68"/>
        <v>#N/A</v>
      </c>
      <c r="CC16" s="752" t="e">
        <f t="shared" si="68"/>
        <v>#N/A</v>
      </c>
      <c r="CD16" s="752" t="e">
        <f t="shared" ref="CD16:DI16" si="69">IF(LOOKUP(SerieÅR,StatistikkOgPrognoseÅr,Seriekarbonprisbane_Hovedalternativlav)="",$AF$96,LOOKUP(SerieÅR,StatistikkOgPrognoseÅr,Seriekarbonprisbane_Hovedalternativlav))/LOOKUP($H$96,StatistikkOgPrognoseÅr,KPIIndeks)</f>
        <v>#N/A</v>
      </c>
      <c r="CE16" s="752" t="e">
        <f t="shared" si="69"/>
        <v>#N/A</v>
      </c>
      <c r="CF16" s="752" t="e">
        <f t="shared" si="69"/>
        <v>#N/A</v>
      </c>
      <c r="CG16" s="752" t="e">
        <f t="shared" si="69"/>
        <v>#N/A</v>
      </c>
      <c r="CH16" s="752" t="e">
        <f t="shared" si="69"/>
        <v>#N/A</v>
      </c>
      <c r="CI16" s="752" t="e">
        <f t="shared" si="69"/>
        <v>#N/A</v>
      </c>
      <c r="CJ16" s="752" t="e">
        <f t="shared" si="69"/>
        <v>#N/A</v>
      </c>
      <c r="CK16" s="752" t="e">
        <f t="shared" si="69"/>
        <v>#N/A</v>
      </c>
      <c r="CL16" s="752" t="e">
        <f t="shared" si="69"/>
        <v>#N/A</v>
      </c>
      <c r="CM16" s="752" t="e">
        <f t="shared" si="69"/>
        <v>#N/A</v>
      </c>
      <c r="CN16" s="752" t="e">
        <f t="shared" si="69"/>
        <v>#N/A</v>
      </c>
      <c r="CO16" s="752" t="e">
        <f t="shared" si="69"/>
        <v>#N/A</v>
      </c>
      <c r="CP16" s="752" t="e">
        <f t="shared" si="69"/>
        <v>#N/A</v>
      </c>
      <c r="CQ16" s="752" t="e">
        <f t="shared" si="69"/>
        <v>#N/A</v>
      </c>
      <c r="CR16" s="752" t="e">
        <f t="shared" si="69"/>
        <v>#N/A</v>
      </c>
      <c r="CS16" s="752" t="e">
        <f t="shared" si="69"/>
        <v>#N/A</v>
      </c>
      <c r="CT16" s="752" t="e">
        <f t="shared" si="69"/>
        <v>#N/A</v>
      </c>
      <c r="CU16" s="752" t="e">
        <f t="shared" si="69"/>
        <v>#N/A</v>
      </c>
      <c r="CV16" s="752" t="e">
        <f t="shared" si="69"/>
        <v>#N/A</v>
      </c>
      <c r="CW16" s="752" t="e">
        <f t="shared" si="69"/>
        <v>#N/A</v>
      </c>
      <c r="CX16" s="752" t="e">
        <f t="shared" si="69"/>
        <v>#N/A</v>
      </c>
      <c r="CY16" s="752" t="e">
        <f t="shared" si="69"/>
        <v>#N/A</v>
      </c>
      <c r="CZ16" s="752" t="e">
        <f t="shared" si="69"/>
        <v>#N/A</v>
      </c>
      <c r="DA16" s="752" t="e">
        <f t="shared" si="69"/>
        <v>#N/A</v>
      </c>
      <c r="DB16" s="752" t="e">
        <f t="shared" si="69"/>
        <v>#N/A</v>
      </c>
      <c r="DC16" s="752" t="e">
        <f t="shared" si="69"/>
        <v>#N/A</v>
      </c>
      <c r="DD16" s="752" t="e">
        <f t="shared" si="69"/>
        <v>#N/A</v>
      </c>
      <c r="DE16" s="752" t="e">
        <f t="shared" si="69"/>
        <v>#N/A</v>
      </c>
      <c r="DF16" s="752" t="e">
        <f t="shared" si="69"/>
        <v>#N/A</v>
      </c>
      <c r="DG16" s="752" t="e">
        <f t="shared" si="69"/>
        <v>#N/A</v>
      </c>
      <c r="DH16" s="752" t="e">
        <f t="shared" si="69"/>
        <v>#N/A</v>
      </c>
      <c r="DI16" s="752" t="e">
        <f t="shared" si="69"/>
        <v>#N/A</v>
      </c>
      <c r="DJ16" s="752" t="e">
        <f t="shared" ref="DJ16:DW16" si="70">IF(LOOKUP(SerieÅR,StatistikkOgPrognoseÅr,Seriekarbonprisbane_Hovedalternativlav)="",$AF$96,LOOKUP(SerieÅR,StatistikkOgPrognoseÅr,Seriekarbonprisbane_Hovedalternativlav))/LOOKUP($H$96,StatistikkOgPrognoseÅr,KPIIndeks)</f>
        <v>#N/A</v>
      </c>
      <c r="DK16" s="752" t="e">
        <f t="shared" si="70"/>
        <v>#N/A</v>
      </c>
      <c r="DL16" s="752" t="e">
        <f t="shared" si="70"/>
        <v>#N/A</v>
      </c>
      <c r="DM16" s="752" t="e">
        <f t="shared" si="70"/>
        <v>#N/A</v>
      </c>
      <c r="DN16" s="752" t="e">
        <f t="shared" si="70"/>
        <v>#N/A</v>
      </c>
      <c r="DO16" s="752" t="e">
        <f t="shared" si="70"/>
        <v>#N/A</v>
      </c>
      <c r="DP16" s="752" t="e">
        <f t="shared" si="70"/>
        <v>#N/A</v>
      </c>
      <c r="DQ16" s="752" t="e">
        <f t="shared" si="70"/>
        <v>#N/A</v>
      </c>
      <c r="DR16" s="752" t="e">
        <f t="shared" si="70"/>
        <v>#N/A</v>
      </c>
      <c r="DS16" s="752" t="e">
        <f t="shared" si="70"/>
        <v>#N/A</v>
      </c>
      <c r="DT16" s="752" t="e">
        <f t="shared" si="70"/>
        <v>#N/A</v>
      </c>
      <c r="DU16" s="752" t="e">
        <f t="shared" si="70"/>
        <v>#N/A</v>
      </c>
      <c r="DV16" s="752" t="e">
        <f t="shared" si="70"/>
        <v>#N/A</v>
      </c>
      <c r="DW16" s="753" t="e">
        <f t="shared" si="70"/>
        <v>#N/A</v>
      </c>
    </row>
    <row r="17" spans="1:127" s="6" customFormat="1" x14ac:dyDescent="0.35">
      <c r="A17" s="275"/>
      <c r="B17" s="65" t="s">
        <v>1387</v>
      </c>
      <c r="C17" s="92"/>
      <c r="D17" s="101"/>
      <c r="E17" s="217"/>
      <c r="F17" s="511"/>
      <c r="G17" s="218" t="str">
        <f>"Karbonprisbane høy ("&amp;SisteStatistikkÅr&amp;"-kr) (kr/tonn)"</f>
        <v>Karbonprisbane høy (2025-kr) (kr/tonn)</v>
      </c>
      <c r="H17" s="65"/>
      <c r="I17" s="65"/>
      <c r="J17" s="65"/>
      <c r="K17" s="65"/>
      <c r="L17" s="65"/>
      <c r="M17" s="65"/>
      <c r="N17" s="65"/>
      <c r="O17" s="65"/>
      <c r="P17" s="65"/>
      <c r="Q17" s="65"/>
      <c r="R17" s="752" t="e">
        <f t="shared" ref="R17:AW17" si="71">IF(LOOKUP(SerieÅR,StatistikkOgPrognoseÅr,SerieKarbonprisbane_Hovedalternativhoy)="",$AF$97,LOOKUP(SerieÅR,StatistikkOgPrognoseÅr,SerieKarbonprisbane_Hovedalternativhoy))/LOOKUP($H$97,StatistikkOgPrognoseÅr,KPIIndeks)</f>
        <v>#N/A</v>
      </c>
      <c r="S17" s="752" t="e">
        <f t="shared" si="71"/>
        <v>#N/A</v>
      </c>
      <c r="T17" s="752" t="e">
        <f t="shared" si="71"/>
        <v>#N/A</v>
      </c>
      <c r="U17" s="752" t="e">
        <f t="shared" si="71"/>
        <v>#N/A</v>
      </c>
      <c r="V17" s="752" t="e">
        <f t="shared" si="71"/>
        <v>#N/A</v>
      </c>
      <c r="W17" s="752" t="e">
        <f t="shared" si="71"/>
        <v>#N/A</v>
      </c>
      <c r="X17" s="752" t="e">
        <f t="shared" si="71"/>
        <v>#N/A</v>
      </c>
      <c r="Y17" s="752" t="e">
        <f t="shared" si="71"/>
        <v>#N/A</v>
      </c>
      <c r="Z17" s="752" t="e">
        <f t="shared" si="71"/>
        <v>#N/A</v>
      </c>
      <c r="AA17" s="752" t="e">
        <f t="shared" si="71"/>
        <v>#N/A</v>
      </c>
      <c r="AB17" s="752" t="e">
        <f t="shared" si="71"/>
        <v>#N/A</v>
      </c>
      <c r="AC17" s="752" t="e">
        <f t="shared" si="71"/>
        <v>#N/A</v>
      </c>
      <c r="AD17" s="752" t="e">
        <f t="shared" si="71"/>
        <v>#N/A</v>
      </c>
      <c r="AE17" s="752" t="e">
        <f t="shared" si="71"/>
        <v>#N/A</v>
      </c>
      <c r="AF17" s="752" t="e">
        <f t="shared" si="71"/>
        <v>#N/A</v>
      </c>
      <c r="AG17" s="752" t="e">
        <f t="shared" si="71"/>
        <v>#N/A</v>
      </c>
      <c r="AH17" s="752" t="e">
        <f t="shared" si="71"/>
        <v>#N/A</v>
      </c>
      <c r="AI17" s="752" t="e">
        <f t="shared" si="71"/>
        <v>#N/A</v>
      </c>
      <c r="AJ17" s="752" t="e">
        <f t="shared" si="71"/>
        <v>#N/A</v>
      </c>
      <c r="AK17" s="752" t="e">
        <f t="shared" si="71"/>
        <v>#N/A</v>
      </c>
      <c r="AL17" s="752" t="e">
        <f t="shared" si="71"/>
        <v>#N/A</v>
      </c>
      <c r="AM17" s="752" t="e">
        <f t="shared" si="71"/>
        <v>#N/A</v>
      </c>
      <c r="AN17" s="752" t="e">
        <f t="shared" si="71"/>
        <v>#N/A</v>
      </c>
      <c r="AO17" s="752" t="e">
        <f t="shared" si="71"/>
        <v>#N/A</v>
      </c>
      <c r="AP17" s="752" t="e">
        <f t="shared" si="71"/>
        <v>#N/A</v>
      </c>
      <c r="AQ17" s="752" t="e">
        <f t="shared" si="71"/>
        <v>#N/A</v>
      </c>
      <c r="AR17" s="752" t="e">
        <f t="shared" si="71"/>
        <v>#N/A</v>
      </c>
      <c r="AS17" s="752" t="e">
        <f t="shared" si="71"/>
        <v>#N/A</v>
      </c>
      <c r="AT17" s="752" t="e">
        <f t="shared" si="71"/>
        <v>#N/A</v>
      </c>
      <c r="AU17" s="752" t="e">
        <f t="shared" si="71"/>
        <v>#N/A</v>
      </c>
      <c r="AV17" s="752" t="e">
        <f t="shared" si="71"/>
        <v>#N/A</v>
      </c>
      <c r="AW17" s="752" t="e">
        <f t="shared" si="71"/>
        <v>#N/A</v>
      </c>
      <c r="AX17" s="752" t="e">
        <f t="shared" ref="AX17:CC17" si="72">IF(LOOKUP(SerieÅR,StatistikkOgPrognoseÅr,SerieKarbonprisbane_Hovedalternativhoy)="",$AF$97,LOOKUP(SerieÅR,StatistikkOgPrognoseÅr,SerieKarbonprisbane_Hovedalternativhoy))/LOOKUP($H$97,StatistikkOgPrognoseÅr,KPIIndeks)</f>
        <v>#N/A</v>
      </c>
      <c r="AY17" s="752" t="e">
        <f t="shared" si="72"/>
        <v>#N/A</v>
      </c>
      <c r="AZ17" s="752" t="e">
        <f t="shared" si="72"/>
        <v>#N/A</v>
      </c>
      <c r="BA17" s="752" t="e">
        <f t="shared" si="72"/>
        <v>#N/A</v>
      </c>
      <c r="BB17" s="752" t="e">
        <f t="shared" si="72"/>
        <v>#N/A</v>
      </c>
      <c r="BC17" s="752" t="e">
        <f t="shared" si="72"/>
        <v>#N/A</v>
      </c>
      <c r="BD17" s="752" t="e">
        <f t="shared" si="72"/>
        <v>#N/A</v>
      </c>
      <c r="BE17" s="752" t="e">
        <f t="shared" si="72"/>
        <v>#N/A</v>
      </c>
      <c r="BF17" s="752" t="e">
        <f t="shared" si="72"/>
        <v>#N/A</v>
      </c>
      <c r="BG17" s="752" t="e">
        <f t="shared" si="72"/>
        <v>#N/A</v>
      </c>
      <c r="BH17" s="752" t="e">
        <f t="shared" si="72"/>
        <v>#N/A</v>
      </c>
      <c r="BI17" s="752" t="e">
        <f t="shared" si="72"/>
        <v>#N/A</v>
      </c>
      <c r="BJ17" s="752" t="e">
        <f t="shared" si="72"/>
        <v>#N/A</v>
      </c>
      <c r="BK17" s="752" t="e">
        <f t="shared" si="72"/>
        <v>#N/A</v>
      </c>
      <c r="BL17" s="752" t="e">
        <f t="shared" si="72"/>
        <v>#N/A</v>
      </c>
      <c r="BM17" s="752" t="e">
        <f t="shared" si="72"/>
        <v>#N/A</v>
      </c>
      <c r="BN17" s="752" t="e">
        <f t="shared" si="72"/>
        <v>#N/A</v>
      </c>
      <c r="BO17" s="752" t="e">
        <f t="shared" si="72"/>
        <v>#N/A</v>
      </c>
      <c r="BP17" s="752" t="e">
        <f t="shared" si="72"/>
        <v>#N/A</v>
      </c>
      <c r="BQ17" s="752" t="e">
        <f t="shared" si="72"/>
        <v>#N/A</v>
      </c>
      <c r="BR17" s="752" t="e">
        <f t="shared" si="72"/>
        <v>#N/A</v>
      </c>
      <c r="BS17" s="752" t="e">
        <f t="shared" si="72"/>
        <v>#N/A</v>
      </c>
      <c r="BT17" s="752" t="e">
        <f t="shared" si="72"/>
        <v>#N/A</v>
      </c>
      <c r="BU17" s="752" t="e">
        <f t="shared" si="72"/>
        <v>#N/A</v>
      </c>
      <c r="BV17" s="752" t="e">
        <f t="shared" si="72"/>
        <v>#N/A</v>
      </c>
      <c r="BW17" s="752" t="e">
        <f t="shared" si="72"/>
        <v>#N/A</v>
      </c>
      <c r="BX17" s="752" t="e">
        <f t="shared" si="72"/>
        <v>#N/A</v>
      </c>
      <c r="BY17" s="752" t="e">
        <f t="shared" si="72"/>
        <v>#N/A</v>
      </c>
      <c r="BZ17" s="752" t="e">
        <f t="shared" si="72"/>
        <v>#N/A</v>
      </c>
      <c r="CA17" s="752" t="e">
        <f t="shared" si="72"/>
        <v>#N/A</v>
      </c>
      <c r="CB17" s="752" t="e">
        <f t="shared" si="72"/>
        <v>#N/A</v>
      </c>
      <c r="CC17" s="752" t="e">
        <f t="shared" si="72"/>
        <v>#N/A</v>
      </c>
      <c r="CD17" s="752" t="e">
        <f t="shared" ref="CD17:DI17" si="73">IF(LOOKUP(SerieÅR,StatistikkOgPrognoseÅr,SerieKarbonprisbane_Hovedalternativhoy)="",$AF$97,LOOKUP(SerieÅR,StatistikkOgPrognoseÅr,SerieKarbonprisbane_Hovedalternativhoy))/LOOKUP($H$97,StatistikkOgPrognoseÅr,KPIIndeks)</f>
        <v>#N/A</v>
      </c>
      <c r="CE17" s="752" t="e">
        <f t="shared" si="73"/>
        <v>#N/A</v>
      </c>
      <c r="CF17" s="752" t="e">
        <f t="shared" si="73"/>
        <v>#N/A</v>
      </c>
      <c r="CG17" s="752" t="e">
        <f t="shared" si="73"/>
        <v>#N/A</v>
      </c>
      <c r="CH17" s="752" t="e">
        <f t="shared" si="73"/>
        <v>#N/A</v>
      </c>
      <c r="CI17" s="752" t="e">
        <f t="shared" si="73"/>
        <v>#N/A</v>
      </c>
      <c r="CJ17" s="752" t="e">
        <f t="shared" si="73"/>
        <v>#N/A</v>
      </c>
      <c r="CK17" s="752" t="e">
        <f t="shared" si="73"/>
        <v>#N/A</v>
      </c>
      <c r="CL17" s="752" t="e">
        <f t="shared" si="73"/>
        <v>#N/A</v>
      </c>
      <c r="CM17" s="752" t="e">
        <f t="shared" si="73"/>
        <v>#N/A</v>
      </c>
      <c r="CN17" s="752" t="e">
        <f t="shared" si="73"/>
        <v>#N/A</v>
      </c>
      <c r="CO17" s="752" t="e">
        <f t="shared" si="73"/>
        <v>#N/A</v>
      </c>
      <c r="CP17" s="752" t="e">
        <f t="shared" si="73"/>
        <v>#N/A</v>
      </c>
      <c r="CQ17" s="752" t="e">
        <f t="shared" si="73"/>
        <v>#N/A</v>
      </c>
      <c r="CR17" s="752" t="e">
        <f t="shared" si="73"/>
        <v>#N/A</v>
      </c>
      <c r="CS17" s="752" t="e">
        <f t="shared" si="73"/>
        <v>#N/A</v>
      </c>
      <c r="CT17" s="752" t="e">
        <f t="shared" si="73"/>
        <v>#N/A</v>
      </c>
      <c r="CU17" s="752" t="e">
        <f t="shared" si="73"/>
        <v>#N/A</v>
      </c>
      <c r="CV17" s="752" t="e">
        <f t="shared" si="73"/>
        <v>#N/A</v>
      </c>
      <c r="CW17" s="752" t="e">
        <f t="shared" si="73"/>
        <v>#N/A</v>
      </c>
      <c r="CX17" s="752" t="e">
        <f t="shared" si="73"/>
        <v>#N/A</v>
      </c>
      <c r="CY17" s="752" t="e">
        <f t="shared" si="73"/>
        <v>#N/A</v>
      </c>
      <c r="CZ17" s="752" t="e">
        <f t="shared" si="73"/>
        <v>#N/A</v>
      </c>
      <c r="DA17" s="752" t="e">
        <f t="shared" si="73"/>
        <v>#N/A</v>
      </c>
      <c r="DB17" s="752" t="e">
        <f t="shared" si="73"/>
        <v>#N/A</v>
      </c>
      <c r="DC17" s="752" t="e">
        <f t="shared" si="73"/>
        <v>#N/A</v>
      </c>
      <c r="DD17" s="752" t="e">
        <f t="shared" si="73"/>
        <v>#N/A</v>
      </c>
      <c r="DE17" s="752" t="e">
        <f t="shared" si="73"/>
        <v>#N/A</v>
      </c>
      <c r="DF17" s="752" t="e">
        <f t="shared" si="73"/>
        <v>#N/A</v>
      </c>
      <c r="DG17" s="752" t="e">
        <f t="shared" si="73"/>
        <v>#N/A</v>
      </c>
      <c r="DH17" s="752" t="e">
        <f t="shared" si="73"/>
        <v>#N/A</v>
      </c>
      <c r="DI17" s="752" t="e">
        <f t="shared" si="73"/>
        <v>#N/A</v>
      </c>
      <c r="DJ17" s="752" t="e">
        <f t="shared" ref="DJ17:DW17" si="74">IF(LOOKUP(SerieÅR,StatistikkOgPrognoseÅr,SerieKarbonprisbane_Hovedalternativhoy)="",$AF$97,LOOKUP(SerieÅR,StatistikkOgPrognoseÅr,SerieKarbonprisbane_Hovedalternativhoy))/LOOKUP($H$97,StatistikkOgPrognoseÅr,KPIIndeks)</f>
        <v>#N/A</v>
      </c>
      <c r="DK17" s="752" t="e">
        <f t="shared" si="74"/>
        <v>#N/A</v>
      </c>
      <c r="DL17" s="752" t="e">
        <f t="shared" si="74"/>
        <v>#N/A</v>
      </c>
      <c r="DM17" s="752" t="e">
        <f t="shared" si="74"/>
        <v>#N/A</v>
      </c>
      <c r="DN17" s="752" t="e">
        <f t="shared" si="74"/>
        <v>#N/A</v>
      </c>
      <c r="DO17" s="752" t="e">
        <f t="shared" si="74"/>
        <v>#N/A</v>
      </c>
      <c r="DP17" s="752" t="e">
        <f t="shared" si="74"/>
        <v>#N/A</v>
      </c>
      <c r="DQ17" s="752" t="e">
        <f t="shared" si="74"/>
        <v>#N/A</v>
      </c>
      <c r="DR17" s="752" t="e">
        <f t="shared" si="74"/>
        <v>#N/A</v>
      </c>
      <c r="DS17" s="752" t="e">
        <f t="shared" si="74"/>
        <v>#N/A</v>
      </c>
      <c r="DT17" s="752" t="e">
        <f t="shared" si="74"/>
        <v>#N/A</v>
      </c>
      <c r="DU17" s="752" t="e">
        <f t="shared" si="74"/>
        <v>#N/A</v>
      </c>
      <c r="DV17" s="752" t="e">
        <f t="shared" si="74"/>
        <v>#N/A</v>
      </c>
      <c r="DW17" s="753" t="e">
        <f t="shared" si="74"/>
        <v>#N/A</v>
      </c>
    </row>
    <row r="18" spans="1:127" s="6" customFormat="1" x14ac:dyDescent="0.35">
      <c r="A18" s="275"/>
      <c r="B18" s="65" t="s">
        <v>1387</v>
      </c>
      <c r="C18" s="92"/>
      <c r="D18" s="101"/>
      <c r="E18" s="217"/>
      <c r="F18" s="511"/>
      <c r="G18" s="218" t="str">
        <f>"Karbonprisbane, opptak og utslipp i skog og arealbruk ("&amp;SisteStatistikkÅr&amp;"-kr) (kr/tonn)"</f>
        <v>Karbonprisbane, opptak og utslipp i skog og arealbruk (2025-kr) (kr/tonn)</v>
      </c>
      <c r="H18" s="65"/>
      <c r="I18" s="65"/>
      <c r="J18" s="65"/>
      <c r="K18" s="65"/>
      <c r="L18" s="65"/>
      <c r="M18" s="65"/>
      <c r="N18" s="65"/>
      <c r="O18" s="65"/>
      <c r="P18" s="65"/>
      <c r="Q18" s="65"/>
      <c r="R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S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T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U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V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W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X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Y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Z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AA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AB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AC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AD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AE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AF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AG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AH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AI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AJ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AK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AL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AM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AN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AO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AP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AQ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AR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AS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AT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AU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AV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AW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AX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AY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AZ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BA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BB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BC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BD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BE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BF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BG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BH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BI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BJ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BK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BL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BM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BN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BO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BP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BQ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BR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BS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BT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BU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BV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BW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BX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BY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BZ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CA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CB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CC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CD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CE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CF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CG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CH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CI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CJ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CK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CL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CM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CN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CO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CP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CQ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CR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CS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CT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CU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CV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CW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CX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CY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CZ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DA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DB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DC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DD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DE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DF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DG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DH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DI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DJ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DK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DL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DM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DN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DO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DP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DQ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DR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DS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DT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DU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DV18" s="752"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c r="DW18" s="753" t="e">
        <f>IF(LOOKUP(SerieÅR,StatistikkOgPrognoseÅr,Seriekarbonprisbane_skogogarealbruk)="",$AF$98,IF('1.2 Forutsetninger'!$C$97="Hovedalternativ", LOOKUP(SerieÅR,StatistikkOgPrognoseÅr,Seriekarbonprisbane_skogogarealbruk), IF('1.2 Forutsetninger'!$C$97="Lavt alternativ",LOOKUP(SerieÅR,StatistikkOgPrognoseÅr,Seriekarbonprisbane_Hovedalternativlav), IF('1.2 Forutsetninger'!$C$97="Høyt alternativ",LOOKUP(SerieÅR,StatistikkOgPrognoseÅr,SerieKarbonprisbane_Hovedalternativhoy)))))/LOOKUP($H$98,StatistikkOgPrognoseÅr,KPIIndeks)</f>
        <v>#N/A</v>
      </c>
    </row>
    <row r="19" spans="1:127" s="6" customFormat="1" x14ac:dyDescent="0.35">
      <c r="A19" s="275"/>
      <c r="B19" s="65" t="s">
        <v>1387</v>
      </c>
      <c r="C19" s="18"/>
      <c r="D19" s="101"/>
      <c r="E19" s="217"/>
      <c r="F19" s="511"/>
      <c r="G19" s="218" t="str">
        <f>"CO2-avgiftsbane ("&amp;SisteStatistikkÅr&amp;"-kr) (kr/tonn)"</f>
        <v>CO2-avgiftsbane (2025-kr) (kr/tonn)</v>
      </c>
      <c r="H19" s="65"/>
      <c r="I19" s="65"/>
      <c r="J19" s="65"/>
      <c r="K19" s="65"/>
      <c r="L19" s="65"/>
      <c r="M19" s="65"/>
      <c r="N19" s="65"/>
      <c r="O19" s="65"/>
      <c r="P19" s="65"/>
      <c r="Q19" s="65"/>
      <c r="R19" s="752" t="e">
        <f t="shared" ref="R19:AW19" si="75">IF(LOOKUP(SerieÅR,StatistikkOgPrognoseÅr,SerieCO2avgiftsbane1)="",$AB$99,LOOKUP(SerieÅR,StatistikkOgPrognoseÅr,SerieCO2avgiftsbane1))/LOOKUP($H$99,StatistikkOgPrognoseÅr,KPIIndeks)</f>
        <v>#N/A</v>
      </c>
      <c r="S19" s="752" t="e">
        <f t="shared" si="75"/>
        <v>#N/A</v>
      </c>
      <c r="T19" s="752" t="e">
        <f t="shared" si="75"/>
        <v>#N/A</v>
      </c>
      <c r="U19" s="752" t="e">
        <f t="shared" si="75"/>
        <v>#N/A</v>
      </c>
      <c r="V19" s="752" t="e">
        <f t="shared" si="75"/>
        <v>#N/A</v>
      </c>
      <c r="W19" s="752" t="e">
        <f t="shared" si="75"/>
        <v>#N/A</v>
      </c>
      <c r="X19" s="752" t="e">
        <f t="shared" si="75"/>
        <v>#N/A</v>
      </c>
      <c r="Y19" s="752" t="e">
        <f t="shared" si="75"/>
        <v>#N/A</v>
      </c>
      <c r="Z19" s="752" t="e">
        <f t="shared" si="75"/>
        <v>#N/A</v>
      </c>
      <c r="AA19" s="752" t="e">
        <f t="shared" si="75"/>
        <v>#N/A</v>
      </c>
      <c r="AB19" s="752" t="e">
        <f t="shared" si="75"/>
        <v>#N/A</v>
      </c>
      <c r="AC19" s="752" t="e">
        <f t="shared" si="75"/>
        <v>#N/A</v>
      </c>
      <c r="AD19" s="752" t="e">
        <f t="shared" si="75"/>
        <v>#N/A</v>
      </c>
      <c r="AE19" s="752" t="e">
        <f t="shared" si="75"/>
        <v>#N/A</v>
      </c>
      <c r="AF19" s="752" t="e">
        <f t="shared" si="75"/>
        <v>#N/A</v>
      </c>
      <c r="AG19" s="752" t="e">
        <f t="shared" si="75"/>
        <v>#N/A</v>
      </c>
      <c r="AH19" s="752" t="e">
        <f t="shared" si="75"/>
        <v>#N/A</v>
      </c>
      <c r="AI19" s="752" t="e">
        <f t="shared" si="75"/>
        <v>#N/A</v>
      </c>
      <c r="AJ19" s="752" t="e">
        <f t="shared" si="75"/>
        <v>#N/A</v>
      </c>
      <c r="AK19" s="752" t="e">
        <f t="shared" si="75"/>
        <v>#N/A</v>
      </c>
      <c r="AL19" s="752" t="e">
        <f t="shared" si="75"/>
        <v>#N/A</v>
      </c>
      <c r="AM19" s="752" t="e">
        <f t="shared" si="75"/>
        <v>#N/A</v>
      </c>
      <c r="AN19" s="752" t="e">
        <f t="shared" si="75"/>
        <v>#N/A</v>
      </c>
      <c r="AO19" s="752" t="e">
        <f t="shared" si="75"/>
        <v>#N/A</v>
      </c>
      <c r="AP19" s="752" t="e">
        <f t="shared" si="75"/>
        <v>#N/A</v>
      </c>
      <c r="AQ19" s="752" t="e">
        <f t="shared" si="75"/>
        <v>#N/A</v>
      </c>
      <c r="AR19" s="752" t="e">
        <f t="shared" si="75"/>
        <v>#N/A</v>
      </c>
      <c r="AS19" s="752" t="e">
        <f t="shared" si="75"/>
        <v>#N/A</v>
      </c>
      <c r="AT19" s="752" t="e">
        <f t="shared" si="75"/>
        <v>#N/A</v>
      </c>
      <c r="AU19" s="752" t="e">
        <f t="shared" si="75"/>
        <v>#N/A</v>
      </c>
      <c r="AV19" s="752" t="e">
        <f t="shared" si="75"/>
        <v>#N/A</v>
      </c>
      <c r="AW19" s="752" t="e">
        <f t="shared" si="75"/>
        <v>#N/A</v>
      </c>
      <c r="AX19" s="752" t="e">
        <f t="shared" ref="AX19:CC19" si="76">IF(LOOKUP(SerieÅR,StatistikkOgPrognoseÅr,SerieCO2avgiftsbane1)="",$AB$99,LOOKUP(SerieÅR,StatistikkOgPrognoseÅr,SerieCO2avgiftsbane1))/LOOKUP($H$99,StatistikkOgPrognoseÅr,KPIIndeks)</f>
        <v>#N/A</v>
      </c>
      <c r="AY19" s="752" t="e">
        <f t="shared" si="76"/>
        <v>#N/A</v>
      </c>
      <c r="AZ19" s="752" t="e">
        <f t="shared" si="76"/>
        <v>#N/A</v>
      </c>
      <c r="BA19" s="752" t="e">
        <f t="shared" si="76"/>
        <v>#N/A</v>
      </c>
      <c r="BB19" s="752" t="e">
        <f t="shared" si="76"/>
        <v>#N/A</v>
      </c>
      <c r="BC19" s="752" t="e">
        <f t="shared" si="76"/>
        <v>#N/A</v>
      </c>
      <c r="BD19" s="752" t="e">
        <f t="shared" si="76"/>
        <v>#N/A</v>
      </c>
      <c r="BE19" s="752" t="e">
        <f t="shared" si="76"/>
        <v>#N/A</v>
      </c>
      <c r="BF19" s="752" t="e">
        <f t="shared" si="76"/>
        <v>#N/A</v>
      </c>
      <c r="BG19" s="752" t="e">
        <f t="shared" si="76"/>
        <v>#N/A</v>
      </c>
      <c r="BH19" s="752" t="e">
        <f t="shared" si="76"/>
        <v>#N/A</v>
      </c>
      <c r="BI19" s="752" t="e">
        <f t="shared" si="76"/>
        <v>#N/A</v>
      </c>
      <c r="BJ19" s="752" t="e">
        <f t="shared" si="76"/>
        <v>#N/A</v>
      </c>
      <c r="BK19" s="752" t="e">
        <f t="shared" si="76"/>
        <v>#N/A</v>
      </c>
      <c r="BL19" s="752" t="e">
        <f t="shared" si="76"/>
        <v>#N/A</v>
      </c>
      <c r="BM19" s="752" t="e">
        <f t="shared" si="76"/>
        <v>#N/A</v>
      </c>
      <c r="BN19" s="752" t="e">
        <f t="shared" si="76"/>
        <v>#N/A</v>
      </c>
      <c r="BO19" s="752" t="e">
        <f t="shared" si="76"/>
        <v>#N/A</v>
      </c>
      <c r="BP19" s="752" t="e">
        <f t="shared" si="76"/>
        <v>#N/A</v>
      </c>
      <c r="BQ19" s="752" t="e">
        <f t="shared" si="76"/>
        <v>#N/A</v>
      </c>
      <c r="BR19" s="752" t="e">
        <f t="shared" si="76"/>
        <v>#N/A</v>
      </c>
      <c r="BS19" s="752" t="e">
        <f t="shared" si="76"/>
        <v>#N/A</v>
      </c>
      <c r="BT19" s="752" t="e">
        <f t="shared" si="76"/>
        <v>#N/A</v>
      </c>
      <c r="BU19" s="752" t="e">
        <f t="shared" si="76"/>
        <v>#N/A</v>
      </c>
      <c r="BV19" s="752" t="e">
        <f t="shared" si="76"/>
        <v>#N/A</v>
      </c>
      <c r="BW19" s="752" t="e">
        <f t="shared" si="76"/>
        <v>#N/A</v>
      </c>
      <c r="BX19" s="752" t="e">
        <f t="shared" si="76"/>
        <v>#N/A</v>
      </c>
      <c r="BY19" s="752" t="e">
        <f t="shared" si="76"/>
        <v>#N/A</v>
      </c>
      <c r="BZ19" s="752" t="e">
        <f t="shared" si="76"/>
        <v>#N/A</v>
      </c>
      <c r="CA19" s="752" t="e">
        <f t="shared" si="76"/>
        <v>#N/A</v>
      </c>
      <c r="CB19" s="752" t="e">
        <f t="shared" si="76"/>
        <v>#N/A</v>
      </c>
      <c r="CC19" s="752" t="e">
        <f t="shared" si="76"/>
        <v>#N/A</v>
      </c>
      <c r="CD19" s="752" t="e">
        <f t="shared" ref="CD19:DI19" si="77">IF(LOOKUP(SerieÅR,StatistikkOgPrognoseÅr,SerieCO2avgiftsbane1)="",$AB$99,LOOKUP(SerieÅR,StatistikkOgPrognoseÅr,SerieCO2avgiftsbane1))/LOOKUP($H$99,StatistikkOgPrognoseÅr,KPIIndeks)</f>
        <v>#N/A</v>
      </c>
      <c r="CE19" s="752" t="e">
        <f t="shared" si="77"/>
        <v>#N/A</v>
      </c>
      <c r="CF19" s="752" t="e">
        <f t="shared" si="77"/>
        <v>#N/A</v>
      </c>
      <c r="CG19" s="752" t="e">
        <f t="shared" si="77"/>
        <v>#N/A</v>
      </c>
      <c r="CH19" s="752" t="e">
        <f t="shared" si="77"/>
        <v>#N/A</v>
      </c>
      <c r="CI19" s="752" t="e">
        <f t="shared" si="77"/>
        <v>#N/A</v>
      </c>
      <c r="CJ19" s="752" t="e">
        <f t="shared" si="77"/>
        <v>#N/A</v>
      </c>
      <c r="CK19" s="752" t="e">
        <f t="shared" si="77"/>
        <v>#N/A</v>
      </c>
      <c r="CL19" s="752" t="e">
        <f t="shared" si="77"/>
        <v>#N/A</v>
      </c>
      <c r="CM19" s="752" t="e">
        <f t="shared" si="77"/>
        <v>#N/A</v>
      </c>
      <c r="CN19" s="752" t="e">
        <f t="shared" si="77"/>
        <v>#N/A</v>
      </c>
      <c r="CO19" s="752" t="e">
        <f t="shared" si="77"/>
        <v>#N/A</v>
      </c>
      <c r="CP19" s="752" t="e">
        <f t="shared" si="77"/>
        <v>#N/A</v>
      </c>
      <c r="CQ19" s="752" t="e">
        <f t="shared" si="77"/>
        <v>#N/A</v>
      </c>
      <c r="CR19" s="752" t="e">
        <f t="shared" si="77"/>
        <v>#N/A</v>
      </c>
      <c r="CS19" s="752" t="e">
        <f t="shared" si="77"/>
        <v>#N/A</v>
      </c>
      <c r="CT19" s="752" t="e">
        <f t="shared" si="77"/>
        <v>#N/A</v>
      </c>
      <c r="CU19" s="752" t="e">
        <f t="shared" si="77"/>
        <v>#N/A</v>
      </c>
      <c r="CV19" s="752" t="e">
        <f t="shared" si="77"/>
        <v>#N/A</v>
      </c>
      <c r="CW19" s="752" t="e">
        <f t="shared" si="77"/>
        <v>#N/A</v>
      </c>
      <c r="CX19" s="752" t="e">
        <f t="shared" si="77"/>
        <v>#N/A</v>
      </c>
      <c r="CY19" s="752" t="e">
        <f t="shared" si="77"/>
        <v>#N/A</v>
      </c>
      <c r="CZ19" s="752" t="e">
        <f t="shared" si="77"/>
        <v>#N/A</v>
      </c>
      <c r="DA19" s="752" t="e">
        <f t="shared" si="77"/>
        <v>#N/A</v>
      </c>
      <c r="DB19" s="752" t="e">
        <f t="shared" si="77"/>
        <v>#N/A</v>
      </c>
      <c r="DC19" s="752" t="e">
        <f t="shared" si="77"/>
        <v>#N/A</v>
      </c>
      <c r="DD19" s="752" t="e">
        <f t="shared" si="77"/>
        <v>#N/A</v>
      </c>
      <c r="DE19" s="752" t="e">
        <f t="shared" si="77"/>
        <v>#N/A</v>
      </c>
      <c r="DF19" s="752" t="e">
        <f t="shared" si="77"/>
        <v>#N/A</v>
      </c>
      <c r="DG19" s="752" t="e">
        <f t="shared" si="77"/>
        <v>#N/A</v>
      </c>
      <c r="DH19" s="752" t="e">
        <f t="shared" si="77"/>
        <v>#N/A</v>
      </c>
      <c r="DI19" s="752" t="e">
        <f t="shared" si="77"/>
        <v>#N/A</v>
      </c>
      <c r="DJ19" s="752" t="e">
        <f t="shared" ref="DJ19:DW19" si="78">IF(LOOKUP(SerieÅR,StatistikkOgPrognoseÅr,SerieCO2avgiftsbane1)="",$AB$99,LOOKUP(SerieÅR,StatistikkOgPrognoseÅr,SerieCO2avgiftsbane1))/LOOKUP($H$99,StatistikkOgPrognoseÅr,KPIIndeks)</f>
        <v>#N/A</v>
      </c>
      <c r="DK19" s="752" t="e">
        <f t="shared" si="78"/>
        <v>#N/A</v>
      </c>
      <c r="DL19" s="752" t="e">
        <f t="shared" si="78"/>
        <v>#N/A</v>
      </c>
      <c r="DM19" s="752" t="e">
        <f t="shared" si="78"/>
        <v>#N/A</v>
      </c>
      <c r="DN19" s="752" t="e">
        <f t="shared" si="78"/>
        <v>#N/A</v>
      </c>
      <c r="DO19" s="752" t="e">
        <f t="shared" si="78"/>
        <v>#N/A</v>
      </c>
      <c r="DP19" s="752" t="e">
        <f t="shared" si="78"/>
        <v>#N/A</v>
      </c>
      <c r="DQ19" s="752" t="e">
        <f t="shared" si="78"/>
        <v>#N/A</v>
      </c>
      <c r="DR19" s="752" t="e">
        <f t="shared" si="78"/>
        <v>#N/A</v>
      </c>
      <c r="DS19" s="752" t="e">
        <f t="shared" si="78"/>
        <v>#N/A</v>
      </c>
      <c r="DT19" s="752" t="e">
        <f t="shared" si="78"/>
        <v>#N/A</v>
      </c>
      <c r="DU19" s="752" t="e">
        <f t="shared" si="78"/>
        <v>#N/A</v>
      </c>
      <c r="DV19" s="752" t="e">
        <f t="shared" si="78"/>
        <v>#N/A</v>
      </c>
      <c r="DW19" s="753" t="e">
        <f t="shared" si="78"/>
        <v>#N/A</v>
      </c>
    </row>
    <row r="20" spans="1:127" s="6" customFormat="1" x14ac:dyDescent="0.35">
      <c r="A20" s="508"/>
      <c r="B20" s="65" t="s">
        <v>1387</v>
      </c>
      <c r="C20" s="18"/>
      <c r="D20" s="18"/>
      <c r="E20" s="509"/>
      <c r="F20" s="511"/>
      <c r="G20" s="218" t="str">
        <f>"Veibruksavgift fra byggefasen ("&amp;SisteStatistikkÅr&amp;"-kr)"</f>
        <v>Veibruksavgift fra byggefasen (2025-kr)</v>
      </c>
      <c r="H20" s="65"/>
      <c r="I20" s="65"/>
      <c r="J20" s="65"/>
      <c r="K20" s="65"/>
      <c r="L20" s="65"/>
      <c r="M20" s="65"/>
      <c r="N20" s="65"/>
      <c r="O20" s="65"/>
      <c r="P20" s="65"/>
      <c r="Q20" s="65"/>
      <c r="R20" s="752">
        <f t="shared" ref="R20:AW20" si="79">R35*Veibruksavgift_krprliter_diesel</f>
        <v>0</v>
      </c>
      <c r="S20" s="752">
        <f t="shared" si="79"/>
        <v>0</v>
      </c>
      <c r="T20" s="752">
        <f t="shared" si="79"/>
        <v>0</v>
      </c>
      <c r="U20" s="752">
        <f t="shared" si="79"/>
        <v>0</v>
      </c>
      <c r="V20" s="752">
        <f t="shared" si="79"/>
        <v>0</v>
      </c>
      <c r="W20" s="752">
        <f t="shared" si="79"/>
        <v>0</v>
      </c>
      <c r="X20" s="752">
        <f t="shared" si="79"/>
        <v>0</v>
      </c>
      <c r="Y20" s="752">
        <f t="shared" si="79"/>
        <v>0</v>
      </c>
      <c r="Z20" s="752">
        <f t="shared" si="79"/>
        <v>0</v>
      </c>
      <c r="AA20" s="752">
        <f t="shared" si="79"/>
        <v>0</v>
      </c>
      <c r="AB20" s="752">
        <f t="shared" si="79"/>
        <v>0</v>
      </c>
      <c r="AC20" s="752">
        <f t="shared" si="79"/>
        <v>0</v>
      </c>
      <c r="AD20" s="752">
        <f t="shared" si="79"/>
        <v>0</v>
      </c>
      <c r="AE20" s="752">
        <f t="shared" si="79"/>
        <v>0</v>
      </c>
      <c r="AF20" s="752">
        <f t="shared" si="79"/>
        <v>0</v>
      </c>
      <c r="AG20" s="752">
        <f t="shared" si="79"/>
        <v>0</v>
      </c>
      <c r="AH20" s="752">
        <f t="shared" si="79"/>
        <v>0</v>
      </c>
      <c r="AI20" s="752">
        <f t="shared" si="79"/>
        <v>0</v>
      </c>
      <c r="AJ20" s="752">
        <f t="shared" si="79"/>
        <v>0</v>
      </c>
      <c r="AK20" s="752">
        <f t="shared" si="79"/>
        <v>0</v>
      </c>
      <c r="AL20" s="752">
        <f t="shared" si="79"/>
        <v>0</v>
      </c>
      <c r="AM20" s="752">
        <f t="shared" si="79"/>
        <v>0</v>
      </c>
      <c r="AN20" s="752">
        <f t="shared" si="79"/>
        <v>0</v>
      </c>
      <c r="AO20" s="752">
        <f t="shared" si="79"/>
        <v>0</v>
      </c>
      <c r="AP20" s="752">
        <f t="shared" si="79"/>
        <v>0</v>
      </c>
      <c r="AQ20" s="752">
        <f t="shared" si="79"/>
        <v>0</v>
      </c>
      <c r="AR20" s="752">
        <f t="shared" si="79"/>
        <v>0</v>
      </c>
      <c r="AS20" s="752">
        <f t="shared" si="79"/>
        <v>0</v>
      </c>
      <c r="AT20" s="752">
        <f t="shared" si="79"/>
        <v>0</v>
      </c>
      <c r="AU20" s="752">
        <f t="shared" si="79"/>
        <v>0</v>
      </c>
      <c r="AV20" s="752">
        <f t="shared" si="79"/>
        <v>0</v>
      </c>
      <c r="AW20" s="752">
        <f t="shared" si="79"/>
        <v>0</v>
      </c>
      <c r="AX20" s="752">
        <f t="shared" ref="AX20:CC20" si="80">AX35*Veibruksavgift_krprliter_diesel</f>
        <v>0</v>
      </c>
      <c r="AY20" s="752">
        <f t="shared" si="80"/>
        <v>0</v>
      </c>
      <c r="AZ20" s="752">
        <f t="shared" si="80"/>
        <v>0</v>
      </c>
      <c r="BA20" s="752">
        <f t="shared" si="80"/>
        <v>0</v>
      </c>
      <c r="BB20" s="752">
        <f t="shared" si="80"/>
        <v>0</v>
      </c>
      <c r="BC20" s="752">
        <f t="shared" si="80"/>
        <v>0</v>
      </c>
      <c r="BD20" s="752">
        <f t="shared" si="80"/>
        <v>0</v>
      </c>
      <c r="BE20" s="752">
        <f t="shared" si="80"/>
        <v>0</v>
      </c>
      <c r="BF20" s="752">
        <f t="shared" si="80"/>
        <v>0</v>
      </c>
      <c r="BG20" s="752">
        <f t="shared" si="80"/>
        <v>0</v>
      </c>
      <c r="BH20" s="752">
        <f t="shared" si="80"/>
        <v>0</v>
      </c>
      <c r="BI20" s="752">
        <f t="shared" si="80"/>
        <v>0</v>
      </c>
      <c r="BJ20" s="752">
        <f t="shared" si="80"/>
        <v>0</v>
      </c>
      <c r="BK20" s="752">
        <f t="shared" si="80"/>
        <v>0</v>
      </c>
      <c r="BL20" s="752">
        <f t="shared" si="80"/>
        <v>0</v>
      </c>
      <c r="BM20" s="752">
        <f t="shared" si="80"/>
        <v>0</v>
      </c>
      <c r="BN20" s="752">
        <f t="shared" si="80"/>
        <v>0</v>
      </c>
      <c r="BO20" s="752">
        <f t="shared" si="80"/>
        <v>0</v>
      </c>
      <c r="BP20" s="752">
        <f t="shared" si="80"/>
        <v>0</v>
      </c>
      <c r="BQ20" s="752">
        <f t="shared" si="80"/>
        <v>0</v>
      </c>
      <c r="BR20" s="752">
        <f t="shared" si="80"/>
        <v>0</v>
      </c>
      <c r="BS20" s="752">
        <f t="shared" si="80"/>
        <v>0</v>
      </c>
      <c r="BT20" s="752">
        <f t="shared" si="80"/>
        <v>0</v>
      </c>
      <c r="BU20" s="752">
        <f t="shared" si="80"/>
        <v>0</v>
      </c>
      <c r="BV20" s="752">
        <f t="shared" si="80"/>
        <v>0</v>
      </c>
      <c r="BW20" s="752">
        <f t="shared" si="80"/>
        <v>0</v>
      </c>
      <c r="BX20" s="752">
        <f t="shared" si="80"/>
        <v>0</v>
      </c>
      <c r="BY20" s="752">
        <f t="shared" si="80"/>
        <v>0</v>
      </c>
      <c r="BZ20" s="752">
        <f t="shared" si="80"/>
        <v>0</v>
      </c>
      <c r="CA20" s="752">
        <f t="shared" si="80"/>
        <v>0</v>
      </c>
      <c r="CB20" s="752">
        <f t="shared" si="80"/>
        <v>0</v>
      </c>
      <c r="CC20" s="752">
        <f t="shared" si="80"/>
        <v>0</v>
      </c>
      <c r="CD20" s="752">
        <f t="shared" ref="CD20:CX20" si="81">CD35*Veibruksavgift_krprliter_diesel</f>
        <v>0</v>
      </c>
      <c r="CE20" s="752">
        <f t="shared" si="81"/>
        <v>0</v>
      </c>
      <c r="CF20" s="752">
        <f t="shared" si="81"/>
        <v>0</v>
      </c>
      <c r="CG20" s="752">
        <f t="shared" si="81"/>
        <v>0</v>
      </c>
      <c r="CH20" s="752">
        <f t="shared" si="81"/>
        <v>0</v>
      </c>
      <c r="CI20" s="752">
        <f t="shared" si="81"/>
        <v>0</v>
      </c>
      <c r="CJ20" s="752">
        <f t="shared" si="81"/>
        <v>0</v>
      </c>
      <c r="CK20" s="752">
        <f t="shared" si="81"/>
        <v>0</v>
      </c>
      <c r="CL20" s="752">
        <f t="shared" si="81"/>
        <v>0</v>
      </c>
      <c r="CM20" s="752">
        <f t="shared" si="81"/>
        <v>0</v>
      </c>
      <c r="CN20" s="752">
        <f t="shared" si="81"/>
        <v>0</v>
      </c>
      <c r="CO20" s="752">
        <f t="shared" si="81"/>
        <v>0</v>
      </c>
      <c r="CP20" s="752">
        <f t="shared" si="81"/>
        <v>0</v>
      </c>
      <c r="CQ20" s="752">
        <f t="shared" si="81"/>
        <v>0</v>
      </c>
      <c r="CR20" s="752">
        <f t="shared" si="81"/>
        <v>0</v>
      </c>
      <c r="CS20" s="752">
        <f t="shared" si="81"/>
        <v>0</v>
      </c>
      <c r="CT20" s="752">
        <f t="shared" si="81"/>
        <v>0</v>
      </c>
      <c r="CU20" s="752">
        <f t="shared" si="81"/>
        <v>0</v>
      </c>
      <c r="CV20" s="752">
        <f t="shared" si="81"/>
        <v>0</v>
      </c>
      <c r="CW20" s="752">
        <f t="shared" si="81"/>
        <v>0</v>
      </c>
      <c r="CX20" s="768">
        <f t="shared" si="81"/>
        <v>0</v>
      </c>
      <c r="CY20" s="752">
        <f t="shared" ref="CY20:DT20" si="82">CY35*Veibruksavgift_krprliter_diesel</f>
        <v>0</v>
      </c>
      <c r="CZ20" s="752">
        <f t="shared" si="82"/>
        <v>0</v>
      </c>
      <c r="DA20" s="752">
        <f t="shared" si="82"/>
        <v>0</v>
      </c>
      <c r="DB20" s="752">
        <f t="shared" si="82"/>
        <v>0</v>
      </c>
      <c r="DC20" s="752">
        <f t="shared" si="82"/>
        <v>0</v>
      </c>
      <c r="DD20" s="752">
        <f t="shared" si="82"/>
        <v>0</v>
      </c>
      <c r="DE20" s="752">
        <f t="shared" si="82"/>
        <v>0</v>
      </c>
      <c r="DF20" s="752">
        <f t="shared" si="82"/>
        <v>0</v>
      </c>
      <c r="DG20" s="752">
        <f t="shared" si="82"/>
        <v>0</v>
      </c>
      <c r="DH20" s="752">
        <f t="shared" si="82"/>
        <v>0</v>
      </c>
      <c r="DI20" s="752">
        <f t="shared" si="82"/>
        <v>0</v>
      </c>
      <c r="DJ20" s="752">
        <f t="shared" si="82"/>
        <v>0</v>
      </c>
      <c r="DK20" s="752">
        <f t="shared" si="82"/>
        <v>0</v>
      </c>
      <c r="DL20" s="752">
        <f t="shared" si="82"/>
        <v>0</v>
      </c>
      <c r="DM20" s="752">
        <f t="shared" si="82"/>
        <v>0</v>
      </c>
      <c r="DN20" s="752">
        <f t="shared" si="82"/>
        <v>0</v>
      </c>
      <c r="DO20" s="752">
        <f t="shared" si="82"/>
        <v>0</v>
      </c>
      <c r="DP20" s="752">
        <f t="shared" si="82"/>
        <v>0</v>
      </c>
      <c r="DQ20" s="752">
        <f t="shared" si="82"/>
        <v>0</v>
      </c>
      <c r="DR20" s="752">
        <f t="shared" si="82"/>
        <v>0</v>
      </c>
      <c r="DS20" s="752">
        <f t="shared" si="82"/>
        <v>0</v>
      </c>
      <c r="DT20" s="752">
        <f t="shared" si="82"/>
        <v>0</v>
      </c>
      <c r="DU20" s="752">
        <f t="shared" ref="DU20:DW20" si="83">DU35*Veibruksavgift_krprliter_diesel</f>
        <v>0</v>
      </c>
      <c r="DV20" s="752">
        <f t="shared" si="83"/>
        <v>0</v>
      </c>
      <c r="DW20" s="753">
        <f t="shared" si="83"/>
        <v>0</v>
      </c>
    </row>
    <row r="21" spans="1:127" x14ac:dyDescent="0.35">
      <c r="A21" s="431"/>
      <c r="B21" s="65" t="s">
        <v>1387</v>
      </c>
      <c r="C21" s="148"/>
      <c r="D21" s="101"/>
      <c r="E21" s="217"/>
      <c r="F21" s="6"/>
      <c r="G21" s="218" t="s">
        <v>1391</v>
      </c>
      <c r="H21" s="65"/>
      <c r="I21" s="65"/>
      <c r="J21" s="65"/>
      <c r="K21" s="65"/>
      <c r="L21" s="65"/>
      <c r="M21" s="65"/>
      <c r="N21" s="65"/>
      <c r="O21" s="65"/>
      <c r="P21" s="65"/>
      <c r="Q21" s="65"/>
      <c r="R21" s="65"/>
      <c r="S21" s="65"/>
      <c r="T21" s="65"/>
      <c r="U21" s="65"/>
      <c r="V21" s="65"/>
      <c r="W21" s="65"/>
      <c r="X21" s="65"/>
      <c r="Y21" s="65"/>
      <c r="Z21" s="65"/>
      <c r="AA21" s="787">
        <f>IF(Åpningsår&lt;FørsteBeregningsår,"",1)</f>
        <v>1</v>
      </c>
      <c r="AB21" s="792">
        <f>IF(SerieÅR&lt;FørsteBeregningsår,AC21/(1+SerieÅrligPersonvekst),IF(SerieÅR&gt;SisteÅrMedVolumvekst,AA21,IF(AND(Framskrivning="Vekstprognose",SerieÅR&gt;MAXA(FørsteBeregningsår,AndreBeregningsår,TredjeBeregningsår)),(1+SerieÅrligPersonvekst)*AA21,1)))</f>
        <v>1</v>
      </c>
      <c r="AC21" s="792" t="e">
        <f>IF(SerieÅR&lt;FørsteBeregningsår,AD21/(1+SerieÅrligPersonvekst),IF(SerieÅR&gt;SisteÅrMedVolumvekst,AB21,IF(AND(Framskrivning="Vekstprognose",SerieÅR&gt;MAXA(FørsteBeregningsår,AndreBeregningsår,TredjeBeregningsår)),(1+SerieÅrligPersonvekst)*AB21,1)))</f>
        <v>#N/A</v>
      </c>
      <c r="AD21" s="792" t="e">
        <f>IF(SerieÅR&lt;FørsteBeregningsår,AE21/(1+SerieÅrligPersonvekst),IF(SerieÅR&gt;SisteÅrMedVolumvekst,AC21,IF(AND(Framskrivning="Vekstprognose",SerieÅR&gt;MAXA(FørsteBeregningsår,AndreBeregningsår,TredjeBeregningsår)),(1+SerieÅrligPersonvekst)*AC21,1)))</f>
        <v>#N/A</v>
      </c>
      <c r="AE21" s="792" t="e">
        <f t="shared" ref="AE21:BG21" si="84">IF(SerieÅR&lt;FørsteBeregningsår,AF21/(1+SerieÅrligPersonvekst),IF(SerieÅR&gt;SisteÅrMedVolumvekst,AD21,IF(AND(Framskrivning="Vekstprognose",SerieÅR&gt;MAXA(FørsteBeregningsår,AndreBeregningsår,TredjeBeregningsår)),(1+SerieÅrligPersonvekst)*AD21,1)))</f>
        <v>#N/A</v>
      </c>
      <c r="AF21" s="792" t="e">
        <f t="shared" si="84"/>
        <v>#N/A</v>
      </c>
      <c r="AG21" s="792" t="e">
        <f t="shared" si="84"/>
        <v>#N/A</v>
      </c>
      <c r="AH21" s="792" t="e">
        <f t="shared" si="84"/>
        <v>#N/A</v>
      </c>
      <c r="AI21" s="792" t="e">
        <f t="shared" si="84"/>
        <v>#N/A</v>
      </c>
      <c r="AJ21" s="792" t="e">
        <f t="shared" si="84"/>
        <v>#N/A</v>
      </c>
      <c r="AK21" s="792" t="e">
        <f t="shared" si="84"/>
        <v>#N/A</v>
      </c>
      <c r="AL21" s="792" t="e">
        <f t="shared" si="84"/>
        <v>#N/A</v>
      </c>
      <c r="AM21" s="792" t="e">
        <f t="shared" si="84"/>
        <v>#N/A</v>
      </c>
      <c r="AN21" s="792" t="e">
        <f t="shared" si="84"/>
        <v>#N/A</v>
      </c>
      <c r="AO21" s="792" t="e">
        <f t="shared" si="84"/>
        <v>#N/A</v>
      </c>
      <c r="AP21" s="792" t="e">
        <f t="shared" si="84"/>
        <v>#N/A</v>
      </c>
      <c r="AQ21" s="792" t="e">
        <f t="shared" si="84"/>
        <v>#N/A</v>
      </c>
      <c r="AR21" s="792" t="e">
        <f t="shared" si="84"/>
        <v>#N/A</v>
      </c>
      <c r="AS21" s="792" t="e">
        <f t="shared" si="84"/>
        <v>#N/A</v>
      </c>
      <c r="AT21" s="792" t="e">
        <f t="shared" si="84"/>
        <v>#N/A</v>
      </c>
      <c r="AU21" s="792" t="e">
        <f t="shared" si="84"/>
        <v>#N/A</v>
      </c>
      <c r="AV21" s="792" t="e">
        <f t="shared" si="84"/>
        <v>#N/A</v>
      </c>
      <c r="AW21" s="792" t="e">
        <f t="shared" si="84"/>
        <v>#N/A</v>
      </c>
      <c r="AX21" s="792" t="e">
        <f t="shared" si="84"/>
        <v>#N/A</v>
      </c>
      <c r="AY21" s="792" t="e">
        <f t="shared" si="84"/>
        <v>#N/A</v>
      </c>
      <c r="AZ21" s="792" t="e">
        <f t="shared" si="84"/>
        <v>#N/A</v>
      </c>
      <c r="BA21" s="792" t="e">
        <f t="shared" si="84"/>
        <v>#N/A</v>
      </c>
      <c r="BB21" s="792" t="e">
        <f t="shared" si="84"/>
        <v>#N/A</v>
      </c>
      <c r="BC21" s="792" t="e">
        <f t="shared" si="84"/>
        <v>#N/A</v>
      </c>
      <c r="BD21" s="792" t="e">
        <f t="shared" si="84"/>
        <v>#N/A</v>
      </c>
      <c r="BE21" s="792" t="e">
        <f t="shared" si="84"/>
        <v>#N/A</v>
      </c>
      <c r="BF21" s="792" t="e">
        <f t="shared" si="84"/>
        <v>#N/A</v>
      </c>
      <c r="BG21" s="792" t="e">
        <f t="shared" si="84"/>
        <v>#N/A</v>
      </c>
      <c r="BH21" s="792" t="e">
        <f t="shared" ref="BH21:CM21" si="85">IF(SerieÅR&lt;FørsteBeregningsår,BI21/(1+SerieÅrligPersonvekst),IF(SerieÅR&gt;SisteÅrMedVolumvekst,BG21,IF(AND(Framskrivning="Vekstprognose",SerieÅR&gt;MAXA(FørsteBeregningsår,AndreBeregningsår,TredjeBeregningsår)),(1+SerieÅrligPersonvekst)*BG21,1)))</f>
        <v>#N/A</v>
      </c>
      <c r="BI21" s="792" t="e">
        <f t="shared" si="85"/>
        <v>#N/A</v>
      </c>
      <c r="BJ21" s="792" t="e">
        <f t="shared" si="85"/>
        <v>#N/A</v>
      </c>
      <c r="BK21" s="792" t="e">
        <f t="shared" si="85"/>
        <v>#N/A</v>
      </c>
      <c r="BL21" s="792" t="e">
        <f t="shared" si="85"/>
        <v>#N/A</v>
      </c>
      <c r="BM21" s="792" t="e">
        <f t="shared" si="85"/>
        <v>#N/A</v>
      </c>
      <c r="BN21" s="792" t="e">
        <f t="shared" si="85"/>
        <v>#N/A</v>
      </c>
      <c r="BO21" s="792" t="e">
        <f t="shared" si="85"/>
        <v>#N/A</v>
      </c>
      <c r="BP21" s="792" t="e">
        <f t="shared" si="85"/>
        <v>#N/A</v>
      </c>
      <c r="BQ21" s="792" t="e">
        <f t="shared" si="85"/>
        <v>#N/A</v>
      </c>
      <c r="BR21" s="792" t="e">
        <f t="shared" si="85"/>
        <v>#N/A</v>
      </c>
      <c r="BS21" s="792" t="e">
        <f t="shared" si="85"/>
        <v>#N/A</v>
      </c>
      <c r="BT21" s="792" t="e">
        <f t="shared" si="85"/>
        <v>#N/A</v>
      </c>
      <c r="BU21" s="792" t="e">
        <f t="shared" si="85"/>
        <v>#N/A</v>
      </c>
      <c r="BV21" s="792" t="e">
        <f t="shared" si="85"/>
        <v>#N/A</v>
      </c>
      <c r="BW21" s="792" t="e">
        <f t="shared" si="85"/>
        <v>#N/A</v>
      </c>
      <c r="BX21" s="792" t="e">
        <f t="shared" si="85"/>
        <v>#N/A</v>
      </c>
      <c r="BY21" s="792" t="e">
        <f t="shared" si="85"/>
        <v>#N/A</v>
      </c>
      <c r="BZ21" s="792" t="e">
        <f t="shared" si="85"/>
        <v>#N/A</v>
      </c>
      <c r="CA21" s="792" t="e">
        <f t="shared" si="85"/>
        <v>#N/A</v>
      </c>
      <c r="CB21" s="792" t="e">
        <f t="shared" si="85"/>
        <v>#N/A</v>
      </c>
      <c r="CC21" s="792" t="e">
        <f t="shared" si="85"/>
        <v>#N/A</v>
      </c>
      <c r="CD21" s="792" t="e">
        <f t="shared" si="85"/>
        <v>#N/A</v>
      </c>
      <c r="CE21" s="792" t="e">
        <f t="shared" si="85"/>
        <v>#N/A</v>
      </c>
      <c r="CF21" s="792" t="e">
        <f t="shared" si="85"/>
        <v>#N/A</v>
      </c>
      <c r="CG21" s="792" t="e">
        <f t="shared" si="85"/>
        <v>#N/A</v>
      </c>
      <c r="CH21" s="792" t="e">
        <f t="shared" si="85"/>
        <v>#N/A</v>
      </c>
      <c r="CI21" s="792" t="e">
        <f t="shared" si="85"/>
        <v>#N/A</v>
      </c>
      <c r="CJ21" s="792" t="e">
        <f t="shared" si="85"/>
        <v>#N/A</v>
      </c>
      <c r="CK21" s="792" t="e">
        <f t="shared" si="85"/>
        <v>#N/A</v>
      </c>
      <c r="CL21" s="792" t="e">
        <f t="shared" si="85"/>
        <v>#N/A</v>
      </c>
      <c r="CM21" s="792" t="e">
        <f t="shared" si="85"/>
        <v>#N/A</v>
      </c>
      <c r="CN21" s="792" t="e">
        <f t="shared" ref="CN21:CW21" si="86">IF(SerieÅR&lt;FørsteBeregningsår,CO21/(1+SerieÅrligPersonvekst),IF(SerieÅR&gt;SisteÅrMedVolumvekst,CM21,IF(AND(Framskrivning="Vekstprognose",SerieÅR&gt;MAXA(FørsteBeregningsår,AndreBeregningsår,TredjeBeregningsår)),(1+SerieÅrligPersonvekst)*CM21,1)))</f>
        <v>#N/A</v>
      </c>
      <c r="CO21" s="792" t="e">
        <f t="shared" si="86"/>
        <v>#N/A</v>
      </c>
      <c r="CP21" s="792" t="e">
        <f t="shared" si="86"/>
        <v>#N/A</v>
      </c>
      <c r="CQ21" s="792" t="e">
        <f t="shared" si="86"/>
        <v>#N/A</v>
      </c>
      <c r="CR21" s="792" t="e">
        <f t="shared" si="86"/>
        <v>#N/A</v>
      </c>
      <c r="CS21" s="792" t="e">
        <f t="shared" si="86"/>
        <v>#N/A</v>
      </c>
      <c r="CT21" s="792" t="e">
        <f t="shared" si="86"/>
        <v>#N/A</v>
      </c>
      <c r="CU21" s="792" t="e">
        <f t="shared" si="86"/>
        <v>#N/A</v>
      </c>
      <c r="CV21" s="792" t="e">
        <f t="shared" si="86"/>
        <v>#N/A</v>
      </c>
      <c r="CW21" s="792" t="e">
        <f t="shared" si="86"/>
        <v>#N/A</v>
      </c>
      <c r="CX21" s="768" t="e">
        <f t="shared" ref="CX21:DW21" si="87">IF(SerieÅR&lt;FørsteBeregningsår,CY21/(1+SerieÅrligPersonvekst),IF(SerieÅR&gt;SisteÅrMedVolumvekst,CW21,IF(AND(Framskrivning="Vekstprognose",SerieÅR&gt;MAXA(FørsteBeregningsår,AndreBeregningsår,TredjeBeregningsår)),(1+SerieÅrligPersonvekst)*CW21,1)))</f>
        <v>#N/A</v>
      </c>
      <c r="CY21" s="752" t="e">
        <f t="shared" si="87"/>
        <v>#N/A</v>
      </c>
      <c r="CZ21" s="752" t="e">
        <f t="shared" si="87"/>
        <v>#N/A</v>
      </c>
      <c r="DA21" s="752" t="e">
        <f t="shared" si="87"/>
        <v>#N/A</v>
      </c>
      <c r="DB21" s="752" t="e">
        <f t="shared" si="87"/>
        <v>#N/A</v>
      </c>
      <c r="DC21" s="752" t="e">
        <f t="shared" si="87"/>
        <v>#N/A</v>
      </c>
      <c r="DD21" s="752" t="e">
        <f t="shared" si="87"/>
        <v>#N/A</v>
      </c>
      <c r="DE21" s="752" t="e">
        <f t="shared" si="87"/>
        <v>#N/A</v>
      </c>
      <c r="DF21" s="752" t="e">
        <f t="shared" si="87"/>
        <v>#N/A</v>
      </c>
      <c r="DG21" s="752" t="e">
        <f t="shared" si="87"/>
        <v>#N/A</v>
      </c>
      <c r="DH21" s="752" t="e">
        <f t="shared" si="87"/>
        <v>#N/A</v>
      </c>
      <c r="DI21" s="752" t="e">
        <f t="shared" si="87"/>
        <v>#N/A</v>
      </c>
      <c r="DJ21" s="752" t="e">
        <f t="shared" si="87"/>
        <v>#N/A</v>
      </c>
      <c r="DK21" s="752" t="e">
        <f t="shared" si="87"/>
        <v>#N/A</v>
      </c>
      <c r="DL21" s="752" t="e">
        <f t="shared" si="87"/>
        <v>#N/A</v>
      </c>
      <c r="DM21" s="752" t="e">
        <f t="shared" si="87"/>
        <v>#N/A</v>
      </c>
      <c r="DN21" s="752" t="e">
        <f t="shared" si="87"/>
        <v>#N/A</v>
      </c>
      <c r="DO21" s="752" t="e">
        <f t="shared" si="87"/>
        <v>#N/A</v>
      </c>
      <c r="DP21" s="752" t="e">
        <f t="shared" si="87"/>
        <v>#N/A</v>
      </c>
      <c r="DQ21" s="752" t="e">
        <f t="shared" si="87"/>
        <v>#N/A</v>
      </c>
      <c r="DR21" s="752" t="e">
        <f t="shared" si="87"/>
        <v>#N/A</v>
      </c>
      <c r="DS21" s="752" t="e">
        <f t="shared" si="87"/>
        <v>#N/A</v>
      </c>
      <c r="DT21" s="752" t="e">
        <f t="shared" si="87"/>
        <v>#N/A</v>
      </c>
      <c r="DU21" s="752" t="e">
        <f t="shared" si="87"/>
        <v>#N/A</v>
      </c>
      <c r="DV21" s="752" t="e">
        <f t="shared" si="87"/>
        <v>#N/A</v>
      </c>
      <c r="DW21" s="753" t="e">
        <f t="shared" si="87"/>
        <v>#N/A</v>
      </c>
    </row>
    <row r="22" spans="1:127" x14ac:dyDescent="0.35">
      <c r="A22" s="287"/>
      <c r="B22" s="65" t="s">
        <v>1387</v>
      </c>
      <c r="C22" s="65"/>
      <c r="D22" s="65"/>
      <c r="E22" s="217"/>
      <c r="F22" s="6"/>
      <c r="G22" s="218" t="s">
        <v>1392</v>
      </c>
      <c r="H22" s="65"/>
      <c r="I22" s="65"/>
      <c r="J22" s="65"/>
      <c r="K22" s="65"/>
      <c r="L22" s="65"/>
      <c r="M22" s="65"/>
      <c r="N22" s="65"/>
      <c r="O22" s="65"/>
      <c r="P22" s="65"/>
      <c r="Q22" s="65"/>
      <c r="R22" s="65"/>
      <c r="S22" s="65"/>
      <c r="T22" s="65"/>
      <c r="U22" s="65"/>
      <c r="V22" s="65"/>
      <c r="W22" s="65"/>
      <c r="X22" s="65"/>
      <c r="Y22" s="65"/>
      <c r="Z22" s="65"/>
      <c r="AA22" s="718">
        <f>IF(Åpningsår&lt;FørsteBeregningsår,"",1)</f>
        <v>1</v>
      </c>
      <c r="AB22" s="752">
        <f>IF(SerieÅR&lt;FørsteBeregningsår,AC22/(1+SerieÅrligGodsVekst),IF(SerieÅR&gt;SisteÅrMedVolumvekst,AA22,IF(AND(Framskrivning="Vekstprognose",SerieÅR&gt;MAXA(FørsteBeregningsår,AndreBeregningsår,TredjeBeregningsår)),(1+SerieÅrligGodsVekst)*AA22,1)))</f>
        <v>1</v>
      </c>
      <c r="AC22" s="752" t="e">
        <f t="shared" ref="AC22:BG22" si="88">IF(SerieÅR&lt;FørsteBeregningsår,AD22/(1+SerieÅrligGodsVekst),IF(SerieÅR&gt;SisteÅrMedVolumvekst,AB22,IF(AND(Framskrivning="Vekstprognose",SerieÅR&gt;MAXA(FørsteBeregningsår,AndreBeregningsår,TredjeBeregningsår)),(1+SerieÅrligGodsVekst)*AB22,1)))</f>
        <v>#N/A</v>
      </c>
      <c r="AD22" s="752" t="e">
        <f t="shared" si="88"/>
        <v>#N/A</v>
      </c>
      <c r="AE22" s="752" t="e">
        <f t="shared" si="88"/>
        <v>#N/A</v>
      </c>
      <c r="AF22" s="752" t="e">
        <f t="shared" si="88"/>
        <v>#N/A</v>
      </c>
      <c r="AG22" s="752" t="e">
        <f t="shared" si="88"/>
        <v>#N/A</v>
      </c>
      <c r="AH22" s="752" t="e">
        <f t="shared" si="88"/>
        <v>#N/A</v>
      </c>
      <c r="AI22" s="752" t="e">
        <f t="shared" si="88"/>
        <v>#N/A</v>
      </c>
      <c r="AJ22" s="752" t="e">
        <f t="shared" si="88"/>
        <v>#N/A</v>
      </c>
      <c r="AK22" s="752" t="e">
        <f t="shared" si="88"/>
        <v>#N/A</v>
      </c>
      <c r="AL22" s="752" t="e">
        <f t="shared" si="88"/>
        <v>#N/A</v>
      </c>
      <c r="AM22" s="752" t="e">
        <f t="shared" si="88"/>
        <v>#N/A</v>
      </c>
      <c r="AN22" s="752" t="e">
        <f t="shared" si="88"/>
        <v>#N/A</v>
      </c>
      <c r="AO22" s="752" t="e">
        <f t="shared" si="88"/>
        <v>#N/A</v>
      </c>
      <c r="AP22" s="752" t="e">
        <f t="shared" si="88"/>
        <v>#N/A</v>
      </c>
      <c r="AQ22" s="752" t="e">
        <f t="shared" si="88"/>
        <v>#N/A</v>
      </c>
      <c r="AR22" s="752" t="e">
        <f t="shared" si="88"/>
        <v>#N/A</v>
      </c>
      <c r="AS22" s="752" t="e">
        <f t="shared" si="88"/>
        <v>#N/A</v>
      </c>
      <c r="AT22" s="752" t="e">
        <f t="shared" si="88"/>
        <v>#N/A</v>
      </c>
      <c r="AU22" s="752" t="e">
        <f t="shared" si="88"/>
        <v>#N/A</v>
      </c>
      <c r="AV22" s="752" t="e">
        <f t="shared" si="88"/>
        <v>#N/A</v>
      </c>
      <c r="AW22" s="752" t="e">
        <f t="shared" si="88"/>
        <v>#N/A</v>
      </c>
      <c r="AX22" s="752" t="e">
        <f t="shared" si="88"/>
        <v>#N/A</v>
      </c>
      <c r="AY22" s="752" t="e">
        <f t="shared" si="88"/>
        <v>#N/A</v>
      </c>
      <c r="AZ22" s="752" t="e">
        <f t="shared" si="88"/>
        <v>#N/A</v>
      </c>
      <c r="BA22" s="752" t="e">
        <f t="shared" si="88"/>
        <v>#N/A</v>
      </c>
      <c r="BB22" s="752" t="e">
        <f t="shared" si="88"/>
        <v>#N/A</v>
      </c>
      <c r="BC22" s="752" t="e">
        <f t="shared" si="88"/>
        <v>#N/A</v>
      </c>
      <c r="BD22" s="752" t="e">
        <f t="shared" si="88"/>
        <v>#N/A</v>
      </c>
      <c r="BE22" s="752" t="e">
        <f t="shared" si="88"/>
        <v>#N/A</v>
      </c>
      <c r="BF22" s="752" t="e">
        <f t="shared" si="88"/>
        <v>#N/A</v>
      </c>
      <c r="BG22" s="752" t="e">
        <f t="shared" si="88"/>
        <v>#N/A</v>
      </c>
      <c r="BH22" s="752" t="e">
        <f t="shared" ref="BH22:CM22" si="89">IF(SerieÅR&lt;FørsteBeregningsår,BI22/(1+SerieÅrligGodsVekst),IF(SerieÅR&gt;SisteÅrMedVolumvekst,BG22,IF(AND(Framskrivning="Vekstprognose",SerieÅR&gt;MAXA(FørsteBeregningsår,AndreBeregningsår,TredjeBeregningsår)),(1+SerieÅrligGodsVekst)*BG22,1)))</f>
        <v>#N/A</v>
      </c>
      <c r="BI22" s="752" t="e">
        <f t="shared" si="89"/>
        <v>#N/A</v>
      </c>
      <c r="BJ22" s="752" t="e">
        <f t="shared" si="89"/>
        <v>#N/A</v>
      </c>
      <c r="BK22" s="752" t="e">
        <f t="shared" si="89"/>
        <v>#N/A</v>
      </c>
      <c r="BL22" s="752" t="e">
        <f t="shared" si="89"/>
        <v>#N/A</v>
      </c>
      <c r="BM22" s="752" t="e">
        <f t="shared" si="89"/>
        <v>#N/A</v>
      </c>
      <c r="BN22" s="752" t="e">
        <f t="shared" si="89"/>
        <v>#N/A</v>
      </c>
      <c r="BO22" s="752" t="e">
        <f t="shared" si="89"/>
        <v>#N/A</v>
      </c>
      <c r="BP22" s="752" t="e">
        <f t="shared" si="89"/>
        <v>#N/A</v>
      </c>
      <c r="BQ22" s="752" t="e">
        <f t="shared" si="89"/>
        <v>#N/A</v>
      </c>
      <c r="BR22" s="752" t="e">
        <f t="shared" si="89"/>
        <v>#N/A</v>
      </c>
      <c r="BS22" s="752" t="e">
        <f t="shared" si="89"/>
        <v>#N/A</v>
      </c>
      <c r="BT22" s="752" t="e">
        <f t="shared" si="89"/>
        <v>#N/A</v>
      </c>
      <c r="BU22" s="752" t="e">
        <f t="shared" si="89"/>
        <v>#N/A</v>
      </c>
      <c r="BV22" s="752" t="e">
        <f t="shared" si="89"/>
        <v>#N/A</v>
      </c>
      <c r="BW22" s="752" t="e">
        <f t="shared" si="89"/>
        <v>#N/A</v>
      </c>
      <c r="BX22" s="752" t="e">
        <f t="shared" si="89"/>
        <v>#N/A</v>
      </c>
      <c r="BY22" s="752" t="e">
        <f t="shared" si="89"/>
        <v>#N/A</v>
      </c>
      <c r="BZ22" s="752" t="e">
        <f t="shared" si="89"/>
        <v>#N/A</v>
      </c>
      <c r="CA22" s="752" t="e">
        <f t="shared" si="89"/>
        <v>#N/A</v>
      </c>
      <c r="CB22" s="752" t="e">
        <f t="shared" si="89"/>
        <v>#N/A</v>
      </c>
      <c r="CC22" s="752" t="e">
        <f t="shared" si="89"/>
        <v>#N/A</v>
      </c>
      <c r="CD22" s="752" t="e">
        <f t="shared" si="89"/>
        <v>#N/A</v>
      </c>
      <c r="CE22" s="752" t="e">
        <f t="shared" si="89"/>
        <v>#N/A</v>
      </c>
      <c r="CF22" s="752" t="e">
        <f t="shared" si="89"/>
        <v>#N/A</v>
      </c>
      <c r="CG22" s="752" t="e">
        <f t="shared" si="89"/>
        <v>#N/A</v>
      </c>
      <c r="CH22" s="752" t="e">
        <f t="shared" si="89"/>
        <v>#N/A</v>
      </c>
      <c r="CI22" s="752" t="e">
        <f t="shared" si="89"/>
        <v>#N/A</v>
      </c>
      <c r="CJ22" s="752" t="e">
        <f t="shared" si="89"/>
        <v>#N/A</v>
      </c>
      <c r="CK22" s="752" t="e">
        <f t="shared" si="89"/>
        <v>#N/A</v>
      </c>
      <c r="CL22" s="752" t="e">
        <f t="shared" si="89"/>
        <v>#N/A</v>
      </c>
      <c r="CM22" s="752" t="e">
        <f t="shared" si="89"/>
        <v>#N/A</v>
      </c>
      <c r="CN22" s="752" t="e">
        <f t="shared" ref="CN22:CX22" si="90">IF(SerieÅR&lt;FørsteBeregningsår,CO22/(1+SerieÅrligGodsVekst),IF(SerieÅR&gt;SisteÅrMedVolumvekst,CM22,IF(AND(Framskrivning="Vekstprognose",SerieÅR&gt;MAXA(FørsteBeregningsår,AndreBeregningsår,TredjeBeregningsår)),(1+SerieÅrligGodsVekst)*CM22,1)))</f>
        <v>#N/A</v>
      </c>
      <c r="CO22" s="752" t="e">
        <f t="shared" si="90"/>
        <v>#N/A</v>
      </c>
      <c r="CP22" s="752" t="e">
        <f t="shared" si="90"/>
        <v>#N/A</v>
      </c>
      <c r="CQ22" s="752" t="e">
        <f t="shared" si="90"/>
        <v>#N/A</v>
      </c>
      <c r="CR22" s="752" t="e">
        <f t="shared" si="90"/>
        <v>#N/A</v>
      </c>
      <c r="CS22" s="752" t="e">
        <f t="shared" si="90"/>
        <v>#N/A</v>
      </c>
      <c r="CT22" s="752" t="e">
        <f t="shared" si="90"/>
        <v>#N/A</v>
      </c>
      <c r="CU22" s="752" t="e">
        <f t="shared" si="90"/>
        <v>#N/A</v>
      </c>
      <c r="CV22" s="752" t="e">
        <f t="shared" si="90"/>
        <v>#N/A</v>
      </c>
      <c r="CW22" s="752" t="e">
        <f t="shared" si="90"/>
        <v>#N/A</v>
      </c>
      <c r="CX22" s="768" t="e">
        <f t="shared" si="90"/>
        <v>#N/A</v>
      </c>
      <c r="CY22" s="752" t="e">
        <f t="shared" ref="CY22" si="91">IF(SerieÅR&lt;FørsteBeregningsår,CZ22/(1+SerieÅrligGodsVekst),IF(SerieÅR&gt;SisteÅrMedVolumvekst,CX22,IF(AND(Framskrivning="Vekstprognose",SerieÅR&gt;MAXA(FørsteBeregningsår,AndreBeregningsår,TredjeBeregningsår)),(1+SerieÅrligGodsVekst)*CX22,1)))</f>
        <v>#N/A</v>
      </c>
      <c r="CZ22" s="752" t="e">
        <f t="shared" ref="CZ22" si="92">IF(SerieÅR&lt;FørsteBeregningsår,DA22/(1+SerieÅrligGodsVekst),IF(SerieÅR&gt;SisteÅrMedVolumvekst,CY22,IF(AND(Framskrivning="Vekstprognose",SerieÅR&gt;MAXA(FørsteBeregningsår,AndreBeregningsår,TredjeBeregningsår)),(1+SerieÅrligGodsVekst)*CY22,1)))</f>
        <v>#N/A</v>
      </c>
      <c r="DA22" s="752" t="e">
        <f t="shared" ref="DA22" si="93">IF(SerieÅR&lt;FørsteBeregningsår,DB22/(1+SerieÅrligGodsVekst),IF(SerieÅR&gt;SisteÅrMedVolumvekst,CZ22,IF(AND(Framskrivning="Vekstprognose",SerieÅR&gt;MAXA(FørsteBeregningsår,AndreBeregningsår,TredjeBeregningsår)),(1+SerieÅrligGodsVekst)*CZ22,1)))</f>
        <v>#N/A</v>
      </c>
      <c r="DB22" s="752" t="e">
        <f t="shared" ref="DB22" si="94">IF(SerieÅR&lt;FørsteBeregningsår,DC22/(1+SerieÅrligGodsVekst),IF(SerieÅR&gt;SisteÅrMedVolumvekst,DA22,IF(AND(Framskrivning="Vekstprognose",SerieÅR&gt;MAXA(FørsteBeregningsår,AndreBeregningsår,TredjeBeregningsår)),(1+SerieÅrligGodsVekst)*DA22,1)))</f>
        <v>#N/A</v>
      </c>
      <c r="DC22" s="752" t="e">
        <f t="shared" ref="DC22" si="95">IF(SerieÅR&lt;FørsteBeregningsår,DD22/(1+SerieÅrligGodsVekst),IF(SerieÅR&gt;SisteÅrMedVolumvekst,DB22,IF(AND(Framskrivning="Vekstprognose",SerieÅR&gt;MAXA(FørsteBeregningsår,AndreBeregningsår,TredjeBeregningsår)),(1+SerieÅrligGodsVekst)*DB22,1)))</f>
        <v>#N/A</v>
      </c>
      <c r="DD22" s="752" t="e">
        <f t="shared" ref="DD22" si="96">IF(SerieÅR&lt;FørsteBeregningsår,DE22/(1+SerieÅrligGodsVekst),IF(SerieÅR&gt;SisteÅrMedVolumvekst,DC22,IF(AND(Framskrivning="Vekstprognose",SerieÅR&gt;MAXA(FørsteBeregningsår,AndreBeregningsår,TredjeBeregningsår)),(1+SerieÅrligGodsVekst)*DC22,1)))</f>
        <v>#N/A</v>
      </c>
      <c r="DE22" s="752" t="e">
        <f t="shared" ref="DE22" si="97">IF(SerieÅR&lt;FørsteBeregningsår,DF22/(1+SerieÅrligGodsVekst),IF(SerieÅR&gt;SisteÅrMedVolumvekst,DD22,IF(AND(Framskrivning="Vekstprognose",SerieÅR&gt;MAXA(FørsteBeregningsår,AndreBeregningsår,TredjeBeregningsår)),(1+SerieÅrligGodsVekst)*DD22,1)))</f>
        <v>#N/A</v>
      </c>
      <c r="DF22" s="752" t="e">
        <f t="shared" ref="DF22" si="98">IF(SerieÅR&lt;FørsteBeregningsår,DG22/(1+SerieÅrligGodsVekst),IF(SerieÅR&gt;SisteÅrMedVolumvekst,DE22,IF(AND(Framskrivning="Vekstprognose",SerieÅR&gt;MAXA(FørsteBeregningsår,AndreBeregningsår,TredjeBeregningsår)),(1+SerieÅrligGodsVekst)*DE22,1)))</f>
        <v>#N/A</v>
      </c>
      <c r="DG22" s="752" t="e">
        <f t="shared" ref="DG22" si="99">IF(SerieÅR&lt;FørsteBeregningsår,DH22/(1+SerieÅrligGodsVekst),IF(SerieÅR&gt;SisteÅrMedVolumvekst,DF22,IF(AND(Framskrivning="Vekstprognose",SerieÅR&gt;MAXA(FørsteBeregningsår,AndreBeregningsår,TredjeBeregningsår)),(1+SerieÅrligGodsVekst)*DF22,1)))</f>
        <v>#N/A</v>
      </c>
      <c r="DH22" s="752" t="e">
        <f t="shared" ref="DH22" si="100">IF(SerieÅR&lt;FørsteBeregningsår,DI22/(1+SerieÅrligGodsVekst),IF(SerieÅR&gt;SisteÅrMedVolumvekst,DG22,IF(AND(Framskrivning="Vekstprognose",SerieÅR&gt;MAXA(FørsteBeregningsår,AndreBeregningsår,TredjeBeregningsår)),(1+SerieÅrligGodsVekst)*DG22,1)))</f>
        <v>#N/A</v>
      </c>
      <c r="DI22" s="752" t="e">
        <f t="shared" ref="DI22" si="101">IF(SerieÅR&lt;FørsteBeregningsår,DJ22/(1+SerieÅrligGodsVekst),IF(SerieÅR&gt;SisteÅrMedVolumvekst,DH22,IF(AND(Framskrivning="Vekstprognose",SerieÅR&gt;MAXA(FørsteBeregningsår,AndreBeregningsår,TredjeBeregningsår)),(1+SerieÅrligGodsVekst)*DH22,1)))</f>
        <v>#N/A</v>
      </c>
      <c r="DJ22" s="752" t="e">
        <f t="shared" ref="DJ22" si="102">IF(SerieÅR&lt;FørsteBeregningsår,DK22/(1+SerieÅrligGodsVekst),IF(SerieÅR&gt;SisteÅrMedVolumvekst,DI22,IF(AND(Framskrivning="Vekstprognose",SerieÅR&gt;MAXA(FørsteBeregningsår,AndreBeregningsår,TredjeBeregningsår)),(1+SerieÅrligGodsVekst)*DI22,1)))</f>
        <v>#N/A</v>
      </c>
      <c r="DK22" s="752" t="e">
        <f t="shared" ref="DK22" si="103">IF(SerieÅR&lt;FørsteBeregningsår,DL22/(1+SerieÅrligGodsVekst),IF(SerieÅR&gt;SisteÅrMedVolumvekst,DJ22,IF(AND(Framskrivning="Vekstprognose",SerieÅR&gt;MAXA(FørsteBeregningsår,AndreBeregningsår,TredjeBeregningsår)),(1+SerieÅrligGodsVekst)*DJ22,1)))</f>
        <v>#N/A</v>
      </c>
      <c r="DL22" s="752" t="e">
        <f t="shared" ref="DL22" si="104">IF(SerieÅR&lt;FørsteBeregningsår,DM22/(1+SerieÅrligGodsVekst),IF(SerieÅR&gt;SisteÅrMedVolumvekst,DK22,IF(AND(Framskrivning="Vekstprognose",SerieÅR&gt;MAXA(FørsteBeregningsår,AndreBeregningsår,TredjeBeregningsår)),(1+SerieÅrligGodsVekst)*DK22,1)))</f>
        <v>#N/A</v>
      </c>
      <c r="DM22" s="752" t="e">
        <f t="shared" ref="DM22" si="105">IF(SerieÅR&lt;FørsteBeregningsår,DN22/(1+SerieÅrligGodsVekst),IF(SerieÅR&gt;SisteÅrMedVolumvekst,DL22,IF(AND(Framskrivning="Vekstprognose",SerieÅR&gt;MAXA(FørsteBeregningsår,AndreBeregningsår,TredjeBeregningsår)),(1+SerieÅrligGodsVekst)*DL22,1)))</f>
        <v>#N/A</v>
      </c>
      <c r="DN22" s="752" t="e">
        <f t="shared" ref="DN22" si="106">IF(SerieÅR&lt;FørsteBeregningsår,DO22/(1+SerieÅrligGodsVekst),IF(SerieÅR&gt;SisteÅrMedVolumvekst,DM22,IF(AND(Framskrivning="Vekstprognose",SerieÅR&gt;MAXA(FørsteBeregningsår,AndreBeregningsår,TredjeBeregningsår)),(1+SerieÅrligGodsVekst)*DM22,1)))</f>
        <v>#N/A</v>
      </c>
      <c r="DO22" s="752" t="e">
        <f t="shared" ref="DO22" si="107">IF(SerieÅR&lt;FørsteBeregningsår,DP22/(1+SerieÅrligGodsVekst),IF(SerieÅR&gt;SisteÅrMedVolumvekst,DN22,IF(AND(Framskrivning="Vekstprognose",SerieÅR&gt;MAXA(FørsteBeregningsår,AndreBeregningsår,TredjeBeregningsår)),(1+SerieÅrligGodsVekst)*DN22,1)))</f>
        <v>#N/A</v>
      </c>
      <c r="DP22" s="752" t="e">
        <f t="shared" ref="DP22" si="108">IF(SerieÅR&lt;FørsteBeregningsår,DQ22/(1+SerieÅrligGodsVekst),IF(SerieÅR&gt;SisteÅrMedVolumvekst,DO22,IF(AND(Framskrivning="Vekstprognose",SerieÅR&gt;MAXA(FørsteBeregningsår,AndreBeregningsår,TredjeBeregningsår)),(1+SerieÅrligGodsVekst)*DO22,1)))</f>
        <v>#N/A</v>
      </c>
      <c r="DQ22" s="752" t="e">
        <f t="shared" ref="DQ22" si="109">IF(SerieÅR&lt;FørsteBeregningsår,DR22/(1+SerieÅrligGodsVekst),IF(SerieÅR&gt;SisteÅrMedVolumvekst,DP22,IF(AND(Framskrivning="Vekstprognose",SerieÅR&gt;MAXA(FørsteBeregningsår,AndreBeregningsår,TredjeBeregningsår)),(1+SerieÅrligGodsVekst)*DP22,1)))</f>
        <v>#N/A</v>
      </c>
      <c r="DR22" s="752" t="e">
        <f t="shared" ref="DR22" si="110">IF(SerieÅR&lt;FørsteBeregningsår,DS22/(1+SerieÅrligGodsVekst),IF(SerieÅR&gt;SisteÅrMedVolumvekst,DQ22,IF(AND(Framskrivning="Vekstprognose",SerieÅR&gt;MAXA(FørsteBeregningsår,AndreBeregningsår,TredjeBeregningsår)),(1+SerieÅrligGodsVekst)*DQ22,1)))</f>
        <v>#N/A</v>
      </c>
      <c r="DS22" s="752" t="e">
        <f t="shared" ref="DS22" si="111">IF(SerieÅR&lt;FørsteBeregningsår,DT22/(1+SerieÅrligGodsVekst),IF(SerieÅR&gt;SisteÅrMedVolumvekst,DR22,IF(AND(Framskrivning="Vekstprognose",SerieÅR&gt;MAXA(FørsteBeregningsår,AndreBeregningsår,TredjeBeregningsår)),(1+SerieÅrligGodsVekst)*DR22,1)))</f>
        <v>#N/A</v>
      </c>
      <c r="DT22" s="752" t="e">
        <f t="shared" ref="DT22" si="112">IF(SerieÅR&lt;FørsteBeregningsår,DU22/(1+SerieÅrligGodsVekst),IF(SerieÅR&gt;SisteÅrMedVolumvekst,DS22,IF(AND(Framskrivning="Vekstprognose",SerieÅR&gt;MAXA(FørsteBeregningsår,AndreBeregningsår,TredjeBeregningsår)),(1+SerieÅrligGodsVekst)*DS22,1)))</f>
        <v>#N/A</v>
      </c>
      <c r="DU22" s="752" t="e">
        <f t="shared" ref="DU22" si="113">IF(SerieÅR&lt;FørsteBeregningsår,DV22/(1+SerieÅrligGodsVekst),IF(SerieÅR&gt;SisteÅrMedVolumvekst,DT22,IF(AND(Framskrivning="Vekstprognose",SerieÅR&gt;MAXA(FørsteBeregningsår,AndreBeregningsår,TredjeBeregningsår)),(1+SerieÅrligGodsVekst)*DT22,1)))</f>
        <v>#N/A</v>
      </c>
      <c r="DV22" s="752" t="e">
        <f t="shared" ref="DV22" si="114">IF(SerieÅR&lt;FørsteBeregningsår,DW22/(1+SerieÅrligGodsVekst),IF(SerieÅR&gt;SisteÅrMedVolumvekst,DU22,IF(AND(Framskrivning="Vekstprognose",SerieÅR&gt;MAXA(FørsteBeregningsår,AndreBeregningsår,TredjeBeregningsår)),(1+SerieÅrligGodsVekst)*DU22,1)))</f>
        <v>#N/A</v>
      </c>
      <c r="DW22" s="753" t="e">
        <f t="shared" ref="DW22" si="115">IF(SerieÅR&lt;FørsteBeregningsår,DX22/(1+SerieÅrligGodsVekst),IF(SerieÅR&gt;SisteÅrMedVolumvekst,DV22,IF(AND(Framskrivning="Vekstprognose",SerieÅR&gt;MAXA(FørsteBeregningsår,AndreBeregningsår,TredjeBeregningsår)),(1+SerieÅrligGodsVekst)*DV22,1)))</f>
        <v>#N/A</v>
      </c>
    </row>
    <row r="23" spans="1:127" x14ac:dyDescent="0.35">
      <c r="A23" s="287"/>
      <c r="B23" s="65" t="s">
        <v>1387</v>
      </c>
      <c r="C23" s="65"/>
      <c r="D23" s="65"/>
      <c r="E23" s="217"/>
      <c r="G23" s="218" t="s">
        <v>1393</v>
      </c>
      <c r="H23" s="65"/>
      <c r="I23" s="65"/>
      <c r="J23" s="65"/>
      <c r="K23" s="65"/>
      <c r="L23" s="65"/>
      <c r="M23" s="65"/>
      <c r="N23" s="65"/>
      <c r="O23" s="65"/>
      <c r="P23" s="65"/>
      <c r="Q23" s="65"/>
      <c r="R23" s="65"/>
      <c r="S23" s="65"/>
      <c r="T23" s="65"/>
      <c r="U23" s="65"/>
      <c r="V23" s="65"/>
      <c r="W23" s="65"/>
      <c r="X23" s="65"/>
      <c r="Y23" s="65"/>
      <c r="Z23" s="65"/>
      <c r="AA23" s="407"/>
      <c r="AB23" s="724" t="e">
        <f>(LOOKUP(SerieÅR,StatistikkOgPrognoseÅr,PrognoseBefolkning)/LOOKUP(SerieÅR-1,StatistikkOgPrognoseÅr,PrognoseBefolkning))-1</f>
        <v>#N/A</v>
      </c>
      <c r="AC23" s="724" t="e">
        <f t="shared" ref="AC23:BG23" si="116">(LOOKUP(SerieÅR,StatistikkOgPrognoseÅr,PrognoseBefolkning)/LOOKUP(SerieÅR-1,StatistikkOgPrognoseÅr,PrognoseBefolkning))-1</f>
        <v>#N/A</v>
      </c>
      <c r="AD23" s="724" t="e">
        <f t="shared" si="116"/>
        <v>#N/A</v>
      </c>
      <c r="AE23" s="724" t="e">
        <f t="shared" si="116"/>
        <v>#N/A</v>
      </c>
      <c r="AF23" s="724" t="e">
        <f t="shared" si="116"/>
        <v>#N/A</v>
      </c>
      <c r="AG23" s="724" t="e">
        <f t="shared" si="116"/>
        <v>#N/A</v>
      </c>
      <c r="AH23" s="724" t="e">
        <f t="shared" si="116"/>
        <v>#N/A</v>
      </c>
      <c r="AI23" s="724" t="e">
        <f t="shared" si="116"/>
        <v>#N/A</v>
      </c>
      <c r="AJ23" s="724" t="e">
        <f t="shared" si="116"/>
        <v>#N/A</v>
      </c>
      <c r="AK23" s="724" t="e">
        <f t="shared" si="116"/>
        <v>#N/A</v>
      </c>
      <c r="AL23" s="724" t="e">
        <f t="shared" si="116"/>
        <v>#N/A</v>
      </c>
      <c r="AM23" s="724" t="e">
        <f t="shared" si="116"/>
        <v>#N/A</v>
      </c>
      <c r="AN23" s="724" t="e">
        <f t="shared" si="116"/>
        <v>#N/A</v>
      </c>
      <c r="AO23" s="724" t="e">
        <f t="shared" si="116"/>
        <v>#N/A</v>
      </c>
      <c r="AP23" s="724" t="e">
        <f t="shared" si="116"/>
        <v>#N/A</v>
      </c>
      <c r="AQ23" s="724" t="e">
        <f t="shared" si="116"/>
        <v>#N/A</v>
      </c>
      <c r="AR23" s="724" t="e">
        <f t="shared" si="116"/>
        <v>#N/A</v>
      </c>
      <c r="AS23" s="724" t="e">
        <f t="shared" si="116"/>
        <v>#N/A</v>
      </c>
      <c r="AT23" s="724" t="e">
        <f t="shared" si="116"/>
        <v>#N/A</v>
      </c>
      <c r="AU23" s="724" t="e">
        <f t="shared" si="116"/>
        <v>#N/A</v>
      </c>
      <c r="AV23" s="724" t="e">
        <f t="shared" si="116"/>
        <v>#N/A</v>
      </c>
      <c r="AW23" s="724" t="e">
        <f t="shared" si="116"/>
        <v>#N/A</v>
      </c>
      <c r="AX23" s="724" t="e">
        <f t="shared" si="116"/>
        <v>#N/A</v>
      </c>
      <c r="AY23" s="724" t="e">
        <f t="shared" si="116"/>
        <v>#N/A</v>
      </c>
      <c r="AZ23" s="724" t="e">
        <f t="shared" si="116"/>
        <v>#N/A</v>
      </c>
      <c r="BA23" s="724" t="e">
        <f t="shared" si="116"/>
        <v>#N/A</v>
      </c>
      <c r="BB23" s="724" t="e">
        <f t="shared" si="116"/>
        <v>#N/A</v>
      </c>
      <c r="BC23" s="724" t="e">
        <f t="shared" si="116"/>
        <v>#N/A</v>
      </c>
      <c r="BD23" s="724" t="e">
        <f t="shared" si="116"/>
        <v>#N/A</v>
      </c>
      <c r="BE23" s="724" t="e">
        <f t="shared" si="116"/>
        <v>#N/A</v>
      </c>
      <c r="BF23" s="724" t="e">
        <f t="shared" si="116"/>
        <v>#N/A</v>
      </c>
      <c r="BG23" s="724" t="e">
        <f t="shared" si="116"/>
        <v>#N/A</v>
      </c>
      <c r="BH23" s="724" t="e">
        <f t="shared" ref="BH23:CM23" si="117">(LOOKUP(SerieÅR,StatistikkOgPrognoseÅr,PrognoseBefolkning)/LOOKUP(SerieÅR-1,StatistikkOgPrognoseÅr,PrognoseBefolkning))-1</f>
        <v>#N/A</v>
      </c>
      <c r="BI23" s="724" t="e">
        <f t="shared" si="117"/>
        <v>#N/A</v>
      </c>
      <c r="BJ23" s="724" t="e">
        <f t="shared" si="117"/>
        <v>#N/A</v>
      </c>
      <c r="BK23" s="724" t="e">
        <f t="shared" si="117"/>
        <v>#N/A</v>
      </c>
      <c r="BL23" s="724" t="e">
        <f t="shared" si="117"/>
        <v>#N/A</v>
      </c>
      <c r="BM23" s="724" t="e">
        <f t="shared" si="117"/>
        <v>#N/A</v>
      </c>
      <c r="BN23" s="724" t="e">
        <f t="shared" si="117"/>
        <v>#N/A</v>
      </c>
      <c r="BO23" s="724" t="e">
        <f t="shared" si="117"/>
        <v>#N/A</v>
      </c>
      <c r="BP23" s="724" t="e">
        <f t="shared" si="117"/>
        <v>#N/A</v>
      </c>
      <c r="BQ23" s="724" t="e">
        <f t="shared" si="117"/>
        <v>#N/A</v>
      </c>
      <c r="BR23" s="724" t="e">
        <f t="shared" si="117"/>
        <v>#N/A</v>
      </c>
      <c r="BS23" s="724" t="e">
        <f t="shared" si="117"/>
        <v>#N/A</v>
      </c>
      <c r="BT23" s="724" t="e">
        <f t="shared" si="117"/>
        <v>#N/A</v>
      </c>
      <c r="BU23" s="724" t="e">
        <f t="shared" si="117"/>
        <v>#N/A</v>
      </c>
      <c r="BV23" s="724" t="e">
        <f t="shared" si="117"/>
        <v>#N/A</v>
      </c>
      <c r="BW23" s="724" t="e">
        <f t="shared" si="117"/>
        <v>#N/A</v>
      </c>
      <c r="BX23" s="724" t="e">
        <f t="shared" si="117"/>
        <v>#N/A</v>
      </c>
      <c r="BY23" s="724" t="e">
        <f t="shared" si="117"/>
        <v>#N/A</v>
      </c>
      <c r="BZ23" s="724" t="e">
        <f t="shared" si="117"/>
        <v>#N/A</v>
      </c>
      <c r="CA23" s="724" t="e">
        <f t="shared" si="117"/>
        <v>#N/A</v>
      </c>
      <c r="CB23" s="724" t="e">
        <f t="shared" si="117"/>
        <v>#N/A</v>
      </c>
      <c r="CC23" s="724" t="e">
        <f t="shared" si="117"/>
        <v>#N/A</v>
      </c>
      <c r="CD23" s="724" t="e">
        <f t="shared" si="117"/>
        <v>#N/A</v>
      </c>
      <c r="CE23" s="724" t="e">
        <f t="shared" si="117"/>
        <v>#N/A</v>
      </c>
      <c r="CF23" s="724" t="e">
        <f t="shared" si="117"/>
        <v>#N/A</v>
      </c>
      <c r="CG23" s="724" t="e">
        <f t="shared" si="117"/>
        <v>#N/A</v>
      </c>
      <c r="CH23" s="724" t="e">
        <f t="shared" si="117"/>
        <v>#N/A</v>
      </c>
      <c r="CI23" s="724" t="e">
        <f t="shared" si="117"/>
        <v>#N/A</v>
      </c>
      <c r="CJ23" s="724" t="e">
        <f t="shared" si="117"/>
        <v>#N/A</v>
      </c>
      <c r="CK23" s="724" t="e">
        <f t="shared" si="117"/>
        <v>#N/A</v>
      </c>
      <c r="CL23" s="724" t="e">
        <f t="shared" si="117"/>
        <v>#N/A</v>
      </c>
      <c r="CM23" s="724" t="e">
        <f t="shared" si="117"/>
        <v>#N/A</v>
      </c>
      <c r="CN23" s="724" t="e">
        <f t="shared" ref="CN23:DW23" si="118">(LOOKUP(SerieÅR,StatistikkOgPrognoseÅr,PrognoseBefolkning)/LOOKUP(SerieÅR-1,StatistikkOgPrognoseÅr,PrognoseBefolkning))-1</f>
        <v>#N/A</v>
      </c>
      <c r="CO23" s="724" t="e">
        <f t="shared" si="118"/>
        <v>#N/A</v>
      </c>
      <c r="CP23" s="724" t="e">
        <f t="shared" si="118"/>
        <v>#N/A</v>
      </c>
      <c r="CQ23" s="724" t="e">
        <f t="shared" si="118"/>
        <v>#N/A</v>
      </c>
      <c r="CR23" s="724" t="e">
        <f t="shared" si="118"/>
        <v>#N/A</v>
      </c>
      <c r="CS23" s="724" t="e">
        <f t="shared" si="118"/>
        <v>#N/A</v>
      </c>
      <c r="CT23" s="724" t="e">
        <f t="shared" si="118"/>
        <v>#N/A</v>
      </c>
      <c r="CU23" s="724" t="e">
        <f t="shared" si="118"/>
        <v>#N/A</v>
      </c>
      <c r="CV23" s="724" t="e">
        <f t="shared" si="118"/>
        <v>#N/A</v>
      </c>
      <c r="CW23" s="724" t="e">
        <f t="shared" si="118"/>
        <v>#N/A</v>
      </c>
      <c r="CX23" s="1126" t="e">
        <f t="shared" si="118"/>
        <v>#N/A</v>
      </c>
      <c r="CY23" s="724" t="e">
        <f t="shared" si="118"/>
        <v>#N/A</v>
      </c>
      <c r="CZ23" s="724" t="e">
        <f t="shared" si="118"/>
        <v>#N/A</v>
      </c>
      <c r="DA23" s="724" t="e">
        <f t="shared" si="118"/>
        <v>#N/A</v>
      </c>
      <c r="DB23" s="724" t="e">
        <f t="shared" si="118"/>
        <v>#N/A</v>
      </c>
      <c r="DC23" s="724" t="e">
        <f t="shared" si="118"/>
        <v>#N/A</v>
      </c>
      <c r="DD23" s="724" t="e">
        <f t="shared" si="118"/>
        <v>#N/A</v>
      </c>
      <c r="DE23" s="724" t="e">
        <f t="shared" si="118"/>
        <v>#N/A</v>
      </c>
      <c r="DF23" s="724" t="e">
        <f t="shared" si="118"/>
        <v>#N/A</v>
      </c>
      <c r="DG23" s="724" t="e">
        <f t="shared" si="118"/>
        <v>#N/A</v>
      </c>
      <c r="DH23" s="724" t="e">
        <f t="shared" si="118"/>
        <v>#N/A</v>
      </c>
      <c r="DI23" s="724" t="e">
        <f t="shared" si="118"/>
        <v>#N/A</v>
      </c>
      <c r="DJ23" s="724" t="e">
        <f t="shared" si="118"/>
        <v>#N/A</v>
      </c>
      <c r="DK23" s="724" t="e">
        <f t="shared" si="118"/>
        <v>#N/A</v>
      </c>
      <c r="DL23" s="724" t="e">
        <f t="shared" si="118"/>
        <v>#N/A</v>
      </c>
      <c r="DM23" s="724" t="e">
        <f t="shared" si="118"/>
        <v>#N/A</v>
      </c>
      <c r="DN23" s="724" t="e">
        <f t="shared" si="118"/>
        <v>#N/A</v>
      </c>
      <c r="DO23" s="724" t="e">
        <f t="shared" si="118"/>
        <v>#N/A</v>
      </c>
      <c r="DP23" s="724" t="e">
        <f t="shared" si="118"/>
        <v>#N/A</v>
      </c>
      <c r="DQ23" s="724" t="e">
        <f t="shared" si="118"/>
        <v>#N/A</v>
      </c>
      <c r="DR23" s="724" t="e">
        <f t="shared" si="118"/>
        <v>#N/A</v>
      </c>
      <c r="DS23" s="724" t="e">
        <f t="shared" si="118"/>
        <v>#N/A</v>
      </c>
      <c r="DT23" s="724" t="e">
        <f t="shared" si="118"/>
        <v>#N/A</v>
      </c>
      <c r="DU23" s="724" t="e">
        <f t="shared" si="118"/>
        <v>#N/A</v>
      </c>
      <c r="DV23" s="724" t="e">
        <f t="shared" si="118"/>
        <v>#N/A</v>
      </c>
      <c r="DW23" s="729" t="e">
        <f t="shared" si="118"/>
        <v>#N/A</v>
      </c>
    </row>
    <row r="24" spans="1:127" x14ac:dyDescent="0.35">
      <c r="A24" s="287"/>
      <c r="B24" s="65" t="s">
        <v>1387</v>
      </c>
      <c r="C24" s="65"/>
      <c r="D24" s="65"/>
      <c r="E24" s="217"/>
      <c r="G24" s="218" t="s">
        <v>1394</v>
      </c>
      <c r="H24" s="65"/>
      <c r="I24" s="65"/>
      <c r="J24" s="65"/>
      <c r="K24" s="65"/>
      <c r="L24" s="65"/>
      <c r="M24" s="65"/>
      <c r="N24" s="65"/>
      <c r="O24" s="65"/>
      <c r="P24" s="65"/>
      <c r="Q24" s="65"/>
      <c r="R24" s="65"/>
      <c r="S24" s="65"/>
      <c r="T24" s="65"/>
      <c r="U24" s="65"/>
      <c r="V24" s="65"/>
      <c r="W24" s="65"/>
      <c r="X24" s="65"/>
      <c r="Y24" s="65"/>
      <c r="Z24" s="65"/>
      <c r="AA24" s="407"/>
      <c r="AB24" s="724" t="e">
        <f>IF(LOOKUP(SerieÅR,StatistikkOgPrognoseÅr,PrognosePerson)="",SerieÅrligBefolkningsvekst,LOOKUP(SerieÅR,StatistikkOgPrognoseÅr,PrognosePerson))</f>
        <v>#N/A</v>
      </c>
      <c r="AC24" s="724" t="e">
        <f>IF(LOOKUP(SerieÅR,StatistikkOgPrognoseÅr,PrognosePerson)="",SerieÅrligBefolkningsvekst,LOOKUP(SerieÅR,StatistikkOgPrognoseÅr,PrognosePerson))</f>
        <v>#N/A</v>
      </c>
      <c r="AD24" s="724" t="e">
        <f t="shared" ref="AD24:BG24" si="119">IF(LOOKUP(SerieÅR,StatistikkOgPrognoseÅr,PrognosePerson)="",SerieÅrligBefolkningsvekst,LOOKUP(SerieÅR,StatistikkOgPrognoseÅr,PrognosePerson))</f>
        <v>#N/A</v>
      </c>
      <c r="AE24" s="724" t="e">
        <f t="shared" si="119"/>
        <v>#N/A</v>
      </c>
      <c r="AF24" s="724" t="e">
        <f t="shared" si="119"/>
        <v>#N/A</v>
      </c>
      <c r="AG24" s="724" t="e">
        <f t="shared" si="119"/>
        <v>#N/A</v>
      </c>
      <c r="AH24" s="724" t="e">
        <f t="shared" si="119"/>
        <v>#N/A</v>
      </c>
      <c r="AI24" s="724" t="e">
        <f t="shared" si="119"/>
        <v>#N/A</v>
      </c>
      <c r="AJ24" s="724" t="e">
        <f t="shared" si="119"/>
        <v>#N/A</v>
      </c>
      <c r="AK24" s="724" t="e">
        <f t="shared" si="119"/>
        <v>#N/A</v>
      </c>
      <c r="AL24" s="724" t="e">
        <f t="shared" si="119"/>
        <v>#N/A</v>
      </c>
      <c r="AM24" s="724" t="e">
        <f t="shared" si="119"/>
        <v>#N/A</v>
      </c>
      <c r="AN24" s="724" t="e">
        <f t="shared" si="119"/>
        <v>#N/A</v>
      </c>
      <c r="AO24" s="724" t="e">
        <f t="shared" si="119"/>
        <v>#N/A</v>
      </c>
      <c r="AP24" s="724" t="e">
        <f t="shared" si="119"/>
        <v>#N/A</v>
      </c>
      <c r="AQ24" s="724" t="e">
        <f t="shared" si="119"/>
        <v>#N/A</v>
      </c>
      <c r="AR24" s="724" t="e">
        <f t="shared" si="119"/>
        <v>#N/A</v>
      </c>
      <c r="AS24" s="724" t="e">
        <f t="shared" si="119"/>
        <v>#N/A</v>
      </c>
      <c r="AT24" s="724" t="e">
        <f t="shared" si="119"/>
        <v>#N/A</v>
      </c>
      <c r="AU24" s="724" t="e">
        <f t="shared" si="119"/>
        <v>#N/A</v>
      </c>
      <c r="AV24" s="724" t="e">
        <f t="shared" si="119"/>
        <v>#N/A</v>
      </c>
      <c r="AW24" s="724" t="e">
        <f t="shared" si="119"/>
        <v>#N/A</v>
      </c>
      <c r="AX24" s="724" t="e">
        <f t="shared" si="119"/>
        <v>#N/A</v>
      </c>
      <c r="AY24" s="724" t="e">
        <f t="shared" si="119"/>
        <v>#N/A</v>
      </c>
      <c r="AZ24" s="724" t="e">
        <f t="shared" si="119"/>
        <v>#N/A</v>
      </c>
      <c r="BA24" s="724" t="e">
        <f t="shared" si="119"/>
        <v>#N/A</v>
      </c>
      <c r="BB24" s="724" t="e">
        <f t="shared" si="119"/>
        <v>#N/A</v>
      </c>
      <c r="BC24" s="724" t="e">
        <f t="shared" si="119"/>
        <v>#N/A</v>
      </c>
      <c r="BD24" s="724" t="e">
        <f t="shared" si="119"/>
        <v>#N/A</v>
      </c>
      <c r="BE24" s="724" t="e">
        <f t="shared" si="119"/>
        <v>#N/A</v>
      </c>
      <c r="BF24" s="724" t="e">
        <f t="shared" si="119"/>
        <v>#N/A</v>
      </c>
      <c r="BG24" s="724" t="e">
        <f t="shared" si="119"/>
        <v>#N/A</v>
      </c>
      <c r="BH24" s="724" t="e">
        <f t="shared" ref="BH24:CM24" si="120">IF(LOOKUP(SerieÅR,StatistikkOgPrognoseÅr,PrognosePerson)="",SerieÅrligBefolkningsvekst,LOOKUP(SerieÅR,StatistikkOgPrognoseÅr,PrognosePerson))</f>
        <v>#N/A</v>
      </c>
      <c r="BI24" s="724" t="e">
        <f t="shared" si="120"/>
        <v>#N/A</v>
      </c>
      <c r="BJ24" s="724" t="e">
        <f t="shared" si="120"/>
        <v>#N/A</v>
      </c>
      <c r="BK24" s="724" t="e">
        <f t="shared" si="120"/>
        <v>#N/A</v>
      </c>
      <c r="BL24" s="724" t="e">
        <f t="shared" si="120"/>
        <v>#N/A</v>
      </c>
      <c r="BM24" s="724" t="e">
        <f t="shared" si="120"/>
        <v>#N/A</v>
      </c>
      <c r="BN24" s="724" t="e">
        <f t="shared" si="120"/>
        <v>#N/A</v>
      </c>
      <c r="BO24" s="724" t="e">
        <f t="shared" si="120"/>
        <v>#N/A</v>
      </c>
      <c r="BP24" s="724" t="e">
        <f t="shared" si="120"/>
        <v>#N/A</v>
      </c>
      <c r="BQ24" s="724" t="e">
        <f t="shared" si="120"/>
        <v>#N/A</v>
      </c>
      <c r="BR24" s="724" t="e">
        <f t="shared" si="120"/>
        <v>#N/A</v>
      </c>
      <c r="BS24" s="724" t="e">
        <f t="shared" si="120"/>
        <v>#N/A</v>
      </c>
      <c r="BT24" s="724" t="e">
        <f t="shared" si="120"/>
        <v>#N/A</v>
      </c>
      <c r="BU24" s="724" t="e">
        <f t="shared" si="120"/>
        <v>#N/A</v>
      </c>
      <c r="BV24" s="724" t="e">
        <f t="shared" si="120"/>
        <v>#N/A</v>
      </c>
      <c r="BW24" s="724" t="e">
        <f t="shared" si="120"/>
        <v>#N/A</v>
      </c>
      <c r="BX24" s="724" t="e">
        <f t="shared" si="120"/>
        <v>#N/A</v>
      </c>
      <c r="BY24" s="724" t="e">
        <f t="shared" si="120"/>
        <v>#N/A</v>
      </c>
      <c r="BZ24" s="724" t="e">
        <f t="shared" si="120"/>
        <v>#N/A</v>
      </c>
      <c r="CA24" s="724" t="e">
        <f t="shared" si="120"/>
        <v>#N/A</v>
      </c>
      <c r="CB24" s="724" t="e">
        <f t="shared" si="120"/>
        <v>#N/A</v>
      </c>
      <c r="CC24" s="724" t="e">
        <f t="shared" si="120"/>
        <v>#N/A</v>
      </c>
      <c r="CD24" s="724" t="e">
        <f t="shared" si="120"/>
        <v>#N/A</v>
      </c>
      <c r="CE24" s="724" t="e">
        <f t="shared" si="120"/>
        <v>#N/A</v>
      </c>
      <c r="CF24" s="724" t="e">
        <f t="shared" si="120"/>
        <v>#N/A</v>
      </c>
      <c r="CG24" s="724" t="e">
        <f t="shared" si="120"/>
        <v>#N/A</v>
      </c>
      <c r="CH24" s="724" t="e">
        <f t="shared" si="120"/>
        <v>#N/A</v>
      </c>
      <c r="CI24" s="724" t="e">
        <f t="shared" si="120"/>
        <v>#N/A</v>
      </c>
      <c r="CJ24" s="724" t="e">
        <f t="shared" si="120"/>
        <v>#N/A</v>
      </c>
      <c r="CK24" s="724" t="e">
        <f t="shared" si="120"/>
        <v>#N/A</v>
      </c>
      <c r="CL24" s="724" t="e">
        <f t="shared" si="120"/>
        <v>#N/A</v>
      </c>
      <c r="CM24" s="724" t="e">
        <f t="shared" si="120"/>
        <v>#N/A</v>
      </c>
      <c r="CN24" s="724" t="e">
        <f t="shared" ref="CN24:DW24" si="121">IF(LOOKUP(SerieÅR,StatistikkOgPrognoseÅr,PrognosePerson)="",SerieÅrligBefolkningsvekst,LOOKUP(SerieÅR,StatistikkOgPrognoseÅr,PrognosePerson))</f>
        <v>#N/A</v>
      </c>
      <c r="CO24" s="724" t="e">
        <f t="shared" si="121"/>
        <v>#N/A</v>
      </c>
      <c r="CP24" s="724" t="e">
        <f t="shared" si="121"/>
        <v>#N/A</v>
      </c>
      <c r="CQ24" s="724" t="e">
        <f t="shared" si="121"/>
        <v>#N/A</v>
      </c>
      <c r="CR24" s="724" t="e">
        <f t="shared" si="121"/>
        <v>#N/A</v>
      </c>
      <c r="CS24" s="724" t="e">
        <f t="shared" si="121"/>
        <v>#N/A</v>
      </c>
      <c r="CT24" s="724" t="e">
        <f t="shared" si="121"/>
        <v>#N/A</v>
      </c>
      <c r="CU24" s="724" t="e">
        <f t="shared" si="121"/>
        <v>#N/A</v>
      </c>
      <c r="CV24" s="724" t="e">
        <f t="shared" si="121"/>
        <v>#N/A</v>
      </c>
      <c r="CW24" s="724" t="e">
        <f t="shared" si="121"/>
        <v>#N/A</v>
      </c>
      <c r="CX24" s="1126" t="e">
        <f t="shared" si="121"/>
        <v>#N/A</v>
      </c>
      <c r="CY24" s="724" t="e">
        <f t="shared" si="121"/>
        <v>#N/A</v>
      </c>
      <c r="CZ24" s="724" t="e">
        <f t="shared" si="121"/>
        <v>#N/A</v>
      </c>
      <c r="DA24" s="724" t="e">
        <f t="shared" si="121"/>
        <v>#N/A</v>
      </c>
      <c r="DB24" s="724" t="e">
        <f t="shared" si="121"/>
        <v>#N/A</v>
      </c>
      <c r="DC24" s="724" t="e">
        <f t="shared" si="121"/>
        <v>#N/A</v>
      </c>
      <c r="DD24" s="724" t="e">
        <f t="shared" si="121"/>
        <v>#N/A</v>
      </c>
      <c r="DE24" s="724" t="e">
        <f t="shared" si="121"/>
        <v>#N/A</v>
      </c>
      <c r="DF24" s="724" t="e">
        <f t="shared" si="121"/>
        <v>#N/A</v>
      </c>
      <c r="DG24" s="724" t="e">
        <f t="shared" si="121"/>
        <v>#N/A</v>
      </c>
      <c r="DH24" s="724" t="e">
        <f t="shared" si="121"/>
        <v>#N/A</v>
      </c>
      <c r="DI24" s="724" t="e">
        <f t="shared" si="121"/>
        <v>#N/A</v>
      </c>
      <c r="DJ24" s="724" t="e">
        <f t="shared" si="121"/>
        <v>#N/A</v>
      </c>
      <c r="DK24" s="724" t="e">
        <f t="shared" si="121"/>
        <v>#N/A</v>
      </c>
      <c r="DL24" s="724" t="e">
        <f t="shared" si="121"/>
        <v>#N/A</v>
      </c>
      <c r="DM24" s="724" t="e">
        <f t="shared" si="121"/>
        <v>#N/A</v>
      </c>
      <c r="DN24" s="724" t="e">
        <f t="shared" si="121"/>
        <v>#N/A</v>
      </c>
      <c r="DO24" s="724" t="e">
        <f t="shared" si="121"/>
        <v>#N/A</v>
      </c>
      <c r="DP24" s="724" t="e">
        <f t="shared" si="121"/>
        <v>#N/A</v>
      </c>
      <c r="DQ24" s="724" t="e">
        <f t="shared" si="121"/>
        <v>#N/A</v>
      </c>
      <c r="DR24" s="724" t="e">
        <f t="shared" si="121"/>
        <v>#N/A</v>
      </c>
      <c r="DS24" s="724" t="e">
        <f t="shared" si="121"/>
        <v>#N/A</v>
      </c>
      <c r="DT24" s="724" t="e">
        <f t="shared" si="121"/>
        <v>#N/A</v>
      </c>
      <c r="DU24" s="724" t="e">
        <f t="shared" si="121"/>
        <v>#N/A</v>
      </c>
      <c r="DV24" s="724" t="e">
        <f t="shared" si="121"/>
        <v>#N/A</v>
      </c>
      <c r="DW24" s="729" t="e">
        <f t="shared" si="121"/>
        <v>#N/A</v>
      </c>
    </row>
    <row r="25" spans="1:127" x14ac:dyDescent="0.35">
      <c r="A25" s="287"/>
      <c r="B25" s="65" t="s">
        <v>1387</v>
      </c>
      <c r="C25" s="65"/>
      <c r="D25" s="65"/>
      <c r="E25" s="217"/>
      <c r="G25" s="218" t="s">
        <v>1395</v>
      </c>
      <c r="H25" s="65"/>
      <c r="I25" s="65"/>
      <c r="J25" s="65"/>
      <c r="K25" s="65"/>
      <c r="L25" s="65"/>
      <c r="M25" s="65"/>
      <c r="N25" s="65"/>
      <c r="O25" s="65"/>
      <c r="P25" s="65"/>
      <c r="Q25" s="65"/>
      <c r="R25" s="65"/>
      <c r="S25" s="65"/>
      <c r="T25" s="65"/>
      <c r="U25" s="65"/>
      <c r="V25" s="65"/>
      <c r="W25" s="65"/>
      <c r="X25" s="65"/>
      <c r="Y25" s="65"/>
      <c r="Z25" s="65"/>
      <c r="AA25" s="407"/>
      <c r="AB25" s="724" t="e">
        <f t="shared" ref="AB25:BG25" si="122">(LOOKUP(SerieÅR,StatistikkOgPrognoseÅr,PrognoseGods))</f>
        <v>#N/A</v>
      </c>
      <c r="AC25" s="724" t="e">
        <f t="shared" si="122"/>
        <v>#N/A</v>
      </c>
      <c r="AD25" s="724" t="e">
        <f t="shared" si="122"/>
        <v>#N/A</v>
      </c>
      <c r="AE25" s="724" t="e">
        <f t="shared" si="122"/>
        <v>#N/A</v>
      </c>
      <c r="AF25" s="724" t="e">
        <f t="shared" si="122"/>
        <v>#N/A</v>
      </c>
      <c r="AG25" s="724" t="e">
        <f t="shared" si="122"/>
        <v>#N/A</v>
      </c>
      <c r="AH25" s="724" t="e">
        <f t="shared" si="122"/>
        <v>#N/A</v>
      </c>
      <c r="AI25" s="724" t="e">
        <f t="shared" si="122"/>
        <v>#N/A</v>
      </c>
      <c r="AJ25" s="724" t="e">
        <f t="shared" si="122"/>
        <v>#N/A</v>
      </c>
      <c r="AK25" s="724" t="e">
        <f t="shared" si="122"/>
        <v>#N/A</v>
      </c>
      <c r="AL25" s="724" t="e">
        <f t="shared" si="122"/>
        <v>#N/A</v>
      </c>
      <c r="AM25" s="724" t="e">
        <f t="shared" si="122"/>
        <v>#N/A</v>
      </c>
      <c r="AN25" s="724" t="e">
        <f t="shared" si="122"/>
        <v>#N/A</v>
      </c>
      <c r="AO25" s="724" t="e">
        <f t="shared" si="122"/>
        <v>#N/A</v>
      </c>
      <c r="AP25" s="724" t="e">
        <f t="shared" si="122"/>
        <v>#N/A</v>
      </c>
      <c r="AQ25" s="724" t="e">
        <f t="shared" si="122"/>
        <v>#N/A</v>
      </c>
      <c r="AR25" s="724" t="e">
        <f t="shared" si="122"/>
        <v>#N/A</v>
      </c>
      <c r="AS25" s="724" t="e">
        <f t="shared" si="122"/>
        <v>#N/A</v>
      </c>
      <c r="AT25" s="724" t="e">
        <f t="shared" si="122"/>
        <v>#N/A</v>
      </c>
      <c r="AU25" s="724" t="e">
        <f t="shared" si="122"/>
        <v>#N/A</v>
      </c>
      <c r="AV25" s="724" t="e">
        <f t="shared" si="122"/>
        <v>#N/A</v>
      </c>
      <c r="AW25" s="724" t="e">
        <f t="shared" si="122"/>
        <v>#N/A</v>
      </c>
      <c r="AX25" s="724" t="e">
        <f t="shared" si="122"/>
        <v>#N/A</v>
      </c>
      <c r="AY25" s="724" t="e">
        <f t="shared" si="122"/>
        <v>#N/A</v>
      </c>
      <c r="AZ25" s="724" t="e">
        <f t="shared" si="122"/>
        <v>#N/A</v>
      </c>
      <c r="BA25" s="724" t="e">
        <f t="shared" si="122"/>
        <v>#N/A</v>
      </c>
      <c r="BB25" s="724" t="e">
        <f t="shared" si="122"/>
        <v>#N/A</v>
      </c>
      <c r="BC25" s="724" t="e">
        <f t="shared" si="122"/>
        <v>#N/A</v>
      </c>
      <c r="BD25" s="724" t="e">
        <f t="shared" si="122"/>
        <v>#N/A</v>
      </c>
      <c r="BE25" s="724" t="e">
        <f t="shared" si="122"/>
        <v>#N/A</v>
      </c>
      <c r="BF25" s="724" t="e">
        <f t="shared" si="122"/>
        <v>#N/A</v>
      </c>
      <c r="BG25" s="724" t="e">
        <f t="shared" si="122"/>
        <v>#N/A</v>
      </c>
      <c r="BH25" s="724" t="e">
        <f t="shared" ref="BH25:CM25" si="123">(LOOKUP(SerieÅR,StatistikkOgPrognoseÅr,PrognoseGods))</f>
        <v>#N/A</v>
      </c>
      <c r="BI25" s="724" t="e">
        <f t="shared" si="123"/>
        <v>#N/A</v>
      </c>
      <c r="BJ25" s="724" t="e">
        <f t="shared" si="123"/>
        <v>#N/A</v>
      </c>
      <c r="BK25" s="724" t="e">
        <f t="shared" si="123"/>
        <v>#N/A</v>
      </c>
      <c r="BL25" s="724" t="e">
        <f t="shared" si="123"/>
        <v>#N/A</v>
      </c>
      <c r="BM25" s="724" t="e">
        <f t="shared" si="123"/>
        <v>#N/A</v>
      </c>
      <c r="BN25" s="724" t="e">
        <f t="shared" si="123"/>
        <v>#N/A</v>
      </c>
      <c r="BO25" s="724" t="e">
        <f t="shared" si="123"/>
        <v>#N/A</v>
      </c>
      <c r="BP25" s="724" t="e">
        <f t="shared" si="123"/>
        <v>#N/A</v>
      </c>
      <c r="BQ25" s="724" t="e">
        <f t="shared" si="123"/>
        <v>#N/A</v>
      </c>
      <c r="BR25" s="724" t="e">
        <f t="shared" si="123"/>
        <v>#N/A</v>
      </c>
      <c r="BS25" s="724" t="e">
        <f t="shared" si="123"/>
        <v>#N/A</v>
      </c>
      <c r="BT25" s="724" t="e">
        <f t="shared" si="123"/>
        <v>#N/A</v>
      </c>
      <c r="BU25" s="724" t="e">
        <f t="shared" si="123"/>
        <v>#N/A</v>
      </c>
      <c r="BV25" s="724" t="e">
        <f t="shared" si="123"/>
        <v>#N/A</v>
      </c>
      <c r="BW25" s="724" t="e">
        <f t="shared" si="123"/>
        <v>#N/A</v>
      </c>
      <c r="BX25" s="724" t="e">
        <f t="shared" si="123"/>
        <v>#N/A</v>
      </c>
      <c r="BY25" s="724" t="e">
        <f t="shared" si="123"/>
        <v>#N/A</v>
      </c>
      <c r="BZ25" s="724" t="e">
        <f t="shared" si="123"/>
        <v>#N/A</v>
      </c>
      <c r="CA25" s="724" t="e">
        <f t="shared" si="123"/>
        <v>#N/A</v>
      </c>
      <c r="CB25" s="724" t="e">
        <f t="shared" si="123"/>
        <v>#N/A</v>
      </c>
      <c r="CC25" s="724" t="e">
        <f t="shared" si="123"/>
        <v>#N/A</v>
      </c>
      <c r="CD25" s="724" t="e">
        <f t="shared" si="123"/>
        <v>#N/A</v>
      </c>
      <c r="CE25" s="724" t="e">
        <f t="shared" si="123"/>
        <v>#N/A</v>
      </c>
      <c r="CF25" s="724" t="e">
        <f t="shared" si="123"/>
        <v>#N/A</v>
      </c>
      <c r="CG25" s="724" t="e">
        <f t="shared" si="123"/>
        <v>#N/A</v>
      </c>
      <c r="CH25" s="724" t="e">
        <f t="shared" si="123"/>
        <v>#N/A</v>
      </c>
      <c r="CI25" s="724" t="e">
        <f t="shared" si="123"/>
        <v>#N/A</v>
      </c>
      <c r="CJ25" s="724" t="e">
        <f t="shared" si="123"/>
        <v>#N/A</v>
      </c>
      <c r="CK25" s="724" t="e">
        <f t="shared" si="123"/>
        <v>#N/A</v>
      </c>
      <c r="CL25" s="724" t="e">
        <f t="shared" si="123"/>
        <v>#N/A</v>
      </c>
      <c r="CM25" s="724" t="e">
        <f t="shared" si="123"/>
        <v>#N/A</v>
      </c>
      <c r="CN25" s="724" t="e">
        <f t="shared" ref="CN25:DW25" si="124">(LOOKUP(SerieÅR,StatistikkOgPrognoseÅr,PrognoseGods))</f>
        <v>#N/A</v>
      </c>
      <c r="CO25" s="724" t="e">
        <f t="shared" si="124"/>
        <v>#N/A</v>
      </c>
      <c r="CP25" s="724" t="e">
        <f t="shared" si="124"/>
        <v>#N/A</v>
      </c>
      <c r="CQ25" s="724" t="e">
        <f t="shared" si="124"/>
        <v>#N/A</v>
      </c>
      <c r="CR25" s="724" t="e">
        <f t="shared" si="124"/>
        <v>#N/A</v>
      </c>
      <c r="CS25" s="724" t="e">
        <f t="shared" si="124"/>
        <v>#N/A</v>
      </c>
      <c r="CT25" s="724" t="e">
        <f t="shared" si="124"/>
        <v>#N/A</v>
      </c>
      <c r="CU25" s="724" t="e">
        <f t="shared" si="124"/>
        <v>#N/A</v>
      </c>
      <c r="CV25" s="724" t="e">
        <f t="shared" si="124"/>
        <v>#N/A</v>
      </c>
      <c r="CW25" s="724" t="e">
        <f t="shared" si="124"/>
        <v>#N/A</v>
      </c>
      <c r="CX25" s="724" t="e">
        <f t="shared" si="124"/>
        <v>#N/A</v>
      </c>
      <c r="CY25" s="724" t="e">
        <f t="shared" si="124"/>
        <v>#N/A</v>
      </c>
      <c r="CZ25" s="724" t="e">
        <f t="shared" si="124"/>
        <v>#N/A</v>
      </c>
      <c r="DA25" s="724" t="e">
        <f t="shared" si="124"/>
        <v>#N/A</v>
      </c>
      <c r="DB25" s="724" t="e">
        <f t="shared" si="124"/>
        <v>#N/A</v>
      </c>
      <c r="DC25" s="724" t="e">
        <f t="shared" si="124"/>
        <v>#N/A</v>
      </c>
      <c r="DD25" s="724" t="e">
        <f t="shared" si="124"/>
        <v>#N/A</v>
      </c>
      <c r="DE25" s="724" t="e">
        <f t="shared" si="124"/>
        <v>#N/A</v>
      </c>
      <c r="DF25" s="724" t="e">
        <f t="shared" si="124"/>
        <v>#N/A</v>
      </c>
      <c r="DG25" s="724" t="e">
        <f t="shared" si="124"/>
        <v>#N/A</v>
      </c>
      <c r="DH25" s="724" t="e">
        <f t="shared" si="124"/>
        <v>#N/A</v>
      </c>
      <c r="DI25" s="724" t="e">
        <f t="shared" si="124"/>
        <v>#N/A</v>
      </c>
      <c r="DJ25" s="724" t="e">
        <f t="shared" si="124"/>
        <v>#N/A</v>
      </c>
      <c r="DK25" s="724" t="e">
        <f t="shared" si="124"/>
        <v>#N/A</v>
      </c>
      <c r="DL25" s="724" t="e">
        <f t="shared" si="124"/>
        <v>#N/A</v>
      </c>
      <c r="DM25" s="724" t="e">
        <f t="shared" si="124"/>
        <v>#N/A</v>
      </c>
      <c r="DN25" s="724" t="e">
        <f t="shared" si="124"/>
        <v>#N/A</v>
      </c>
      <c r="DO25" s="724" t="e">
        <f t="shared" si="124"/>
        <v>#N/A</v>
      </c>
      <c r="DP25" s="724" t="e">
        <f t="shared" si="124"/>
        <v>#N/A</v>
      </c>
      <c r="DQ25" s="724" t="e">
        <f t="shared" si="124"/>
        <v>#N/A</v>
      </c>
      <c r="DR25" s="724" t="e">
        <f t="shared" si="124"/>
        <v>#N/A</v>
      </c>
      <c r="DS25" s="724" t="e">
        <f t="shared" si="124"/>
        <v>#N/A</v>
      </c>
      <c r="DT25" s="724" t="e">
        <f t="shared" si="124"/>
        <v>#N/A</v>
      </c>
      <c r="DU25" s="724" t="e">
        <f t="shared" si="124"/>
        <v>#N/A</v>
      </c>
      <c r="DV25" s="724" t="e">
        <f t="shared" si="124"/>
        <v>#N/A</v>
      </c>
      <c r="DW25" s="729" t="e">
        <f t="shared" si="124"/>
        <v>#N/A</v>
      </c>
    </row>
    <row r="26" spans="1:127" x14ac:dyDescent="0.35">
      <c r="A26" s="218"/>
      <c r="B26" s="65" t="s">
        <v>1387</v>
      </c>
      <c r="C26" s="65"/>
      <c r="D26" s="65"/>
      <c r="E26" s="217"/>
      <c r="F26" s="6"/>
      <c r="G26" s="218" t="s">
        <v>1396</v>
      </c>
      <c r="H26" s="65"/>
      <c r="I26" s="65"/>
      <c r="J26" s="65"/>
      <c r="K26" s="65"/>
      <c r="L26" s="65"/>
      <c r="M26" s="65"/>
      <c r="N26" s="65"/>
      <c r="O26" s="65"/>
      <c r="P26" s="65"/>
      <c r="Q26" s="65"/>
      <c r="R26" s="65"/>
      <c r="S26" s="65"/>
      <c r="T26" s="65"/>
      <c r="U26" s="407"/>
      <c r="V26" s="755">
        <f t="shared" ref="V26:BA26" si="125">IF(SerieÅR&gt;$AB$65,IF(LOOKUP(SerieÅR,StatistikkOgPrognoseÅr,PrognoseCO2utslippBil)/LOOKUP(SerieÅR,StatistikkOgPrognoseÅr,PrognosekjøretøykmBil)&gt;0.002,LOOKUP(SerieÅR,StatistikkOgPrognoseÅr,PrognoseCO2utslippBil)/LOOKUP(SerieÅR,StatistikkOgPrognoseÅr,PrognosekjøretøykmBil),0),($AB$88/$AB$87))</f>
        <v>0.18622082979533278</v>
      </c>
      <c r="W26" s="755">
        <f t="shared" si="125"/>
        <v>0.18622082979533278</v>
      </c>
      <c r="X26" s="755">
        <f t="shared" si="125"/>
        <v>0.18622082979533278</v>
      </c>
      <c r="Y26" s="755">
        <f t="shared" si="125"/>
        <v>0.18622082979533278</v>
      </c>
      <c r="Z26" s="755">
        <f t="shared" si="125"/>
        <v>0.18622082979533278</v>
      </c>
      <c r="AA26" s="755">
        <f t="shared" si="125"/>
        <v>0.18622082979533278</v>
      </c>
      <c r="AB26" s="755">
        <f t="shared" si="125"/>
        <v>0.18622082979533278</v>
      </c>
      <c r="AC26" s="755">
        <f t="shared" si="125"/>
        <v>0.18622082979533278</v>
      </c>
      <c r="AD26" s="755">
        <f t="shared" si="125"/>
        <v>0.18622082979533278</v>
      </c>
      <c r="AE26" s="755">
        <f t="shared" si="125"/>
        <v>0.18622082979533278</v>
      </c>
      <c r="AF26" s="755">
        <f t="shared" si="125"/>
        <v>0.18622082979533278</v>
      </c>
      <c r="AG26" s="755">
        <f t="shared" si="125"/>
        <v>0.18622082979533278</v>
      </c>
      <c r="AH26" s="755">
        <f t="shared" si="125"/>
        <v>0.18622082979533278</v>
      </c>
      <c r="AI26" s="755">
        <f t="shared" si="125"/>
        <v>0.18622082979533278</v>
      </c>
      <c r="AJ26" s="755">
        <f t="shared" si="125"/>
        <v>0.18622082979533278</v>
      </c>
      <c r="AK26" s="755">
        <f t="shared" si="125"/>
        <v>0.18622082979533278</v>
      </c>
      <c r="AL26" s="755">
        <f t="shared" si="125"/>
        <v>0.18622082979533278</v>
      </c>
      <c r="AM26" s="755">
        <f t="shared" si="125"/>
        <v>0.18622082979533278</v>
      </c>
      <c r="AN26" s="755">
        <f t="shared" si="125"/>
        <v>0.18622082979533278</v>
      </c>
      <c r="AO26" s="755">
        <f t="shared" si="125"/>
        <v>0.18622082979533278</v>
      </c>
      <c r="AP26" s="755">
        <f t="shared" si="125"/>
        <v>0.18622082979533278</v>
      </c>
      <c r="AQ26" s="755">
        <f t="shared" si="125"/>
        <v>0.18622082979533278</v>
      </c>
      <c r="AR26" s="755">
        <f t="shared" si="125"/>
        <v>0.18622082979533278</v>
      </c>
      <c r="AS26" s="755">
        <f t="shared" si="125"/>
        <v>0.18622082979533278</v>
      </c>
      <c r="AT26" s="755">
        <f t="shared" si="125"/>
        <v>0.18622082979533278</v>
      </c>
      <c r="AU26" s="755">
        <f t="shared" si="125"/>
        <v>0.18622082979533278</v>
      </c>
      <c r="AV26" s="755">
        <f t="shared" si="125"/>
        <v>0.18622082979533278</v>
      </c>
      <c r="AW26" s="755">
        <f t="shared" si="125"/>
        <v>0.18622082979533278</v>
      </c>
      <c r="AX26" s="755">
        <f t="shared" si="125"/>
        <v>0.18622082979533278</v>
      </c>
      <c r="AY26" s="755">
        <f t="shared" si="125"/>
        <v>0.18622082979533278</v>
      </c>
      <c r="AZ26" s="755">
        <f t="shared" si="125"/>
        <v>0.18622082979533278</v>
      </c>
      <c r="BA26" s="755">
        <f t="shared" si="125"/>
        <v>0.18622082979533278</v>
      </c>
      <c r="BB26" s="755">
        <f t="shared" ref="BB26:CG26" si="126">IF(SerieÅR&gt;$AB$65,IF(LOOKUP(SerieÅR,StatistikkOgPrognoseÅr,PrognoseCO2utslippBil)/LOOKUP(SerieÅR,StatistikkOgPrognoseÅr,PrognosekjøretøykmBil)&gt;0.002,LOOKUP(SerieÅR,StatistikkOgPrognoseÅr,PrognoseCO2utslippBil)/LOOKUP(SerieÅR,StatistikkOgPrognoseÅr,PrognosekjøretøykmBil),0),($AB$88/$AB$87))</f>
        <v>0.18622082979533278</v>
      </c>
      <c r="BC26" s="755">
        <f t="shared" si="126"/>
        <v>0.18622082979533278</v>
      </c>
      <c r="BD26" s="755">
        <f t="shared" si="126"/>
        <v>0.18622082979533278</v>
      </c>
      <c r="BE26" s="755">
        <f t="shared" si="126"/>
        <v>0.18622082979533278</v>
      </c>
      <c r="BF26" s="755">
        <f t="shared" si="126"/>
        <v>0.18622082979533278</v>
      </c>
      <c r="BG26" s="755">
        <f t="shared" si="126"/>
        <v>0.18622082979533278</v>
      </c>
      <c r="BH26" s="755">
        <f t="shared" si="126"/>
        <v>0.18622082979533278</v>
      </c>
      <c r="BI26" s="755">
        <f t="shared" si="126"/>
        <v>0.18622082979533278</v>
      </c>
      <c r="BJ26" s="755">
        <f t="shared" si="126"/>
        <v>0.18622082979533278</v>
      </c>
      <c r="BK26" s="755">
        <f t="shared" si="126"/>
        <v>0.18622082979533278</v>
      </c>
      <c r="BL26" s="755">
        <f t="shared" si="126"/>
        <v>0.18622082979533278</v>
      </c>
      <c r="BM26" s="755">
        <f t="shared" si="126"/>
        <v>0.18622082979533278</v>
      </c>
      <c r="BN26" s="755">
        <f t="shared" si="126"/>
        <v>0.18622082979533278</v>
      </c>
      <c r="BO26" s="755">
        <f t="shared" si="126"/>
        <v>0.18622082979533278</v>
      </c>
      <c r="BP26" s="755">
        <f t="shared" si="126"/>
        <v>0.18622082979533278</v>
      </c>
      <c r="BQ26" s="755">
        <f t="shared" si="126"/>
        <v>0.18622082979533278</v>
      </c>
      <c r="BR26" s="755">
        <f t="shared" si="126"/>
        <v>0.18622082979533278</v>
      </c>
      <c r="BS26" s="755">
        <f t="shared" si="126"/>
        <v>0.18622082979533278</v>
      </c>
      <c r="BT26" s="755">
        <f t="shared" si="126"/>
        <v>0.18622082979533278</v>
      </c>
      <c r="BU26" s="755">
        <f t="shared" si="126"/>
        <v>0.18622082979533278</v>
      </c>
      <c r="BV26" s="755">
        <f t="shared" si="126"/>
        <v>0.18622082979533278</v>
      </c>
      <c r="BW26" s="755">
        <f t="shared" si="126"/>
        <v>0.18622082979533278</v>
      </c>
      <c r="BX26" s="755">
        <f t="shared" si="126"/>
        <v>0.18622082979533278</v>
      </c>
      <c r="BY26" s="755">
        <f t="shared" si="126"/>
        <v>0.18622082979533278</v>
      </c>
      <c r="BZ26" s="755">
        <f t="shared" si="126"/>
        <v>0.18622082979533278</v>
      </c>
      <c r="CA26" s="755">
        <f t="shared" si="126"/>
        <v>0.18622082979533278</v>
      </c>
      <c r="CB26" s="755">
        <f t="shared" si="126"/>
        <v>0.18622082979533278</v>
      </c>
      <c r="CC26" s="755">
        <f t="shared" si="126"/>
        <v>0.18622082979533278</v>
      </c>
      <c r="CD26" s="755">
        <f t="shared" si="126"/>
        <v>0.18622082979533278</v>
      </c>
      <c r="CE26" s="755">
        <f t="shared" si="126"/>
        <v>0.18622082979533278</v>
      </c>
      <c r="CF26" s="755">
        <f t="shared" si="126"/>
        <v>0.18622082979533278</v>
      </c>
      <c r="CG26" s="755">
        <f t="shared" si="126"/>
        <v>0.18622082979533278</v>
      </c>
      <c r="CH26" s="755">
        <f t="shared" ref="CH26:DM26" si="127">IF(SerieÅR&gt;$AB$65,IF(LOOKUP(SerieÅR,StatistikkOgPrognoseÅr,PrognoseCO2utslippBil)/LOOKUP(SerieÅR,StatistikkOgPrognoseÅr,PrognosekjøretøykmBil)&gt;0.002,LOOKUP(SerieÅR,StatistikkOgPrognoseÅr,PrognoseCO2utslippBil)/LOOKUP(SerieÅR,StatistikkOgPrognoseÅr,PrognosekjøretøykmBil),0),($AB$88/$AB$87))</f>
        <v>0.18622082979533278</v>
      </c>
      <c r="CI26" s="755">
        <f t="shared" si="127"/>
        <v>0.18622082979533278</v>
      </c>
      <c r="CJ26" s="755">
        <f t="shared" si="127"/>
        <v>0.18622082979533278</v>
      </c>
      <c r="CK26" s="755">
        <f t="shared" si="127"/>
        <v>0.18622082979533278</v>
      </c>
      <c r="CL26" s="755">
        <f t="shared" si="127"/>
        <v>0.18622082979533278</v>
      </c>
      <c r="CM26" s="755">
        <f t="shared" si="127"/>
        <v>0.18622082979533278</v>
      </c>
      <c r="CN26" s="755">
        <f t="shared" si="127"/>
        <v>0.18622082979533278</v>
      </c>
      <c r="CO26" s="755">
        <f t="shared" si="127"/>
        <v>0.18622082979533278</v>
      </c>
      <c r="CP26" s="755">
        <f t="shared" si="127"/>
        <v>0.18622082979533278</v>
      </c>
      <c r="CQ26" s="755">
        <f t="shared" si="127"/>
        <v>0.18622082979533278</v>
      </c>
      <c r="CR26" s="755">
        <f t="shared" si="127"/>
        <v>0.18622082979533278</v>
      </c>
      <c r="CS26" s="755">
        <f t="shared" si="127"/>
        <v>0.18622082979533278</v>
      </c>
      <c r="CT26" s="755">
        <f t="shared" si="127"/>
        <v>0.18622082979533278</v>
      </c>
      <c r="CU26" s="755">
        <f t="shared" si="127"/>
        <v>0.18622082979533278</v>
      </c>
      <c r="CV26" s="755">
        <f t="shared" si="127"/>
        <v>0.18622082979533278</v>
      </c>
      <c r="CW26" s="755">
        <f t="shared" si="127"/>
        <v>0.18622082979533278</v>
      </c>
      <c r="CX26" s="768">
        <f t="shared" si="127"/>
        <v>0.18622082979533278</v>
      </c>
      <c r="CY26" s="752">
        <f t="shared" si="127"/>
        <v>0.18622082979533278</v>
      </c>
      <c r="CZ26" s="752">
        <f t="shared" si="127"/>
        <v>0.18622082979533278</v>
      </c>
      <c r="DA26" s="752">
        <f t="shared" si="127"/>
        <v>0.18622082979533278</v>
      </c>
      <c r="DB26" s="752">
        <f t="shared" si="127"/>
        <v>0.18622082979533278</v>
      </c>
      <c r="DC26" s="752">
        <f t="shared" si="127"/>
        <v>0.18622082979533278</v>
      </c>
      <c r="DD26" s="752">
        <f t="shared" si="127"/>
        <v>0.18622082979533278</v>
      </c>
      <c r="DE26" s="752">
        <f t="shared" si="127"/>
        <v>0.18622082979533278</v>
      </c>
      <c r="DF26" s="752">
        <f t="shared" si="127"/>
        <v>0.18622082979533278</v>
      </c>
      <c r="DG26" s="752">
        <f t="shared" si="127"/>
        <v>0.18622082979533278</v>
      </c>
      <c r="DH26" s="752">
        <f t="shared" si="127"/>
        <v>0.18622082979533278</v>
      </c>
      <c r="DI26" s="752">
        <f t="shared" si="127"/>
        <v>0.18622082979533278</v>
      </c>
      <c r="DJ26" s="752">
        <f t="shared" si="127"/>
        <v>0.18622082979533278</v>
      </c>
      <c r="DK26" s="752">
        <f t="shared" si="127"/>
        <v>0.18622082979533278</v>
      </c>
      <c r="DL26" s="752">
        <f t="shared" si="127"/>
        <v>0.18622082979533278</v>
      </c>
      <c r="DM26" s="752">
        <f t="shared" si="127"/>
        <v>0.18622082979533278</v>
      </c>
      <c r="DN26" s="752">
        <f t="shared" ref="DN26:DW26" si="128">IF(SerieÅR&gt;$AB$65,IF(LOOKUP(SerieÅR,StatistikkOgPrognoseÅr,PrognoseCO2utslippBil)/LOOKUP(SerieÅR,StatistikkOgPrognoseÅr,PrognosekjøretøykmBil)&gt;0.002,LOOKUP(SerieÅR,StatistikkOgPrognoseÅr,PrognoseCO2utslippBil)/LOOKUP(SerieÅR,StatistikkOgPrognoseÅr,PrognosekjøretøykmBil),0),($AB$88/$AB$87))</f>
        <v>0.18622082979533278</v>
      </c>
      <c r="DO26" s="752">
        <f t="shared" si="128"/>
        <v>0.18622082979533278</v>
      </c>
      <c r="DP26" s="752">
        <f t="shared" si="128"/>
        <v>0.18622082979533278</v>
      </c>
      <c r="DQ26" s="752">
        <f t="shared" si="128"/>
        <v>0.18622082979533278</v>
      </c>
      <c r="DR26" s="752">
        <f t="shared" si="128"/>
        <v>0.18622082979533278</v>
      </c>
      <c r="DS26" s="752">
        <f t="shared" si="128"/>
        <v>0.18622082979533278</v>
      </c>
      <c r="DT26" s="752">
        <f t="shared" si="128"/>
        <v>0.18622082979533278</v>
      </c>
      <c r="DU26" s="752">
        <f t="shared" si="128"/>
        <v>0.18622082979533278</v>
      </c>
      <c r="DV26" s="752">
        <f t="shared" si="128"/>
        <v>0.18622082979533278</v>
      </c>
      <c r="DW26" s="753">
        <f t="shared" si="128"/>
        <v>0.18622082979533278</v>
      </c>
    </row>
    <row r="27" spans="1:127" x14ac:dyDescent="0.35">
      <c r="A27" s="218"/>
      <c r="B27" s="65" t="s">
        <v>1387</v>
      </c>
      <c r="C27" s="65"/>
      <c r="D27" s="65"/>
      <c r="E27" s="217"/>
      <c r="F27" s="6"/>
      <c r="G27" s="218" t="s">
        <v>1397</v>
      </c>
      <c r="H27" s="65"/>
      <c r="I27" s="65"/>
      <c r="J27" s="65"/>
      <c r="K27" s="65"/>
      <c r="L27" s="65"/>
      <c r="M27" s="65"/>
      <c r="N27" s="65"/>
      <c r="O27" s="65"/>
      <c r="P27" s="65"/>
      <c r="Q27" s="65"/>
      <c r="R27" s="65"/>
      <c r="S27" s="65"/>
      <c r="T27" s="65"/>
      <c r="U27" s="407"/>
      <c r="V27" s="755">
        <f t="shared" ref="V27:BA27" si="129">IF(SerieÅR&gt;$AB$65,LOOKUP(SerieÅR,StatistikkOgPrognoseÅr,PrognoseCo2UtslippLastebil)/LOOKUP(SerieÅR,StatistikkOgPrognoseÅr,PrognoseKjKmLastebil),$AB$90/$AB$89)</f>
        <v>1.0702234382124942</v>
      </c>
      <c r="W27" s="755">
        <f t="shared" si="129"/>
        <v>1.0702234382124942</v>
      </c>
      <c r="X27" s="755">
        <f t="shared" si="129"/>
        <v>1.0702234382124942</v>
      </c>
      <c r="Y27" s="755">
        <f t="shared" si="129"/>
        <v>1.0702234382124942</v>
      </c>
      <c r="Z27" s="755">
        <f t="shared" si="129"/>
        <v>1.0702234382124942</v>
      </c>
      <c r="AA27" s="755">
        <f t="shared" si="129"/>
        <v>1.0702234382124942</v>
      </c>
      <c r="AB27" s="755">
        <f t="shared" si="129"/>
        <v>1.0702234382124942</v>
      </c>
      <c r="AC27" s="755">
        <f t="shared" si="129"/>
        <v>1.0702234382124942</v>
      </c>
      <c r="AD27" s="755">
        <f t="shared" si="129"/>
        <v>1.0702234382124942</v>
      </c>
      <c r="AE27" s="755">
        <f t="shared" si="129"/>
        <v>1.0702234382124942</v>
      </c>
      <c r="AF27" s="755">
        <f t="shared" si="129"/>
        <v>1.0702234382124942</v>
      </c>
      <c r="AG27" s="755">
        <f t="shared" si="129"/>
        <v>1.0702234382124942</v>
      </c>
      <c r="AH27" s="755">
        <f t="shared" si="129"/>
        <v>1.0702234382124942</v>
      </c>
      <c r="AI27" s="755">
        <f t="shared" si="129"/>
        <v>1.0702234382124942</v>
      </c>
      <c r="AJ27" s="755">
        <f t="shared" si="129"/>
        <v>1.0702234382124942</v>
      </c>
      <c r="AK27" s="755">
        <f t="shared" si="129"/>
        <v>1.0702234382124942</v>
      </c>
      <c r="AL27" s="755">
        <f t="shared" si="129"/>
        <v>1.0702234382124942</v>
      </c>
      <c r="AM27" s="755">
        <f t="shared" si="129"/>
        <v>1.0702234382124942</v>
      </c>
      <c r="AN27" s="755">
        <f t="shared" si="129"/>
        <v>1.0702234382124942</v>
      </c>
      <c r="AO27" s="755">
        <f t="shared" si="129"/>
        <v>1.0702234382124942</v>
      </c>
      <c r="AP27" s="755">
        <f t="shared" si="129"/>
        <v>1.0702234382124942</v>
      </c>
      <c r="AQ27" s="755">
        <f t="shared" si="129"/>
        <v>1.0702234382124942</v>
      </c>
      <c r="AR27" s="755">
        <f t="shared" si="129"/>
        <v>1.0702234382124942</v>
      </c>
      <c r="AS27" s="755">
        <f t="shared" si="129"/>
        <v>1.0702234382124942</v>
      </c>
      <c r="AT27" s="755">
        <f t="shared" si="129"/>
        <v>1.0702234382124942</v>
      </c>
      <c r="AU27" s="755">
        <f t="shared" si="129"/>
        <v>1.0702234382124942</v>
      </c>
      <c r="AV27" s="755">
        <f t="shared" si="129"/>
        <v>1.0702234382124942</v>
      </c>
      <c r="AW27" s="755">
        <f t="shared" si="129"/>
        <v>1.0702234382124942</v>
      </c>
      <c r="AX27" s="755">
        <f t="shared" si="129"/>
        <v>1.0702234382124942</v>
      </c>
      <c r="AY27" s="755">
        <f t="shared" si="129"/>
        <v>1.0702234382124942</v>
      </c>
      <c r="AZ27" s="755">
        <f t="shared" si="129"/>
        <v>1.0702234382124942</v>
      </c>
      <c r="BA27" s="755">
        <f t="shared" si="129"/>
        <v>1.0702234382124942</v>
      </c>
      <c r="BB27" s="755">
        <f t="shared" ref="BB27:CG27" si="130">IF(SerieÅR&gt;$AB$65,LOOKUP(SerieÅR,StatistikkOgPrognoseÅr,PrognoseCo2UtslippLastebil)/LOOKUP(SerieÅR,StatistikkOgPrognoseÅr,PrognoseKjKmLastebil),$AB$90/$AB$89)</f>
        <v>1.0702234382124942</v>
      </c>
      <c r="BC27" s="755">
        <f t="shared" si="130"/>
        <v>1.0702234382124942</v>
      </c>
      <c r="BD27" s="755">
        <f t="shared" si="130"/>
        <v>1.0702234382124942</v>
      </c>
      <c r="BE27" s="755">
        <f t="shared" si="130"/>
        <v>1.0702234382124942</v>
      </c>
      <c r="BF27" s="755">
        <f t="shared" si="130"/>
        <v>1.0702234382124942</v>
      </c>
      <c r="BG27" s="755">
        <f t="shared" si="130"/>
        <v>1.0702234382124942</v>
      </c>
      <c r="BH27" s="755">
        <f t="shared" si="130"/>
        <v>1.0702234382124942</v>
      </c>
      <c r="BI27" s="755">
        <f t="shared" si="130"/>
        <v>1.0702234382124942</v>
      </c>
      <c r="BJ27" s="755">
        <f t="shared" si="130"/>
        <v>1.0702234382124942</v>
      </c>
      <c r="BK27" s="755">
        <f t="shared" si="130"/>
        <v>1.0702234382124942</v>
      </c>
      <c r="BL27" s="755">
        <f t="shared" si="130"/>
        <v>1.0702234382124942</v>
      </c>
      <c r="BM27" s="755">
        <f t="shared" si="130"/>
        <v>1.0702234382124942</v>
      </c>
      <c r="BN27" s="755">
        <f t="shared" si="130"/>
        <v>1.0702234382124942</v>
      </c>
      <c r="BO27" s="755">
        <f t="shared" si="130"/>
        <v>1.0702234382124942</v>
      </c>
      <c r="BP27" s="755">
        <f t="shared" si="130"/>
        <v>1.0702234382124942</v>
      </c>
      <c r="BQ27" s="755">
        <f t="shared" si="130"/>
        <v>1.0702234382124942</v>
      </c>
      <c r="BR27" s="755">
        <f t="shared" si="130"/>
        <v>1.0702234382124942</v>
      </c>
      <c r="BS27" s="755">
        <f t="shared" si="130"/>
        <v>1.0702234382124942</v>
      </c>
      <c r="BT27" s="755">
        <f t="shared" si="130"/>
        <v>1.0702234382124942</v>
      </c>
      <c r="BU27" s="755">
        <f t="shared" si="130"/>
        <v>1.0702234382124942</v>
      </c>
      <c r="BV27" s="755">
        <f t="shared" si="130"/>
        <v>1.0702234382124942</v>
      </c>
      <c r="BW27" s="755">
        <f t="shared" si="130"/>
        <v>1.0702234382124942</v>
      </c>
      <c r="BX27" s="755">
        <f t="shared" si="130"/>
        <v>1.0702234382124942</v>
      </c>
      <c r="BY27" s="755">
        <f t="shared" si="130"/>
        <v>1.0702234382124942</v>
      </c>
      <c r="BZ27" s="755">
        <f t="shared" si="130"/>
        <v>1.0702234382124942</v>
      </c>
      <c r="CA27" s="755">
        <f t="shared" si="130"/>
        <v>1.0702234382124942</v>
      </c>
      <c r="CB27" s="755">
        <f t="shared" si="130"/>
        <v>1.0702234382124942</v>
      </c>
      <c r="CC27" s="755">
        <f t="shared" si="130"/>
        <v>1.0702234382124942</v>
      </c>
      <c r="CD27" s="755">
        <f t="shared" si="130"/>
        <v>1.0702234382124942</v>
      </c>
      <c r="CE27" s="755">
        <f t="shared" si="130"/>
        <v>1.0702234382124942</v>
      </c>
      <c r="CF27" s="755">
        <f t="shared" si="130"/>
        <v>1.0702234382124942</v>
      </c>
      <c r="CG27" s="755">
        <f t="shared" si="130"/>
        <v>1.0702234382124942</v>
      </c>
      <c r="CH27" s="755">
        <f t="shared" ref="CH27:DM27" si="131">IF(SerieÅR&gt;$AB$65,LOOKUP(SerieÅR,StatistikkOgPrognoseÅr,PrognoseCo2UtslippLastebil)/LOOKUP(SerieÅR,StatistikkOgPrognoseÅr,PrognoseKjKmLastebil),$AB$90/$AB$89)</f>
        <v>1.0702234382124942</v>
      </c>
      <c r="CI27" s="755">
        <f t="shared" si="131"/>
        <v>1.0702234382124942</v>
      </c>
      <c r="CJ27" s="755">
        <f t="shared" si="131"/>
        <v>1.0702234382124942</v>
      </c>
      <c r="CK27" s="755">
        <f t="shared" si="131"/>
        <v>1.0702234382124942</v>
      </c>
      <c r="CL27" s="755">
        <f t="shared" si="131"/>
        <v>1.0702234382124942</v>
      </c>
      <c r="CM27" s="755">
        <f t="shared" si="131"/>
        <v>1.0702234382124942</v>
      </c>
      <c r="CN27" s="755">
        <f t="shared" si="131"/>
        <v>1.0702234382124942</v>
      </c>
      <c r="CO27" s="755">
        <f t="shared" si="131"/>
        <v>1.0702234382124942</v>
      </c>
      <c r="CP27" s="755">
        <f t="shared" si="131"/>
        <v>1.0702234382124942</v>
      </c>
      <c r="CQ27" s="755">
        <f t="shared" si="131"/>
        <v>1.0702234382124942</v>
      </c>
      <c r="CR27" s="755">
        <f t="shared" si="131"/>
        <v>1.0702234382124942</v>
      </c>
      <c r="CS27" s="755">
        <f t="shared" si="131"/>
        <v>1.0702234382124942</v>
      </c>
      <c r="CT27" s="755">
        <f t="shared" si="131"/>
        <v>1.0702234382124942</v>
      </c>
      <c r="CU27" s="755">
        <f t="shared" si="131"/>
        <v>1.0702234382124942</v>
      </c>
      <c r="CV27" s="755">
        <f t="shared" si="131"/>
        <v>1.0702234382124942</v>
      </c>
      <c r="CW27" s="755">
        <f t="shared" si="131"/>
        <v>1.0702234382124942</v>
      </c>
      <c r="CX27" s="755">
        <f t="shared" si="131"/>
        <v>1.0702234382124942</v>
      </c>
      <c r="CY27" s="755">
        <f t="shared" si="131"/>
        <v>1.0702234382124942</v>
      </c>
      <c r="CZ27" s="755">
        <f t="shared" si="131"/>
        <v>1.0702234382124942</v>
      </c>
      <c r="DA27" s="755">
        <f t="shared" si="131"/>
        <v>1.0702234382124942</v>
      </c>
      <c r="DB27" s="755">
        <f t="shared" si="131"/>
        <v>1.0702234382124942</v>
      </c>
      <c r="DC27" s="755">
        <f t="shared" si="131"/>
        <v>1.0702234382124942</v>
      </c>
      <c r="DD27" s="755">
        <f t="shared" si="131"/>
        <v>1.0702234382124942</v>
      </c>
      <c r="DE27" s="755">
        <f t="shared" si="131"/>
        <v>1.0702234382124942</v>
      </c>
      <c r="DF27" s="755">
        <f t="shared" si="131"/>
        <v>1.0702234382124942</v>
      </c>
      <c r="DG27" s="755">
        <f t="shared" si="131"/>
        <v>1.0702234382124942</v>
      </c>
      <c r="DH27" s="755">
        <f t="shared" si="131"/>
        <v>1.0702234382124942</v>
      </c>
      <c r="DI27" s="755">
        <f t="shared" si="131"/>
        <v>1.0702234382124942</v>
      </c>
      <c r="DJ27" s="755">
        <f t="shared" si="131"/>
        <v>1.0702234382124942</v>
      </c>
      <c r="DK27" s="755">
        <f t="shared" si="131"/>
        <v>1.0702234382124942</v>
      </c>
      <c r="DL27" s="755">
        <f t="shared" si="131"/>
        <v>1.0702234382124942</v>
      </c>
      <c r="DM27" s="755">
        <f t="shared" si="131"/>
        <v>1.0702234382124942</v>
      </c>
      <c r="DN27" s="755">
        <f t="shared" ref="DN27:DW27" si="132">IF(SerieÅR&gt;$AB$65,LOOKUP(SerieÅR,StatistikkOgPrognoseÅr,PrognoseCo2UtslippLastebil)/LOOKUP(SerieÅR,StatistikkOgPrognoseÅr,PrognoseKjKmLastebil),$AB$90/$AB$89)</f>
        <v>1.0702234382124942</v>
      </c>
      <c r="DO27" s="755">
        <f t="shared" si="132"/>
        <v>1.0702234382124942</v>
      </c>
      <c r="DP27" s="755">
        <f t="shared" si="132"/>
        <v>1.0702234382124942</v>
      </c>
      <c r="DQ27" s="755">
        <f t="shared" si="132"/>
        <v>1.0702234382124942</v>
      </c>
      <c r="DR27" s="755">
        <f t="shared" si="132"/>
        <v>1.0702234382124942</v>
      </c>
      <c r="DS27" s="755">
        <f t="shared" si="132"/>
        <v>1.0702234382124942</v>
      </c>
      <c r="DT27" s="755">
        <f t="shared" si="132"/>
        <v>1.0702234382124942</v>
      </c>
      <c r="DU27" s="755">
        <f t="shared" si="132"/>
        <v>1.0702234382124942</v>
      </c>
      <c r="DV27" s="755">
        <f t="shared" si="132"/>
        <v>1.0702234382124942</v>
      </c>
      <c r="DW27" s="755">
        <f t="shared" si="132"/>
        <v>1.0702234382124942</v>
      </c>
    </row>
    <row r="28" spans="1:127" x14ac:dyDescent="0.35">
      <c r="A28" s="218"/>
      <c r="B28" s="65" t="s">
        <v>1387</v>
      </c>
      <c r="C28" s="65"/>
      <c r="D28" s="65"/>
      <c r="E28" s="217"/>
      <c r="F28" s="6"/>
      <c r="G28" s="218" t="s">
        <v>1398</v>
      </c>
      <c r="H28" s="65"/>
      <c r="I28" s="65"/>
      <c r="J28" s="65"/>
      <c r="K28" s="65"/>
      <c r="L28" s="65"/>
      <c r="M28" s="65"/>
      <c r="N28" s="65"/>
      <c r="O28" s="65"/>
      <c r="P28" s="65"/>
      <c r="Q28" s="65"/>
      <c r="R28" s="65"/>
      <c r="S28" s="65"/>
      <c r="T28" s="65"/>
      <c r="U28" s="407"/>
      <c r="V28" s="755" t="e">
        <f t="shared" ref="V28:BA28" si="133">IF(SerieÅR&gt;$AH$65,LOOKUP(SerieÅR,StatistikkOgPrognoseÅr,PrognoseCO2UtslippLettLastebil)/LOOKUP(SerieÅR,StatistikkOgPrognoseÅr,PrognoseKjKmLettLastebil),$AB$92/$AB$91)</f>
        <v>#DIV/0!</v>
      </c>
      <c r="W28" s="755" t="e">
        <f t="shared" si="133"/>
        <v>#DIV/0!</v>
      </c>
      <c r="X28" s="755" t="e">
        <f t="shared" si="133"/>
        <v>#DIV/0!</v>
      </c>
      <c r="Y28" s="755" t="e">
        <f t="shared" si="133"/>
        <v>#DIV/0!</v>
      </c>
      <c r="Z28" s="755" t="e">
        <f t="shared" si="133"/>
        <v>#DIV/0!</v>
      </c>
      <c r="AA28" s="755" t="e">
        <f t="shared" si="133"/>
        <v>#DIV/0!</v>
      </c>
      <c r="AB28" s="755" t="e">
        <f t="shared" si="133"/>
        <v>#DIV/0!</v>
      </c>
      <c r="AC28" s="755" t="e">
        <f t="shared" si="133"/>
        <v>#DIV/0!</v>
      </c>
      <c r="AD28" s="755" t="e">
        <f t="shared" si="133"/>
        <v>#DIV/0!</v>
      </c>
      <c r="AE28" s="755" t="e">
        <f t="shared" si="133"/>
        <v>#DIV/0!</v>
      </c>
      <c r="AF28" s="755" t="e">
        <f t="shared" si="133"/>
        <v>#DIV/0!</v>
      </c>
      <c r="AG28" s="755" t="e">
        <f t="shared" si="133"/>
        <v>#DIV/0!</v>
      </c>
      <c r="AH28" s="755" t="e">
        <f t="shared" si="133"/>
        <v>#DIV/0!</v>
      </c>
      <c r="AI28" s="755" t="e">
        <f t="shared" si="133"/>
        <v>#DIV/0!</v>
      </c>
      <c r="AJ28" s="755" t="e">
        <f t="shared" si="133"/>
        <v>#DIV/0!</v>
      </c>
      <c r="AK28" s="755" t="e">
        <f t="shared" si="133"/>
        <v>#DIV/0!</v>
      </c>
      <c r="AL28" s="755" t="e">
        <f t="shared" si="133"/>
        <v>#DIV/0!</v>
      </c>
      <c r="AM28" s="755" t="e">
        <f t="shared" si="133"/>
        <v>#DIV/0!</v>
      </c>
      <c r="AN28" s="755" t="e">
        <f t="shared" si="133"/>
        <v>#DIV/0!</v>
      </c>
      <c r="AO28" s="755" t="e">
        <f t="shared" si="133"/>
        <v>#DIV/0!</v>
      </c>
      <c r="AP28" s="755" t="e">
        <f t="shared" si="133"/>
        <v>#DIV/0!</v>
      </c>
      <c r="AQ28" s="755" t="e">
        <f t="shared" si="133"/>
        <v>#DIV/0!</v>
      </c>
      <c r="AR28" s="755" t="e">
        <f t="shared" si="133"/>
        <v>#DIV/0!</v>
      </c>
      <c r="AS28" s="755" t="e">
        <f t="shared" si="133"/>
        <v>#DIV/0!</v>
      </c>
      <c r="AT28" s="755" t="e">
        <f t="shared" si="133"/>
        <v>#DIV/0!</v>
      </c>
      <c r="AU28" s="755" t="e">
        <f t="shared" si="133"/>
        <v>#DIV/0!</v>
      </c>
      <c r="AV28" s="755" t="e">
        <f t="shared" si="133"/>
        <v>#DIV/0!</v>
      </c>
      <c r="AW28" s="755" t="e">
        <f t="shared" si="133"/>
        <v>#DIV/0!</v>
      </c>
      <c r="AX28" s="755" t="e">
        <f t="shared" si="133"/>
        <v>#DIV/0!</v>
      </c>
      <c r="AY28" s="755" t="e">
        <f t="shared" si="133"/>
        <v>#DIV/0!</v>
      </c>
      <c r="AZ28" s="755" t="e">
        <f t="shared" si="133"/>
        <v>#DIV/0!</v>
      </c>
      <c r="BA28" s="755" t="e">
        <f t="shared" si="133"/>
        <v>#DIV/0!</v>
      </c>
      <c r="BB28" s="755" t="e">
        <f t="shared" ref="BB28:CG28" si="134">IF(SerieÅR&gt;$AH$65,LOOKUP(SerieÅR,StatistikkOgPrognoseÅr,PrognoseCO2UtslippLettLastebil)/LOOKUP(SerieÅR,StatistikkOgPrognoseÅr,PrognoseKjKmLettLastebil),$AB$92/$AB$91)</f>
        <v>#DIV/0!</v>
      </c>
      <c r="BC28" s="755" t="e">
        <f t="shared" si="134"/>
        <v>#DIV/0!</v>
      </c>
      <c r="BD28" s="755" t="e">
        <f t="shared" si="134"/>
        <v>#DIV/0!</v>
      </c>
      <c r="BE28" s="755" t="e">
        <f t="shared" si="134"/>
        <v>#DIV/0!</v>
      </c>
      <c r="BF28" s="755" t="e">
        <f t="shared" si="134"/>
        <v>#DIV/0!</v>
      </c>
      <c r="BG28" s="755" t="e">
        <f t="shared" si="134"/>
        <v>#DIV/0!</v>
      </c>
      <c r="BH28" s="755" t="e">
        <f t="shared" si="134"/>
        <v>#DIV/0!</v>
      </c>
      <c r="BI28" s="755" t="e">
        <f t="shared" si="134"/>
        <v>#DIV/0!</v>
      </c>
      <c r="BJ28" s="755" t="e">
        <f t="shared" si="134"/>
        <v>#DIV/0!</v>
      </c>
      <c r="BK28" s="755" t="e">
        <f t="shared" si="134"/>
        <v>#DIV/0!</v>
      </c>
      <c r="BL28" s="755" t="e">
        <f t="shared" si="134"/>
        <v>#DIV/0!</v>
      </c>
      <c r="BM28" s="755" t="e">
        <f t="shared" si="134"/>
        <v>#DIV/0!</v>
      </c>
      <c r="BN28" s="755" t="e">
        <f t="shared" si="134"/>
        <v>#DIV/0!</v>
      </c>
      <c r="BO28" s="755" t="e">
        <f t="shared" si="134"/>
        <v>#DIV/0!</v>
      </c>
      <c r="BP28" s="755" t="e">
        <f t="shared" si="134"/>
        <v>#DIV/0!</v>
      </c>
      <c r="BQ28" s="755" t="e">
        <f t="shared" si="134"/>
        <v>#DIV/0!</v>
      </c>
      <c r="BR28" s="755" t="e">
        <f t="shared" si="134"/>
        <v>#DIV/0!</v>
      </c>
      <c r="BS28" s="755" t="e">
        <f t="shared" si="134"/>
        <v>#DIV/0!</v>
      </c>
      <c r="BT28" s="755" t="e">
        <f t="shared" si="134"/>
        <v>#DIV/0!</v>
      </c>
      <c r="BU28" s="755" t="e">
        <f t="shared" si="134"/>
        <v>#DIV/0!</v>
      </c>
      <c r="BV28" s="755" t="e">
        <f t="shared" si="134"/>
        <v>#DIV/0!</v>
      </c>
      <c r="BW28" s="755" t="e">
        <f t="shared" si="134"/>
        <v>#DIV/0!</v>
      </c>
      <c r="BX28" s="755" t="e">
        <f t="shared" si="134"/>
        <v>#DIV/0!</v>
      </c>
      <c r="BY28" s="755" t="e">
        <f t="shared" si="134"/>
        <v>#DIV/0!</v>
      </c>
      <c r="BZ28" s="755" t="e">
        <f t="shared" si="134"/>
        <v>#DIV/0!</v>
      </c>
      <c r="CA28" s="755" t="e">
        <f t="shared" si="134"/>
        <v>#DIV/0!</v>
      </c>
      <c r="CB28" s="755" t="e">
        <f t="shared" si="134"/>
        <v>#DIV/0!</v>
      </c>
      <c r="CC28" s="755" t="e">
        <f t="shared" si="134"/>
        <v>#DIV/0!</v>
      </c>
      <c r="CD28" s="755" t="e">
        <f t="shared" si="134"/>
        <v>#DIV/0!</v>
      </c>
      <c r="CE28" s="755" t="e">
        <f t="shared" si="134"/>
        <v>#DIV/0!</v>
      </c>
      <c r="CF28" s="755" t="e">
        <f t="shared" si="134"/>
        <v>#DIV/0!</v>
      </c>
      <c r="CG28" s="755" t="e">
        <f t="shared" si="134"/>
        <v>#DIV/0!</v>
      </c>
      <c r="CH28" s="755" t="e">
        <f t="shared" ref="CH28:DM28" si="135">IF(SerieÅR&gt;$AH$65,LOOKUP(SerieÅR,StatistikkOgPrognoseÅr,PrognoseCO2UtslippLettLastebil)/LOOKUP(SerieÅR,StatistikkOgPrognoseÅr,PrognoseKjKmLettLastebil),$AB$92/$AB$91)</f>
        <v>#DIV/0!</v>
      </c>
      <c r="CI28" s="755" t="e">
        <f t="shared" si="135"/>
        <v>#DIV/0!</v>
      </c>
      <c r="CJ28" s="755" t="e">
        <f t="shared" si="135"/>
        <v>#DIV/0!</v>
      </c>
      <c r="CK28" s="755" t="e">
        <f t="shared" si="135"/>
        <v>#DIV/0!</v>
      </c>
      <c r="CL28" s="755" t="e">
        <f t="shared" si="135"/>
        <v>#DIV/0!</v>
      </c>
      <c r="CM28" s="755" t="e">
        <f t="shared" si="135"/>
        <v>#DIV/0!</v>
      </c>
      <c r="CN28" s="755" t="e">
        <f t="shared" si="135"/>
        <v>#DIV/0!</v>
      </c>
      <c r="CO28" s="755" t="e">
        <f t="shared" si="135"/>
        <v>#DIV/0!</v>
      </c>
      <c r="CP28" s="755" t="e">
        <f t="shared" si="135"/>
        <v>#DIV/0!</v>
      </c>
      <c r="CQ28" s="755" t="e">
        <f t="shared" si="135"/>
        <v>#DIV/0!</v>
      </c>
      <c r="CR28" s="755" t="e">
        <f t="shared" si="135"/>
        <v>#DIV/0!</v>
      </c>
      <c r="CS28" s="755" t="e">
        <f t="shared" si="135"/>
        <v>#DIV/0!</v>
      </c>
      <c r="CT28" s="755" t="e">
        <f t="shared" si="135"/>
        <v>#DIV/0!</v>
      </c>
      <c r="CU28" s="755" t="e">
        <f t="shared" si="135"/>
        <v>#DIV/0!</v>
      </c>
      <c r="CV28" s="755" t="e">
        <f t="shared" si="135"/>
        <v>#DIV/0!</v>
      </c>
      <c r="CW28" s="755" t="e">
        <f t="shared" si="135"/>
        <v>#DIV/0!</v>
      </c>
      <c r="CX28" s="755" t="e">
        <f t="shared" si="135"/>
        <v>#DIV/0!</v>
      </c>
      <c r="CY28" s="755" t="e">
        <f t="shared" si="135"/>
        <v>#DIV/0!</v>
      </c>
      <c r="CZ28" s="755" t="e">
        <f t="shared" si="135"/>
        <v>#DIV/0!</v>
      </c>
      <c r="DA28" s="755" t="e">
        <f t="shared" si="135"/>
        <v>#DIV/0!</v>
      </c>
      <c r="DB28" s="755" t="e">
        <f t="shared" si="135"/>
        <v>#DIV/0!</v>
      </c>
      <c r="DC28" s="755" t="e">
        <f t="shared" si="135"/>
        <v>#DIV/0!</v>
      </c>
      <c r="DD28" s="755" t="e">
        <f t="shared" si="135"/>
        <v>#DIV/0!</v>
      </c>
      <c r="DE28" s="755" t="e">
        <f t="shared" si="135"/>
        <v>#DIV/0!</v>
      </c>
      <c r="DF28" s="755" t="e">
        <f t="shared" si="135"/>
        <v>#DIV/0!</v>
      </c>
      <c r="DG28" s="755" t="e">
        <f t="shared" si="135"/>
        <v>#DIV/0!</v>
      </c>
      <c r="DH28" s="755" t="e">
        <f t="shared" si="135"/>
        <v>#DIV/0!</v>
      </c>
      <c r="DI28" s="755" t="e">
        <f t="shared" si="135"/>
        <v>#DIV/0!</v>
      </c>
      <c r="DJ28" s="755" t="e">
        <f t="shared" si="135"/>
        <v>#DIV/0!</v>
      </c>
      <c r="DK28" s="755" t="e">
        <f t="shared" si="135"/>
        <v>#DIV/0!</v>
      </c>
      <c r="DL28" s="755" t="e">
        <f t="shared" si="135"/>
        <v>#DIV/0!</v>
      </c>
      <c r="DM28" s="755" t="e">
        <f t="shared" si="135"/>
        <v>#DIV/0!</v>
      </c>
      <c r="DN28" s="755" t="e">
        <f t="shared" ref="DN28:DW28" si="136">IF(SerieÅR&gt;$AH$65,LOOKUP(SerieÅR,StatistikkOgPrognoseÅr,PrognoseCO2UtslippLettLastebil)/LOOKUP(SerieÅR,StatistikkOgPrognoseÅr,PrognoseKjKmLettLastebil),$AB$92/$AB$91)</f>
        <v>#DIV/0!</v>
      </c>
      <c r="DO28" s="755" t="e">
        <f t="shared" si="136"/>
        <v>#DIV/0!</v>
      </c>
      <c r="DP28" s="755" t="e">
        <f t="shared" si="136"/>
        <v>#DIV/0!</v>
      </c>
      <c r="DQ28" s="755" t="e">
        <f t="shared" si="136"/>
        <v>#DIV/0!</v>
      </c>
      <c r="DR28" s="755" t="e">
        <f t="shared" si="136"/>
        <v>#DIV/0!</v>
      </c>
      <c r="DS28" s="755" t="e">
        <f t="shared" si="136"/>
        <v>#DIV/0!</v>
      </c>
      <c r="DT28" s="755" t="e">
        <f t="shared" si="136"/>
        <v>#DIV/0!</v>
      </c>
      <c r="DU28" s="755" t="e">
        <f t="shared" si="136"/>
        <v>#DIV/0!</v>
      </c>
      <c r="DV28" s="755" t="e">
        <f t="shared" si="136"/>
        <v>#DIV/0!</v>
      </c>
      <c r="DW28" s="1194" t="e">
        <f t="shared" si="136"/>
        <v>#DIV/0!</v>
      </c>
    </row>
    <row r="29" spans="1:127" x14ac:dyDescent="0.35">
      <c r="A29" s="218"/>
      <c r="B29" s="65" t="s">
        <v>1387</v>
      </c>
      <c r="C29" s="65"/>
      <c r="D29" s="65"/>
      <c r="E29" s="217"/>
      <c r="F29" s="6"/>
      <c r="G29" s="218" t="s">
        <v>1399</v>
      </c>
      <c r="H29" s="65"/>
      <c r="I29" s="65"/>
      <c r="J29" s="65"/>
      <c r="K29" s="65"/>
      <c r="L29" s="65"/>
      <c r="M29" s="65"/>
      <c r="N29" s="65"/>
      <c r="O29" s="65"/>
      <c r="P29" s="65"/>
      <c r="Q29" s="65"/>
      <c r="R29" s="65"/>
      <c r="S29" s="65"/>
      <c r="T29" s="65"/>
      <c r="U29" s="407"/>
      <c r="V29" s="755">
        <f t="shared" ref="V29:BA29" si="137">IF(SerieÅR&gt;$AB$65,LOOKUP(SerieÅR,StatistikkOgPrognoseÅr,PrognoseCo2UtslippBuss)/LOOKUP(SerieÅR,StatistikkOgPrognoseÅr,PrognoseKjKmBuss),$AB$94/$AB$93)</f>
        <v>0.79040852575488452</v>
      </c>
      <c r="W29" s="755">
        <f t="shared" si="137"/>
        <v>0.79040852575488452</v>
      </c>
      <c r="X29" s="755">
        <f t="shared" si="137"/>
        <v>0.79040852575488452</v>
      </c>
      <c r="Y29" s="755">
        <f t="shared" si="137"/>
        <v>0.79040852575488452</v>
      </c>
      <c r="Z29" s="755">
        <f t="shared" si="137"/>
        <v>0.79040852575488452</v>
      </c>
      <c r="AA29" s="755">
        <f t="shared" si="137"/>
        <v>0.79040852575488452</v>
      </c>
      <c r="AB29" s="755">
        <f t="shared" si="137"/>
        <v>0.79040852575488452</v>
      </c>
      <c r="AC29" s="755">
        <f t="shared" si="137"/>
        <v>0.79040852575488452</v>
      </c>
      <c r="AD29" s="755">
        <f t="shared" si="137"/>
        <v>0.79040852575488452</v>
      </c>
      <c r="AE29" s="755">
        <f t="shared" si="137"/>
        <v>0.79040852575488452</v>
      </c>
      <c r="AF29" s="755">
        <f t="shared" si="137"/>
        <v>0.79040852575488452</v>
      </c>
      <c r="AG29" s="755">
        <f t="shared" si="137"/>
        <v>0.79040852575488452</v>
      </c>
      <c r="AH29" s="755">
        <f t="shared" si="137"/>
        <v>0.79040852575488452</v>
      </c>
      <c r="AI29" s="755">
        <f t="shared" si="137"/>
        <v>0.79040852575488452</v>
      </c>
      <c r="AJ29" s="755">
        <f t="shared" si="137"/>
        <v>0.79040852575488452</v>
      </c>
      <c r="AK29" s="755">
        <f t="shared" si="137"/>
        <v>0.79040852575488452</v>
      </c>
      <c r="AL29" s="755">
        <f t="shared" si="137"/>
        <v>0.79040852575488452</v>
      </c>
      <c r="AM29" s="755">
        <f t="shared" si="137"/>
        <v>0.79040852575488452</v>
      </c>
      <c r="AN29" s="755">
        <f t="shared" si="137"/>
        <v>0.79040852575488452</v>
      </c>
      <c r="AO29" s="755">
        <f t="shared" si="137"/>
        <v>0.79040852575488452</v>
      </c>
      <c r="AP29" s="755">
        <f t="shared" si="137"/>
        <v>0.79040852575488452</v>
      </c>
      <c r="AQ29" s="755">
        <f t="shared" si="137"/>
        <v>0.79040852575488452</v>
      </c>
      <c r="AR29" s="755">
        <f t="shared" si="137"/>
        <v>0.79040852575488452</v>
      </c>
      <c r="AS29" s="755">
        <f t="shared" si="137"/>
        <v>0.79040852575488452</v>
      </c>
      <c r="AT29" s="755">
        <f t="shared" si="137"/>
        <v>0.79040852575488452</v>
      </c>
      <c r="AU29" s="755">
        <f t="shared" si="137"/>
        <v>0.79040852575488452</v>
      </c>
      <c r="AV29" s="755">
        <f t="shared" si="137"/>
        <v>0.79040852575488452</v>
      </c>
      <c r="AW29" s="755">
        <f t="shared" si="137"/>
        <v>0.79040852575488452</v>
      </c>
      <c r="AX29" s="755">
        <f t="shared" si="137"/>
        <v>0.79040852575488452</v>
      </c>
      <c r="AY29" s="755">
        <f t="shared" si="137"/>
        <v>0.79040852575488452</v>
      </c>
      <c r="AZ29" s="755">
        <f t="shared" si="137"/>
        <v>0.79040852575488452</v>
      </c>
      <c r="BA29" s="755">
        <f t="shared" si="137"/>
        <v>0.79040852575488452</v>
      </c>
      <c r="BB29" s="755">
        <f t="shared" ref="BB29:CG29" si="138">IF(SerieÅR&gt;$AB$65,LOOKUP(SerieÅR,StatistikkOgPrognoseÅr,PrognoseCo2UtslippBuss)/LOOKUP(SerieÅR,StatistikkOgPrognoseÅr,PrognoseKjKmBuss),$AB$94/$AB$93)</f>
        <v>0.79040852575488452</v>
      </c>
      <c r="BC29" s="755">
        <f t="shared" si="138"/>
        <v>0.79040852575488452</v>
      </c>
      <c r="BD29" s="755">
        <f t="shared" si="138"/>
        <v>0.79040852575488452</v>
      </c>
      <c r="BE29" s="755">
        <f t="shared" si="138"/>
        <v>0.79040852575488452</v>
      </c>
      <c r="BF29" s="755">
        <f t="shared" si="138"/>
        <v>0.79040852575488452</v>
      </c>
      <c r="BG29" s="755">
        <f t="shared" si="138"/>
        <v>0.79040852575488452</v>
      </c>
      <c r="BH29" s="755">
        <f t="shared" si="138"/>
        <v>0.79040852575488452</v>
      </c>
      <c r="BI29" s="755">
        <f t="shared" si="138"/>
        <v>0.79040852575488452</v>
      </c>
      <c r="BJ29" s="755">
        <f t="shared" si="138"/>
        <v>0.79040852575488452</v>
      </c>
      <c r="BK29" s="755">
        <f t="shared" si="138"/>
        <v>0.79040852575488452</v>
      </c>
      <c r="BL29" s="755">
        <f t="shared" si="138"/>
        <v>0.79040852575488452</v>
      </c>
      <c r="BM29" s="755">
        <f t="shared" si="138"/>
        <v>0.79040852575488452</v>
      </c>
      <c r="BN29" s="755">
        <f t="shared" si="138"/>
        <v>0.79040852575488452</v>
      </c>
      <c r="BO29" s="755">
        <f t="shared" si="138"/>
        <v>0.79040852575488452</v>
      </c>
      <c r="BP29" s="755">
        <f t="shared" si="138"/>
        <v>0.79040852575488452</v>
      </c>
      <c r="BQ29" s="755">
        <f t="shared" si="138"/>
        <v>0.79040852575488452</v>
      </c>
      <c r="BR29" s="755">
        <f t="shared" si="138"/>
        <v>0.79040852575488452</v>
      </c>
      <c r="BS29" s="755">
        <f t="shared" si="138"/>
        <v>0.79040852575488452</v>
      </c>
      <c r="BT29" s="755">
        <f t="shared" si="138"/>
        <v>0.79040852575488452</v>
      </c>
      <c r="BU29" s="755">
        <f t="shared" si="138"/>
        <v>0.79040852575488452</v>
      </c>
      <c r="BV29" s="755">
        <f t="shared" si="138"/>
        <v>0.79040852575488452</v>
      </c>
      <c r="BW29" s="755">
        <f t="shared" si="138"/>
        <v>0.79040852575488452</v>
      </c>
      <c r="BX29" s="755">
        <f t="shared" si="138"/>
        <v>0.79040852575488452</v>
      </c>
      <c r="BY29" s="755">
        <f t="shared" si="138"/>
        <v>0.79040852575488452</v>
      </c>
      <c r="BZ29" s="755">
        <f t="shared" si="138"/>
        <v>0.79040852575488452</v>
      </c>
      <c r="CA29" s="755">
        <f t="shared" si="138"/>
        <v>0.79040852575488452</v>
      </c>
      <c r="CB29" s="755">
        <f t="shared" si="138"/>
        <v>0.79040852575488452</v>
      </c>
      <c r="CC29" s="755">
        <f t="shared" si="138"/>
        <v>0.79040852575488452</v>
      </c>
      <c r="CD29" s="755">
        <f t="shared" si="138"/>
        <v>0.79040852575488452</v>
      </c>
      <c r="CE29" s="755">
        <f t="shared" si="138"/>
        <v>0.79040852575488452</v>
      </c>
      <c r="CF29" s="755">
        <f t="shared" si="138"/>
        <v>0.79040852575488452</v>
      </c>
      <c r="CG29" s="755">
        <f t="shared" si="138"/>
        <v>0.79040852575488452</v>
      </c>
      <c r="CH29" s="755">
        <f t="shared" ref="CH29:DM29" si="139">IF(SerieÅR&gt;$AB$65,LOOKUP(SerieÅR,StatistikkOgPrognoseÅr,PrognoseCo2UtslippBuss)/LOOKUP(SerieÅR,StatistikkOgPrognoseÅr,PrognoseKjKmBuss),$AB$94/$AB$93)</f>
        <v>0.79040852575488452</v>
      </c>
      <c r="CI29" s="755">
        <f t="shared" si="139"/>
        <v>0.79040852575488452</v>
      </c>
      <c r="CJ29" s="755">
        <f t="shared" si="139"/>
        <v>0.79040852575488452</v>
      </c>
      <c r="CK29" s="755">
        <f t="shared" si="139"/>
        <v>0.79040852575488452</v>
      </c>
      <c r="CL29" s="755">
        <f t="shared" si="139"/>
        <v>0.79040852575488452</v>
      </c>
      <c r="CM29" s="755">
        <f t="shared" si="139"/>
        <v>0.79040852575488452</v>
      </c>
      <c r="CN29" s="755">
        <f t="shared" si="139"/>
        <v>0.79040852575488452</v>
      </c>
      <c r="CO29" s="755">
        <f t="shared" si="139"/>
        <v>0.79040852575488452</v>
      </c>
      <c r="CP29" s="755">
        <f t="shared" si="139"/>
        <v>0.79040852575488452</v>
      </c>
      <c r="CQ29" s="755">
        <f t="shared" si="139"/>
        <v>0.79040852575488452</v>
      </c>
      <c r="CR29" s="755">
        <f t="shared" si="139"/>
        <v>0.79040852575488452</v>
      </c>
      <c r="CS29" s="755">
        <f t="shared" si="139"/>
        <v>0.79040852575488452</v>
      </c>
      <c r="CT29" s="755">
        <f t="shared" si="139"/>
        <v>0.79040852575488452</v>
      </c>
      <c r="CU29" s="755">
        <f t="shared" si="139"/>
        <v>0.79040852575488452</v>
      </c>
      <c r="CV29" s="755">
        <f t="shared" si="139"/>
        <v>0.79040852575488452</v>
      </c>
      <c r="CW29" s="755">
        <f t="shared" si="139"/>
        <v>0.79040852575488452</v>
      </c>
      <c r="CX29" s="768">
        <f t="shared" si="139"/>
        <v>0.79040852575488452</v>
      </c>
      <c r="CY29" s="752">
        <f t="shared" si="139"/>
        <v>0.79040852575488452</v>
      </c>
      <c r="CZ29" s="752">
        <f t="shared" si="139"/>
        <v>0.79040852575488452</v>
      </c>
      <c r="DA29" s="752">
        <f t="shared" si="139"/>
        <v>0.79040852575488452</v>
      </c>
      <c r="DB29" s="752">
        <f t="shared" si="139"/>
        <v>0.79040852575488452</v>
      </c>
      <c r="DC29" s="752">
        <f t="shared" si="139"/>
        <v>0.79040852575488452</v>
      </c>
      <c r="DD29" s="752">
        <f t="shared" si="139"/>
        <v>0.79040852575488452</v>
      </c>
      <c r="DE29" s="752">
        <f t="shared" si="139"/>
        <v>0.79040852575488452</v>
      </c>
      <c r="DF29" s="752">
        <f t="shared" si="139"/>
        <v>0.79040852575488452</v>
      </c>
      <c r="DG29" s="752">
        <f t="shared" si="139"/>
        <v>0.79040852575488452</v>
      </c>
      <c r="DH29" s="752">
        <f t="shared" si="139"/>
        <v>0.79040852575488452</v>
      </c>
      <c r="DI29" s="752">
        <f t="shared" si="139"/>
        <v>0.79040852575488452</v>
      </c>
      <c r="DJ29" s="752">
        <f t="shared" si="139"/>
        <v>0.79040852575488452</v>
      </c>
      <c r="DK29" s="752">
        <f t="shared" si="139"/>
        <v>0.79040852575488452</v>
      </c>
      <c r="DL29" s="752">
        <f t="shared" si="139"/>
        <v>0.79040852575488452</v>
      </c>
      <c r="DM29" s="752">
        <f t="shared" si="139"/>
        <v>0.79040852575488452</v>
      </c>
      <c r="DN29" s="752">
        <f t="shared" ref="DN29:DW29" si="140">IF(SerieÅR&gt;$AB$65,LOOKUP(SerieÅR,StatistikkOgPrognoseÅr,PrognoseCo2UtslippBuss)/LOOKUP(SerieÅR,StatistikkOgPrognoseÅr,PrognoseKjKmBuss),$AB$94/$AB$93)</f>
        <v>0.79040852575488452</v>
      </c>
      <c r="DO29" s="752">
        <f t="shared" si="140"/>
        <v>0.79040852575488452</v>
      </c>
      <c r="DP29" s="752">
        <f t="shared" si="140"/>
        <v>0.79040852575488452</v>
      </c>
      <c r="DQ29" s="752">
        <f t="shared" si="140"/>
        <v>0.79040852575488452</v>
      </c>
      <c r="DR29" s="752">
        <f t="shared" si="140"/>
        <v>0.79040852575488452</v>
      </c>
      <c r="DS29" s="752">
        <f t="shared" si="140"/>
        <v>0.79040852575488452</v>
      </c>
      <c r="DT29" s="752">
        <f t="shared" si="140"/>
        <v>0.79040852575488452</v>
      </c>
      <c r="DU29" s="752">
        <f t="shared" si="140"/>
        <v>0.79040852575488452</v>
      </c>
      <c r="DV29" s="752">
        <f t="shared" si="140"/>
        <v>0.79040852575488452</v>
      </c>
      <c r="DW29" s="753">
        <f t="shared" si="140"/>
        <v>0.79040852575488452</v>
      </c>
    </row>
    <row r="30" spans="1:127" x14ac:dyDescent="0.35">
      <c r="A30" s="218"/>
      <c r="B30" s="65" t="s">
        <v>1387</v>
      </c>
      <c r="C30" s="65"/>
      <c r="D30" s="65"/>
      <c r="E30" s="217"/>
      <c r="F30" s="6"/>
      <c r="G30" s="218" t="s">
        <v>1400</v>
      </c>
      <c r="H30" s="18"/>
      <c r="I30" s="18"/>
      <c r="J30" s="18"/>
      <c r="K30" s="18"/>
      <c r="L30" s="18"/>
      <c r="M30" s="18"/>
      <c r="N30" s="18"/>
      <c r="O30" s="18"/>
      <c r="P30" s="18"/>
      <c r="Q30" s="18"/>
      <c r="R30" s="18"/>
      <c r="S30" s="18"/>
      <c r="T30" s="18"/>
      <c r="U30" s="18"/>
      <c r="V30" s="757">
        <f t="shared" ref="V30:BA30" si="141">IF(V10&lt;2050,CO2Utslipp_PersontogD,0)</f>
        <v>4.567226131048657</v>
      </c>
      <c r="W30" s="755">
        <f t="shared" si="141"/>
        <v>4.567226131048657</v>
      </c>
      <c r="X30" s="755">
        <f t="shared" si="141"/>
        <v>4.567226131048657</v>
      </c>
      <c r="Y30" s="755">
        <f t="shared" si="141"/>
        <v>4.567226131048657</v>
      </c>
      <c r="Z30" s="755">
        <f t="shared" si="141"/>
        <v>4.567226131048657</v>
      </c>
      <c r="AA30" s="755">
        <f t="shared" si="141"/>
        <v>4.567226131048657</v>
      </c>
      <c r="AB30" s="755">
        <f t="shared" si="141"/>
        <v>4.567226131048657</v>
      </c>
      <c r="AC30" s="755">
        <f t="shared" si="141"/>
        <v>4.567226131048657</v>
      </c>
      <c r="AD30" s="755">
        <f t="shared" si="141"/>
        <v>4.567226131048657</v>
      </c>
      <c r="AE30" s="755">
        <f t="shared" si="141"/>
        <v>4.567226131048657</v>
      </c>
      <c r="AF30" s="755">
        <f t="shared" si="141"/>
        <v>4.567226131048657</v>
      </c>
      <c r="AG30" s="755">
        <f t="shared" si="141"/>
        <v>4.567226131048657</v>
      </c>
      <c r="AH30" s="755">
        <f t="shared" si="141"/>
        <v>4.567226131048657</v>
      </c>
      <c r="AI30" s="755">
        <f t="shared" si="141"/>
        <v>4.567226131048657</v>
      </c>
      <c r="AJ30" s="755">
        <f t="shared" si="141"/>
        <v>4.567226131048657</v>
      </c>
      <c r="AK30" s="755">
        <f t="shared" si="141"/>
        <v>4.567226131048657</v>
      </c>
      <c r="AL30" s="755">
        <f t="shared" si="141"/>
        <v>4.567226131048657</v>
      </c>
      <c r="AM30" s="755">
        <f t="shared" si="141"/>
        <v>4.567226131048657</v>
      </c>
      <c r="AN30" s="755">
        <f t="shared" si="141"/>
        <v>4.567226131048657</v>
      </c>
      <c r="AO30" s="755">
        <f t="shared" si="141"/>
        <v>4.567226131048657</v>
      </c>
      <c r="AP30" s="755">
        <f t="shared" si="141"/>
        <v>4.567226131048657</v>
      </c>
      <c r="AQ30" s="755">
        <f t="shared" si="141"/>
        <v>4.567226131048657</v>
      </c>
      <c r="AR30" s="755">
        <f t="shared" si="141"/>
        <v>4.567226131048657</v>
      </c>
      <c r="AS30" s="755">
        <f t="shared" si="141"/>
        <v>4.567226131048657</v>
      </c>
      <c r="AT30" s="755">
        <f t="shared" si="141"/>
        <v>4.567226131048657</v>
      </c>
      <c r="AU30" s="755">
        <f t="shared" si="141"/>
        <v>4.567226131048657</v>
      </c>
      <c r="AV30" s="755">
        <f t="shared" si="141"/>
        <v>4.567226131048657</v>
      </c>
      <c r="AW30" s="755">
        <f t="shared" si="141"/>
        <v>4.567226131048657</v>
      </c>
      <c r="AX30" s="755">
        <f t="shared" si="141"/>
        <v>4.567226131048657</v>
      </c>
      <c r="AY30" s="755">
        <f t="shared" si="141"/>
        <v>4.567226131048657</v>
      </c>
      <c r="AZ30" s="755">
        <f t="shared" si="141"/>
        <v>4.567226131048657</v>
      </c>
      <c r="BA30" s="755">
        <f t="shared" si="141"/>
        <v>4.567226131048657</v>
      </c>
      <c r="BB30" s="755">
        <f t="shared" ref="BB30:CG30" si="142">IF(BB10&lt;2050,CO2Utslipp_PersontogD,0)</f>
        <v>4.567226131048657</v>
      </c>
      <c r="BC30" s="755">
        <f t="shared" si="142"/>
        <v>4.567226131048657</v>
      </c>
      <c r="BD30" s="755">
        <f t="shared" si="142"/>
        <v>4.567226131048657</v>
      </c>
      <c r="BE30" s="755">
        <f t="shared" si="142"/>
        <v>4.567226131048657</v>
      </c>
      <c r="BF30" s="755">
        <f t="shared" si="142"/>
        <v>4.567226131048657</v>
      </c>
      <c r="BG30" s="755">
        <f t="shared" si="142"/>
        <v>4.567226131048657</v>
      </c>
      <c r="BH30" s="755">
        <f t="shared" si="142"/>
        <v>4.567226131048657</v>
      </c>
      <c r="BI30" s="755">
        <f t="shared" si="142"/>
        <v>4.567226131048657</v>
      </c>
      <c r="BJ30" s="755">
        <f t="shared" si="142"/>
        <v>4.567226131048657</v>
      </c>
      <c r="BK30" s="755">
        <f t="shared" si="142"/>
        <v>4.567226131048657</v>
      </c>
      <c r="BL30" s="755">
        <f t="shared" si="142"/>
        <v>4.567226131048657</v>
      </c>
      <c r="BM30" s="755">
        <f t="shared" si="142"/>
        <v>4.567226131048657</v>
      </c>
      <c r="BN30" s="755">
        <f t="shared" si="142"/>
        <v>4.567226131048657</v>
      </c>
      <c r="BO30" s="755">
        <f t="shared" si="142"/>
        <v>4.567226131048657</v>
      </c>
      <c r="BP30" s="755">
        <f t="shared" si="142"/>
        <v>4.567226131048657</v>
      </c>
      <c r="BQ30" s="755">
        <f t="shared" si="142"/>
        <v>4.567226131048657</v>
      </c>
      <c r="BR30" s="755">
        <f t="shared" si="142"/>
        <v>4.567226131048657</v>
      </c>
      <c r="BS30" s="755">
        <f t="shared" si="142"/>
        <v>4.567226131048657</v>
      </c>
      <c r="BT30" s="755">
        <f t="shared" si="142"/>
        <v>4.567226131048657</v>
      </c>
      <c r="BU30" s="755">
        <f t="shared" si="142"/>
        <v>4.567226131048657</v>
      </c>
      <c r="BV30" s="755">
        <f t="shared" si="142"/>
        <v>4.567226131048657</v>
      </c>
      <c r="BW30" s="755">
        <f t="shared" si="142"/>
        <v>4.567226131048657</v>
      </c>
      <c r="BX30" s="755">
        <f t="shared" si="142"/>
        <v>4.567226131048657</v>
      </c>
      <c r="BY30" s="755">
        <f t="shared" si="142"/>
        <v>4.567226131048657</v>
      </c>
      <c r="BZ30" s="755">
        <f t="shared" si="142"/>
        <v>4.567226131048657</v>
      </c>
      <c r="CA30" s="755">
        <f t="shared" si="142"/>
        <v>4.567226131048657</v>
      </c>
      <c r="CB30" s="755">
        <f t="shared" si="142"/>
        <v>4.567226131048657</v>
      </c>
      <c r="CC30" s="755">
        <f t="shared" si="142"/>
        <v>4.567226131048657</v>
      </c>
      <c r="CD30" s="755">
        <f t="shared" si="142"/>
        <v>4.567226131048657</v>
      </c>
      <c r="CE30" s="755">
        <f t="shared" si="142"/>
        <v>4.567226131048657</v>
      </c>
      <c r="CF30" s="755">
        <f t="shared" si="142"/>
        <v>4.567226131048657</v>
      </c>
      <c r="CG30" s="755">
        <f t="shared" si="142"/>
        <v>4.567226131048657</v>
      </c>
      <c r="CH30" s="755">
        <f t="shared" ref="CH30:CX30" si="143">IF(CH10&lt;2050,CO2Utslipp_PersontogD,0)</f>
        <v>4.567226131048657</v>
      </c>
      <c r="CI30" s="755">
        <f t="shared" si="143"/>
        <v>4.567226131048657</v>
      </c>
      <c r="CJ30" s="755">
        <f t="shared" si="143"/>
        <v>4.567226131048657</v>
      </c>
      <c r="CK30" s="755">
        <f t="shared" si="143"/>
        <v>4.567226131048657</v>
      </c>
      <c r="CL30" s="755">
        <f t="shared" si="143"/>
        <v>4.567226131048657</v>
      </c>
      <c r="CM30" s="755">
        <f t="shared" si="143"/>
        <v>4.567226131048657</v>
      </c>
      <c r="CN30" s="755">
        <f t="shared" si="143"/>
        <v>4.567226131048657</v>
      </c>
      <c r="CO30" s="755">
        <f t="shared" si="143"/>
        <v>4.567226131048657</v>
      </c>
      <c r="CP30" s="755">
        <f t="shared" si="143"/>
        <v>4.567226131048657</v>
      </c>
      <c r="CQ30" s="755">
        <f t="shared" si="143"/>
        <v>4.567226131048657</v>
      </c>
      <c r="CR30" s="755">
        <f t="shared" si="143"/>
        <v>4.567226131048657</v>
      </c>
      <c r="CS30" s="755">
        <f t="shared" si="143"/>
        <v>4.567226131048657</v>
      </c>
      <c r="CT30" s="755">
        <f t="shared" si="143"/>
        <v>4.567226131048657</v>
      </c>
      <c r="CU30" s="755">
        <f t="shared" si="143"/>
        <v>4.567226131048657</v>
      </c>
      <c r="CV30" s="755">
        <f t="shared" si="143"/>
        <v>4.567226131048657</v>
      </c>
      <c r="CW30" s="755">
        <f t="shared" si="143"/>
        <v>4.567226131048657</v>
      </c>
      <c r="CX30" s="1127">
        <f t="shared" si="143"/>
        <v>4.567226131048657</v>
      </c>
      <c r="CY30" s="757">
        <f t="shared" ref="CY30:DT30" si="144">IF(CY10&lt;2050,CO2Utslipp_PersontogD,0)</f>
        <v>4.567226131048657</v>
      </c>
      <c r="CZ30" s="757">
        <f t="shared" si="144"/>
        <v>4.567226131048657</v>
      </c>
      <c r="DA30" s="757">
        <f t="shared" si="144"/>
        <v>4.567226131048657</v>
      </c>
      <c r="DB30" s="757">
        <f t="shared" si="144"/>
        <v>4.567226131048657</v>
      </c>
      <c r="DC30" s="757">
        <f t="shared" si="144"/>
        <v>4.567226131048657</v>
      </c>
      <c r="DD30" s="757">
        <f t="shared" si="144"/>
        <v>4.567226131048657</v>
      </c>
      <c r="DE30" s="757">
        <f t="shared" si="144"/>
        <v>4.567226131048657</v>
      </c>
      <c r="DF30" s="757">
        <f t="shared" si="144"/>
        <v>4.567226131048657</v>
      </c>
      <c r="DG30" s="757">
        <f t="shared" si="144"/>
        <v>4.567226131048657</v>
      </c>
      <c r="DH30" s="757">
        <f t="shared" si="144"/>
        <v>4.567226131048657</v>
      </c>
      <c r="DI30" s="757">
        <f t="shared" si="144"/>
        <v>4.567226131048657</v>
      </c>
      <c r="DJ30" s="757">
        <f t="shared" si="144"/>
        <v>4.567226131048657</v>
      </c>
      <c r="DK30" s="757">
        <f t="shared" si="144"/>
        <v>4.567226131048657</v>
      </c>
      <c r="DL30" s="757">
        <f t="shared" si="144"/>
        <v>4.567226131048657</v>
      </c>
      <c r="DM30" s="757">
        <f t="shared" si="144"/>
        <v>4.567226131048657</v>
      </c>
      <c r="DN30" s="757">
        <f t="shared" si="144"/>
        <v>4.567226131048657</v>
      </c>
      <c r="DO30" s="757">
        <f t="shared" si="144"/>
        <v>4.567226131048657</v>
      </c>
      <c r="DP30" s="757">
        <f t="shared" si="144"/>
        <v>4.567226131048657</v>
      </c>
      <c r="DQ30" s="757">
        <f t="shared" si="144"/>
        <v>4.567226131048657</v>
      </c>
      <c r="DR30" s="757">
        <f t="shared" si="144"/>
        <v>4.567226131048657</v>
      </c>
      <c r="DS30" s="757">
        <f t="shared" si="144"/>
        <v>4.567226131048657</v>
      </c>
      <c r="DT30" s="757">
        <f t="shared" si="144"/>
        <v>4.567226131048657</v>
      </c>
      <c r="DU30" s="757">
        <f t="shared" ref="DU30:DW30" si="145">IF(DU10&lt;2050,CO2Utslipp_PersontogD,0)</f>
        <v>4.567226131048657</v>
      </c>
      <c r="DV30" s="757">
        <f t="shared" si="145"/>
        <v>4.567226131048657</v>
      </c>
      <c r="DW30" s="756">
        <f t="shared" si="145"/>
        <v>4.567226131048657</v>
      </c>
    </row>
    <row r="31" spans="1:127" x14ac:dyDescent="0.35">
      <c r="A31" s="218"/>
      <c r="B31" s="65" t="s">
        <v>1387</v>
      </c>
      <c r="C31" s="65"/>
      <c r="D31" s="65"/>
      <c r="E31" s="217"/>
      <c r="F31" s="6"/>
      <c r="G31" s="218" t="s">
        <v>1401</v>
      </c>
      <c r="H31" s="18"/>
      <c r="I31" s="18"/>
      <c r="J31" s="18"/>
      <c r="K31" s="18"/>
      <c r="L31" s="18"/>
      <c r="M31" s="18"/>
      <c r="N31" s="18"/>
      <c r="O31" s="18"/>
      <c r="P31" s="18"/>
      <c r="Q31" s="18"/>
      <c r="R31" s="18"/>
      <c r="S31" s="18"/>
      <c r="T31" s="18"/>
      <c r="U31" s="18"/>
      <c r="V31" s="757">
        <f t="shared" ref="V31:CG31" si="146">IF(V10&lt;2050,CO2Utslipp_GodstogD,0)</f>
        <v>13.629610249077604</v>
      </c>
      <c r="W31" s="755">
        <f t="shared" si="146"/>
        <v>13.629610249077604</v>
      </c>
      <c r="X31" s="755">
        <f t="shared" si="146"/>
        <v>13.629610249077604</v>
      </c>
      <c r="Y31" s="755">
        <f t="shared" si="146"/>
        <v>13.629610249077604</v>
      </c>
      <c r="Z31" s="755">
        <f t="shared" si="146"/>
        <v>13.629610249077604</v>
      </c>
      <c r="AA31" s="755">
        <f t="shared" si="146"/>
        <v>13.629610249077604</v>
      </c>
      <c r="AB31" s="755">
        <f t="shared" si="146"/>
        <v>13.629610249077604</v>
      </c>
      <c r="AC31" s="755">
        <f t="shared" si="146"/>
        <v>13.629610249077604</v>
      </c>
      <c r="AD31" s="755">
        <f t="shared" si="146"/>
        <v>13.629610249077604</v>
      </c>
      <c r="AE31" s="755">
        <f t="shared" si="146"/>
        <v>13.629610249077604</v>
      </c>
      <c r="AF31" s="755">
        <f t="shared" si="146"/>
        <v>13.629610249077604</v>
      </c>
      <c r="AG31" s="755">
        <f t="shared" si="146"/>
        <v>13.629610249077604</v>
      </c>
      <c r="AH31" s="755">
        <f t="shared" si="146"/>
        <v>13.629610249077604</v>
      </c>
      <c r="AI31" s="755">
        <f t="shared" si="146"/>
        <v>13.629610249077604</v>
      </c>
      <c r="AJ31" s="755">
        <f t="shared" si="146"/>
        <v>13.629610249077604</v>
      </c>
      <c r="AK31" s="755">
        <f t="shared" si="146"/>
        <v>13.629610249077604</v>
      </c>
      <c r="AL31" s="755">
        <f t="shared" si="146"/>
        <v>13.629610249077604</v>
      </c>
      <c r="AM31" s="755">
        <f t="shared" si="146"/>
        <v>13.629610249077604</v>
      </c>
      <c r="AN31" s="755">
        <f t="shared" si="146"/>
        <v>13.629610249077604</v>
      </c>
      <c r="AO31" s="755">
        <f t="shared" si="146"/>
        <v>13.629610249077604</v>
      </c>
      <c r="AP31" s="755">
        <f t="shared" si="146"/>
        <v>13.629610249077604</v>
      </c>
      <c r="AQ31" s="755">
        <f t="shared" si="146"/>
        <v>13.629610249077604</v>
      </c>
      <c r="AR31" s="755">
        <f t="shared" si="146"/>
        <v>13.629610249077604</v>
      </c>
      <c r="AS31" s="755">
        <f t="shared" si="146"/>
        <v>13.629610249077604</v>
      </c>
      <c r="AT31" s="755">
        <f t="shared" si="146"/>
        <v>13.629610249077604</v>
      </c>
      <c r="AU31" s="755">
        <f t="shared" si="146"/>
        <v>13.629610249077604</v>
      </c>
      <c r="AV31" s="755">
        <f t="shared" si="146"/>
        <v>13.629610249077604</v>
      </c>
      <c r="AW31" s="755">
        <f t="shared" si="146"/>
        <v>13.629610249077604</v>
      </c>
      <c r="AX31" s="755">
        <f t="shared" si="146"/>
        <v>13.629610249077604</v>
      </c>
      <c r="AY31" s="755">
        <f t="shared" si="146"/>
        <v>13.629610249077604</v>
      </c>
      <c r="AZ31" s="755">
        <f t="shared" si="146"/>
        <v>13.629610249077604</v>
      </c>
      <c r="BA31" s="755">
        <f t="shared" si="146"/>
        <v>13.629610249077604</v>
      </c>
      <c r="BB31" s="755">
        <f t="shared" si="146"/>
        <v>13.629610249077604</v>
      </c>
      <c r="BC31" s="755">
        <f t="shared" si="146"/>
        <v>13.629610249077604</v>
      </c>
      <c r="BD31" s="755">
        <f t="shared" si="146"/>
        <v>13.629610249077604</v>
      </c>
      <c r="BE31" s="755">
        <f t="shared" si="146"/>
        <v>13.629610249077604</v>
      </c>
      <c r="BF31" s="755">
        <f t="shared" si="146"/>
        <v>13.629610249077604</v>
      </c>
      <c r="BG31" s="755">
        <f t="shared" si="146"/>
        <v>13.629610249077604</v>
      </c>
      <c r="BH31" s="755">
        <f t="shared" si="146"/>
        <v>13.629610249077604</v>
      </c>
      <c r="BI31" s="755">
        <f t="shared" si="146"/>
        <v>13.629610249077604</v>
      </c>
      <c r="BJ31" s="755">
        <f t="shared" si="146"/>
        <v>13.629610249077604</v>
      </c>
      <c r="BK31" s="755">
        <f t="shared" si="146"/>
        <v>13.629610249077604</v>
      </c>
      <c r="BL31" s="755">
        <f t="shared" si="146"/>
        <v>13.629610249077604</v>
      </c>
      <c r="BM31" s="755">
        <f t="shared" si="146"/>
        <v>13.629610249077604</v>
      </c>
      <c r="BN31" s="755">
        <f t="shared" si="146"/>
        <v>13.629610249077604</v>
      </c>
      <c r="BO31" s="755">
        <f t="shared" si="146"/>
        <v>13.629610249077604</v>
      </c>
      <c r="BP31" s="755">
        <f t="shared" si="146"/>
        <v>13.629610249077604</v>
      </c>
      <c r="BQ31" s="755">
        <f t="shared" si="146"/>
        <v>13.629610249077604</v>
      </c>
      <c r="BR31" s="755">
        <f t="shared" si="146"/>
        <v>13.629610249077604</v>
      </c>
      <c r="BS31" s="755">
        <f t="shared" si="146"/>
        <v>13.629610249077604</v>
      </c>
      <c r="BT31" s="755">
        <f t="shared" si="146"/>
        <v>13.629610249077604</v>
      </c>
      <c r="BU31" s="755">
        <f t="shared" si="146"/>
        <v>13.629610249077604</v>
      </c>
      <c r="BV31" s="755">
        <f t="shared" si="146"/>
        <v>13.629610249077604</v>
      </c>
      <c r="BW31" s="755">
        <f t="shared" si="146"/>
        <v>13.629610249077604</v>
      </c>
      <c r="BX31" s="755">
        <f t="shared" si="146"/>
        <v>13.629610249077604</v>
      </c>
      <c r="BY31" s="755">
        <f t="shared" si="146"/>
        <v>13.629610249077604</v>
      </c>
      <c r="BZ31" s="755">
        <f t="shared" si="146"/>
        <v>13.629610249077604</v>
      </c>
      <c r="CA31" s="755">
        <f t="shared" si="146"/>
        <v>13.629610249077604</v>
      </c>
      <c r="CB31" s="755">
        <f t="shared" si="146"/>
        <v>13.629610249077604</v>
      </c>
      <c r="CC31" s="755">
        <f t="shared" si="146"/>
        <v>13.629610249077604</v>
      </c>
      <c r="CD31" s="755">
        <f t="shared" si="146"/>
        <v>13.629610249077604</v>
      </c>
      <c r="CE31" s="755">
        <f t="shared" si="146"/>
        <v>13.629610249077604</v>
      </c>
      <c r="CF31" s="755">
        <f t="shared" si="146"/>
        <v>13.629610249077604</v>
      </c>
      <c r="CG31" s="755">
        <f t="shared" si="146"/>
        <v>13.629610249077604</v>
      </c>
      <c r="CH31" s="755">
        <f t="shared" ref="CH31:CX31" si="147">IF(CH10&lt;2050,CO2Utslipp_GodstogD,0)</f>
        <v>13.629610249077604</v>
      </c>
      <c r="CI31" s="755">
        <f t="shared" si="147"/>
        <v>13.629610249077604</v>
      </c>
      <c r="CJ31" s="755">
        <f t="shared" si="147"/>
        <v>13.629610249077604</v>
      </c>
      <c r="CK31" s="755">
        <f t="shared" si="147"/>
        <v>13.629610249077604</v>
      </c>
      <c r="CL31" s="755">
        <f t="shared" si="147"/>
        <v>13.629610249077604</v>
      </c>
      <c r="CM31" s="755">
        <f t="shared" si="147"/>
        <v>13.629610249077604</v>
      </c>
      <c r="CN31" s="755">
        <f t="shared" si="147"/>
        <v>13.629610249077604</v>
      </c>
      <c r="CO31" s="755">
        <f t="shared" si="147"/>
        <v>13.629610249077604</v>
      </c>
      <c r="CP31" s="755">
        <f t="shared" si="147"/>
        <v>13.629610249077604</v>
      </c>
      <c r="CQ31" s="755">
        <f t="shared" si="147"/>
        <v>13.629610249077604</v>
      </c>
      <c r="CR31" s="755">
        <f t="shared" si="147"/>
        <v>13.629610249077604</v>
      </c>
      <c r="CS31" s="755">
        <f t="shared" si="147"/>
        <v>13.629610249077604</v>
      </c>
      <c r="CT31" s="755">
        <f t="shared" si="147"/>
        <v>13.629610249077604</v>
      </c>
      <c r="CU31" s="755">
        <f t="shared" si="147"/>
        <v>13.629610249077604</v>
      </c>
      <c r="CV31" s="755">
        <f t="shared" si="147"/>
        <v>13.629610249077604</v>
      </c>
      <c r="CW31" s="755">
        <f t="shared" si="147"/>
        <v>13.629610249077604</v>
      </c>
      <c r="CX31" s="1128">
        <f t="shared" si="147"/>
        <v>13.629610249077604</v>
      </c>
      <c r="CY31" s="757">
        <f t="shared" ref="CY31:DT31" si="148">IF(CY10&lt;2050,CO2Utslipp_GodstogD,0)</f>
        <v>13.629610249077604</v>
      </c>
      <c r="CZ31" s="757">
        <f t="shared" si="148"/>
        <v>13.629610249077604</v>
      </c>
      <c r="DA31" s="757">
        <f t="shared" si="148"/>
        <v>13.629610249077604</v>
      </c>
      <c r="DB31" s="757">
        <f t="shared" si="148"/>
        <v>13.629610249077604</v>
      </c>
      <c r="DC31" s="757">
        <f t="shared" si="148"/>
        <v>13.629610249077604</v>
      </c>
      <c r="DD31" s="757">
        <f t="shared" si="148"/>
        <v>13.629610249077604</v>
      </c>
      <c r="DE31" s="757">
        <f t="shared" si="148"/>
        <v>13.629610249077604</v>
      </c>
      <c r="DF31" s="757">
        <f t="shared" si="148"/>
        <v>13.629610249077604</v>
      </c>
      <c r="DG31" s="757">
        <f t="shared" si="148"/>
        <v>13.629610249077604</v>
      </c>
      <c r="DH31" s="757">
        <f t="shared" si="148"/>
        <v>13.629610249077604</v>
      </c>
      <c r="DI31" s="757">
        <f t="shared" si="148"/>
        <v>13.629610249077604</v>
      </c>
      <c r="DJ31" s="757">
        <f t="shared" si="148"/>
        <v>13.629610249077604</v>
      </c>
      <c r="DK31" s="757">
        <f t="shared" si="148"/>
        <v>13.629610249077604</v>
      </c>
      <c r="DL31" s="757">
        <f t="shared" si="148"/>
        <v>13.629610249077604</v>
      </c>
      <c r="DM31" s="757">
        <f t="shared" si="148"/>
        <v>13.629610249077604</v>
      </c>
      <c r="DN31" s="757">
        <f t="shared" si="148"/>
        <v>13.629610249077604</v>
      </c>
      <c r="DO31" s="757">
        <f t="shared" si="148"/>
        <v>13.629610249077604</v>
      </c>
      <c r="DP31" s="757">
        <f t="shared" si="148"/>
        <v>13.629610249077604</v>
      </c>
      <c r="DQ31" s="757">
        <f t="shared" si="148"/>
        <v>13.629610249077604</v>
      </c>
      <c r="DR31" s="757">
        <f t="shared" si="148"/>
        <v>13.629610249077604</v>
      </c>
      <c r="DS31" s="757">
        <f t="shared" si="148"/>
        <v>13.629610249077604</v>
      </c>
      <c r="DT31" s="757">
        <f t="shared" si="148"/>
        <v>13.629610249077604</v>
      </c>
      <c r="DU31" s="757">
        <f t="shared" ref="DU31:DW31" si="149">IF(DU10&lt;2050,CO2Utslipp_GodstogD,0)</f>
        <v>13.629610249077604</v>
      </c>
      <c r="DV31" s="757">
        <f t="shared" si="149"/>
        <v>13.629610249077604</v>
      </c>
      <c r="DW31" s="756">
        <f t="shared" si="149"/>
        <v>13.629610249077604</v>
      </c>
    </row>
    <row r="32" spans="1:127" x14ac:dyDescent="0.35">
      <c r="A32" s="218"/>
      <c r="B32" s="65" t="s">
        <v>1387</v>
      </c>
      <c r="C32" s="65"/>
      <c r="D32" s="65"/>
      <c r="E32" s="217"/>
      <c r="F32" s="6"/>
      <c r="G32" s="218" t="s">
        <v>1402</v>
      </c>
      <c r="H32" s="65"/>
      <c r="I32" s="65"/>
      <c r="J32" s="65"/>
      <c r="K32" s="65"/>
      <c r="L32" s="65"/>
      <c r="M32" s="65"/>
      <c r="N32" s="65"/>
      <c r="O32" s="65"/>
      <c r="P32" s="65"/>
      <c r="Q32" s="65"/>
      <c r="R32" s="65"/>
      <c r="S32" s="65"/>
      <c r="T32" s="65"/>
      <c r="U32" s="65"/>
      <c r="V32" s="757">
        <f>CO2Utslipp_Fly</f>
        <v>14.026154999999999</v>
      </c>
      <c r="W32" s="757">
        <f t="shared" ref="W32:BA32" si="150">CO2Utslipp_Fly</f>
        <v>14.026154999999999</v>
      </c>
      <c r="X32" s="757">
        <f t="shared" si="150"/>
        <v>14.026154999999999</v>
      </c>
      <c r="Y32" s="757">
        <f t="shared" si="150"/>
        <v>14.026154999999999</v>
      </c>
      <c r="Z32" s="757">
        <f t="shared" si="150"/>
        <v>14.026154999999999</v>
      </c>
      <c r="AA32" s="757">
        <f t="shared" si="150"/>
        <v>14.026154999999999</v>
      </c>
      <c r="AB32" s="757">
        <f t="shared" si="150"/>
        <v>14.026154999999999</v>
      </c>
      <c r="AC32" s="757">
        <f t="shared" si="150"/>
        <v>14.026154999999999</v>
      </c>
      <c r="AD32" s="757">
        <f t="shared" si="150"/>
        <v>14.026154999999999</v>
      </c>
      <c r="AE32" s="757">
        <f t="shared" si="150"/>
        <v>14.026154999999999</v>
      </c>
      <c r="AF32" s="757">
        <f t="shared" si="150"/>
        <v>14.026154999999999</v>
      </c>
      <c r="AG32" s="757">
        <f t="shared" si="150"/>
        <v>14.026154999999999</v>
      </c>
      <c r="AH32" s="757">
        <f t="shared" si="150"/>
        <v>14.026154999999999</v>
      </c>
      <c r="AI32" s="757">
        <f t="shared" si="150"/>
        <v>14.026154999999999</v>
      </c>
      <c r="AJ32" s="757">
        <f t="shared" si="150"/>
        <v>14.026154999999999</v>
      </c>
      <c r="AK32" s="757">
        <f t="shared" si="150"/>
        <v>14.026154999999999</v>
      </c>
      <c r="AL32" s="757">
        <f t="shared" si="150"/>
        <v>14.026154999999999</v>
      </c>
      <c r="AM32" s="757">
        <f t="shared" si="150"/>
        <v>14.026154999999999</v>
      </c>
      <c r="AN32" s="757">
        <f t="shared" si="150"/>
        <v>14.026154999999999</v>
      </c>
      <c r="AO32" s="757">
        <f t="shared" si="150"/>
        <v>14.026154999999999</v>
      </c>
      <c r="AP32" s="757">
        <f t="shared" si="150"/>
        <v>14.026154999999999</v>
      </c>
      <c r="AQ32" s="757">
        <f t="shared" si="150"/>
        <v>14.026154999999999</v>
      </c>
      <c r="AR32" s="757">
        <f t="shared" si="150"/>
        <v>14.026154999999999</v>
      </c>
      <c r="AS32" s="757">
        <f t="shared" si="150"/>
        <v>14.026154999999999</v>
      </c>
      <c r="AT32" s="757">
        <f t="shared" si="150"/>
        <v>14.026154999999999</v>
      </c>
      <c r="AU32" s="757">
        <f t="shared" si="150"/>
        <v>14.026154999999999</v>
      </c>
      <c r="AV32" s="757">
        <f t="shared" si="150"/>
        <v>14.026154999999999</v>
      </c>
      <c r="AW32" s="757">
        <f t="shared" si="150"/>
        <v>14.026154999999999</v>
      </c>
      <c r="AX32" s="757">
        <f t="shared" si="150"/>
        <v>14.026154999999999</v>
      </c>
      <c r="AY32" s="757">
        <f t="shared" si="150"/>
        <v>14.026154999999999</v>
      </c>
      <c r="AZ32" s="757">
        <f t="shared" si="150"/>
        <v>14.026154999999999</v>
      </c>
      <c r="BA32" s="757">
        <f t="shared" si="150"/>
        <v>14.026154999999999</v>
      </c>
      <c r="BB32" s="757">
        <f t="shared" ref="BB32:CG32" si="151">CO2Utslipp_Fly</f>
        <v>14.026154999999999</v>
      </c>
      <c r="BC32" s="757">
        <f t="shared" si="151"/>
        <v>14.026154999999999</v>
      </c>
      <c r="BD32" s="757">
        <f t="shared" si="151"/>
        <v>14.026154999999999</v>
      </c>
      <c r="BE32" s="757">
        <f t="shared" si="151"/>
        <v>14.026154999999999</v>
      </c>
      <c r="BF32" s="757">
        <f t="shared" si="151"/>
        <v>14.026154999999999</v>
      </c>
      <c r="BG32" s="757">
        <f t="shared" si="151"/>
        <v>14.026154999999999</v>
      </c>
      <c r="BH32" s="757">
        <f t="shared" si="151"/>
        <v>14.026154999999999</v>
      </c>
      <c r="BI32" s="757">
        <f t="shared" si="151"/>
        <v>14.026154999999999</v>
      </c>
      <c r="BJ32" s="757">
        <f t="shared" si="151"/>
        <v>14.026154999999999</v>
      </c>
      <c r="BK32" s="757">
        <f t="shared" si="151"/>
        <v>14.026154999999999</v>
      </c>
      <c r="BL32" s="757">
        <f t="shared" si="151"/>
        <v>14.026154999999999</v>
      </c>
      <c r="BM32" s="757">
        <f t="shared" si="151"/>
        <v>14.026154999999999</v>
      </c>
      <c r="BN32" s="757">
        <f t="shared" si="151"/>
        <v>14.026154999999999</v>
      </c>
      <c r="BO32" s="757">
        <f t="shared" si="151"/>
        <v>14.026154999999999</v>
      </c>
      <c r="BP32" s="757">
        <f t="shared" si="151"/>
        <v>14.026154999999999</v>
      </c>
      <c r="BQ32" s="757">
        <f t="shared" si="151"/>
        <v>14.026154999999999</v>
      </c>
      <c r="BR32" s="757">
        <f t="shared" si="151"/>
        <v>14.026154999999999</v>
      </c>
      <c r="BS32" s="757">
        <f t="shared" si="151"/>
        <v>14.026154999999999</v>
      </c>
      <c r="BT32" s="757">
        <f t="shared" si="151"/>
        <v>14.026154999999999</v>
      </c>
      <c r="BU32" s="757">
        <f t="shared" si="151"/>
        <v>14.026154999999999</v>
      </c>
      <c r="BV32" s="757">
        <f t="shared" si="151"/>
        <v>14.026154999999999</v>
      </c>
      <c r="BW32" s="757">
        <f t="shared" si="151"/>
        <v>14.026154999999999</v>
      </c>
      <c r="BX32" s="757">
        <f t="shared" si="151"/>
        <v>14.026154999999999</v>
      </c>
      <c r="BY32" s="757">
        <f t="shared" si="151"/>
        <v>14.026154999999999</v>
      </c>
      <c r="BZ32" s="757">
        <f t="shared" si="151"/>
        <v>14.026154999999999</v>
      </c>
      <c r="CA32" s="757">
        <f t="shared" si="151"/>
        <v>14.026154999999999</v>
      </c>
      <c r="CB32" s="757">
        <f t="shared" si="151"/>
        <v>14.026154999999999</v>
      </c>
      <c r="CC32" s="757">
        <f t="shared" si="151"/>
        <v>14.026154999999999</v>
      </c>
      <c r="CD32" s="757">
        <f t="shared" si="151"/>
        <v>14.026154999999999</v>
      </c>
      <c r="CE32" s="757">
        <f t="shared" si="151"/>
        <v>14.026154999999999</v>
      </c>
      <c r="CF32" s="757">
        <f t="shared" si="151"/>
        <v>14.026154999999999</v>
      </c>
      <c r="CG32" s="757">
        <f t="shared" si="151"/>
        <v>14.026154999999999</v>
      </c>
      <c r="CH32" s="757">
        <f t="shared" ref="CH32:DW32" si="152">CO2Utslipp_Fly</f>
        <v>14.026154999999999</v>
      </c>
      <c r="CI32" s="757">
        <f t="shared" si="152"/>
        <v>14.026154999999999</v>
      </c>
      <c r="CJ32" s="757">
        <f t="shared" si="152"/>
        <v>14.026154999999999</v>
      </c>
      <c r="CK32" s="757">
        <f t="shared" si="152"/>
        <v>14.026154999999999</v>
      </c>
      <c r="CL32" s="757">
        <f t="shared" si="152"/>
        <v>14.026154999999999</v>
      </c>
      <c r="CM32" s="757">
        <f t="shared" si="152"/>
        <v>14.026154999999999</v>
      </c>
      <c r="CN32" s="757">
        <f t="shared" si="152"/>
        <v>14.026154999999999</v>
      </c>
      <c r="CO32" s="757">
        <f t="shared" si="152"/>
        <v>14.026154999999999</v>
      </c>
      <c r="CP32" s="757">
        <f t="shared" si="152"/>
        <v>14.026154999999999</v>
      </c>
      <c r="CQ32" s="757">
        <f t="shared" si="152"/>
        <v>14.026154999999999</v>
      </c>
      <c r="CR32" s="757">
        <f t="shared" si="152"/>
        <v>14.026154999999999</v>
      </c>
      <c r="CS32" s="757">
        <f t="shared" si="152"/>
        <v>14.026154999999999</v>
      </c>
      <c r="CT32" s="757">
        <f t="shared" si="152"/>
        <v>14.026154999999999</v>
      </c>
      <c r="CU32" s="757">
        <f t="shared" si="152"/>
        <v>14.026154999999999</v>
      </c>
      <c r="CV32" s="757">
        <f t="shared" si="152"/>
        <v>14.026154999999999</v>
      </c>
      <c r="CW32" s="757">
        <f t="shared" si="152"/>
        <v>14.026154999999999</v>
      </c>
      <c r="CX32" s="768">
        <f t="shared" si="152"/>
        <v>14.026154999999999</v>
      </c>
      <c r="CY32" s="752">
        <f t="shared" si="152"/>
        <v>14.026154999999999</v>
      </c>
      <c r="CZ32" s="752">
        <f t="shared" si="152"/>
        <v>14.026154999999999</v>
      </c>
      <c r="DA32" s="752">
        <f t="shared" si="152"/>
        <v>14.026154999999999</v>
      </c>
      <c r="DB32" s="752">
        <f t="shared" si="152"/>
        <v>14.026154999999999</v>
      </c>
      <c r="DC32" s="752">
        <f t="shared" si="152"/>
        <v>14.026154999999999</v>
      </c>
      <c r="DD32" s="752">
        <f t="shared" si="152"/>
        <v>14.026154999999999</v>
      </c>
      <c r="DE32" s="752">
        <f t="shared" si="152"/>
        <v>14.026154999999999</v>
      </c>
      <c r="DF32" s="752">
        <f t="shared" si="152"/>
        <v>14.026154999999999</v>
      </c>
      <c r="DG32" s="752">
        <f t="shared" si="152"/>
        <v>14.026154999999999</v>
      </c>
      <c r="DH32" s="752">
        <f t="shared" si="152"/>
        <v>14.026154999999999</v>
      </c>
      <c r="DI32" s="752">
        <f t="shared" si="152"/>
        <v>14.026154999999999</v>
      </c>
      <c r="DJ32" s="752">
        <f t="shared" si="152"/>
        <v>14.026154999999999</v>
      </c>
      <c r="DK32" s="752">
        <f t="shared" si="152"/>
        <v>14.026154999999999</v>
      </c>
      <c r="DL32" s="752">
        <f t="shared" si="152"/>
        <v>14.026154999999999</v>
      </c>
      <c r="DM32" s="752">
        <f t="shared" si="152"/>
        <v>14.026154999999999</v>
      </c>
      <c r="DN32" s="752">
        <f t="shared" si="152"/>
        <v>14.026154999999999</v>
      </c>
      <c r="DO32" s="752">
        <f t="shared" si="152"/>
        <v>14.026154999999999</v>
      </c>
      <c r="DP32" s="752">
        <f t="shared" si="152"/>
        <v>14.026154999999999</v>
      </c>
      <c r="DQ32" s="752">
        <f t="shared" si="152"/>
        <v>14.026154999999999</v>
      </c>
      <c r="DR32" s="752">
        <f t="shared" si="152"/>
        <v>14.026154999999999</v>
      </c>
      <c r="DS32" s="752">
        <f t="shared" si="152"/>
        <v>14.026154999999999</v>
      </c>
      <c r="DT32" s="752">
        <f t="shared" si="152"/>
        <v>14.026154999999999</v>
      </c>
      <c r="DU32" s="752">
        <f t="shared" si="152"/>
        <v>14.026154999999999</v>
      </c>
      <c r="DV32" s="752">
        <f t="shared" si="152"/>
        <v>14.026154999999999</v>
      </c>
      <c r="DW32" s="753">
        <f t="shared" si="152"/>
        <v>14.026154999999999</v>
      </c>
    </row>
    <row r="33" spans="1:127" s="6" customFormat="1" x14ac:dyDescent="0.35">
      <c r="A33" s="273"/>
      <c r="B33" s="65" t="s">
        <v>1387</v>
      </c>
      <c r="C33" s="18"/>
      <c r="D33" s="18"/>
      <c r="E33" s="509"/>
      <c r="G33" s="218" t="s">
        <v>1403</v>
      </c>
      <c r="H33" s="65"/>
      <c r="I33" s="65"/>
      <c r="J33" s="65"/>
      <c r="K33" s="65"/>
      <c r="L33" s="65"/>
      <c r="M33" s="65"/>
      <c r="N33" s="65"/>
      <c r="O33" s="65"/>
      <c r="P33" s="65"/>
      <c r="Q33" s="65"/>
      <c r="R33" s="65"/>
      <c r="S33" s="65"/>
      <c r="T33" s="65"/>
      <c r="U33" s="65"/>
      <c r="V33" s="757">
        <f t="shared" ref="V33:BA33" si="153">IF(SerieÅR&lt;=2018,CO2Utslipp_Skip_2018,IF(SerieÅR=2030,CO2Utslipp_Skip_2030,IF(SerieÅR=2050,CO2Utslipp_Skip_2050,IF(SerieÅR&lt;2030,CO2Utslipp_Skip_2018*(1+(CO2Utslipp_Skip_2030/CO2Utslipp_Skip_2018)^(1/(2030-2018))-1)^(SerieÅR-2018),IF(SerieÅR&gt;2030,IF(SerieÅR&lt;2050,CO2Utslipp_Skip_2030*(1+(CO2Utslipp_Skip_2050/CO2Utslipp_Skip_2030)^(1/(2050-2030))-1)^(SerieÅR-2030),IF(SerieÅR&gt;2050,CO2Utslipp_Skip_2050*((1+((CO2Utslipp_Skip_2050/CO2Utslipp_Skip_2030)^(1/(2050-2030))-1))^(SerieÅR-2050)))))))))</f>
        <v>85.993501384440279</v>
      </c>
      <c r="W33" s="757">
        <f t="shared" si="153"/>
        <v>85.993501384440279</v>
      </c>
      <c r="X33" s="757">
        <f t="shared" si="153"/>
        <v>85.993501384440279</v>
      </c>
      <c r="Y33" s="757">
        <f t="shared" si="153"/>
        <v>85.993501384440279</v>
      </c>
      <c r="Z33" s="757">
        <f t="shared" si="153"/>
        <v>85.993501384440279</v>
      </c>
      <c r="AA33" s="757">
        <f t="shared" si="153"/>
        <v>85.993501384440279</v>
      </c>
      <c r="AB33" s="757">
        <f t="shared" si="153"/>
        <v>85.993501384440279</v>
      </c>
      <c r="AC33" s="757">
        <f t="shared" si="153"/>
        <v>85.993501384440279</v>
      </c>
      <c r="AD33" s="757">
        <f t="shared" si="153"/>
        <v>85.993501384440279</v>
      </c>
      <c r="AE33" s="757">
        <f t="shared" si="153"/>
        <v>85.993501384440279</v>
      </c>
      <c r="AF33" s="757">
        <f t="shared" si="153"/>
        <v>85.993501384440279</v>
      </c>
      <c r="AG33" s="757">
        <f t="shared" si="153"/>
        <v>85.993501384440279</v>
      </c>
      <c r="AH33" s="757">
        <f t="shared" si="153"/>
        <v>85.993501384440279</v>
      </c>
      <c r="AI33" s="757">
        <f t="shared" si="153"/>
        <v>85.993501384440279</v>
      </c>
      <c r="AJ33" s="757">
        <f t="shared" si="153"/>
        <v>85.993501384440279</v>
      </c>
      <c r="AK33" s="757">
        <f t="shared" si="153"/>
        <v>85.993501384440279</v>
      </c>
      <c r="AL33" s="757">
        <f t="shared" si="153"/>
        <v>85.993501384440279</v>
      </c>
      <c r="AM33" s="757">
        <f t="shared" si="153"/>
        <v>85.993501384440279</v>
      </c>
      <c r="AN33" s="757">
        <f t="shared" si="153"/>
        <v>85.993501384440279</v>
      </c>
      <c r="AO33" s="757">
        <f t="shared" si="153"/>
        <v>85.993501384440279</v>
      </c>
      <c r="AP33" s="757">
        <f t="shared" si="153"/>
        <v>85.993501384440279</v>
      </c>
      <c r="AQ33" s="757">
        <f t="shared" si="153"/>
        <v>85.993501384440279</v>
      </c>
      <c r="AR33" s="757">
        <f t="shared" si="153"/>
        <v>85.993501384440279</v>
      </c>
      <c r="AS33" s="757">
        <f t="shared" si="153"/>
        <v>85.993501384440279</v>
      </c>
      <c r="AT33" s="757">
        <f t="shared" si="153"/>
        <v>85.993501384440279</v>
      </c>
      <c r="AU33" s="757">
        <f t="shared" si="153"/>
        <v>85.993501384440279</v>
      </c>
      <c r="AV33" s="757">
        <f t="shared" si="153"/>
        <v>85.993501384440279</v>
      </c>
      <c r="AW33" s="757">
        <f t="shared" si="153"/>
        <v>85.993501384440279</v>
      </c>
      <c r="AX33" s="757">
        <f t="shared" si="153"/>
        <v>85.993501384440279</v>
      </c>
      <c r="AY33" s="757">
        <f t="shared" si="153"/>
        <v>85.993501384440279</v>
      </c>
      <c r="AZ33" s="757">
        <f t="shared" si="153"/>
        <v>85.993501384440279</v>
      </c>
      <c r="BA33" s="757">
        <f t="shared" si="153"/>
        <v>85.993501384440279</v>
      </c>
      <c r="BB33" s="757">
        <f t="shared" ref="BB33:CG33" si="154">IF(SerieÅR&lt;=2018,CO2Utslipp_Skip_2018,IF(SerieÅR=2030,CO2Utslipp_Skip_2030,IF(SerieÅR=2050,CO2Utslipp_Skip_2050,IF(SerieÅR&lt;2030,CO2Utslipp_Skip_2018*(1+(CO2Utslipp_Skip_2030/CO2Utslipp_Skip_2018)^(1/(2030-2018))-1)^(SerieÅR-2018),IF(SerieÅR&gt;2030,IF(SerieÅR&lt;2050,CO2Utslipp_Skip_2030*(1+(CO2Utslipp_Skip_2050/CO2Utslipp_Skip_2030)^(1/(2050-2030))-1)^(SerieÅR-2030),IF(SerieÅR&gt;2050,CO2Utslipp_Skip_2050*((1+((CO2Utslipp_Skip_2050/CO2Utslipp_Skip_2030)^(1/(2050-2030))-1))^(SerieÅR-2050)))))))))</f>
        <v>85.993501384440279</v>
      </c>
      <c r="BC33" s="757">
        <f t="shared" si="154"/>
        <v>85.993501384440279</v>
      </c>
      <c r="BD33" s="757">
        <f t="shared" si="154"/>
        <v>85.993501384440279</v>
      </c>
      <c r="BE33" s="757">
        <f t="shared" si="154"/>
        <v>85.993501384440279</v>
      </c>
      <c r="BF33" s="757">
        <f t="shared" si="154"/>
        <v>85.993501384440279</v>
      </c>
      <c r="BG33" s="757">
        <f t="shared" si="154"/>
        <v>85.993501384440279</v>
      </c>
      <c r="BH33" s="757">
        <f t="shared" si="154"/>
        <v>85.993501384440279</v>
      </c>
      <c r="BI33" s="757">
        <f t="shared" si="154"/>
        <v>85.993501384440279</v>
      </c>
      <c r="BJ33" s="757">
        <f t="shared" si="154"/>
        <v>85.993501384440279</v>
      </c>
      <c r="BK33" s="757">
        <f t="shared" si="154"/>
        <v>85.993501384440279</v>
      </c>
      <c r="BL33" s="757">
        <f t="shared" si="154"/>
        <v>85.993501384440279</v>
      </c>
      <c r="BM33" s="757">
        <f t="shared" si="154"/>
        <v>85.993501384440279</v>
      </c>
      <c r="BN33" s="757">
        <f t="shared" si="154"/>
        <v>85.993501384440279</v>
      </c>
      <c r="BO33" s="757">
        <f t="shared" si="154"/>
        <v>85.993501384440279</v>
      </c>
      <c r="BP33" s="757">
        <f t="shared" si="154"/>
        <v>85.993501384440279</v>
      </c>
      <c r="BQ33" s="757">
        <f t="shared" si="154"/>
        <v>85.993501384440279</v>
      </c>
      <c r="BR33" s="757">
        <f t="shared" si="154"/>
        <v>85.993501384440279</v>
      </c>
      <c r="BS33" s="757">
        <f t="shared" si="154"/>
        <v>85.993501384440279</v>
      </c>
      <c r="BT33" s="757">
        <f t="shared" si="154"/>
        <v>85.993501384440279</v>
      </c>
      <c r="BU33" s="757">
        <f t="shared" si="154"/>
        <v>85.993501384440279</v>
      </c>
      <c r="BV33" s="757">
        <f t="shared" si="154"/>
        <v>85.993501384440279</v>
      </c>
      <c r="BW33" s="757">
        <f t="shared" si="154"/>
        <v>85.993501384440279</v>
      </c>
      <c r="BX33" s="757">
        <f t="shared" si="154"/>
        <v>85.993501384440279</v>
      </c>
      <c r="BY33" s="757">
        <f t="shared" si="154"/>
        <v>85.993501384440279</v>
      </c>
      <c r="BZ33" s="757">
        <f t="shared" si="154"/>
        <v>85.993501384440279</v>
      </c>
      <c r="CA33" s="757">
        <f t="shared" si="154"/>
        <v>85.993501384440279</v>
      </c>
      <c r="CB33" s="757">
        <f t="shared" si="154"/>
        <v>85.993501384440279</v>
      </c>
      <c r="CC33" s="757">
        <f t="shared" si="154"/>
        <v>85.993501384440279</v>
      </c>
      <c r="CD33" s="757">
        <f t="shared" si="154"/>
        <v>85.993501384440279</v>
      </c>
      <c r="CE33" s="757">
        <f t="shared" si="154"/>
        <v>85.993501384440279</v>
      </c>
      <c r="CF33" s="757">
        <f t="shared" si="154"/>
        <v>85.993501384440279</v>
      </c>
      <c r="CG33" s="757">
        <f t="shared" si="154"/>
        <v>85.993501384440279</v>
      </c>
      <c r="CH33" s="757">
        <f t="shared" ref="CH33:DW33" si="155">IF(SerieÅR&lt;=2018,CO2Utslipp_Skip_2018,IF(SerieÅR=2030,CO2Utslipp_Skip_2030,IF(SerieÅR=2050,CO2Utslipp_Skip_2050,IF(SerieÅR&lt;2030,CO2Utslipp_Skip_2018*(1+(CO2Utslipp_Skip_2030/CO2Utslipp_Skip_2018)^(1/(2030-2018))-1)^(SerieÅR-2018),IF(SerieÅR&gt;2030,IF(SerieÅR&lt;2050,CO2Utslipp_Skip_2030*(1+(CO2Utslipp_Skip_2050/CO2Utslipp_Skip_2030)^(1/(2050-2030))-1)^(SerieÅR-2030),IF(SerieÅR&gt;2050,CO2Utslipp_Skip_2050*((1+((CO2Utslipp_Skip_2050/CO2Utslipp_Skip_2030)^(1/(2050-2030))-1))^(SerieÅR-2050)))))))))</f>
        <v>85.993501384440279</v>
      </c>
      <c r="CI33" s="757">
        <f t="shared" si="155"/>
        <v>85.993501384440279</v>
      </c>
      <c r="CJ33" s="757">
        <f t="shared" si="155"/>
        <v>85.993501384440279</v>
      </c>
      <c r="CK33" s="757">
        <f t="shared" si="155"/>
        <v>85.993501384440279</v>
      </c>
      <c r="CL33" s="757">
        <f t="shared" si="155"/>
        <v>85.993501384440279</v>
      </c>
      <c r="CM33" s="757">
        <f t="shared" si="155"/>
        <v>85.993501384440279</v>
      </c>
      <c r="CN33" s="757">
        <f t="shared" si="155"/>
        <v>85.993501384440279</v>
      </c>
      <c r="CO33" s="757">
        <f t="shared" si="155"/>
        <v>85.993501384440279</v>
      </c>
      <c r="CP33" s="757">
        <f t="shared" si="155"/>
        <v>85.993501384440279</v>
      </c>
      <c r="CQ33" s="757">
        <f t="shared" si="155"/>
        <v>85.993501384440279</v>
      </c>
      <c r="CR33" s="757">
        <f t="shared" si="155"/>
        <v>85.993501384440279</v>
      </c>
      <c r="CS33" s="757">
        <f t="shared" si="155"/>
        <v>85.993501384440279</v>
      </c>
      <c r="CT33" s="757">
        <f t="shared" si="155"/>
        <v>85.993501384440279</v>
      </c>
      <c r="CU33" s="757">
        <f t="shared" si="155"/>
        <v>85.993501384440279</v>
      </c>
      <c r="CV33" s="757">
        <f t="shared" si="155"/>
        <v>85.993501384440279</v>
      </c>
      <c r="CW33" s="757">
        <f t="shared" si="155"/>
        <v>85.993501384440279</v>
      </c>
      <c r="CX33" s="768">
        <f t="shared" si="155"/>
        <v>85.993501384440279</v>
      </c>
      <c r="CY33" s="752">
        <f t="shared" si="155"/>
        <v>85.993501384440279</v>
      </c>
      <c r="CZ33" s="752">
        <f t="shared" si="155"/>
        <v>85.993501384440279</v>
      </c>
      <c r="DA33" s="752">
        <f t="shared" si="155"/>
        <v>85.993501384440279</v>
      </c>
      <c r="DB33" s="752">
        <f t="shared" si="155"/>
        <v>85.993501384440279</v>
      </c>
      <c r="DC33" s="752">
        <f t="shared" si="155"/>
        <v>85.993501384440279</v>
      </c>
      <c r="DD33" s="752">
        <f t="shared" si="155"/>
        <v>85.993501384440279</v>
      </c>
      <c r="DE33" s="752">
        <f t="shared" si="155"/>
        <v>85.993501384440279</v>
      </c>
      <c r="DF33" s="752">
        <f t="shared" si="155"/>
        <v>85.993501384440279</v>
      </c>
      <c r="DG33" s="752">
        <f t="shared" si="155"/>
        <v>85.993501384440279</v>
      </c>
      <c r="DH33" s="752">
        <f t="shared" si="155"/>
        <v>85.993501384440279</v>
      </c>
      <c r="DI33" s="752">
        <f t="shared" si="155"/>
        <v>85.993501384440279</v>
      </c>
      <c r="DJ33" s="752">
        <f t="shared" si="155"/>
        <v>85.993501384440279</v>
      </c>
      <c r="DK33" s="752">
        <f t="shared" si="155"/>
        <v>85.993501384440279</v>
      </c>
      <c r="DL33" s="752">
        <f t="shared" si="155"/>
        <v>85.993501384440279</v>
      </c>
      <c r="DM33" s="752">
        <f t="shared" si="155"/>
        <v>85.993501384440279</v>
      </c>
      <c r="DN33" s="752">
        <f t="shared" si="155"/>
        <v>85.993501384440279</v>
      </c>
      <c r="DO33" s="752">
        <f t="shared" si="155"/>
        <v>85.993501384440279</v>
      </c>
      <c r="DP33" s="752">
        <f t="shared" si="155"/>
        <v>85.993501384440279</v>
      </c>
      <c r="DQ33" s="752">
        <f t="shared" si="155"/>
        <v>85.993501384440279</v>
      </c>
      <c r="DR33" s="752">
        <f t="shared" si="155"/>
        <v>85.993501384440279</v>
      </c>
      <c r="DS33" s="752">
        <f t="shared" si="155"/>
        <v>85.993501384440279</v>
      </c>
      <c r="DT33" s="752">
        <f t="shared" si="155"/>
        <v>85.993501384440279</v>
      </c>
      <c r="DU33" s="752">
        <f t="shared" si="155"/>
        <v>85.993501384440279</v>
      </c>
      <c r="DV33" s="752">
        <f t="shared" si="155"/>
        <v>85.993501384440279</v>
      </c>
      <c r="DW33" s="753">
        <f t="shared" si="155"/>
        <v>85.993501384440279</v>
      </c>
    </row>
    <row r="34" spans="1:127" s="6" customFormat="1" x14ac:dyDescent="0.35">
      <c r="A34" s="273"/>
      <c r="B34" s="65" t="s">
        <v>1387</v>
      </c>
      <c r="C34" s="18"/>
      <c r="D34" s="18"/>
      <c r="E34" s="509"/>
      <c r="G34" s="218" t="s">
        <v>1404</v>
      </c>
      <c r="H34" s="65"/>
      <c r="I34" s="65"/>
      <c r="J34" s="65"/>
      <c r="K34" s="65"/>
      <c r="L34" s="65"/>
      <c r="M34" s="65"/>
      <c r="N34" s="65"/>
      <c r="O34" s="65"/>
      <c r="P34" s="65"/>
      <c r="Q34" s="65"/>
      <c r="R34" s="757" t="str">
        <f t="shared" ref="R34:AW34" si="156">IF(AND(R10&gt;=Oppstartsår_FørsteÅrMedInvestering,R10&lt;Oppstartsår_FørsteÅrMedInvestering+Investering_AntallÅr),-(Co2utslipp_byggefase_sum/Investering_AntallÅr),"0")</f>
        <v>0</v>
      </c>
      <c r="S34" s="757" t="str">
        <f t="shared" si="156"/>
        <v>0</v>
      </c>
      <c r="T34" s="757" t="str">
        <f t="shared" si="156"/>
        <v>0</v>
      </c>
      <c r="U34" s="757" t="str">
        <f t="shared" si="156"/>
        <v>0</v>
      </c>
      <c r="V34" s="757" t="str">
        <f t="shared" si="156"/>
        <v>0</v>
      </c>
      <c r="W34" s="757" t="str">
        <f t="shared" si="156"/>
        <v>0</v>
      </c>
      <c r="X34" s="757" t="str">
        <f t="shared" si="156"/>
        <v>0</v>
      </c>
      <c r="Y34" s="757" t="str">
        <f t="shared" si="156"/>
        <v>0</v>
      </c>
      <c r="Z34" s="757" t="str">
        <f t="shared" si="156"/>
        <v>0</v>
      </c>
      <c r="AA34" s="757" t="str">
        <f t="shared" si="156"/>
        <v>0</v>
      </c>
      <c r="AB34" s="757">
        <f t="shared" si="156"/>
        <v>0</v>
      </c>
      <c r="AC34" s="757" t="str">
        <f t="shared" si="156"/>
        <v>0</v>
      </c>
      <c r="AD34" s="757" t="str">
        <f t="shared" si="156"/>
        <v>0</v>
      </c>
      <c r="AE34" s="757" t="str">
        <f t="shared" si="156"/>
        <v>0</v>
      </c>
      <c r="AF34" s="757" t="str">
        <f t="shared" si="156"/>
        <v>0</v>
      </c>
      <c r="AG34" s="757" t="str">
        <f t="shared" si="156"/>
        <v>0</v>
      </c>
      <c r="AH34" s="757" t="str">
        <f t="shared" si="156"/>
        <v>0</v>
      </c>
      <c r="AI34" s="757" t="str">
        <f t="shared" si="156"/>
        <v>0</v>
      </c>
      <c r="AJ34" s="757" t="str">
        <f t="shared" si="156"/>
        <v>0</v>
      </c>
      <c r="AK34" s="757" t="str">
        <f t="shared" si="156"/>
        <v>0</v>
      </c>
      <c r="AL34" s="757" t="str">
        <f t="shared" si="156"/>
        <v>0</v>
      </c>
      <c r="AM34" s="757" t="str">
        <f t="shared" si="156"/>
        <v>0</v>
      </c>
      <c r="AN34" s="757" t="str">
        <f t="shared" si="156"/>
        <v>0</v>
      </c>
      <c r="AO34" s="757" t="str">
        <f t="shared" si="156"/>
        <v>0</v>
      </c>
      <c r="AP34" s="757" t="str">
        <f t="shared" si="156"/>
        <v>0</v>
      </c>
      <c r="AQ34" s="757" t="str">
        <f t="shared" si="156"/>
        <v>0</v>
      </c>
      <c r="AR34" s="757" t="str">
        <f t="shared" si="156"/>
        <v>0</v>
      </c>
      <c r="AS34" s="757" t="str">
        <f t="shared" si="156"/>
        <v>0</v>
      </c>
      <c r="AT34" s="757" t="str">
        <f t="shared" si="156"/>
        <v>0</v>
      </c>
      <c r="AU34" s="757" t="str">
        <f t="shared" si="156"/>
        <v>0</v>
      </c>
      <c r="AV34" s="757" t="str">
        <f t="shared" si="156"/>
        <v>0</v>
      </c>
      <c r="AW34" s="757" t="str">
        <f t="shared" si="156"/>
        <v>0</v>
      </c>
      <c r="AX34" s="757" t="str">
        <f t="shared" ref="AX34:CC34" si="157">IF(AND(AX10&gt;=Oppstartsår_FørsteÅrMedInvestering,AX10&lt;Oppstartsår_FørsteÅrMedInvestering+Investering_AntallÅr),-(Co2utslipp_byggefase_sum/Investering_AntallÅr),"0")</f>
        <v>0</v>
      </c>
      <c r="AY34" s="757" t="str">
        <f t="shared" si="157"/>
        <v>0</v>
      </c>
      <c r="AZ34" s="757" t="str">
        <f t="shared" si="157"/>
        <v>0</v>
      </c>
      <c r="BA34" s="757" t="str">
        <f t="shared" si="157"/>
        <v>0</v>
      </c>
      <c r="BB34" s="757" t="str">
        <f t="shared" si="157"/>
        <v>0</v>
      </c>
      <c r="BC34" s="757" t="str">
        <f t="shared" si="157"/>
        <v>0</v>
      </c>
      <c r="BD34" s="757" t="str">
        <f t="shared" si="157"/>
        <v>0</v>
      </c>
      <c r="BE34" s="757" t="str">
        <f t="shared" si="157"/>
        <v>0</v>
      </c>
      <c r="BF34" s="757" t="str">
        <f t="shared" si="157"/>
        <v>0</v>
      </c>
      <c r="BG34" s="757" t="str">
        <f t="shared" si="157"/>
        <v>0</v>
      </c>
      <c r="BH34" s="757" t="str">
        <f t="shared" si="157"/>
        <v>0</v>
      </c>
      <c r="BI34" s="757" t="str">
        <f t="shared" si="157"/>
        <v>0</v>
      </c>
      <c r="BJ34" s="757" t="str">
        <f t="shared" si="157"/>
        <v>0</v>
      </c>
      <c r="BK34" s="757" t="str">
        <f t="shared" si="157"/>
        <v>0</v>
      </c>
      <c r="BL34" s="757" t="str">
        <f t="shared" si="157"/>
        <v>0</v>
      </c>
      <c r="BM34" s="757" t="str">
        <f t="shared" si="157"/>
        <v>0</v>
      </c>
      <c r="BN34" s="757" t="str">
        <f t="shared" si="157"/>
        <v>0</v>
      </c>
      <c r="BO34" s="757" t="str">
        <f t="shared" si="157"/>
        <v>0</v>
      </c>
      <c r="BP34" s="757" t="str">
        <f t="shared" si="157"/>
        <v>0</v>
      </c>
      <c r="BQ34" s="757" t="str">
        <f t="shared" si="157"/>
        <v>0</v>
      </c>
      <c r="BR34" s="757" t="str">
        <f t="shared" si="157"/>
        <v>0</v>
      </c>
      <c r="BS34" s="757" t="str">
        <f t="shared" si="157"/>
        <v>0</v>
      </c>
      <c r="BT34" s="757" t="str">
        <f t="shared" si="157"/>
        <v>0</v>
      </c>
      <c r="BU34" s="757" t="str">
        <f t="shared" si="157"/>
        <v>0</v>
      </c>
      <c r="BV34" s="757" t="str">
        <f t="shared" si="157"/>
        <v>0</v>
      </c>
      <c r="BW34" s="757" t="str">
        <f t="shared" si="157"/>
        <v>0</v>
      </c>
      <c r="BX34" s="757" t="str">
        <f t="shared" si="157"/>
        <v>0</v>
      </c>
      <c r="BY34" s="757" t="str">
        <f t="shared" si="157"/>
        <v>0</v>
      </c>
      <c r="BZ34" s="757" t="str">
        <f t="shared" si="157"/>
        <v>0</v>
      </c>
      <c r="CA34" s="757" t="str">
        <f t="shared" si="157"/>
        <v>0</v>
      </c>
      <c r="CB34" s="757" t="str">
        <f t="shared" si="157"/>
        <v>0</v>
      </c>
      <c r="CC34" s="757" t="str">
        <f t="shared" si="157"/>
        <v>0</v>
      </c>
      <c r="CD34" s="757" t="str">
        <f t="shared" ref="CD34:CX34" si="158">IF(AND(CD10&gt;=Oppstartsår_FørsteÅrMedInvestering,CD10&lt;Oppstartsår_FørsteÅrMedInvestering+Investering_AntallÅr),-(Co2utslipp_byggefase_sum/Investering_AntallÅr),"0")</f>
        <v>0</v>
      </c>
      <c r="CE34" s="757" t="str">
        <f t="shared" si="158"/>
        <v>0</v>
      </c>
      <c r="CF34" s="757" t="str">
        <f t="shared" si="158"/>
        <v>0</v>
      </c>
      <c r="CG34" s="757" t="str">
        <f t="shared" si="158"/>
        <v>0</v>
      </c>
      <c r="CH34" s="757" t="str">
        <f t="shared" si="158"/>
        <v>0</v>
      </c>
      <c r="CI34" s="757" t="str">
        <f t="shared" si="158"/>
        <v>0</v>
      </c>
      <c r="CJ34" s="757" t="str">
        <f t="shared" si="158"/>
        <v>0</v>
      </c>
      <c r="CK34" s="757" t="str">
        <f t="shared" si="158"/>
        <v>0</v>
      </c>
      <c r="CL34" s="757" t="str">
        <f t="shared" si="158"/>
        <v>0</v>
      </c>
      <c r="CM34" s="757" t="str">
        <f t="shared" si="158"/>
        <v>0</v>
      </c>
      <c r="CN34" s="757" t="str">
        <f t="shared" si="158"/>
        <v>0</v>
      </c>
      <c r="CO34" s="757" t="str">
        <f t="shared" si="158"/>
        <v>0</v>
      </c>
      <c r="CP34" s="757" t="str">
        <f t="shared" si="158"/>
        <v>0</v>
      </c>
      <c r="CQ34" s="757" t="str">
        <f t="shared" si="158"/>
        <v>0</v>
      </c>
      <c r="CR34" s="757" t="str">
        <f t="shared" si="158"/>
        <v>0</v>
      </c>
      <c r="CS34" s="757" t="str">
        <f t="shared" si="158"/>
        <v>0</v>
      </c>
      <c r="CT34" s="757" t="str">
        <f t="shared" si="158"/>
        <v>0</v>
      </c>
      <c r="CU34" s="757" t="str">
        <f t="shared" si="158"/>
        <v>0</v>
      </c>
      <c r="CV34" s="757" t="str">
        <f t="shared" si="158"/>
        <v>0</v>
      </c>
      <c r="CW34" s="757" t="str">
        <f t="shared" si="158"/>
        <v>0</v>
      </c>
      <c r="CX34" s="768" t="str">
        <f t="shared" si="158"/>
        <v>0</v>
      </c>
      <c r="CY34" s="752" t="str">
        <f t="shared" ref="CY34:DT34" si="159">IF(AND(CY10&gt;=Oppstartsår_FørsteÅrMedInvestering,CY10&lt;Oppstartsår_FørsteÅrMedInvestering+Investering_AntallÅr),-(Co2utslipp_byggefase_sum/Investering_AntallÅr),"0")</f>
        <v>0</v>
      </c>
      <c r="CZ34" s="752" t="str">
        <f t="shared" si="159"/>
        <v>0</v>
      </c>
      <c r="DA34" s="752" t="str">
        <f t="shared" si="159"/>
        <v>0</v>
      </c>
      <c r="DB34" s="752" t="str">
        <f t="shared" si="159"/>
        <v>0</v>
      </c>
      <c r="DC34" s="752" t="str">
        <f t="shared" si="159"/>
        <v>0</v>
      </c>
      <c r="DD34" s="752" t="str">
        <f t="shared" si="159"/>
        <v>0</v>
      </c>
      <c r="DE34" s="752" t="str">
        <f t="shared" si="159"/>
        <v>0</v>
      </c>
      <c r="DF34" s="752" t="str">
        <f t="shared" si="159"/>
        <v>0</v>
      </c>
      <c r="DG34" s="752" t="str">
        <f t="shared" si="159"/>
        <v>0</v>
      </c>
      <c r="DH34" s="752" t="str">
        <f t="shared" si="159"/>
        <v>0</v>
      </c>
      <c r="DI34" s="752" t="str">
        <f t="shared" si="159"/>
        <v>0</v>
      </c>
      <c r="DJ34" s="752" t="str">
        <f t="shared" si="159"/>
        <v>0</v>
      </c>
      <c r="DK34" s="752" t="str">
        <f t="shared" si="159"/>
        <v>0</v>
      </c>
      <c r="DL34" s="752" t="str">
        <f t="shared" si="159"/>
        <v>0</v>
      </c>
      <c r="DM34" s="752" t="str">
        <f t="shared" si="159"/>
        <v>0</v>
      </c>
      <c r="DN34" s="752" t="str">
        <f t="shared" si="159"/>
        <v>0</v>
      </c>
      <c r="DO34" s="752" t="str">
        <f t="shared" si="159"/>
        <v>0</v>
      </c>
      <c r="DP34" s="752" t="str">
        <f t="shared" si="159"/>
        <v>0</v>
      </c>
      <c r="DQ34" s="752" t="str">
        <f t="shared" si="159"/>
        <v>0</v>
      </c>
      <c r="DR34" s="752" t="str">
        <f t="shared" si="159"/>
        <v>0</v>
      </c>
      <c r="DS34" s="752" t="str">
        <f t="shared" si="159"/>
        <v>0</v>
      </c>
      <c r="DT34" s="752" t="str">
        <f t="shared" si="159"/>
        <v>0</v>
      </c>
      <c r="DU34" s="752" t="str">
        <f t="shared" ref="DU34:DW34" si="160">IF(AND(DU10&gt;=Oppstartsår_FørsteÅrMedInvestering,DU10&lt;Oppstartsår_FørsteÅrMedInvestering+Investering_AntallÅr),-(Co2utslipp_byggefase_sum/Investering_AntallÅr),"0")</f>
        <v>0</v>
      </c>
      <c r="DV34" s="752" t="str">
        <f t="shared" si="160"/>
        <v>0</v>
      </c>
      <c r="DW34" s="753" t="str">
        <f t="shared" si="160"/>
        <v>0</v>
      </c>
    </row>
    <row r="35" spans="1:127" s="6" customFormat="1" x14ac:dyDescent="0.35">
      <c r="A35" s="273"/>
      <c r="B35" s="65" t="s">
        <v>1387</v>
      </c>
      <c r="C35" s="18"/>
      <c r="D35" s="18"/>
      <c r="E35" s="509"/>
      <c r="G35" s="218" t="s">
        <v>1405</v>
      </c>
      <c r="H35" s="65"/>
      <c r="I35" s="65"/>
      <c r="J35" s="65"/>
      <c r="K35" s="65"/>
      <c r="L35" s="65"/>
      <c r="M35" s="65"/>
      <c r="N35" s="65"/>
      <c r="O35" s="65"/>
      <c r="P35" s="65"/>
      <c r="Q35" s="65"/>
      <c r="R35" s="757" t="str">
        <f t="shared" ref="R35:AW35" si="161">IF(AND(R10&gt;=Oppstartsår_FørsteÅrMedInvestering,R10&lt;Oppstartsår_FørsteÅrMedInvestering+Investering_AntallÅr),-(((Co2Utslipp_byggefase_alleavgifter*1000)/CO2_KgPerLiterDiesel)/Investering_AntallÅr),"0")</f>
        <v>0</v>
      </c>
      <c r="S35" s="757" t="str">
        <f t="shared" si="161"/>
        <v>0</v>
      </c>
      <c r="T35" s="757" t="str">
        <f t="shared" si="161"/>
        <v>0</v>
      </c>
      <c r="U35" s="757" t="str">
        <f t="shared" si="161"/>
        <v>0</v>
      </c>
      <c r="V35" s="757" t="str">
        <f t="shared" si="161"/>
        <v>0</v>
      </c>
      <c r="W35" s="757" t="str">
        <f t="shared" si="161"/>
        <v>0</v>
      </c>
      <c r="X35" s="757" t="str">
        <f t="shared" si="161"/>
        <v>0</v>
      </c>
      <c r="Y35" s="757" t="str">
        <f t="shared" si="161"/>
        <v>0</v>
      </c>
      <c r="Z35" s="757" t="str">
        <f t="shared" si="161"/>
        <v>0</v>
      </c>
      <c r="AA35" s="757" t="str">
        <f t="shared" si="161"/>
        <v>0</v>
      </c>
      <c r="AB35" s="757">
        <f t="shared" si="161"/>
        <v>0</v>
      </c>
      <c r="AC35" s="757" t="str">
        <f t="shared" si="161"/>
        <v>0</v>
      </c>
      <c r="AD35" s="757" t="str">
        <f t="shared" si="161"/>
        <v>0</v>
      </c>
      <c r="AE35" s="757" t="str">
        <f t="shared" si="161"/>
        <v>0</v>
      </c>
      <c r="AF35" s="757" t="str">
        <f t="shared" si="161"/>
        <v>0</v>
      </c>
      <c r="AG35" s="757" t="str">
        <f t="shared" si="161"/>
        <v>0</v>
      </c>
      <c r="AH35" s="757" t="str">
        <f t="shared" si="161"/>
        <v>0</v>
      </c>
      <c r="AI35" s="757" t="str">
        <f t="shared" si="161"/>
        <v>0</v>
      </c>
      <c r="AJ35" s="757" t="str">
        <f t="shared" si="161"/>
        <v>0</v>
      </c>
      <c r="AK35" s="757" t="str">
        <f t="shared" si="161"/>
        <v>0</v>
      </c>
      <c r="AL35" s="757" t="str">
        <f t="shared" si="161"/>
        <v>0</v>
      </c>
      <c r="AM35" s="757" t="str">
        <f t="shared" si="161"/>
        <v>0</v>
      </c>
      <c r="AN35" s="757" t="str">
        <f t="shared" si="161"/>
        <v>0</v>
      </c>
      <c r="AO35" s="757" t="str">
        <f t="shared" si="161"/>
        <v>0</v>
      </c>
      <c r="AP35" s="757" t="str">
        <f t="shared" si="161"/>
        <v>0</v>
      </c>
      <c r="AQ35" s="757" t="str">
        <f t="shared" si="161"/>
        <v>0</v>
      </c>
      <c r="AR35" s="757" t="str">
        <f t="shared" si="161"/>
        <v>0</v>
      </c>
      <c r="AS35" s="757" t="str">
        <f t="shared" si="161"/>
        <v>0</v>
      </c>
      <c r="AT35" s="757" t="str">
        <f t="shared" si="161"/>
        <v>0</v>
      </c>
      <c r="AU35" s="757" t="str">
        <f t="shared" si="161"/>
        <v>0</v>
      </c>
      <c r="AV35" s="757" t="str">
        <f t="shared" si="161"/>
        <v>0</v>
      </c>
      <c r="AW35" s="757" t="str">
        <f t="shared" si="161"/>
        <v>0</v>
      </c>
      <c r="AX35" s="757" t="str">
        <f t="shared" ref="AX35:CC35" si="162">IF(AND(AX10&gt;=Oppstartsår_FørsteÅrMedInvestering,AX10&lt;Oppstartsår_FørsteÅrMedInvestering+Investering_AntallÅr),-(((Co2Utslipp_byggefase_alleavgifter*1000)/CO2_KgPerLiterDiesel)/Investering_AntallÅr),"0")</f>
        <v>0</v>
      </c>
      <c r="AY35" s="757" t="str">
        <f t="shared" si="162"/>
        <v>0</v>
      </c>
      <c r="AZ35" s="757" t="str">
        <f t="shared" si="162"/>
        <v>0</v>
      </c>
      <c r="BA35" s="757" t="str">
        <f t="shared" si="162"/>
        <v>0</v>
      </c>
      <c r="BB35" s="757" t="str">
        <f t="shared" si="162"/>
        <v>0</v>
      </c>
      <c r="BC35" s="757" t="str">
        <f t="shared" si="162"/>
        <v>0</v>
      </c>
      <c r="BD35" s="757" t="str">
        <f t="shared" si="162"/>
        <v>0</v>
      </c>
      <c r="BE35" s="757" t="str">
        <f t="shared" si="162"/>
        <v>0</v>
      </c>
      <c r="BF35" s="757" t="str">
        <f t="shared" si="162"/>
        <v>0</v>
      </c>
      <c r="BG35" s="757" t="str">
        <f t="shared" si="162"/>
        <v>0</v>
      </c>
      <c r="BH35" s="757" t="str">
        <f t="shared" si="162"/>
        <v>0</v>
      </c>
      <c r="BI35" s="757" t="str">
        <f t="shared" si="162"/>
        <v>0</v>
      </c>
      <c r="BJ35" s="757" t="str">
        <f t="shared" si="162"/>
        <v>0</v>
      </c>
      <c r="BK35" s="757" t="str">
        <f t="shared" si="162"/>
        <v>0</v>
      </c>
      <c r="BL35" s="757" t="str">
        <f t="shared" si="162"/>
        <v>0</v>
      </c>
      <c r="BM35" s="757" t="str">
        <f t="shared" si="162"/>
        <v>0</v>
      </c>
      <c r="BN35" s="757" t="str">
        <f t="shared" si="162"/>
        <v>0</v>
      </c>
      <c r="BO35" s="757" t="str">
        <f t="shared" si="162"/>
        <v>0</v>
      </c>
      <c r="BP35" s="757" t="str">
        <f t="shared" si="162"/>
        <v>0</v>
      </c>
      <c r="BQ35" s="757" t="str">
        <f t="shared" si="162"/>
        <v>0</v>
      </c>
      <c r="BR35" s="757" t="str">
        <f t="shared" si="162"/>
        <v>0</v>
      </c>
      <c r="BS35" s="757" t="str">
        <f t="shared" si="162"/>
        <v>0</v>
      </c>
      <c r="BT35" s="757" t="str">
        <f t="shared" si="162"/>
        <v>0</v>
      </c>
      <c r="BU35" s="757" t="str">
        <f t="shared" si="162"/>
        <v>0</v>
      </c>
      <c r="BV35" s="757" t="str">
        <f t="shared" si="162"/>
        <v>0</v>
      </c>
      <c r="BW35" s="757" t="str">
        <f t="shared" si="162"/>
        <v>0</v>
      </c>
      <c r="BX35" s="757" t="str">
        <f t="shared" si="162"/>
        <v>0</v>
      </c>
      <c r="BY35" s="757" t="str">
        <f t="shared" si="162"/>
        <v>0</v>
      </c>
      <c r="BZ35" s="757" t="str">
        <f t="shared" si="162"/>
        <v>0</v>
      </c>
      <c r="CA35" s="757" t="str">
        <f t="shared" si="162"/>
        <v>0</v>
      </c>
      <c r="CB35" s="757" t="str">
        <f t="shared" si="162"/>
        <v>0</v>
      </c>
      <c r="CC35" s="757" t="str">
        <f t="shared" si="162"/>
        <v>0</v>
      </c>
      <c r="CD35" s="757" t="str">
        <f t="shared" ref="CD35:CX35" si="163">IF(AND(CD10&gt;=Oppstartsår_FørsteÅrMedInvestering,CD10&lt;Oppstartsår_FørsteÅrMedInvestering+Investering_AntallÅr),-(((Co2Utslipp_byggefase_alleavgifter*1000)/CO2_KgPerLiterDiesel)/Investering_AntallÅr),"0")</f>
        <v>0</v>
      </c>
      <c r="CE35" s="757" t="str">
        <f t="shared" si="163"/>
        <v>0</v>
      </c>
      <c r="CF35" s="757" t="str">
        <f t="shared" si="163"/>
        <v>0</v>
      </c>
      <c r="CG35" s="757" t="str">
        <f t="shared" si="163"/>
        <v>0</v>
      </c>
      <c r="CH35" s="757" t="str">
        <f t="shared" si="163"/>
        <v>0</v>
      </c>
      <c r="CI35" s="757" t="str">
        <f t="shared" si="163"/>
        <v>0</v>
      </c>
      <c r="CJ35" s="757" t="str">
        <f t="shared" si="163"/>
        <v>0</v>
      </c>
      <c r="CK35" s="757" t="str">
        <f t="shared" si="163"/>
        <v>0</v>
      </c>
      <c r="CL35" s="757" t="str">
        <f t="shared" si="163"/>
        <v>0</v>
      </c>
      <c r="CM35" s="757" t="str">
        <f t="shared" si="163"/>
        <v>0</v>
      </c>
      <c r="CN35" s="757" t="str">
        <f t="shared" si="163"/>
        <v>0</v>
      </c>
      <c r="CO35" s="757" t="str">
        <f t="shared" si="163"/>
        <v>0</v>
      </c>
      <c r="CP35" s="757" t="str">
        <f t="shared" si="163"/>
        <v>0</v>
      </c>
      <c r="CQ35" s="757" t="str">
        <f t="shared" si="163"/>
        <v>0</v>
      </c>
      <c r="CR35" s="757" t="str">
        <f t="shared" si="163"/>
        <v>0</v>
      </c>
      <c r="CS35" s="757" t="str">
        <f t="shared" si="163"/>
        <v>0</v>
      </c>
      <c r="CT35" s="757" t="str">
        <f t="shared" si="163"/>
        <v>0</v>
      </c>
      <c r="CU35" s="757" t="str">
        <f t="shared" si="163"/>
        <v>0</v>
      </c>
      <c r="CV35" s="757" t="str">
        <f t="shared" si="163"/>
        <v>0</v>
      </c>
      <c r="CW35" s="757" t="str">
        <f t="shared" si="163"/>
        <v>0</v>
      </c>
      <c r="CX35" s="768" t="str">
        <f t="shared" si="163"/>
        <v>0</v>
      </c>
      <c r="CY35" s="752" t="str">
        <f t="shared" ref="CY35:DT35" si="164">IF(AND(CY10&gt;=Oppstartsår_FørsteÅrMedInvestering,CY10&lt;Oppstartsår_FørsteÅrMedInvestering+Investering_AntallÅr),-(((Co2Utslipp_byggefase_alleavgifter*1000)/CO2_KgPerLiterDiesel)/Investering_AntallÅr),"0")</f>
        <v>0</v>
      </c>
      <c r="CZ35" s="752" t="str">
        <f t="shared" si="164"/>
        <v>0</v>
      </c>
      <c r="DA35" s="752" t="str">
        <f t="shared" si="164"/>
        <v>0</v>
      </c>
      <c r="DB35" s="752" t="str">
        <f t="shared" si="164"/>
        <v>0</v>
      </c>
      <c r="DC35" s="752" t="str">
        <f t="shared" si="164"/>
        <v>0</v>
      </c>
      <c r="DD35" s="752" t="str">
        <f t="shared" si="164"/>
        <v>0</v>
      </c>
      <c r="DE35" s="752" t="str">
        <f t="shared" si="164"/>
        <v>0</v>
      </c>
      <c r="DF35" s="752" t="str">
        <f t="shared" si="164"/>
        <v>0</v>
      </c>
      <c r="DG35" s="752" t="str">
        <f t="shared" si="164"/>
        <v>0</v>
      </c>
      <c r="DH35" s="752" t="str">
        <f t="shared" si="164"/>
        <v>0</v>
      </c>
      <c r="DI35" s="752" t="str">
        <f t="shared" si="164"/>
        <v>0</v>
      </c>
      <c r="DJ35" s="752" t="str">
        <f t="shared" si="164"/>
        <v>0</v>
      </c>
      <c r="DK35" s="752" t="str">
        <f t="shared" si="164"/>
        <v>0</v>
      </c>
      <c r="DL35" s="752" t="str">
        <f t="shared" si="164"/>
        <v>0</v>
      </c>
      <c r="DM35" s="752" t="str">
        <f t="shared" si="164"/>
        <v>0</v>
      </c>
      <c r="DN35" s="752" t="str">
        <f t="shared" si="164"/>
        <v>0</v>
      </c>
      <c r="DO35" s="752" t="str">
        <f t="shared" si="164"/>
        <v>0</v>
      </c>
      <c r="DP35" s="752" t="str">
        <f t="shared" si="164"/>
        <v>0</v>
      </c>
      <c r="DQ35" s="752" t="str">
        <f t="shared" si="164"/>
        <v>0</v>
      </c>
      <c r="DR35" s="752" t="str">
        <f t="shared" si="164"/>
        <v>0</v>
      </c>
      <c r="DS35" s="752" t="str">
        <f t="shared" si="164"/>
        <v>0</v>
      </c>
      <c r="DT35" s="752" t="str">
        <f t="shared" si="164"/>
        <v>0</v>
      </c>
      <c r="DU35" s="752" t="str">
        <f t="shared" ref="DU35:DW35" si="165">IF(AND(DU10&gt;=Oppstartsår_FørsteÅrMedInvestering,DU10&lt;Oppstartsår_FørsteÅrMedInvestering+Investering_AntallÅr),-(((Co2Utslipp_byggefase_alleavgifter*1000)/CO2_KgPerLiterDiesel)/Investering_AntallÅr),"0")</f>
        <v>0</v>
      </c>
      <c r="DV35" s="752" t="str">
        <f t="shared" si="165"/>
        <v>0</v>
      </c>
      <c r="DW35" s="753" t="str">
        <f t="shared" si="165"/>
        <v>0</v>
      </c>
    </row>
    <row r="36" spans="1:127" s="6" customFormat="1" x14ac:dyDescent="0.35">
      <c r="A36" s="273"/>
      <c r="B36" s="65" t="s">
        <v>1387</v>
      </c>
      <c r="C36" s="18"/>
      <c r="D36" s="18"/>
      <c r="E36" s="509"/>
      <c r="G36" s="218" t="s">
        <v>1406</v>
      </c>
      <c r="H36" s="65"/>
      <c r="I36" s="65"/>
      <c r="J36" s="65"/>
      <c r="K36" s="65"/>
      <c r="L36" s="65"/>
      <c r="M36" s="65"/>
      <c r="N36" s="65"/>
      <c r="O36" s="65"/>
      <c r="P36" s="65"/>
      <c r="Q36" s="65"/>
      <c r="R36" s="757">
        <f t="shared" ref="R36:CC36" si="166">-R35/Drivstofforbruk_TungLastebil</f>
        <v>0</v>
      </c>
      <c r="S36" s="757">
        <f t="shared" si="166"/>
        <v>0</v>
      </c>
      <c r="T36" s="757">
        <f t="shared" si="166"/>
        <v>0</v>
      </c>
      <c r="U36" s="757">
        <f t="shared" si="166"/>
        <v>0</v>
      </c>
      <c r="V36" s="757">
        <f t="shared" si="166"/>
        <v>0</v>
      </c>
      <c r="W36" s="757">
        <f t="shared" si="166"/>
        <v>0</v>
      </c>
      <c r="X36" s="757">
        <f t="shared" si="166"/>
        <v>0</v>
      </c>
      <c r="Y36" s="757">
        <f t="shared" si="166"/>
        <v>0</v>
      </c>
      <c r="Z36" s="757">
        <f t="shared" si="166"/>
        <v>0</v>
      </c>
      <c r="AA36" s="757">
        <f t="shared" si="166"/>
        <v>0</v>
      </c>
      <c r="AB36" s="757">
        <f t="shared" si="166"/>
        <v>0</v>
      </c>
      <c r="AC36" s="757">
        <f t="shared" si="166"/>
        <v>0</v>
      </c>
      <c r="AD36" s="757">
        <f t="shared" si="166"/>
        <v>0</v>
      </c>
      <c r="AE36" s="757">
        <f t="shared" si="166"/>
        <v>0</v>
      </c>
      <c r="AF36" s="757">
        <f t="shared" si="166"/>
        <v>0</v>
      </c>
      <c r="AG36" s="757">
        <f t="shared" si="166"/>
        <v>0</v>
      </c>
      <c r="AH36" s="757">
        <f t="shared" si="166"/>
        <v>0</v>
      </c>
      <c r="AI36" s="757">
        <f t="shared" si="166"/>
        <v>0</v>
      </c>
      <c r="AJ36" s="757">
        <f t="shared" si="166"/>
        <v>0</v>
      </c>
      <c r="AK36" s="757">
        <f t="shared" si="166"/>
        <v>0</v>
      </c>
      <c r="AL36" s="757">
        <f t="shared" si="166"/>
        <v>0</v>
      </c>
      <c r="AM36" s="757">
        <f t="shared" si="166"/>
        <v>0</v>
      </c>
      <c r="AN36" s="757">
        <f t="shared" si="166"/>
        <v>0</v>
      </c>
      <c r="AO36" s="757">
        <f t="shared" si="166"/>
        <v>0</v>
      </c>
      <c r="AP36" s="757">
        <f t="shared" si="166"/>
        <v>0</v>
      </c>
      <c r="AQ36" s="757">
        <f t="shared" si="166"/>
        <v>0</v>
      </c>
      <c r="AR36" s="757">
        <f t="shared" si="166"/>
        <v>0</v>
      </c>
      <c r="AS36" s="757">
        <f t="shared" si="166"/>
        <v>0</v>
      </c>
      <c r="AT36" s="757">
        <f t="shared" si="166"/>
        <v>0</v>
      </c>
      <c r="AU36" s="757">
        <f t="shared" si="166"/>
        <v>0</v>
      </c>
      <c r="AV36" s="757">
        <f t="shared" si="166"/>
        <v>0</v>
      </c>
      <c r="AW36" s="757">
        <f t="shared" si="166"/>
        <v>0</v>
      </c>
      <c r="AX36" s="757">
        <f t="shared" si="166"/>
        <v>0</v>
      </c>
      <c r="AY36" s="757">
        <f t="shared" si="166"/>
        <v>0</v>
      </c>
      <c r="AZ36" s="757">
        <f t="shared" si="166"/>
        <v>0</v>
      </c>
      <c r="BA36" s="757">
        <f t="shared" si="166"/>
        <v>0</v>
      </c>
      <c r="BB36" s="757">
        <f t="shared" si="166"/>
        <v>0</v>
      </c>
      <c r="BC36" s="757">
        <f t="shared" si="166"/>
        <v>0</v>
      </c>
      <c r="BD36" s="757">
        <f t="shared" si="166"/>
        <v>0</v>
      </c>
      <c r="BE36" s="757">
        <f t="shared" si="166"/>
        <v>0</v>
      </c>
      <c r="BF36" s="757">
        <f t="shared" si="166"/>
        <v>0</v>
      </c>
      <c r="BG36" s="757">
        <f t="shared" si="166"/>
        <v>0</v>
      </c>
      <c r="BH36" s="757">
        <f t="shared" si="166"/>
        <v>0</v>
      </c>
      <c r="BI36" s="757">
        <f t="shared" si="166"/>
        <v>0</v>
      </c>
      <c r="BJ36" s="757">
        <f t="shared" si="166"/>
        <v>0</v>
      </c>
      <c r="BK36" s="757">
        <f t="shared" si="166"/>
        <v>0</v>
      </c>
      <c r="BL36" s="757">
        <f t="shared" si="166"/>
        <v>0</v>
      </c>
      <c r="BM36" s="757">
        <f t="shared" si="166"/>
        <v>0</v>
      </c>
      <c r="BN36" s="757">
        <f t="shared" si="166"/>
        <v>0</v>
      </c>
      <c r="BO36" s="757">
        <f t="shared" si="166"/>
        <v>0</v>
      </c>
      <c r="BP36" s="757">
        <f t="shared" si="166"/>
        <v>0</v>
      </c>
      <c r="BQ36" s="757">
        <f t="shared" si="166"/>
        <v>0</v>
      </c>
      <c r="BR36" s="757">
        <f t="shared" si="166"/>
        <v>0</v>
      </c>
      <c r="BS36" s="757">
        <f t="shared" si="166"/>
        <v>0</v>
      </c>
      <c r="BT36" s="757">
        <f t="shared" si="166"/>
        <v>0</v>
      </c>
      <c r="BU36" s="757">
        <f t="shared" si="166"/>
        <v>0</v>
      </c>
      <c r="BV36" s="757">
        <f t="shared" si="166"/>
        <v>0</v>
      </c>
      <c r="BW36" s="757">
        <f t="shared" si="166"/>
        <v>0</v>
      </c>
      <c r="BX36" s="757">
        <f t="shared" si="166"/>
        <v>0</v>
      </c>
      <c r="BY36" s="757">
        <f t="shared" si="166"/>
        <v>0</v>
      </c>
      <c r="BZ36" s="757">
        <f t="shared" si="166"/>
        <v>0</v>
      </c>
      <c r="CA36" s="757">
        <f t="shared" si="166"/>
        <v>0</v>
      </c>
      <c r="CB36" s="757">
        <f t="shared" si="166"/>
        <v>0</v>
      </c>
      <c r="CC36" s="757">
        <f t="shared" si="166"/>
        <v>0</v>
      </c>
      <c r="CD36" s="757">
        <f t="shared" ref="CD36:CX36" si="167">-CD35/Drivstofforbruk_TungLastebil</f>
        <v>0</v>
      </c>
      <c r="CE36" s="757">
        <f t="shared" si="167"/>
        <v>0</v>
      </c>
      <c r="CF36" s="757">
        <f t="shared" si="167"/>
        <v>0</v>
      </c>
      <c r="CG36" s="757">
        <f t="shared" si="167"/>
        <v>0</v>
      </c>
      <c r="CH36" s="757">
        <f t="shared" si="167"/>
        <v>0</v>
      </c>
      <c r="CI36" s="757">
        <f t="shared" si="167"/>
        <v>0</v>
      </c>
      <c r="CJ36" s="757">
        <f t="shared" si="167"/>
        <v>0</v>
      </c>
      <c r="CK36" s="757">
        <f t="shared" si="167"/>
        <v>0</v>
      </c>
      <c r="CL36" s="757">
        <f t="shared" si="167"/>
        <v>0</v>
      </c>
      <c r="CM36" s="757">
        <f t="shared" si="167"/>
        <v>0</v>
      </c>
      <c r="CN36" s="757">
        <f t="shared" si="167"/>
        <v>0</v>
      </c>
      <c r="CO36" s="757">
        <f t="shared" si="167"/>
        <v>0</v>
      </c>
      <c r="CP36" s="757">
        <f t="shared" si="167"/>
        <v>0</v>
      </c>
      <c r="CQ36" s="757">
        <f t="shared" si="167"/>
        <v>0</v>
      </c>
      <c r="CR36" s="757">
        <f t="shared" si="167"/>
        <v>0</v>
      </c>
      <c r="CS36" s="757">
        <f t="shared" si="167"/>
        <v>0</v>
      </c>
      <c r="CT36" s="757">
        <f t="shared" si="167"/>
        <v>0</v>
      </c>
      <c r="CU36" s="757">
        <f t="shared" si="167"/>
        <v>0</v>
      </c>
      <c r="CV36" s="757">
        <f t="shared" si="167"/>
        <v>0</v>
      </c>
      <c r="CW36" s="757">
        <f t="shared" si="167"/>
        <v>0</v>
      </c>
      <c r="CX36" s="768">
        <f t="shared" si="167"/>
        <v>0</v>
      </c>
      <c r="CY36" s="752">
        <f t="shared" ref="CY36:DT36" si="168">-CY35/Drivstofforbruk_TungLastebil</f>
        <v>0</v>
      </c>
      <c r="CZ36" s="752">
        <f t="shared" si="168"/>
        <v>0</v>
      </c>
      <c r="DA36" s="752">
        <f t="shared" si="168"/>
        <v>0</v>
      </c>
      <c r="DB36" s="752">
        <f t="shared" si="168"/>
        <v>0</v>
      </c>
      <c r="DC36" s="752">
        <f t="shared" si="168"/>
        <v>0</v>
      </c>
      <c r="DD36" s="752">
        <f t="shared" si="168"/>
        <v>0</v>
      </c>
      <c r="DE36" s="752">
        <f t="shared" si="168"/>
        <v>0</v>
      </c>
      <c r="DF36" s="752">
        <f t="shared" si="168"/>
        <v>0</v>
      </c>
      <c r="DG36" s="752">
        <f t="shared" si="168"/>
        <v>0</v>
      </c>
      <c r="DH36" s="752">
        <f t="shared" si="168"/>
        <v>0</v>
      </c>
      <c r="DI36" s="752">
        <f t="shared" si="168"/>
        <v>0</v>
      </c>
      <c r="DJ36" s="752">
        <f t="shared" si="168"/>
        <v>0</v>
      </c>
      <c r="DK36" s="752">
        <f t="shared" si="168"/>
        <v>0</v>
      </c>
      <c r="DL36" s="752">
        <f t="shared" si="168"/>
        <v>0</v>
      </c>
      <c r="DM36" s="752">
        <f t="shared" si="168"/>
        <v>0</v>
      </c>
      <c r="DN36" s="752">
        <f t="shared" si="168"/>
        <v>0</v>
      </c>
      <c r="DO36" s="752">
        <f t="shared" si="168"/>
        <v>0</v>
      </c>
      <c r="DP36" s="752">
        <f t="shared" si="168"/>
        <v>0</v>
      </c>
      <c r="DQ36" s="752">
        <f t="shared" si="168"/>
        <v>0</v>
      </c>
      <c r="DR36" s="752">
        <f t="shared" si="168"/>
        <v>0</v>
      </c>
      <c r="DS36" s="752">
        <f t="shared" si="168"/>
        <v>0</v>
      </c>
      <c r="DT36" s="752">
        <f t="shared" si="168"/>
        <v>0</v>
      </c>
      <c r="DU36" s="752">
        <f t="shared" ref="DU36:DW36" si="169">-DU35/Drivstofforbruk_TungLastebil</f>
        <v>0</v>
      </c>
      <c r="DV36" s="752">
        <f t="shared" si="169"/>
        <v>0</v>
      </c>
      <c r="DW36" s="753">
        <f t="shared" si="169"/>
        <v>0</v>
      </c>
    </row>
    <row r="37" spans="1:127" s="6" customFormat="1" x14ac:dyDescent="0.35">
      <c r="A37" s="273"/>
      <c r="B37" s="65" t="s">
        <v>1387</v>
      </c>
      <c r="C37" s="18"/>
      <c r="D37" s="18"/>
      <c r="E37" s="509"/>
      <c r="G37" s="218" t="s">
        <v>1407</v>
      </c>
      <c r="H37" s="65"/>
      <c r="I37" s="65"/>
      <c r="J37" s="65"/>
      <c r="K37" s="65"/>
      <c r="L37" s="65"/>
      <c r="M37" s="65"/>
      <c r="N37" s="65"/>
      <c r="O37" s="65"/>
      <c r="P37" s="65"/>
      <c r="Q37" s="65"/>
      <c r="R37" s="757" t="str">
        <f t="shared" ref="R37:AW37" si="170">IF(AND(R10&gt;=Oppstartsår_FørsteÅrMedInvestering,R10&lt;Oppstartsår_FørsteÅrMedInvestering+Investering_AntallÅr),-(CO2Utslipp_arealbeslag_tiltak/Investering_AntallÅr),"0")</f>
        <v>0</v>
      </c>
      <c r="S37" s="757" t="str">
        <f t="shared" si="170"/>
        <v>0</v>
      </c>
      <c r="T37" s="757" t="str">
        <f t="shared" si="170"/>
        <v>0</v>
      </c>
      <c r="U37" s="757" t="str">
        <f t="shared" si="170"/>
        <v>0</v>
      </c>
      <c r="V37" s="757" t="str">
        <f t="shared" si="170"/>
        <v>0</v>
      </c>
      <c r="W37" s="757" t="str">
        <f t="shared" si="170"/>
        <v>0</v>
      </c>
      <c r="X37" s="757" t="str">
        <f t="shared" si="170"/>
        <v>0</v>
      </c>
      <c r="Y37" s="757" t="str">
        <f t="shared" si="170"/>
        <v>0</v>
      </c>
      <c r="Z37" s="757" t="str">
        <f t="shared" si="170"/>
        <v>0</v>
      </c>
      <c r="AA37" s="757" t="str">
        <f t="shared" si="170"/>
        <v>0</v>
      </c>
      <c r="AB37" s="757">
        <f t="shared" si="170"/>
        <v>0</v>
      </c>
      <c r="AC37" s="757" t="str">
        <f t="shared" si="170"/>
        <v>0</v>
      </c>
      <c r="AD37" s="757" t="str">
        <f t="shared" si="170"/>
        <v>0</v>
      </c>
      <c r="AE37" s="757" t="str">
        <f t="shared" si="170"/>
        <v>0</v>
      </c>
      <c r="AF37" s="757" t="str">
        <f t="shared" si="170"/>
        <v>0</v>
      </c>
      <c r="AG37" s="757" t="str">
        <f t="shared" si="170"/>
        <v>0</v>
      </c>
      <c r="AH37" s="757" t="str">
        <f t="shared" si="170"/>
        <v>0</v>
      </c>
      <c r="AI37" s="757" t="str">
        <f t="shared" si="170"/>
        <v>0</v>
      </c>
      <c r="AJ37" s="757" t="str">
        <f t="shared" si="170"/>
        <v>0</v>
      </c>
      <c r="AK37" s="757" t="str">
        <f t="shared" si="170"/>
        <v>0</v>
      </c>
      <c r="AL37" s="757" t="str">
        <f t="shared" si="170"/>
        <v>0</v>
      </c>
      <c r="AM37" s="757" t="str">
        <f t="shared" si="170"/>
        <v>0</v>
      </c>
      <c r="AN37" s="757" t="str">
        <f t="shared" si="170"/>
        <v>0</v>
      </c>
      <c r="AO37" s="757" t="str">
        <f t="shared" si="170"/>
        <v>0</v>
      </c>
      <c r="AP37" s="757" t="str">
        <f t="shared" si="170"/>
        <v>0</v>
      </c>
      <c r="AQ37" s="757" t="str">
        <f t="shared" si="170"/>
        <v>0</v>
      </c>
      <c r="AR37" s="757" t="str">
        <f t="shared" si="170"/>
        <v>0</v>
      </c>
      <c r="AS37" s="757" t="str">
        <f t="shared" si="170"/>
        <v>0</v>
      </c>
      <c r="AT37" s="757" t="str">
        <f t="shared" si="170"/>
        <v>0</v>
      </c>
      <c r="AU37" s="757" t="str">
        <f t="shared" si="170"/>
        <v>0</v>
      </c>
      <c r="AV37" s="757" t="str">
        <f t="shared" si="170"/>
        <v>0</v>
      </c>
      <c r="AW37" s="757" t="str">
        <f t="shared" si="170"/>
        <v>0</v>
      </c>
      <c r="AX37" s="757" t="str">
        <f t="shared" ref="AX37:CC37" si="171">IF(AND(AX10&gt;=Oppstartsår_FørsteÅrMedInvestering,AX10&lt;Oppstartsår_FørsteÅrMedInvestering+Investering_AntallÅr),-(CO2Utslipp_arealbeslag_tiltak/Investering_AntallÅr),"0")</f>
        <v>0</v>
      </c>
      <c r="AY37" s="757" t="str">
        <f t="shared" si="171"/>
        <v>0</v>
      </c>
      <c r="AZ37" s="757" t="str">
        <f t="shared" si="171"/>
        <v>0</v>
      </c>
      <c r="BA37" s="757" t="str">
        <f t="shared" si="171"/>
        <v>0</v>
      </c>
      <c r="BB37" s="757" t="str">
        <f t="shared" si="171"/>
        <v>0</v>
      </c>
      <c r="BC37" s="757" t="str">
        <f t="shared" si="171"/>
        <v>0</v>
      </c>
      <c r="BD37" s="757" t="str">
        <f t="shared" si="171"/>
        <v>0</v>
      </c>
      <c r="BE37" s="757" t="str">
        <f t="shared" si="171"/>
        <v>0</v>
      </c>
      <c r="BF37" s="757" t="str">
        <f t="shared" si="171"/>
        <v>0</v>
      </c>
      <c r="BG37" s="757" t="str">
        <f t="shared" si="171"/>
        <v>0</v>
      </c>
      <c r="BH37" s="757" t="str">
        <f t="shared" si="171"/>
        <v>0</v>
      </c>
      <c r="BI37" s="757" t="str">
        <f t="shared" si="171"/>
        <v>0</v>
      </c>
      <c r="BJ37" s="757" t="str">
        <f t="shared" si="171"/>
        <v>0</v>
      </c>
      <c r="BK37" s="757" t="str">
        <f t="shared" si="171"/>
        <v>0</v>
      </c>
      <c r="BL37" s="757" t="str">
        <f t="shared" si="171"/>
        <v>0</v>
      </c>
      <c r="BM37" s="757" t="str">
        <f t="shared" si="171"/>
        <v>0</v>
      </c>
      <c r="BN37" s="757" t="str">
        <f t="shared" si="171"/>
        <v>0</v>
      </c>
      <c r="BO37" s="757" t="str">
        <f t="shared" si="171"/>
        <v>0</v>
      </c>
      <c r="BP37" s="757" t="str">
        <f t="shared" si="171"/>
        <v>0</v>
      </c>
      <c r="BQ37" s="757" t="str">
        <f t="shared" si="171"/>
        <v>0</v>
      </c>
      <c r="BR37" s="757" t="str">
        <f t="shared" si="171"/>
        <v>0</v>
      </c>
      <c r="BS37" s="757" t="str">
        <f t="shared" si="171"/>
        <v>0</v>
      </c>
      <c r="BT37" s="757" t="str">
        <f t="shared" si="171"/>
        <v>0</v>
      </c>
      <c r="BU37" s="757" t="str">
        <f t="shared" si="171"/>
        <v>0</v>
      </c>
      <c r="BV37" s="757" t="str">
        <f t="shared" si="171"/>
        <v>0</v>
      </c>
      <c r="BW37" s="757" t="str">
        <f t="shared" si="171"/>
        <v>0</v>
      </c>
      <c r="BX37" s="757" t="str">
        <f t="shared" si="171"/>
        <v>0</v>
      </c>
      <c r="BY37" s="757" t="str">
        <f t="shared" si="171"/>
        <v>0</v>
      </c>
      <c r="BZ37" s="757" t="str">
        <f t="shared" si="171"/>
        <v>0</v>
      </c>
      <c r="CA37" s="757" t="str">
        <f t="shared" si="171"/>
        <v>0</v>
      </c>
      <c r="CB37" s="757" t="str">
        <f t="shared" si="171"/>
        <v>0</v>
      </c>
      <c r="CC37" s="757" t="str">
        <f t="shared" si="171"/>
        <v>0</v>
      </c>
      <c r="CD37" s="757" t="str">
        <f t="shared" ref="CD37:CX37" si="172">IF(AND(CD10&gt;=Oppstartsår_FørsteÅrMedInvestering,CD10&lt;Oppstartsår_FørsteÅrMedInvestering+Investering_AntallÅr),-(CO2Utslipp_arealbeslag_tiltak/Investering_AntallÅr),"0")</f>
        <v>0</v>
      </c>
      <c r="CE37" s="757" t="str">
        <f t="shared" si="172"/>
        <v>0</v>
      </c>
      <c r="CF37" s="757" t="str">
        <f t="shared" si="172"/>
        <v>0</v>
      </c>
      <c r="CG37" s="757" t="str">
        <f t="shared" si="172"/>
        <v>0</v>
      </c>
      <c r="CH37" s="757" t="str">
        <f t="shared" si="172"/>
        <v>0</v>
      </c>
      <c r="CI37" s="757" t="str">
        <f t="shared" si="172"/>
        <v>0</v>
      </c>
      <c r="CJ37" s="757" t="str">
        <f t="shared" si="172"/>
        <v>0</v>
      </c>
      <c r="CK37" s="757" t="str">
        <f t="shared" si="172"/>
        <v>0</v>
      </c>
      <c r="CL37" s="757" t="str">
        <f t="shared" si="172"/>
        <v>0</v>
      </c>
      <c r="CM37" s="757" t="str">
        <f t="shared" si="172"/>
        <v>0</v>
      </c>
      <c r="CN37" s="757" t="str">
        <f t="shared" si="172"/>
        <v>0</v>
      </c>
      <c r="CO37" s="757" t="str">
        <f t="shared" si="172"/>
        <v>0</v>
      </c>
      <c r="CP37" s="757" t="str">
        <f t="shared" si="172"/>
        <v>0</v>
      </c>
      <c r="CQ37" s="757" t="str">
        <f t="shared" si="172"/>
        <v>0</v>
      </c>
      <c r="CR37" s="757" t="str">
        <f t="shared" si="172"/>
        <v>0</v>
      </c>
      <c r="CS37" s="757" t="str">
        <f t="shared" si="172"/>
        <v>0</v>
      </c>
      <c r="CT37" s="757" t="str">
        <f t="shared" si="172"/>
        <v>0</v>
      </c>
      <c r="CU37" s="757" t="str">
        <f t="shared" si="172"/>
        <v>0</v>
      </c>
      <c r="CV37" s="757" t="str">
        <f t="shared" si="172"/>
        <v>0</v>
      </c>
      <c r="CW37" s="757" t="str">
        <f t="shared" si="172"/>
        <v>0</v>
      </c>
      <c r="CX37" s="768" t="str">
        <f t="shared" si="172"/>
        <v>0</v>
      </c>
      <c r="CY37" s="752" t="str">
        <f t="shared" ref="CY37:DT37" si="173">IF(AND(CY10&gt;=Oppstartsår_FørsteÅrMedInvestering,CY10&lt;Oppstartsår_FørsteÅrMedInvestering+Investering_AntallÅr),-(CO2Utslipp_arealbeslag_tiltak/Investering_AntallÅr),"0")</f>
        <v>0</v>
      </c>
      <c r="CZ37" s="752" t="str">
        <f t="shared" si="173"/>
        <v>0</v>
      </c>
      <c r="DA37" s="752" t="str">
        <f t="shared" si="173"/>
        <v>0</v>
      </c>
      <c r="DB37" s="752" t="str">
        <f t="shared" si="173"/>
        <v>0</v>
      </c>
      <c r="DC37" s="752" t="str">
        <f t="shared" si="173"/>
        <v>0</v>
      </c>
      <c r="DD37" s="752" t="str">
        <f t="shared" si="173"/>
        <v>0</v>
      </c>
      <c r="DE37" s="752" t="str">
        <f t="shared" si="173"/>
        <v>0</v>
      </c>
      <c r="DF37" s="752" t="str">
        <f t="shared" si="173"/>
        <v>0</v>
      </c>
      <c r="DG37" s="752" t="str">
        <f t="shared" si="173"/>
        <v>0</v>
      </c>
      <c r="DH37" s="752" t="str">
        <f t="shared" si="173"/>
        <v>0</v>
      </c>
      <c r="DI37" s="752" t="str">
        <f t="shared" si="173"/>
        <v>0</v>
      </c>
      <c r="DJ37" s="752" t="str">
        <f t="shared" si="173"/>
        <v>0</v>
      </c>
      <c r="DK37" s="752" t="str">
        <f t="shared" si="173"/>
        <v>0</v>
      </c>
      <c r="DL37" s="752" t="str">
        <f t="shared" si="173"/>
        <v>0</v>
      </c>
      <c r="DM37" s="752" t="str">
        <f t="shared" si="173"/>
        <v>0</v>
      </c>
      <c r="DN37" s="752" t="str">
        <f t="shared" si="173"/>
        <v>0</v>
      </c>
      <c r="DO37" s="752" t="str">
        <f t="shared" si="173"/>
        <v>0</v>
      </c>
      <c r="DP37" s="752" t="str">
        <f t="shared" si="173"/>
        <v>0</v>
      </c>
      <c r="DQ37" s="752" t="str">
        <f t="shared" si="173"/>
        <v>0</v>
      </c>
      <c r="DR37" s="752" t="str">
        <f t="shared" si="173"/>
        <v>0</v>
      </c>
      <c r="DS37" s="752" t="str">
        <f t="shared" si="173"/>
        <v>0</v>
      </c>
      <c r="DT37" s="752" t="str">
        <f t="shared" si="173"/>
        <v>0</v>
      </c>
      <c r="DU37" s="752" t="str">
        <f t="shared" ref="DU37:DW37" si="174">IF(AND(DU10&gt;=Oppstartsår_FørsteÅrMedInvestering,DU10&lt;Oppstartsår_FørsteÅrMedInvestering+Investering_AntallÅr),-(CO2Utslipp_arealbeslag_tiltak/Investering_AntallÅr),"0")</f>
        <v>0</v>
      </c>
      <c r="DV37" s="752" t="str">
        <f t="shared" si="174"/>
        <v>0</v>
      </c>
      <c r="DW37" s="753" t="str">
        <f t="shared" si="174"/>
        <v>0</v>
      </c>
    </row>
    <row r="38" spans="1:127" s="6" customFormat="1" x14ac:dyDescent="0.35">
      <c r="A38" s="273"/>
      <c r="B38" s="65" t="s">
        <v>1387</v>
      </c>
      <c r="C38" s="18"/>
      <c r="D38" s="18"/>
      <c r="E38" s="509"/>
      <c r="G38" s="218" t="s">
        <v>1408</v>
      </c>
      <c r="H38" s="65"/>
      <c r="I38" s="65"/>
      <c r="J38" s="65"/>
      <c r="K38" s="65"/>
      <c r="L38" s="65"/>
      <c r="M38" s="65"/>
      <c r="N38" s="65"/>
      <c r="O38" s="65"/>
      <c r="P38" s="65"/>
      <c r="Q38" s="65"/>
      <c r="R38" s="65"/>
      <c r="S38" s="65"/>
      <c r="T38" s="65"/>
      <c r="U38" s="65"/>
      <c r="V38" s="1000" t="e">
        <f>SerieKarbonpris/1000*SerieCO2utslipp_Bil</f>
        <v>#N/A</v>
      </c>
      <c r="W38" s="1000" t="e">
        <f t="shared" ref="W38:BA38" si="175">SerieKarbonpris/1000*SerieCO2utslipp_Bil</f>
        <v>#N/A</v>
      </c>
      <c r="X38" s="1000" t="e">
        <f t="shared" si="175"/>
        <v>#N/A</v>
      </c>
      <c r="Y38" s="1000" t="e">
        <f t="shared" si="175"/>
        <v>#N/A</v>
      </c>
      <c r="Z38" s="1000" t="e">
        <f t="shared" si="175"/>
        <v>#N/A</v>
      </c>
      <c r="AA38" s="1000" t="e">
        <f t="shared" si="175"/>
        <v>#N/A</v>
      </c>
      <c r="AB38" s="1000" t="e">
        <f t="shared" si="175"/>
        <v>#N/A</v>
      </c>
      <c r="AC38" s="1000" t="e">
        <f t="shared" si="175"/>
        <v>#N/A</v>
      </c>
      <c r="AD38" s="1000" t="e">
        <f t="shared" si="175"/>
        <v>#N/A</v>
      </c>
      <c r="AE38" s="1000" t="e">
        <f t="shared" si="175"/>
        <v>#N/A</v>
      </c>
      <c r="AF38" s="1000" t="e">
        <f t="shared" si="175"/>
        <v>#N/A</v>
      </c>
      <c r="AG38" s="1000" t="e">
        <f t="shared" si="175"/>
        <v>#N/A</v>
      </c>
      <c r="AH38" s="1000" t="e">
        <f t="shared" si="175"/>
        <v>#N/A</v>
      </c>
      <c r="AI38" s="1000" t="e">
        <f t="shared" si="175"/>
        <v>#N/A</v>
      </c>
      <c r="AJ38" s="1000" t="e">
        <f t="shared" si="175"/>
        <v>#N/A</v>
      </c>
      <c r="AK38" s="1000" t="e">
        <f t="shared" si="175"/>
        <v>#N/A</v>
      </c>
      <c r="AL38" s="1000" t="e">
        <f t="shared" si="175"/>
        <v>#N/A</v>
      </c>
      <c r="AM38" s="1000" t="e">
        <f t="shared" si="175"/>
        <v>#N/A</v>
      </c>
      <c r="AN38" s="1000" t="e">
        <f t="shared" si="175"/>
        <v>#N/A</v>
      </c>
      <c r="AO38" s="1000" t="e">
        <f t="shared" si="175"/>
        <v>#N/A</v>
      </c>
      <c r="AP38" s="1000" t="e">
        <f t="shared" si="175"/>
        <v>#N/A</v>
      </c>
      <c r="AQ38" s="1000" t="e">
        <f t="shared" si="175"/>
        <v>#N/A</v>
      </c>
      <c r="AR38" s="1000" t="e">
        <f t="shared" si="175"/>
        <v>#N/A</v>
      </c>
      <c r="AS38" s="1000" t="e">
        <f t="shared" si="175"/>
        <v>#N/A</v>
      </c>
      <c r="AT38" s="1000" t="e">
        <f t="shared" si="175"/>
        <v>#N/A</v>
      </c>
      <c r="AU38" s="1000" t="e">
        <f t="shared" si="175"/>
        <v>#N/A</v>
      </c>
      <c r="AV38" s="1000" t="e">
        <f t="shared" si="175"/>
        <v>#N/A</v>
      </c>
      <c r="AW38" s="1000" t="e">
        <f t="shared" si="175"/>
        <v>#N/A</v>
      </c>
      <c r="AX38" s="1000" t="e">
        <f t="shared" si="175"/>
        <v>#N/A</v>
      </c>
      <c r="AY38" s="1000" t="e">
        <f t="shared" si="175"/>
        <v>#N/A</v>
      </c>
      <c r="AZ38" s="1000" t="e">
        <f t="shared" si="175"/>
        <v>#N/A</v>
      </c>
      <c r="BA38" s="1000" t="e">
        <f t="shared" si="175"/>
        <v>#N/A</v>
      </c>
      <c r="BB38" s="1000" t="e">
        <f t="shared" ref="BB38:CG38" si="176">SerieKarbonpris/1000*SerieCO2utslipp_Bil</f>
        <v>#N/A</v>
      </c>
      <c r="BC38" s="1000" t="e">
        <f t="shared" si="176"/>
        <v>#N/A</v>
      </c>
      <c r="BD38" s="1000" t="e">
        <f t="shared" si="176"/>
        <v>#N/A</v>
      </c>
      <c r="BE38" s="1000" t="e">
        <f t="shared" si="176"/>
        <v>#N/A</v>
      </c>
      <c r="BF38" s="1000" t="e">
        <f t="shared" si="176"/>
        <v>#N/A</v>
      </c>
      <c r="BG38" s="1000" t="e">
        <f t="shared" si="176"/>
        <v>#N/A</v>
      </c>
      <c r="BH38" s="1000" t="e">
        <f t="shared" si="176"/>
        <v>#N/A</v>
      </c>
      <c r="BI38" s="1000" t="e">
        <f t="shared" si="176"/>
        <v>#N/A</v>
      </c>
      <c r="BJ38" s="1000" t="e">
        <f t="shared" si="176"/>
        <v>#N/A</v>
      </c>
      <c r="BK38" s="1000" t="e">
        <f t="shared" si="176"/>
        <v>#N/A</v>
      </c>
      <c r="BL38" s="1000" t="e">
        <f t="shared" si="176"/>
        <v>#N/A</v>
      </c>
      <c r="BM38" s="1000" t="e">
        <f t="shared" si="176"/>
        <v>#N/A</v>
      </c>
      <c r="BN38" s="1000" t="e">
        <f t="shared" si="176"/>
        <v>#N/A</v>
      </c>
      <c r="BO38" s="1000" t="e">
        <f t="shared" si="176"/>
        <v>#N/A</v>
      </c>
      <c r="BP38" s="1000" t="e">
        <f t="shared" si="176"/>
        <v>#N/A</v>
      </c>
      <c r="BQ38" s="1000" t="e">
        <f t="shared" si="176"/>
        <v>#N/A</v>
      </c>
      <c r="BR38" s="1000" t="e">
        <f t="shared" si="176"/>
        <v>#N/A</v>
      </c>
      <c r="BS38" s="1000" t="e">
        <f t="shared" si="176"/>
        <v>#N/A</v>
      </c>
      <c r="BT38" s="1000" t="e">
        <f t="shared" si="176"/>
        <v>#N/A</v>
      </c>
      <c r="BU38" s="1000" t="e">
        <f t="shared" si="176"/>
        <v>#N/A</v>
      </c>
      <c r="BV38" s="1000" t="e">
        <f t="shared" si="176"/>
        <v>#N/A</v>
      </c>
      <c r="BW38" s="1000" t="e">
        <f t="shared" si="176"/>
        <v>#N/A</v>
      </c>
      <c r="BX38" s="1000" t="e">
        <f t="shared" si="176"/>
        <v>#N/A</v>
      </c>
      <c r="BY38" s="1000" t="e">
        <f t="shared" si="176"/>
        <v>#N/A</v>
      </c>
      <c r="BZ38" s="1000" t="e">
        <f t="shared" si="176"/>
        <v>#N/A</v>
      </c>
      <c r="CA38" s="1000" t="e">
        <f t="shared" si="176"/>
        <v>#N/A</v>
      </c>
      <c r="CB38" s="1000" t="e">
        <f t="shared" si="176"/>
        <v>#N/A</v>
      </c>
      <c r="CC38" s="1000" t="e">
        <f t="shared" si="176"/>
        <v>#N/A</v>
      </c>
      <c r="CD38" s="1000" t="e">
        <f t="shared" si="176"/>
        <v>#N/A</v>
      </c>
      <c r="CE38" s="1000" t="e">
        <f t="shared" si="176"/>
        <v>#N/A</v>
      </c>
      <c r="CF38" s="1000" t="e">
        <f t="shared" si="176"/>
        <v>#N/A</v>
      </c>
      <c r="CG38" s="1000" t="e">
        <f t="shared" si="176"/>
        <v>#N/A</v>
      </c>
      <c r="CH38" s="1000" t="e">
        <f t="shared" ref="CH38:CW38" si="177">SerieKarbonpris/1000*SerieCO2utslipp_Bil</f>
        <v>#N/A</v>
      </c>
      <c r="CI38" s="1000" t="e">
        <f>SerieKarbonpris/1000*SerieCO2utslipp_Bil</f>
        <v>#N/A</v>
      </c>
      <c r="CJ38" s="1000" t="e">
        <f t="shared" si="177"/>
        <v>#N/A</v>
      </c>
      <c r="CK38" s="1000" t="e">
        <f t="shared" si="177"/>
        <v>#N/A</v>
      </c>
      <c r="CL38" s="1000" t="e">
        <f t="shared" si="177"/>
        <v>#N/A</v>
      </c>
      <c r="CM38" s="1000" t="e">
        <f t="shared" si="177"/>
        <v>#N/A</v>
      </c>
      <c r="CN38" s="1000" t="e">
        <f t="shared" si="177"/>
        <v>#N/A</v>
      </c>
      <c r="CO38" s="1000" t="e">
        <f t="shared" si="177"/>
        <v>#N/A</v>
      </c>
      <c r="CP38" s="1000" t="e">
        <f t="shared" si="177"/>
        <v>#N/A</v>
      </c>
      <c r="CQ38" s="1000" t="e">
        <f t="shared" si="177"/>
        <v>#N/A</v>
      </c>
      <c r="CR38" s="1000" t="e">
        <f t="shared" si="177"/>
        <v>#N/A</v>
      </c>
      <c r="CS38" s="1000" t="e">
        <f t="shared" si="177"/>
        <v>#N/A</v>
      </c>
      <c r="CT38" s="1000" t="e">
        <f t="shared" si="177"/>
        <v>#N/A</v>
      </c>
      <c r="CU38" s="1000" t="e">
        <f t="shared" si="177"/>
        <v>#N/A</v>
      </c>
      <c r="CV38" s="1000" t="e">
        <f t="shared" si="177"/>
        <v>#N/A</v>
      </c>
      <c r="CW38" s="1000" t="e">
        <f t="shared" si="177"/>
        <v>#N/A</v>
      </c>
      <c r="CX38" s="1129" t="e">
        <f t="shared" ref="CX38:DW38" si="178">SerieKarbonpris/1000*SerieCO2utslipp_Bil</f>
        <v>#N/A</v>
      </c>
      <c r="CY38" s="757" t="e">
        <f t="shared" si="178"/>
        <v>#N/A</v>
      </c>
      <c r="CZ38" s="757" t="e">
        <f t="shared" si="178"/>
        <v>#N/A</v>
      </c>
      <c r="DA38" s="757" t="e">
        <f t="shared" si="178"/>
        <v>#N/A</v>
      </c>
      <c r="DB38" s="757" t="e">
        <f t="shared" si="178"/>
        <v>#N/A</v>
      </c>
      <c r="DC38" s="757" t="e">
        <f t="shared" si="178"/>
        <v>#N/A</v>
      </c>
      <c r="DD38" s="757" t="e">
        <f t="shared" si="178"/>
        <v>#N/A</v>
      </c>
      <c r="DE38" s="757" t="e">
        <f t="shared" si="178"/>
        <v>#N/A</v>
      </c>
      <c r="DF38" s="757" t="e">
        <f t="shared" si="178"/>
        <v>#N/A</v>
      </c>
      <c r="DG38" s="757" t="e">
        <f t="shared" si="178"/>
        <v>#N/A</v>
      </c>
      <c r="DH38" s="757" t="e">
        <f t="shared" si="178"/>
        <v>#N/A</v>
      </c>
      <c r="DI38" s="757" t="e">
        <f t="shared" si="178"/>
        <v>#N/A</v>
      </c>
      <c r="DJ38" s="757" t="e">
        <f t="shared" si="178"/>
        <v>#N/A</v>
      </c>
      <c r="DK38" s="757" t="e">
        <f t="shared" si="178"/>
        <v>#N/A</v>
      </c>
      <c r="DL38" s="757" t="e">
        <f t="shared" si="178"/>
        <v>#N/A</v>
      </c>
      <c r="DM38" s="757" t="e">
        <f t="shared" si="178"/>
        <v>#N/A</v>
      </c>
      <c r="DN38" s="757" t="e">
        <f t="shared" si="178"/>
        <v>#N/A</v>
      </c>
      <c r="DO38" s="757" t="e">
        <f t="shared" si="178"/>
        <v>#N/A</v>
      </c>
      <c r="DP38" s="757" t="e">
        <f t="shared" si="178"/>
        <v>#N/A</v>
      </c>
      <c r="DQ38" s="757" t="e">
        <f t="shared" si="178"/>
        <v>#N/A</v>
      </c>
      <c r="DR38" s="757" t="e">
        <f t="shared" si="178"/>
        <v>#N/A</v>
      </c>
      <c r="DS38" s="757" t="e">
        <f t="shared" si="178"/>
        <v>#N/A</v>
      </c>
      <c r="DT38" s="757" t="e">
        <f t="shared" si="178"/>
        <v>#N/A</v>
      </c>
      <c r="DU38" s="757" t="e">
        <f t="shared" si="178"/>
        <v>#N/A</v>
      </c>
      <c r="DV38" s="757" t="e">
        <f t="shared" si="178"/>
        <v>#N/A</v>
      </c>
      <c r="DW38" s="756" t="e">
        <f t="shared" si="178"/>
        <v>#N/A</v>
      </c>
    </row>
    <row r="39" spans="1:127" s="6" customFormat="1" x14ac:dyDescent="0.35">
      <c r="A39" s="273"/>
      <c r="B39" s="65" t="s">
        <v>1387</v>
      </c>
      <c r="C39" s="18"/>
      <c r="D39" s="18"/>
      <c r="E39" s="509"/>
      <c r="G39" s="218" t="s">
        <v>1409</v>
      </c>
      <c r="H39" s="65"/>
      <c r="I39" s="65"/>
      <c r="J39" s="65"/>
      <c r="K39" s="65"/>
      <c r="L39" s="65"/>
      <c r="M39" s="65"/>
      <c r="N39" s="65"/>
      <c r="O39" s="65"/>
      <c r="P39" s="65"/>
      <c r="Q39" s="65"/>
      <c r="R39" s="65"/>
      <c r="S39" s="65"/>
      <c r="T39" s="65"/>
      <c r="U39" s="65"/>
      <c r="V39" s="757" t="e">
        <f t="shared" ref="V39:BA39" si="179">SerieKarbonpris/1000*SerieCO2Utslipp_Lastebil</f>
        <v>#N/A</v>
      </c>
      <c r="W39" s="757" t="e">
        <f t="shared" si="179"/>
        <v>#N/A</v>
      </c>
      <c r="X39" s="757" t="e">
        <f t="shared" si="179"/>
        <v>#N/A</v>
      </c>
      <c r="Y39" s="757" t="e">
        <f t="shared" si="179"/>
        <v>#N/A</v>
      </c>
      <c r="Z39" s="757" t="e">
        <f t="shared" si="179"/>
        <v>#N/A</v>
      </c>
      <c r="AA39" s="757" t="e">
        <f t="shared" si="179"/>
        <v>#N/A</v>
      </c>
      <c r="AB39" s="757" t="e">
        <f t="shared" si="179"/>
        <v>#N/A</v>
      </c>
      <c r="AC39" s="757" t="e">
        <f t="shared" si="179"/>
        <v>#N/A</v>
      </c>
      <c r="AD39" s="757" t="e">
        <f t="shared" si="179"/>
        <v>#N/A</v>
      </c>
      <c r="AE39" s="757" t="e">
        <f t="shared" si="179"/>
        <v>#N/A</v>
      </c>
      <c r="AF39" s="757" t="e">
        <f t="shared" si="179"/>
        <v>#N/A</v>
      </c>
      <c r="AG39" s="757" t="e">
        <f t="shared" si="179"/>
        <v>#N/A</v>
      </c>
      <c r="AH39" s="757" t="e">
        <f t="shared" si="179"/>
        <v>#N/A</v>
      </c>
      <c r="AI39" s="757" t="e">
        <f t="shared" si="179"/>
        <v>#N/A</v>
      </c>
      <c r="AJ39" s="757" t="e">
        <f t="shared" si="179"/>
        <v>#N/A</v>
      </c>
      <c r="AK39" s="757" t="e">
        <f t="shared" si="179"/>
        <v>#N/A</v>
      </c>
      <c r="AL39" s="757" t="e">
        <f t="shared" si="179"/>
        <v>#N/A</v>
      </c>
      <c r="AM39" s="757" t="e">
        <f t="shared" si="179"/>
        <v>#N/A</v>
      </c>
      <c r="AN39" s="757" t="e">
        <f t="shared" si="179"/>
        <v>#N/A</v>
      </c>
      <c r="AO39" s="757" t="e">
        <f t="shared" si="179"/>
        <v>#N/A</v>
      </c>
      <c r="AP39" s="757" t="e">
        <f t="shared" si="179"/>
        <v>#N/A</v>
      </c>
      <c r="AQ39" s="757" t="e">
        <f t="shared" si="179"/>
        <v>#N/A</v>
      </c>
      <c r="AR39" s="757" t="e">
        <f t="shared" si="179"/>
        <v>#N/A</v>
      </c>
      <c r="AS39" s="757" t="e">
        <f t="shared" si="179"/>
        <v>#N/A</v>
      </c>
      <c r="AT39" s="757" t="e">
        <f t="shared" si="179"/>
        <v>#N/A</v>
      </c>
      <c r="AU39" s="757" t="e">
        <f t="shared" si="179"/>
        <v>#N/A</v>
      </c>
      <c r="AV39" s="757" t="e">
        <f t="shared" si="179"/>
        <v>#N/A</v>
      </c>
      <c r="AW39" s="757" t="e">
        <f t="shared" si="179"/>
        <v>#N/A</v>
      </c>
      <c r="AX39" s="757" t="e">
        <f t="shared" si="179"/>
        <v>#N/A</v>
      </c>
      <c r="AY39" s="757" t="e">
        <f t="shared" si="179"/>
        <v>#N/A</v>
      </c>
      <c r="AZ39" s="757" t="e">
        <f t="shared" si="179"/>
        <v>#N/A</v>
      </c>
      <c r="BA39" s="757" t="e">
        <f t="shared" si="179"/>
        <v>#N/A</v>
      </c>
      <c r="BB39" s="757" t="e">
        <f t="shared" ref="BB39:CG39" si="180">SerieKarbonpris/1000*SerieCO2Utslipp_Lastebil</f>
        <v>#N/A</v>
      </c>
      <c r="BC39" s="757" t="e">
        <f t="shared" si="180"/>
        <v>#N/A</v>
      </c>
      <c r="BD39" s="757" t="e">
        <f>SerieKarbonpris/1000*SerieCO2Utslipp_Lastebil</f>
        <v>#N/A</v>
      </c>
      <c r="BE39" s="757" t="e">
        <f t="shared" si="180"/>
        <v>#N/A</v>
      </c>
      <c r="BF39" s="757" t="e">
        <f t="shared" si="180"/>
        <v>#N/A</v>
      </c>
      <c r="BG39" s="757" t="e">
        <f t="shared" si="180"/>
        <v>#N/A</v>
      </c>
      <c r="BH39" s="757" t="e">
        <f t="shared" si="180"/>
        <v>#N/A</v>
      </c>
      <c r="BI39" s="757" t="e">
        <f t="shared" si="180"/>
        <v>#N/A</v>
      </c>
      <c r="BJ39" s="757" t="e">
        <f t="shared" si="180"/>
        <v>#N/A</v>
      </c>
      <c r="BK39" s="757" t="e">
        <f t="shared" si="180"/>
        <v>#N/A</v>
      </c>
      <c r="BL39" s="757" t="e">
        <f t="shared" si="180"/>
        <v>#N/A</v>
      </c>
      <c r="BM39" s="757" t="e">
        <f t="shared" si="180"/>
        <v>#N/A</v>
      </c>
      <c r="BN39" s="757" t="e">
        <f t="shared" si="180"/>
        <v>#N/A</v>
      </c>
      <c r="BO39" s="757" t="e">
        <f t="shared" si="180"/>
        <v>#N/A</v>
      </c>
      <c r="BP39" s="757" t="e">
        <f t="shared" si="180"/>
        <v>#N/A</v>
      </c>
      <c r="BQ39" s="757" t="e">
        <f t="shared" si="180"/>
        <v>#N/A</v>
      </c>
      <c r="BR39" s="757" t="e">
        <f t="shared" si="180"/>
        <v>#N/A</v>
      </c>
      <c r="BS39" s="757" t="e">
        <f t="shared" si="180"/>
        <v>#N/A</v>
      </c>
      <c r="BT39" s="757" t="e">
        <f t="shared" si="180"/>
        <v>#N/A</v>
      </c>
      <c r="BU39" s="757" t="e">
        <f t="shared" si="180"/>
        <v>#N/A</v>
      </c>
      <c r="BV39" s="757" t="e">
        <f t="shared" si="180"/>
        <v>#N/A</v>
      </c>
      <c r="BW39" s="757" t="e">
        <f t="shared" si="180"/>
        <v>#N/A</v>
      </c>
      <c r="BX39" s="757" t="e">
        <f t="shared" si="180"/>
        <v>#N/A</v>
      </c>
      <c r="BY39" s="757" t="e">
        <f t="shared" si="180"/>
        <v>#N/A</v>
      </c>
      <c r="BZ39" s="757" t="e">
        <f t="shared" si="180"/>
        <v>#N/A</v>
      </c>
      <c r="CA39" s="757" t="e">
        <f t="shared" si="180"/>
        <v>#N/A</v>
      </c>
      <c r="CB39" s="757" t="e">
        <f t="shared" si="180"/>
        <v>#N/A</v>
      </c>
      <c r="CC39" s="757" t="e">
        <f t="shared" si="180"/>
        <v>#N/A</v>
      </c>
      <c r="CD39" s="757" t="e">
        <f t="shared" si="180"/>
        <v>#N/A</v>
      </c>
      <c r="CE39" s="757" t="e">
        <f t="shared" si="180"/>
        <v>#N/A</v>
      </c>
      <c r="CF39" s="757" t="e">
        <f t="shared" si="180"/>
        <v>#N/A</v>
      </c>
      <c r="CG39" s="757" t="e">
        <f t="shared" si="180"/>
        <v>#N/A</v>
      </c>
      <c r="CH39" s="757" t="e">
        <f t="shared" ref="CH39:DW39" si="181">SerieKarbonpris/1000*SerieCO2Utslipp_Lastebil</f>
        <v>#N/A</v>
      </c>
      <c r="CI39" s="757" t="e">
        <f t="shared" si="181"/>
        <v>#N/A</v>
      </c>
      <c r="CJ39" s="757" t="e">
        <f t="shared" si="181"/>
        <v>#N/A</v>
      </c>
      <c r="CK39" s="757" t="e">
        <f t="shared" si="181"/>
        <v>#N/A</v>
      </c>
      <c r="CL39" s="757" t="e">
        <f t="shared" si="181"/>
        <v>#N/A</v>
      </c>
      <c r="CM39" s="757" t="e">
        <f t="shared" si="181"/>
        <v>#N/A</v>
      </c>
      <c r="CN39" s="757" t="e">
        <f t="shared" si="181"/>
        <v>#N/A</v>
      </c>
      <c r="CO39" s="757" t="e">
        <f t="shared" si="181"/>
        <v>#N/A</v>
      </c>
      <c r="CP39" s="757" t="e">
        <f t="shared" si="181"/>
        <v>#N/A</v>
      </c>
      <c r="CQ39" s="757" t="e">
        <f t="shared" si="181"/>
        <v>#N/A</v>
      </c>
      <c r="CR39" s="757" t="e">
        <f t="shared" si="181"/>
        <v>#N/A</v>
      </c>
      <c r="CS39" s="757" t="e">
        <f t="shared" si="181"/>
        <v>#N/A</v>
      </c>
      <c r="CT39" s="757" t="e">
        <f t="shared" si="181"/>
        <v>#N/A</v>
      </c>
      <c r="CU39" s="757" t="e">
        <f t="shared" si="181"/>
        <v>#N/A</v>
      </c>
      <c r="CV39" s="757" t="e">
        <f t="shared" si="181"/>
        <v>#N/A</v>
      </c>
      <c r="CW39" s="757" t="e">
        <f t="shared" si="181"/>
        <v>#N/A</v>
      </c>
      <c r="CX39" s="1127" t="e">
        <f t="shared" si="181"/>
        <v>#N/A</v>
      </c>
      <c r="CY39" s="757" t="e">
        <f t="shared" si="181"/>
        <v>#N/A</v>
      </c>
      <c r="CZ39" s="757" t="e">
        <f t="shared" si="181"/>
        <v>#N/A</v>
      </c>
      <c r="DA39" s="757" t="e">
        <f t="shared" si="181"/>
        <v>#N/A</v>
      </c>
      <c r="DB39" s="757" t="e">
        <f t="shared" si="181"/>
        <v>#N/A</v>
      </c>
      <c r="DC39" s="757" t="e">
        <f t="shared" si="181"/>
        <v>#N/A</v>
      </c>
      <c r="DD39" s="757" t="e">
        <f t="shared" si="181"/>
        <v>#N/A</v>
      </c>
      <c r="DE39" s="757" t="e">
        <f t="shared" si="181"/>
        <v>#N/A</v>
      </c>
      <c r="DF39" s="757" t="e">
        <f t="shared" si="181"/>
        <v>#N/A</v>
      </c>
      <c r="DG39" s="757" t="e">
        <f t="shared" si="181"/>
        <v>#N/A</v>
      </c>
      <c r="DH39" s="757" t="e">
        <f t="shared" si="181"/>
        <v>#N/A</v>
      </c>
      <c r="DI39" s="757" t="e">
        <f t="shared" si="181"/>
        <v>#N/A</v>
      </c>
      <c r="DJ39" s="757" t="e">
        <f t="shared" si="181"/>
        <v>#N/A</v>
      </c>
      <c r="DK39" s="757" t="e">
        <f t="shared" si="181"/>
        <v>#N/A</v>
      </c>
      <c r="DL39" s="757" t="e">
        <f t="shared" si="181"/>
        <v>#N/A</v>
      </c>
      <c r="DM39" s="757" t="e">
        <f t="shared" si="181"/>
        <v>#N/A</v>
      </c>
      <c r="DN39" s="757" t="e">
        <f t="shared" si="181"/>
        <v>#N/A</v>
      </c>
      <c r="DO39" s="757" t="e">
        <f t="shared" si="181"/>
        <v>#N/A</v>
      </c>
      <c r="DP39" s="757" t="e">
        <f t="shared" si="181"/>
        <v>#N/A</v>
      </c>
      <c r="DQ39" s="757" t="e">
        <f t="shared" si="181"/>
        <v>#N/A</v>
      </c>
      <c r="DR39" s="757" t="e">
        <f t="shared" si="181"/>
        <v>#N/A</v>
      </c>
      <c r="DS39" s="757" t="e">
        <f t="shared" si="181"/>
        <v>#N/A</v>
      </c>
      <c r="DT39" s="757" t="e">
        <f t="shared" si="181"/>
        <v>#N/A</v>
      </c>
      <c r="DU39" s="757" t="e">
        <f t="shared" si="181"/>
        <v>#N/A</v>
      </c>
      <c r="DV39" s="757" t="e">
        <f t="shared" si="181"/>
        <v>#N/A</v>
      </c>
      <c r="DW39" s="756" t="e">
        <f t="shared" si="181"/>
        <v>#N/A</v>
      </c>
    </row>
    <row r="40" spans="1:127" s="6" customFormat="1" x14ac:dyDescent="0.35">
      <c r="A40" s="273"/>
      <c r="B40" s="65" t="s">
        <v>1387</v>
      </c>
      <c r="C40" s="18"/>
      <c r="D40" s="18"/>
      <c r="E40" s="509"/>
      <c r="G40" s="218" t="s">
        <v>1410</v>
      </c>
      <c r="H40" s="65"/>
      <c r="I40" s="65"/>
      <c r="J40" s="65"/>
      <c r="K40" s="65"/>
      <c r="L40" s="65"/>
      <c r="M40" s="65"/>
      <c r="N40" s="65"/>
      <c r="O40" s="65"/>
      <c r="P40" s="65"/>
      <c r="Q40" s="65"/>
      <c r="R40" s="65"/>
      <c r="S40" s="65"/>
      <c r="T40" s="65"/>
      <c r="U40" s="65"/>
      <c r="V40" s="757" t="e">
        <f t="shared" ref="V40:BA40" si="182">SerieKarbonpris/1000*SerieCO2utslipp_LettLastebil</f>
        <v>#N/A</v>
      </c>
      <c r="W40" s="757" t="e">
        <f t="shared" si="182"/>
        <v>#N/A</v>
      </c>
      <c r="X40" s="757" t="e">
        <f t="shared" si="182"/>
        <v>#N/A</v>
      </c>
      <c r="Y40" s="757" t="e">
        <f t="shared" si="182"/>
        <v>#N/A</v>
      </c>
      <c r="Z40" s="757" t="e">
        <f t="shared" si="182"/>
        <v>#N/A</v>
      </c>
      <c r="AA40" s="757" t="e">
        <f t="shared" si="182"/>
        <v>#N/A</v>
      </c>
      <c r="AB40" s="757" t="e">
        <f t="shared" si="182"/>
        <v>#N/A</v>
      </c>
      <c r="AC40" s="757" t="e">
        <f t="shared" si="182"/>
        <v>#N/A</v>
      </c>
      <c r="AD40" s="757" t="e">
        <f t="shared" si="182"/>
        <v>#N/A</v>
      </c>
      <c r="AE40" s="757" t="e">
        <f t="shared" si="182"/>
        <v>#N/A</v>
      </c>
      <c r="AF40" s="757" t="e">
        <f t="shared" si="182"/>
        <v>#N/A</v>
      </c>
      <c r="AG40" s="757" t="e">
        <f t="shared" si="182"/>
        <v>#N/A</v>
      </c>
      <c r="AH40" s="757" t="e">
        <f t="shared" si="182"/>
        <v>#N/A</v>
      </c>
      <c r="AI40" s="757" t="e">
        <f t="shared" si="182"/>
        <v>#N/A</v>
      </c>
      <c r="AJ40" s="757" t="e">
        <f t="shared" si="182"/>
        <v>#N/A</v>
      </c>
      <c r="AK40" s="757" t="e">
        <f t="shared" si="182"/>
        <v>#N/A</v>
      </c>
      <c r="AL40" s="757" t="e">
        <f t="shared" si="182"/>
        <v>#N/A</v>
      </c>
      <c r="AM40" s="757" t="e">
        <f t="shared" si="182"/>
        <v>#N/A</v>
      </c>
      <c r="AN40" s="757" t="e">
        <f t="shared" si="182"/>
        <v>#N/A</v>
      </c>
      <c r="AO40" s="757" t="e">
        <f t="shared" si="182"/>
        <v>#N/A</v>
      </c>
      <c r="AP40" s="757" t="e">
        <f t="shared" si="182"/>
        <v>#N/A</v>
      </c>
      <c r="AQ40" s="757" t="e">
        <f t="shared" si="182"/>
        <v>#N/A</v>
      </c>
      <c r="AR40" s="757" t="e">
        <f t="shared" si="182"/>
        <v>#N/A</v>
      </c>
      <c r="AS40" s="757" t="e">
        <f t="shared" si="182"/>
        <v>#N/A</v>
      </c>
      <c r="AT40" s="757" t="e">
        <f t="shared" si="182"/>
        <v>#N/A</v>
      </c>
      <c r="AU40" s="757" t="e">
        <f t="shared" si="182"/>
        <v>#N/A</v>
      </c>
      <c r="AV40" s="757" t="e">
        <f t="shared" si="182"/>
        <v>#N/A</v>
      </c>
      <c r="AW40" s="757" t="e">
        <f t="shared" si="182"/>
        <v>#N/A</v>
      </c>
      <c r="AX40" s="757" t="e">
        <f t="shared" si="182"/>
        <v>#N/A</v>
      </c>
      <c r="AY40" s="757" t="e">
        <f t="shared" si="182"/>
        <v>#N/A</v>
      </c>
      <c r="AZ40" s="757" t="e">
        <f t="shared" si="182"/>
        <v>#N/A</v>
      </c>
      <c r="BA40" s="757" t="e">
        <f t="shared" si="182"/>
        <v>#N/A</v>
      </c>
      <c r="BB40" s="757" t="e">
        <f t="shared" ref="BB40:CG40" si="183">SerieKarbonpris/1000*SerieCO2utslipp_LettLastebil</f>
        <v>#N/A</v>
      </c>
      <c r="BC40" s="757" t="e">
        <f t="shared" si="183"/>
        <v>#N/A</v>
      </c>
      <c r="BD40" s="757" t="e">
        <f t="shared" si="183"/>
        <v>#N/A</v>
      </c>
      <c r="BE40" s="757" t="e">
        <f t="shared" si="183"/>
        <v>#N/A</v>
      </c>
      <c r="BF40" s="757" t="e">
        <f t="shared" si="183"/>
        <v>#N/A</v>
      </c>
      <c r="BG40" s="757" t="e">
        <f t="shared" si="183"/>
        <v>#N/A</v>
      </c>
      <c r="BH40" s="757" t="e">
        <f t="shared" si="183"/>
        <v>#N/A</v>
      </c>
      <c r="BI40" s="757" t="e">
        <f t="shared" si="183"/>
        <v>#N/A</v>
      </c>
      <c r="BJ40" s="757" t="e">
        <f t="shared" si="183"/>
        <v>#N/A</v>
      </c>
      <c r="BK40" s="757" t="e">
        <f t="shared" si="183"/>
        <v>#N/A</v>
      </c>
      <c r="BL40" s="757" t="e">
        <f t="shared" si="183"/>
        <v>#N/A</v>
      </c>
      <c r="BM40" s="757" t="e">
        <f t="shared" si="183"/>
        <v>#N/A</v>
      </c>
      <c r="BN40" s="757" t="e">
        <f t="shared" si="183"/>
        <v>#N/A</v>
      </c>
      <c r="BO40" s="757" t="e">
        <f t="shared" si="183"/>
        <v>#N/A</v>
      </c>
      <c r="BP40" s="757" t="e">
        <f t="shared" si="183"/>
        <v>#N/A</v>
      </c>
      <c r="BQ40" s="757" t="e">
        <f t="shared" si="183"/>
        <v>#N/A</v>
      </c>
      <c r="BR40" s="757" t="e">
        <f t="shared" si="183"/>
        <v>#N/A</v>
      </c>
      <c r="BS40" s="757" t="e">
        <f t="shared" si="183"/>
        <v>#N/A</v>
      </c>
      <c r="BT40" s="757" t="e">
        <f t="shared" si="183"/>
        <v>#N/A</v>
      </c>
      <c r="BU40" s="757" t="e">
        <f t="shared" si="183"/>
        <v>#N/A</v>
      </c>
      <c r="BV40" s="757" t="e">
        <f t="shared" si="183"/>
        <v>#N/A</v>
      </c>
      <c r="BW40" s="757" t="e">
        <f t="shared" si="183"/>
        <v>#N/A</v>
      </c>
      <c r="BX40" s="757" t="e">
        <f t="shared" si="183"/>
        <v>#N/A</v>
      </c>
      <c r="BY40" s="757" t="e">
        <f t="shared" si="183"/>
        <v>#N/A</v>
      </c>
      <c r="BZ40" s="757" t="e">
        <f t="shared" si="183"/>
        <v>#N/A</v>
      </c>
      <c r="CA40" s="757" t="e">
        <f t="shared" si="183"/>
        <v>#N/A</v>
      </c>
      <c r="CB40" s="757" t="e">
        <f t="shared" si="183"/>
        <v>#N/A</v>
      </c>
      <c r="CC40" s="757" t="e">
        <f t="shared" si="183"/>
        <v>#N/A</v>
      </c>
      <c r="CD40" s="757" t="e">
        <f t="shared" si="183"/>
        <v>#N/A</v>
      </c>
      <c r="CE40" s="757" t="e">
        <f t="shared" si="183"/>
        <v>#N/A</v>
      </c>
      <c r="CF40" s="757" t="e">
        <f t="shared" si="183"/>
        <v>#N/A</v>
      </c>
      <c r="CG40" s="757" t="e">
        <f t="shared" si="183"/>
        <v>#N/A</v>
      </c>
      <c r="CH40" s="757" t="e">
        <f t="shared" ref="CH40:DW40" si="184">SerieKarbonpris/1000*SerieCO2utslipp_LettLastebil</f>
        <v>#N/A</v>
      </c>
      <c r="CI40" s="757" t="e">
        <f t="shared" si="184"/>
        <v>#N/A</v>
      </c>
      <c r="CJ40" s="757" t="e">
        <f t="shared" si="184"/>
        <v>#N/A</v>
      </c>
      <c r="CK40" s="757" t="e">
        <f t="shared" si="184"/>
        <v>#N/A</v>
      </c>
      <c r="CL40" s="757" t="e">
        <f t="shared" si="184"/>
        <v>#N/A</v>
      </c>
      <c r="CM40" s="757" t="e">
        <f t="shared" si="184"/>
        <v>#N/A</v>
      </c>
      <c r="CN40" s="757" t="e">
        <f t="shared" si="184"/>
        <v>#N/A</v>
      </c>
      <c r="CO40" s="757" t="e">
        <f t="shared" si="184"/>
        <v>#N/A</v>
      </c>
      <c r="CP40" s="757" t="e">
        <f t="shared" si="184"/>
        <v>#N/A</v>
      </c>
      <c r="CQ40" s="757" t="e">
        <f t="shared" si="184"/>
        <v>#N/A</v>
      </c>
      <c r="CR40" s="757" t="e">
        <f t="shared" si="184"/>
        <v>#N/A</v>
      </c>
      <c r="CS40" s="757" t="e">
        <f t="shared" si="184"/>
        <v>#N/A</v>
      </c>
      <c r="CT40" s="757" t="e">
        <f t="shared" si="184"/>
        <v>#N/A</v>
      </c>
      <c r="CU40" s="757" t="e">
        <f t="shared" si="184"/>
        <v>#N/A</v>
      </c>
      <c r="CV40" s="757" t="e">
        <f t="shared" si="184"/>
        <v>#N/A</v>
      </c>
      <c r="CW40" s="757" t="e">
        <f t="shared" si="184"/>
        <v>#N/A</v>
      </c>
      <c r="CX40" s="1127" t="e">
        <f t="shared" si="184"/>
        <v>#N/A</v>
      </c>
      <c r="CY40" s="757" t="e">
        <f t="shared" si="184"/>
        <v>#N/A</v>
      </c>
      <c r="CZ40" s="757" t="e">
        <f t="shared" si="184"/>
        <v>#N/A</v>
      </c>
      <c r="DA40" s="757" t="e">
        <f t="shared" si="184"/>
        <v>#N/A</v>
      </c>
      <c r="DB40" s="757" t="e">
        <f t="shared" si="184"/>
        <v>#N/A</v>
      </c>
      <c r="DC40" s="757" t="e">
        <f t="shared" si="184"/>
        <v>#N/A</v>
      </c>
      <c r="DD40" s="757" t="e">
        <f t="shared" si="184"/>
        <v>#N/A</v>
      </c>
      <c r="DE40" s="757" t="e">
        <f t="shared" si="184"/>
        <v>#N/A</v>
      </c>
      <c r="DF40" s="757" t="e">
        <f t="shared" si="184"/>
        <v>#N/A</v>
      </c>
      <c r="DG40" s="757" t="e">
        <f t="shared" si="184"/>
        <v>#N/A</v>
      </c>
      <c r="DH40" s="757" t="e">
        <f t="shared" si="184"/>
        <v>#N/A</v>
      </c>
      <c r="DI40" s="757" t="e">
        <f t="shared" si="184"/>
        <v>#N/A</v>
      </c>
      <c r="DJ40" s="757" t="e">
        <f t="shared" si="184"/>
        <v>#N/A</v>
      </c>
      <c r="DK40" s="757" t="e">
        <f t="shared" si="184"/>
        <v>#N/A</v>
      </c>
      <c r="DL40" s="757" t="e">
        <f t="shared" si="184"/>
        <v>#N/A</v>
      </c>
      <c r="DM40" s="757" t="e">
        <f t="shared" si="184"/>
        <v>#N/A</v>
      </c>
      <c r="DN40" s="757" t="e">
        <f t="shared" si="184"/>
        <v>#N/A</v>
      </c>
      <c r="DO40" s="757" t="e">
        <f t="shared" si="184"/>
        <v>#N/A</v>
      </c>
      <c r="DP40" s="757" t="e">
        <f t="shared" si="184"/>
        <v>#N/A</v>
      </c>
      <c r="DQ40" s="757" t="e">
        <f t="shared" si="184"/>
        <v>#N/A</v>
      </c>
      <c r="DR40" s="757" t="e">
        <f t="shared" si="184"/>
        <v>#N/A</v>
      </c>
      <c r="DS40" s="757" t="e">
        <f t="shared" si="184"/>
        <v>#N/A</v>
      </c>
      <c r="DT40" s="757" t="e">
        <f t="shared" si="184"/>
        <v>#N/A</v>
      </c>
      <c r="DU40" s="757" t="e">
        <f t="shared" si="184"/>
        <v>#N/A</v>
      </c>
      <c r="DV40" s="757" t="e">
        <f t="shared" si="184"/>
        <v>#N/A</v>
      </c>
      <c r="DW40" s="756" t="e">
        <f t="shared" si="184"/>
        <v>#N/A</v>
      </c>
    </row>
    <row r="41" spans="1:127" s="6" customFormat="1" x14ac:dyDescent="0.35">
      <c r="A41" s="273"/>
      <c r="B41" s="65" t="s">
        <v>1387</v>
      </c>
      <c r="C41" s="18"/>
      <c r="D41" s="18"/>
      <c r="E41" s="509"/>
      <c r="G41" s="218" t="s">
        <v>1411</v>
      </c>
      <c r="H41" s="65"/>
      <c r="I41" s="65"/>
      <c r="J41" s="65"/>
      <c r="K41" s="65"/>
      <c r="L41" s="65"/>
      <c r="M41" s="65"/>
      <c r="N41" s="65"/>
      <c r="O41" s="65"/>
      <c r="P41" s="65"/>
      <c r="Q41" s="65"/>
      <c r="R41" s="65"/>
      <c r="S41" s="65"/>
      <c r="T41" s="65"/>
      <c r="U41" s="65"/>
      <c r="V41" s="758" t="e">
        <f>SerieKarbonpris/1000*SerieCO2Utslipp_Buss</f>
        <v>#N/A</v>
      </c>
      <c r="W41" s="758" t="e">
        <f t="shared" ref="W41:BA41" si="185">SerieKarbonpris/1000*SerieCO2Utslipp_Buss</f>
        <v>#N/A</v>
      </c>
      <c r="X41" s="758" t="e">
        <f t="shared" si="185"/>
        <v>#N/A</v>
      </c>
      <c r="Y41" s="758" t="e">
        <f t="shared" si="185"/>
        <v>#N/A</v>
      </c>
      <c r="Z41" s="758" t="e">
        <f t="shared" si="185"/>
        <v>#N/A</v>
      </c>
      <c r="AA41" s="758" t="e">
        <f t="shared" si="185"/>
        <v>#N/A</v>
      </c>
      <c r="AB41" s="758" t="e">
        <f t="shared" si="185"/>
        <v>#N/A</v>
      </c>
      <c r="AC41" s="758" t="e">
        <f t="shared" si="185"/>
        <v>#N/A</v>
      </c>
      <c r="AD41" s="758" t="e">
        <f t="shared" si="185"/>
        <v>#N/A</v>
      </c>
      <c r="AE41" s="758" t="e">
        <f t="shared" si="185"/>
        <v>#N/A</v>
      </c>
      <c r="AF41" s="758" t="e">
        <f t="shared" si="185"/>
        <v>#N/A</v>
      </c>
      <c r="AG41" s="758" t="e">
        <f t="shared" si="185"/>
        <v>#N/A</v>
      </c>
      <c r="AH41" s="758" t="e">
        <f t="shared" si="185"/>
        <v>#N/A</v>
      </c>
      <c r="AI41" s="758" t="e">
        <f t="shared" si="185"/>
        <v>#N/A</v>
      </c>
      <c r="AJ41" s="758" t="e">
        <f t="shared" si="185"/>
        <v>#N/A</v>
      </c>
      <c r="AK41" s="758" t="e">
        <f t="shared" si="185"/>
        <v>#N/A</v>
      </c>
      <c r="AL41" s="758" t="e">
        <f t="shared" si="185"/>
        <v>#N/A</v>
      </c>
      <c r="AM41" s="758" t="e">
        <f t="shared" si="185"/>
        <v>#N/A</v>
      </c>
      <c r="AN41" s="758" t="e">
        <f t="shared" si="185"/>
        <v>#N/A</v>
      </c>
      <c r="AO41" s="758" t="e">
        <f t="shared" si="185"/>
        <v>#N/A</v>
      </c>
      <c r="AP41" s="758" t="e">
        <f t="shared" si="185"/>
        <v>#N/A</v>
      </c>
      <c r="AQ41" s="758" t="e">
        <f t="shared" si="185"/>
        <v>#N/A</v>
      </c>
      <c r="AR41" s="758" t="e">
        <f t="shared" si="185"/>
        <v>#N/A</v>
      </c>
      <c r="AS41" s="758" t="e">
        <f t="shared" si="185"/>
        <v>#N/A</v>
      </c>
      <c r="AT41" s="758" t="e">
        <f t="shared" si="185"/>
        <v>#N/A</v>
      </c>
      <c r="AU41" s="758" t="e">
        <f t="shared" si="185"/>
        <v>#N/A</v>
      </c>
      <c r="AV41" s="758" t="e">
        <f t="shared" si="185"/>
        <v>#N/A</v>
      </c>
      <c r="AW41" s="758" t="e">
        <f t="shared" si="185"/>
        <v>#N/A</v>
      </c>
      <c r="AX41" s="758" t="e">
        <f t="shared" si="185"/>
        <v>#N/A</v>
      </c>
      <c r="AY41" s="758" t="e">
        <f t="shared" si="185"/>
        <v>#N/A</v>
      </c>
      <c r="AZ41" s="758" t="e">
        <f t="shared" si="185"/>
        <v>#N/A</v>
      </c>
      <c r="BA41" s="758" t="e">
        <f t="shared" si="185"/>
        <v>#N/A</v>
      </c>
      <c r="BB41" s="758" t="e">
        <f t="shared" ref="BB41:CG41" si="186">SerieKarbonpris/1000*SerieCO2Utslipp_Buss</f>
        <v>#N/A</v>
      </c>
      <c r="BC41" s="758" t="e">
        <f t="shared" si="186"/>
        <v>#N/A</v>
      </c>
      <c r="BD41" s="758" t="e">
        <f t="shared" si="186"/>
        <v>#N/A</v>
      </c>
      <c r="BE41" s="758" t="e">
        <f t="shared" si="186"/>
        <v>#N/A</v>
      </c>
      <c r="BF41" s="758" t="e">
        <f t="shared" si="186"/>
        <v>#N/A</v>
      </c>
      <c r="BG41" s="758" t="e">
        <f t="shared" si="186"/>
        <v>#N/A</v>
      </c>
      <c r="BH41" s="758" t="e">
        <f t="shared" si="186"/>
        <v>#N/A</v>
      </c>
      <c r="BI41" s="758" t="e">
        <f t="shared" si="186"/>
        <v>#N/A</v>
      </c>
      <c r="BJ41" s="758" t="e">
        <f t="shared" si="186"/>
        <v>#N/A</v>
      </c>
      <c r="BK41" s="758" t="e">
        <f t="shared" si="186"/>
        <v>#N/A</v>
      </c>
      <c r="BL41" s="758" t="e">
        <f t="shared" si="186"/>
        <v>#N/A</v>
      </c>
      <c r="BM41" s="758" t="e">
        <f t="shared" si="186"/>
        <v>#N/A</v>
      </c>
      <c r="BN41" s="758" t="e">
        <f t="shared" si="186"/>
        <v>#N/A</v>
      </c>
      <c r="BO41" s="758" t="e">
        <f t="shared" si="186"/>
        <v>#N/A</v>
      </c>
      <c r="BP41" s="758" t="e">
        <f t="shared" si="186"/>
        <v>#N/A</v>
      </c>
      <c r="BQ41" s="758" t="e">
        <f t="shared" si="186"/>
        <v>#N/A</v>
      </c>
      <c r="BR41" s="758" t="e">
        <f t="shared" si="186"/>
        <v>#N/A</v>
      </c>
      <c r="BS41" s="758" t="e">
        <f t="shared" si="186"/>
        <v>#N/A</v>
      </c>
      <c r="BT41" s="758" t="e">
        <f t="shared" si="186"/>
        <v>#N/A</v>
      </c>
      <c r="BU41" s="758" t="e">
        <f t="shared" si="186"/>
        <v>#N/A</v>
      </c>
      <c r="BV41" s="758" t="e">
        <f t="shared" si="186"/>
        <v>#N/A</v>
      </c>
      <c r="BW41" s="758" t="e">
        <f t="shared" si="186"/>
        <v>#N/A</v>
      </c>
      <c r="BX41" s="758" t="e">
        <f t="shared" si="186"/>
        <v>#N/A</v>
      </c>
      <c r="BY41" s="758" t="e">
        <f t="shared" si="186"/>
        <v>#N/A</v>
      </c>
      <c r="BZ41" s="758" t="e">
        <f t="shared" si="186"/>
        <v>#N/A</v>
      </c>
      <c r="CA41" s="758" t="e">
        <f t="shared" si="186"/>
        <v>#N/A</v>
      </c>
      <c r="CB41" s="758" t="e">
        <f t="shared" si="186"/>
        <v>#N/A</v>
      </c>
      <c r="CC41" s="758" t="e">
        <f t="shared" si="186"/>
        <v>#N/A</v>
      </c>
      <c r="CD41" s="758" t="e">
        <f t="shared" si="186"/>
        <v>#N/A</v>
      </c>
      <c r="CE41" s="758" t="e">
        <f t="shared" si="186"/>
        <v>#N/A</v>
      </c>
      <c r="CF41" s="758" t="e">
        <f t="shared" si="186"/>
        <v>#N/A</v>
      </c>
      <c r="CG41" s="758" t="e">
        <f t="shared" si="186"/>
        <v>#N/A</v>
      </c>
      <c r="CH41" s="758" t="e">
        <f t="shared" ref="CH41:DW41" si="187">SerieKarbonpris/1000*SerieCO2Utslipp_Buss</f>
        <v>#N/A</v>
      </c>
      <c r="CI41" s="758" t="e">
        <f t="shared" si="187"/>
        <v>#N/A</v>
      </c>
      <c r="CJ41" s="758" t="e">
        <f t="shared" si="187"/>
        <v>#N/A</v>
      </c>
      <c r="CK41" s="758" t="e">
        <f t="shared" si="187"/>
        <v>#N/A</v>
      </c>
      <c r="CL41" s="758" t="e">
        <f t="shared" si="187"/>
        <v>#N/A</v>
      </c>
      <c r="CM41" s="758" t="e">
        <f t="shared" si="187"/>
        <v>#N/A</v>
      </c>
      <c r="CN41" s="758" t="e">
        <f t="shared" si="187"/>
        <v>#N/A</v>
      </c>
      <c r="CO41" s="758" t="e">
        <f t="shared" si="187"/>
        <v>#N/A</v>
      </c>
      <c r="CP41" s="758" t="e">
        <f t="shared" si="187"/>
        <v>#N/A</v>
      </c>
      <c r="CQ41" s="758" t="e">
        <f t="shared" si="187"/>
        <v>#N/A</v>
      </c>
      <c r="CR41" s="758" t="e">
        <f t="shared" si="187"/>
        <v>#N/A</v>
      </c>
      <c r="CS41" s="758" t="e">
        <f t="shared" si="187"/>
        <v>#N/A</v>
      </c>
      <c r="CT41" s="758" t="e">
        <f t="shared" si="187"/>
        <v>#N/A</v>
      </c>
      <c r="CU41" s="758" t="e">
        <f t="shared" si="187"/>
        <v>#N/A</v>
      </c>
      <c r="CV41" s="758" t="e">
        <f t="shared" si="187"/>
        <v>#N/A</v>
      </c>
      <c r="CW41" s="758" t="e">
        <f t="shared" si="187"/>
        <v>#N/A</v>
      </c>
      <c r="CX41" s="1130" t="e">
        <f t="shared" si="187"/>
        <v>#N/A</v>
      </c>
      <c r="CY41" s="757" t="e">
        <f t="shared" si="187"/>
        <v>#N/A</v>
      </c>
      <c r="CZ41" s="757" t="e">
        <f t="shared" si="187"/>
        <v>#N/A</v>
      </c>
      <c r="DA41" s="757" t="e">
        <f t="shared" si="187"/>
        <v>#N/A</v>
      </c>
      <c r="DB41" s="757" t="e">
        <f t="shared" si="187"/>
        <v>#N/A</v>
      </c>
      <c r="DC41" s="757" t="e">
        <f t="shared" si="187"/>
        <v>#N/A</v>
      </c>
      <c r="DD41" s="757" t="e">
        <f t="shared" si="187"/>
        <v>#N/A</v>
      </c>
      <c r="DE41" s="757" t="e">
        <f t="shared" si="187"/>
        <v>#N/A</v>
      </c>
      <c r="DF41" s="757" t="e">
        <f t="shared" si="187"/>
        <v>#N/A</v>
      </c>
      <c r="DG41" s="757" t="e">
        <f t="shared" si="187"/>
        <v>#N/A</v>
      </c>
      <c r="DH41" s="757" t="e">
        <f t="shared" si="187"/>
        <v>#N/A</v>
      </c>
      <c r="DI41" s="757" t="e">
        <f t="shared" si="187"/>
        <v>#N/A</v>
      </c>
      <c r="DJ41" s="757" t="e">
        <f t="shared" si="187"/>
        <v>#N/A</v>
      </c>
      <c r="DK41" s="757" t="e">
        <f t="shared" si="187"/>
        <v>#N/A</v>
      </c>
      <c r="DL41" s="757" t="e">
        <f t="shared" si="187"/>
        <v>#N/A</v>
      </c>
      <c r="DM41" s="757" t="e">
        <f t="shared" si="187"/>
        <v>#N/A</v>
      </c>
      <c r="DN41" s="757" t="e">
        <f t="shared" si="187"/>
        <v>#N/A</v>
      </c>
      <c r="DO41" s="757" t="e">
        <f t="shared" si="187"/>
        <v>#N/A</v>
      </c>
      <c r="DP41" s="757" t="e">
        <f t="shared" si="187"/>
        <v>#N/A</v>
      </c>
      <c r="DQ41" s="757" t="e">
        <f t="shared" si="187"/>
        <v>#N/A</v>
      </c>
      <c r="DR41" s="757" t="e">
        <f t="shared" si="187"/>
        <v>#N/A</v>
      </c>
      <c r="DS41" s="757" t="e">
        <f t="shared" si="187"/>
        <v>#N/A</v>
      </c>
      <c r="DT41" s="757" t="e">
        <f t="shared" si="187"/>
        <v>#N/A</v>
      </c>
      <c r="DU41" s="757" t="e">
        <f t="shared" si="187"/>
        <v>#N/A</v>
      </c>
      <c r="DV41" s="757" t="e">
        <f t="shared" si="187"/>
        <v>#N/A</v>
      </c>
      <c r="DW41" s="756" t="e">
        <f t="shared" si="187"/>
        <v>#N/A</v>
      </c>
    </row>
    <row r="42" spans="1:127" s="6" customFormat="1" x14ac:dyDescent="0.35">
      <c r="A42" s="273"/>
      <c r="B42" s="65" t="s">
        <v>1387</v>
      </c>
      <c r="C42" s="18"/>
      <c r="D42" s="18"/>
      <c r="E42" s="509"/>
      <c r="G42" s="218" t="s">
        <v>1412</v>
      </c>
      <c r="H42" s="65"/>
      <c r="I42" s="65"/>
      <c r="J42" s="65"/>
      <c r="K42" s="65"/>
      <c r="L42" s="65"/>
      <c r="M42" s="65"/>
      <c r="N42" s="65"/>
      <c r="O42" s="65"/>
      <c r="P42" s="65"/>
      <c r="Q42" s="65"/>
      <c r="R42" s="65"/>
      <c r="S42" s="65"/>
      <c r="T42" s="65"/>
      <c r="U42" s="65"/>
      <c r="V42" s="758" t="e">
        <f>SerieKarbonpris/1000*SerieCO2Utslipp_PersontogD</f>
        <v>#N/A</v>
      </c>
      <c r="W42" s="758" t="e">
        <f t="shared" ref="W42:BA42" si="188">SerieKarbonpris/1000*SerieCO2Utslipp_PersontogD</f>
        <v>#N/A</v>
      </c>
      <c r="X42" s="758" t="e">
        <f t="shared" si="188"/>
        <v>#N/A</v>
      </c>
      <c r="Y42" s="758" t="e">
        <f t="shared" si="188"/>
        <v>#N/A</v>
      </c>
      <c r="Z42" s="758" t="e">
        <f t="shared" si="188"/>
        <v>#N/A</v>
      </c>
      <c r="AA42" s="758" t="e">
        <f t="shared" si="188"/>
        <v>#N/A</v>
      </c>
      <c r="AB42" s="758" t="e">
        <f t="shared" si="188"/>
        <v>#N/A</v>
      </c>
      <c r="AC42" s="758" t="e">
        <f t="shared" si="188"/>
        <v>#N/A</v>
      </c>
      <c r="AD42" s="758" t="e">
        <f t="shared" si="188"/>
        <v>#N/A</v>
      </c>
      <c r="AE42" s="758" t="e">
        <f t="shared" si="188"/>
        <v>#N/A</v>
      </c>
      <c r="AF42" s="758" t="e">
        <f t="shared" si="188"/>
        <v>#N/A</v>
      </c>
      <c r="AG42" s="758" t="e">
        <f t="shared" si="188"/>
        <v>#N/A</v>
      </c>
      <c r="AH42" s="758" t="e">
        <f t="shared" si="188"/>
        <v>#N/A</v>
      </c>
      <c r="AI42" s="758" t="e">
        <f t="shared" si="188"/>
        <v>#N/A</v>
      </c>
      <c r="AJ42" s="758" t="e">
        <f t="shared" si="188"/>
        <v>#N/A</v>
      </c>
      <c r="AK42" s="758" t="e">
        <f t="shared" si="188"/>
        <v>#N/A</v>
      </c>
      <c r="AL42" s="758" t="e">
        <f t="shared" si="188"/>
        <v>#N/A</v>
      </c>
      <c r="AM42" s="758" t="e">
        <f t="shared" si="188"/>
        <v>#N/A</v>
      </c>
      <c r="AN42" s="758" t="e">
        <f t="shared" si="188"/>
        <v>#N/A</v>
      </c>
      <c r="AO42" s="758" t="e">
        <f t="shared" si="188"/>
        <v>#N/A</v>
      </c>
      <c r="AP42" s="758" t="e">
        <f t="shared" si="188"/>
        <v>#N/A</v>
      </c>
      <c r="AQ42" s="758" t="e">
        <f t="shared" si="188"/>
        <v>#N/A</v>
      </c>
      <c r="AR42" s="758" t="e">
        <f t="shared" si="188"/>
        <v>#N/A</v>
      </c>
      <c r="AS42" s="758" t="e">
        <f t="shared" si="188"/>
        <v>#N/A</v>
      </c>
      <c r="AT42" s="758" t="e">
        <f t="shared" si="188"/>
        <v>#N/A</v>
      </c>
      <c r="AU42" s="758" t="e">
        <f t="shared" si="188"/>
        <v>#N/A</v>
      </c>
      <c r="AV42" s="758" t="e">
        <f t="shared" si="188"/>
        <v>#N/A</v>
      </c>
      <c r="AW42" s="758" t="e">
        <f t="shared" si="188"/>
        <v>#N/A</v>
      </c>
      <c r="AX42" s="758" t="e">
        <f t="shared" si="188"/>
        <v>#N/A</v>
      </c>
      <c r="AY42" s="758" t="e">
        <f t="shared" si="188"/>
        <v>#N/A</v>
      </c>
      <c r="AZ42" s="758" t="e">
        <f t="shared" si="188"/>
        <v>#N/A</v>
      </c>
      <c r="BA42" s="758" t="e">
        <f t="shared" si="188"/>
        <v>#N/A</v>
      </c>
      <c r="BB42" s="758" t="e">
        <f t="shared" ref="BB42:CG42" si="189">SerieKarbonpris/1000*SerieCO2Utslipp_PersontogD</f>
        <v>#N/A</v>
      </c>
      <c r="BC42" s="758" t="e">
        <f t="shared" si="189"/>
        <v>#N/A</v>
      </c>
      <c r="BD42" s="758" t="e">
        <f t="shared" si="189"/>
        <v>#N/A</v>
      </c>
      <c r="BE42" s="758" t="e">
        <f t="shared" si="189"/>
        <v>#N/A</v>
      </c>
      <c r="BF42" s="758" t="e">
        <f t="shared" si="189"/>
        <v>#N/A</v>
      </c>
      <c r="BG42" s="758" t="e">
        <f t="shared" si="189"/>
        <v>#N/A</v>
      </c>
      <c r="BH42" s="758" t="e">
        <f t="shared" si="189"/>
        <v>#N/A</v>
      </c>
      <c r="BI42" s="758" t="e">
        <f t="shared" si="189"/>
        <v>#N/A</v>
      </c>
      <c r="BJ42" s="758" t="e">
        <f t="shared" si="189"/>
        <v>#N/A</v>
      </c>
      <c r="BK42" s="758" t="e">
        <f t="shared" si="189"/>
        <v>#N/A</v>
      </c>
      <c r="BL42" s="758" t="e">
        <f t="shared" si="189"/>
        <v>#N/A</v>
      </c>
      <c r="BM42" s="758" t="e">
        <f t="shared" si="189"/>
        <v>#N/A</v>
      </c>
      <c r="BN42" s="758" t="e">
        <f t="shared" si="189"/>
        <v>#N/A</v>
      </c>
      <c r="BO42" s="758" t="e">
        <f t="shared" si="189"/>
        <v>#N/A</v>
      </c>
      <c r="BP42" s="758" t="e">
        <f t="shared" si="189"/>
        <v>#N/A</v>
      </c>
      <c r="BQ42" s="758" t="e">
        <f t="shared" si="189"/>
        <v>#N/A</v>
      </c>
      <c r="BR42" s="758" t="e">
        <f t="shared" si="189"/>
        <v>#N/A</v>
      </c>
      <c r="BS42" s="758" t="e">
        <f t="shared" si="189"/>
        <v>#N/A</v>
      </c>
      <c r="BT42" s="758" t="e">
        <f t="shared" si="189"/>
        <v>#N/A</v>
      </c>
      <c r="BU42" s="758" t="e">
        <f t="shared" si="189"/>
        <v>#N/A</v>
      </c>
      <c r="BV42" s="758" t="e">
        <f t="shared" si="189"/>
        <v>#N/A</v>
      </c>
      <c r="BW42" s="758" t="e">
        <f t="shared" si="189"/>
        <v>#N/A</v>
      </c>
      <c r="BX42" s="758" t="e">
        <f t="shared" si="189"/>
        <v>#N/A</v>
      </c>
      <c r="BY42" s="758" t="e">
        <f t="shared" si="189"/>
        <v>#N/A</v>
      </c>
      <c r="BZ42" s="758" t="e">
        <f t="shared" si="189"/>
        <v>#N/A</v>
      </c>
      <c r="CA42" s="758" t="e">
        <f t="shared" si="189"/>
        <v>#N/A</v>
      </c>
      <c r="CB42" s="758" t="e">
        <f t="shared" si="189"/>
        <v>#N/A</v>
      </c>
      <c r="CC42" s="758" t="e">
        <f t="shared" si="189"/>
        <v>#N/A</v>
      </c>
      <c r="CD42" s="758" t="e">
        <f t="shared" si="189"/>
        <v>#N/A</v>
      </c>
      <c r="CE42" s="758" t="e">
        <f t="shared" si="189"/>
        <v>#N/A</v>
      </c>
      <c r="CF42" s="758" t="e">
        <f t="shared" si="189"/>
        <v>#N/A</v>
      </c>
      <c r="CG42" s="758" t="e">
        <f t="shared" si="189"/>
        <v>#N/A</v>
      </c>
      <c r="CH42" s="758" t="e">
        <f t="shared" ref="CH42:DW42" si="190">SerieKarbonpris/1000*SerieCO2Utslipp_PersontogD</f>
        <v>#N/A</v>
      </c>
      <c r="CI42" s="758" t="e">
        <f t="shared" si="190"/>
        <v>#N/A</v>
      </c>
      <c r="CJ42" s="758" t="e">
        <f t="shared" si="190"/>
        <v>#N/A</v>
      </c>
      <c r="CK42" s="758" t="e">
        <f t="shared" si="190"/>
        <v>#N/A</v>
      </c>
      <c r="CL42" s="758" t="e">
        <f t="shared" si="190"/>
        <v>#N/A</v>
      </c>
      <c r="CM42" s="758" t="e">
        <f t="shared" si="190"/>
        <v>#N/A</v>
      </c>
      <c r="CN42" s="758" t="e">
        <f t="shared" si="190"/>
        <v>#N/A</v>
      </c>
      <c r="CO42" s="758" t="e">
        <f t="shared" si="190"/>
        <v>#N/A</v>
      </c>
      <c r="CP42" s="758" t="e">
        <f t="shared" si="190"/>
        <v>#N/A</v>
      </c>
      <c r="CQ42" s="758" t="e">
        <f t="shared" si="190"/>
        <v>#N/A</v>
      </c>
      <c r="CR42" s="758" t="e">
        <f t="shared" si="190"/>
        <v>#N/A</v>
      </c>
      <c r="CS42" s="758" t="e">
        <f t="shared" si="190"/>
        <v>#N/A</v>
      </c>
      <c r="CT42" s="758" t="e">
        <f t="shared" si="190"/>
        <v>#N/A</v>
      </c>
      <c r="CU42" s="758" t="e">
        <f t="shared" si="190"/>
        <v>#N/A</v>
      </c>
      <c r="CV42" s="758" t="e">
        <f t="shared" si="190"/>
        <v>#N/A</v>
      </c>
      <c r="CW42" s="758" t="e">
        <f t="shared" si="190"/>
        <v>#N/A</v>
      </c>
      <c r="CX42" s="1130" t="e">
        <f t="shared" si="190"/>
        <v>#N/A</v>
      </c>
      <c r="CY42" s="757" t="e">
        <f t="shared" si="190"/>
        <v>#N/A</v>
      </c>
      <c r="CZ42" s="757" t="e">
        <f t="shared" si="190"/>
        <v>#N/A</v>
      </c>
      <c r="DA42" s="757" t="e">
        <f t="shared" si="190"/>
        <v>#N/A</v>
      </c>
      <c r="DB42" s="757" t="e">
        <f t="shared" si="190"/>
        <v>#N/A</v>
      </c>
      <c r="DC42" s="757" t="e">
        <f t="shared" si="190"/>
        <v>#N/A</v>
      </c>
      <c r="DD42" s="757" t="e">
        <f t="shared" si="190"/>
        <v>#N/A</v>
      </c>
      <c r="DE42" s="757" t="e">
        <f t="shared" si="190"/>
        <v>#N/A</v>
      </c>
      <c r="DF42" s="757" t="e">
        <f t="shared" si="190"/>
        <v>#N/A</v>
      </c>
      <c r="DG42" s="757" t="e">
        <f t="shared" si="190"/>
        <v>#N/A</v>
      </c>
      <c r="DH42" s="757" t="e">
        <f t="shared" si="190"/>
        <v>#N/A</v>
      </c>
      <c r="DI42" s="757" t="e">
        <f t="shared" si="190"/>
        <v>#N/A</v>
      </c>
      <c r="DJ42" s="757" t="e">
        <f t="shared" si="190"/>
        <v>#N/A</v>
      </c>
      <c r="DK42" s="757" t="e">
        <f t="shared" si="190"/>
        <v>#N/A</v>
      </c>
      <c r="DL42" s="757" t="e">
        <f t="shared" si="190"/>
        <v>#N/A</v>
      </c>
      <c r="DM42" s="757" t="e">
        <f t="shared" si="190"/>
        <v>#N/A</v>
      </c>
      <c r="DN42" s="757" t="e">
        <f t="shared" si="190"/>
        <v>#N/A</v>
      </c>
      <c r="DO42" s="757" t="e">
        <f t="shared" si="190"/>
        <v>#N/A</v>
      </c>
      <c r="DP42" s="757" t="e">
        <f t="shared" si="190"/>
        <v>#N/A</v>
      </c>
      <c r="DQ42" s="757" t="e">
        <f t="shared" si="190"/>
        <v>#N/A</v>
      </c>
      <c r="DR42" s="757" t="e">
        <f t="shared" si="190"/>
        <v>#N/A</v>
      </c>
      <c r="DS42" s="757" t="e">
        <f t="shared" si="190"/>
        <v>#N/A</v>
      </c>
      <c r="DT42" s="757" t="e">
        <f t="shared" si="190"/>
        <v>#N/A</v>
      </c>
      <c r="DU42" s="757" t="e">
        <f t="shared" si="190"/>
        <v>#N/A</v>
      </c>
      <c r="DV42" s="757" t="e">
        <f t="shared" si="190"/>
        <v>#N/A</v>
      </c>
      <c r="DW42" s="756" t="e">
        <f t="shared" si="190"/>
        <v>#N/A</v>
      </c>
    </row>
    <row r="43" spans="1:127" s="6" customFormat="1" x14ac:dyDescent="0.35">
      <c r="A43" s="273"/>
      <c r="B43" s="65" t="s">
        <v>1387</v>
      </c>
      <c r="C43" s="18"/>
      <c r="D43" s="18"/>
      <c r="E43" s="509"/>
      <c r="G43" s="218" t="s">
        <v>1413</v>
      </c>
      <c r="H43" s="65"/>
      <c r="I43" s="65"/>
      <c r="J43" s="65"/>
      <c r="K43" s="65"/>
      <c r="L43" s="65"/>
      <c r="M43" s="65"/>
      <c r="N43" s="65"/>
      <c r="O43" s="65"/>
      <c r="P43" s="65"/>
      <c r="Q43" s="65"/>
      <c r="R43" s="65"/>
      <c r="S43" s="65"/>
      <c r="T43" s="65"/>
      <c r="U43" s="65"/>
      <c r="V43" s="758" t="e">
        <f>SerieKarbonpris/1000*SerieCO2Utslipp_GodstogD</f>
        <v>#N/A</v>
      </c>
      <c r="W43" s="758" t="e">
        <f t="shared" ref="W43:BA43" si="191">SerieKarbonpris/1000*SerieCO2Utslipp_GodstogD</f>
        <v>#N/A</v>
      </c>
      <c r="X43" s="758" t="e">
        <f t="shared" si="191"/>
        <v>#N/A</v>
      </c>
      <c r="Y43" s="758" t="e">
        <f t="shared" si="191"/>
        <v>#N/A</v>
      </c>
      <c r="Z43" s="758" t="e">
        <f t="shared" si="191"/>
        <v>#N/A</v>
      </c>
      <c r="AA43" s="758" t="e">
        <f t="shared" si="191"/>
        <v>#N/A</v>
      </c>
      <c r="AB43" s="758" t="e">
        <f t="shared" si="191"/>
        <v>#N/A</v>
      </c>
      <c r="AC43" s="758" t="e">
        <f t="shared" si="191"/>
        <v>#N/A</v>
      </c>
      <c r="AD43" s="758" t="e">
        <f t="shared" si="191"/>
        <v>#N/A</v>
      </c>
      <c r="AE43" s="758" t="e">
        <f t="shared" si="191"/>
        <v>#N/A</v>
      </c>
      <c r="AF43" s="758" t="e">
        <f t="shared" si="191"/>
        <v>#N/A</v>
      </c>
      <c r="AG43" s="758" t="e">
        <f t="shared" si="191"/>
        <v>#N/A</v>
      </c>
      <c r="AH43" s="758" t="e">
        <f t="shared" si="191"/>
        <v>#N/A</v>
      </c>
      <c r="AI43" s="758" t="e">
        <f t="shared" si="191"/>
        <v>#N/A</v>
      </c>
      <c r="AJ43" s="758" t="e">
        <f t="shared" si="191"/>
        <v>#N/A</v>
      </c>
      <c r="AK43" s="758" t="e">
        <f t="shared" si="191"/>
        <v>#N/A</v>
      </c>
      <c r="AL43" s="758" t="e">
        <f t="shared" si="191"/>
        <v>#N/A</v>
      </c>
      <c r="AM43" s="758" t="e">
        <f t="shared" si="191"/>
        <v>#N/A</v>
      </c>
      <c r="AN43" s="758" t="e">
        <f t="shared" si="191"/>
        <v>#N/A</v>
      </c>
      <c r="AO43" s="758" t="e">
        <f t="shared" si="191"/>
        <v>#N/A</v>
      </c>
      <c r="AP43" s="758" t="e">
        <f t="shared" si="191"/>
        <v>#N/A</v>
      </c>
      <c r="AQ43" s="758" t="e">
        <f t="shared" si="191"/>
        <v>#N/A</v>
      </c>
      <c r="AR43" s="758" t="e">
        <f t="shared" si="191"/>
        <v>#N/A</v>
      </c>
      <c r="AS43" s="758" t="e">
        <f t="shared" si="191"/>
        <v>#N/A</v>
      </c>
      <c r="AT43" s="758" t="e">
        <f t="shared" si="191"/>
        <v>#N/A</v>
      </c>
      <c r="AU43" s="758" t="e">
        <f t="shared" si="191"/>
        <v>#N/A</v>
      </c>
      <c r="AV43" s="758" t="e">
        <f t="shared" si="191"/>
        <v>#N/A</v>
      </c>
      <c r="AW43" s="758" t="e">
        <f t="shared" si="191"/>
        <v>#N/A</v>
      </c>
      <c r="AX43" s="758" t="e">
        <f t="shared" si="191"/>
        <v>#N/A</v>
      </c>
      <c r="AY43" s="758" t="e">
        <f t="shared" si="191"/>
        <v>#N/A</v>
      </c>
      <c r="AZ43" s="758" t="e">
        <f t="shared" si="191"/>
        <v>#N/A</v>
      </c>
      <c r="BA43" s="758" t="e">
        <f t="shared" si="191"/>
        <v>#N/A</v>
      </c>
      <c r="BB43" s="758" t="e">
        <f t="shared" ref="BB43:CG43" si="192">SerieKarbonpris/1000*SerieCO2Utslipp_GodstogD</f>
        <v>#N/A</v>
      </c>
      <c r="BC43" s="758" t="e">
        <f t="shared" si="192"/>
        <v>#N/A</v>
      </c>
      <c r="BD43" s="758" t="e">
        <f t="shared" si="192"/>
        <v>#N/A</v>
      </c>
      <c r="BE43" s="758" t="e">
        <f t="shared" si="192"/>
        <v>#N/A</v>
      </c>
      <c r="BF43" s="758" t="e">
        <f t="shared" si="192"/>
        <v>#N/A</v>
      </c>
      <c r="BG43" s="758" t="e">
        <f t="shared" si="192"/>
        <v>#N/A</v>
      </c>
      <c r="BH43" s="758" t="e">
        <f t="shared" si="192"/>
        <v>#N/A</v>
      </c>
      <c r="BI43" s="758" t="e">
        <f t="shared" si="192"/>
        <v>#N/A</v>
      </c>
      <c r="BJ43" s="758" t="e">
        <f t="shared" si="192"/>
        <v>#N/A</v>
      </c>
      <c r="BK43" s="758" t="e">
        <f t="shared" si="192"/>
        <v>#N/A</v>
      </c>
      <c r="BL43" s="758" t="e">
        <f t="shared" si="192"/>
        <v>#N/A</v>
      </c>
      <c r="BM43" s="758" t="e">
        <f t="shared" si="192"/>
        <v>#N/A</v>
      </c>
      <c r="BN43" s="758" t="e">
        <f t="shared" si="192"/>
        <v>#N/A</v>
      </c>
      <c r="BO43" s="758" t="e">
        <f t="shared" si="192"/>
        <v>#N/A</v>
      </c>
      <c r="BP43" s="758" t="e">
        <f t="shared" si="192"/>
        <v>#N/A</v>
      </c>
      <c r="BQ43" s="758" t="e">
        <f t="shared" si="192"/>
        <v>#N/A</v>
      </c>
      <c r="BR43" s="758" t="e">
        <f t="shared" si="192"/>
        <v>#N/A</v>
      </c>
      <c r="BS43" s="758" t="e">
        <f t="shared" si="192"/>
        <v>#N/A</v>
      </c>
      <c r="BT43" s="758" t="e">
        <f t="shared" si="192"/>
        <v>#N/A</v>
      </c>
      <c r="BU43" s="758" t="e">
        <f t="shared" si="192"/>
        <v>#N/A</v>
      </c>
      <c r="BV43" s="758" t="e">
        <f t="shared" si="192"/>
        <v>#N/A</v>
      </c>
      <c r="BW43" s="758" t="e">
        <f t="shared" si="192"/>
        <v>#N/A</v>
      </c>
      <c r="BX43" s="758" t="e">
        <f t="shared" si="192"/>
        <v>#N/A</v>
      </c>
      <c r="BY43" s="758" t="e">
        <f t="shared" si="192"/>
        <v>#N/A</v>
      </c>
      <c r="BZ43" s="758" t="e">
        <f t="shared" si="192"/>
        <v>#N/A</v>
      </c>
      <c r="CA43" s="758" t="e">
        <f t="shared" si="192"/>
        <v>#N/A</v>
      </c>
      <c r="CB43" s="758" t="e">
        <f t="shared" si="192"/>
        <v>#N/A</v>
      </c>
      <c r="CC43" s="758" t="e">
        <f t="shared" si="192"/>
        <v>#N/A</v>
      </c>
      <c r="CD43" s="758" t="e">
        <f t="shared" si="192"/>
        <v>#N/A</v>
      </c>
      <c r="CE43" s="758" t="e">
        <f t="shared" si="192"/>
        <v>#N/A</v>
      </c>
      <c r="CF43" s="758" t="e">
        <f t="shared" si="192"/>
        <v>#N/A</v>
      </c>
      <c r="CG43" s="758" t="e">
        <f t="shared" si="192"/>
        <v>#N/A</v>
      </c>
      <c r="CH43" s="758" t="e">
        <f t="shared" ref="CH43:DW43" si="193">SerieKarbonpris/1000*SerieCO2Utslipp_GodstogD</f>
        <v>#N/A</v>
      </c>
      <c r="CI43" s="758" t="e">
        <f t="shared" si="193"/>
        <v>#N/A</v>
      </c>
      <c r="CJ43" s="758" t="e">
        <f t="shared" si="193"/>
        <v>#N/A</v>
      </c>
      <c r="CK43" s="758" t="e">
        <f t="shared" si="193"/>
        <v>#N/A</v>
      </c>
      <c r="CL43" s="758" t="e">
        <f t="shared" si="193"/>
        <v>#N/A</v>
      </c>
      <c r="CM43" s="758" t="e">
        <f t="shared" si="193"/>
        <v>#N/A</v>
      </c>
      <c r="CN43" s="758" t="e">
        <f t="shared" si="193"/>
        <v>#N/A</v>
      </c>
      <c r="CO43" s="758" t="e">
        <f t="shared" si="193"/>
        <v>#N/A</v>
      </c>
      <c r="CP43" s="758" t="e">
        <f t="shared" si="193"/>
        <v>#N/A</v>
      </c>
      <c r="CQ43" s="758" t="e">
        <f t="shared" si="193"/>
        <v>#N/A</v>
      </c>
      <c r="CR43" s="758" t="e">
        <f t="shared" si="193"/>
        <v>#N/A</v>
      </c>
      <c r="CS43" s="758" t="e">
        <f t="shared" si="193"/>
        <v>#N/A</v>
      </c>
      <c r="CT43" s="758" t="e">
        <f t="shared" si="193"/>
        <v>#N/A</v>
      </c>
      <c r="CU43" s="758" t="e">
        <f t="shared" si="193"/>
        <v>#N/A</v>
      </c>
      <c r="CV43" s="758" t="e">
        <f t="shared" si="193"/>
        <v>#N/A</v>
      </c>
      <c r="CW43" s="758" t="e">
        <f t="shared" si="193"/>
        <v>#N/A</v>
      </c>
      <c r="CX43" s="1130" t="e">
        <f t="shared" si="193"/>
        <v>#N/A</v>
      </c>
      <c r="CY43" s="757" t="e">
        <f t="shared" si="193"/>
        <v>#N/A</v>
      </c>
      <c r="CZ43" s="757" t="e">
        <f t="shared" si="193"/>
        <v>#N/A</v>
      </c>
      <c r="DA43" s="757" t="e">
        <f t="shared" si="193"/>
        <v>#N/A</v>
      </c>
      <c r="DB43" s="757" t="e">
        <f t="shared" si="193"/>
        <v>#N/A</v>
      </c>
      <c r="DC43" s="757" t="e">
        <f t="shared" si="193"/>
        <v>#N/A</v>
      </c>
      <c r="DD43" s="757" t="e">
        <f t="shared" si="193"/>
        <v>#N/A</v>
      </c>
      <c r="DE43" s="757" t="e">
        <f t="shared" si="193"/>
        <v>#N/A</v>
      </c>
      <c r="DF43" s="757" t="e">
        <f t="shared" si="193"/>
        <v>#N/A</v>
      </c>
      <c r="DG43" s="757" t="e">
        <f t="shared" si="193"/>
        <v>#N/A</v>
      </c>
      <c r="DH43" s="757" t="e">
        <f t="shared" si="193"/>
        <v>#N/A</v>
      </c>
      <c r="DI43" s="757" t="e">
        <f t="shared" si="193"/>
        <v>#N/A</v>
      </c>
      <c r="DJ43" s="757" t="e">
        <f t="shared" si="193"/>
        <v>#N/A</v>
      </c>
      <c r="DK43" s="757" t="e">
        <f t="shared" si="193"/>
        <v>#N/A</v>
      </c>
      <c r="DL43" s="757" t="e">
        <f t="shared" si="193"/>
        <v>#N/A</v>
      </c>
      <c r="DM43" s="757" t="e">
        <f t="shared" si="193"/>
        <v>#N/A</v>
      </c>
      <c r="DN43" s="757" t="e">
        <f t="shared" si="193"/>
        <v>#N/A</v>
      </c>
      <c r="DO43" s="757" t="e">
        <f t="shared" si="193"/>
        <v>#N/A</v>
      </c>
      <c r="DP43" s="757" t="e">
        <f t="shared" si="193"/>
        <v>#N/A</v>
      </c>
      <c r="DQ43" s="757" t="e">
        <f t="shared" si="193"/>
        <v>#N/A</v>
      </c>
      <c r="DR43" s="757" t="e">
        <f t="shared" si="193"/>
        <v>#N/A</v>
      </c>
      <c r="DS43" s="757" t="e">
        <f t="shared" si="193"/>
        <v>#N/A</v>
      </c>
      <c r="DT43" s="757" t="e">
        <f t="shared" si="193"/>
        <v>#N/A</v>
      </c>
      <c r="DU43" s="757" t="e">
        <f t="shared" si="193"/>
        <v>#N/A</v>
      </c>
      <c r="DV43" s="757" t="e">
        <f t="shared" si="193"/>
        <v>#N/A</v>
      </c>
      <c r="DW43" s="756" t="e">
        <f t="shared" si="193"/>
        <v>#N/A</v>
      </c>
    </row>
    <row r="44" spans="1:127" s="6" customFormat="1" x14ac:dyDescent="0.35">
      <c r="A44" s="273"/>
      <c r="B44" s="65" t="s">
        <v>1387</v>
      </c>
      <c r="C44" s="18"/>
      <c r="D44" s="18"/>
      <c r="E44" s="509"/>
      <c r="G44" s="218" t="s">
        <v>1414</v>
      </c>
      <c r="H44" s="65"/>
      <c r="I44" s="65"/>
      <c r="J44" s="65"/>
      <c r="K44" s="65"/>
      <c r="L44" s="65"/>
      <c r="M44" s="65"/>
      <c r="N44" s="65"/>
      <c r="O44" s="65"/>
      <c r="P44" s="65"/>
      <c r="Q44" s="65"/>
      <c r="R44" s="65"/>
      <c r="S44" s="65"/>
      <c r="T44" s="65"/>
      <c r="U44" s="65"/>
      <c r="V44" s="758" t="e">
        <f>SerieKarbonpris/1000*SerieCO2Utslipp_Fly</f>
        <v>#N/A</v>
      </c>
      <c r="W44" s="758" t="e">
        <f t="shared" ref="W44:BA44" si="194">SerieKarbonpris/1000*SerieCO2Utslipp_Fly</f>
        <v>#N/A</v>
      </c>
      <c r="X44" s="758" t="e">
        <f t="shared" si="194"/>
        <v>#N/A</v>
      </c>
      <c r="Y44" s="758" t="e">
        <f t="shared" si="194"/>
        <v>#N/A</v>
      </c>
      <c r="Z44" s="758" t="e">
        <f t="shared" si="194"/>
        <v>#N/A</v>
      </c>
      <c r="AA44" s="758" t="e">
        <f t="shared" si="194"/>
        <v>#N/A</v>
      </c>
      <c r="AB44" s="758" t="e">
        <f t="shared" si="194"/>
        <v>#N/A</v>
      </c>
      <c r="AC44" s="758" t="e">
        <f t="shared" si="194"/>
        <v>#N/A</v>
      </c>
      <c r="AD44" s="758" t="e">
        <f t="shared" si="194"/>
        <v>#N/A</v>
      </c>
      <c r="AE44" s="758" t="e">
        <f t="shared" si="194"/>
        <v>#N/A</v>
      </c>
      <c r="AF44" s="758" t="e">
        <f t="shared" si="194"/>
        <v>#N/A</v>
      </c>
      <c r="AG44" s="758" t="e">
        <f t="shared" si="194"/>
        <v>#N/A</v>
      </c>
      <c r="AH44" s="758" t="e">
        <f t="shared" si="194"/>
        <v>#N/A</v>
      </c>
      <c r="AI44" s="758" t="e">
        <f t="shared" si="194"/>
        <v>#N/A</v>
      </c>
      <c r="AJ44" s="758" t="e">
        <f t="shared" si="194"/>
        <v>#N/A</v>
      </c>
      <c r="AK44" s="758" t="e">
        <f t="shared" si="194"/>
        <v>#N/A</v>
      </c>
      <c r="AL44" s="758" t="e">
        <f t="shared" si="194"/>
        <v>#N/A</v>
      </c>
      <c r="AM44" s="758" t="e">
        <f t="shared" si="194"/>
        <v>#N/A</v>
      </c>
      <c r="AN44" s="758" t="e">
        <f t="shared" si="194"/>
        <v>#N/A</v>
      </c>
      <c r="AO44" s="758" t="e">
        <f t="shared" si="194"/>
        <v>#N/A</v>
      </c>
      <c r="AP44" s="758" t="e">
        <f t="shared" si="194"/>
        <v>#N/A</v>
      </c>
      <c r="AQ44" s="758" t="e">
        <f t="shared" si="194"/>
        <v>#N/A</v>
      </c>
      <c r="AR44" s="758" t="e">
        <f>SerieKarbonpris/1000*SerieCO2Utslipp_Fly</f>
        <v>#N/A</v>
      </c>
      <c r="AS44" s="758" t="e">
        <f t="shared" si="194"/>
        <v>#N/A</v>
      </c>
      <c r="AT44" s="758" t="e">
        <f t="shared" si="194"/>
        <v>#N/A</v>
      </c>
      <c r="AU44" s="758" t="e">
        <f t="shared" si="194"/>
        <v>#N/A</v>
      </c>
      <c r="AV44" s="758" t="e">
        <f t="shared" si="194"/>
        <v>#N/A</v>
      </c>
      <c r="AW44" s="758" t="e">
        <f t="shared" si="194"/>
        <v>#N/A</v>
      </c>
      <c r="AX44" s="758" t="e">
        <f>SerieKarbonpris/1000*SerieCO2Utslipp_Fly</f>
        <v>#N/A</v>
      </c>
      <c r="AY44" s="758" t="e">
        <f t="shared" si="194"/>
        <v>#N/A</v>
      </c>
      <c r="AZ44" s="758" t="e">
        <f t="shared" si="194"/>
        <v>#N/A</v>
      </c>
      <c r="BA44" s="758" t="e">
        <f t="shared" si="194"/>
        <v>#N/A</v>
      </c>
      <c r="BB44" s="758" t="e">
        <f t="shared" ref="BB44:CG44" si="195">SerieKarbonpris/1000*SerieCO2Utslipp_Fly</f>
        <v>#N/A</v>
      </c>
      <c r="BC44" s="758" t="e">
        <f t="shared" si="195"/>
        <v>#N/A</v>
      </c>
      <c r="BD44" s="758" t="e">
        <f t="shared" si="195"/>
        <v>#N/A</v>
      </c>
      <c r="BE44" s="758" t="e">
        <f t="shared" si="195"/>
        <v>#N/A</v>
      </c>
      <c r="BF44" s="758" t="e">
        <f t="shared" si="195"/>
        <v>#N/A</v>
      </c>
      <c r="BG44" s="758" t="e">
        <f t="shared" si="195"/>
        <v>#N/A</v>
      </c>
      <c r="BH44" s="758" t="e">
        <f t="shared" si="195"/>
        <v>#N/A</v>
      </c>
      <c r="BI44" s="758" t="e">
        <f t="shared" si="195"/>
        <v>#N/A</v>
      </c>
      <c r="BJ44" s="758" t="e">
        <f t="shared" si="195"/>
        <v>#N/A</v>
      </c>
      <c r="BK44" s="758" t="e">
        <f t="shared" si="195"/>
        <v>#N/A</v>
      </c>
      <c r="BL44" s="758" t="e">
        <f t="shared" si="195"/>
        <v>#N/A</v>
      </c>
      <c r="BM44" s="758" t="e">
        <f t="shared" si="195"/>
        <v>#N/A</v>
      </c>
      <c r="BN44" s="758" t="e">
        <f t="shared" si="195"/>
        <v>#N/A</v>
      </c>
      <c r="BO44" s="758" t="e">
        <f t="shared" si="195"/>
        <v>#N/A</v>
      </c>
      <c r="BP44" s="758" t="e">
        <f t="shared" si="195"/>
        <v>#N/A</v>
      </c>
      <c r="BQ44" s="758" t="e">
        <f t="shared" si="195"/>
        <v>#N/A</v>
      </c>
      <c r="BR44" s="758" t="e">
        <f t="shared" si="195"/>
        <v>#N/A</v>
      </c>
      <c r="BS44" s="758" t="e">
        <f t="shared" si="195"/>
        <v>#N/A</v>
      </c>
      <c r="BT44" s="758" t="e">
        <f t="shared" si="195"/>
        <v>#N/A</v>
      </c>
      <c r="BU44" s="758" t="e">
        <f t="shared" si="195"/>
        <v>#N/A</v>
      </c>
      <c r="BV44" s="758" t="e">
        <f t="shared" si="195"/>
        <v>#N/A</v>
      </c>
      <c r="BW44" s="758" t="e">
        <f t="shared" si="195"/>
        <v>#N/A</v>
      </c>
      <c r="BX44" s="758" t="e">
        <f t="shared" si="195"/>
        <v>#N/A</v>
      </c>
      <c r="BY44" s="758" t="e">
        <f t="shared" si="195"/>
        <v>#N/A</v>
      </c>
      <c r="BZ44" s="758" t="e">
        <f t="shared" si="195"/>
        <v>#N/A</v>
      </c>
      <c r="CA44" s="758" t="e">
        <f t="shared" si="195"/>
        <v>#N/A</v>
      </c>
      <c r="CB44" s="758" t="e">
        <f t="shared" si="195"/>
        <v>#N/A</v>
      </c>
      <c r="CC44" s="758" t="e">
        <f t="shared" si="195"/>
        <v>#N/A</v>
      </c>
      <c r="CD44" s="758" t="e">
        <f t="shared" si="195"/>
        <v>#N/A</v>
      </c>
      <c r="CE44" s="758" t="e">
        <f t="shared" si="195"/>
        <v>#N/A</v>
      </c>
      <c r="CF44" s="758" t="e">
        <f t="shared" si="195"/>
        <v>#N/A</v>
      </c>
      <c r="CG44" s="758" t="e">
        <f t="shared" si="195"/>
        <v>#N/A</v>
      </c>
      <c r="CH44" s="758" t="e">
        <f t="shared" ref="CH44:DW44" si="196">SerieKarbonpris/1000*SerieCO2Utslipp_Fly</f>
        <v>#N/A</v>
      </c>
      <c r="CI44" s="758" t="e">
        <f t="shared" si="196"/>
        <v>#N/A</v>
      </c>
      <c r="CJ44" s="758" t="e">
        <f t="shared" si="196"/>
        <v>#N/A</v>
      </c>
      <c r="CK44" s="758" t="e">
        <f t="shared" si="196"/>
        <v>#N/A</v>
      </c>
      <c r="CL44" s="758" t="e">
        <f t="shared" si="196"/>
        <v>#N/A</v>
      </c>
      <c r="CM44" s="758" t="e">
        <f t="shared" si="196"/>
        <v>#N/A</v>
      </c>
      <c r="CN44" s="758" t="e">
        <f t="shared" si="196"/>
        <v>#N/A</v>
      </c>
      <c r="CO44" s="758" t="e">
        <f t="shared" si="196"/>
        <v>#N/A</v>
      </c>
      <c r="CP44" s="758" t="e">
        <f t="shared" si="196"/>
        <v>#N/A</v>
      </c>
      <c r="CQ44" s="758" t="e">
        <f t="shared" si="196"/>
        <v>#N/A</v>
      </c>
      <c r="CR44" s="758" t="e">
        <f t="shared" si="196"/>
        <v>#N/A</v>
      </c>
      <c r="CS44" s="758" t="e">
        <f t="shared" si="196"/>
        <v>#N/A</v>
      </c>
      <c r="CT44" s="758" t="e">
        <f t="shared" si="196"/>
        <v>#N/A</v>
      </c>
      <c r="CU44" s="758" t="e">
        <f t="shared" si="196"/>
        <v>#N/A</v>
      </c>
      <c r="CV44" s="758" t="e">
        <f t="shared" si="196"/>
        <v>#N/A</v>
      </c>
      <c r="CW44" s="758" t="e">
        <f t="shared" si="196"/>
        <v>#N/A</v>
      </c>
      <c r="CX44" s="1130" t="e">
        <f t="shared" si="196"/>
        <v>#N/A</v>
      </c>
      <c r="CY44" s="757" t="e">
        <f t="shared" si="196"/>
        <v>#N/A</v>
      </c>
      <c r="CZ44" s="757" t="e">
        <f t="shared" si="196"/>
        <v>#N/A</v>
      </c>
      <c r="DA44" s="757" t="e">
        <f t="shared" si="196"/>
        <v>#N/A</v>
      </c>
      <c r="DB44" s="757" t="e">
        <f t="shared" si="196"/>
        <v>#N/A</v>
      </c>
      <c r="DC44" s="757" t="e">
        <f t="shared" si="196"/>
        <v>#N/A</v>
      </c>
      <c r="DD44" s="757" t="e">
        <f t="shared" si="196"/>
        <v>#N/A</v>
      </c>
      <c r="DE44" s="757" t="e">
        <f t="shared" si="196"/>
        <v>#N/A</v>
      </c>
      <c r="DF44" s="757" t="e">
        <f t="shared" si="196"/>
        <v>#N/A</v>
      </c>
      <c r="DG44" s="757" t="e">
        <f t="shared" si="196"/>
        <v>#N/A</v>
      </c>
      <c r="DH44" s="757" t="e">
        <f t="shared" si="196"/>
        <v>#N/A</v>
      </c>
      <c r="DI44" s="757" t="e">
        <f t="shared" si="196"/>
        <v>#N/A</v>
      </c>
      <c r="DJ44" s="757" t="e">
        <f t="shared" si="196"/>
        <v>#N/A</v>
      </c>
      <c r="DK44" s="757" t="e">
        <f t="shared" si="196"/>
        <v>#N/A</v>
      </c>
      <c r="DL44" s="757" t="e">
        <f t="shared" si="196"/>
        <v>#N/A</v>
      </c>
      <c r="DM44" s="757" t="e">
        <f t="shared" si="196"/>
        <v>#N/A</v>
      </c>
      <c r="DN44" s="757" t="e">
        <f t="shared" si="196"/>
        <v>#N/A</v>
      </c>
      <c r="DO44" s="757" t="e">
        <f t="shared" si="196"/>
        <v>#N/A</v>
      </c>
      <c r="DP44" s="757" t="e">
        <f t="shared" si="196"/>
        <v>#N/A</v>
      </c>
      <c r="DQ44" s="757" t="e">
        <f t="shared" si="196"/>
        <v>#N/A</v>
      </c>
      <c r="DR44" s="757" t="e">
        <f t="shared" si="196"/>
        <v>#N/A</v>
      </c>
      <c r="DS44" s="757" t="e">
        <f t="shared" si="196"/>
        <v>#N/A</v>
      </c>
      <c r="DT44" s="757" t="e">
        <f t="shared" si="196"/>
        <v>#N/A</v>
      </c>
      <c r="DU44" s="757" t="e">
        <f t="shared" si="196"/>
        <v>#N/A</v>
      </c>
      <c r="DV44" s="757" t="e">
        <f t="shared" si="196"/>
        <v>#N/A</v>
      </c>
      <c r="DW44" s="756" t="e">
        <f t="shared" si="196"/>
        <v>#N/A</v>
      </c>
    </row>
    <row r="45" spans="1:127" s="6" customFormat="1" x14ac:dyDescent="0.35">
      <c r="A45" s="273"/>
      <c r="B45" s="65" t="s">
        <v>1387</v>
      </c>
      <c r="C45" s="18"/>
      <c r="D45" s="18"/>
      <c r="E45" s="509"/>
      <c r="G45" s="218" t="s">
        <v>1415</v>
      </c>
      <c r="H45" s="65"/>
      <c r="I45" s="1195"/>
      <c r="J45" s="65"/>
      <c r="K45" s="65"/>
      <c r="L45" s="65"/>
      <c r="M45" s="65"/>
      <c r="N45" s="65"/>
      <c r="O45" s="65"/>
      <c r="P45" s="65"/>
      <c r="Q45" s="65"/>
      <c r="R45" s="65"/>
      <c r="S45" s="65"/>
      <c r="T45" s="65"/>
      <c r="U45" s="65"/>
      <c r="V45" s="757" t="e">
        <f>SerieKarbonpris/1000*SerieCO2Utslipp_Skip</f>
        <v>#N/A</v>
      </c>
      <c r="W45" s="757" t="e">
        <f t="shared" ref="W45:BA45" si="197">SerieKarbonpris/1000*SerieCO2Utslipp_Skip</f>
        <v>#N/A</v>
      </c>
      <c r="X45" s="757" t="e">
        <f t="shared" si="197"/>
        <v>#N/A</v>
      </c>
      <c r="Y45" s="757" t="e">
        <f t="shared" si="197"/>
        <v>#N/A</v>
      </c>
      <c r="Z45" s="757" t="e">
        <f t="shared" si="197"/>
        <v>#N/A</v>
      </c>
      <c r="AA45" s="757" t="e">
        <f t="shared" si="197"/>
        <v>#N/A</v>
      </c>
      <c r="AB45" s="757" t="e">
        <f t="shared" si="197"/>
        <v>#N/A</v>
      </c>
      <c r="AC45" s="757" t="e">
        <f t="shared" si="197"/>
        <v>#N/A</v>
      </c>
      <c r="AD45" s="757" t="e">
        <f t="shared" si="197"/>
        <v>#N/A</v>
      </c>
      <c r="AE45" s="757" t="e">
        <f t="shared" si="197"/>
        <v>#N/A</v>
      </c>
      <c r="AF45" s="757" t="e">
        <f t="shared" si="197"/>
        <v>#N/A</v>
      </c>
      <c r="AG45" s="757" t="e">
        <f t="shared" si="197"/>
        <v>#N/A</v>
      </c>
      <c r="AH45" s="757" t="e">
        <f t="shared" si="197"/>
        <v>#N/A</v>
      </c>
      <c r="AI45" s="757" t="e">
        <f t="shared" si="197"/>
        <v>#N/A</v>
      </c>
      <c r="AJ45" s="757" t="e">
        <f t="shared" si="197"/>
        <v>#N/A</v>
      </c>
      <c r="AK45" s="757" t="e">
        <f t="shared" si="197"/>
        <v>#N/A</v>
      </c>
      <c r="AL45" s="757" t="e">
        <f t="shared" si="197"/>
        <v>#N/A</v>
      </c>
      <c r="AM45" s="757" t="e">
        <f t="shared" si="197"/>
        <v>#N/A</v>
      </c>
      <c r="AN45" s="757" t="e">
        <f t="shared" si="197"/>
        <v>#N/A</v>
      </c>
      <c r="AO45" s="757" t="e">
        <f t="shared" si="197"/>
        <v>#N/A</v>
      </c>
      <c r="AP45" s="757" t="e">
        <f t="shared" si="197"/>
        <v>#N/A</v>
      </c>
      <c r="AQ45" s="757" t="e">
        <f t="shared" si="197"/>
        <v>#N/A</v>
      </c>
      <c r="AR45" s="757" t="e">
        <f>SerieKarbonpris/1000*SerieCO2Utslipp_Skip</f>
        <v>#N/A</v>
      </c>
      <c r="AS45" s="757" t="e">
        <f t="shared" si="197"/>
        <v>#N/A</v>
      </c>
      <c r="AT45" s="757" t="e">
        <f t="shared" si="197"/>
        <v>#N/A</v>
      </c>
      <c r="AU45" s="757" t="e">
        <f t="shared" si="197"/>
        <v>#N/A</v>
      </c>
      <c r="AV45" s="757" t="e">
        <f t="shared" si="197"/>
        <v>#N/A</v>
      </c>
      <c r="AW45" s="757" t="e">
        <f t="shared" si="197"/>
        <v>#N/A</v>
      </c>
      <c r="AX45" s="757" t="e">
        <f>SerieKarbonpris/1000*SerieCO2Utslipp_Skip</f>
        <v>#N/A</v>
      </c>
      <c r="AY45" s="757" t="e">
        <f t="shared" si="197"/>
        <v>#N/A</v>
      </c>
      <c r="AZ45" s="757" t="e">
        <f t="shared" si="197"/>
        <v>#N/A</v>
      </c>
      <c r="BA45" s="757" t="e">
        <f t="shared" si="197"/>
        <v>#N/A</v>
      </c>
      <c r="BB45" s="757" t="e">
        <f t="shared" ref="BB45:CG45" si="198">SerieKarbonpris/1000*SerieCO2Utslipp_Skip</f>
        <v>#N/A</v>
      </c>
      <c r="BC45" s="757" t="e">
        <f t="shared" si="198"/>
        <v>#N/A</v>
      </c>
      <c r="BD45" s="757" t="e">
        <f>SerieKarbonpris/1000*SerieCO2Utslipp_Skip</f>
        <v>#N/A</v>
      </c>
      <c r="BE45" s="757" t="e">
        <f t="shared" si="198"/>
        <v>#N/A</v>
      </c>
      <c r="BF45" s="757" t="e">
        <f t="shared" si="198"/>
        <v>#N/A</v>
      </c>
      <c r="BG45" s="757" t="e">
        <f t="shared" si="198"/>
        <v>#N/A</v>
      </c>
      <c r="BH45" s="757" t="e">
        <f t="shared" si="198"/>
        <v>#N/A</v>
      </c>
      <c r="BI45" s="757" t="e">
        <f t="shared" si="198"/>
        <v>#N/A</v>
      </c>
      <c r="BJ45" s="757" t="e">
        <f t="shared" si="198"/>
        <v>#N/A</v>
      </c>
      <c r="BK45" s="757" t="e">
        <f t="shared" si="198"/>
        <v>#N/A</v>
      </c>
      <c r="BL45" s="757" t="e">
        <f t="shared" si="198"/>
        <v>#N/A</v>
      </c>
      <c r="BM45" s="757" t="e">
        <f t="shared" si="198"/>
        <v>#N/A</v>
      </c>
      <c r="BN45" s="757" t="e">
        <f t="shared" si="198"/>
        <v>#N/A</v>
      </c>
      <c r="BO45" s="757" t="e">
        <f t="shared" si="198"/>
        <v>#N/A</v>
      </c>
      <c r="BP45" s="757" t="e">
        <f t="shared" si="198"/>
        <v>#N/A</v>
      </c>
      <c r="BQ45" s="757" t="e">
        <f t="shared" si="198"/>
        <v>#N/A</v>
      </c>
      <c r="BR45" s="757" t="e">
        <f t="shared" si="198"/>
        <v>#N/A</v>
      </c>
      <c r="BS45" s="757" t="e">
        <f t="shared" si="198"/>
        <v>#N/A</v>
      </c>
      <c r="BT45" s="757" t="e">
        <f t="shared" si="198"/>
        <v>#N/A</v>
      </c>
      <c r="BU45" s="757" t="e">
        <f t="shared" si="198"/>
        <v>#N/A</v>
      </c>
      <c r="BV45" s="757" t="e">
        <f t="shared" si="198"/>
        <v>#N/A</v>
      </c>
      <c r="BW45" s="757" t="e">
        <f t="shared" si="198"/>
        <v>#N/A</v>
      </c>
      <c r="BX45" s="757" t="e">
        <f t="shared" si="198"/>
        <v>#N/A</v>
      </c>
      <c r="BY45" s="757" t="e">
        <f t="shared" si="198"/>
        <v>#N/A</v>
      </c>
      <c r="BZ45" s="757" t="e">
        <f t="shared" si="198"/>
        <v>#N/A</v>
      </c>
      <c r="CA45" s="757" t="e">
        <f t="shared" si="198"/>
        <v>#N/A</v>
      </c>
      <c r="CB45" s="757" t="e">
        <f t="shared" si="198"/>
        <v>#N/A</v>
      </c>
      <c r="CC45" s="757" t="e">
        <f t="shared" si="198"/>
        <v>#N/A</v>
      </c>
      <c r="CD45" s="757" t="e">
        <f t="shared" si="198"/>
        <v>#N/A</v>
      </c>
      <c r="CE45" s="757" t="e">
        <f t="shared" si="198"/>
        <v>#N/A</v>
      </c>
      <c r="CF45" s="757" t="e">
        <f t="shared" si="198"/>
        <v>#N/A</v>
      </c>
      <c r="CG45" s="757" t="e">
        <f t="shared" si="198"/>
        <v>#N/A</v>
      </c>
      <c r="CH45" s="757" t="e">
        <f t="shared" ref="CH45:DW45" si="199">SerieKarbonpris/1000*SerieCO2Utslipp_Skip</f>
        <v>#N/A</v>
      </c>
      <c r="CI45" s="757" t="e">
        <f t="shared" si="199"/>
        <v>#N/A</v>
      </c>
      <c r="CJ45" s="757" t="e">
        <f t="shared" si="199"/>
        <v>#N/A</v>
      </c>
      <c r="CK45" s="757" t="e">
        <f t="shared" si="199"/>
        <v>#N/A</v>
      </c>
      <c r="CL45" s="757" t="e">
        <f t="shared" si="199"/>
        <v>#N/A</v>
      </c>
      <c r="CM45" s="757" t="e">
        <f t="shared" si="199"/>
        <v>#N/A</v>
      </c>
      <c r="CN45" s="757" t="e">
        <f t="shared" si="199"/>
        <v>#N/A</v>
      </c>
      <c r="CO45" s="757" t="e">
        <f t="shared" si="199"/>
        <v>#N/A</v>
      </c>
      <c r="CP45" s="757" t="e">
        <f t="shared" si="199"/>
        <v>#N/A</v>
      </c>
      <c r="CQ45" s="757" t="e">
        <f t="shared" si="199"/>
        <v>#N/A</v>
      </c>
      <c r="CR45" s="757" t="e">
        <f t="shared" si="199"/>
        <v>#N/A</v>
      </c>
      <c r="CS45" s="757" t="e">
        <f t="shared" si="199"/>
        <v>#N/A</v>
      </c>
      <c r="CT45" s="757" t="e">
        <f t="shared" si="199"/>
        <v>#N/A</v>
      </c>
      <c r="CU45" s="757" t="e">
        <f t="shared" si="199"/>
        <v>#N/A</v>
      </c>
      <c r="CV45" s="757" t="e">
        <f t="shared" si="199"/>
        <v>#N/A</v>
      </c>
      <c r="CW45" s="757" t="e">
        <f t="shared" si="199"/>
        <v>#N/A</v>
      </c>
      <c r="CX45" s="1127" t="e">
        <f t="shared" si="199"/>
        <v>#N/A</v>
      </c>
      <c r="CY45" s="757" t="e">
        <f t="shared" si="199"/>
        <v>#N/A</v>
      </c>
      <c r="CZ45" s="757" t="e">
        <f t="shared" si="199"/>
        <v>#N/A</v>
      </c>
      <c r="DA45" s="757" t="e">
        <f t="shared" si="199"/>
        <v>#N/A</v>
      </c>
      <c r="DB45" s="757" t="e">
        <f t="shared" si="199"/>
        <v>#N/A</v>
      </c>
      <c r="DC45" s="757" t="e">
        <f t="shared" si="199"/>
        <v>#N/A</v>
      </c>
      <c r="DD45" s="757" t="e">
        <f t="shared" si="199"/>
        <v>#N/A</v>
      </c>
      <c r="DE45" s="757" t="e">
        <f t="shared" si="199"/>
        <v>#N/A</v>
      </c>
      <c r="DF45" s="757" t="e">
        <f t="shared" si="199"/>
        <v>#N/A</v>
      </c>
      <c r="DG45" s="757" t="e">
        <f t="shared" si="199"/>
        <v>#N/A</v>
      </c>
      <c r="DH45" s="757" t="e">
        <f t="shared" si="199"/>
        <v>#N/A</v>
      </c>
      <c r="DI45" s="757" t="e">
        <f t="shared" si="199"/>
        <v>#N/A</v>
      </c>
      <c r="DJ45" s="757" t="e">
        <f t="shared" si="199"/>
        <v>#N/A</v>
      </c>
      <c r="DK45" s="757" t="e">
        <f t="shared" si="199"/>
        <v>#N/A</v>
      </c>
      <c r="DL45" s="757" t="e">
        <f t="shared" si="199"/>
        <v>#N/A</v>
      </c>
      <c r="DM45" s="757" t="e">
        <f t="shared" si="199"/>
        <v>#N/A</v>
      </c>
      <c r="DN45" s="757" t="e">
        <f t="shared" si="199"/>
        <v>#N/A</v>
      </c>
      <c r="DO45" s="757" t="e">
        <f t="shared" si="199"/>
        <v>#N/A</v>
      </c>
      <c r="DP45" s="757" t="e">
        <f t="shared" si="199"/>
        <v>#N/A</v>
      </c>
      <c r="DQ45" s="757" t="e">
        <f t="shared" si="199"/>
        <v>#N/A</v>
      </c>
      <c r="DR45" s="757" t="e">
        <f t="shared" si="199"/>
        <v>#N/A</v>
      </c>
      <c r="DS45" s="757" t="e">
        <f t="shared" si="199"/>
        <v>#N/A</v>
      </c>
      <c r="DT45" s="757" t="e">
        <f t="shared" si="199"/>
        <v>#N/A</v>
      </c>
      <c r="DU45" s="757" t="e">
        <f t="shared" si="199"/>
        <v>#N/A</v>
      </c>
      <c r="DV45" s="757" t="e">
        <f t="shared" si="199"/>
        <v>#N/A</v>
      </c>
      <c r="DW45" s="756" t="e">
        <f t="shared" si="199"/>
        <v>#N/A</v>
      </c>
    </row>
    <row r="46" spans="1:127" s="6" customFormat="1" x14ac:dyDescent="0.35">
      <c r="A46" s="273"/>
      <c r="B46" s="65" t="s">
        <v>1387</v>
      </c>
      <c r="C46" s="18"/>
      <c r="D46" s="18"/>
      <c r="E46" s="509"/>
      <c r="G46" s="218" t="s">
        <v>1416</v>
      </c>
      <c r="H46" s="65"/>
      <c r="I46" s="65"/>
      <c r="J46" s="65"/>
      <c r="K46" s="65"/>
      <c r="L46" s="65"/>
      <c r="M46" s="65"/>
      <c r="N46" s="65"/>
      <c r="O46" s="65"/>
      <c r="P46" s="65"/>
      <c r="Q46" s="65"/>
      <c r="R46" s="65"/>
      <c r="S46" s="65"/>
      <c r="T46" s="65"/>
      <c r="U46" s="65"/>
      <c r="V46" s="757" t="e">
        <f t="shared" ref="V46:BA46" si="200">SerieCO2avgiftsbane/1000*SerieCO2utslipp_Bil</f>
        <v>#N/A</v>
      </c>
      <c r="W46" s="757" t="e">
        <f t="shared" si="200"/>
        <v>#N/A</v>
      </c>
      <c r="X46" s="757" t="e">
        <f t="shared" si="200"/>
        <v>#N/A</v>
      </c>
      <c r="Y46" s="757" t="e">
        <f t="shared" si="200"/>
        <v>#N/A</v>
      </c>
      <c r="Z46" s="757" t="e">
        <f t="shared" si="200"/>
        <v>#N/A</v>
      </c>
      <c r="AA46" s="757" t="e">
        <f t="shared" si="200"/>
        <v>#N/A</v>
      </c>
      <c r="AB46" s="757" t="e">
        <f t="shared" si="200"/>
        <v>#N/A</v>
      </c>
      <c r="AC46" s="757" t="e">
        <f t="shared" si="200"/>
        <v>#N/A</v>
      </c>
      <c r="AD46" s="757" t="e">
        <f t="shared" si="200"/>
        <v>#N/A</v>
      </c>
      <c r="AE46" s="757" t="e">
        <f t="shared" si="200"/>
        <v>#N/A</v>
      </c>
      <c r="AF46" s="757" t="e">
        <f t="shared" si="200"/>
        <v>#N/A</v>
      </c>
      <c r="AG46" s="757" t="e">
        <f t="shared" si="200"/>
        <v>#N/A</v>
      </c>
      <c r="AH46" s="757" t="e">
        <f t="shared" si="200"/>
        <v>#N/A</v>
      </c>
      <c r="AI46" s="757" t="e">
        <f t="shared" si="200"/>
        <v>#N/A</v>
      </c>
      <c r="AJ46" s="757" t="e">
        <f t="shared" si="200"/>
        <v>#N/A</v>
      </c>
      <c r="AK46" s="757" t="e">
        <f t="shared" si="200"/>
        <v>#N/A</v>
      </c>
      <c r="AL46" s="757" t="e">
        <f t="shared" si="200"/>
        <v>#N/A</v>
      </c>
      <c r="AM46" s="757" t="e">
        <f t="shared" si="200"/>
        <v>#N/A</v>
      </c>
      <c r="AN46" s="757" t="e">
        <f t="shared" si="200"/>
        <v>#N/A</v>
      </c>
      <c r="AO46" s="757" t="e">
        <f t="shared" si="200"/>
        <v>#N/A</v>
      </c>
      <c r="AP46" s="757" t="e">
        <f t="shared" si="200"/>
        <v>#N/A</v>
      </c>
      <c r="AQ46" s="757" t="e">
        <f t="shared" si="200"/>
        <v>#N/A</v>
      </c>
      <c r="AR46" s="757" t="e">
        <f t="shared" si="200"/>
        <v>#N/A</v>
      </c>
      <c r="AS46" s="757" t="e">
        <f t="shared" si="200"/>
        <v>#N/A</v>
      </c>
      <c r="AT46" s="757" t="e">
        <f t="shared" si="200"/>
        <v>#N/A</v>
      </c>
      <c r="AU46" s="757" t="e">
        <f t="shared" si="200"/>
        <v>#N/A</v>
      </c>
      <c r="AV46" s="757" t="e">
        <f t="shared" si="200"/>
        <v>#N/A</v>
      </c>
      <c r="AW46" s="757" t="e">
        <f t="shared" si="200"/>
        <v>#N/A</v>
      </c>
      <c r="AX46" s="757" t="e">
        <f t="shared" si="200"/>
        <v>#N/A</v>
      </c>
      <c r="AY46" s="757" t="e">
        <f t="shared" si="200"/>
        <v>#N/A</v>
      </c>
      <c r="AZ46" s="757" t="e">
        <f t="shared" si="200"/>
        <v>#N/A</v>
      </c>
      <c r="BA46" s="757" t="e">
        <f t="shared" si="200"/>
        <v>#N/A</v>
      </c>
      <c r="BB46" s="757" t="e">
        <f t="shared" ref="BB46:CG46" si="201">SerieCO2avgiftsbane/1000*SerieCO2utslipp_Bil</f>
        <v>#N/A</v>
      </c>
      <c r="BC46" s="757" t="e">
        <f t="shared" si="201"/>
        <v>#N/A</v>
      </c>
      <c r="BD46" s="757" t="e">
        <f t="shared" si="201"/>
        <v>#N/A</v>
      </c>
      <c r="BE46" s="757" t="e">
        <f t="shared" si="201"/>
        <v>#N/A</v>
      </c>
      <c r="BF46" s="757" t="e">
        <f t="shared" si="201"/>
        <v>#N/A</v>
      </c>
      <c r="BG46" s="757" t="e">
        <f t="shared" si="201"/>
        <v>#N/A</v>
      </c>
      <c r="BH46" s="757" t="e">
        <f t="shared" si="201"/>
        <v>#N/A</v>
      </c>
      <c r="BI46" s="757" t="e">
        <f t="shared" si="201"/>
        <v>#N/A</v>
      </c>
      <c r="BJ46" s="757" t="e">
        <f t="shared" si="201"/>
        <v>#N/A</v>
      </c>
      <c r="BK46" s="757" t="e">
        <f t="shared" si="201"/>
        <v>#N/A</v>
      </c>
      <c r="BL46" s="757" t="e">
        <f t="shared" si="201"/>
        <v>#N/A</v>
      </c>
      <c r="BM46" s="757" t="e">
        <f t="shared" si="201"/>
        <v>#N/A</v>
      </c>
      <c r="BN46" s="757" t="e">
        <f t="shared" si="201"/>
        <v>#N/A</v>
      </c>
      <c r="BO46" s="757" t="e">
        <f t="shared" si="201"/>
        <v>#N/A</v>
      </c>
      <c r="BP46" s="757" t="e">
        <f t="shared" si="201"/>
        <v>#N/A</v>
      </c>
      <c r="BQ46" s="757" t="e">
        <f t="shared" si="201"/>
        <v>#N/A</v>
      </c>
      <c r="BR46" s="757" t="e">
        <f t="shared" si="201"/>
        <v>#N/A</v>
      </c>
      <c r="BS46" s="757" t="e">
        <f t="shared" si="201"/>
        <v>#N/A</v>
      </c>
      <c r="BT46" s="757" t="e">
        <f t="shared" si="201"/>
        <v>#N/A</v>
      </c>
      <c r="BU46" s="757" t="e">
        <f t="shared" si="201"/>
        <v>#N/A</v>
      </c>
      <c r="BV46" s="757" t="e">
        <f t="shared" si="201"/>
        <v>#N/A</v>
      </c>
      <c r="BW46" s="757" t="e">
        <f t="shared" si="201"/>
        <v>#N/A</v>
      </c>
      <c r="BX46" s="757" t="e">
        <f t="shared" si="201"/>
        <v>#N/A</v>
      </c>
      <c r="BY46" s="757" t="e">
        <f t="shared" si="201"/>
        <v>#N/A</v>
      </c>
      <c r="BZ46" s="757" t="e">
        <f t="shared" si="201"/>
        <v>#N/A</v>
      </c>
      <c r="CA46" s="757" t="e">
        <f t="shared" si="201"/>
        <v>#N/A</v>
      </c>
      <c r="CB46" s="757" t="e">
        <f t="shared" si="201"/>
        <v>#N/A</v>
      </c>
      <c r="CC46" s="757" t="e">
        <f t="shared" si="201"/>
        <v>#N/A</v>
      </c>
      <c r="CD46" s="757" t="e">
        <f t="shared" si="201"/>
        <v>#N/A</v>
      </c>
      <c r="CE46" s="757" t="e">
        <f t="shared" si="201"/>
        <v>#N/A</v>
      </c>
      <c r="CF46" s="757" t="e">
        <f t="shared" si="201"/>
        <v>#N/A</v>
      </c>
      <c r="CG46" s="757" t="e">
        <f t="shared" si="201"/>
        <v>#N/A</v>
      </c>
      <c r="CH46" s="757" t="e">
        <f t="shared" ref="CH46:DW46" si="202">SerieCO2avgiftsbane/1000*SerieCO2utslipp_Bil</f>
        <v>#N/A</v>
      </c>
      <c r="CI46" s="757" t="e">
        <f t="shared" si="202"/>
        <v>#N/A</v>
      </c>
      <c r="CJ46" s="757" t="e">
        <f t="shared" si="202"/>
        <v>#N/A</v>
      </c>
      <c r="CK46" s="757" t="e">
        <f t="shared" si="202"/>
        <v>#N/A</v>
      </c>
      <c r="CL46" s="757" t="e">
        <f t="shared" si="202"/>
        <v>#N/A</v>
      </c>
      <c r="CM46" s="757" t="e">
        <f t="shared" si="202"/>
        <v>#N/A</v>
      </c>
      <c r="CN46" s="757" t="e">
        <f t="shared" si="202"/>
        <v>#N/A</v>
      </c>
      <c r="CO46" s="757" t="e">
        <f t="shared" si="202"/>
        <v>#N/A</v>
      </c>
      <c r="CP46" s="757" t="e">
        <f t="shared" si="202"/>
        <v>#N/A</v>
      </c>
      <c r="CQ46" s="757" t="e">
        <f t="shared" si="202"/>
        <v>#N/A</v>
      </c>
      <c r="CR46" s="757" t="e">
        <f t="shared" si="202"/>
        <v>#N/A</v>
      </c>
      <c r="CS46" s="757" t="e">
        <f t="shared" si="202"/>
        <v>#N/A</v>
      </c>
      <c r="CT46" s="757" t="e">
        <f t="shared" si="202"/>
        <v>#N/A</v>
      </c>
      <c r="CU46" s="757" t="e">
        <f t="shared" si="202"/>
        <v>#N/A</v>
      </c>
      <c r="CV46" s="757" t="e">
        <f t="shared" si="202"/>
        <v>#N/A</v>
      </c>
      <c r="CW46" s="757" t="e">
        <f t="shared" si="202"/>
        <v>#N/A</v>
      </c>
      <c r="CX46" s="1127" t="e">
        <f t="shared" si="202"/>
        <v>#N/A</v>
      </c>
      <c r="CY46" s="757" t="e">
        <f t="shared" si="202"/>
        <v>#N/A</v>
      </c>
      <c r="CZ46" s="757" t="e">
        <f t="shared" si="202"/>
        <v>#N/A</v>
      </c>
      <c r="DA46" s="757" t="e">
        <f t="shared" si="202"/>
        <v>#N/A</v>
      </c>
      <c r="DB46" s="757" t="e">
        <f t="shared" si="202"/>
        <v>#N/A</v>
      </c>
      <c r="DC46" s="757" t="e">
        <f t="shared" si="202"/>
        <v>#N/A</v>
      </c>
      <c r="DD46" s="757" t="e">
        <f t="shared" si="202"/>
        <v>#N/A</v>
      </c>
      <c r="DE46" s="757" t="e">
        <f t="shared" si="202"/>
        <v>#N/A</v>
      </c>
      <c r="DF46" s="757" t="e">
        <f t="shared" si="202"/>
        <v>#N/A</v>
      </c>
      <c r="DG46" s="757" t="e">
        <f t="shared" si="202"/>
        <v>#N/A</v>
      </c>
      <c r="DH46" s="757" t="e">
        <f t="shared" si="202"/>
        <v>#N/A</v>
      </c>
      <c r="DI46" s="757" t="e">
        <f t="shared" si="202"/>
        <v>#N/A</v>
      </c>
      <c r="DJ46" s="757" t="e">
        <f t="shared" si="202"/>
        <v>#N/A</v>
      </c>
      <c r="DK46" s="757" t="e">
        <f t="shared" si="202"/>
        <v>#N/A</v>
      </c>
      <c r="DL46" s="757" t="e">
        <f t="shared" si="202"/>
        <v>#N/A</v>
      </c>
      <c r="DM46" s="757" t="e">
        <f t="shared" si="202"/>
        <v>#N/A</v>
      </c>
      <c r="DN46" s="757" t="e">
        <f t="shared" si="202"/>
        <v>#N/A</v>
      </c>
      <c r="DO46" s="757" t="e">
        <f t="shared" si="202"/>
        <v>#N/A</v>
      </c>
      <c r="DP46" s="757" t="e">
        <f t="shared" si="202"/>
        <v>#N/A</v>
      </c>
      <c r="DQ46" s="757" t="e">
        <f t="shared" si="202"/>
        <v>#N/A</v>
      </c>
      <c r="DR46" s="757" t="e">
        <f t="shared" si="202"/>
        <v>#N/A</v>
      </c>
      <c r="DS46" s="757" t="e">
        <f t="shared" si="202"/>
        <v>#N/A</v>
      </c>
      <c r="DT46" s="757" t="e">
        <f t="shared" si="202"/>
        <v>#N/A</v>
      </c>
      <c r="DU46" s="757" t="e">
        <f t="shared" si="202"/>
        <v>#N/A</v>
      </c>
      <c r="DV46" s="757" t="e">
        <f t="shared" si="202"/>
        <v>#N/A</v>
      </c>
      <c r="DW46" s="756" t="e">
        <f t="shared" si="202"/>
        <v>#N/A</v>
      </c>
    </row>
    <row r="47" spans="1:127" s="6" customFormat="1" x14ac:dyDescent="0.35">
      <c r="A47" s="273"/>
      <c r="B47" s="65" t="s">
        <v>1387</v>
      </c>
      <c r="C47" s="18"/>
      <c r="D47" s="18"/>
      <c r="E47" s="509"/>
      <c r="G47" s="218" t="s">
        <v>1417</v>
      </c>
      <c r="H47" s="65"/>
      <c r="I47" s="65"/>
      <c r="J47" s="65"/>
      <c r="K47" s="65"/>
      <c r="L47" s="65"/>
      <c r="M47" s="65"/>
      <c r="N47" s="65"/>
      <c r="O47" s="65"/>
      <c r="P47" s="65"/>
      <c r="Q47" s="65"/>
      <c r="R47" s="65"/>
      <c r="S47" s="65"/>
      <c r="T47" s="65"/>
      <c r="U47" s="65"/>
      <c r="V47" s="757" t="e">
        <f>SerieCO2avgiftsbane/1000*SerieCO2Utslipp_Lastebil</f>
        <v>#N/A</v>
      </c>
      <c r="W47" s="757" t="e">
        <f t="shared" ref="W47:BA47" si="203">SerieCO2avgiftsbane/1000*SerieCO2Utslipp_Lastebil</f>
        <v>#N/A</v>
      </c>
      <c r="X47" s="757" t="e">
        <f t="shared" si="203"/>
        <v>#N/A</v>
      </c>
      <c r="Y47" s="757" t="e">
        <f t="shared" si="203"/>
        <v>#N/A</v>
      </c>
      <c r="Z47" s="757" t="e">
        <f t="shared" si="203"/>
        <v>#N/A</v>
      </c>
      <c r="AA47" s="757" t="e">
        <f t="shared" si="203"/>
        <v>#N/A</v>
      </c>
      <c r="AB47" s="757" t="e">
        <f t="shared" si="203"/>
        <v>#N/A</v>
      </c>
      <c r="AC47" s="757" t="e">
        <f t="shared" si="203"/>
        <v>#N/A</v>
      </c>
      <c r="AD47" s="757" t="e">
        <f t="shared" si="203"/>
        <v>#N/A</v>
      </c>
      <c r="AE47" s="757" t="e">
        <f t="shared" si="203"/>
        <v>#N/A</v>
      </c>
      <c r="AF47" s="757" t="e">
        <f t="shared" si="203"/>
        <v>#N/A</v>
      </c>
      <c r="AG47" s="757" t="e">
        <f t="shared" si="203"/>
        <v>#N/A</v>
      </c>
      <c r="AH47" s="757" t="e">
        <f t="shared" si="203"/>
        <v>#N/A</v>
      </c>
      <c r="AI47" s="757" t="e">
        <f t="shared" si="203"/>
        <v>#N/A</v>
      </c>
      <c r="AJ47" s="757" t="e">
        <f t="shared" si="203"/>
        <v>#N/A</v>
      </c>
      <c r="AK47" s="757" t="e">
        <f t="shared" si="203"/>
        <v>#N/A</v>
      </c>
      <c r="AL47" s="757" t="e">
        <f t="shared" si="203"/>
        <v>#N/A</v>
      </c>
      <c r="AM47" s="757" t="e">
        <f t="shared" si="203"/>
        <v>#N/A</v>
      </c>
      <c r="AN47" s="757" t="e">
        <f t="shared" si="203"/>
        <v>#N/A</v>
      </c>
      <c r="AO47" s="757" t="e">
        <f t="shared" si="203"/>
        <v>#N/A</v>
      </c>
      <c r="AP47" s="757" t="e">
        <f t="shared" si="203"/>
        <v>#N/A</v>
      </c>
      <c r="AQ47" s="757" t="e">
        <f t="shared" si="203"/>
        <v>#N/A</v>
      </c>
      <c r="AR47" s="757" t="e">
        <f t="shared" si="203"/>
        <v>#N/A</v>
      </c>
      <c r="AS47" s="757" t="e">
        <f t="shared" si="203"/>
        <v>#N/A</v>
      </c>
      <c r="AT47" s="757" t="e">
        <f t="shared" si="203"/>
        <v>#N/A</v>
      </c>
      <c r="AU47" s="757" t="e">
        <f t="shared" si="203"/>
        <v>#N/A</v>
      </c>
      <c r="AV47" s="757" t="e">
        <f t="shared" si="203"/>
        <v>#N/A</v>
      </c>
      <c r="AW47" s="757" t="e">
        <f t="shared" si="203"/>
        <v>#N/A</v>
      </c>
      <c r="AX47" s="757" t="e">
        <f t="shared" si="203"/>
        <v>#N/A</v>
      </c>
      <c r="AY47" s="757" t="e">
        <f t="shared" si="203"/>
        <v>#N/A</v>
      </c>
      <c r="AZ47" s="757" t="e">
        <f t="shared" si="203"/>
        <v>#N/A</v>
      </c>
      <c r="BA47" s="757" t="e">
        <f t="shared" si="203"/>
        <v>#N/A</v>
      </c>
      <c r="BB47" s="757" t="e">
        <f t="shared" ref="BB47:CG47" si="204">SerieCO2avgiftsbane/1000*SerieCO2Utslipp_Lastebil</f>
        <v>#N/A</v>
      </c>
      <c r="BC47" s="757" t="e">
        <f t="shared" si="204"/>
        <v>#N/A</v>
      </c>
      <c r="BD47" s="757" t="e">
        <f t="shared" si="204"/>
        <v>#N/A</v>
      </c>
      <c r="BE47" s="757" t="e">
        <f t="shared" si="204"/>
        <v>#N/A</v>
      </c>
      <c r="BF47" s="757" t="e">
        <f t="shared" si="204"/>
        <v>#N/A</v>
      </c>
      <c r="BG47" s="757" t="e">
        <f t="shared" si="204"/>
        <v>#N/A</v>
      </c>
      <c r="BH47" s="757" t="e">
        <f t="shared" si="204"/>
        <v>#N/A</v>
      </c>
      <c r="BI47" s="757" t="e">
        <f t="shared" si="204"/>
        <v>#N/A</v>
      </c>
      <c r="BJ47" s="757" t="e">
        <f t="shared" si="204"/>
        <v>#N/A</v>
      </c>
      <c r="BK47" s="757" t="e">
        <f t="shared" si="204"/>
        <v>#N/A</v>
      </c>
      <c r="BL47" s="757" t="e">
        <f t="shared" si="204"/>
        <v>#N/A</v>
      </c>
      <c r="BM47" s="757" t="e">
        <f t="shared" si="204"/>
        <v>#N/A</v>
      </c>
      <c r="BN47" s="757" t="e">
        <f t="shared" si="204"/>
        <v>#N/A</v>
      </c>
      <c r="BO47" s="757" t="e">
        <f t="shared" si="204"/>
        <v>#N/A</v>
      </c>
      <c r="BP47" s="757" t="e">
        <f t="shared" si="204"/>
        <v>#N/A</v>
      </c>
      <c r="BQ47" s="757" t="e">
        <f t="shared" si="204"/>
        <v>#N/A</v>
      </c>
      <c r="BR47" s="757" t="e">
        <f t="shared" si="204"/>
        <v>#N/A</v>
      </c>
      <c r="BS47" s="757" t="e">
        <f t="shared" si="204"/>
        <v>#N/A</v>
      </c>
      <c r="BT47" s="757" t="e">
        <f t="shared" si="204"/>
        <v>#N/A</v>
      </c>
      <c r="BU47" s="757" t="e">
        <f t="shared" si="204"/>
        <v>#N/A</v>
      </c>
      <c r="BV47" s="757" t="e">
        <f t="shared" si="204"/>
        <v>#N/A</v>
      </c>
      <c r="BW47" s="757" t="e">
        <f t="shared" si="204"/>
        <v>#N/A</v>
      </c>
      <c r="BX47" s="757" t="e">
        <f t="shared" si="204"/>
        <v>#N/A</v>
      </c>
      <c r="BY47" s="757" t="e">
        <f t="shared" si="204"/>
        <v>#N/A</v>
      </c>
      <c r="BZ47" s="757" t="e">
        <f t="shared" si="204"/>
        <v>#N/A</v>
      </c>
      <c r="CA47" s="757" t="e">
        <f t="shared" si="204"/>
        <v>#N/A</v>
      </c>
      <c r="CB47" s="757" t="e">
        <f t="shared" si="204"/>
        <v>#N/A</v>
      </c>
      <c r="CC47" s="757" t="e">
        <f t="shared" si="204"/>
        <v>#N/A</v>
      </c>
      <c r="CD47" s="757" t="e">
        <f t="shared" si="204"/>
        <v>#N/A</v>
      </c>
      <c r="CE47" s="757" t="e">
        <f t="shared" si="204"/>
        <v>#N/A</v>
      </c>
      <c r="CF47" s="757" t="e">
        <f t="shared" si="204"/>
        <v>#N/A</v>
      </c>
      <c r="CG47" s="757" t="e">
        <f t="shared" si="204"/>
        <v>#N/A</v>
      </c>
      <c r="CH47" s="757" t="e">
        <f t="shared" ref="CH47:DW47" si="205">SerieCO2avgiftsbane/1000*SerieCO2Utslipp_Lastebil</f>
        <v>#N/A</v>
      </c>
      <c r="CI47" s="757" t="e">
        <f t="shared" si="205"/>
        <v>#N/A</v>
      </c>
      <c r="CJ47" s="757" t="e">
        <f t="shared" si="205"/>
        <v>#N/A</v>
      </c>
      <c r="CK47" s="757" t="e">
        <f t="shared" si="205"/>
        <v>#N/A</v>
      </c>
      <c r="CL47" s="757" t="e">
        <f t="shared" si="205"/>
        <v>#N/A</v>
      </c>
      <c r="CM47" s="757" t="e">
        <f t="shared" si="205"/>
        <v>#N/A</v>
      </c>
      <c r="CN47" s="757" t="e">
        <f t="shared" si="205"/>
        <v>#N/A</v>
      </c>
      <c r="CO47" s="757" t="e">
        <f t="shared" si="205"/>
        <v>#N/A</v>
      </c>
      <c r="CP47" s="757" t="e">
        <f t="shared" si="205"/>
        <v>#N/A</v>
      </c>
      <c r="CQ47" s="757" t="e">
        <f t="shared" si="205"/>
        <v>#N/A</v>
      </c>
      <c r="CR47" s="757" t="e">
        <f t="shared" si="205"/>
        <v>#N/A</v>
      </c>
      <c r="CS47" s="757" t="e">
        <f t="shared" si="205"/>
        <v>#N/A</v>
      </c>
      <c r="CT47" s="757" t="e">
        <f t="shared" si="205"/>
        <v>#N/A</v>
      </c>
      <c r="CU47" s="757" t="e">
        <f t="shared" si="205"/>
        <v>#N/A</v>
      </c>
      <c r="CV47" s="757" t="e">
        <f t="shared" si="205"/>
        <v>#N/A</v>
      </c>
      <c r="CW47" s="757" t="e">
        <f t="shared" si="205"/>
        <v>#N/A</v>
      </c>
      <c r="CX47" s="1127" t="e">
        <f t="shared" si="205"/>
        <v>#N/A</v>
      </c>
      <c r="CY47" s="757" t="e">
        <f t="shared" si="205"/>
        <v>#N/A</v>
      </c>
      <c r="CZ47" s="757" t="e">
        <f t="shared" si="205"/>
        <v>#N/A</v>
      </c>
      <c r="DA47" s="757" t="e">
        <f t="shared" si="205"/>
        <v>#N/A</v>
      </c>
      <c r="DB47" s="757" t="e">
        <f t="shared" si="205"/>
        <v>#N/A</v>
      </c>
      <c r="DC47" s="757" t="e">
        <f t="shared" si="205"/>
        <v>#N/A</v>
      </c>
      <c r="DD47" s="757" t="e">
        <f t="shared" si="205"/>
        <v>#N/A</v>
      </c>
      <c r="DE47" s="757" t="e">
        <f t="shared" si="205"/>
        <v>#N/A</v>
      </c>
      <c r="DF47" s="757" t="e">
        <f t="shared" si="205"/>
        <v>#N/A</v>
      </c>
      <c r="DG47" s="757" t="e">
        <f t="shared" si="205"/>
        <v>#N/A</v>
      </c>
      <c r="DH47" s="757" t="e">
        <f t="shared" si="205"/>
        <v>#N/A</v>
      </c>
      <c r="DI47" s="757" t="e">
        <f t="shared" si="205"/>
        <v>#N/A</v>
      </c>
      <c r="DJ47" s="757" t="e">
        <f t="shared" si="205"/>
        <v>#N/A</v>
      </c>
      <c r="DK47" s="757" t="e">
        <f t="shared" si="205"/>
        <v>#N/A</v>
      </c>
      <c r="DL47" s="757" t="e">
        <f t="shared" si="205"/>
        <v>#N/A</v>
      </c>
      <c r="DM47" s="757" t="e">
        <f t="shared" si="205"/>
        <v>#N/A</v>
      </c>
      <c r="DN47" s="757" t="e">
        <f t="shared" si="205"/>
        <v>#N/A</v>
      </c>
      <c r="DO47" s="757" t="e">
        <f t="shared" si="205"/>
        <v>#N/A</v>
      </c>
      <c r="DP47" s="757" t="e">
        <f t="shared" si="205"/>
        <v>#N/A</v>
      </c>
      <c r="DQ47" s="757" t="e">
        <f t="shared" si="205"/>
        <v>#N/A</v>
      </c>
      <c r="DR47" s="757" t="e">
        <f t="shared" si="205"/>
        <v>#N/A</v>
      </c>
      <c r="DS47" s="757" t="e">
        <f t="shared" si="205"/>
        <v>#N/A</v>
      </c>
      <c r="DT47" s="757" t="e">
        <f t="shared" si="205"/>
        <v>#N/A</v>
      </c>
      <c r="DU47" s="757" t="e">
        <f t="shared" si="205"/>
        <v>#N/A</v>
      </c>
      <c r="DV47" s="757" t="e">
        <f t="shared" si="205"/>
        <v>#N/A</v>
      </c>
      <c r="DW47" s="756" t="e">
        <f t="shared" si="205"/>
        <v>#N/A</v>
      </c>
    </row>
    <row r="48" spans="1:127" s="6" customFormat="1" x14ac:dyDescent="0.35">
      <c r="A48" s="273"/>
      <c r="B48" s="65" t="s">
        <v>1387</v>
      </c>
      <c r="C48" s="18"/>
      <c r="D48" s="18"/>
      <c r="E48" s="509"/>
      <c r="G48" s="218" t="s">
        <v>1418</v>
      </c>
      <c r="H48" s="65"/>
      <c r="I48" s="65"/>
      <c r="J48" s="65"/>
      <c r="K48" s="65"/>
      <c r="L48" s="65"/>
      <c r="M48" s="65"/>
      <c r="N48" s="65"/>
      <c r="O48" s="65"/>
      <c r="P48" s="65"/>
      <c r="Q48" s="65"/>
      <c r="R48" s="65"/>
      <c r="S48" s="65"/>
      <c r="T48" s="65"/>
      <c r="U48" s="65"/>
      <c r="V48" s="757" t="e">
        <f t="shared" ref="V48:BA48" si="206">SerieCO2avgiftsbane/1000*SerieCO2utslipp_LettLastebil</f>
        <v>#N/A</v>
      </c>
      <c r="W48" s="757" t="e">
        <f t="shared" si="206"/>
        <v>#N/A</v>
      </c>
      <c r="X48" s="757" t="e">
        <f t="shared" si="206"/>
        <v>#N/A</v>
      </c>
      <c r="Y48" s="757" t="e">
        <f t="shared" si="206"/>
        <v>#N/A</v>
      </c>
      <c r="Z48" s="757" t="e">
        <f t="shared" si="206"/>
        <v>#N/A</v>
      </c>
      <c r="AA48" s="757" t="e">
        <f t="shared" si="206"/>
        <v>#N/A</v>
      </c>
      <c r="AB48" s="757" t="e">
        <f t="shared" si="206"/>
        <v>#N/A</v>
      </c>
      <c r="AC48" s="757" t="e">
        <f t="shared" si="206"/>
        <v>#N/A</v>
      </c>
      <c r="AD48" s="757" t="e">
        <f t="shared" si="206"/>
        <v>#N/A</v>
      </c>
      <c r="AE48" s="757" t="e">
        <f t="shared" si="206"/>
        <v>#N/A</v>
      </c>
      <c r="AF48" s="757" t="e">
        <f t="shared" si="206"/>
        <v>#N/A</v>
      </c>
      <c r="AG48" s="757" t="e">
        <f t="shared" si="206"/>
        <v>#N/A</v>
      </c>
      <c r="AH48" s="757" t="e">
        <f t="shared" si="206"/>
        <v>#N/A</v>
      </c>
      <c r="AI48" s="757" t="e">
        <f t="shared" si="206"/>
        <v>#N/A</v>
      </c>
      <c r="AJ48" s="757" t="e">
        <f t="shared" si="206"/>
        <v>#N/A</v>
      </c>
      <c r="AK48" s="757" t="e">
        <f t="shared" si="206"/>
        <v>#N/A</v>
      </c>
      <c r="AL48" s="757" t="e">
        <f t="shared" si="206"/>
        <v>#N/A</v>
      </c>
      <c r="AM48" s="757" t="e">
        <f t="shared" si="206"/>
        <v>#N/A</v>
      </c>
      <c r="AN48" s="757" t="e">
        <f t="shared" si="206"/>
        <v>#N/A</v>
      </c>
      <c r="AO48" s="757" t="e">
        <f t="shared" si="206"/>
        <v>#N/A</v>
      </c>
      <c r="AP48" s="757" t="e">
        <f t="shared" si="206"/>
        <v>#N/A</v>
      </c>
      <c r="AQ48" s="757" t="e">
        <f t="shared" si="206"/>
        <v>#N/A</v>
      </c>
      <c r="AR48" s="757" t="e">
        <f t="shared" si="206"/>
        <v>#N/A</v>
      </c>
      <c r="AS48" s="757" t="e">
        <f t="shared" si="206"/>
        <v>#N/A</v>
      </c>
      <c r="AT48" s="757" t="e">
        <f t="shared" si="206"/>
        <v>#N/A</v>
      </c>
      <c r="AU48" s="757" t="e">
        <f t="shared" si="206"/>
        <v>#N/A</v>
      </c>
      <c r="AV48" s="757" t="e">
        <f t="shared" si="206"/>
        <v>#N/A</v>
      </c>
      <c r="AW48" s="757" t="e">
        <f t="shared" si="206"/>
        <v>#N/A</v>
      </c>
      <c r="AX48" s="757" t="e">
        <f t="shared" si="206"/>
        <v>#N/A</v>
      </c>
      <c r="AY48" s="757" t="e">
        <f t="shared" si="206"/>
        <v>#N/A</v>
      </c>
      <c r="AZ48" s="757" t="e">
        <f t="shared" si="206"/>
        <v>#N/A</v>
      </c>
      <c r="BA48" s="757" t="e">
        <f t="shared" si="206"/>
        <v>#N/A</v>
      </c>
      <c r="BB48" s="757" t="e">
        <f t="shared" ref="BB48:CG48" si="207">SerieCO2avgiftsbane/1000*SerieCO2utslipp_LettLastebil</f>
        <v>#N/A</v>
      </c>
      <c r="BC48" s="757" t="e">
        <f t="shared" si="207"/>
        <v>#N/A</v>
      </c>
      <c r="BD48" s="757" t="e">
        <f t="shared" si="207"/>
        <v>#N/A</v>
      </c>
      <c r="BE48" s="757" t="e">
        <f t="shared" si="207"/>
        <v>#N/A</v>
      </c>
      <c r="BF48" s="757" t="e">
        <f t="shared" si="207"/>
        <v>#N/A</v>
      </c>
      <c r="BG48" s="757" t="e">
        <f t="shared" si="207"/>
        <v>#N/A</v>
      </c>
      <c r="BH48" s="757" t="e">
        <f t="shared" si="207"/>
        <v>#N/A</v>
      </c>
      <c r="BI48" s="757" t="e">
        <f t="shared" si="207"/>
        <v>#N/A</v>
      </c>
      <c r="BJ48" s="757" t="e">
        <f t="shared" si="207"/>
        <v>#N/A</v>
      </c>
      <c r="BK48" s="757" t="e">
        <f t="shared" si="207"/>
        <v>#N/A</v>
      </c>
      <c r="BL48" s="757" t="e">
        <f t="shared" si="207"/>
        <v>#N/A</v>
      </c>
      <c r="BM48" s="757" t="e">
        <f t="shared" si="207"/>
        <v>#N/A</v>
      </c>
      <c r="BN48" s="757" t="e">
        <f t="shared" si="207"/>
        <v>#N/A</v>
      </c>
      <c r="BO48" s="757" t="e">
        <f t="shared" si="207"/>
        <v>#N/A</v>
      </c>
      <c r="BP48" s="757" t="e">
        <f t="shared" si="207"/>
        <v>#N/A</v>
      </c>
      <c r="BQ48" s="757" t="e">
        <f t="shared" si="207"/>
        <v>#N/A</v>
      </c>
      <c r="BR48" s="757" t="e">
        <f t="shared" si="207"/>
        <v>#N/A</v>
      </c>
      <c r="BS48" s="757" t="e">
        <f t="shared" si="207"/>
        <v>#N/A</v>
      </c>
      <c r="BT48" s="757" t="e">
        <f t="shared" si="207"/>
        <v>#N/A</v>
      </c>
      <c r="BU48" s="757" t="e">
        <f t="shared" si="207"/>
        <v>#N/A</v>
      </c>
      <c r="BV48" s="757" t="e">
        <f t="shared" si="207"/>
        <v>#N/A</v>
      </c>
      <c r="BW48" s="757" t="e">
        <f t="shared" si="207"/>
        <v>#N/A</v>
      </c>
      <c r="BX48" s="757" t="e">
        <f t="shared" si="207"/>
        <v>#N/A</v>
      </c>
      <c r="BY48" s="757" t="e">
        <f t="shared" si="207"/>
        <v>#N/A</v>
      </c>
      <c r="BZ48" s="757" t="e">
        <f t="shared" si="207"/>
        <v>#N/A</v>
      </c>
      <c r="CA48" s="757" t="e">
        <f t="shared" si="207"/>
        <v>#N/A</v>
      </c>
      <c r="CB48" s="757" t="e">
        <f t="shared" si="207"/>
        <v>#N/A</v>
      </c>
      <c r="CC48" s="757" t="e">
        <f t="shared" si="207"/>
        <v>#N/A</v>
      </c>
      <c r="CD48" s="757" t="e">
        <f t="shared" si="207"/>
        <v>#N/A</v>
      </c>
      <c r="CE48" s="757" t="e">
        <f t="shared" si="207"/>
        <v>#N/A</v>
      </c>
      <c r="CF48" s="757" t="e">
        <f t="shared" si="207"/>
        <v>#N/A</v>
      </c>
      <c r="CG48" s="757" t="e">
        <f t="shared" si="207"/>
        <v>#N/A</v>
      </c>
      <c r="CH48" s="757" t="e">
        <f t="shared" ref="CH48:DW48" si="208">SerieCO2avgiftsbane/1000*SerieCO2utslipp_LettLastebil</f>
        <v>#N/A</v>
      </c>
      <c r="CI48" s="757" t="e">
        <f t="shared" si="208"/>
        <v>#N/A</v>
      </c>
      <c r="CJ48" s="757" t="e">
        <f t="shared" si="208"/>
        <v>#N/A</v>
      </c>
      <c r="CK48" s="757" t="e">
        <f t="shared" si="208"/>
        <v>#N/A</v>
      </c>
      <c r="CL48" s="757" t="e">
        <f t="shared" si="208"/>
        <v>#N/A</v>
      </c>
      <c r="CM48" s="757" t="e">
        <f t="shared" si="208"/>
        <v>#N/A</v>
      </c>
      <c r="CN48" s="757" t="e">
        <f t="shared" si="208"/>
        <v>#N/A</v>
      </c>
      <c r="CO48" s="757" t="e">
        <f t="shared" si="208"/>
        <v>#N/A</v>
      </c>
      <c r="CP48" s="757" t="e">
        <f t="shared" si="208"/>
        <v>#N/A</v>
      </c>
      <c r="CQ48" s="757" t="e">
        <f t="shared" si="208"/>
        <v>#N/A</v>
      </c>
      <c r="CR48" s="757" t="e">
        <f t="shared" si="208"/>
        <v>#N/A</v>
      </c>
      <c r="CS48" s="757" t="e">
        <f t="shared" si="208"/>
        <v>#N/A</v>
      </c>
      <c r="CT48" s="757" t="e">
        <f t="shared" si="208"/>
        <v>#N/A</v>
      </c>
      <c r="CU48" s="757" t="e">
        <f t="shared" si="208"/>
        <v>#N/A</v>
      </c>
      <c r="CV48" s="757" t="e">
        <f t="shared" si="208"/>
        <v>#N/A</v>
      </c>
      <c r="CW48" s="757" t="e">
        <f t="shared" si="208"/>
        <v>#N/A</v>
      </c>
      <c r="CX48" s="1127" t="e">
        <f t="shared" si="208"/>
        <v>#N/A</v>
      </c>
      <c r="CY48" s="757" t="e">
        <f t="shared" si="208"/>
        <v>#N/A</v>
      </c>
      <c r="CZ48" s="757" t="e">
        <f t="shared" si="208"/>
        <v>#N/A</v>
      </c>
      <c r="DA48" s="757" t="e">
        <f t="shared" si="208"/>
        <v>#N/A</v>
      </c>
      <c r="DB48" s="757" t="e">
        <f t="shared" si="208"/>
        <v>#N/A</v>
      </c>
      <c r="DC48" s="757" t="e">
        <f t="shared" si="208"/>
        <v>#N/A</v>
      </c>
      <c r="DD48" s="757" t="e">
        <f t="shared" si="208"/>
        <v>#N/A</v>
      </c>
      <c r="DE48" s="757" t="e">
        <f t="shared" si="208"/>
        <v>#N/A</v>
      </c>
      <c r="DF48" s="757" t="e">
        <f t="shared" si="208"/>
        <v>#N/A</v>
      </c>
      <c r="DG48" s="757" t="e">
        <f t="shared" si="208"/>
        <v>#N/A</v>
      </c>
      <c r="DH48" s="757" t="e">
        <f t="shared" si="208"/>
        <v>#N/A</v>
      </c>
      <c r="DI48" s="757" t="e">
        <f t="shared" si="208"/>
        <v>#N/A</v>
      </c>
      <c r="DJ48" s="757" t="e">
        <f t="shared" si="208"/>
        <v>#N/A</v>
      </c>
      <c r="DK48" s="757" t="e">
        <f t="shared" si="208"/>
        <v>#N/A</v>
      </c>
      <c r="DL48" s="757" t="e">
        <f t="shared" si="208"/>
        <v>#N/A</v>
      </c>
      <c r="DM48" s="757" t="e">
        <f t="shared" si="208"/>
        <v>#N/A</v>
      </c>
      <c r="DN48" s="757" t="e">
        <f t="shared" si="208"/>
        <v>#N/A</v>
      </c>
      <c r="DO48" s="757" t="e">
        <f t="shared" si="208"/>
        <v>#N/A</v>
      </c>
      <c r="DP48" s="757" t="e">
        <f t="shared" si="208"/>
        <v>#N/A</v>
      </c>
      <c r="DQ48" s="757" t="e">
        <f t="shared" si="208"/>
        <v>#N/A</v>
      </c>
      <c r="DR48" s="757" t="e">
        <f t="shared" si="208"/>
        <v>#N/A</v>
      </c>
      <c r="DS48" s="757" t="e">
        <f t="shared" si="208"/>
        <v>#N/A</v>
      </c>
      <c r="DT48" s="757" t="e">
        <f t="shared" si="208"/>
        <v>#N/A</v>
      </c>
      <c r="DU48" s="757" t="e">
        <f t="shared" si="208"/>
        <v>#N/A</v>
      </c>
      <c r="DV48" s="757" t="e">
        <f t="shared" si="208"/>
        <v>#N/A</v>
      </c>
      <c r="DW48" s="756" t="e">
        <f t="shared" si="208"/>
        <v>#N/A</v>
      </c>
    </row>
    <row r="49" spans="1:127" s="6" customFormat="1" x14ac:dyDescent="0.35">
      <c r="A49" s="273"/>
      <c r="B49" s="65" t="s">
        <v>1387</v>
      </c>
      <c r="C49" s="18"/>
      <c r="D49" s="18"/>
      <c r="E49" s="509"/>
      <c r="G49" s="218" t="s">
        <v>1419</v>
      </c>
      <c r="H49" s="65"/>
      <c r="I49" s="65"/>
      <c r="J49" s="65"/>
      <c r="K49" s="65"/>
      <c r="L49" s="65"/>
      <c r="M49" s="65"/>
      <c r="N49" s="65"/>
      <c r="O49" s="65"/>
      <c r="P49" s="65"/>
      <c r="Q49" s="65"/>
      <c r="R49" s="65"/>
      <c r="S49" s="65"/>
      <c r="T49" s="65"/>
      <c r="U49" s="65"/>
      <c r="V49" s="758" t="e">
        <f t="shared" ref="V49:BA49" si="209">SerieCO2avgiftsbane/1000*SerieCO2Utslipp_Buss</f>
        <v>#N/A</v>
      </c>
      <c r="W49" s="758" t="e">
        <f t="shared" si="209"/>
        <v>#N/A</v>
      </c>
      <c r="X49" s="758" t="e">
        <f t="shared" si="209"/>
        <v>#N/A</v>
      </c>
      <c r="Y49" s="758" t="e">
        <f t="shared" si="209"/>
        <v>#N/A</v>
      </c>
      <c r="Z49" s="758" t="e">
        <f t="shared" si="209"/>
        <v>#N/A</v>
      </c>
      <c r="AA49" s="758" t="e">
        <f t="shared" si="209"/>
        <v>#N/A</v>
      </c>
      <c r="AB49" s="758" t="e">
        <f t="shared" si="209"/>
        <v>#N/A</v>
      </c>
      <c r="AC49" s="758" t="e">
        <f t="shared" si="209"/>
        <v>#N/A</v>
      </c>
      <c r="AD49" s="758" t="e">
        <f t="shared" si="209"/>
        <v>#N/A</v>
      </c>
      <c r="AE49" s="758" t="e">
        <f t="shared" si="209"/>
        <v>#N/A</v>
      </c>
      <c r="AF49" s="758" t="e">
        <f t="shared" si="209"/>
        <v>#N/A</v>
      </c>
      <c r="AG49" s="758" t="e">
        <f t="shared" si="209"/>
        <v>#N/A</v>
      </c>
      <c r="AH49" s="758" t="e">
        <f t="shared" si="209"/>
        <v>#N/A</v>
      </c>
      <c r="AI49" s="758" t="e">
        <f t="shared" si="209"/>
        <v>#N/A</v>
      </c>
      <c r="AJ49" s="758" t="e">
        <f t="shared" si="209"/>
        <v>#N/A</v>
      </c>
      <c r="AK49" s="758" t="e">
        <f t="shared" si="209"/>
        <v>#N/A</v>
      </c>
      <c r="AL49" s="758" t="e">
        <f t="shared" si="209"/>
        <v>#N/A</v>
      </c>
      <c r="AM49" s="758" t="e">
        <f t="shared" si="209"/>
        <v>#N/A</v>
      </c>
      <c r="AN49" s="758" t="e">
        <f t="shared" si="209"/>
        <v>#N/A</v>
      </c>
      <c r="AO49" s="758" t="e">
        <f t="shared" si="209"/>
        <v>#N/A</v>
      </c>
      <c r="AP49" s="758" t="e">
        <f t="shared" si="209"/>
        <v>#N/A</v>
      </c>
      <c r="AQ49" s="758" t="e">
        <f t="shared" si="209"/>
        <v>#N/A</v>
      </c>
      <c r="AR49" s="758" t="e">
        <f t="shared" si="209"/>
        <v>#N/A</v>
      </c>
      <c r="AS49" s="758" t="e">
        <f t="shared" si="209"/>
        <v>#N/A</v>
      </c>
      <c r="AT49" s="758" t="e">
        <f t="shared" si="209"/>
        <v>#N/A</v>
      </c>
      <c r="AU49" s="758" t="e">
        <f t="shared" si="209"/>
        <v>#N/A</v>
      </c>
      <c r="AV49" s="758" t="e">
        <f t="shared" si="209"/>
        <v>#N/A</v>
      </c>
      <c r="AW49" s="758" t="e">
        <f t="shared" si="209"/>
        <v>#N/A</v>
      </c>
      <c r="AX49" s="758" t="e">
        <f t="shared" si="209"/>
        <v>#N/A</v>
      </c>
      <c r="AY49" s="758" t="e">
        <f t="shared" si="209"/>
        <v>#N/A</v>
      </c>
      <c r="AZ49" s="758" t="e">
        <f t="shared" si="209"/>
        <v>#N/A</v>
      </c>
      <c r="BA49" s="758" t="e">
        <f t="shared" si="209"/>
        <v>#N/A</v>
      </c>
      <c r="BB49" s="758" t="e">
        <f t="shared" ref="BB49:CG49" si="210">SerieCO2avgiftsbane/1000*SerieCO2Utslipp_Buss</f>
        <v>#N/A</v>
      </c>
      <c r="BC49" s="758" t="e">
        <f t="shared" si="210"/>
        <v>#N/A</v>
      </c>
      <c r="BD49" s="758" t="e">
        <f t="shared" si="210"/>
        <v>#N/A</v>
      </c>
      <c r="BE49" s="758" t="e">
        <f t="shared" si="210"/>
        <v>#N/A</v>
      </c>
      <c r="BF49" s="758" t="e">
        <f t="shared" si="210"/>
        <v>#N/A</v>
      </c>
      <c r="BG49" s="758" t="e">
        <f t="shared" si="210"/>
        <v>#N/A</v>
      </c>
      <c r="BH49" s="758" t="e">
        <f t="shared" si="210"/>
        <v>#N/A</v>
      </c>
      <c r="BI49" s="758" t="e">
        <f t="shared" si="210"/>
        <v>#N/A</v>
      </c>
      <c r="BJ49" s="758" t="e">
        <f t="shared" si="210"/>
        <v>#N/A</v>
      </c>
      <c r="BK49" s="758" t="e">
        <f t="shared" si="210"/>
        <v>#N/A</v>
      </c>
      <c r="BL49" s="758" t="e">
        <f t="shared" si="210"/>
        <v>#N/A</v>
      </c>
      <c r="BM49" s="758" t="e">
        <f t="shared" si="210"/>
        <v>#N/A</v>
      </c>
      <c r="BN49" s="758" t="e">
        <f t="shared" si="210"/>
        <v>#N/A</v>
      </c>
      <c r="BO49" s="758" t="e">
        <f t="shared" si="210"/>
        <v>#N/A</v>
      </c>
      <c r="BP49" s="758" t="e">
        <f t="shared" si="210"/>
        <v>#N/A</v>
      </c>
      <c r="BQ49" s="758" t="e">
        <f t="shared" si="210"/>
        <v>#N/A</v>
      </c>
      <c r="BR49" s="758" t="e">
        <f t="shared" si="210"/>
        <v>#N/A</v>
      </c>
      <c r="BS49" s="758" t="e">
        <f t="shared" si="210"/>
        <v>#N/A</v>
      </c>
      <c r="BT49" s="758" t="e">
        <f t="shared" si="210"/>
        <v>#N/A</v>
      </c>
      <c r="BU49" s="758" t="e">
        <f t="shared" si="210"/>
        <v>#N/A</v>
      </c>
      <c r="BV49" s="758" t="e">
        <f t="shared" si="210"/>
        <v>#N/A</v>
      </c>
      <c r="BW49" s="758" t="e">
        <f t="shared" si="210"/>
        <v>#N/A</v>
      </c>
      <c r="BX49" s="758" t="e">
        <f t="shared" si="210"/>
        <v>#N/A</v>
      </c>
      <c r="BY49" s="758" t="e">
        <f t="shared" si="210"/>
        <v>#N/A</v>
      </c>
      <c r="BZ49" s="758" t="e">
        <f t="shared" si="210"/>
        <v>#N/A</v>
      </c>
      <c r="CA49" s="758" t="e">
        <f t="shared" si="210"/>
        <v>#N/A</v>
      </c>
      <c r="CB49" s="758" t="e">
        <f t="shared" si="210"/>
        <v>#N/A</v>
      </c>
      <c r="CC49" s="758" t="e">
        <f t="shared" si="210"/>
        <v>#N/A</v>
      </c>
      <c r="CD49" s="758" t="e">
        <f t="shared" si="210"/>
        <v>#N/A</v>
      </c>
      <c r="CE49" s="758" t="e">
        <f t="shared" si="210"/>
        <v>#N/A</v>
      </c>
      <c r="CF49" s="758" t="e">
        <f t="shared" si="210"/>
        <v>#N/A</v>
      </c>
      <c r="CG49" s="758" t="e">
        <f t="shared" si="210"/>
        <v>#N/A</v>
      </c>
      <c r="CH49" s="758" t="e">
        <f t="shared" ref="CH49:DW49" si="211">SerieCO2avgiftsbane/1000*SerieCO2Utslipp_Buss</f>
        <v>#N/A</v>
      </c>
      <c r="CI49" s="758" t="e">
        <f t="shared" si="211"/>
        <v>#N/A</v>
      </c>
      <c r="CJ49" s="758" t="e">
        <f t="shared" si="211"/>
        <v>#N/A</v>
      </c>
      <c r="CK49" s="758" t="e">
        <f t="shared" si="211"/>
        <v>#N/A</v>
      </c>
      <c r="CL49" s="758" t="e">
        <f t="shared" si="211"/>
        <v>#N/A</v>
      </c>
      <c r="CM49" s="758" t="e">
        <f t="shared" si="211"/>
        <v>#N/A</v>
      </c>
      <c r="CN49" s="758" t="e">
        <f t="shared" si="211"/>
        <v>#N/A</v>
      </c>
      <c r="CO49" s="758" t="e">
        <f t="shared" si="211"/>
        <v>#N/A</v>
      </c>
      <c r="CP49" s="758" t="e">
        <f t="shared" si="211"/>
        <v>#N/A</v>
      </c>
      <c r="CQ49" s="758" t="e">
        <f t="shared" si="211"/>
        <v>#N/A</v>
      </c>
      <c r="CR49" s="758" t="e">
        <f t="shared" si="211"/>
        <v>#N/A</v>
      </c>
      <c r="CS49" s="758" t="e">
        <f t="shared" si="211"/>
        <v>#N/A</v>
      </c>
      <c r="CT49" s="758" t="e">
        <f t="shared" si="211"/>
        <v>#N/A</v>
      </c>
      <c r="CU49" s="758" t="e">
        <f t="shared" si="211"/>
        <v>#N/A</v>
      </c>
      <c r="CV49" s="758" t="e">
        <f t="shared" si="211"/>
        <v>#N/A</v>
      </c>
      <c r="CW49" s="758" t="e">
        <f t="shared" si="211"/>
        <v>#N/A</v>
      </c>
      <c r="CX49" s="1130" t="e">
        <f t="shared" si="211"/>
        <v>#N/A</v>
      </c>
      <c r="CY49" s="757" t="e">
        <f t="shared" si="211"/>
        <v>#N/A</v>
      </c>
      <c r="CZ49" s="757" t="e">
        <f t="shared" si="211"/>
        <v>#N/A</v>
      </c>
      <c r="DA49" s="757" t="e">
        <f t="shared" si="211"/>
        <v>#N/A</v>
      </c>
      <c r="DB49" s="757" t="e">
        <f t="shared" si="211"/>
        <v>#N/A</v>
      </c>
      <c r="DC49" s="757" t="e">
        <f t="shared" si="211"/>
        <v>#N/A</v>
      </c>
      <c r="DD49" s="757" t="e">
        <f t="shared" si="211"/>
        <v>#N/A</v>
      </c>
      <c r="DE49" s="757" t="e">
        <f t="shared" si="211"/>
        <v>#N/A</v>
      </c>
      <c r="DF49" s="757" t="e">
        <f t="shared" si="211"/>
        <v>#N/A</v>
      </c>
      <c r="DG49" s="757" t="e">
        <f t="shared" si="211"/>
        <v>#N/A</v>
      </c>
      <c r="DH49" s="757" t="e">
        <f t="shared" si="211"/>
        <v>#N/A</v>
      </c>
      <c r="DI49" s="757" t="e">
        <f t="shared" si="211"/>
        <v>#N/A</v>
      </c>
      <c r="DJ49" s="757" t="e">
        <f t="shared" si="211"/>
        <v>#N/A</v>
      </c>
      <c r="DK49" s="757" t="e">
        <f t="shared" si="211"/>
        <v>#N/A</v>
      </c>
      <c r="DL49" s="757" t="e">
        <f t="shared" si="211"/>
        <v>#N/A</v>
      </c>
      <c r="DM49" s="757" t="e">
        <f t="shared" si="211"/>
        <v>#N/A</v>
      </c>
      <c r="DN49" s="757" t="e">
        <f t="shared" si="211"/>
        <v>#N/A</v>
      </c>
      <c r="DO49" s="757" t="e">
        <f t="shared" si="211"/>
        <v>#N/A</v>
      </c>
      <c r="DP49" s="757" t="e">
        <f t="shared" si="211"/>
        <v>#N/A</v>
      </c>
      <c r="DQ49" s="757" t="e">
        <f t="shared" si="211"/>
        <v>#N/A</v>
      </c>
      <c r="DR49" s="757" t="e">
        <f t="shared" si="211"/>
        <v>#N/A</v>
      </c>
      <c r="DS49" s="757" t="e">
        <f t="shared" si="211"/>
        <v>#N/A</v>
      </c>
      <c r="DT49" s="757" t="e">
        <f t="shared" si="211"/>
        <v>#N/A</v>
      </c>
      <c r="DU49" s="757" t="e">
        <f t="shared" si="211"/>
        <v>#N/A</v>
      </c>
      <c r="DV49" s="757" t="e">
        <f t="shared" si="211"/>
        <v>#N/A</v>
      </c>
      <c r="DW49" s="756" t="e">
        <f t="shared" si="211"/>
        <v>#N/A</v>
      </c>
    </row>
    <row r="50" spans="1:127" s="6" customFormat="1" x14ac:dyDescent="0.35">
      <c r="A50" s="273"/>
      <c r="B50" s="65" t="s">
        <v>1387</v>
      </c>
      <c r="C50" s="18"/>
      <c r="D50" s="18"/>
      <c r="E50" s="509"/>
      <c r="G50" s="218" t="s">
        <v>1420</v>
      </c>
      <c r="H50" s="65"/>
      <c r="I50" s="65"/>
      <c r="J50" s="65"/>
      <c r="K50" s="65"/>
      <c r="L50" s="65"/>
      <c r="M50" s="65"/>
      <c r="N50" s="65"/>
      <c r="O50" s="65"/>
      <c r="P50" s="65"/>
      <c r="Q50" s="65"/>
      <c r="R50" s="65"/>
      <c r="S50" s="65"/>
      <c r="T50" s="65"/>
      <c r="U50" s="65"/>
      <c r="V50" s="758" t="e">
        <f t="shared" ref="V50:BA50" si="212">SerieCO2avgiftsbane/1000*SerieCO2Utslipp_PersontogD</f>
        <v>#N/A</v>
      </c>
      <c r="W50" s="758" t="e">
        <f t="shared" si="212"/>
        <v>#N/A</v>
      </c>
      <c r="X50" s="758" t="e">
        <f t="shared" si="212"/>
        <v>#N/A</v>
      </c>
      <c r="Y50" s="758" t="e">
        <f t="shared" si="212"/>
        <v>#N/A</v>
      </c>
      <c r="Z50" s="758" t="e">
        <f t="shared" si="212"/>
        <v>#N/A</v>
      </c>
      <c r="AA50" s="758" t="e">
        <f t="shared" si="212"/>
        <v>#N/A</v>
      </c>
      <c r="AB50" s="758" t="e">
        <f t="shared" si="212"/>
        <v>#N/A</v>
      </c>
      <c r="AC50" s="758" t="e">
        <f t="shared" si="212"/>
        <v>#N/A</v>
      </c>
      <c r="AD50" s="758" t="e">
        <f t="shared" si="212"/>
        <v>#N/A</v>
      </c>
      <c r="AE50" s="758" t="e">
        <f t="shared" si="212"/>
        <v>#N/A</v>
      </c>
      <c r="AF50" s="758" t="e">
        <f t="shared" si="212"/>
        <v>#N/A</v>
      </c>
      <c r="AG50" s="758" t="e">
        <f t="shared" si="212"/>
        <v>#N/A</v>
      </c>
      <c r="AH50" s="758" t="e">
        <f t="shared" si="212"/>
        <v>#N/A</v>
      </c>
      <c r="AI50" s="758" t="e">
        <f t="shared" si="212"/>
        <v>#N/A</v>
      </c>
      <c r="AJ50" s="758" t="e">
        <f t="shared" si="212"/>
        <v>#N/A</v>
      </c>
      <c r="AK50" s="758" t="e">
        <f t="shared" si="212"/>
        <v>#N/A</v>
      </c>
      <c r="AL50" s="758" t="e">
        <f t="shared" si="212"/>
        <v>#N/A</v>
      </c>
      <c r="AM50" s="758" t="e">
        <f t="shared" si="212"/>
        <v>#N/A</v>
      </c>
      <c r="AN50" s="758" t="e">
        <f t="shared" si="212"/>
        <v>#N/A</v>
      </c>
      <c r="AO50" s="758" t="e">
        <f t="shared" si="212"/>
        <v>#N/A</v>
      </c>
      <c r="AP50" s="758" t="e">
        <f t="shared" si="212"/>
        <v>#N/A</v>
      </c>
      <c r="AQ50" s="758" t="e">
        <f t="shared" si="212"/>
        <v>#N/A</v>
      </c>
      <c r="AR50" s="758" t="e">
        <f t="shared" si="212"/>
        <v>#N/A</v>
      </c>
      <c r="AS50" s="758" t="e">
        <f t="shared" si="212"/>
        <v>#N/A</v>
      </c>
      <c r="AT50" s="758" t="e">
        <f t="shared" si="212"/>
        <v>#N/A</v>
      </c>
      <c r="AU50" s="758" t="e">
        <f t="shared" si="212"/>
        <v>#N/A</v>
      </c>
      <c r="AV50" s="758" t="e">
        <f t="shared" si="212"/>
        <v>#N/A</v>
      </c>
      <c r="AW50" s="758" t="e">
        <f t="shared" si="212"/>
        <v>#N/A</v>
      </c>
      <c r="AX50" s="758" t="e">
        <f t="shared" si="212"/>
        <v>#N/A</v>
      </c>
      <c r="AY50" s="758" t="e">
        <f t="shared" si="212"/>
        <v>#N/A</v>
      </c>
      <c r="AZ50" s="758" t="e">
        <f t="shared" si="212"/>
        <v>#N/A</v>
      </c>
      <c r="BA50" s="758" t="e">
        <f t="shared" si="212"/>
        <v>#N/A</v>
      </c>
      <c r="BB50" s="758" t="e">
        <f t="shared" ref="BB50:CG50" si="213">SerieCO2avgiftsbane/1000*SerieCO2Utslipp_PersontogD</f>
        <v>#N/A</v>
      </c>
      <c r="BC50" s="758" t="e">
        <f t="shared" si="213"/>
        <v>#N/A</v>
      </c>
      <c r="BD50" s="758" t="e">
        <f t="shared" si="213"/>
        <v>#N/A</v>
      </c>
      <c r="BE50" s="758" t="e">
        <f t="shared" si="213"/>
        <v>#N/A</v>
      </c>
      <c r="BF50" s="758" t="e">
        <f t="shared" si="213"/>
        <v>#N/A</v>
      </c>
      <c r="BG50" s="758" t="e">
        <f t="shared" si="213"/>
        <v>#N/A</v>
      </c>
      <c r="BH50" s="758" t="e">
        <f t="shared" si="213"/>
        <v>#N/A</v>
      </c>
      <c r="BI50" s="758" t="e">
        <f t="shared" si="213"/>
        <v>#N/A</v>
      </c>
      <c r="BJ50" s="758" t="e">
        <f t="shared" si="213"/>
        <v>#N/A</v>
      </c>
      <c r="BK50" s="758" t="e">
        <f t="shared" si="213"/>
        <v>#N/A</v>
      </c>
      <c r="BL50" s="758" t="e">
        <f t="shared" si="213"/>
        <v>#N/A</v>
      </c>
      <c r="BM50" s="758" t="e">
        <f t="shared" si="213"/>
        <v>#N/A</v>
      </c>
      <c r="BN50" s="758" t="e">
        <f t="shared" si="213"/>
        <v>#N/A</v>
      </c>
      <c r="BO50" s="758" t="e">
        <f t="shared" si="213"/>
        <v>#N/A</v>
      </c>
      <c r="BP50" s="758" t="e">
        <f t="shared" si="213"/>
        <v>#N/A</v>
      </c>
      <c r="BQ50" s="758" t="e">
        <f t="shared" si="213"/>
        <v>#N/A</v>
      </c>
      <c r="BR50" s="758" t="e">
        <f t="shared" si="213"/>
        <v>#N/A</v>
      </c>
      <c r="BS50" s="758" t="e">
        <f t="shared" si="213"/>
        <v>#N/A</v>
      </c>
      <c r="BT50" s="758" t="e">
        <f t="shared" si="213"/>
        <v>#N/A</v>
      </c>
      <c r="BU50" s="758" t="e">
        <f t="shared" si="213"/>
        <v>#N/A</v>
      </c>
      <c r="BV50" s="758" t="e">
        <f t="shared" si="213"/>
        <v>#N/A</v>
      </c>
      <c r="BW50" s="758" t="e">
        <f t="shared" si="213"/>
        <v>#N/A</v>
      </c>
      <c r="BX50" s="758" t="e">
        <f t="shared" si="213"/>
        <v>#N/A</v>
      </c>
      <c r="BY50" s="758" t="e">
        <f t="shared" si="213"/>
        <v>#N/A</v>
      </c>
      <c r="BZ50" s="758" t="e">
        <f t="shared" si="213"/>
        <v>#N/A</v>
      </c>
      <c r="CA50" s="758" t="e">
        <f t="shared" si="213"/>
        <v>#N/A</v>
      </c>
      <c r="CB50" s="758" t="e">
        <f t="shared" si="213"/>
        <v>#N/A</v>
      </c>
      <c r="CC50" s="758" t="e">
        <f t="shared" si="213"/>
        <v>#N/A</v>
      </c>
      <c r="CD50" s="758" t="e">
        <f t="shared" si="213"/>
        <v>#N/A</v>
      </c>
      <c r="CE50" s="758" t="e">
        <f t="shared" si="213"/>
        <v>#N/A</v>
      </c>
      <c r="CF50" s="758" t="e">
        <f t="shared" si="213"/>
        <v>#N/A</v>
      </c>
      <c r="CG50" s="758" t="e">
        <f t="shared" si="213"/>
        <v>#N/A</v>
      </c>
      <c r="CH50" s="758" t="e">
        <f t="shared" ref="CH50:DW50" si="214">SerieCO2avgiftsbane/1000*SerieCO2Utslipp_PersontogD</f>
        <v>#N/A</v>
      </c>
      <c r="CI50" s="758" t="e">
        <f t="shared" si="214"/>
        <v>#N/A</v>
      </c>
      <c r="CJ50" s="758" t="e">
        <f t="shared" si="214"/>
        <v>#N/A</v>
      </c>
      <c r="CK50" s="758" t="e">
        <f t="shared" si="214"/>
        <v>#N/A</v>
      </c>
      <c r="CL50" s="758" t="e">
        <f t="shared" si="214"/>
        <v>#N/A</v>
      </c>
      <c r="CM50" s="758" t="e">
        <f t="shared" si="214"/>
        <v>#N/A</v>
      </c>
      <c r="CN50" s="758" t="e">
        <f t="shared" si="214"/>
        <v>#N/A</v>
      </c>
      <c r="CO50" s="758" t="e">
        <f t="shared" si="214"/>
        <v>#N/A</v>
      </c>
      <c r="CP50" s="758" t="e">
        <f t="shared" si="214"/>
        <v>#N/A</v>
      </c>
      <c r="CQ50" s="758" t="e">
        <f t="shared" si="214"/>
        <v>#N/A</v>
      </c>
      <c r="CR50" s="758" t="e">
        <f t="shared" si="214"/>
        <v>#N/A</v>
      </c>
      <c r="CS50" s="758" t="e">
        <f t="shared" si="214"/>
        <v>#N/A</v>
      </c>
      <c r="CT50" s="758" t="e">
        <f t="shared" si="214"/>
        <v>#N/A</v>
      </c>
      <c r="CU50" s="758" t="e">
        <f t="shared" si="214"/>
        <v>#N/A</v>
      </c>
      <c r="CV50" s="758" t="e">
        <f t="shared" si="214"/>
        <v>#N/A</v>
      </c>
      <c r="CW50" s="758" t="e">
        <f t="shared" si="214"/>
        <v>#N/A</v>
      </c>
      <c r="CX50" s="1130" t="e">
        <f t="shared" si="214"/>
        <v>#N/A</v>
      </c>
      <c r="CY50" s="757" t="e">
        <f t="shared" si="214"/>
        <v>#N/A</v>
      </c>
      <c r="CZ50" s="757" t="e">
        <f t="shared" si="214"/>
        <v>#N/A</v>
      </c>
      <c r="DA50" s="757" t="e">
        <f t="shared" si="214"/>
        <v>#N/A</v>
      </c>
      <c r="DB50" s="757" t="e">
        <f t="shared" si="214"/>
        <v>#N/A</v>
      </c>
      <c r="DC50" s="757" t="e">
        <f t="shared" si="214"/>
        <v>#N/A</v>
      </c>
      <c r="DD50" s="757" t="e">
        <f t="shared" si="214"/>
        <v>#N/A</v>
      </c>
      <c r="DE50" s="757" t="e">
        <f t="shared" si="214"/>
        <v>#N/A</v>
      </c>
      <c r="DF50" s="757" t="e">
        <f t="shared" si="214"/>
        <v>#N/A</v>
      </c>
      <c r="DG50" s="757" t="e">
        <f t="shared" si="214"/>
        <v>#N/A</v>
      </c>
      <c r="DH50" s="757" t="e">
        <f t="shared" si="214"/>
        <v>#N/A</v>
      </c>
      <c r="DI50" s="757" t="e">
        <f t="shared" si="214"/>
        <v>#N/A</v>
      </c>
      <c r="DJ50" s="757" t="e">
        <f t="shared" si="214"/>
        <v>#N/A</v>
      </c>
      <c r="DK50" s="757" t="e">
        <f t="shared" si="214"/>
        <v>#N/A</v>
      </c>
      <c r="DL50" s="757" t="e">
        <f t="shared" si="214"/>
        <v>#N/A</v>
      </c>
      <c r="DM50" s="757" t="e">
        <f t="shared" si="214"/>
        <v>#N/A</v>
      </c>
      <c r="DN50" s="757" t="e">
        <f t="shared" si="214"/>
        <v>#N/A</v>
      </c>
      <c r="DO50" s="757" t="e">
        <f t="shared" si="214"/>
        <v>#N/A</v>
      </c>
      <c r="DP50" s="757" t="e">
        <f t="shared" si="214"/>
        <v>#N/A</v>
      </c>
      <c r="DQ50" s="757" t="e">
        <f t="shared" si="214"/>
        <v>#N/A</v>
      </c>
      <c r="DR50" s="757" t="e">
        <f t="shared" si="214"/>
        <v>#N/A</v>
      </c>
      <c r="DS50" s="757" t="e">
        <f t="shared" si="214"/>
        <v>#N/A</v>
      </c>
      <c r="DT50" s="757" t="e">
        <f t="shared" si="214"/>
        <v>#N/A</v>
      </c>
      <c r="DU50" s="757" t="e">
        <f t="shared" si="214"/>
        <v>#N/A</v>
      </c>
      <c r="DV50" s="757" t="e">
        <f t="shared" si="214"/>
        <v>#N/A</v>
      </c>
      <c r="DW50" s="756" t="e">
        <f t="shared" si="214"/>
        <v>#N/A</v>
      </c>
    </row>
    <row r="51" spans="1:127" s="6" customFormat="1" x14ac:dyDescent="0.35">
      <c r="A51" s="273"/>
      <c r="B51" s="65" t="s">
        <v>1387</v>
      </c>
      <c r="C51" s="18"/>
      <c r="D51" s="18"/>
      <c r="E51" s="509"/>
      <c r="G51" s="218" t="s">
        <v>1421</v>
      </c>
      <c r="H51" s="65"/>
      <c r="I51" s="65"/>
      <c r="J51" s="65"/>
      <c r="K51" s="65"/>
      <c r="L51" s="65"/>
      <c r="M51" s="65"/>
      <c r="N51" s="65"/>
      <c r="O51" s="65"/>
      <c r="P51" s="65"/>
      <c r="Q51" s="65"/>
      <c r="R51" s="65"/>
      <c r="S51" s="65"/>
      <c r="T51" s="65"/>
      <c r="U51" s="65"/>
      <c r="V51" s="758" t="e">
        <f t="shared" ref="V51:BA51" si="215">SerieCO2avgiftsbane/1000*SerieCO2Utslipp_GodstogD</f>
        <v>#N/A</v>
      </c>
      <c r="W51" s="758" t="e">
        <f t="shared" si="215"/>
        <v>#N/A</v>
      </c>
      <c r="X51" s="758" t="e">
        <f t="shared" si="215"/>
        <v>#N/A</v>
      </c>
      <c r="Y51" s="758" t="e">
        <f t="shared" si="215"/>
        <v>#N/A</v>
      </c>
      <c r="Z51" s="758" t="e">
        <f t="shared" si="215"/>
        <v>#N/A</v>
      </c>
      <c r="AA51" s="758" t="e">
        <f t="shared" si="215"/>
        <v>#N/A</v>
      </c>
      <c r="AB51" s="758" t="e">
        <f t="shared" si="215"/>
        <v>#N/A</v>
      </c>
      <c r="AC51" s="758" t="e">
        <f t="shared" si="215"/>
        <v>#N/A</v>
      </c>
      <c r="AD51" s="758" t="e">
        <f t="shared" si="215"/>
        <v>#N/A</v>
      </c>
      <c r="AE51" s="758" t="e">
        <f t="shared" si="215"/>
        <v>#N/A</v>
      </c>
      <c r="AF51" s="758" t="e">
        <f t="shared" si="215"/>
        <v>#N/A</v>
      </c>
      <c r="AG51" s="758" t="e">
        <f t="shared" si="215"/>
        <v>#N/A</v>
      </c>
      <c r="AH51" s="758" t="e">
        <f t="shared" si="215"/>
        <v>#N/A</v>
      </c>
      <c r="AI51" s="758" t="e">
        <f t="shared" si="215"/>
        <v>#N/A</v>
      </c>
      <c r="AJ51" s="758" t="e">
        <f t="shared" si="215"/>
        <v>#N/A</v>
      </c>
      <c r="AK51" s="758" t="e">
        <f t="shared" si="215"/>
        <v>#N/A</v>
      </c>
      <c r="AL51" s="758" t="e">
        <f t="shared" si="215"/>
        <v>#N/A</v>
      </c>
      <c r="AM51" s="758" t="e">
        <f t="shared" si="215"/>
        <v>#N/A</v>
      </c>
      <c r="AN51" s="758" t="e">
        <f t="shared" si="215"/>
        <v>#N/A</v>
      </c>
      <c r="AO51" s="758" t="e">
        <f t="shared" si="215"/>
        <v>#N/A</v>
      </c>
      <c r="AP51" s="758" t="e">
        <f t="shared" si="215"/>
        <v>#N/A</v>
      </c>
      <c r="AQ51" s="758" t="e">
        <f t="shared" si="215"/>
        <v>#N/A</v>
      </c>
      <c r="AR51" s="758" t="e">
        <f t="shared" si="215"/>
        <v>#N/A</v>
      </c>
      <c r="AS51" s="758" t="e">
        <f t="shared" si="215"/>
        <v>#N/A</v>
      </c>
      <c r="AT51" s="758" t="e">
        <f t="shared" si="215"/>
        <v>#N/A</v>
      </c>
      <c r="AU51" s="758" t="e">
        <f t="shared" si="215"/>
        <v>#N/A</v>
      </c>
      <c r="AV51" s="758" t="e">
        <f t="shared" si="215"/>
        <v>#N/A</v>
      </c>
      <c r="AW51" s="758" t="e">
        <f t="shared" si="215"/>
        <v>#N/A</v>
      </c>
      <c r="AX51" s="758" t="e">
        <f t="shared" si="215"/>
        <v>#N/A</v>
      </c>
      <c r="AY51" s="758" t="e">
        <f t="shared" si="215"/>
        <v>#N/A</v>
      </c>
      <c r="AZ51" s="758" t="e">
        <f t="shared" si="215"/>
        <v>#N/A</v>
      </c>
      <c r="BA51" s="758" t="e">
        <f t="shared" si="215"/>
        <v>#N/A</v>
      </c>
      <c r="BB51" s="758" t="e">
        <f t="shared" ref="BB51:CG51" si="216">SerieCO2avgiftsbane/1000*SerieCO2Utslipp_GodstogD</f>
        <v>#N/A</v>
      </c>
      <c r="BC51" s="758" t="e">
        <f t="shared" si="216"/>
        <v>#N/A</v>
      </c>
      <c r="BD51" s="758" t="e">
        <f t="shared" si="216"/>
        <v>#N/A</v>
      </c>
      <c r="BE51" s="758" t="e">
        <f t="shared" si="216"/>
        <v>#N/A</v>
      </c>
      <c r="BF51" s="758" t="e">
        <f t="shared" si="216"/>
        <v>#N/A</v>
      </c>
      <c r="BG51" s="758" t="e">
        <f t="shared" si="216"/>
        <v>#N/A</v>
      </c>
      <c r="BH51" s="758" t="e">
        <f t="shared" si="216"/>
        <v>#N/A</v>
      </c>
      <c r="BI51" s="758" t="e">
        <f t="shared" si="216"/>
        <v>#N/A</v>
      </c>
      <c r="BJ51" s="758" t="e">
        <f t="shared" si="216"/>
        <v>#N/A</v>
      </c>
      <c r="BK51" s="758" t="e">
        <f t="shared" si="216"/>
        <v>#N/A</v>
      </c>
      <c r="BL51" s="758" t="e">
        <f t="shared" si="216"/>
        <v>#N/A</v>
      </c>
      <c r="BM51" s="758" t="e">
        <f t="shared" si="216"/>
        <v>#N/A</v>
      </c>
      <c r="BN51" s="758" t="e">
        <f t="shared" si="216"/>
        <v>#N/A</v>
      </c>
      <c r="BO51" s="758" t="e">
        <f t="shared" si="216"/>
        <v>#N/A</v>
      </c>
      <c r="BP51" s="758" t="e">
        <f t="shared" si="216"/>
        <v>#N/A</v>
      </c>
      <c r="BQ51" s="758" t="e">
        <f t="shared" si="216"/>
        <v>#N/A</v>
      </c>
      <c r="BR51" s="758" t="e">
        <f t="shared" si="216"/>
        <v>#N/A</v>
      </c>
      <c r="BS51" s="758" t="e">
        <f t="shared" si="216"/>
        <v>#N/A</v>
      </c>
      <c r="BT51" s="758" t="e">
        <f t="shared" si="216"/>
        <v>#N/A</v>
      </c>
      <c r="BU51" s="758" t="e">
        <f t="shared" si="216"/>
        <v>#N/A</v>
      </c>
      <c r="BV51" s="758" t="e">
        <f t="shared" si="216"/>
        <v>#N/A</v>
      </c>
      <c r="BW51" s="758" t="e">
        <f t="shared" si="216"/>
        <v>#N/A</v>
      </c>
      <c r="BX51" s="758" t="e">
        <f t="shared" si="216"/>
        <v>#N/A</v>
      </c>
      <c r="BY51" s="758" t="e">
        <f t="shared" si="216"/>
        <v>#N/A</v>
      </c>
      <c r="BZ51" s="758" t="e">
        <f t="shared" si="216"/>
        <v>#N/A</v>
      </c>
      <c r="CA51" s="758" t="e">
        <f t="shared" si="216"/>
        <v>#N/A</v>
      </c>
      <c r="CB51" s="758" t="e">
        <f t="shared" si="216"/>
        <v>#N/A</v>
      </c>
      <c r="CC51" s="758" t="e">
        <f t="shared" si="216"/>
        <v>#N/A</v>
      </c>
      <c r="CD51" s="758" t="e">
        <f t="shared" si="216"/>
        <v>#N/A</v>
      </c>
      <c r="CE51" s="758" t="e">
        <f t="shared" si="216"/>
        <v>#N/A</v>
      </c>
      <c r="CF51" s="758" t="e">
        <f t="shared" si="216"/>
        <v>#N/A</v>
      </c>
      <c r="CG51" s="758" t="e">
        <f t="shared" si="216"/>
        <v>#N/A</v>
      </c>
      <c r="CH51" s="758" t="e">
        <f t="shared" ref="CH51:DW51" si="217">SerieCO2avgiftsbane/1000*SerieCO2Utslipp_GodstogD</f>
        <v>#N/A</v>
      </c>
      <c r="CI51" s="758" t="e">
        <f t="shared" si="217"/>
        <v>#N/A</v>
      </c>
      <c r="CJ51" s="758" t="e">
        <f t="shared" si="217"/>
        <v>#N/A</v>
      </c>
      <c r="CK51" s="758" t="e">
        <f t="shared" si="217"/>
        <v>#N/A</v>
      </c>
      <c r="CL51" s="758" t="e">
        <f t="shared" si="217"/>
        <v>#N/A</v>
      </c>
      <c r="CM51" s="758" t="e">
        <f t="shared" si="217"/>
        <v>#N/A</v>
      </c>
      <c r="CN51" s="758" t="e">
        <f t="shared" si="217"/>
        <v>#N/A</v>
      </c>
      <c r="CO51" s="758" t="e">
        <f t="shared" si="217"/>
        <v>#N/A</v>
      </c>
      <c r="CP51" s="758" t="e">
        <f t="shared" si="217"/>
        <v>#N/A</v>
      </c>
      <c r="CQ51" s="758" t="e">
        <f t="shared" si="217"/>
        <v>#N/A</v>
      </c>
      <c r="CR51" s="758" t="e">
        <f t="shared" si="217"/>
        <v>#N/A</v>
      </c>
      <c r="CS51" s="758" t="e">
        <f t="shared" si="217"/>
        <v>#N/A</v>
      </c>
      <c r="CT51" s="758" t="e">
        <f t="shared" si="217"/>
        <v>#N/A</v>
      </c>
      <c r="CU51" s="758" t="e">
        <f t="shared" si="217"/>
        <v>#N/A</v>
      </c>
      <c r="CV51" s="758" t="e">
        <f t="shared" si="217"/>
        <v>#N/A</v>
      </c>
      <c r="CW51" s="758" t="e">
        <f t="shared" si="217"/>
        <v>#N/A</v>
      </c>
      <c r="CX51" s="1130" t="e">
        <f t="shared" si="217"/>
        <v>#N/A</v>
      </c>
      <c r="CY51" s="757" t="e">
        <f t="shared" si="217"/>
        <v>#N/A</v>
      </c>
      <c r="CZ51" s="757" t="e">
        <f t="shared" si="217"/>
        <v>#N/A</v>
      </c>
      <c r="DA51" s="757" t="e">
        <f t="shared" si="217"/>
        <v>#N/A</v>
      </c>
      <c r="DB51" s="757" t="e">
        <f t="shared" si="217"/>
        <v>#N/A</v>
      </c>
      <c r="DC51" s="757" t="e">
        <f t="shared" si="217"/>
        <v>#N/A</v>
      </c>
      <c r="DD51" s="757" t="e">
        <f t="shared" si="217"/>
        <v>#N/A</v>
      </c>
      <c r="DE51" s="757" t="e">
        <f t="shared" si="217"/>
        <v>#N/A</v>
      </c>
      <c r="DF51" s="757" t="e">
        <f t="shared" si="217"/>
        <v>#N/A</v>
      </c>
      <c r="DG51" s="757" t="e">
        <f t="shared" si="217"/>
        <v>#N/A</v>
      </c>
      <c r="DH51" s="757" t="e">
        <f t="shared" si="217"/>
        <v>#N/A</v>
      </c>
      <c r="DI51" s="757" t="e">
        <f t="shared" si="217"/>
        <v>#N/A</v>
      </c>
      <c r="DJ51" s="757" t="e">
        <f t="shared" si="217"/>
        <v>#N/A</v>
      </c>
      <c r="DK51" s="757" t="e">
        <f t="shared" si="217"/>
        <v>#N/A</v>
      </c>
      <c r="DL51" s="757" t="e">
        <f t="shared" si="217"/>
        <v>#N/A</v>
      </c>
      <c r="DM51" s="757" t="e">
        <f t="shared" si="217"/>
        <v>#N/A</v>
      </c>
      <c r="DN51" s="757" t="e">
        <f t="shared" si="217"/>
        <v>#N/A</v>
      </c>
      <c r="DO51" s="757" t="e">
        <f t="shared" si="217"/>
        <v>#N/A</v>
      </c>
      <c r="DP51" s="757" t="e">
        <f t="shared" si="217"/>
        <v>#N/A</v>
      </c>
      <c r="DQ51" s="757" t="e">
        <f t="shared" si="217"/>
        <v>#N/A</v>
      </c>
      <c r="DR51" s="757" t="e">
        <f t="shared" si="217"/>
        <v>#N/A</v>
      </c>
      <c r="DS51" s="757" t="e">
        <f t="shared" si="217"/>
        <v>#N/A</v>
      </c>
      <c r="DT51" s="757" t="e">
        <f t="shared" si="217"/>
        <v>#N/A</v>
      </c>
      <c r="DU51" s="757" t="e">
        <f t="shared" si="217"/>
        <v>#N/A</v>
      </c>
      <c r="DV51" s="757" t="e">
        <f t="shared" si="217"/>
        <v>#N/A</v>
      </c>
      <c r="DW51" s="756" t="e">
        <f t="shared" si="217"/>
        <v>#N/A</v>
      </c>
    </row>
    <row r="52" spans="1:127" s="6" customFormat="1" x14ac:dyDescent="0.35">
      <c r="A52" s="273"/>
      <c r="B52" s="65" t="s">
        <v>1387</v>
      </c>
      <c r="C52" s="18"/>
      <c r="D52" s="18"/>
      <c r="E52" s="509"/>
      <c r="G52" s="218" t="s">
        <v>1422</v>
      </c>
      <c r="H52" s="65"/>
      <c r="I52" s="65"/>
      <c r="J52" s="65"/>
      <c r="K52" s="65"/>
      <c r="L52" s="65"/>
      <c r="M52" s="65"/>
      <c r="N52" s="65"/>
      <c r="O52" s="65"/>
      <c r="P52" s="65"/>
      <c r="Q52" s="65"/>
      <c r="R52" s="65"/>
      <c r="S52" s="65"/>
      <c r="T52" s="65"/>
      <c r="U52" s="65"/>
      <c r="V52" s="758" t="e">
        <f t="shared" ref="V52:BA52" si="218">SerieCO2avgiftsbane/1000*SerieCO2Utslipp_Fly</f>
        <v>#N/A</v>
      </c>
      <c r="W52" s="758" t="e">
        <f t="shared" si="218"/>
        <v>#N/A</v>
      </c>
      <c r="X52" s="758" t="e">
        <f t="shared" si="218"/>
        <v>#N/A</v>
      </c>
      <c r="Y52" s="758" t="e">
        <f t="shared" si="218"/>
        <v>#N/A</v>
      </c>
      <c r="Z52" s="758" t="e">
        <f t="shared" si="218"/>
        <v>#N/A</v>
      </c>
      <c r="AA52" s="758" t="e">
        <f t="shared" si="218"/>
        <v>#N/A</v>
      </c>
      <c r="AB52" s="758" t="e">
        <f t="shared" si="218"/>
        <v>#N/A</v>
      </c>
      <c r="AC52" s="758" t="e">
        <f t="shared" si="218"/>
        <v>#N/A</v>
      </c>
      <c r="AD52" s="758" t="e">
        <f t="shared" si="218"/>
        <v>#N/A</v>
      </c>
      <c r="AE52" s="758" t="e">
        <f t="shared" si="218"/>
        <v>#N/A</v>
      </c>
      <c r="AF52" s="758" t="e">
        <f t="shared" si="218"/>
        <v>#N/A</v>
      </c>
      <c r="AG52" s="758" t="e">
        <f t="shared" si="218"/>
        <v>#N/A</v>
      </c>
      <c r="AH52" s="758" t="e">
        <f t="shared" si="218"/>
        <v>#N/A</v>
      </c>
      <c r="AI52" s="758" t="e">
        <f t="shared" si="218"/>
        <v>#N/A</v>
      </c>
      <c r="AJ52" s="758" t="e">
        <f t="shared" si="218"/>
        <v>#N/A</v>
      </c>
      <c r="AK52" s="758" t="e">
        <f t="shared" si="218"/>
        <v>#N/A</v>
      </c>
      <c r="AL52" s="758" t="e">
        <f t="shared" si="218"/>
        <v>#N/A</v>
      </c>
      <c r="AM52" s="758" t="e">
        <f t="shared" si="218"/>
        <v>#N/A</v>
      </c>
      <c r="AN52" s="758" t="e">
        <f t="shared" si="218"/>
        <v>#N/A</v>
      </c>
      <c r="AO52" s="758" t="e">
        <f t="shared" si="218"/>
        <v>#N/A</v>
      </c>
      <c r="AP52" s="758" t="e">
        <f t="shared" si="218"/>
        <v>#N/A</v>
      </c>
      <c r="AQ52" s="758" t="e">
        <f t="shared" si="218"/>
        <v>#N/A</v>
      </c>
      <c r="AR52" s="758" t="e">
        <f t="shared" si="218"/>
        <v>#N/A</v>
      </c>
      <c r="AS52" s="758" t="e">
        <f t="shared" si="218"/>
        <v>#N/A</v>
      </c>
      <c r="AT52" s="758" t="e">
        <f t="shared" si="218"/>
        <v>#N/A</v>
      </c>
      <c r="AU52" s="758" t="e">
        <f t="shared" si="218"/>
        <v>#N/A</v>
      </c>
      <c r="AV52" s="758" t="e">
        <f t="shared" si="218"/>
        <v>#N/A</v>
      </c>
      <c r="AW52" s="758" t="e">
        <f t="shared" si="218"/>
        <v>#N/A</v>
      </c>
      <c r="AX52" s="758" t="e">
        <f t="shared" si="218"/>
        <v>#N/A</v>
      </c>
      <c r="AY52" s="758" t="e">
        <f t="shared" si="218"/>
        <v>#N/A</v>
      </c>
      <c r="AZ52" s="758" t="e">
        <f t="shared" si="218"/>
        <v>#N/A</v>
      </c>
      <c r="BA52" s="758" t="e">
        <f t="shared" si="218"/>
        <v>#N/A</v>
      </c>
      <c r="BB52" s="758" t="e">
        <f t="shared" ref="BB52:CG52" si="219">SerieCO2avgiftsbane/1000*SerieCO2Utslipp_Fly</f>
        <v>#N/A</v>
      </c>
      <c r="BC52" s="758" t="e">
        <f t="shared" si="219"/>
        <v>#N/A</v>
      </c>
      <c r="BD52" s="758" t="e">
        <f t="shared" si="219"/>
        <v>#N/A</v>
      </c>
      <c r="BE52" s="758" t="e">
        <f t="shared" si="219"/>
        <v>#N/A</v>
      </c>
      <c r="BF52" s="758" t="e">
        <f t="shared" si="219"/>
        <v>#N/A</v>
      </c>
      <c r="BG52" s="758" t="e">
        <f t="shared" si="219"/>
        <v>#N/A</v>
      </c>
      <c r="BH52" s="758" t="e">
        <f t="shared" si="219"/>
        <v>#N/A</v>
      </c>
      <c r="BI52" s="758" t="e">
        <f t="shared" si="219"/>
        <v>#N/A</v>
      </c>
      <c r="BJ52" s="758" t="e">
        <f t="shared" si="219"/>
        <v>#N/A</v>
      </c>
      <c r="BK52" s="758" t="e">
        <f t="shared" si="219"/>
        <v>#N/A</v>
      </c>
      <c r="BL52" s="758" t="e">
        <f t="shared" si="219"/>
        <v>#N/A</v>
      </c>
      <c r="BM52" s="758" t="e">
        <f t="shared" si="219"/>
        <v>#N/A</v>
      </c>
      <c r="BN52" s="758" t="e">
        <f t="shared" si="219"/>
        <v>#N/A</v>
      </c>
      <c r="BO52" s="758" t="e">
        <f t="shared" si="219"/>
        <v>#N/A</v>
      </c>
      <c r="BP52" s="758" t="e">
        <f t="shared" si="219"/>
        <v>#N/A</v>
      </c>
      <c r="BQ52" s="758" t="e">
        <f t="shared" si="219"/>
        <v>#N/A</v>
      </c>
      <c r="BR52" s="758" t="e">
        <f t="shared" si="219"/>
        <v>#N/A</v>
      </c>
      <c r="BS52" s="758" t="e">
        <f t="shared" si="219"/>
        <v>#N/A</v>
      </c>
      <c r="BT52" s="758" t="e">
        <f t="shared" si="219"/>
        <v>#N/A</v>
      </c>
      <c r="BU52" s="758" t="e">
        <f t="shared" si="219"/>
        <v>#N/A</v>
      </c>
      <c r="BV52" s="758" t="e">
        <f t="shared" si="219"/>
        <v>#N/A</v>
      </c>
      <c r="BW52" s="758" t="e">
        <f t="shared" si="219"/>
        <v>#N/A</v>
      </c>
      <c r="BX52" s="758" t="e">
        <f t="shared" si="219"/>
        <v>#N/A</v>
      </c>
      <c r="BY52" s="758" t="e">
        <f t="shared" si="219"/>
        <v>#N/A</v>
      </c>
      <c r="BZ52" s="758" t="e">
        <f t="shared" si="219"/>
        <v>#N/A</v>
      </c>
      <c r="CA52" s="758" t="e">
        <f t="shared" si="219"/>
        <v>#N/A</v>
      </c>
      <c r="CB52" s="758" t="e">
        <f t="shared" si="219"/>
        <v>#N/A</v>
      </c>
      <c r="CC52" s="758" t="e">
        <f t="shared" si="219"/>
        <v>#N/A</v>
      </c>
      <c r="CD52" s="758" t="e">
        <f t="shared" si="219"/>
        <v>#N/A</v>
      </c>
      <c r="CE52" s="758" t="e">
        <f t="shared" si="219"/>
        <v>#N/A</v>
      </c>
      <c r="CF52" s="758" t="e">
        <f t="shared" si="219"/>
        <v>#N/A</v>
      </c>
      <c r="CG52" s="758" t="e">
        <f t="shared" si="219"/>
        <v>#N/A</v>
      </c>
      <c r="CH52" s="758" t="e">
        <f t="shared" ref="CH52:DW52" si="220">SerieCO2avgiftsbane/1000*SerieCO2Utslipp_Fly</f>
        <v>#N/A</v>
      </c>
      <c r="CI52" s="758" t="e">
        <f t="shared" si="220"/>
        <v>#N/A</v>
      </c>
      <c r="CJ52" s="758" t="e">
        <f t="shared" si="220"/>
        <v>#N/A</v>
      </c>
      <c r="CK52" s="758" t="e">
        <f t="shared" si="220"/>
        <v>#N/A</v>
      </c>
      <c r="CL52" s="758" t="e">
        <f t="shared" si="220"/>
        <v>#N/A</v>
      </c>
      <c r="CM52" s="758" t="e">
        <f t="shared" si="220"/>
        <v>#N/A</v>
      </c>
      <c r="CN52" s="758" t="e">
        <f t="shared" si="220"/>
        <v>#N/A</v>
      </c>
      <c r="CO52" s="758" t="e">
        <f t="shared" si="220"/>
        <v>#N/A</v>
      </c>
      <c r="CP52" s="758" t="e">
        <f t="shared" si="220"/>
        <v>#N/A</v>
      </c>
      <c r="CQ52" s="758" t="e">
        <f t="shared" si="220"/>
        <v>#N/A</v>
      </c>
      <c r="CR52" s="758" t="e">
        <f t="shared" si="220"/>
        <v>#N/A</v>
      </c>
      <c r="CS52" s="758" t="e">
        <f t="shared" si="220"/>
        <v>#N/A</v>
      </c>
      <c r="CT52" s="758" t="e">
        <f t="shared" si="220"/>
        <v>#N/A</v>
      </c>
      <c r="CU52" s="758" t="e">
        <f t="shared" si="220"/>
        <v>#N/A</v>
      </c>
      <c r="CV52" s="758" t="e">
        <f t="shared" si="220"/>
        <v>#N/A</v>
      </c>
      <c r="CW52" s="758" t="e">
        <f t="shared" si="220"/>
        <v>#N/A</v>
      </c>
      <c r="CX52" s="1130" t="e">
        <f t="shared" si="220"/>
        <v>#N/A</v>
      </c>
      <c r="CY52" s="757" t="e">
        <f t="shared" si="220"/>
        <v>#N/A</v>
      </c>
      <c r="CZ52" s="757" t="e">
        <f t="shared" si="220"/>
        <v>#N/A</v>
      </c>
      <c r="DA52" s="757" t="e">
        <f t="shared" si="220"/>
        <v>#N/A</v>
      </c>
      <c r="DB52" s="757" t="e">
        <f t="shared" si="220"/>
        <v>#N/A</v>
      </c>
      <c r="DC52" s="757" t="e">
        <f t="shared" si="220"/>
        <v>#N/A</v>
      </c>
      <c r="DD52" s="757" t="e">
        <f t="shared" si="220"/>
        <v>#N/A</v>
      </c>
      <c r="DE52" s="757" t="e">
        <f t="shared" si="220"/>
        <v>#N/A</v>
      </c>
      <c r="DF52" s="757" t="e">
        <f t="shared" si="220"/>
        <v>#N/A</v>
      </c>
      <c r="DG52" s="757" t="e">
        <f t="shared" si="220"/>
        <v>#N/A</v>
      </c>
      <c r="DH52" s="757" t="e">
        <f t="shared" si="220"/>
        <v>#N/A</v>
      </c>
      <c r="DI52" s="757" t="e">
        <f t="shared" si="220"/>
        <v>#N/A</v>
      </c>
      <c r="DJ52" s="757" t="e">
        <f t="shared" si="220"/>
        <v>#N/A</v>
      </c>
      <c r="DK52" s="757" t="e">
        <f t="shared" si="220"/>
        <v>#N/A</v>
      </c>
      <c r="DL52" s="757" t="e">
        <f t="shared" si="220"/>
        <v>#N/A</v>
      </c>
      <c r="DM52" s="757" t="e">
        <f t="shared" si="220"/>
        <v>#N/A</v>
      </c>
      <c r="DN52" s="757" t="e">
        <f t="shared" si="220"/>
        <v>#N/A</v>
      </c>
      <c r="DO52" s="757" t="e">
        <f t="shared" si="220"/>
        <v>#N/A</v>
      </c>
      <c r="DP52" s="757" t="e">
        <f t="shared" si="220"/>
        <v>#N/A</v>
      </c>
      <c r="DQ52" s="757" t="e">
        <f t="shared" si="220"/>
        <v>#N/A</v>
      </c>
      <c r="DR52" s="757" t="e">
        <f t="shared" si="220"/>
        <v>#N/A</v>
      </c>
      <c r="DS52" s="757" t="e">
        <f t="shared" si="220"/>
        <v>#N/A</v>
      </c>
      <c r="DT52" s="757" t="e">
        <f t="shared" si="220"/>
        <v>#N/A</v>
      </c>
      <c r="DU52" s="757" t="e">
        <f t="shared" si="220"/>
        <v>#N/A</v>
      </c>
      <c r="DV52" s="757" t="e">
        <f t="shared" si="220"/>
        <v>#N/A</v>
      </c>
      <c r="DW52" s="756" t="e">
        <f t="shared" si="220"/>
        <v>#N/A</v>
      </c>
    </row>
    <row r="53" spans="1:127" s="6" customFormat="1" ht="15" thickBot="1" x14ac:dyDescent="0.4">
      <c r="A53" s="273"/>
      <c r="B53" s="65" t="s">
        <v>1387</v>
      </c>
      <c r="C53" s="18"/>
      <c r="D53" s="18"/>
      <c r="E53" s="509"/>
      <c r="G53" s="218" t="s">
        <v>1423</v>
      </c>
      <c r="H53" s="65"/>
      <c r="I53" s="996"/>
      <c r="J53" s="267"/>
      <c r="K53" s="267"/>
      <c r="L53" s="267"/>
      <c r="M53" s="267"/>
      <c r="N53" s="267"/>
      <c r="O53" s="267"/>
      <c r="P53" s="267"/>
      <c r="Q53" s="267"/>
      <c r="R53" s="267"/>
      <c r="S53" s="267"/>
      <c r="T53" s="267"/>
      <c r="U53" s="267"/>
      <c r="V53" s="759" t="e">
        <f t="shared" ref="V53:BA53" si="221">SerieCO2avgiftsbane/1000*SerieCO2Utslipp_Skip</f>
        <v>#N/A</v>
      </c>
      <c r="W53" s="759" t="e">
        <f t="shared" si="221"/>
        <v>#N/A</v>
      </c>
      <c r="X53" s="759" t="e">
        <f t="shared" si="221"/>
        <v>#N/A</v>
      </c>
      <c r="Y53" s="759" t="e">
        <f t="shared" si="221"/>
        <v>#N/A</v>
      </c>
      <c r="Z53" s="759" t="e">
        <f t="shared" si="221"/>
        <v>#N/A</v>
      </c>
      <c r="AA53" s="759" t="e">
        <f t="shared" si="221"/>
        <v>#N/A</v>
      </c>
      <c r="AB53" s="759" t="e">
        <f t="shared" si="221"/>
        <v>#N/A</v>
      </c>
      <c r="AC53" s="759" t="e">
        <f t="shared" si="221"/>
        <v>#N/A</v>
      </c>
      <c r="AD53" s="759" t="e">
        <f t="shared" si="221"/>
        <v>#N/A</v>
      </c>
      <c r="AE53" s="759" t="e">
        <f t="shared" si="221"/>
        <v>#N/A</v>
      </c>
      <c r="AF53" s="759" t="e">
        <f t="shared" si="221"/>
        <v>#N/A</v>
      </c>
      <c r="AG53" s="759" t="e">
        <f t="shared" si="221"/>
        <v>#N/A</v>
      </c>
      <c r="AH53" s="759" t="e">
        <f t="shared" si="221"/>
        <v>#N/A</v>
      </c>
      <c r="AI53" s="759" t="e">
        <f t="shared" si="221"/>
        <v>#N/A</v>
      </c>
      <c r="AJ53" s="759" t="e">
        <f t="shared" si="221"/>
        <v>#N/A</v>
      </c>
      <c r="AK53" s="759" t="e">
        <f t="shared" si="221"/>
        <v>#N/A</v>
      </c>
      <c r="AL53" s="759" t="e">
        <f t="shared" si="221"/>
        <v>#N/A</v>
      </c>
      <c r="AM53" s="759" t="e">
        <f t="shared" si="221"/>
        <v>#N/A</v>
      </c>
      <c r="AN53" s="759" t="e">
        <f t="shared" si="221"/>
        <v>#N/A</v>
      </c>
      <c r="AO53" s="759" t="e">
        <f t="shared" si="221"/>
        <v>#N/A</v>
      </c>
      <c r="AP53" s="759" t="e">
        <f t="shared" si="221"/>
        <v>#N/A</v>
      </c>
      <c r="AQ53" s="759" t="e">
        <f t="shared" si="221"/>
        <v>#N/A</v>
      </c>
      <c r="AR53" s="759" t="e">
        <f t="shared" si="221"/>
        <v>#N/A</v>
      </c>
      <c r="AS53" s="759" t="e">
        <f t="shared" si="221"/>
        <v>#N/A</v>
      </c>
      <c r="AT53" s="759" t="e">
        <f t="shared" si="221"/>
        <v>#N/A</v>
      </c>
      <c r="AU53" s="759" t="e">
        <f t="shared" si="221"/>
        <v>#N/A</v>
      </c>
      <c r="AV53" s="759" t="e">
        <f t="shared" si="221"/>
        <v>#N/A</v>
      </c>
      <c r="AW53" s="759" t="e">
        <f t="shared" si="221"/>
        <v>#N/A</v>
      </c>
      <c r="AX53" s="759" t="e">
        <f t="shared" si="221"/>
        <v>#N/A</v>
      </c>
      <c r="AY53" s="759" t="e">
        <f t="shared" si="221"/>
        <v>#N/A</v>
      </c>
      <c r="AZ53" s="759" t="e">
        <f t="shared" si="221"/>
        <v>#N/A</v>
      </c>
      <c r="BA53" s="759" t="e">
        <f t="shared" si="221"/>
        <v>#N/A</v>
      </c>
      <c r="BB53" s="759" t="e">
        <f t="shared" ref="BB53:CG53" si="222">SerieCO2avgiftsbane/1000*SerieCO2Utslipp_Skip</f>
        <v>#N/A</v>
      </c>
      <c r="BC53" s="759" t="e">
        <f t="shared" si="222"/>
        <v>#N/A</v>
      </c>
      <c r="BD53" s="759" t="e">
        <f t="shared" si="222"/>
        <v>#N/A</v>
      </c>
      <c r="BE53" s="759" t="e">
        <f t="shared" si="222"/>
        <v>#N/A</v>
      </c>
      <c r="BF53" s="759" t="e">
        <f t="shared" si="222"/>
        <v>#N/A</v>
      </c>
      <c r="BG53" s="759" t="e">
        <f t="shared" si="222"/>
        <v>#N/A</v>
      </c>
      <c r="BH53" s="759" t="e">
        <f t="shared" si="222"/>
        <v>#N/A</v>
      </c>
      <c r="BI53" s="759" t="e">
        <f t="shared" si="222"/>
        <v>#N/A</v>
      </c>
      <c r="BJ53" s="759" t="e">
        <f t="shared" si="222"/>
        <v>#N/A</v>
      </c>
      <c r="BK53" s="759" t="e">
        <f t="shared" si="222"/>
        <v>#N/A</v>
      </c>
      <c r="BL53" s="759" t="e">
        <f t="shared" si="222"/>
        <v>#N/A</v>
      </c>
      <c r="BM53" s="759" t="e">
        <f t="shared" si="222"/>
        <v>#N/A</v>
      </c>
      <c r="BN53" s="759" t="e">
        <f t="shared" si="222"/>
        <v>#N/A</v>
      </c>
      <c r="BO53" s="759" t="e">
        <f t="shared" si="222"/>
        <v>#N/A</v>
      </c>
      <c r="BP53" s="759" t="e">
        <f t="shared" si="222"/>
        <v>#N/A</v>
      </c>
      <c r="BQ53" s="759" t="e">
        <f t="shared" si="222"/>
        <v>#N/A</v>
      </c>
      <c r="BR53" s="759" t="e">
        <f t="shared" si="222"/>
        <v>#N/A</v>
      </c>
      <c r="BS53" s="759" t="e">
        <f t="shared" si="222"/>
        <v>#N/A</v>
      </c>
      <c r="BT53" s="759" t="e">
        <f t="shared" si="222"/>
        <v>#N/A</v>
      </c>
      <c r="BU53" s="759" t="e">
        <f t="shared" si="222"/>
        <v>#N/A</v>
      </c>
      <c r="BV53" s="759" t="e">
        <f t="shared" si="222"/>
        <v>#N/A</v>
      </c>
      <c r="BW53" s="759" t="e">
        <f t="shared" si="222"/>
        <v>#N/A</v>
      </c>
      <c r="BX53" s="759" t="e">
        <f t="shared" si="222"/>
        <v>#N/A</v>
      </c>
      <c r="BY53" s="759" t="e">
        <f t="shared" si="222"/>
        <v>#N/A</v>
      </c>
      <c r="BZ53" s="759" t="e">
        <f t="shared" si="222"/>
        <v>#N/A</v>
      </c>
      <c r="CA53" s="759" t="e">
        <f t="shared" si="222"/>
        <v>#N/A</v>
      </c>
      <c r="CB53" s="759" t="e">
        <f t="shared" si="222"/>
        <v>#N/A</v>
      </c>
      <c r="CC53" s="759" t="e">
        <f t="shared" si="222"/>
        <v>#N/A</v>
      </c>
      <c r="CD53" s="759" t="e">
        <f t="shared" si="222"/>
        <v>#N/A</v>
      </c>
      <c r="CE53" s="759" t="e">
        <f t="shared" si="222"/>
        <v>#N/A</v>
      </c>
      <c r="CF53" s="759" t="e">
        <f t="shared" si="222"/>
        <v>#N/A</v>
      </c>
      <c r="CG53" s="759" t="e">
        <f t="shared" si="222"/>
        <v>#N/A</v>
      </c>
      <c r="CH53" s="759" t="e">
        <f t="shared" ref="CH53:DW53" si="223">SerieCO2avgiftsbane/1000*SerieCO2Utslipp_Skip</f>
        <v>#N/A</v>
      </c>
      <c r="CI53" s="759" t="e">
        <f t="shared" si="223"/>
        <v>#N/A</v>
      </c>
      <c r="CJ53" s="759" t="e">
        <f t="shared" si="223"/>
        <v>#N/A</v>
      </c>
      <c r="CK53" s="759" t="e">
        <f t="shared" si="223"/>
        <v>#N/A</v>
      </c>
      <c r="CL53" s="759" t="e">
        <f t="shared" si="223"/>
        <v>#N/A</v>
      </c>
      <c r="CM53" s="759" t="e">
        <f t="shared" si="223"/>
        <v>#N/A</v>
      </c>
      <c r="CN53" s="759" t="e">
        <f t="shared" si="223"/>
        <v>#N/A</v>
      </c>
      <c r="CO53" s="759" t="e">
        <f t="shared" si="223"/>
        <v>#N/A</v>
      </c>
      <c r="CP53" s="759" t="e">
        <f t="shared" si="223"/>
        <v>#N/A</v>
      </c>
      <c r="CQ53" s="759" t="e">
        <f t="shared" si="223"/>
        <v>#N/A</v>
      </c>
      <c r="CR53" s="759" t="e">
        <f t="shared" si="223"/>
        <v>#N/A</v>
      </c>
      <c r="CS53" s="759" t="e">
        <f t="shared" si="223"/>
        <v>#N/A</v>
      </c>
      <c r="CT53" s="759" t="e">
        <f t="shared" si="223"/>
        <v>#N/A</v>
      </c>
      <c r="CU53" s="759" t="e">
        <f t="shared" si="223"/>
        <v>#N/A</v>
      </c>
      <c r="CV53" s="759" t="e">
        <f t="shared" si="223"/>
        <v>#N/A</v>
      </c>
      <c r="CW53" s="759" t="e">
        <f t="shared" si="223"/>
        <v>#N/A</v>
      </c>
      <c r="CX53" s="1131" t="e">
        <f t="shared" si="223"/>
        <v>#N/A</v>
      </c>
      <c r="CY53" s="759" t="e">
        <f t="shared" si="223"/>
        <v>#N/A</v>
      </c>
      <c r="CZ53" s="759" t="e">
        <f t="shared" si="223"/>
        <v>#N/A</v>
      </c>
      <c r="DA53" s="759" t="e">
        <f t="shared" si="223"/>
        <v>#N/A</v>
      </c>
      <c r="DB53" s="759" t="e">
        <f t="shared" si="223"/>
        <v>#N/A</v>
      </c>
      <c r="DC53" s="759" t="e">
        <f t="shared" si="223"/>
        <v>#N/A</v>
      </c>
      <c r="DD53" s="759" t="e">
        <f t="shared" si="223"/>
        <v>#N/A</v>
      </c>
      <c r="DE53" s="759" t="e">
        <f t="shared" si="223"/>
        <v>#N/A</v>
      </c>
      <c r="DF53" s="759" t="e">
        <f t="shared" si="223"/>
        <v>#N/A</v>
      </c>
      <c r="DG53" s="759" t="e">
        <f t="shared" si="223"/>
        <v>#N/A</v>
      </c>
      <c r="DH53" s="759" t="e">
        <f t="shared" si="223"/>
        <v>#N/A</v>
      </c>
      <c r="DI53" s="759" t="e">
        <f t="shared" si="223"/>
        <v>#N/A</v>
      </c>
      <c r="DJ53" s="759" t="e">
        <f t="shared" si="223"/>
        <v>#N/A</v>
      </c>
      <c r="DK53" s="759" t="e">
        <f t="shared" si="223"/>
        <v>#N/A</v>
      </c>
      <c r="DL53" s="759" t="e">
        <f t="shared" si="223"/>
        <v>#N/A</v>
      </c>
      <c r="DM53" s="759" t="e">
        <f t="shared" si="223"/>
        <v>#N/A</v>
      </c>
      <c r="DN53" s="759" t="e">
        <f t="shared" si="223"/>
        <v>#N/A</v>
      </c>
      <c r="DO53" s="759" t="e">
        <f t="shared" si="223"/>
        <v>#N/A</v>
      </c>
      <c r="DP53" s="759" t="e">
        <f t="shared" si="223"/>
        <v>#N/A</v>
      </c>
      <c r="DQ53" s="759" t="e">
        <f t="shared" si="223"/>
        <v>#N/A</v>
      </c>
      <c r="DR53" s="759" t="e">
        <f t="shared" si="223"/>
        <v>#N/A</v>
      </c>
      <c r="DS53" s="759" t="e">
        <f t="shared" si="223"/>
        <v>#N/A</v>
      </c>
      <c r="DT53" s="759" t="e">
        <f t="shared" si="223"/>
        <v>#N/A</v>
      </c>
      <c r="DU53" s="759" t="e">
        <f t="shared" si="223"/>
        <v>#N/A</v>
      </c>
      <c r="DV53" s="759" t="e">
        <f t="shared" si="223"/>
        <v>#N/A</v>
      </c>
      <c r="DW53" s="760" t="e">
        <f t="shared" si="223"/>
        <v>#N/A</v>
      </c>
    </row>
    <row r="54" spans="1:127" x14ac:dyDescent="0.35">
      <c r="A54" s="287"/>
      <c r="B54" s="65" t="s">
        <v>1387</v>
      </c>
      <c r="C54" s="65"/>
      <c r="D54" s="65"/>
      <c r="E54" s="217"/>
      <c r="G54" s="254" t="str">
        <f>CONCATENATE("KPI-justering investering "&amp;Investering_Kroneår&amp;" - "&amp;KroneårIBeregninger)</f>
        <v xml:space="preserve">KPI-justering investering  - </v>
      </c>
      <c r="H54" s="1119">
        <f>_xlfn.IFNA(LOOKUP(KroneårIBeregninger,StatistikkOgPrognoseÅr,BKIIndeks)/LOOKUP(Investering_Kroneår,StatistikkOgPrognoseÅr,BKIIndeks),0)</f>
        <v>0</v>
      </c>
    </row>
    <row r="55" spans="1:127" x14ac:dyDescent="0.35">
      <c r="A55" s="287"/>
      <c r="B55" s="65" t="s">
        <v>1387</v>
      </c>
      <c r="C55" s="65"/>
      <c r="D55" s="65"/>
      <c r="E55" s="217"/>
      <c r="F55" s="6"/>
      <c r="G55" s="218" t="str">
        <f>CONCATENATE("KPI-justering tidskostnader i transportmodell "&amp;Tidskostnader_Kroneår &amp;" - "&amp;KroneårIBeregninger)</f>
        <v xml:space="preserve">KPI-justering tidskostnader i transportmodell  - </v>
      </c>
      <c r="H55" s="1119">
        <f>_xlfn.IFNA(LOOKUP(KroneårIBeregninger,StatistikkOgPrognoseÅr,KPIIndeks)/LOOKUP(Tidskostnader_Kroneår,StatistikkOgPrognoseÅr,KPIIndeks),0)</f>
        <v>0</v>
      </c>
      <c r="I55" s="6"/>
      <c r="J55" s="6"/>
      <c r="K55" s="6"/>
      <c r="L55" s="6"/>
      <c r="AB55" s="1178"/>
      <c r="AC55" s="1178"/>
      <c r="AD55" s="1178"/>
      <c r="AE55" s="61"/>
      <c r="AF55" s="61"/>
      <c r="AG55" s="61"/>
      <c r="AH55" s="61"/>
      <c r="AI55" s="61"/>
      <c r="AJ55" s="61"/>
      <c r="AK55" s="61"/>
      <c r="AL55" s="61"/>
      <c r="AM55" s="61"/>
      <c r="AN55" s="61"/>
      <c r="AO55" s="61"/>
      <c r="AP55" s="61"/>
      <c r="AQ55" s="61"/>
    </row>
    <row r="56" spans="1:127" x14ac:dyDescent="0.35">
      <c r="A56" s="287"/>
      <c r="B56" s="65" t="s">
        <v>1387</v>
      </c>
      <c r="C56" s="65"/>
      <c r="D56" s="65"/>
      <c r="E56" s="217"/>
      <c r="G56" s="218" t="str">
        <f>CONCATENATE("KPI-justering takster i transportmodell  "&amp;Takster_Kroneår&amp;" - "&amp;KroneårIBeregninger)</f>
        <v xml:space="preserve">KPI-justering takster i transportmodell   - </v>
      </c>
      <c r="H56" s="1119">
        <f>_xlfn.IFNA(LOOKUP(KroneårIBeregninger,StatistikkOgPrognoseÅr,KPIIndeks)/LOOKUP(Takster_Kroneår,StatistikkOgPrognoseÅr,KPIIndeks),0)</f>
        <v>0</v>
      </c>
      <c r="I56" s="6"/>
      <c r="J56" s="6"/>
      <c r="K56" s="6"/>
      <c r="L56" s="6"/>
      <c r="Z56" s="1117"/>
      <c r="AD56" s="1117"/>
      <c r="AE56" s="61"/>
      <c r="AF56" s="61"/>
      <c r="AG56" s="61"/>
      <c r="AH56" s="61"/>
      <c r="AI56" s="61"/>
      <c r="AJ56" s="61"/>
      <c r="AK56" s="61"/>
      <c r="AL56" s="61"/>
      <c r="AM56" s="61"/>
      <c r="AN56" s="61"/>
      <c r="AO56" s="61"/>
      <c r="AP56" s="61"/>
      <c r="AQ56" s="61"/>
      <c r="AR56" s="61"/>
      <c r="AS56" s="61"/>
      <c r="AT56" s="61"/>
      <c r="AU56" s="61"/>
      <c r="AV56" s="61"/>
      <c r="AW56" s="61"/>
      <c r="AX56" s="61"/>
      <c r="AY56" s="61"/>
      <c r="AZ56" s="61"/>
      <c r="BA56" s="61"/>
      <c r="BB56" s="61"/>
    </row>
    <row r="57" spans="1:127" x14ac:dyDescent="0.35">
      <c r="A57" s="287"/>
      <c r="B57" s="65" t="s">
        <v>1387</v>
      </c>
      <c r="C57" s="65"/>
      <c r="D57" s="65"/>
      <c r="E57" s="217"/>
      <c r="G57" s="218" t="str">
        <f>CONCATENATE("KPI-justering transportkostnader i godsmodell  "&amp;TransportkostnaderGods_Kroneår&amp;" - "&amp;KroneårIBeregninger)</f>
        <v xml:space="preserve">KPI-justering transportkostnader i godsmodell  2021 - </v>
      </c>
      <c r="H57" s="1119">
        <f>_xlfn.IFNA(LOOKUP(KroneårIBeregninger,StatistikkOgPrognoseÅr,KPIIndeks)/LOOKUP(TransportkostnaderGods_Kroneår,StatistikkOgPrognoseÅr,KPIIndeks),0)</f>
        <v>0</v>
      </c>
      <c r="I57" s="6"/>
      <c r="J57" s="6"/>
      <c r="K57" s="6"/>
      <c r="L57" s="6"/>
      <c r="Z57" s="1117"/>
      <c r="AD57" s="1117"/>
      <c r="AE57" s="61"/>
      <c r="AF57" s="61"/>
      <c r="AG57" s="61"/>
      <c r="AH57" s="61"/>
      <c r="AI57" s="61"/>
      <c r="AJ57" s="61"/>
      <c r="AK57" s="61"/>
      <c r="AL57" s="61"/>
      <c r="AM57" s="61"/>
      <c r="AN57" s="61"/>
      <c r="AO57" s="61"/>
      <c r="AP57" s="61"/>
      <c r="AQ57" s="61"/>
      <c r="AR57" s="61"/>
      <c r="AS57" s="61"/>
      <c r="AT57" s="61"/>
      <c r="AU57" s="61"/>
      <c r="AV57" s="61"/>
      <c r="AW57" s="61"/>
      <c r="AX57" s="61"/>
      <c r="AY57" s="61"/>
      <c r="AZ57" s="61"/>
      <c r="BA57" s="61"/>
      <c r="BB57" s="61"/>
      <c r="BC57" s="61"/>
      <c r="BD57" s="61"/>
      <c r="BE57" s="61"/>
      <c r="BF57" s="61"/>
      <c r="BG57" s="61"/>
      <c r="BH57" s="61"/>
      <c r="BI57" s="61"/>
      <c r="BJ57" s="61"/>
      <c r="BK57" s="61"/>
      <c r="BL57" s="61"/>
      <c r="BM57" s="61"/>
      <c r="BN57" s="61"/>
      <c r="BO57" s="61"/>
      <c r="BP57" s="61"/>
      <c r="BQ57" s="61"/>
      <c r="BR57" s="61"/>
      <c r="BS57" s="61"/>
      <c r="BT57" s="61"/>
      <c r="BU57" s="61"/>
      <c r="BV57" s="61"/>
      <c r="BW57" s="61"/>
      <c r="BX57" s="61"/>
      <c r="BY57" s="61"/>
      <c r="BZ57" s="61"/>
      <c r="CA57" s="61"/>
      <c r="CB57" s="61"/>
      <c r="CC57" s="61"/>
      <c r="CD57" s="61"/>
      <c r="CE57" s="61"/>
      <c r="CF57" s="61"/>
      <c r="CG57" s="61"/>
      <c r="CH57" s="61"/>
      <c r="CI57" s="61"/>
      <c r="CJ57" s="61"/>
      <c r="CK57" s="61"/>
      <c r="CL57" s="61"/>
      <c r="CM57" s="61"/>
      <c r="CN57" s="61"/>
      <c r="CO57" s="61"/>
      <c r="CP57" s="61"/>
      <c r="CQ57" s="61"/>
    </row>
    <row r="58" spans="1:127" x14ac:dyDescent="0.35">
      <c r="A58" s="287"/>
      <c r="B58" s="65" t="s">
        <v>1387</v>
      </c>
      <c r="C58" s="65"/>
      <c r="D58" s="65"/>
      <c r="E58" s="217"/>
      <c r="G58" s="218" t="str">
        <f>CONCATENATE("KPI-justering generelt, "&amp;SisteStatistikkÅr&amp;" - "&amp;KroneårIBeregninger)</f>
        <v xml:space="preserve">KPI-justering generelt, 2025 - </v>
      </c>
      <c r="H58" s="1119" t="e">
        <f>LOOKUP(KroneårIBeregninger,StatistikkOgPrognoseÅr,KPIIndeks)</f>
        <v>#N/A</v>
      </c>
      <c r="I58" s="6"/>
      <c r="J58" s="6"/>
      <c r="K58" s="6"/>
      <c r="L58" s="6"/>
      <c r="M58" s="396"/>
      <c r="AD58" s="1091"/>
      <c r="AE58" s="61"/>
      <c r="AF58" s="61"/>
      <c r="AG58" s="61"/>
      <c r="AH58" s="61"/>
      <c r="AI58" s="61"/>
      <c r="AJ58" s="61"/>
      <c r="AK58" s="61"/>
      <c r="AL58" s="61"/>
      <c r="AM58" s="61"/>
      <c r="AN58" s="61"/>
      <c r="AO58" s="61"/>
      <c r="AP58" s="61"/>
      <c r="AQ58" s="61"/>
      <c r="AR58" s="61"/>
      <c r="AS58" s="61"/>
      <c r="AT58" s="61"/>
      <c r="AU58" s="61"/>
    </row>
    <row r="59" spans="1:127" x14ac:dyDescent="0.35">
      <c r="A59" s="287"/>
      <c r="B59" s="65" t="s">
        <v>1387</v>
      </c>
      <c r="C59" s="65"/>
      <c r="D59" s="65"/>
      <c r="E59" s="217"/>
      <c r="F59" s="6"/>
      <c r="G59" s="254" t="str">
        <f>CONCATENATE("BNP-justering,  "&amp;SisteStatistikkÅr&amp;" - "&amp;KroneårIBeregninger)</f>
        <v xml:space="preserve">BNP-justering,  2025 - </v>
      </c>
      <c r="H59" s="1120" t="e">
        <f>LOOKUP(KroneårIBeregninger,StatistikkOgPrognoseÅr,BNPIndeks)</f>
        <v>#N/A</v>
      </c>
      <c r="I59" s="6"/>
      <c r="J59" s="6"/>
      <c r="K59" s="6"/>
      <c r="L59" s="6"/>
      <c r="AD59" s="1091"/>
      <c r="AE59" s="61"/>
      <c r="AF59" s="61"/>
      <c r="AG59" s="61"/>
      <c r="AH59" s="61"/>
      <c r="AI59" s="61"/>
      <c r="AJ59" s="61"/>
      <c r="AK59" s="61"/>
      <c r="AL59" s="61"/>
      <c r="AM59" s="61"/>
      <c r="AN59" s="61"/>
      <c r="AO59" s="61"/>
      <c r="AP59" s="61"/>
      <c r="AQ59" s="61"/>
      <c r="AR59" s="1091"/>
      <c r="AS59" s="1091"/>
      <c r="AT59" s="1091"/>
      <c r="AU59" s="1091"/>
    </row>
    <row r="60" spans="1:127" x14ac:dyDescent="0.35">
      <c r="A60" s="287"/>
      <c r="B60" s="65" t="s">
        <v>1387</v>
      </c>
      <c r="C60" s="65"/>
      <c r="D60" s="65"/>
      <c r="E60" s="217"/>
      <c r="F60" s="6"/>
      <c r="G60" s="218" t="str">
        <f>CONCATENATE("Lønnskostnadsjustering,  "&amp;SisteStatistikkÅr&amp;" - "&amp;KroneårIBeregninger)</f>
        <v xml:space="preserve">Lønnskostnadsjustering,  2025 - </v>
      </c>
      <c r="H60" s="1119" t="e">
        <f>LOOKUP(KroneårIBeregninger,StatistikkOgPrognoseÅr,Lønnskostnadsindeks)</f>
        <v>#N/A</v>
      </c>
      <c r="I60" s="6"/>
      <c r="J60" s="6"/>
      <c r="K60" s="6"/>
      <c r="L60" s="6"/>
      <c r="AG60" s="406"/>
      <c r="AH60" s="406"/>
      <c r="AI60" s="406"/>
      <c r="AJ60" s="406"/>
      <c r="AK60" s="406"/>
      <c r="AL60" s="406"/>
      <c r="AM60" s="406"/>
      <c r="AN60" s="406"/>
      <c r="AR60" s="1091"/>
      <c r="AS60" s="1091"/>
      <c r="AT60" s="1091"/>
      <c r="AU60" s="1091"/>
    </row>
    <row r="61" spans="1:127" x14ac:dyDescent="0.35">
      <c r="A61" s="287"/>
      <c r="B61" s="65" t="s">
        <v>1387</v>
      </c>
      <c r="C61" s="65"/>
      <c r="D61" s="65"/>
      <c r="E61" s="217"/>
      <c r="F61" s="1122"/>
      <c r="G61" s="65" t="str">
        <f>CONCATENATE("Realprisjustering "&amp;SistePrognoseÅr&amp;" - "&amp;KroneårIBeregninger)</f>
        <v xml:space="preserve">Realprisjustering 2027 - </v>
      </c>
      <c r="H61" s="1120" t="e" cm="1">
        <f t="array" ref="H61">LOOKUP(KroneårIBeregninger,StatistikkOgPrognoseÅr,Lønnskostnadsindeks*KPIIndeks)/LOOKUP(SistePrognoseÅr,StatistikkOgPrognoseÅr,Lønnskostnadsindeks*KPIIndeks)</f>
        <v>#N/A</v>
      </c>
      <c r="I61" s="6"/>
      <c r="J61" s="6"/>
      <c r="K61" s="6"/>
      <c r="L61" s="6"/>
      <c r="AD61" s="1091"/>
      <c r="AE61" s="61"/>
      <c r="AF61" s="61"/>
      <c r="AG61" s="406"/>
      <c r="AH61" s="1118"/>
      <c r="AI61" s="406"/>
      <c r="AJ61" s="406"/>
      <c r="AK61" s="406"/>
      <c r="AL61" s="406"/>
      <c r="AM61" s="406"/>
      <c r="AN61" s="61"/>
      <c r="AO61" s="61"/>
      <c r="AP61" s="61"/>
      <c r="AQ61" s="61"/>
      <c r="AR61" s="1091"/>
      <c r="AS61" s="1091"/>
      <c r="AT61" s="1091"/>
      <c r="AU61" s="1091"/>
    </row>
    <row r="62" spans="1:127" x14ac:dyDescent="0.35">
      <c r="A62" s="287"/>
      <c r="B62" s="65" t="s">
        <v>1387</v>
      </c>
      <c r="C62" s="65"/>
      <c r="D62" s="65"/>
      <c r="E62" s="217"/>
      <c r="F62" s="6"/>
      <c r="G62" s="218" t="str">
        <f>CONCATENATE("Realprisjustering "&amp;SisteStatistikkÅr&amp;" - "&amp;SistePrognoseÅr)</f>
        <v>Realprisjustering 2025 - 2027</v>
      </c>
      <c r="H62" s="1119">
        <f>LOOKUP(SistePrognoseÅr,StatistikkOgPrognoseÅr,Lønnskostnadsindeks)/LOOKUP(SisteStatistikkÅr,StatistikkOgPrognoseÅr,Lønnskostnadsindeks)</f>
        <v>1.0642633424999997</v>
      </c>
      <c r="I62" s="6"/>
      <c r="J62" s="6"/>
      <c r="K62" s="6"/>
      <c r="L62" s="6"/>
      <c r="AG62" s="406"/>
      <c r="AH62" s="406"/>
      <c r="AI62" s="406"/>
      <c r="AJ62" s="406"/>
      <c r="AK62" s="406"/>
      <c r="AL62" s="406"/>
      <c r="AM62" s="406"/>
    </row>
    <row r="63" spans="1:127" ht="16.5" customHeight="1" thickBot="1" x14ac:dyDescent="0.5">
      <c r="A63" s="287"/>
      <c r="B63" s="65" t="s">
        <v>1387</v>
      </c>
      <c r="C63" s="65"/>
      <c r="D63" s="65"/>
      <c r="E63" s="217"/>
      <c r="F63" s="6"/>
      <c r="G63" s="254" t="str">
        <f>CONCATENATE("BKI-justering drift og vedlikehold, "&amp;SisteStatistikkÅr&amp;" - "&amp;KroneårIBeregninger)</f>
        <v xml:space="preserve">BKI-justering drift og vedlikehold, 2025 - </v>
      </c>
      <c r="H63" s="1135" t="e">
        <f>LOOKUP(KroneårIBeregninger,StatistikkOgPrognoseÅr,BKIIndeksDV)</f>
        <v>#N/A</v>
      </c>
      <c r="P63" s="6"/>
      <c r="Q63" s="6"/>
      <c r="R63" s="6"/>
      <c r="S63" s="6"/>
      <c r="T63" s="6"/>
      <c r="U63" s="6"/>
      <c r="V63" s="6"/>
      <c r="W63" s="6"/>
      <c r="X63" s="6"/>
      <c r="Y63" s="6"/>
      <c r="Z63" s="6"/>
      <c r="AA63" s="6"/>
      <c r="AB63" s="6"/>
      <c r="AC63" s="6"/>
      <c r="AD63" s="1091"/>
      <c r="AE63" s="1091"/>
      <c r="AF63" s="1091"/>
      <c r="AG63" s="406"/>
      <c r="AH63" s="406"/>
      <c r="AI63" s="406"/>
      <c r="AJ63" s="406"/>
      <c r="AK63" s="406"/>
      <c r="AL63" s="1116"/>
      <c r="AM63" s="406"/>
      <c r="AN63" s="1091"/>
      <c r="AO63" s="1091"/>
      <c r="AP63" s="1091"/>
      <c r="AQ63" s="6"/>
      <c r="AR63" s="6"/>
      <c r="AS63" s="6"/>
      <c r="AT63" s="6"/>
      <c r="AU63" s="6"/>
      <c r="AV63" s="6"/>
      <c r="AW63" s="6"/>
      <c r="AX63" s="6"/>
      <c r="AY63" s="6"/>
      <c r="AZ63" s="6"/>
      <c r="BA63" s="6"/>
      <c r="BB63" s="6"/>
      <c r="BC63" s="6"/>
      <c r="BD63" s="6"/>
      <c r="BE63" s="6"/>
      <c r="BF63" s="6"/>
      <c r="BG63" s="6"/>
      <c r="BH63" s="6"/>
      <c r="BI63" s="6"/>
      <c r="BJ63" s="6"/>
      <c r="BK63" s="100"/>
      <c r="BL63" s="6"/>
      <c r="BM63" s="6"/>
      <c r="BN63" s="6"/>
      <c r="BO63" s="6"/>
      <c r="BP63" s="6"/>
      <c r="BQ63" s="6"/>
      <c r="BR63" s="6"/>
      <c r="BS63" s="6"/>
      <c r="BT63" s="6"/>
      <c r="BU63" s="6"/>
      <c r="BV63" s="6"/>
      <c r="BW63" s="6"/>
      <c r="BX63" s="6"/>
      <c r="BY63" s="6"/>
      <c r="BZ63" s="6"/>
      <c r="CA63" s="6"/>
      <c r="CB63" s="6"/>
      <c r="CC63" s="6"/>
      <c r="CD63" s="6"/>
      <c r="CE63" s="6"/>
      <c r="CF63" s="6"/>
      <c r="CG63" s="6"/>
      <c r="CH63" s="6"/>
      <c r="CI63" s="6"/>
      <c r="CJ63" s="6"/>
      <c r="CK63" s="6"/>
      <c r="CL63" s="6"/>
      <c r="CM63" s="6"/>
      <c r="CN63" s="6"/>
      <c r="CO63" s="6"/>
      <c r="CP63" s="6"/>
      <c r="CQ63" s="6"/>
      <c r="CR63" s="6"/>
      <c r="CS63" s="6"/>
      <c r="CT63" s="6"/>
      <c r="CU63" s="6"/>
      <c r="CV63" s="6"/>
      <c r="CW63" s="6"/>
      <c r="CX63" s="6"/>
    </row>
    <row r="64" spans="1:127" ht="15" thickBot="1" x14ac:dyDescent="0.4">
      <c r="A64" s="287"/>
      <c r="B64" s="65"/>
      <c r="C64" s="65"/>
      <c r="D64" s="65"/>
      <c r="E64" s="217"/>
      <c r="G64" s="1200"/>
      <c r="AG64" s="1210"/>
      <c r="AH64" s="1210"/>
      <c r="AI64" s="1210"/>
      <c r="AJ64" s="1210"/>
      <c r="AK64" s="1210"/>
      <c r="AL64" s="1091"/>
      <c r="AM64" s="1210"/>
      <c r="AN64" s="1210"/>
      <c r="AO64" s="6"/>
      <c r="AP64" s="6"/>
      <c r="AQ64" s="61"/>
      <c r="AU64" s="840"/>
      <c r="AV64" s="840"/>
      <c r="AW64" s="840"/>
      <c r="AX64" s="840"/>
      <c r="AY64" s="840"/>
      <c r="AZ64" s="840"/>
      <c r="BA64" s="840"/>
      <c r="BB64" s="840"/>
      <c r="BC64" s="840"/>
      <c r="BD64" s="840"/>
      <c r="BE64" s="840"/>
      <c r="BF64" s="840"/>
      <c r="BG64" s="840"/>
      <c r="BH64" s="840"/>
    </row>
    <row r="65" spans="1:145" ht="21" x14ac:dyDescent="0.5">
      <c r="A65" s="287"/>
      <c r="B65" s="65"/>
      <c r="C65" s="65"/>
      <c r="D65" s="65"/>
      <c r="E65" s="217"/>
      <c r="G65" s="340" t="s">
        <v>1424</v>
      </c>
      <c r="H65" s="410"/>
      <c r="I65" s="410"/>
      <c r="J65" s="410"/>
      <c r="K65" s="410"/>
      <c r="L65" s="388">
        <v>1999</v>
      </c>
      <c r="M65" s="388">
        <v>2000</v>
      </c>
      <c r="N65" s="388">
        <v>2001</v>
      </c>
      <c r="O65" s="388">
        <v>2002</v>
      </c>
      <c r="P65" s="388">
        <v>2003</v>
      </c>
      <c r="Q65" s="388">
        <v>2004</v>
      </c>
      <c r="R65" s="388">
        <v>2005</v>
      </c>
      <c r="S65" s="388">
        <v>2006</v>
      </c>
      <c r="T65" s="388">
        <v>2007</v>
      </c>
      <c r="U65" s="388">
        <v>2008</v>
      </c>
      <c r="V65" s="388">
        <v>2009</v>
      </c>
      <c r="W65" s="388">
        <v>2010</v>
      </c>
      <c r="X65" s="388">
        <v>2011</v>
      </c>
      <c r="Y65" s="388">
        <v>2012</v>
      </c>
      <c r="Z65" s="388">
        <v>2013</v>
      </c>
      <c r="AA65" s="388">
        <v>2014</v>
      </c>
      <c r="AB65" s="388">
        <v>2015</v>
      </c>
      <c r="AC65" s="388">
        <v>2016</v>
      </c>
      <c r="AD65" s="388">
        <v>2017</v>
      </c>
      <c r="AE65" s="388">
        <v>2018</v>
      </c>
      <c r="AF65" s="388">
        <v>2019</v>
      </c>
      <c r="AG65" s="388">
        <v>2020</v>
      </c>
      <c r="AH65" s="388">
        <v>2021</v>
      </c>
      <c r="AI65" s="388">
        <v>2022</v>
      </c>
      <c r="AJ65" s="388">
        <v>2023</v>
      </c>
      <c r="AK65" s="388">
        <v>2024</v>
      </c>
      <c r="AL65" s="388">
        <v>2025</v>
      </c>
      <c r="AM65" s="388">
        <v>2026</v>
      </c>
      <c r="AN65" s="388">
        <v>2027</v>
      </c>
      <c r="AO65" s="388">
        <v>2028</v>
      </c>
      <c r="AP65" s="388">
        <v>2029</v>
      </c>
      <c r="AQ65" s="388">
        <v>2030</v>
      </c>
      <c r="AR65" s="388">
        <v>2031</v>
      </c>
      <c r="AS65" s="388">
        <v>2032</v>
      </c>
      <c r="AT65" s="388">
        <v>2033</v>
      </c>
      <c r="AU65" s="388">
        <v>2034</v>
      </c>
      <c r="AV65" s="388">
        <v>2035</v>
      </c>
      <c r="AW65" s="388">
        <v>2036</v>
      </c>
      <c r="AX65" s="388">
        <v>2037</v>
      </c>
      <c r="AY65" s="388">
        <v>2038</v>
      </c>
      <c r="AZ65" s="388">
        <v>2039</v>
      </c>
      <c r="BA65" s="388">
        <v>2040</v>
      </c>
      <c r="BB65" s="388">
        <v>2041</v>
      </c>
      <c r="BC65" s="388">
        <v>2042</v>
      </c>
      <c r="BD65" s="388">
        <v>2043</v>
      </c>
      <c r="BE65" s="388">
        <v>2044</v>
      </c>
      <c r="BF65" s="388">
        <v>2045</v>
      </c>
      <c r="BG65" s="388">
        <v>2046</v>
      </c>
      <c r="BH65" s="388">
        <v>2047</v>
      </c>
      <c r="BI65" s="388">
        <v>2048</v>
      </c>
      <c r="BJ65" s="388">
        <v>2049</v>
      </c>
      <c r="BK65" s="388">
        <v>2050</v>
      </c>
      <c r="BL65" s="388">
        <v>2051</v>
      </c>
      <c r="BM65" s="388">
        <v>2052</v>
      </c>
      <c r="BN65" s="388">
        <v>2053</v>
      </c>
      <c r="BO65" s="388">
        <v>2054</v>
      </c>
      <c r="BP65" s="388">
        <v>2055</v>
      </c>
      <c r="BQ65" s="388">
        <v>2056</v>
      </c>
      <c r="BR65" s="388">
        <v>2057</v>
      </c>
      <c r="BS65" s="388">
        <v>2058</v>
      </c>
      <c r="BT65" s="388">
        <v>2059</v>
      </c>
      <c r="BU65" s="388">
        <v>2060</v>
      </c>
      <c r="BV65" s="388">
        <v>2061</v>
      </c>
      <c r="BW65" s="388">
        <v>2062</v>
      </c>
      <c r="BX65" s="388">
        <v>2063</v>
      </c>
      <c r="BY65" s="388">
        <v>2064</v>
      </c>
      <c r="BZ65" s="388">
        <v>2065</v>
      </c>
      <c r="CA65" s="388">
        <v>2066</v>
      </c>
      <c r="CB65" s="388">
        <v>2067</v>
      </c>
      <c r="CC65" s="388">
        <v>2068</v>
      </c>
      <c r="CD65" s="388">
        <v>2069</v>
      </c>
      <c r="CE65" s="388">
        <v>2070</v>
      </c>
      <c r="CF65" s="388">
        <v>2071</v>
      </c>
      <c r="CG65" s="388">
        <v>2072</v>
      </c>
      <c r="CH65" s="388">
        <v>2073</v>
      </c>
      <c r="CI65" s="388">
        <v>2074</v>
      </c>
      <c r="CJ65" s="388">
        <v>2075</v>
      </c>
      <c r="CK65" s="388">
        <v>2076</v>
      </c>
      <c r="CL65" s="388">
        <v>2077</v>
      </c>
      <c r="CM65" s="388">
        <v>2078</v>
      </c>
      <c r="CN65" s="388">
        <v>2079</v>
      </c>
      <c r="CO65" s="388">
        <v>2080</v>
      </c>
      <c r="CP65" s="388">
        <v>2081</v>
      </c>
      <c r="CQ65" s="388">
        <v>2082</v>
      </c>
      <c r="CR65" s="388">
        <v>2083</v>
      </c>
      <c r="CS65" s="388">
        <v>2084</v>
      </c>
      <c r="CT65" s="388">
        <v>2085</v>
      </c>
      <c r="CU65" s="388">
        <v>2086</v>
      </c>
      <c r="CV65" s="388">
        <v>2087</v>
      </c>
      <c r="CW65" s="388">
        <v>2088</v>
      </c>
      <c r="CX65" s="388">
        <v>2089</v>
      </c>
      <c r="CY65" s="388">
        <v>2090</v>
      </c>
      <c r="CZ65" s="388">
        <v>2091</v>
      </c>
      <c r="DA65" s="388">
        <v>2092</v>
      </c>
      <c r="DB65" s="388">
        <v>2093</v>
      </c>
      <c r="DC65" s="388">
        <v>2094</v>
      </c>
      <c r="DD65" s="388">
        <v>2095</v>
      </c>
      <c r="DE65" s="388">
        <v>2096</v>
      </c>
      <c r="DF65" s="388">
        <v>2097</v>
      </c>
      <c r="DG65" s="388">
        <v>2098</v>
      </c>
      <c r="DH65" s="388">
        <v>2099</v>
      </c>
      <c r="DI65" s="388">
        <v>2100</v>
      </c>
      <c r="DJ65" s="388">
        <v>2101</v>
      </c>
      <c r="DK65" s="388">
        <v>2102</v>
      </c>
      <c r="DL65" s="388">
        <v>2103</v>
      </c>
      <c r="DM65" s="388">
        <v>2104</v>
      </c>
      <c r="DN65" s="388">
        <v>2105</v>
      </c>
      <c r="DO65" s="388">
        <v>2106</v>
      </c>
      <c r="DP65" s="388">
        <v>2107</v>
      </c>
      <c r="DQ65" s="388">
        <v>2108</v>
      </c>
      <c r="DR65" s="388">
        <v>2109</v>
      </c>
      <c r="DS65" s="388">
        <v>2110</v>
      </c>
      <c r="DT65" s="388">
        <v>2111</v>
      </c>
      <c r="DU65" s="388">
        <v>2112</v>
      </c>
      <c r="DV65" s="388">
        <v>2113</v>
      </c>
      <c r="DW65" s="388">
        <v>2114</v>
      </c>
      <c r="DX65" s="388">
        <v>2115</v>
      </c>
      <c r="DY65" s="388">
        <v>2116</v>
      </c>
      <c r="DZ65" s="388">
        <v>2117</v>
      </c>
      <c r="EA65" s="388">
        <v>2118</v>
      </c>
      <c r="EB65" s="388">
        <v>2119</v>
      </c>
      <c r="EC65" s="388">
        <v>2120</v>
      </c>
      <c r="ED65" s="388">
        <v>2121</v>
      </c>
      <c r="EE65" s="388">
        <v>2122</v>
      </c>
      <c r="EF65" s="388">
        <v>2123</v>
      </c>
      <c r="EG65" s="388">
        <v>2124</v>
      </c>
      <c r="EH65" s="388">
        <v>2125</v>
      </c>
      <c r="EI65" s="388">
        <v>2126</v>
      </c>
      <c r="EJ65" s="388">
        <v>2127</v>
      </c>
      <c r="EK65" s="388">
        <v>2128</v>
      </c>
      <c r="EL65" s="388">
        <v>2129</v>
      </c>
      <c r="EM65" s="388">
        <v>2130</v>
      </c>
      <c r="EN65" s="388">
        <v>2131</v>
      </c>
      <c r="EO65" s="401">
        <v>2132</v>
      </c>
    </row>
    <row r="66" spans="1:145" x14ac:dyDescent="0.35">
      <c r="A66" s="272"/>
      <c r="B66" s="65" t="s">
        <v>1387</v>
      </c>
      <c r="C66" s="65" t="s">
        <v>1425</v>
      </c>
      <c r="D66" s="101"/>
      <c r="E66" s="217" t="s">
        <v>106</v>
      </c>
      <c r="G66" s="218" t="str">
        <f>"BNP-indeks ("&amp;SisteStatistikkÅr&amp;"=1)"</f>
        <v>BNP-indeks (2025=1)</v>
      </c>
      <c r="H66" s="65"/>
      <c r="I66" s="65"/>
      <c r="J66" s="65"/>
      <c r="K66" s="65"/>
      <c r="L66" s="752">
        <f t="shared" ref="L66:AQ66" si="224">IF(StatistikkOgPrognoseÅr&lt;=SisteStatistikkÅr,StatistikkBNP/LOOKUP(SisteStatistikkÅr,StatistikkOgPrognoseÅr,StatistikkBNP),IF(PrognoseBNP&gt;0,PrognoseBNP/LOOKUP(SisteStatistikkÅr,StatistikkOgPrognoseÅr,StatistikkBNP),LOOKUP(SistePrognoseÅr,StatistikkOgPrognoseÅr,BNPIndeks)*(1+Fremtidig_Reallønnsvekst)^(StatistikkOgPrognoseÅr-SistePrognoseÅr)))</f>
        <v>0.29382654588309903</v>
      </c>
      <c r="M66" s="752">
        <f t="shared" si="224"/>
        <v>0.34786125584898109</v>
      </c>
      <c r="N66" s="752">
        <f t="shared" si="224"/>
        <v>0.3593104280820677</v>
      </c>
      <c r="O66" s="752">
        <f t="shared" si="224"/>
        <v>0.35679285241562408</v>
      </c>
      <c r="P66" s="752">
        <f t="shared" si="224"/>
        <v>0.36830103032839295</v>
      </c>
      <c r="Q66" s="752">
        <f t="shared" si="224"/>
        <v>0.40310920540411971</v>
      </c>
      <c r="R66" s="752">
        <f t="shared" si="224"/>
        <v>0.44715021656907789</v>
      </c>
      <c r="S66" s="752">
        <f t="shared" si="224"/>
        <v>0.49416842658958376</v>
      </c>
      <c r="T66" s="752">
        <f t="shared" si="224"/>
        <v>0.51882451919787098</v>
      </c>
      <c r="U66" s="752">
        <f t="shared" si="224"/>
        <v>0.56927023457676296</v>
      </c>
      <c r="V66" s="752">
        <f t="shared" si="224"/>
        <v>0.52302841507839226</v>
      </c>
      <c r="W66" s="752">
        <f t="shared" si="224"/>
        <v>0.55162339560231199</v>
      </c>
      <c r="X66" s="752">
        <f t="shared" si="224"/>
        <v>0.58727110762930756</v>
      </c>
      <c r="Y66" s="752">
        <f t="shared" si="224"/>
        <v>0.61532364997509548</v>
      </c>
      <c r="Z66" s="752">
        <f t="shared" si="224"/>
        <v>0.62971896544284434</v>
      </c>
      <c r="AA66" s="752">
        <f t="shared" si="224"/>
        <v>0.63709467540312847</v>
      </c>
      <c r="AB66" s="752">
        <f t="shared" si="224"/>
        <v>0.62435255415384605</v>
      </c>
      <c r="AC66" s="752">
        <f t="shared" si="224"/>
        <v>0.61603999963018552</v>
      </c>
      <c r="AD66" s="752">
        <f t="shared" si="224"/>
        <v>0.65189578431711326</v>
      </c>
      <c r="AE66" s="752">
        <f t="shared" si="224"/>
        <v>0.69700510884052946</v>
      </c>
      <c r="AF66" s="752">
        <f t="shared" si="224"/>
        <v>0.6962556331898283</v>
      </c>
      <c r="AG66" s="752">
        <f t="shared" si="224"/>
        <v>0.6661202938699925</v>
      </c>
      <c r="AH66" s="752">
        <f t="shared" si="224"/>
        <v>0.82762919103400168</v>
      </c>
      <c r="AI66" s="752">
        <f t="shared" si="224"/>
        <v>1.0875005562283597</v>
      </c>
      <c r="AJ66" s="752">
        <f t="shared" si="224"/>
        <v>0.95678537754695703</v>
      </c>
      <c r="AK66" s="752">
        <f t="shared" si="224"/>
        <v>0.96539813640584315</v>
      </c>
      <c r="AL66" s="752">
        <f t="shared" si="224"/>
        <v>1</v>
      </c>
      <c r="AM66" s="752">
        <f t="shared" si="224"/>
        <v>1.030125</v>
      </c>
      <c r="AN66" s="752">
        <f t="shared" si="224"/>
        <v>1.0642633424999997</v>
      </c>
      <c r="AO66" s="752">
        <f t="shared" si="224"/>
        <v>1.0695846592124996</v>
      </c>
      <c r="AP66" s="752">
        <f t="shared" si="224"/>
        <v>1.0749325825085618</v>
      </c>
      <c r="AQ66" s="752">
        <f t="shared" si="224"/>
        <v>1.0803072454211047</v>
      </c>
      <c r="AR66" s="752">
        <f t="shared" ref="AR66:BW66" si="225">IF(StatistikkOgPrognoseÅr&lt;=SisteStatistikkÅr,StatistikkBNP/LOOKUP(SisteStatistikkÅr,StatistikkOgPrognoseÅr,StatistikkBNP),IF(PrognoseBNP&gt;0,PrognoseBNP/LOOKUP(SisteStatistikkÅr,StatistikkOgPrognoseÅr,StatistikkBNP),LOOKUP(SistePrognoseÅr,StatistikkOgPrognoseÅr,BNPIndeks)*(1+Fremtidig_Reallønnsvekst)^(StatistikkOgPrognoseÅr-SistePrognoseÅr)))</f>
        <v>1.0857087816482098</v>
      </c>
      <c r="AS66" s="752">
        <f t="shared" si="225"/>
        <v>1.0911373255564507</v>
      </c>
      <c r="AT66" s="752">
        <f t="shared" si="225"/>
        <v>1.0965930121842327</v>
      </c>
      <c r="AU66" s="752">
        <f t="shared" si="225"/>
        <v>1.1020759772451538</v>
      </c>
      <c r="AV66" s="752">
        <f t="shared" si="225"/>
        <v>1.1075863571313793</v>
      </c>
      <c r="AW66" s="752">
        <f t="shared" si="225"/>
        <v>1.1131242889170363</v>
      </c>
      <c r="AX66" s="752">
        <f t="shared" si="225"/>
        <v>1.1186899103616212</v>
      </c>
      <c r="AY66" s="752">
        <f t="shared" si="225"/>
        <v>1.1242833599134292</v>
      </c>
      <c r="AZ66" s="752">
        <f t="shared" si="225"/>
        <v>1.1299047767129959</v>
      </c>
      <c r="BA66" s="752">
        <f t="shared" si="225"/>
        <v>1.1355543005965609</v>
      </c>
      <c r="BB66" s="752">
        <f t="shared" si="225"/>
        <v>1.1412320720995435</v>
      </c>
      <c r="BC66" s="752">
        <f t="shared" si="225"/>
        <v>1.146938232460041</v>
      </c>
      <c r="BD66" s="752">
        <f t="shared" si="225"/>
        <v>1.152672923622341</v>
      </c>
      <c r="BE66" s="752">
        <f t="shared" si="225"/>
        <v>1.1584362882404526</v>
      </c>
      <c r="BF66" s="752">
        <f t="shared" si="225"/>
        <v>1.1642284696816545</v>
      </c>
      <c r="BG66" s="752">
        <f t="shared" si="225"/>
        <v>1.1700496120300627</v>
      </c>
      <c r="BH66" s="752">
        <f t="shared" si="225"/>
        <v>1.1758998600902129</v>
      </c>
      <c r="BI66" s="752">
        <f t="shared" si="225"/>
        <v>1.1817793593906638</v>
      </c>
      <c r="BJ66" s="752">
        <f t="shared" si="225"/>
        <v>1.1876882561876168</v>
      </c>
      <c r="BK66" s="752">
        <f t="shared" si="225"/>
        <v>1.1936266974685548</v>
      </c>
      <c r="BL66" s="752">
        <f t="shared" si="225"/>
        <v>1.1995948309558975</v>
      </c>
      <c r="BM66" s="752">
        <f t="shared" si="225"/>
        <v>1.2055928051106768</v>
      </c>
      <c r="BN66" s="752">
        <f t="shared" si="225"/>
        <v>1.21162076913623</v>
      </c>
      <c r="BO66" s="752">
        <f t="shared" si="225"/>
        <v>1.217678872981911</v>
      </c>
      <c r="BP66" s="752">
        <f t="shared" si="225"/>
        <v>1.2237672673468203</v>
      </c>
      <c r="BQ66" s="752">
        <f t="shared" si="225"/>
        <v>1.2298861036835542</v>
      </c>
      <c r="BR66" s="752">
        <f t="shared" si="225"/>
        <v>1.2360355342019718</v>
      </c>
      <c r="BS66" s="752">
        <f t="shared" si="225"/>
        <v>1.2422157118729813</v>
      </c>
      <c r="BT66" s="752">
        <f t="shared" si="225"/>
        <v>1.2484267904323461</v>
      </c>
      <c r="BU66" s="752">
        <f t="shared" si="225"/>
        <v>1.2546689243845077</v>
      </c>
      <c r="BV66" s="752">
        <f t="shared" si="225"/>
        <v>1.26094226900643</v>
      </c>
      <c r="BW66" s="752">
        <f t="shared" si="225"/>
        <v>1.2672469803514621</v>
      </c>
      <c r="BX66" s="752">
        <f t="shared" ref="BX66:DC66" si="226">IF(StatistikkOgPrognoseÅr&lt;=SisteStatistikkÅr,StatistikkBNP/LOOKUP(SisteStatistikkÅr,StatistikkOgPrognoseÅr,StatistikkBNP),IF(PrognoseBNP&gt;0,PrognoseBNP/LOOKUP(SisteStatistikkÅr,StatistikkOgPrognoseÅr,StatistikkBNP),LOOKUP(SistePrognoseÅr,StatistikkOgPrognoseÅr,BNPIndeks)*(1+Fremtidig_Reallønnsvekst)^(StatistikkOgPrognoseÅr-SistePrognoseÅr)))</f>
        <v>1.2735832152532189</v>
      </c>
      <c r="BY66" s="752">
        <f t="shared" si="226"/>
        <v>1.2799511313294849</v>
      </c>
      <c r="BZ66" s="752">
        <f t="shared" si="226"/>
        <v>1.2863508869861322</v>
      </c>
      <c r="CA66" s="752">
        <f t="shared" si="226"/>
        <v>1.2927826414210626</v>
      </c>
      <c r="CB66" s="752">
        <f t="shared" si="226"/>
        <v>1.299246554628168</v>
      </c>
      <c r="CC66" s="752">
        <f t="shared" si="226"/>
        <v>1.3057427874013086</v>
      </c>
      <c r="CD66" s="752">
        <f t="shared" si="226"/>
        <v>1.3122715013383148</v>
      </c>
      <c r="CE66" s="752">
        <f t="shared" si="226"/>
        <v>1.3188328588450062</v>
      </c>
      <c r="CF66" s="752">
        <f t="shared" si="226"/>
        <v>1.3254270231392311</v>
      </c>
      <c r="CG66" s="752">
        <f t="shared" si="226"/>
        <v>1.332054158254927</v>
      </c>
      <c r="CH66" s="752">
        <f t="shared" si="226"/>
        <v>1.3387144290462014</v>
      </c>
      <c r="CI66" s="752">
        <f t="shared" si="226"/>
        <v>1.345408001191432</v>
      </c>
      <c r="CJ66" s="752">
        <f t="shared" si="226"/>
        <v>1.3521350411973891</v>
      </c>
      <c r="CK66" s="752">
        <f t="shared" si="226"/>
        <v>1.3588957164033759</v>
      </c>
      <c r="CL66" s="752">
        <f t="shared" si="226"/>
        <v>1.3656901949853923</v>
      </c>
      <c r="CM66" s="752">
        <f t="shared" si="226"/>
        <v>1.3725186459603191</v>
      </c>
      <c r="CN66" s="752">
        <f t="shared" si="226"/>
        <v>1.3793812391901206</v>
      </c>
      <c r="CO66" s="752">
        <f t="shared" si="226"/>
        <v>1.3862781453860711</v>
      </c>
      <c r="CP66" s="752">
        <f t="shared" si="226"/>
        <v>1.393209536113001</v>
      </c>
      <c r="CQ66" s="752">
        <f t="shared" si="226"/>
        <v>1.4001755837935659</v>
      </c>
      <c r="CR66" s="752">
        <f t="shared" si="226"/>
        <v>1.4071764617125337</v>
      </c>
      <c r="CS66" s="752">
        <f t="shared" si="226"/>
        <v>1.4142123440210961</v>
      </c>
      <c r="CT66" s="752">
        <f t="shared" si="226"/>
        <v>1.4212834057412014</v>
      </c>
      <c r="CU66" s="752">
        <f t="shared" si="226"/>
        <v>1.4283898227699072</v>
      </c>
      <c r="CV66" s="752">
        <f t="shared" si="226"/>
        <v>1.4355317718837564</v>
      </c>
      <c r="CW66" s="752">
        <f t="shared" si="226"/>
        <v>1.4427094307431751</v>
      </c>
      <c r="CX66" s="752">
        <f t="shared" si="226"/>
        <v>1.4499229778968907</v>
      </c>
      <c r="CY66" s="752">
        <f t="shared" si="226"/>
        <v>1.4571725927863748</v>
      </c>
      <c r="CZ66" s="752">
        <f t="shared" si="226"/>
        <v>1.4644584557503066</v>
      </c>
      <c r="DA66" s="752">
        <f t="shared" si="226"/>
        <v>1.4717807480290579</v>
      </c>
      <c r="DB66" s="752">
        <f t="shared" si="226"/>
        <v>1.479139651769203</v>
      </c>
      <c r="DC66" s="752">
        <f t="shared" si="226"/>
        <v>1.4865353500280489</v>
      </c>
      <c r="DD66" s="752">
        <f t="shared" ref="DD66:EO66" si="227">IF(StatistikkOgPrognoseÅr&lt;=SisteStatistikkÅr,StatistikkBNP/LOOKUP(SisteStatistikkÅr,StatistikkOgPrognoseÅr,StatistikkBNP),IF(PrognoseBNP&gt;0,PrognoseBNP/LOOKUP(SisteStatistikkÅr,StatistikkOgPrognoseÅr,StatistikkBNP),LOOKUP(SistePrognoseÅr,StatistikkOgPrognoseÅr,BNPIndeks)*(1+Fremtidig_Reallønnsvekst)^(StatistikkOgPrognoseÅr-SistePrognoseÅr)))</f>
        <v>1.4939680267781887</v>
      </c>
      <c r="DE66" s="752">
        <f t="shared" si="227"/>
        <v>1.5014378669120794</v>
      </c>
      <c r="DF66" s="752">
        <f t="shared" si="227"/>
        <v>1.5089450562466395</v>
      </c>
      <c r="DG66" s="752">
        <f t="shared" si="227"/>
        <v>1.5164897815278726</v>
      </c>
      <c r="DH66" s="752">
        <f t="shared" si="227"/>
        <v>1.5240722304355119</v>
      </c>
      <c r="DI66" s="752">
        <f t="shared" si="227"/>
        <v>1.5316925915876893</v>
      </c>
      <c r="DJ66" s="752">
        <f t="shared" si="227"/>
        <v>1.5393510545456275</v>
      </c>
      <c r="DK66" s="752">
        <f t="shared" si="227"/>
        <v>1.5470478098183553</v>
      </c>
      <c r="DL66" s="752">
        <f t="shared" si="227"/>
        <v>1.5547830488674466</v>
      </c>
      <c r="DM66" s="752">
        <f t="shared" si="227"/>
        <v>1.5625569641117838</v>
      </c>
      <c r="DN66" s="752">
        <f t="shared" si="227"/>
        <v>1.5703697489323425</v>
      </c>
      <c r="DO66" s="752">
        <f t="shared" si="227"/>
        <v>1.5782215976770038</v>
      </c>
      <c r="DP66" s="752">
        <f t="shared" si="227"/>
        <v>1.5861127056653888</v>
      </c>
      <c r="DQ66" s="768">
        <f t="shared" si="227"/>
        <v>1.5940432691937154</v>
      </c>
      <c r="DR66" s="752">
        <f t="shared" si="227"/>
        <v>1.6020134855396837</v>
      </c>
      <c r="DS66" s="752">
        <f t="shared" si="227"/>
        <v>1.6100235529673821</v>
      </c>
      <c r="DT66" s="752">
        <f t="shared" si="227"/>
        <v>1.6180736707322187</v>
      </c>
      <c r="DU66" s="752">
        <f t="shared" si="227"/>
        <v>1.6261640390858794</v>
      </c>
      <c r="DV66" s="752">
        <f t="shared" si="227"/>
        <v>1.6342948592813085</v>
      </c>
      <c r="DW66" s="752">
        <f t="shared" si="227"/>
        <v>1.6424663335777145</v>
      </c>
      <c r="DX66" s="752">
        <f t="shared" si="227"/>
        <v>1.6506786652456034</v>
      </c>
      <c r="DY66" s="752">
        <f t="shared" si="227"/>
        <v>1.658932058571831</v>
      </c>
      <c r="DZ66" s="752">
        <f t="shared" si="227"/>
        <v>1.6672267188646899</v>
      </c>
      <c r="EA66" s="752">
        <f t="shared" si="227"/>
        <v>1.6755628524590132</v>
      </c>
      <c r="EB66" s="752">
        <f t="shared" si="227"/>
        <v>1.6839406667213079</v>
      </c>
      <c r="EC66" s="752">
        <f t="shared" si="227"/>
        <v>1.6923603700549141</v>
      </c>
      <c r="ED66" s="752">
        <f t="shared" si="227"/>
        <v>1.7008221719051884</v>
      </c>
      <c r="EE66" s="752">
        <f t="shared" si="227"/>
        <v>1.709326282764714</v>
      </c>
      <c r="EF66" s="752">
        <f t="shared" si="227"/>
        <v>1.7178729141785374</v>
      </c>
      <c r="EG66" s="752">
        <f t="shared" si="227"/>
        <v>1.7264622787494299</v>
      </c>
      <c r="EH66" s="752">
        <f t="shared" si="227"/>
        <v>1.7350945901431767</v>
      </c>
      <c r="EI66" s="752">
        <f t="shared" si="227"/>
        <v>1.7437700630938926</v>
      </c>
      <c r="EJ66" s="752">
        <f t="shared" si="227"/>
        <v>1.7524889134093615</v>
      </c>
      <c r="EK66" s="752">
        <f t="shared" si="227"/>
        <v>1.761251357976408</v>
      </c>
      <c r="EL66" s="752">
        <f t="shared" si="227"/>
        <v>1.7700576147662896</v>
      </c>
      <c r="EM66" s="752">
        <f t="shared" si="227"/>
        <v>1.7789079028401211</v>
      </c>
      <c r="EN66" s="752">
        <f t="shared" si="227"/>
        <v>1.7878024423543215</v>
      </c>
      <c r="EO66" s="753">
        <f t="shared" si="227"/>
        <v>1.7967414545660927</v>
      </c>
    </row>
    <row r="67" spans="1:145" x14ac:dyDescent="0.35">
      <c r="A67" s="272"/>
      <c r="B67" s="65" t="s">
        <v>1387</v>
      </c>
      <c r="C67" s="65" t="s">
        <v>1426</v>
      </c>
      <c r="D67" s="101"/>
      <c r="E67" s="217" t="s">
        <v>106</v>
      </c>
      <c r="G67" s="218" t="str">
        <f>"Byggekostnadsindeks for veganlegg ("&amp;SisteStatistikkÅr&amp;"=1)"</f>
        <v>Byggekostnadsindeks for veganlegg (2025=1)</v>
      </c>
      <c r="H67" s="65"/>
      <c r="I67" s="65"/>
      <c r="J67" s="65"/>
      <c r="K67" s="65"/>
      <c r="L67" s="65"/>
      <c r="M67" s="752">
        <f t="shared" ref="M67:AR67" si="228">IF(StatistikkOgPrognoseÅr&lt;=SisteStatistikkÅr,StatistikkBKI/LOOKUP(SisteStatistikkÅr,StatistikkOgPrognoseÅr,StatistikkBKI),IF(PrognoseBKI&gt;0,PrognoseBKI/LOOKUP(SisteStatistikkÅr,StatistikkOgPrognoseÅr,StatistikkBKI),((1+Fremtidig_KPI)*L67)))</f>
        <v>0.38797284190106696</v>
      </c>
      <c r="N67" s="752">
        <f t="shared" si="228"/>
        <v>0.39993676213590162</v>
      </c>
      <c r="O67" s="752">
        <f t="shared" si="228"/>
        <v>0.40890970231202761</v>
      </c>
      <c r="P67" s="752">
        <f t="shared" si="228"/>
        <v>0.42258275400898154</v>
      </c>
      <c r="Q67" s="752">
        <f t="shared" si="228"/>
        <v>0.43839222003358447</v>
      </c>
      <c r="R67" s="752">
        <f t="shared" si="228"/>
        <v>0.45591081752030665</v>
      </c>
      <c r="S67" s="752">
        <f t="shared" si="228"/>
        <v>0.47471126360361826</v>
      </c>
      <c r="T67" s="752">
        <f t="shared" si="228"/>
        <v>0.50462106419070496</v>
      </c>
      <c r="U67" s="752">
        <f t="shared" si="228"/>
        <v>0.54606750214709643</v>
      </c>
      <c r="V67" s="752">
        <f t="shared" si="228"/>
        <v>0.55119489653345421</v>
      </c>
      <c r="W67" s="752">
        <f t="shared" si="228"/>
        <v>0.56871349402017635</v>
      </c>
      <c r="X67" s="752">
        <f t="shared" si="228"/>
        <v>0.6024688403970313</v>
      </c>
      <c r="Y67" s="752">
        <f t="shared" si="228"/>
        <v>0.61913287215269386</v>
      </c>
      <c r="Z67" s="752">
        <f t="shared" si="228"/>
        <v>0.63707875250494583</v>
      </c>
      <c r="AA67" s="752">
        <f t="shared" si="228"/>
        <v>0.65203365279848913</v>
      </c>
      <c r="AB67" s="752">
        <f t="shared" si="228"/>
        <v>0.66399757303332385</v>
      </c>
      <c r="AC67" s="752">
        <f t="shared" si="228"/>
        <v>0.67553421040262873</v>
      </c>
      <c r="AD67" s="752">
        <f t="shared" si="228"/>
        <v>0.69946205087229796</v>
      </c>
      <c r="AE67" s="752">
        <f t="shared" si="228"/>
        <v>0.72937185145938466</v>
      </c>
      <c r="AF67" s="752">
        <f t="shared" si="228"/>
        <v>0.74603588321504721</v>
      </c>
      <c r="AG67" s="752">
        <f t="shared" si="228"/>
        <v>0.7532996919290541</v>
      </c>
      <c r="AH67" s="752">
        <f t="shared" si="228"/>
        <v>0.80542820152369077</v>
      </c>
      <c r="AI67" s="752">
        <f t="shared" si="228"/>
        <v>0.91994000948567978</v>
      </c>
      <c r="AJ67" s="752">
        <f t="shared" si="228"/>
        <v>0.94600426428299811</v>
      </c>
      <c r="AK67" s="752">
        <f t="shared" si="228"/>
        <v>0.96993210475266745</v>
      </c>
      <c r="AL67" s="752">
        <f t="shared" si="228"/>
        <v>1</v>
      </c>
      <c r="AM67" s="752">
        <f t="shared" si="228"/>
        <v>1.0249999999999999</v>
      </c>
      <c r="AN67" s="752">
        <f t="shared" si="228"/>
        <v>1.0536999999999999</v>
      </c>
      <c r="AO67" s="752">
        <f t="shared" si="228"/>
        <v>1.0747739999999999</v>
      </c>
      <c r="AP67" s="752">
        <f t="shared" si="228"/>
        <v>1.0962694799999999</v>
      </c>
      <c r="AQ67" s="752">
        <f t="shared" si="228"/>
        <v>1.1181948695999999</v>
      </c>
      <c r="AR67" s="752">
        <f t="shared" si="228"/>
        <v>1.1405587669919999</v>
      </c>
      <c r="AS67" s="752">
        <f t="shared" ref="AS67:BX67" si="229">IF(StatistikkOgPrognoseÅr&lt;=SisteStatistikkÅr,StatistikkBKI/LOOKUP(SisteStatistikkÅr,StatistikkOgPrognoseÅr,StatistikkBKI),IF(PrognoseBKI&gt;0,PrognoseBKI/LOOKUP(SisteStatistikkÅr,StatistikkOgPrognoseÅr,StatistikkBKI),((1+Fremtidig_KPI)*AR67)))</f>
        <v>1.16336994233184</v>
      </c>
      <c r="AT67" s="752">
        <f t="shared" si="229"/>
        <v>1.1866373411784767</v>
      </c>
      <c r="AU67" s="752">
        <f t="shared" si="229"/>
        <v>1.2103700880020463</v>
      </c>
      <c r="AV67" s="752">
        <f t="shared" si="229"/>
        <v>1.2345774897620871</v>
      </c>
      <c r="AW67" s="752">
        <f t="shared" si="229"/>
        <v>1.2592690395573289</v>
      </c>
      <c r="AX67" s="752">
        <f t="shared" si="229"/>
        <v>1.2844544203484756</v>
      </c>
      <c r="AY67" s="752">
        <f t="shared" si="229"/>
        <v>1.3101435087554452</v>
      </c>
      <c r="AZ67" s="752">
        <f t="shared" si="229"/>
        <v>1.3363463789305541</v>
      </c>
      <c r="BA67" s="752">
        <f t="shared" si="229"/>
        <v>1.3630733065091651</v>
      </c>
      <c r="BB67" s="752">
        <f t="shared" si="229"/>
        <v>1.3903347726393485</v>
      </c>
      <c r="BC67" s="752">
        <f t="shared" si="229"/>
        <v>1.4181414680921354</v>
      </c>
      <c r="BD67" s="752">
        <f t="shared" si="229"/>
        <v>1.4465042974539781</v>
      </c>
      <c r="BE67" s="752">
        <f t="shared" si="229"/>
        <v>1.4754343834030577</v>
      </c>
      <c r="BF67" s="752">
        <f t="shared" si="229"/>
        <v>1.5049430710711189</v>
      </c>
      <c r="BG67" s="752">
        <f t="shared" si="229"/>
        <v>1.5350419324925413</v>
      </c>
      <c r="BH67" s="752">
        <f t="shared" si="229"/>
        <v>1.5657427711423921</v>
      </c>
      <c r="BI67" s="752">
        <f t="shared" si="229"/>
        <v>1.5970576265652401</v>
      </c>
      <c r="BJ67" s="752">
        <f t="shared" si="229"/>
        <v>1.628998779096545</v>
      </c>
      <c r="BK67" s="752">
        <f t="shared" si="229"/>
        <v>1.6615787546784759</v>
      </c>
      <c r="BL67" s="752">
        <f t="shared" si="229"/>
        <v>1.6948103297720454</v>
      </c>
      <c r="BM67" s="752">
        <f t="shared" si="229"/>
        <v>1.7287065363674863</v>
      </c>
      <c r="BN67" s="752">
        <f t="shared" si="229"/>
        <v>1.763280667094836</v>
      </c>
      <c r="BO67" s="752">
        <f t="shared" si="229"/>
        <v>1.7985462804367327</v>
      </c>
      <c r="BP67" s="752">
        <f t="shared" si="229"/>
        <v>1.8345172060454673</v>
      </c>
      <c r="BQ67" s="752">
        <f t="shared" si="229"/>
        <v>1.8712075501663767</v>
      </c>
      <c r="BR67" s="752">
        <f t="shared" si="229"/>
        <v>1.9086317011697043</v>
      </c>
      <c r="BS67" s="752">
        <f t="shared" si="229"/>
        <v>1.9468043351930984</v>
      </c>
      <c r="BT67" s="752">
        <f t="shared" si="229"/>
        <v>1.9857404218969603</v>
      </c>
      <c r="BU67" s="752">
        <f t="shared" si="229"/>
        <v>2.0254552303348996</v>
      </c>
      <c r="BV67" s="752">
        <f t="shared" si="229"/>
        <v>2.0659643349415977</v>
      </c>
      <c r="BW67" s="752">
        <f t="shared" si="229"/>
        <v>2.1072836216404296</v>
      </c>
      <c r="BX67" s="752">
        <f t="shared" si="229"/>
        <v>2.1494292940732382</v>
      </c>
      <c r="BY67" s="752">
        <f t="shared" ref="BY67:DD67" si="230">IF(StatistikkOgPrognoseÅr&lt;=SisteStatistikkÅr,StatistikkBKI/LOOKUP(SisteStatistikkÅr,StatistikkOgPrognoseÅr,StatistikkBKI),IF(PrognoseBKI&gt;0,PrognoseBKI/LOOKUP(SisteStatistikkÅr,StatistikkOgPrognoseÅr,StatistikkBKI),((1+Fremtidig_KPI)*BX67)))</f>
        <v>2.1924178799547032</v>
      </c>
      <c r="BZ67" s="752">
        <f t="shared" si="230"/>
        <v>2.2362662375537972</v>
      </c>
      <c r="CA67" s="752">
        <f t="shared" si="230"/>
        <v>2.2809915623048731</v>
      </c>
      <c r="CB67" s="752">
        <f t="shared" si="230"/>
        <v>2.3266113935509707</v>
      </c>
      <c r="CC67" s="752">
        <f t="shared" si="230"/>
        <v>2.3731436214219901</v>
      </c>
      <c r="CD67" s="752">
        <f t="shared" si="230"/>
        <v>2.4206064938504301</v>
      </c>
      <c r="CE67" s="752">
        <f t="shared" si="230"/>
        <v>2.4690186237274387</v>
      </c>
      <c r="CF67" s="752">
        <f t="shared" si="230"/>
        <v>2.5183989962019875</v>
      </c>
      <c r="CG67" s="752">
        <f t="shared" si="230"/>
        <v>2.5687669761260272</v>
      </c>
      <c r="CH67" s="752">
        <f t="shared" si="230"/>
        <v>2.6201423156485477</v>
      </c>
      <c r="CI67" s="752">
        <f t="shared" si="230"/>
        <v>2.6725451619615188</v>
      </c>
      <c r="CJ67" s="752">
        <f t="shared" si="230"/>
        <v>2.7259960652007491</v>
      </c>
      <c r="CK67" s="752">
        <f t="shared" si="230"/>
        <v>2.7805159865047639</v>
      </c>
      <c r="CL67" s="752">
        <f t="shared" si="230"/>
        <v>2.8361263062348594</v>
      </c>
      <c r="CM67" s="752">
        <f t="shared" si="230"/>
        <v>2.8928488323595567</v>
      </c>
      <c r="CN67" s="752">
        <f t="shared" si="230"/>
        <v>2.9507058090067479</v>
      </c>
      <c r="CO67" s="752">
        <f t="shared" si="230"/>
        <v>3.0097199251868831</v>
      </c>
      <c r="CP67" s="752">
        <f t="shared" si="230"/>
        <v>3.0699143236906208</v>
      </c>
      <c r="CQ67" s="752">
        <f t="shared" si="230"/>
        <v>3.1313126101644331</v>
      </c>
      <c r="CR67" s="752">
        <f t="shared" si="230"/>
        <v>3.1939388623677218</v>
      </c>
      <c r="CS67" s="752">
        <f t="shared" si="230"/>
        <v>3.2578176396150762</v>
      </c>
      <c r="CT67" s="752">
        <f t="shared" si="230"/>
        <v>3.3229739924073778</v>
      </c>
      <c r="CU67" s="752">
        <f t="shared" si="230"/>
        <v>3.3894334722555253</v>
      </c>
      <c r="CV67" s="752">
        <f t="shared" si="230"/>
        <v>3.4572221417006359</v>
      </c>
      <c r="CW67" s="752">
        <f t="shared" si="230"/>
        <v>3.5263665845346486</v>
      </c>
      <c r="CX67" s="752">
        <f t="shared" si="230"/>
        <v>3.5968939162253415</v>
      </c>
      <c r="CY67" s="752">
        <f t="shared" si="230"/>
        <v>3.6688317945498485</v>
      </c>
      <c r="CZ67" s="752">
        <f t="shared" si="230"/>
        <v>3.7422084304408454</v>
      </c>
      <c r="DA67" s="752">
        <f t="shared" si="230"/>
        <v>3.8170525990496622</v>
      </c>
      <c r="DB67" s="752">
        <f t="shared" si="230"/>
        <v>3.8933936510306557</v>
      </c>
      <c r="DC67" s="752">
        <f t="shared" si="230"/>
        <v>3.9712615240512688</v>
      </c>
      <c r="DD67" s="752">
        <f t="shared" si="230"/>
        <v>4.0506867545322942</v>
      </c>
      <c r="DE67" s="752">
        <f t="shared" ref="DE67:EO67" si="231">IF(StatistikkOgPrognoseÅr&lt;=SisteStatistikkÅr,StatistikkBKI/LOOKUP(SisteStatistikkÅr,StatistikkOgPrognoseÅr,StatistikkBKI),IF(PrognoseBKI&gt;0,PrognoseBKI/LOOKUP(SisteStatistikkÅr,StatistikkOgPrognoseÅr,StatistikkBKI),((1+Fremtidig_KPI)*DD67)))</f>
        <v>4.1317004896229399</v>
      </c>
      <c r="DF67" s="752">
        <f t="shared" si="231"/>
        <v>4.2143344994153988</v>
      </c>
      <c r="DG67" s="752">
        <f t="shared" si="231"/>
        <v>4.2986211894037067</v>
      </c>
      <c r="DH67" s="752">
        <f t="shared" si="231"/>
        <v>4.3845936131917806</v>
      </c>
      <c r="DI67" s="752">
        <f t="shared" si="231"/>
        <v>4.4722854854556164</v>
      </c>
      <c r="DJ67" s="752">
        <f t="shared" si="231"/>
        <v>4.5617311951647288</v>
      </c>
      <c r="DK67" s="752">
        <f t="shared" si="231"/>
        <v>4.6529658190680232</v>
      </c>
      <c r="DL67" s="752">
        <f t="shared" si="231"/>
        <v>4.7460251354493836</v>
      </c>
      <c r="DM67" s="752">
        <f t="shared" si="231"/>
        <v>4.8409456381583711</v>
      </c>
      <c r="DN67" s="752">
        <f t="shared" si="231"/>
        <v>4.9377645509215382</v>
      </c>
      <c r="DO67" s="752">
        <f t="shared" si="231"/>
        <v>5.0365198419399695</v>
      </c>
      <c r="DP67" s="752">
        <f t="shared" si="231"/>
        <v>5.1372502387787691</v>
      </c>
      <c r="DQ67" s="752">
        <f t="shared" si="231"/>
        <v>5.2399952435543442</v>
      </c>
      <c r="DR67" s="752">
        <f t="shared" si="231"/>
        <v>5.3447951484254315</v>
      </c>
      <c r="DS67" s="752">
        <f t="shared" si="231"/>
        <v>5.4516910513939401</v>
      </c>
      <c r="DT67" s="752">
        <f t="shared" si="231"/>
        <v>5.5607248724218188</v>
      </c>
      <c r="DU67" s="752">
        <f t="shared" si="231"/>
        <v>5.6719393698702554</v>
      </c>
      <c r="DV67" s="752">
        <f t="shared" si="231"/>
        <v>5.7853781572676608</v>
      </c>
      <c r="DW67" s="752">
        <f t="shared" si="231"/>
        <v>5.9010857204130138</v>
      </c>
      <c r="DX67" s="752">
        <f t="shared" si="231"/>
        <v>6.0191074348212741</v>
      </c>
      <c r="DY67" s="752">
        <f t="shared" si="231"/>
        <v>6.1394895835176992</v>
      </c>
      <c r="DZ67" s="752">
        <f t="shared" si="231"/>
        <v>6.2622793751880534</v>
      </c>
      <c r="EA67" s="752">
        <f t="shared" si="231"/>
        <v>6.3875249626918142</v>
      </c>
      <c r="EB67" s="752">
        <f t="shared" si="231"/>
        <v>6.5152754619456505</v>
      </c>
      <c r="EC67" s="752">
        <f t="shared" si="231"/>
        <v>6.6455809711845637</v>
      </c>
      <c r="ED67" s="752">
        <f t="shared" si="231"/>
        <v>6.7784925906082547</v>
      </c>
      <c r="EE67" s="752">
        <f t="shared" si="231"/>
        <v>6.9140624424204198</v>
      </c>
      <c r="EF67" s="752">
        <f t="shared" si="231"/>
        <v>7.0523436912688284</v>
      </c>
      <c r="EG67" s="752">
        <f t="shared" si="231"/>
        <v>7.1933905650942052</v>
      </c>
      <c r="EH67" s="752">
        <f t="shared" si="231"/>
        <v>7.3372583763960897</v>
      </c>
      <c r="EI67" s="752">
        <f t="shared" si="231"/>
        <v>7.484003543924012</v>
      </c>
      <c r="EJ67" s="752">
        <f t="shared" si="231"/>
        <v>7.633683614802492</v>
      </c>
      <c r="EK67" s="752">
        <f t="shared" si="231"/>
        <v>7.786357287098542</v>
      </c>
      <c r="EL67" s="752">
        <f t="shared" si="231"/>
        <v>7.9420844328405131</v>
      </c>
      <c r="EM67" s="752">
        <f t="shared" si="231"/>
        <v>8.1009261214973236</v>
      </c>
      <c r="EN67" s="752">
        <f t="shared" si="231"/>
        <v>8.2629446439272698</v>
      </c>
      <c r="EO67" s="752">
        <f t="shared" si="231"/>
        <v>8.4282035368058157</v>
      </c>
    </row>
    <row r="68" spans="1:145" x14ac:dyDescent="0.35">
      <c r="A68" s="272"/>
      <c r="B68" s="65" t="s">
        <v>1387</v>
      </c>
      <c r="C68" s="65"/>
      <c r="D68" s="101"/>
      <c r="E68" s="217"/>
      <c r="G68" s="218" t="s">
        <v>1427</v>
      </c>
      <c r="H68" s="65"/>
      <c r="I68" s="65"/>
      <c r="J68" s="65"/>
      <c r="K68" s="65"/>
      <c r="L68" s="65"/>
      <c r="M68" s="752">
        <f t="shared" ref="M68:AR68" si="232">IF(StatistikkOgPrognoseÅr&lt;=SisteStatistikkÅr,StatistikkBKI_DV/LOOKUP(SisteStatistikkÅr,StatistikkOgPrognoseÅr,StatistikkBKI_DV),IF(PrognoseBKI_DV&gt;0,PrognoseBKI_DV/LOOKUP(SisteStatistikkÅr,StatistikkOgPrognoseÅr,StatistikkBKI_DV),((1+Fremtidig_KPI)*L68)))</f>
        <v>0.38276742966384136</v>
      </c>
      <c r="N68" s="752">
        <f t="shared" si="232"/>
        <v>0.39460995787443537</v>
      </c>
      <c r="O68" s="752">
        <f t="shared" si="232"/>
        <v>0.40222301172410291</v>
      </c>
      <c r="P68" s="752">
        <f t="shared" si="232"/>
        <v>0.41787206685953066</v>
      </c>
      <c r="Q68" s="752">
        <f t="shared" si="232"/>
        <v>0.43013754250621733</v>
      </c>
      <c r="R68" s="752">
        <f t="shared" si="232"/>
        <v>0.44832428225820092</v>
      </c>
      <c r="S68" s="752">
        <f t="shared" si="232"/>
        <v>0.46904870662674042</v>
      </c>
      <c r="T68" s="752">
        <f t="shared" si="232"/>
        <v>0.49569439510057689</v>
      </c>
      <c r="U68" s="752">
        <f t="shared" si="232"/>
        <v>0.53968092845421167</v>
      </c>
      <c r="V68" s="752">
        <f t="shared" si="232"/>
        <v>0.54052682332639701</v>
      </c>
      <c r="W68" s="752">
        <f t="shared" si="232"/>
        <v>0.56378893231149241</v>
      </c>
      <c r="X68" s="752">
        <f t="shared" si="232"/>
        <v>0.60143125412373744</v>
      </c>
      <c r="Y68" s="752">
        <f t="shared" si="232"/>
        <v>0.62046388874790637</v>
      </c>
      <c r="Z68" s="752">
        <f t="shared" si="232"/>
        <v>0.63484410157505622</v>
      </c>
      <c r="AA68" s="752">
        <f t="shared" si="232"/>
        <v>0.65218494645485448</v>
      </c>
      <c r="AB68" s="752">
        <f t="shared" si="232"/>
        <v>0.65091610414657664</v>
      </c>
      <c r="AC68" s="752">
        <f t="shared" si="232"/>
        <v>0.65895210543233684</v>
      </c>
      <c r="AD68" s="752">
        <f t="shared" si="232"/>
        <v>0.68940432083100711</v>
      </c>
      <c r="AE68" s="752">
        <f t="shared" si="232"/>
        <v>0.7283154849515302</v>
      </c>
      <c r="AF68" s="752">
        <f t="shared" si="232"/>
        <v>0.74058096059821676</v>
      </c>
      <c r="AG68" s="752">
        <f t="shared" si="232"/>
        <v>0.75200054137271821</v>
      </c>
      <c r="AH68" s="752">
        <f t="shared" si="232"/>
        <v>0.80698370806476172</v>
      </c>
      <c r="AI68" s="752">
        <f t="shared" si="232"/>
        <v>0.9110287773435517</v>
      </c>
      <c r="AJ68" s="752">
        <f t="shared" si="232"/>
        <v>0.94528751966705571</v>
      </c>
      <c r="AK68" s="752">
        <f t="shared" si="232"/>
        <v>0.98039215686274517</v>
      </c>
      <c r="AL68" s="752">
        <f t="shared" si="232"/>
        <v>1</v>
      </c>
      <c r="AM68" s="752">
        <f t="shared" si="232"/>
        <v>1.0249999999999999</v>
      </c>
      <c r="AN68" s="752">
        <f t="shared" si="232"/>
        <v>1.0536999999999999</v>
      </c>
      <c r="AO68" s="752">
        <f t="shared" si="232"/>
        <v>1.0747739999999999</v>
      </c>
      <c r="AP68" s="752">
        <f t="shared" si="232"/>
        <v>1.0962694799999999</v>
      </c>
      <c r="AQ68" s="752">
        <f t="shared" si="232"/>
        <v>1.1181948695999999</v>
      </c>
      <c r="AR68" s="752">
        <f t="shared" si="232"/>
        <v>1.1405587669919999</v>
      </c>
      <c r="AS68" s="752">
        <f t="shared" ref="AS68:BX68" si="233">IF(StatistikkOgPrognoseÅr&lt;=SisteStatistikkÅr,StatistikkBKI_DV/LOOKUP(SisteStatistikkÅr,StatistikkOgPrognoseÅr,StatistikkBKI_DV),IF(PrognoseBKI_DV&gt;0,PrognoseBKI_DV/LOOKUP(SisteStatistikkÅr,StatistikkOgPrognoseÅr,StatistikkBKI_DV),((1+Fremtidig_KPI)*AR68)))</f>
        <v>1.16336994233184</v>
      </c>
      <c r="AT68" s="752">
        <f t="shared" si="233"/>
        <v>1.1866373411784767</v>
      </c>
      <c r="AU68" s="752">
        <f t="shared" si="233"/>
        <v>1.2103700880020463</v>
      </c>
      <c r="AV68" s="752">
        <f t="shared" si="233"/>
        <v>1.2345774897620871</v>
      </c>
      <c r="AW68" s="752">
        <f t="shared" si="233"/>
        <v>1.2592690395573289</v>
      </c>
      <c r="AX68" s="752">
        <f t="shared" si="233"/>
        <v>1.2844544203484756</v>
      </c>
      <c r="AY68" s="752">
        <f t="shared" si="233"/>
        <v>1.3101435087554452</v>
      </c>
      <c r="AZ68" s="752">
        <f t="shared" si="233"/>
        <v>1.3363463789305541</v>
      </c>
      <c r="BA68" s="752">
        <f t="shared" si="233"/>
        <v>1.3630733065091651</v>
      </c>
      <c r="BB68" s="752">
        <f t="shared" si="233"/>
        <v>1.3903347726393485</v>
      </c>
      <c r="BC68" s="752">
        <f t="shared" si="233"/>
        <v>1.4181414680921354</v>
      </c>
      <c r="BD68" s="752">
        <f t="shared" si="233"/>
        <v>1.4465042974539781</v>
      </c>
      <c r="BE68" s="752">
        <f t="shared" si="233"/>
        <v>1.4754343834030577</v>
      </c>
      <c r="BF68" s="752">
        <f t="shared" si="233"/>
        <v>1.5049430710711189</v>
      </c>
      <c r="BG68" s="752">
        <f t="shared" si="233"/>
        <v>1.5350419324925413</v>
      </c>
      <c r="BH68" s="752">
        <f t="shared" si="233"/>
        <v>1.5657427711423921</v>
      </c>
      <c r="BI68" s="752">
        <f t="shared" si="233"/>
        <v>1.5970576265652401</v>
      </c>
      <c r="BJ68" s="752">
        <f t="shared" si="233"/>
        <v>1.628998779096545</v>
      </c>
      <c r="BK68" s="752">
        <f t="shared" si="233"/>
        <v>1.6615787546784759</v>
      </c>
      <c r="BL68" s="752">
        <f t="shared" si="233"/>
        <v>1.6948103297720454</v>
      </c>
      <c r="BM68" s="752">
        <f t="shared" si="233"/>
        <v>1.7287065363674863</v>
      </c>
      <c r="BN68" s="752">
        <f t="shared" si="233"/>
        <v>1.763280667094836</v>
      </c>
      <c r="BO68" s="752">
        <f t="shared" si="233"/>
        <v>1.7985462804367327</v>
      </c>
      <c r="BP68" s="752">
        <f t="shared" si="233"/>
        <v>1.8345172060454673</v>
      </c>
      <c r="BQ68" s="752">
        <f t="shared" si="233"/>
        <v>1.8712075501663767</v>
      </c>
      <c r="BR68" s="752">
        <f t="shared" si="233"/>
        <v>1.9086317011697043</v>
      </c>
      <c r="BS68" s="752">
        <f t="shared" si="233"/>
        <v>1.9468043351930984</v>
      </c>
      <c r="BT68" s="752">
        <f t="shared" si="233"/>
        <v>1.9857404218969603</v>
      </c>
      <c r="BU68" s="752">
        <f t="shared" si="233"/>
        <v>2.0254552303348996</v>
      </c>
      <c r="BV68" s="752">
        <f t="shared" si="233"/>
        <v>2.0659643349415977</v>
      </c>
      <c r="BW68" s="752">
        <f t="shared" si="233"/>
        <v>2.1072836216404296</v>
      </c>
      <c r="BX68" s="752">
        <f t="shared" si="233"/>
        <v>2.1494292940732382</v>
      </c>
      <c r="BY68" s="752">
        <f t="shared" ref="BY68:DD68" si="234">IF(StatistikkOgPrognoseÅr&lt;=SisteStatistikkÅr,StatistikkBKI_DV/LOOKUP(SisteStatistikkÅr,StatistikkOgPrognoseÅr,StatistikkBKI_DV),IF(PrognoseBKI_DV&gt;0,PrognoseBKI_DV/LOOKUP(SisteStatistikkÅr,StatistikkOgPrognoseÅr,StatistikkBKI_DV),((1+Fremtidig_KPI)*BX68)))</f>
        <v>2.1924178799547032</v>
      </c>
      <c r="BZ68" s="752">
        <f t="shared" si="234"/>
        <v>2.2362662375537972</v>
      </c>
      <c r="CA68" s="752">
        <f t="shared" si="234"/>
        <v>2.2809915623048731</v>
      </c>
      <c r="CB68" s="752">
        <f t="shared" si="234"/>
        <v>2.3266113935509707</v>
      </c>
      <c r="CC68" s="752">
        <f t="shared" si="234"/>
        <v>2.3731436214219901</v>
      </c>
      <c r="CD68" s="752">
        <f t="shared" si="234"/>
        <v>2.4206064938504301</v>
      </c>
      <c r="CE68" s="752">
        <f t="shared" si="234"/>
        <v>2.4690186237274387</v>
      </c>
      <c r="CF68" s="752">
        <f t="shared" si="234"/>
        <v>2.5183989962019875</v>
      </c>
      <c r="CG68" s="752">
        <f t="shared" si="234"/>
        <v>2.5687669761260272</v>
      </c>
      <c r="CH68" s="752">
        <f t="shared" si="234"/>
        <v>2.6201423156485477</v>
      </c>
      <c r="CI68" s="752">
        <f t="shared" si="234"/>
        <v>2.6725451619615188</v>
      </c>
      <c r="CJ68" s="752">
        <f t="shared" si="234"/>
        <v>2.7259960652007491</v>
      </c>
      <c r="CK68" s="752">
        <f t="shared" si="234"/>
        <v>2.7805159865047639</v>
      </c>
      <c r="CL68" s="752">
        <f t="shared" si="234"/>
        <v>2.8361263062348594</v>
      </c>
      <c r="CM68" s="752">
        <f t="shared" si="234"/>
        <v>2.8928488323595567</v>
      </c>
      <c r="CN68" s="752">
        <f t="shared" si="234"/>
        <v>2.9507058090067479</v>
      </c>
      <c r="CO68" s="752">
        <f t="shared" si="234"/>
        <v>3.0097199251868831</v>
      </c>
      <c r="CP68" s="752">
        <f t="shared" si="234"/>
        <v>3.0699143236906208</v>
      </c>
      <c r="CQ68" s="752">
        <f t="shared" si="234"/>
        <v>3.1313126101644331</v>
      </c>
      <c r="CR68" s="752">
        <f t="shared" si="234"/>
        <v>3.1939388623677218</v>
      </c>
      <c r="CS68" s="752">
        <f t="shared" si="234"/>
        <v>3.2578176396150762</v>
      </c>
      <c r="CT68" s="752">
        <f t="shared" si="234"/>
        <v>3.3229739924073778</v>
      </c>
      <c r="CU68" s="752">
        <f t="shared" si="234"/>
        <v>3.3894334722555253</v>
      </c>
      <c r="CV68" s="752">
        <f t="shared" si="234"/>
        <v>3.4572221417006359</v>
      </c>
      <c r="CW68" s="752">
        <f t="shared" si="234"/>
        <v>3.5263665845346486</v>
      </c>
      <c r="CX68" s="752">
        <f t="shared" si="234"/>
        <v>3.5968939162253415</v>
      </c>
      <c r="CY68" s="752">
        <f t="shared" si="234"/>
        <v>3.6688317945498485</v>
      </c>
      <c r="CZ68" s="752">
        <f t="shared" si="234"/>
        <v>3.7422084304408454</v>
      </c>
      <c r="DA68" s="752">
        <f t="shared" si="234"/>
        <v>3.8170525990496622</v>
      </c>
      <c r="DB68" s="752">
        <f t="shared" si="234"/>
        <v>3.8933936510306557</v>
      </c>
      <c r="DC68" s="752">
        <f t="shared" si="234"/>
        <v>3.9712615240512688</v>
      </c>
      <c r="DD68" s="752">
        <f t="shared" si="234"/>
        <v>4.0506867545322942</v>
      </c>
      <c r="DE68" s="752">
        <f t="shared" ref="DE68:EO68" si="235">IF(StatistikkOgPrognoseÅr&lt;=SisteStatistikkÅr,StatistikkBKI_DV/LOOKUP(SisteStatistikkÅr,StatistikkOgPrognoseÅr,StatistikkBKI_DV),IF(PrognoseBKI_DV&gt;0,PrognoseBKI_DV/LOOKUP(SisteStatistikkÅr,StatistikkOgPrognoseÅr,StatistikkBKI_DV),((1+Fremtidig_KPI)*DD68)))</f>
        <v>4.1317004896229399</v>
      </c>
      <c r="DF68" s="752">
        <f t="shared" si="235"/>
        <v>4.2143344994153988</v>
      </c>
      <c r="DG68" s="752">
        <f t="shared" si="235"/>
        <v>4.2986211894037067</v>
      </c>
      <c r="DH68" s="752">
        <f t="shared" si="235"/>
        <v>4.3845936131917806</v>
      </c>
      <c r="DI68" s="752">
        <f t="shared" si="235"/>
        <v>4.4722854854556164</v>
      </c>
      <c r="DJ68" s="752">
        <f t="shared" si="235"/>
        <v>4.5617311951647288</v>
      </c>
      <c r="DK68" s="752">
        <f t="shared" si="235"/>
        <v>4.6529658190680232</v>
      </c>
      <c r="DL68" s="752">
        <f t="shared" si="235"/>
        <v>4.7460251354493836</v>
      </c>
      <c r="DM68" s="752">
        <f t="shared" si="235"/>
        <v>4.8409456381583711</v>
      </c>
      <c r="DN68" s="752">
        <f t="shared" si="235"/>
        <v>4.9377645509215382</v>
      </c>
      <c r="DO68" s="752">
        <f t="shared" si="235"/>
        <v>5.0365198419399695</v>
      </c>
      <c r="DP68" s="752">
        <f t="shared" si="235"/>
        <v>5.1372502387787691</v>
      </c>
      <c r="DQ68" s="752">
        <f t="shared" si="235"/>
        <v>5.2399952435543442</v>
      </c>
      <c r="DR68" s="752">
        <f t="shared" si="235"/>
        <v>5.3447951484254315</v>
      </c>
      <c r="DS68" s="752">
        <f t="shared" si="235"/>
        <v>5.4516910513939401</v>
      </c>
      <c r="DT68" s="752">
        <f t="shared" si="235"/>
        <v>5.5607248724218188</v>
      </c>
      <c r="DU68" s="752">
        <f t="shared" si="235"/>
        <v>5.6719393698702554</v>
      </c>
      <c r="DV68" s="752">
        <f t="shared" si="235"/>
        <v>5.7853781572676608</v>
      </c>
      <c r="DW68" s="752">
        <f t="shared" si="235"/>
        <v>5.9010857204130138</v>
      </c>
      <c r="DX68" s="752">
        <f t="shared" si="235"/>
        <v>6.0191074348212741</v>
      </c>
      <c r="DY68" s="752">
        <f t="shared" si="235"/>
        <v>6.1394895835176992</v>
      </c>
      <c r="DZ68" s="752">
        <f t="shared" si="235"/>
        <v>6.2622793751880534</v>
      </c>
      <c r="EA68" s="752">
        <f t="shared" si="235"/>
        <v>6.3875249626918142</v>
      </c>
      <c r="EB68" s="752">
        <f t="shared" si="235"/>
        <v>6.5152754619456505</v>
      </c>
      <c r="EC68" s="752">
        <f t="shared" si="235"/>
        <v>6.6455809711845637</v>
      </c>
      <c r="ED68" s="752">
        <f t="shared" si="235"/>
        <v>6.7784925906082547</v>
      </c>
      <c r="EE68" s="752">
        <f t="shared" si="235"/>
        <v>6.9140624424204198</v>
      </c>
      <c r="EF68" s="752">
        <f t="shared" si="235"/>
        <v>7.0523436912688284</v>
      </c>
      <c r="EG68" s="752">
        <f t="shared" si="235"/>
        <v>7.1933905650942052</v>
      </c>
      <c r="EH68" s="752">
        <f t="shared" si="235"/>
        <v>7.3372583763960897</v>
      </c>
      <c r="EI68" s="752">
        <f t="shared" si="235"/>
        <v>7.484003543924012</v>
      </c>
      <c r="EJ68" s="752">
        <f t="shared" si="235"/>
        <v>7.633683614802492</v>
      </c>
      <c r="EK68" s="752">
        <f t="shared" si="235"/>
        <v>7.786357287098542</v>
      </c>
      <c r="EL68" s="752">
        <f t="shared" si="235"/>
        <v>7.9420844328405131</v>
      </c>
      <c r="EM68" s="752">
        <f t="shared" si="235"/>
        <v>8.1009261214973236</v>
      </c>
      <c r="EN68" s="752">
        <f t="shared" si="235"/>
        <v>8.2629446439272698</v>
      </c>
      <c r="EO68" s="752">
        <f t="shared" si="235"/>
        <v>8.4282035368058157</v>
      </c>
    </row>
    <row r="69" spans="1:145" x14ac:dyDescent="0.35">
      <c r="A69" s="272"/>
      <c r="B69" s="65" t="s">
        <v>1387</v>
      </c>
      <c r="C69" s="65"/>
      <c r="D69" s="101"/>
      <c r="E69" s="217"/>
      <c r="F69" s="6"/>
      <c r="G69" s="218" t="str">
        <f>"KPI ("&amp;SisteStatistikkÅr&amp;"=1)"</f>
        <v>KPI (2025=1)</v>
      </c>
      <c r="H69" s="65"/>
      <c r="I69" s="65"/>
      <c r="J69" s="65"/>
      <c r="K69" s="65"/>
      <c r="L69" s="65"/>
      <c r="M69" s="752">
        <f t="shared" ref="M69:AR69" si="236">IF(StatistikkOgPrognoseÅr&lt;=SisteStatistikkÅr,StatistikkKPI/LOOKUP(SisteStatistikkÅr,StatistikkOgPrognoseÅr,StatistikkKPI),IF(PrognoseKPI&gt;0,PrognoseKPI/LOOKUP(SisteStatistikkÅr,StatistikkOgPrognoseÅr,StatistikkKPI),((1+Fremtidig_KPI)*L69)))</f>
        <v>0.54829339143064637</v>
      </c>
      <c r="N69" s="752">
        <f t="shared" si="236"/>
        <v>0.56427015250544665</v>
      </c>
      <c r="O69" s="752">
        <f t="shared" si="236"/>
        <v>0.57153231663035586</v>
      </c>
      <c r="P69" s="752">
        <f t="shared" si="236"/>
        <v>0.58605664488017439</v>
      </c>
      <c r="Q69" s="752">
        <f t="shared" si="236"/>
        <v>0.58823529411764708</v>
      </c>
      <c r="R69" s="752">
        <f t="shared" si="236"/>
        <v>0.59767610748002908</v>
      </c>
      <c r="S69" s="752">
        <f t="shared" si="236"/>
        <v>0.61147421931735668</v>
      </c>
      <c r="T69" s="752">
        <f t="shared" si="236"/>
        <v>0.61583151779230216</v>
      </c>
      <c r="U69" s="752">
        <f t="shared" si="236"/>
        <v>0.63907044299201166</v>
      </c>
      <c r="V69" s="752">
        <f t="shared" si="236"/>
        <v>0.65286855482933925</v>
      </c>
      <c r="W69" s="752">
        <f t="shared" si="236"/>
        <v>0.66884531590413943</v>
      </c>
      <c r="X69" s="752">
        <f t="shared" si="236"/>
        <v>0.6775599128540305</v>
      </c>
      <c r="Y69" s="752">
        <f t="shared" si="236"/>
        <v>0.68191721132897609</v>
      </c>
      <c r="Z69" s="752">
        <f t="shared" si="236"/>
        <v>0.69644153957879462</v>
      </c>
      <c r="AA69" s="752">
        <f t="shared" si="236"/>
        <v>0.71096586782861304</v>
      </c>
      <c r="AB69" s="752">
        <f t="shared" si="236"/>
        <v>0.72621641249092239</v>
      </c>
      <c r="AC69" s="752">
        <f t="shared" si="236"/>
        <v>0.7523602033405955</v>
      </c>
      <c r="AD69" s="752">
        <f t="shared" si="236"/>
        <v>0.7661583151779231</v>
      </c>
      <c r="AE69" s="752">
        <f t="shared" si="236"/>
        <v>0.78721859114015991</v>
      </c>
      <c r="AF69" s="752">
        <f t="shared" si="236"/>
        <v>0.80464778503994194</v>
      </c>
      <c r="AG69" s="752">
        <f t="shared" si="236"/>
        <v>0.81481481481481488</v>
      </c>
      <c r="AH69" s="752">
        <f t="shared" si="236"/>
        <v>0.84313725490196079</v>
      </c>
      <c r="AI69" s="752">
        <f t="shared" si="236"/>
        <v>0.89203921568627453</v>
      </c>
      <c r="AJ69" s="752">
        <f t="shared" si="236"/>
        <v>0.94117647058823528</v>
      </c>
      <c r="AK69" s="752">
        <f t="shared" si="236"/>
        <v>0.97022512708787223</v>
      </c>
      <c r="AL69" s="752">
        <f t="shared" si="236"/>
        <v>1</v>
      </c>
      <c r="AM69" s="752">
        <f t="shared" si="236"/>
        <v>1.0249999999999999</v>
      </c>
      <c r="AN69" s="752">
        <f t="shared" si="236"/>
        <v>1.0536999999999999</v>
      </c>
      <c r="AO69" s="752">
        <f t="shared" si="236"/>
        <v>1.0821498999999999</v>
      </c>
      <c r="AP69" s="752">
        <f t="shared" si="236"/>
        <v>1.1037928979999998</v>
      </c>
      <c r="AQ69" s="752">
        <f t="shared" si="236"/>
        <v>1.1258687559599998</v>
      </c>
      <c r="AR69" s="752">
        <f t="shared" si="236"/>
        <v>1.1483861310791998</v>
      </c>
      <c r="AS69" s="752">
        <f t="shared" ref="AS69:BX69" si="237">IF(StatistikkOgPrognoseÅr&lt;=SisteStatistikkÅr,StatistikkKPI/LOOKUP(SisteStatistikkÅr,StatistikkOgPrognoseÅr,StatistikkKPI),IF(PrognoseKPI&gt;0,PrognoseKPI/LOOKUP(SisteStatistikkÅr,StatistikkOgPrognoseÅr,StatistikkKPI),((1+Fremtidig_KPI)*AR69)))</f>
        <v>1.1713538537007839</v>
      </c>
      <c r="AT69" s="752">
        <f t="shared" si="237"/>
        <v>1.1947809307747996</v>
      </c>
      <c r="AU69" s="752">
        <f t="shared" si="237"/>
        <v>1.2186765493902956</v>
      </c>
      <c r="AV69" s="752">
        <f t="shared" si="237"/>
        <v>1.2430500803781015</v>
      </c>
      <c r="AW69" s="752">
        <f t="shared" si="237"/>
        <v>1.2679110819856636</v>
      </c>
      <c r="AX69" s="752">
        <f t="shared" si="237"/>
        <v>1.2932693036253768</v>
      </c>
      <c r="AY69" s="752">
        <f t="shared" si="237"/>
        <v>1.3191346896978844</v>
      </c>
      <c r="AZ69" s="752">
        <f t="shared" si="237"/>
        <v>1.3455173834918421</v>
      </c>
      <c r="BA69" s="752">
        <f t="shared" si="237"/>
        <v>1.372427731161679</v>
      </c>
      <c r="BB69" s="752">
        <f t="shared" si="237"/>
        <v>1.3998762857849127</v>
      </c>
      <c r="BC69" s="752">
        <f t="shared" si="237"/>
        <v>1.4278738115006111</v>
      </c>
      <c r="BD69" s="752">
        <f t="shared" si="237"/>
        <v>1.4564312877306234</v>
      </c>
      <c r="BE69" s="752">
        <f t="shared" si="237"/>
        <v>1.4855599134852358</v>
      </c>
      <c r="BF69" s="752">
        <f t="shared" si="237"/>
        <v>1.5152711117549404</v>
      </c>
      <c r="BG69" s="752">
        <f t="shared" si="237"/>
        <v>1.5455765339900394</v>
      </c>
      <c r="BH69" s="752">
        <f t="shared" si="237"/>
        <v>1.5764880646698403</v>
      </c>
      <c r="BI69" s="752">
        <f t="shared" si="237"/>
        <v>1.6080178259632372</v>
      </c>
      <c r="BJ69" s="752">
        <f t="shared" si="237"/>
        <v>1.6401781824825019</v>
      </c>
      <c r="BK69" s="752">
        <f t="shared" si="237"/>
        <v>1.6729817461321519</v>
      </c>
      <c r="BL69" s="752">
        <f t="shared" si="237"/>
        <v>1.7064413810547949</v>
      </c>
      <c r="BM69" s="752">
        <f t="shared" si="237"/>
        <v>1.740570208675891</v>
      </c>
      <c r="BN69" s="752">
        <f t="shared" si="237"/>
        <v>1.7753816128494089</v>
      </c>
      <c r="BO69" s="752">
        <f t="shared" si="237"/>
        <v>1.8108892451063971</v>
      </c>
      <c r="BP69" s="752">
        <f t="shared" si="237"/>
        <v>1.8471070300085251</v>
      </c>
      <c r="BQ69" s="752">
        <f t="shared" si="237"/>
        <v>1.8840491706086955</v>
      </c>
      <c r="BR69" s="752">
        <f t="shared" si="237"/>
        <v>1.9217301540208693</v>
      </c>
      <c r="BS69" s="752">
        <f t="shared" si="237"/>
        <v>1.9601647571012868</v>
      </c>
      <c r="BT69" s="752">
        <f t="shared" si="237"/>
        <v>1.9993680522433126</v>
      </c>
      <c r="BU69" s="752">
        <f t="shared" si="237"/>
        <v>2.0393554132881788</v>
      </c>
      <c r="BV69" s="752">
        <f t="shared" si="237"/>
        <v>2.0801425215539426</v>
      </c>
      <c r="BW69" s="752">
        <f t="shared" si="237"/>
        <v>2.1217453719850217</v>
      </c>
      <c r="BX69" s="752">
        <f t="shared" si="237"/>
        <v>2.164180279424722</v>
      </c>
      <c r="BY69" s="752">
        <f t="shared" ref="BY69:DD69" si="238">IF(StatistikkOgPrognoseÅr&lt;=SisteStatistikkÅr,StatistikkKPI/LOOKUP(SisteStatistikkÅr,StatistikkOgPrognoseÅr,StatistikkKPI),IF(PrognoseKPI&gt;0,PrognoseKPI/LOOKUP(SisteStatistikkÅr,StatistikkOgPrognoseÅr,StatistikkKPI),((1+Fremtidig_KPI)*BX69)))</f>
        <v>2.2074638850132167</v>
      </c>
      <c r="BZ69" s="752">
        <f t="shared" si="238"/>
        <v>2.2516131627134812</v>
      </c>
      <c r="CA69" s="752">
        <f t="shared" si="238"/>
        <v>2.2966454259677507</v>
      </c>
      <c r="CB69" s="752">
        <f t="shared" si="238"/>
        <v>2.3425783344871056</v>
      </c>
      <c r="CC69" s="752">
        <f t="shared" si="238"/>
        <v>2.3894299011768476</v>
      </c>
      <c r="CD69" s="752">
        <f t="shared" si="238"/>
        <v>2.4372184992003847</v>
      </c>
      <c r="CE69" s="752">
        <f t="shared" si="238"/>
        <v>2.4859628691843922</v>
      </c>
      <c r="CF69" s="752">
        <f t="shared" si="238"/>
        <v>2.53568212656808</v>
      </c>
      <c r="CG69" s="752">
        <f t="shared" si="238"/>
        <v>2.5863957690994415</v>
      </c>
      <c r="CH69" s="752">
        <f t="shared" si="238"/>
        <v>2.6381236844814304</v>
      </c>
      <c r="CI69" s="752">
        <f t="shared" si="238"/>
        <v>2.6908861581710593</v>
      </c>
      <c r="CJ69" s="752">
        <f t="shared" si="238"/>
        <v>2.7447038813344804</v>
      </c>
      <c r="CK69" s="752">
        <f t="shared" si="238"/>
        <v>2.7995979589611699</v>
      </c>
      <c r="CL69" s="752">
        <f t="shared" si="238"/>
        <v>2.8555899181403932</v>
      </c>
      <c r="CM69" s="752">
        <f t="shared" si="238"/>
        <v>2.912701716503201</v>
      </c>
      <c r="CN69" s="752">
        <f t="shared" si="238"/>
        <v>2.9709557508332649</v>
      </c>
      <c r="CO69" s="752">
        <f t="shared" si="238"/>
        <v>3.0303748658499301</v>
      </c>
      <c r="CP69" s="752">
        <f t="shared" si="238"/>
        <v>3.0909823631669289</v>
      </c>
      <c r="CQ69" s="752">
        <f t="shared" si="238"/>
        <v>3.1528020104302676</v>
      </c>
      <c r="CR69" s="752">
        <f t="shared" si="238"/>
        <v>3.215858050638873</v>
      </c>
      <c r="CS69" s="752">
        <f t="shared" si="238"/>
        <v>3.2801752116516507</v>
      </c>
      <c r="CT69" s="752">
        <f t="shared" si="238"/>
        <v>3.3457787158846837</v>
      </c>
      <c r="CU69" s="752">
        <f t="shared" si="238"/>
        <v>3.4126942902023774</v>
      </c>
      <c r="CV69" s="752">
        <f t="shared" si="238"/>
        <v>3.4809481760064251</v>
      </c>
      <c r="CW69" s="752">
        <f t="shared" si="238"/>
        <v>3.5505671395265539</v>
      </c>
      <c r="CX69" s="752">
        <f t="shared" si="238"/>
        <v>3.6215784823170849</v>
      </c>
      <c r="CY69" s="752">
        <f t="shared" si="238"/>
        <v>3.6940100519634265</v>
      </c>
      <c r="CZ69" s="752">
        <f t="shared" si="238"/>
        <v>3.7678902530026952</v>
      </c>
      <c r="DA69" s="752">
        <f t="shared" si="238"/>
        <v>3.8432480580627493</v>
      </c>
      <c r="DB69" s="752">
        <f t="shared" si="238"/>
        <v>3.9201130192240043</v>
      </c>
      <c r="DC69" s="752">
        <f t="shared" si="238"/>
        <v>3.9985152796084846</v>
      </c>
      <c r="DD69" s="752">
        <f t="shared" si="238"/>
        <v>4.0784855852006547</v>
      </c>
      <c r="DE69" s="752">
        <f t="shared" ref="DE69:DQ69" si="239">IF(StatistikkOgPrognoseÅr&lt;=SisteStatistikkÅr,StatistikkKPI/LOOKUP(SisteStatistikkÅr,StatistikkOgPrognoseÅr,StatistikkKPI),IF(PrognoseKPI&gt;0,PrognoseKPI/LOOKUP(SisteStatistikkÅr,StatistikkOgPrognoseÅr,StatistikkKPI),((1+Fremtidig_KPI)*DD69)))</f>
        <v>4.1600552969046678</v>
      </c>
      <c r="DF69" s="752">
        <f t="shared" si="239"/>
        <v>4.2432564028427615</v>
      </c>
      <c r="DG69" s="752">
        <f t="shared" si="239"/>
        <v>4.328121530899617</v>
      </c>
      <c r="DH69" s="752">
        <f t="shared" si="239"/>
        <v>4.4146839615176097</v>
      </c>
      <c r="DI69" s="752">
        <f t="shared" si="239"/>
        <v>4.5029776407479618</v>
      </c>
      <c r="DJ69" s="752">
        <f t="shared" si="239"/>
        <v>4.5930371935629211</v>
      </c>
      <c r="DK69" s="752">
        <f t="shared" si="239"/>
        <v>4.6848979374341795</v>
      </c>
      <c r="DL69" s="752">
        <f t="shared" si="239"/>
        <v>4.7785958961828632</v>
      </c>
      <c r="DM69" s="752">
        <f t="shared" si="239"/>
        <v>4.8741678141065208</v>
      </c>
      <c r="DN69" s="752">
        <f t="shared" si="239"/>
        <v>4.9716511703886512</v>
      </c>
      <c r="DO69" s="752">
        <f t="shared" si="239"/>
        <v>5.0710841937964242</v>
      </c>
      <c r="DP69" s="752">
        <f t="shared" si="239"/>
        <v>5.1725058776723527</v>
      </c>
      <c r="DQ69" s="768">
        <f t="shared" si="239"/>
        <v>5.2759559952258002</v>
      </c>
      <c r="DR69" s="752">
        <f t="shared" ref="DR69" si="240">IF(StatistikkOgPrognoseÅr&lt;=SisteStatistikkÅr,StatistikkKPI/LOOKUP(SisteStatistikkÅr,StatistikkOgPrognoseÅr,StatistikkKPI),IF(PrognoseKPI&gt;0,PrognoseKPI/LOOKUP(SisteStatistikkÅr,StatistikkOgPrognoseÅr,StatistikkKPI),((1+Fremtidig_KPI)*DQ69)))</f>
        <v>5.381475115130316</v>
      </c>
      <c r="DS69" s="752">
        <f t="shared" ref="DS69" si="241">IF(StatistikkOgPrognoseÅr&lt;=SisteStatistikkÅr,StatistikkKPI/LOOKUP(SisteStatistikkÅr,StatistikkOgPrognoseÅr,StatistikkKPI),IF(PrognoseKPI&gt;0,PrognoseKPI/LOOKUP(SisteStatistikkÅr,StatistikkOgPrognoseÅr,StatistikkKPI),((1+Fremtidig_KPI)*DR69)))</f>
        <v>5.4891046174329228</v>
      </c>
      <c r="DT69" s="752">
        <f t="shared" ref="DT69" si="242">IF(StatistikkOgPrognoseÅr&lt;=SisteStatistikkÅr,StatistikkKPI/LOOKUP(SisteStatistikkÅr,StatistikkOgPrognoseÅr,StatistikkKPI),IF(PrognoseKPI&gt;0,PrognoseKPI/LOOKUP(SisteStatistikkÅr,StatistikkOgPrognoseÅr,StatistikkKPI),((1+Fremtidig_KPI)*DS69)))</f>
        <v>5.5988867097815813</v>
      </c>
      <c r="DU69" s="752">
        <f t="shared" ref="DU69" si="243">IF(StatistikkOgPrognoseÅr&lt;=SisteStatistikkÅr,StatistikkKPI/LOOKUP(SisteStatistikkÅr,StatistikkOgPrognoseÅr,StatistikkKPI),IF(PrognoseKPI&gt;0,PrognoseKPI/LOOKUP(SisteStatistikkÅr,StatistikkOgPrognoseÅr,StatistikkKPI),((1+Fremtidig_KPI)*DT69)))</f>
        <v>5.7108644439772132</v>
      </c>
      <c r="DV69" s="752">
        <f t="shared" ref="DV69" si="244">IF(StatistikkOgPrognoseÅr&lt;=SisteStatistikkÅr,StatistikkKPI/LOOKUP(SisteStatistikkÅr,StatistikkOgPrognoseÅr,StatistikkKPI),IF(PrognoseKPI&gt;0,PrognoseKPI/LOOKUP(SisteStatistikkÅr,StatistikkOgPrognoseÅr,StatistikkKPI),((1+Fremtidig_KPI)*DU69)))</f>
        <v>5.8250817328567575</v>
      </c>
      <c r="DW69" s="752">
        <f t="shared" ref="DW69" si="245">IF(StatistikkOgPrognoseÅr&lt;=SisteStatistikkÅr,StatistikkKPI/LOOKUP(SisteStatistikkÅr,StatistikkOgPrognoseÅr,StatistikkKPI),IF(PrognoseKPI&gt;0,PrognoseKPI/LOOKUP(SisteStatistikkÅr,StatistikkOgPrognoseÅr,StatistikkKPI),((1+Fremtidig_KPI)*DV69)))</f>
        <v>5.9415833675138927</v>
      </c>
      <c r="DX69" s="752">
        <f t="shared" ref="DX69" si="246">IF(StatistikkOgPrognoseÅr&lt;=SisteStatistikkÅr,StatistikkKPI/LOOKUP(SisteStatistikkÅr,StatistikkOgPrognoseÅr,StatistikkKPI),IF(PrognoseKPI&gt;0,PrognoseKPI/LOOKUP(SisteStatistikkÅr,StatistikkOgPrognoseÅr,StatistikkKPI),((1+Fremtidig_KPI)*DW69)))</f>
        <v>6.060415034864171</v>
      </c>
      <c r="DY69" s="752">
        <f t="shared" ref="DY69" si="247">IF(StatistikkOgPrognoseÅr&lt;=SisteStatistikkÅr,StatistikkKPI/LOOKUP(SisteStatistikkÅr,StatistikkOgPrognoseÅr,StatistikkKPI),IF(PrognoseKPI&gt;0,PrognoseKPI/LOOKUP(SisteStatistikkÅr,StatistikkOgPrognoseÅr,StatistikkKPI),((1+Fremtidig_KPI)*DX69)))</f>
        <v>6.1816233355614543</v>
      </c>
      <c r="DZ69" s="752">
        <f t="shared" ref="DZ69" si="248">IF(StatistikkOgPrognoseÅr&lt;=SisteStatistikkÅr,StatistikkKPI/LOOKUP(SisteStatistikkÅr,StatistikkOgPrognoseÅr,StatistikkKPI),IF(PrognoseKPI&gt;0,PrognoseKPI/LOOKUP(SisteStatistikkÅr,StatistikkOgPrognoseÅr,StatistikkKPI),((1+Fremtidig_KPI)*DY69)))</f>
        <v>6.3052558022726837</v>
      </c>
      <c r="EA69" s="752">
        <f t="shared" ref="EA69" si="249">IF(StatistikkOgPrognoseÅr&lt;=SisteStatistikkÅr,StatistikkKPI/LOOKUP(SisteStatistikkÅr,StatistikkOgPrognoseÅr,StatistikkKPI),IF(PrognoseKPI&gt;0,PrognoseKPI/LOOKUP(SisteStatistikkÅr,StatistikkOgPrognoseÅr,StatistikkKPI),((1+Fremtidig_KPI)*DZ69)))</f>
        <v>6.4313609183181377</v>
      </c>
      <c r="EB69" s="752">
        <f t="shared" ref="EB69" si="250">IF(StatistikkOgPrognoseÅr&lt;=SisteStatistikkÅr,StatistikkKPI/LOOKUP(SisteStatistikkÅr,StatistikkOgPrognoseÅr,StatistikkKPI),IF(PrognoseKPI&gt;0,PrognoseKPI/LOOKUP(SisteStatistikkÅr,StatistikkOgPrognoseÅr,StatistikkKPI),((1+Fremtidig_KPI)*EA69)))</f>
        <v>6.5599881366845008</v>
      </c>
      <c r="EC69" s="752">
        <f t="shared" ref="EC69" si="251">IF(StatistikkOgPrognoseÅr&lt;=SisteStatistikkÅr,StatistikkKPI/LOOKUP(SisteStatistikkÅr,StatistikkOgPrognoseÅr,StatistikkKPI),IF(PrognoseKPI&gt;0,PrognoseKPI/LOOKUP(SisteStatistikkÅr,StatistikkOgPrognoseÅr,StatistikkKPI),((1+Fremtidig_KPI)*EB69)))</f>
        <v>6.6911878994181908</v>
      </c>
      <c r="ED69" s="752">
        <f t="shared" ref="ED69" si="252">IF(StatistikkOgPrognoseÅr&lt;=SisteStatistikkÅr,StatistikkKPI/LOOKUP(SisteStatistikkÅr,StatistikkOgPrognoseÅr,StatistikkKPI),IF(PrognoseKPI&gt;0,PrognoseKPI/LOOKUP(SisteStatistikkÅr,StatistikkOgPrognoseÅr,StatistikkKPI),((1+Fremtidig_KPI)*EC69)))</f>
        <v>6.8250116574065549</v>
      </c>
      <c r="EE69" s="752">
        <f t="shared" ref="EE69" si="253">IF(StatistikkOgPrognoseÅr&lt;=SisteStatistikkÅr,StatistikkKPI/LOOKUP(SisteStatistikkÅr,StatistikkOgPrognoseÅr,StatistikkKPI),IF(PrognoseKPI&gt;0,PrognoseKPI/LOOKUP(SisteStatistikkÅr,StatistikkOgPrognoseÅr,StatistikkKPI),((1+Fremtidig_KPI)*ED69)))</f>
        <v>6.9615118905546858</v>
      </c>
      <c r="EF69" s="752">
        <f t="shared" ref="EF69" si="254">IF(StatistikkOgPrognoseÅr&lt;=SisteStatistikkÅr,StatistikkKPI/LOOKUP(SisteStatistikkÅr,StatistikkOgPrognoseÅr,StatistikkKPI),IF(PrognoseKPI&gt;0,PrognoseKPI/LOOKUP(SisteStatistikkÅr,StatistikkOgPrognoseÅr,StatistikkKPI),((1+Fremtidig_KPI)*EE69)))</f>
        <v>7.1007421283657797</v>
      </c>
      <c r="EG69" s="752">
        <f t="shared" ref="EG69" si="255">IF(StatistikkOgPrognoseÅr&lt;=SisteStatistikkÅr,StatistikkKPI/LOOKUP(SisteStatistikkÅr,StatistikkOgPrognoseÅr,StatistikkKPI),IF(PrognoseKPI&gt;0,PrognoseKPI/LOOKUP(SisteStatistikkÅr,StatistikkOgPrognoseÅr,StatistikkKPI),((1+Fremtidig_KPI)*EF69)))</f>
        <v>7.2427569709330957</v>
      </c>
      <c r="EH69" s="752">
        <f t="shared" ref="EH69" si="256">IF(StatistikkOgPrognoseÅr&lt;=SisteStatistikkÅr,StatistikkKPI/LOOKUP(SisteStatistikkÅr,StatistikkOgPrognoseÅr,StatistikkKPI),IF(PrognoseKPI&gt;0,PrognoseKPI/LOOKUP(SisteStatistikkÅr,StatistikkOgPrognoseÅr,StatistikkKPI),((1+Fremtidig_KPI)*EG69)))</f>
        <v>7.3876121103517578</v>
      </c>
      <c r="EI69" s="752">
        <f t="shared" ref="EI69" si="257">IF(StatistikkOgPrognoseÅr&lt;=SisteStatistikkÅr,StatistikkKPI/LOOKUP(SisteStatistikkÅr,StatistikkOgPrognoseÅr,StatistikkKPI),IF(PrognoseKPI&gt;0,PrognoseKPI/LOOKUP(SisteStatistikkÅr,StatistikkOgPrognoseÅr,StatistikkKPI),((1+Fremtidig_KPI)*EH69)))</f>
        <v>7.5353643525587932</v>
      </c>
      <c r="EJ69" s="752">
        <f t="shared" ref="EJ69" si="258">IF(StatistikkOgPrognoseÅr&lt;=SisteStatistikkÅr,StatistikkKPI/LOOKUP(SisteStatistikkÅr,StatistikkOgPrognoseÅr,StatistikkKPI),IF(PrognoseKPI&gt;0,PrognoseKPI/LOOKUP(SisteStatistikkÅr,StatistikkOgPrognoseÅr,StatistikkKPI),((1+Fremtidig_KPI)*EI69)))</f>
        <v>7.6860716396099695</v>
      </c>
      <c r="EK69" s="752">
        <f t="shared" ref="EK69" si="259">IF(StatistikkOgPrognoseÅr&lt;=SisteStatistikkÅr,StatistikkKPI/LOOKUP(SisteStatistikkÅr,StatistikkOgPrognoseÅr,StatistikkKPI),IF(PrognoseKPI&gt;0,PrognoseKPI/LOOKUP(SisteStatistikkÅr,StatistikkOgPrognoseÅr,StatistikkKPI),((1+Fremtidig_KPI)*EJ69)))</f>
        <v>7.8397930724021689</v>
      </c>
      <c r="EL69" s="752">
        <f t="shared" ref="EL69" si="260">IF(StatistikkOgPrognoseÅr&lt;=SisteStatistikkÅr,StatistikkKPI/LOOKUP(SisteStatistikkÅr,StatistikkOgPrognoseÅr,StatistikkKPI),IF(PrognoseKPI&gt;0,PrognoseKPI/LOOKUP(SisteStatistikkÅr,StatistikkOgPrognoseÅr,StatistikkKPI),((1+Fremtidig_KPI)*EK69)))</f>
        <v>7.9965889338502123</v>
      </c>
      <c r="EM69" s="752">
        <f t="shared" ref="EM69" si="261">IF(StatistikkOgPrognoseÅr&lt;=SisteStatistikkÅr,StatistikkKPI/LOOKUP(SisteStatistikkÅr,StatistikkOgPrognoseÅr,StatistikkKPI),IF(PrognoseKPI&gt;0,PrognoseKPI/LOOKUP(SisteStatistikkÅr,StatistikkOgPrognoseÅr,StatistikkKPI),((1+Fremtidig_KPI)*EL69)))</f>
        <v>8.1565207125272163</v>
      </c>
      <c r="EN69" s="752">
        <f t="shared" ref="EN69" si="262">IF(StatistikkOgPrognoseÅr&lt;=SisteStatistikkÅr,StatistikkKPI/LOOKUP(SisteStatistikkÅr,StatistikkOgPrognoseÅr,StatistikkKPI),IF(PrognoseKPI&gt;0,PrognoseKPI/LOOKUP(SisteStatistikkÅr,StatistikkOgPrognoseÅr,StatistikkKPI),((1+Fremtidig_KPI)*EM69)))</f>
        <v>8.3196511267777602</v>
      </c>
      <c r="EO69" s="753">
        <f t="shared" ref="EO69" si="263">IF(StatistikkOgPrognoseÅr&lt;=SisteStatistikkÅr,StatistikkKPI/LOOKUP(SisteStatistikkÅr,StatistikkOgPrognoseÅr,StatistikkKPI),IF(PrognoseKPI&gt;0,PrognoseKPI/LOOKUP(SisteStatistikkÅr,StatistikkOgPrognoseÅr,StatistikkKPI),((1+Fremtidig_KPI)*EN69)))</f>
        <v>8.4860441493133152</v>
      </c>
    </row>
    <row r="70" spans="1:145" ht="15" thickBot="1" x14ac:dyDescent="0.4">
      <c r="A70" s="272"/>
      <c r="B70" s="65" t="s">
        <v>1387</v>
      </c>
      <c r="C70" s="65" t="s">
        <v>1428</v>
      </c>
      <c r="D70" s="101"/>
      <c r="E70" s="1146"/>
      <c r="F70" s="6"/>
      <c r="G70" s="266" t="str">
        <f>"Lønnskostnadsindeks ("&amp;SisteStatistikkÅr&amp;"=1)"</f>
        <v>Lønnskostnadsindeks (2025=1)</v>
      </c>
      <c r="H70" s="267"/>
      <c r="I70" s="267"/>
      <c r="J70" s="267"/>
      <c r="K70" s="267"/>
      <c r="L70" s="267"/>
      <c r="M70" s="1136"/>
      <c r="N70" s="1136"/>
      <c r="O70" s="1136"/>
      <c r="P70" s="1136"/>
      <c r="Q70" s="1136"/>
      <c r="R70" s="1136"/>
      <c r="S70" s="1136"/>
      <c r="T70" s="1136"/>
      <c r="U70" s="1136"/>
      <c r="V70" s="1136"/>
      <c r="W70" s="1136"/>
      <c r="X70" s="1136"/>
      <c r="Y70" s="1136"/>
      <c r="Z70" s="1136"/>
      <c r="AA70" s="1136"/>
      <c r="AB70" s="1137"/>
      <c r="AC70" s="716">
        <f t="shared" ref="AC70:BH70" si="264">IF(StatistikkOgPrognoseÅr&lt;=SisteStatistikkÅr,Statistikk_Lønnskostnad/LOOKUP(SisteStatistikkÅr,StatistikkOgPrognoseÅr,Statistikk_Lønnskostnad),IF(Prognose_Lønnskostnad&gt;0,Prognose_Lønnskostnad/LOOKUP(SisteStatistikkÅr,StatistikkOgPrognoseÅr,Statistikk_Lønnskostnad),LOOKUP(SistePrognoseÅr,StatistikkOgPrognoseÅr,Lønnskostnadsindeks)*(1+Fremtidig_Reallønnsvekst)^(StatistikkOgPrognoseÅr-SistePrognoseÅr)))</f>
        <v>0.70482740021574974</v>
      </c>
      <c r="AD70" s="716">
        <f t="shared" si="264"/>
        <v>0.72195253505933121</v>
      </c>
      <c r="AE70" s="716">
        <f t="shared" si="264"/>
        <v>0.74271844660194175</v>
      </c>
      <c r="AF70" s="716">
        <f t="shared" si="264"/>
        <v>0.76847357065803668</v>
      </c>
      <c r="AG70" s="716">
        <f t="shared" si="264"/>
        <v>0.79234088457389429</v>
      </c>
      <c r="AH70" s="716">
        <f t="shared" si="264"/>
        <v>0.82200647249190939</v>
      </c>
      <c r="AI70" s="716">
        <f t="shared" si="264"/>
        <v>0.85585221143473567</v>
      </c>
      <c r="AJ70" s="716">
        <f t="shared" si="264"/>
        <v>0.90129449838187703</v>
      </c>
      <c r="AK70" s="716">
        <f t="shared" si="264"/>
        <v>0.95024271844660191</v>
      </c>
      <c r="AL70" s="716">
        <f t="shared" si="264"/>
        <v>1</v>
      </c>
      <c r="AM70" s="716">
        <f t="shared" si="264"/>
        <v>1.0301249999999997</v>
      </c>
      <c r="AN70" s="716">
        <f t="shared" si="264"/>
        <v>1.0642633424999997</v>
      </c>
      <c r="AO70" s="716">
        <f t="shared" si="264"/>
        <v>1.0695846592124996</v>
      </c>
      <c r="AP70" s="716">
        <f t="shared" si="264"/>
        <v>1.0749325825085618</v>
      </c>
      <c r="AQ70" s="716">
        <f t="shared" si="264"/>
        <v>1.0803072454211047</v>
      </c>
      <c r="AR70" s="716">
        <f t="shared" si="264"/>
        <v>1.0857087816482098</v>
      </c>
      <c r="AS70" s="716">
        <f t="shared" si="264"/>
        <v>1.0911373255564507</v>
      </c>
      <c r="AT70" s="716">
        <f t="shared" si="264"/>
        <v>1.0965930121842327</v>
      </c>
      <c r="AU70" s="716">
        <f t="shared" si="264"/>
        <v>1.1020759772451538</v>
      </c>
      <c r="AV70" s="716">
        <f t="shared" si="264"/>
        <v>1.1075863571313793</v>
      </c>
      <c r="AW70" s="716">
        <f t="shared" si="264"/>
        <v>1.1131242889170363</v>
      </c>
      <c r="AX70" s="716">
        <f t="shared" si="264"/>
        <v>1.1186899103616212</v>
      </c>
      <c r="AY70" s="716">
        <f t="shared" si="264"/>
        <v>1.1242833599134292</v>
      </c>
      <c r="AZ70" s="716">
        <f t="shared" si="264"/>
        <v>1.1299047767129959</v>
      </c>
      <c r="BA70" s="716">
        <f t="shared" si="264"/>
        <v>1.1355543005965609</v>
      </c>
      <c r="BB70" s="716">
        <f t="shared" si="264"/>
        <v>1.1412320720995435</v>
      </c>
      <c r="BC70" s="716">
        <f t="shared" si="264"/>
        <v>1.146938232460041</v>
      </c>
      <c r="BD70" s="716">
        <f t="shared" si="264"/>
        <v>1.152672923622341</v>
      </c>
      <c r="BE70" s="716">
        <f t="shared" si="264"/>
        <v>1.1584362882404526</v>
      </c>
      <c r="BF70" s="716">
        <f t="shared" si="264"/>
        <v>1.1642284696816545</v>
      </c>
      <c r="BG70" s="716">
        <f t="shared" si="264"/>
        <v>1.1700496120300627</v>
      </c>
      <c r="BH70" s="716">
        <f t="shared" si="264"/>
        <v>1.1758998600902129</v>
      </c>
      <c r="BI70" s="716">
        <f t="shared" ref="BI70:CN70" si="265">IF(StatistikkOgPrognoseÅr&lt;=SisteStatistikkÅr,Statistikk_Lønnskostnad/LOOKUP(SisteStatistikkÅr,StatistikkOgPrognoseÅr,Statistikk_Lønnskostnad),IF(Prognose_Lønnskostnad&gt;0,Prognose_Lønnskostnad/LOOKUP(SisteStatistikkÅr,StatistikkOgPrognoseÅr,Statistikk_Lønnskostnad),LOOKUP(SistePrognoseÅr,StatistikkOgPrognoseÅr,Lønnskostnadsindeks)*(1+Fremtidig_Reallønnsvekst)^(StatistikkOgPrognoseÅr-SistePrognoseÅr)))</f>
        <v>1.1817793593906638</v>
      </c>
      <c r="BJ70" s="716">
        <f t="shared" si="265"/>
        <v>1.1876882561876168</v>
      </c>
      <c r="BK70" s="716">
        <f t="shared" si="265"/>
        <v>1.1936266974685548</v>
      </c>
      <c r="BL70" s="716">
        <f t="shared" si="265"/>
        <v>1.1995948309558975</v>
      </c>
      <c r="BM70" s="716">
        <f t="shared" si="265"/>
        <v>1.2055928051106768</v>
      </c>
      <c r="BN70" s="716">
        <f t="shared" si="265"/>
        <v>1.21162076913623</v>
      </c>
      <c r="BO70" s="716">
        <f t="shared" si="265"/>
        <v>1.217678872981911</v>
      </c>
      <c r="BP70" s="716">
        <f t="shared" si="265"/>
        <v>1.2237672673468203</v>
      </c>
      <c r="BQ70" s="716">
        <f t="shared" si="265"/>
        <v>1.2298861036835542</v>
      </c>
      <c r="BR70" s="716">
        <f t="shared" si="265"/>
        <v>1.2360355342019718</v>
      </c>
      <c r="BS70" s="716">
        <f t="shared" si="265"/>
        <v>1.2422157118729813</v>
      </c>
      <c r="BT70" s="716">
        <f t="shared" si="265"/>
        <v>1.2484267904323461</v>
      </c>
      <c r="BU70" s="716">
        <f t="shared" si="265"/>
        <v>1.2546689243845077</v>
      </c>
      <c r="BV70" s="716">
        <f t="shared" si="265"/>
        <v>1.26094226900643</v>
      </c>
      <c r="BW70" s="716">
        <f t="shared" si="265"/>
        <v>1.2672469803514621</v>
      </c>
      <c r="BX70" s="716">
        <f t="shared" si="265"/>
        <v>1.2735832152532189</v>
      </c>
      <c r="BY70" s="716">
        <f t="shared" si="265"/>
        <v>1.2799511313294849</v>
      </c>
      <c r="BZ70" s="716">
        <f t="shared" si="265"/>
        <v>1.2863508869861322</v>
      </c>
      <c r="CA70" s="716">
        <f t="shared" si="265"/>
        <v>1.2927826414210626</v>
      </c>
      <c r="CB70" s="716">
        <f t="shared" si="265"/>
        <v>1.299246554628168</v>
      </c>
      <c r="CC70" s="716">
        <f t="shared" si="265"/>
        <v>1.3057427874013086</v>
      </c>
      <c r="CD70" s="716">
        <f t="shared" si="265"/>
        <v>1.3122715013383148</v>
      </c>
      <c r="CE70" s="716">
        <f t="shared" si="265"/>
        <v>1.3188328588450062</v>
      </c>
      <c r="CF70" s="716">
        <f t="shared" si="265"/>
        <v>1.3254270231392311</v>
      </c>
      <c r="CG70" s="716">
        <f t="shared" si="265"/>
        <v>1.332054158254927</v>
      </c>
      <c r="CH70" s="716">
        <f t="shared" si="265"/>
        <v>1.3387144290462014</v>
      </c>
      <c r="CI70" s="716">
        <f t="shared" si="265"/>
        <v>1.345408001191432</v>
      </c>
      <c r="CJ70" s="716">
        <f t="shared" si="265"/>
        <v>1.3521350411973891</v>
      </c>
      <c r="CK70" s="716">
        <f t="shared" si="265"/>
        <v>1.3588957164033759</v>
      </c>
      <c r="CL70" s="716">
        <f t="shared" si="265"/>
        <v>1.3656901949853923</v>
      </c>
      <c r="CM70" s="716">
        <f t="shared" si="265"/>
        <v>1.3725186459603191</v>
      </c>
      <c r="CN70" s="716">
        <f t="shared" si="265"/>
        <v>1.3793812391901206</v>
      </c>
      <c r="CO70" s="716">
        <f t="shared" ref="CO70:EO70" si="266">IF(StatistikkOgPrognoseÅr&lt;=SisteStatistikkÅr,Statistikk_Lønnskostnad/LOOKUP(SisteStatistikkÅr,StatistikkOgPrognoseÅr,Statistikk_Lønnskostnad),IF(Prognose_Lønnskostnad&gt;0,Prognose_Lønnskostnad/LOOKUP(SisteStatistikkÅr,StatistikkOgPrognoseÅr,Statistikk_Lønnskostnad),LOOKUP(SistePrognoseÅr,StatistikkOgPrognoseÅr,Lønnskostnadsindeks)*(1+Fremtidig_Reallønnsvekst)^(StatistikkOgPrognoseÅr-SistePrognoseÅr)))</f>
        <v>1.3862781453860711</v>
      </c>
      <c r="CP70" s="716">
        <f t="shared" si="266"/>
        <v>1.393209536113001</v>
      </c>
      <c r="CQ70" s="716">
        <f t="shared" si="266"/>
        <v>1.4001755837935659</v>
      </c>
      <c r="CR70" s="716">
        <f t="shared" si="266"/>
        <v>1.4071764617125337</v>
      </c>
      <c r="CS70" s="716">
        <f t="shared" si="266"/>
        <v>1.4142123440210961</v>
      </c>
      <c r="CT70" s="716">
        <f t="shared" si="266"/>
        <v>1.4212834057412014</v>
      </c>
      <c r="CU70" s="716">
        <f t="shared" si="266"/>
        <v>1.4283898227699072</v>
      </c>
      <c r="CV70" s="716">
        <f t="shared" si="266"/>
        <v>1.4355317718837564</v>
      </c>
      <c r="CW70" s="716">
        <f t="shared" si="266"/>
        <v>1.4427094307431751</v>
      </c>
      <c r="CX70" s="716">
        <f t="shared" si="266"/>
        <v>1.4499229778968907</v>
      </c>
      <c r="CY70" s="716">
        <f t="shared" si="266"/>
        <v>1.4571725927863748</v>
      </c>
      <c r="CZ70" s="716">
        <f t="shared" si="266"/>
        <v>1.4644584557503066</v>
      </c>
      <c r="DA70" s="716">
        <f t="shared" si="266"/>
        <v>1.4717807480290579</v>
      </c>
      <c r="DB70" s="716">
        <f t="shared" si="266"/>
        <v>1.479139651769203</v>
      </c>
      <c r="DC70" s="716">
        <f t="shared" si="266"/>
        <v>1.4865353500280489</v>
      </c>
      <c r="DD70" s="716">
        <f t="shared" si="266"/>
        <v>1.4939680267781887</v>
      </c>
      <c r="DE70" s="716">
        <f t="shared" si="266"/>
        <v>1.5014378669120794</v>
      </c>
      <c r="DF70" s="716">
        <f t="shared" si="266"/>
        <v>1.5089450562466395</v>
      </c>
      <c r="DG70" s="716">
        <f t="shared" si="266"/>
        <v>1.5164897815278726</v>
      </c>
      <c r="DH70" s="716">
        <f t="shared" si="266"/>
        <v>1.5240722304355119</v>
      </c>
      <c r="DI70" s="716">
        <f t="shared" si="266"/>
        <v>1.5316925915876893</v>
      </c>
      <c r="DJ70" s="716">
        <f t="shared" si="266"/>
        <v>1.5393510545456275</v>
      </c>
      <c r="DK70" s="716">
        <f t="shared" si="266"/>
        <v>1.5470478098183553</v>
      </c>
      <c r="DL70" s="716">
        <f t="shared" si="266"/>
        <v>1.5547830488674466</v>
      </c>
      <c r="DM70" s="716">
        <f t="shared" si="266"/>
        <v>1.5625569641117838</v>
      </c>
      <c r="DN70" s="716">
        <f t="shared" si="266"/>
        <v>1.5703697489323425</v>
      </c>
      <c r="DO70" s="716">
        <f t="shared" si="266"/>
        <v>1.5782215976770038</v>
      </c>
      <c r="DP70" s="716">
        <f t="shared" si="266"/>
        <v>1.5861127056653888</v>
      </c>
      <c r="DQ70" s="1138">
        <f t="shared" si="266"/>
        <v>1.5940432691937154</v>
      </c>
      <c r="DR70" s="716">
        <f t="shared" si="266"/>
        <v>1.6020134855396837</v>
      </c>
      <c r="DS70" s="716">
        <f t="shared" si="266"/>
        <v>1.6100235529673821</v>
      </c>
      <c r="DT70" s="716">
        <f t="shared" si="266"/>
        <v>1.6180736707322187</v>
      </c>
      <c r="DU70" s="716">
        <f t="shared" si="266"/>
        <v>1.6261640390858794</v>
      </c>
      <c r="DV70" s="716">
        <f t="shared" si="266"/>
        <v>1.6342948592813085</v>
      </c>
      <c r="DW70" s="716">
        <f t="shared" si="266"/>
        <v>1.6424663335777145</v>
      </c>
      <c r="DX70" s="716">
        <f t="shared" si="266"/>
        <v>1.6506786652456034</v>
      </c>
      <c r="DY70" s="716">
        <f t="shared" si="266"/>
        <v>1.658932058571831</v>
      </c>
      <c r="DZ70" s="716">
        <f t="shared" si="266"/>
        <v>1.6672267188646899</v>
      </c>
      <c r="EA70" s="716">
        <f t="shared" si="266"/>
        <v>1.6755628524590132</v>
      </c>
      <c r="EB70" s="716">
        <f t="shared" si="266"/>
        <v>1.6839406667213079</v>
      </c>
      <c r="EC70" s="716">
        <f t="shared" si="266"/>
        <v>1.6923603700549141</v>
      </c>
      <c r="ED70" s="716">
        <f t="shared" si="266"/>
        <v>1.7008221719051884</v>
      </c>
      <c r="EE70" s="716">
        <f t="shared" si="266"/>
        <v>1.709326282764714</v>
      </c>
      <c r="EF70" s="716">
        <f t="shared" si="266"/>
        <v>1.7178729141785374</v>
      </c>
      <c r="EG70" s="716">
        <f t="shared" si="266"/>
        <v>1.7264622787494299</v>
      </c>
      <c r="EH70" s="716">
        <f t="shared" si="266"/>
        <v>1.7350945901431767</v>
      </c>
      <c r="EI70" s="716">
        <f t="shared" si="266"/>
        <v>1.7437700630938926</v>
      </c>
      <c r="EJ70" s="716">
        <f t="shared" si="266"/>
        <v>1.7524889134093615</v>
      </c>
      <c r="EK70" s="716">
        <f t="shared" si="266"/>
        <v>1.761251357976408</v>
      </c>
      <c r="EL70" s="716">
        <f t="shared" si="266"/>
        <v>1.7700576147662896</v>
      </c>
      <c r="EM70" s="716">
        <f t="shared" si="266"/>
        <v>1.7789079028401211</v>
      </c>
      <c r="EN70" s="716">
        <f t="shared" si="266"/>
        <v>1.7878024423543215</v>
      </c>
      <c r="EO70" s="1139">
        <f t="shared" si="266"/>
        <v>1.7967414545660927</v>
      </c>
    </row>
    <row r="71" spans="1:145" ht="15" thickBot="1" x14ac:dyDescent="0.4">
      <c r="A71" s="272"/>
      <c r="B71" s="65"/>
      <c r="C71" s="65"/>
      <c r="D71" s="101"/>
      <c r="E71" s="217"/>
      <c r="F71" s="6"/>
      <c r="AH71" s="840"/>
      <c r="AI71" s="840"/>
      <c r="AJ71" s="840"/>
      <c r="AK71" s="840"/>
      <c r="AL71" s="840"/>
      <c r="AM71" s="840"/>
    </row>
    <row r="72" spans="1:145" ht="21" x14ac:dyDescent="0.5">
      <c r="A72" s="272"/>
      <c r="B72" s="65"/>
      <c r="C72" s="65"/>
      <c r="D72" s="101"/>
      <c r="E72" s="217"/>
      <c r="F72" s="6"/>
      <c r="G72" s="340" t="s">
        <v>1429</v>
      </c>
      <c r="H72" s="410"/>
      <c r="I72" s="410"/>
      <c r="J72" s="410"/>
      <c r="K72" s="410"/>
      <c r="L72" s="388" cm="1">
        <f t="array" ref="L72:EO72">StatistikkOgPrognoseÅr</f>
        <v>1999</v>
      </c>
      <c r="M72" s="388">
        <v>2000</v>
      </c>
      <c r="N72" s="388">
        <v>2001</v>
      </c>
      <c r="O72" s="388">
        <v>2002</v>
      </c>
      <c r="P72" s="388">
        <v>2003</v>
      </c>
      <c r="Q72" s="388">
        <v>2004</v>
      </c>
      <c r="R72" s="388">
        <v>2005</v>
      </c>
      <c r="S72" s="388">
        <v>2006</v>
      </c>
      <c r="T72" s="388">
        <v>2007</v>
      </c>
      <c r="U72" s="388">
        <v>2008</v>
      </c>
      <c r="V72" s="388">
        <v>2009</v>
      </c>
      <c r="W72" s="388">
        <v>2010</v>
      </c>
      <c r="X72" s="388">
        <v>2011</v>
      </c>
      <c r="Y72" s="388">
        <v>2012</v>
      </c>
      <c r="Z72" s="388">
        <v>2013</v>
      </c>
      <c r="AA72" s="388">
        <v>2014</v>
      </c>
      <c r="AB72" s="388">
        <v>2015</v>
      </c>
      <c r="AC72" s="388">
        <v>2016</v>
      </c>
      <c r="AD72" s="388">
        <v>2017</v>
      </c>
      <c r="AE72" s="388">
        <v>2018</v>
      </c>
      <c r="AF72" s="388">
        <v>2019</v>
      </c>
      <c r="AG72" s="388">
        <v>2020</v>
      </c>
      <c r="AH72" s="388">
        <v>2021</v>
      </c>
      <c r="AI72" s="388">
        <v>2022</v>
      </c>
      <c r="AJ72" s="388">
        <v>2023</v>
      </c>
      <c r="AK72" s="388">
        <v>2024</v>
      </c>
      <c r="AL72" s="388">
        <v>2025</v>
      </c>
      <c r="AM72" s="388">
        <v>2026</v>
      </c>
      <c r="AN72" s="388">
        <v>2027</v>
      </c>
      <c r="AO72" s="388">
        <v>2028</v>
      </c>
      <c r="AP72" s="388">
        <v>2029</v>
      </c>
      <c r="AQ72" s="388">
        <v>2030</v>
      </c>
      <c r="AR72" s="388">
        <v>2031</v>
      </c>
      <c r="AS72" s="388">
        <v>2032</v>
      </c>
      <c r="AT72" s="388">
        <v>2033</v>
      </c>
      <c r="AU72" s="388">
        <v>2034</v>
      </c>
      <c r="AV72" s="388">
        <v>2035</v>
      </c>
      <c r="AW72" s="388">
        <v>2036</v>
      </c>
      <c r="AX72" s="388">
        <v>2037</v>
      </c>
      <c r="AY72" s="388">
        <v>2038</v>
      </c>
      <c r="AZ72" s="388">
        <v>2039</v>
      </c>
      <c r="BA72" s="388">
        <v>2040</v>
      </c>
      <c r="BB72" s="388">
        <v>2041</v>
      </c>
      <c r="BC72" s="388">
        <v>2042</v>
      </c>
      <c r="BD72" s="388">
        <v>2043</v>
      </c>
      <c r="BE72" s="388">
        <v>2044</v>
      </c>
      <c r="BF72" s="388">
        <v>2045</v>
      </c>
      <c r="BG72" s="388">
        <v>2046</v>
      </c>
      <c r="BH72" s="388">
        <v>2047</v>
      </c>
      <c r="BI72" s="388">
        <v>2048</v>
      </c>
      <c r="BJ72" s="388">
        <v>2049</v>
      </c>
      <c r="BK72" s="388">
        <v>2050</v>
      </c>
      <c r="BL72" s="388">
        <v>2051</v>
      </c>
      <c r="BM72" s="388">
        <v>2052</v>
      </c>
      <c r="BN72" s="388">
        <v>2053</v>
      </c>
      <c r="BO72" s="388">
        <v>2054</v>
      </c>
      <c r="BP72" s="388">
        <v>2055</v>
      </c>
      <c r="BQ72" s="388">
        <v>2056</v>
      </c>
      <c r="BR72" s="388">
        <v>2057</v>
      </c>
      <c r="BS72" s="388">
        <v>2058</v>
      </c>
      <c r="BT72" s="388">
        <v>2059</v>
      </c>
      <c r="BU72" s="388">
        <v>2060</v>
      </c>
      <c r="BV72" s="388">
        <v>2061</v>
      </c>
      <c r="BW72" s="388">
        <v>2062</v>
      </c>
      <c r="BX72" s="388">
        <v>2063</v>
      </c>
      <c r="BY72" s="388">
        <v>2064</v>
      </c>
      <c r="BZ72" s="388">
        <v>2065</v>
      </c>
      <c r="CA72" s="388">
        <v>2066</v>
      </c>
      <c r="CB72" s="388">
        <v>2067</v>
      </c>
      <c r="CC72" s="388">
        <v>2068</v>
      </c>
      <c r="CD72" s="388">
        <v>2069</v>
      </c>
      <c r="CE72" s="388">
        <v>2070</v>
      </c>
      <c r="CF72" s="388">
        <v>2071</v>
      </c>
      <c r="CG72" s="388">
        <v>2072</v>
      </c>
      <c r="CH72" s="388">
        <v>2073</v>
      </c>
      <c r="CI72" s="388">
        <v>2074</v>
      </c>
      <c r="CJ72" s="388">
        <v>2075</v>
      </c>
      <c r="CK72" s="388">
        <v>2076</v>
      </c>
      <c r="CL72" s="388">
        <v>2077</v>
      </c>
      <c r="CM72" s="388">
        <v>2078</v>
      </c>
      <c r="CN72" s="388">
        <v>2079</v>
      </c>
      <c r="CO72" s="388">
        <v>2080</v>
      </c>
      <c r="CP72" s="388">
        <v>2081</v>
      </c>
      <c r="CQ72" s="388">
        <v>2082</v>
      </c>
      <c r="CR72" s="388">
        <v>2083</v>
      </c>
      <c r="CS72" s="388">
        <v>2084</v>
      </c>
      <c r="CT72" s="388">
        <v>2085</v>
      </c>
      <c r="CU72" s="388">
        <v>2086</v>
      </c>
      <c r="CV72" s="388">
        <v>2087</v>
      </c>
      <c r="CW72" s="388">
        <v>2088</v>
      </c>
      <c r="CX72" s="388">
        <v>2089</v>
      </c>
      <c r="CY72" s="388">
        <v>2090</v>
      </c>
      <c r="CZ72" s="388">
        <v>2091</v>
      </c>
      <c r="DA72" s="388">
        <v>2092</v>
      </c>
      <c r="DB72" s="388">
        <v>2093</v>
      </c>
      <c r="DC72" s="388">
        <v>2094</v>
      </c>
      <c r="DD72" s="388">
        <v>2095</v>
      </c>
      <c r="DE72" s="388">
        <v>2096</v>
      </c>
      <c r="DF72" s="388">
        <v>2097</v>
      </c>
      <c r="DG72" s="388">
        <v>2098</v>
      </c>
      <c r="DH72" s="388">
        <v>2099</v>
      </c>
      <c r="DI72" s="388">
        <v>2100</v>
      </c>
      <c r="DJ72" s="388">
        <v>2101</v>
      </c>
      <c r="DK72" s="388">
        <v>2102</v>
      </c>
      <c r="DL72" s="388">
        <v>2103</v>
      </c>
      <c r="DM72" s="388">
        <v>2104</v>
      </c>
      <c r="DN72" s="388">
        <v>2105</v>
      </c>
      <c r="DO72" s="388">
        <v>2106</v>
      </c>
      <c r="DP72" s="388">
        <v>2107</v>
      </c>
      <c r="DQ72" s="388">
        <v>2108</v>
      </c>
      <c r="DR72" s="388">
        <v>2109</v>
      </c>
      <c r="DS72" s="388">
        <v>2110</v>
      </c>
      <c r="DT72" s="388">
        <v>2111</v>
      </c>
      <c r="DU72" s="388">
        <v>2112</v>
      </c>
      <c r="DV72" s="388">
        <v>2113</v>
      </c>
      <c r="DW72" s="388">
        <v>2114</v>
      </c>
      <c r="DX72" s="388">
        <v>2115</v>
      </c>
      <c r="DY72" s="388">
        <v>2116</v>
      </c>
      <c r="DZ72" s="388">
        <v>2117</v>
      </c>
      <c r="EA72" s="388">
        <v>2118</v>
      </c>
      <c r="EB72" s="388">
        <v>2119</v>
      </c>
      <c r="EC72" s="388">
        <v>2120</v>
      </c>
      <c r="ED72" s="388">
        <v>2121</v>
      </c>
      <c r="EE72" s="388">
        <v>2122</v>
      </c>
      <c r="EF72" s="388">
        <v>2123</v>
      </c>
      <c r="EG72" s="388">
        <v>2124</v>
      </c>
      <c r="EH72" s="388">
        <v>2125</v>
      </c>
      <c r="EI72" s="388">
        <v>2126</v>
      </c>
      <c r="EJ72" s="388">
        <v>2127</v>
      </c>
      <c r="EK72" s="388">
        <v>2128</v>
      </c>
      <c r="EL72" s="388">
        <v>2129</v>
      </c>
      <c r="EM72" s="388">
        <v>2130</v>
      </c>
      <c r="EN72" s="388">
        <v>2131</v>
      </c>
      <c r="EO72" s="401">
        <v>2132</v>
      </c>
    </row>
    <row r="73" spans="1:145" x14ac:dyDescent="0.35">
      <c r="A73" s="272"/>
      <c r="B73" s="65"/>
      <c r="C73" s="65"/>
      <c r="D73" s="101"/>
      <c r="E73" s="217"/>
      <c r="F73" s="6"/>
      <c r="G73" s="218" t="s">
        <v>1430</v>
      </c>
      <c r="H73" s="65"/>
      <c r="I73" s="65"/>
      <c r="J73" s="65"/>
      <c r="K73" s="65"/>
      <c r="L73" s="65"/>
      <c r="M73" s="1107"/>
      <c r="N73" s="1107"/>
      <c r="O73" s="1107"/>
      <c r="P73" s="1107"/>
      <c r="Q73" s="1107"/>
      <c r="R73" s="1107"/>
      <c r="S73" s="1107"/>
      <c r="T73" s="1107"/>
      <c r="U73" s="1107"/>
      <c r="V73" s="1107"/>
      <c r="W73" s="1107"/>
      <c r="X73" s="1107"/>
      <c r="Y73" s="1107"/>
      <c r="Z73" s="1107"/>
      <c r="AA73" s="1107"/>
      <c r="AB73" s="1225"/>
      <c r="AC73" s="1225"/>
      <c r="AD73" s="1225"/>
      <c r="AE73" s="1225"/>
      <c r="AF73" s="1225"/>
      <c r="AG73" s="1225"/>
      <c r="AH73" s="1225"/>
      <c r="AI73" s="1225"/>
      <c r="AJ73" s="1225"/>
      <c r="AK73" s="1225"/>
      <c r="AL73" s="1225"/>
      <c r="AM73" s="1093">
        <f>AL74*1.025</f>
        <v>141.14249999999998</v>
      </c>
      <c r="AN73" s="1093">
        <f>AM73*1.028</f>
        <v>145.09448999999998</v>
      </c>
      <c r="AO73" s="1093">
        <f>AN73*1.027</f>
        <v>149.01204122999997</v>
      </c>
      <c r="AP73" s="103"/>
      <c r="AQ73" s="103"/>
      <c r="AR73" s="103"/>
      <c r="AS73" s="103"/>
      <c r="AT73" s="103"/>
      <c r="AU73" s="103"/>
      <c r="AV73" s="1058"/>
      <c r="AW73" s="1058"/>
      <c r="AX73" s="1058"/>
      <c r="AY73" s="1058"/>
      <c r="AZ73" s="1058"/>
      <c r="BA73" s="1058"/>
      <c r="BB73" s="1058"/>
      <c r="BC73" s="1058"/>
      <c r="BD73" s="1058"/>
      <c r="BE73" s="1058"/>
      <c r="BF73" s="1058"/>
      <c r="BG73" s="1058"/>
      <c r="BH73" s="1058"/>
      <c r="BI73" s="1058"/>
      <c r="BJ73" s="1058"/>
      <c r="BK73" s="1058"/>
      <c r="BL73" s="1058"/>
      <c r="BM73" s="1058"/>
      <c r="BN73" s="1058"/>
      <c r="BO73" s="1058"/>
      <c r="BP73" s="1058"/>
      <c r="BQ73" s="1058"/>
      <c r="BR73" s="1058"/>
      <c r="BS73" s="1058"/>
      <c r="BT73" s="1058"/>
      <c r="BU73" s="1058"/>
      <c r="BV73" s="1058"/>
      <c r="BW73" s="1058"/>
      <c r="BX73" s="1058"/>
      <c r="BY73" s="1058"/>
      <c r="BZ73" s="1058"/>
      <c r="CA73" s="1058"/>
      <c r="CB73" s="1058"/>
      <c r="CC73" s="1058"/>
      <c r="CD73" s="1058"/>
      <c r="CE73" s="1058"/>
      <c r="CF73" s="1058"/>
      <c r="CG73" s="1058"/>
      <c r="CH73" s="1058"/>
      <c r="CI73" s="1058"/>
      <c r="CJ73" s="1058"/>
      <c r="CK73" s="1058"/>
      <c r="CL73" s="1058"/>
      <c r="CM73" s="1058"/>
      <c r="CN73" s="1058"/>
      <c r="CO73" s="1058"/>
      <c r="CP73" s="1058"/>
      <c r="CQ73" s="1058"/>
      <c r="CR73" s="1058"/>
      <c r="CS73" s="1058"/>
      <c r="CT73" s="1058"/>
      <c r="CU73" s="1058"/>
      <c r="CV73" s="1058"/>
      <c r="CW73" s="1058"/>
      <c r="CX73" s="1058"/>
      <c r="CY73" s="1058"/>
      <c r="CZ73" s="1058"/>
      <c r="DA73" s="1058"/>
      <c r="DB73" s="1058"/>
      <c r="DC73" s="1058"/>
      <c r="DD73" s="1058"/>
      <c r="DE73" s="1058"/>
      <c r="DF73" s="1058"/>
      <c r="DG73" s="1058"/>
      <c r="DH73" s="1058"/>
      <c r="DI73" s="1058"/>
      <c r="DJ73" s="1058"/>
      <c r="DK73" s="1058"/>
      <c r="DL73" s="1058"/>
      <c r="DM73" s="1058"/>
      <c r="DN73" s="1058"/>
      <c r="DO73" s="1058"/>
      <c r="DP73" s="1058"/>
      <c r="DQ73" s="1058"/>
      <c r="DR73" s="1058"/>
      <c r="DS73" s="1058"/>
      <c r="DT73" s="1058"/>
      <c r="DU73" s="1058"/>
      <c r="DV73" s="1058"/>
      <c r="DW73" s="1058"/>
      <c r="DX73" s="1058"/>
      <c r="DY73" s="1058"/>
      <c r="DZ73" s="1058"/>
      <c r="EA73" s="1058"/>
      <c r="EB73" s="1058"/>
      <c r="EC73" s="1058"/>
      <c r="ED73" s="1058"/>
      <c r="EE73" s="1058"/>
      <c r="EF73" s="1058"/>
      <c r="EG73" s="1058"/>
      <c r="EH73" s="1058"/>
      <c r="EI73" s="1058"/>
      <c r="EJ73" s="1058"/>
      <c r="EK73" s="1058"/>
      <c r="EL73" s="1058"/>
      <c r="EM73" s="1058"/>
      <c r="EN73" s="1058"/>
      <c r="EO73" s="1115"/>
    </row>
    <row r="74" spans="1:145" x14ac:dyDescent="0.35">
      <c r="A74" s="272" t="s">
        <v>417</v>
      </c>
      <c r="B74" s="65" t="s">
        <v>1431</v>
      </c>
      <c r="C74" s="65" t="s">
        <v>1432</v>
      </c>
      <c r="D74" s="101">
        <v>46043</v>
      </c>
      <c r="E74" s="217" t="s">
        <v>173</v>
      </c>
      <c r="G74" s="218" t="s">
        <v>1433</v>
      </c>
      <c r="H74" s="65"/>
      <c r="I74" s="65"/>
      <c r="J74" s="65"/>
      <c r="K74" s="65"/>
      <c r="L74" s="65"/>
      <c r="M74" s="163">
        <v>75.5</v>
      </c>
      <c r="N74" s="163">
        <v>77.7</v>
      </c>
      <c r="O74" s="163">
        <v>78.7</v>
      </c>
      <c r="P74" s="163">
        <v>80.7</v>
      </c>
      <c r="Q74" s="163">
        <v>81</v>
      </c>
      <c r="R74" s="163">
        <v>82.3</v>
      </c>
      <c r="S74" s="163">
        <v>84.2</v>
      </c>
      <c r="T74" s="163">
        <v>84.8</v>
      </c>
      <c r="U74" s="163">
        <v>88</v>
      </c>
      <c r="V74" s="163">
        <v>89.9</v>
      </c>
      <c r="W74" s="163">
        <v>92.1</v>
      </c>
      <c r="X74" s="163">
        <v>93.3</v>
      </c>
      <c r="Y74" s="163">
        <v>93.9</v>
      </c>
      <c r="Z74" s="163">
        <v>95.9</v>
      </c>
      <c r="AA74" s="163">
        <v>97.9</v>
      </c>
      <c r="AB74" s="163">
        <v>100</v>
      </c>
      <c r="AC74" s="163">
        <v>103.6</v>
      </c>
      <c r="AD74" s="163">
        <v>105.5</v>
      </c>
      <c r="AE74" s="163">
        <v>108.4</v>
      </c>
      <c r="AF74" s="163">
        <v>110.8</v>
      </c>
      <c r="AG74" s="163">
        <v>112.2</v>
      </c>
      <c r="AH74" s="1059">
        <v>116.1</v>
      </c>
      <c r="AI74" s="1092">
        <v>122.8338</v>
      </c>
      <c r="AJ74" s="1092">
        <v>129.6</v>
      </c>
      <c r="AK74" s="1092">
        <v>133.6</v>
      </c>
      <c r="AL74" s="1092">
        <v>137.69999999999999</v>
      </c>
      <c r="AM74" s="1202"/>
      <c r="AN74" s="65"/>
      <c r="AO74" s="65"/>
      <c r="AP74" s="65"/>
      <c r="AQ74" s="65"/>
      <c r="AR74" s="103"/>
      <c r="AS74" s="103"/>
      <c r="AT74" s="103"/>
      <c r="AU74" s="65"/>
      <c r="AV74" s="65"/>
      <c r="AW74" s="65"/>
      <c r="AX74" s="65"/>
      <c r="AY74" s="65"/>
      <c r="AZ74" s="65"/>
      <c r="BA74" s="65"/>
      <c r="BB74" s="65"/>
      <c r="BC74" s="65"/>
      <c r="BD74" s="65"/>
      <c r="BE74" s="65"/>
      <c r="BF74" s="65"/>
      <c r="BG74" s="65"/>
      <c r="BH74" s="65"/>
      <c r="BI74" s="65"/>
      <c r="BJ74" s="65"/>
      <c r="BK74" s="65"/>
      <c r="BL74" s="65"/>
      <c r="BM74" s="65"/>
      <c r="BN74" s="65"/>
      <c r="BO74" s="65"/>
      <c r="BP74" s="65"/>
      <c r="BQ74" s="65"/>
      <c r="BR74" s="65"/>
      <c r="BS74" s="65"/>
      <c r="BT74" s="65"/>
      <c r="BU74" s="65"/>
      <c r="BV74" s="65"/>
      <c r="BW74" s="65"/>
      <c r="BX74" s="65"/>
      <c r="BY74" s="65"/>
      <c r="BZ74" s="65"/>
      <c r="CA74" s="65"/>
      <c r="CB74" s="65"/>
      <c r="CC74" s="65"/>
      <c r="CD74" s="65"/>
      <c r="CE74" s="65"/>
      <c r="CF74" s="65"/>
      <c r="CG74" s="65"/>
      <c r="CH74" s="65"/>
      <c r="CI74" s="65"/>
      <c r="CJ74" s="65"/>
      <c r="CK74" s="65"/>
      <c r="CL74" s="65"/>
      <c r="CM74" s="65"/>
      <c r="CN74" s="65"/>
      <c r="CO74" s="65"/>
      <c r="CP74" s="65"/>
      <c r="CQ74" s="65"/>
      <c r="CR74" s="65"/>
      <c r="CS74" s="65"/>
      <c r="CT74" s="65"/>
      <c r="CU74" s="65"/>
      <c r="CV74" s="65"/>
      <c r="CW74" s="65"/>
      <c r="CX74" s="65"/>
      <c r="CY74" s="65"/>
      <c r="CZ74" s="65"/>
      <c r="DA74" s="65"/>
      <c r="DB74" s="65"/>
      <c r="DC74" s="65"/>
      <c r="DD74" s="65"/>
      <c r="DE74" s="65"/>
      <c r="DF74" s="65"/>
      <c r="DG74" s="65"/>
      <c r="DH74" s="65"/>
      <c r="DI74" s="65"/>
      <c r="DJ74" s="65"/>
      <c r="DK74" s="65"/>
      <c r="DL74" s="65"/>
      <c r="DM74" s="65"/>
      <c r="DN74" s="65"/>
      <c r="DO74" s="65"/>
      <c r="DP74" s="65"/>
      <c r="DQ74" s="65"/>
      <c r="DR74" s="65"/>
      <c r="DS74" s="65"/>
      <c r="DT74" s="65"/>
      <c r="DU74" s="65"/>
      <c r="DV74" s="65"/>
      <c r="DW74" s="65"/>
      <c r="DX74" s="65"/>
      <c r="DY74" s="65"/>
      <c r="DZ74" s="65"/>
      <c r="EA74" s="65"/>
      <c r="EB74" s="65"/>
      <c r="EC74" s="65"/>
      <c r="ED74" s="65"/>
      <c r="EE74" s="65"/>
      <c r="EF74" s="65"/>
      <c r="EG74" s="65"/>
      <c r="EH74" s="65"/>
      <c r="EI74" s="65"/>
      <c r="EJ74" s="65"/>
      <c r="EK74" s="65"/>
      <c r="EL74" s="65"/>
      <c r="EM74" s="65"/>
      <c r="EN74" s="65"/>
      <c r="EO74" s="221"/>
    </row>
    <row r="75" spans="1:145" ht="15.75" customHeight="1" x14ac:dyDescent="0.35">
      <c r="A75" s="275"/>
      <c r="B75" s="65"/>
      <c r="C75" s="65"/>
      <c r="D75" s="1209"/>
      <c r="E75" s="217"/>
      <c r="G75" s="218" t="s">
        <v>1434</v>
      </c>
      <c r="H75" s="65"/>
      <c r="I75" s="65"/>
      <c r="J75" s="65"/>
      <c r="K75" s="65"/>
      <c r="L75" s="65"/>
      <c r="M75" s="65"/>
      <c r="N75" s="65"/>
      <c r="O75" s="65"/>
      <c r="P75" s="65"/>
      <c r="Q75" s="65"/>
      <c r="R75" s="65"/>
      <c r="S75" s="65"/>
      <c r="T75" s="65"/>
      <c r="U75" s="65"/>
      <c r="V75" s="65"/>
      <c r="W75" s="65"/>
      <c r="X75" s="65"/>
      <c r="Y75" s="65"/>
      <c r="Z75" s="65"/>
      <c r="AA75" s="65"/>
      <c r="AB75" s="65"/>
      <c r="AC75" s="65"/>
      <c r="AD75" s="65"/>
      <c r="AE75" s="65"/>
      <c r="AF75" s="65"/>
      <c r="AG75" s="65"/>
      <c r="AH75" s="1058"/>
      <c r="AI75" s="1058"/>
      <c r="AJ75" s="1058"/>
      <c r="AK75" s="65"/>
      <c r="AL75" s="65"/>
      <c r="AM75" s="754">
        <f>AL76*(1+Fremtidig_Reallønnsvekst)*(_xlfn.XLOOKUP(AM72,StatistikkOgPrognoseÅr,KPIIndeks)/_xlfn.XLOOKUP(AL72,StatistikkOgPrognoseÅr,KPIIndeks))</f>
        <v>995109.71344069531</v>
      </c>
      <c r="AN75" s="754">
        <f>AM75*(1+Fremtidig_Reallønnsvekst)*(_xlfn.XLOOKUP(AN72,StatistikkOgPrognoseÅr,KPIIndeks)/_xlfn.XLOOKUP(AM72,StatistikkOgPrognoseÅr,KPIIndeks))</f>
        <v>1028087.6493441198</v>
      </c>
      <c r="AO75" s="65"/>
      <c r="AP75" s="65"/>
      <c r="AQ75" s="103"/>
      <c r="AR75" s="103"/>
      <c r="AS75" s="103"/>
      <c r="AT75" s="103"/>
      <c r="AU75" s="65"/>
      <c r="AV75" s="65"/>
      <c r="AW75" s="65"/>
      <c r="AX75" s="65"/>
      <c r="AY75" s="65"/>
      <c r="AZ75" s="65"/>
      <c r="BA75" s="65"/>
      <c r="BB75" s="65"/>
      <c r="BC75" s="65"/>
      <c r="BD75" s="65"/>
      <c r="BE75" s="65"/>
      <c r="BF75" s="65"/>
      <c r="BG75" s="65"/>
      <c r="BH75" s="65"/>
      <c r="BI75" s="65"/>
      <c r="BJ75" s="65"/>
      <c r="BK75" s="65"/>
      <c r="BL75" s="65"/>
      <c r="BM75" s="65"/>
      <c r="BN75" s="65"/>
      <c r="BO75" s="65"/>
      <c r="BP75" s="65"/>
      <c r="BQ75" s="65"/>
      <c r="BR75" s="65"/>
      <c r="BS75" s="65"/>
      <c r="BT75" s="65"/>
      <c r="BU75" s="65"/>
      <c r="BV75" s="65"/>
      <c r="BW75" s="65"/>
      <c r="BX75" s="65"/>
      <c r="BY75" s="65"/>
      <c r="BZ75" s="65"/>
      <c r="CA75" s="65"/>
      <c r="CB75" s="65"/>
      <c r="CC75" s="65"/>
      <c r="CD75" s="65"/>
      <c r="CE75" s="65"/>
      <c r="CF75" s="65"/>
      <c r="CG75" s="65"/>
      <c r="CH75" s="65"/>
      <c r="CI75" s="65"/>
      <c r="CJ75" s="65"/>
      <c r="CK75" s="65"/>
      <c r="CL75" s="65"/>
      <c r="CM75" s="65"/>
      <c r="CN75" s="65"/>
      <c r="CO75" s="65"/>
      <c r="CP75" s="65"/>
      <c r="CQ75" s="65"/>
      <c r="CR75" s="65"/>
      <c r="CS75" s="65"/>
      <c r="CT75" s="65"/>
      <c r="CU75" s="65"/>
      <c r="CV75" s="65"/>
      <c r="CW75" s="65"/>
      <c r="CX75" s="65"/>
      <c r="CY75" s="65"/>
      <c r="CZ75" s="65"/>
      <c r="DA75" s="65"/>
      <c r="DB75" s="65"/>
      <c r="DC75" s="65"/>
      <c r="DD75" s="65"/>
      <c r="DE75" s="65"/>
      <c r="DF75" s="65"/>
      <c r="DG75" s="65"/>
      <c r="DH75" s="65"/>
      <c r="DI75" s="65"/>
      <c r="DJ75" s="65"/>
      <c r="DK75" s="65"/>
      <c r="DL75" s="65"/>
      <c r="DM75" s="65"/>
      <c r="DN75" s="65"/>
      <c r="DO75" s="65"/>
      <c r="DP75" s="65"/>
      <c r="DQ75" s="65"/>
      <c r="DR75" s="65"/>
      <c r="DS75" s="65"/>
      <c r="DT75" s="65"/>
      <c r="DU75" s="65"/>
      <c r="DV75" s="65"/>
      <c r="DW75" s="65"/>
      <c r="DX75" s="65"/>
      <c r="DY75" s="65"/>
      <c r="DZ75" s="65"/>
      <c r="EA75" s="65"/>
      <c r="EB75" s="65"/>
      <c r="EC75" s="65"/>
      <c r="ED75" s="65"/>
      <c r="EE75" s="65"/>
      <c r="EF75" s="65"/>
      <c r="EG75" s="65"/>
      <c r="EH75" s="65"/>
      <c r="EI75" s="65"/>
      <c r="EJ75" s="65"/>
      <c r="EK75" s="65"/>
      <c r="EL75" s="65"/>
      <c r="EM75" s="65"/>
      <c r="EN75" s="65"/>
      <c r="EO75" s="221"/>
    </row>
    <row r="76" spans="1:145" ht="15.75" customHeight="1" x14ac:dyDescent="0.35">
      <c r="A76" s="218" t="s">
        <v>417</v>
      </c>
      <c r="B76" s="65" t="s">
        <v>1435</v>
      </c>
      <c r="C76" s="65" t="s">
        <v>1436</v>
      </c>
      <c r="D76" s="101">
        <v>45702</v>
      </c>
      <c r="E76" s="221" t="s">
        <v>173</v>
      </c>
      <c r="G76" s="218" t="s">
        <v>1437</v>
      </c>
      <c r="H76" s="65"/>
      <c r="I76" s="65"/>
      <c r="J76" s="65"/>
      <c r="K76" s="65"/>
      <c r="L76" s="163">
        <v>283839</v>
      </c>
      <c r="M76" s="163">
        <v>336037</v>
      </c>
      <c r="N76" s="163">
        <v>347097</v>
      </c>
      <c r="O76" s="163">
        <v>344665</v>
      </c>
      <c r="P76" s="163">
        <v>355782</v>
      </c>
      <c r="Q76" s="163">
        <v>389407</v>
      </c>
      <c r="R76" s="163">
        <v>431951</v>
      </c>
      <c r="S76" s="163">
        <v>477371</v>
      </c>
      <c r="T76" s="163">
        <v>501189</v>
      </c>
      <c r="U76" s="163">
        <v>549920</v>
      </c>
      <c r="V76" s="163">
        <v>505250</v>
      </c>
      <c r="W76" s="163">
        <v>532873</v>
      </c>
      <c r="X76" s="163">
        <v>567309</v>
      </c>
      <c r="Y76" s="163">
        <v>594408</v>
      </c>
      <c r="Z76" s="163">
        <v>608314</v>
      </c>
      <c r="AA76" s="163">
        <v>615439</v>
      </c>
      <c r="AB76" s="163">
        <v>603130</v>
      </c>
      <c r="AC76" s="163">
        <v>595100</v>
      </c>
      <c r="AD76" s="163">
        <v>629737</v>
      </c>
      <c r="AE76" s="163">
        <v>673313</v>
      </c>
      <c r="AF76" s="163">
        <v>672589</v>
      </c>
      <c r="AG76" s="163">
        <v>643478</v>
      </c>
      <c r="AH76" s="1059">
        <v>799497</v>
      </c>
      <c r="AI76" s="1059">
        <v>1050535</v>
      </c>
      <c r="AJ76" s="1226">
        <v>924263</v>
      </c>
      <c r="AK76" s="1227">
        <v>932583</v>
      </c>
      <c r="AL76" s="1227">
        <f>AK76*(1+Fremtidig_Reallønnsvekst)*(_xlfn.XLOOKUP(AL72,StatistikkOgPrognoseÅr,KPIIndeks)/_xlfn.XLOOKUP(AK72,StatistikkOgPrognoseÅr,KPIIndeks))</f>
        <v>966008.70131362253</v>
      </c>
      <c r="AM76" s="1058"/>
      <c r="AN76" s="65"/>
      <c r="AO76" s="65"/>
      <c r="AP76" s="1212"/>
      <c r="AQ76" s="65"/>
      <c r="AR76" s="103"/>
      <c r="AS76" s="103"/>
      <c r="AT76" s="103"/>
      <c r="AU76" s="65"/>
      <c r="AV76" s="65"/>
      <c r="AW76" s="65"/>
      <c r="AX76" s="65"/>
      <c r="AY76" s="65"/>
      <c r="AZ76" s="65"/>
      <c r="BA76" s="65"/>
      <c r="BB76" s="65"/>
      <c r="BC76" s="65"/>
      <c r="BD76" s="65"/>
      <c r="BE76" s="65"/>
      <c r="BF76" s="65"/>
      <c r="BG76" s="65"/>
      <c r="BH76" s="65"/>
      <c r="BI76" s="65"/>
      <c r="BJ76" s="65"/>
      <c r="BK76" s="65"/>
      <c r="BL76" s="65"/>
      <c r="BM76" s="65"/>
      <c r="BN76" s="65"/>
      <c r="BO76" s="65"/>
      <c r="BP76" s="65"/>
      <c r="BQ76" s="65"/>
      <c r="BR76" s="65"/>
      <c r="BS76" s="65"/>
      <c r="BT76" s="65"/>
      <c r="BU76" s="65"/>
      <c r="BV76" s="65"/>
      <c r="BW76" s="65"/>
      <c r="BX76" s="65"/>
      <c r="BY76" s="65"/>
      <c r="BZ76" s="65"/>
      <c r="CA76" s="65"/>
      <c r="CB76" s="65"/>
      <c r="CC76" s="65"/>
      <c r="CD76" s="65"/>
      <c r="CE76" s="65"/>
      <c r="CF76" s="65"/>
      <c r="CG76" s="65"/>
      <c r="CH76" s="65"/>
      <c r="CI76" s="65"/>
      <c r="CJ76" s="65"/>
      <c r="CK76" s="65"/>
      <c r="CL76" s="65"/>
      <c r="CM76" s="65"/>
      <c r="CN76" s="65"/>
      <c r="CO76" s="65"/>
      <c r="CP76" s="65"/>
      <c r="CQ76" s="65"/>
      <c r="CR76" s="65"/>
      <c r="CS76" s="65"/>
      <c r="CT76" s="65"/>
      <c r="CU76" s="65"/>
      <c r="CV76" s="65"/>
      <c r="CW76" s="65"/>
      <c r="CX76" s="65"/>
      <c r="CY76" s="65"/>
      <c r="CZ76" s="65"/>
      <c r="DA76" s="65"/>
      <c r="DB76" s="65"/>
      <c r="DC76" s="65"/>
      <c r="DD76" s="65"/>
      <c r="DE76" s="65"/>
      <c r="DF76" s="65"/>
      <c r="DG76" s="65"/>
      <c r="DH76" s="65"/>
      <c r="DI76" s="65"/>
      <c r="DJ76" s="65"/>
      <c r="DK76" s="65"/>
      <c r="DL76" s="65"/>
      <c r="DM76" s="65"/>
      <c r="DN76" s="65"/>
      <c r="DO76" s="65"/>
      <c r="DP76" s="65"/>
      <c r="DQ76" s="65"/>
      <c r="DR76" s="65"/>
      <c r="DS76" s="65"/>
      <c r="DT76" s="65"/>
      <c r="DU76" s="65"/>
      <c r="DV76" s="65"/>
      <c r="DW76" s="65"/>
      <c r="DX76" s="65"/>
      <c r="DY76" s="65"/>
      <c r="DZ76" s="65"/>
      <c r="EA76" s="65"/>
      <c r="EB76" s="65"/>
      <c r="EC76" s="65"/>
      <c r="ED76" s="65"/>
      <c r="EE76" s="65"/>
      <c r="EF76" s="65"/>
      <c r="EG76" s="65"/>
      <c r="EH76" s="65"/>
      <c r="EI76" s="65"/>
      <c r="EJ76" s="65"/>
      <c r="EK76" s="65"/>
      <c r="EL76" s="65"/>
      <c r="EM76" s="65"/>
      <c r="EN76" s="65"/>
      <c r="EO76" s="221"/>
    </row>
    <row r="77" spans="1:145" ht="15.75" customHeight="1" x14ac:dyDescent="0.35">
      <c r="A77" s="218"/>
      <c r="B77" s="65"/>
      <c r="C77" s="65"/>
      <c r="D77" s="18"/>
      <c r="E77" s="221"/>
      <c r="G77" s="218" t="s">
        <v>1438</v>
      </c>
      <c r="H77" s="65"/>
      <c r="I77" s="65"/>
      <c r="J77" s="65"/>
      <c r="K77" s="65"/>
      <c r="L77" s="65"/>
      <c r="M77" s="65"/>
      <c r="N77" s="65"/>
      <c r="O77" s="65"/>
      <c r="P77" s="65"/>
      <c r="Q77" s="65"/>
      <c r="R77" s="65"/>
      <c r="S77" s="65"/>
      <c r="T77" s="65"/>
      <c r="U77" s="65"/>
      <c r="V77" s="65"/>
      <c r="W77" s="65"/>
      <c r="X77" s="65"/>
      <c r="Y77" s="65"/>
      <c r="Z77" s="65"/>
      <c r="AA77" s="65"/>
      <c r="AB77" s="65"/>
      <c r="AC77" s="65"/>
      <c r="AD77" s="65"/>
      <c r="AE77" s="65"/>
      <c r="AF77" s="65"/>
      <c r="AG77" s="65"/>
      <c r="AH77" s="1058"/>
      <c r="AI77" s="1058"/>
      <c r="AJ77" s="65"/>
      <c r="AK77" s="65"/>
      <c r="AL77" s="65"/>
      <c r="AM77" s="1093">
        <f>AL78*1.025</f>
        <v>239.88792499999997</v>
      </c>
      <c r="AN77" s="1093">
        <f>AM77*1.028</f>
        <v>246.60478689999997</v>
      </c>
      <c r="AO77" s="65"/>
      <c r="AP77" s="1212"/>
      <c r="AQ77" s="1212"/>
      <c r="AR77" s="103"/>
      <c r="AS77" s="103"/>
      <c r="AT77" s="103"/>
      <c r="AU77" s="65"/>
      <c r="AV77" s="65"/>
      <c r="AW77" s="65"/>
      <c r="AX77" s="65"/>
      <c r="AY77" s="65"/>
      <c r="AZ77" s="65"/>
      <c r="BA77" s="65"/>
      <c r="BB77" s="65"/>
      <c r="BC77" s="65"/>
      <c r="BD77" s="65"/>
      <c r="BE77" s="65"/>
      <c r="BF77" s="65"/>
      <c r="BG77" s="65"/>
      <c r="BH77" s="65"/>
      <c r="BI77" s="65"/>
      <c r="BJ77" s="65"/>
      <c r="BK77" s="65"/>
      <c r="BL77" s="65"/>
      <c r="BM77" s="65"/>
      <c r="BN77" s="65"/>
      <c r="BO77" s="65"/>
      <c r="BP77" s="65"/>
      <c r="BQ77" s="65"/>
      <c r="BR77" s="65"/>
      <c r="BS77" s="65"/>
      <c r="BT77" s="65"/>
      <c r="BU77" s="65"/>
      <c r="BV77" s="65"/>
      <c r="BW77" s="65"/>
      <c r="BX77" s="65"/>
      <c r="BY77" s="65"/>
      <c r="BZ77" s="65"/>
      <c r="CA77" s="65"/>
      <c r="CB77" s="65"/>
      <c r="CC77" s="65"/>
      <c r="CD77" s="65"/>
      <c r="CE77" s="65"/>
      <c r="CF77" s="65"/>
      <c r="CG77" s="65"/>
      <c r="CH77" s="65"/>
      <c r="CI77" s="65"/>
      <c r="CJ77" s="65"/>
      <c r="CK77" s="65"/>
      <c r="CL77" s="65"/>
      <c r="CM77" s="65"/>
      <c r="CN77" s="65"/>
      <c r="CO77" s="65"/>
      <c r="CP77" s="65"/>
      <c r="CQ77" s="65"/>
      <c r="CR77" s="65"/>
      <c r="CS77" s="65"/>
      <c r="CT77" s="65"/>
      <c r="CU77" s="65"/>
      <c r="CV77" s="65"/>
      <c r="CW77" s="65"/>
      <c r="CX77" s="65"/>
      <c r="CY77" s="65"/>
      <c r="CZ77" s="65"/>
      <c r="DA77" s="65"/>
      <c r="DB77" s="65"/>
      <c r="DC77" s="65"/>
      <c r="DD77" s="65"/>
      <c r="DE77" s="65"/>
      <c r="DF77" s="65"/>
      <c r="DG77" s="65"/>
      <c r="DH77" s="65"/>
      <c r="DI77" s="1144"/>
      <c r="DJ77" s="65"/>
      <c r="DK77" s="65"/>
      <c r="DL77" s="65"/>
      <c r="DM77" s="65"/>
      <c r="DN77" s="65"/>
      <c r="DO77" s="65"/>
      <c r="DP77" s="65"/>
      <c r="DQ77" s="65"/>
      <c r="DR77" s="65"/>
      <c r="DS77" s="65"/>
      <c r="DT77" s="65"/>
      <c r="DU77" s="65"/>
      <c r="DV77" s="65"/>
      <c r="DW77" s="65"/>
      <c r="DX77" s="65"/>
      <c r="DY77" s="65"/>
      <c r="DZ77" s="65"/>
      <c r="EA77" s="65"/>
      <c r="EB77" s="65"/>
      <c r="EC77" s="65"/>
      <c r="ED77" s="65"/>
      <c r="EE77" s="65"/>
      <c r="EF77" s="65"/>
      <c r="EG77" s="65"/>
      <c r="EH77" s="65"/>
      <c r="EI77" s="65"/>
      <c r="EJ77" s="65"/>
      <c r="EK77" s="65"/>
      <c r="EL77" s="65"/>
      <c r="EM77" s="65"/>
      <c r="EN77" s="65"/>
      <c r="EO77" s="221"/>
    </row>
    <row r="78" spans="1:145" ht="15.75" customHeight="1" x14ac:dyDescent="0.35">
      <c r="A78" s="275" t="s">
        <v>417</v>
      </c>
      <c r="B78" s="65" t="s">
        <v>1439</v>
      </c>
      <c r="C78" s="65" t="s">
        <v>1440</v>
      </c>
      <c r="D78" s="101">
        <v>46043</v>
      </c>
      <c r="E78" s="217" t="s">
        <v>808</v>
      </c>
      <c r="G78" s="218" t="s">
        <v>1441</v>
      </c>
      <c r="H78" s="65"/>
      <c r="I78" s="65"/>
      <c r="J78" s="65"/>
      <c r="K78" s="65"/>
      <c r="L78" s="407"/>
      <c r="M78" s="588">
        <v>90.8</v>
      </c>
      <c r="N78" s="588">
        <v>93.6</v>
      </c>
      <c r="O78" s="588">
        <v>95.7</v>
      </c>
      <c r="P78" s="588">
        <v>98.9</v>
      </c>
      <c r="Q78" s="588">
        <v>102.6</v>
      </c>
      <c r="R78" s="588">
        <v>106.7</v>
      </c>
      <c r="S78" s="588">
        <v>111.1</v>
      </c>
      <c r="T78" s="588">
        <v>118.1</v>
      </c>
      <c r="U78" s="588">
        <v>127.8</v>
      </c>
      <c r="V78" s="588">
        <v>129</v>
      </c>
      <c r="W78" s="588">
        <v>133.1</v>
      </c>
      <c r="X78" s="588">
        <v>141</v>
      </c>
      <c r="Y78" s="588">
        <v>144.9</v>
      </c>
      <c r="Z78" s="588">
        <v>149.1</v>
      </c>
      <c r="AA78" s="588">
        <v>152.6</v>
      </c>
      <c r="AB78" s="588">
        <v>155.4</v>
      </c>
      <c r="AC78" s="588">
        <v>158.1</v>
      </c>
      <c r="AD78" s="589">
        <v>163.69999999999999</v>
      </c>
      <c r="AE78" s="589">
        <v>170.7</v>
      </c>
      <c r="AF78" s="589">
        <v>174.6</v>
      </c>
      <c r="AG78" s="163">
        <v>176.3</v>
      </c>
      <c r="AH78" s="163">
        <v>188.5</v>
      </c>
      <c r="AI78" s="1094">
        <v>215.3</v>
      </c>
      <c r="AJ78" s="1094">
        <v>221.4</v>
      </c>
      <c r="AK78" s="1094">
        <v>227</v>
      </c>
      <c r="AL78" s="1094">
        <f>AK78*1.031</f>
        <v>234.03699999999998</v>
      </c>
      <c r="AM78" s="65"/>
      <c r="AN78" s="65"/>
      <c r="AO78" s="65"/>
      <c r="AP78" s="65"/>
      <c r="AQ78" s="65"/>
      <c r="AR78" s="103"/>
      <c r="AS78" s="103"/>
      <c r="AT78" s="103"/>
      <c r="AU78" s="65"/>
      <c r="AV78" s="65"/>
      <c r="AW78" s="65"/>
      <c r="AX78" s="65"/>
      <c r="AY78" s="65"/>
      <c r="AZ78" s="65"/>
      <c r="BA78" s="65"/>
      <c r="BB78" s="65"/>
      <c r="BC78" s="65"/>
      <c r="BD78" s="65"/>
      <c r="BE78" s="65"/>
      <c r="BF78" s="65"/>
      <c r="BG78" s="65"/>
      <c r="BH78" s="65"/>
      <c r="BI78" s="65"/>
      <c r="BJ78" s="65"/>
      <c r="BK78" s="65"/>
      <c r="BL78" s="623"/>
      <c r="BM78" s="623"/>
      <c r="BN78" s="623"/>
      <c r="BO78" s="623"/>
      <c r="BP78" s="623"/>
      <c r="BQ78" s="623"/>
      <c r="BR78" s="623"/>
      <c r="BS78" s="623"/>
      <c r="BT78" s="623"/>
      <c r="BU78" s="623"/>
      <c r="BV78" s="623"/>
      <c r="BW78" s="623"/>
      <c r="BX78" s="623"/>
      <c r="BY78" s="623"/>
      <c r="BZ78" s="623"/>
      <c r="CA78" s="623"/>
      <c r="CB78" s="623"/>
      <c r="CC78" s="623"/>
      <c r="CD78" s="623"/>
      <c r="CE78" s="623"/>
      <c r="CF78" s="623"/>
      <c r="CG78" s="623"/>
      <c r="CH78" s="623"/>
      <c r="CI78" s="623"/>
      <c r="CJ78" s="623"/>
      <c r="CK78" s="623"/>
      <c r="CL78" s="623"/>
      <c r="CM78" s="623"/>
      <c r="CN78" s="623"/>
      <c r="CO78" s="623"/>
      <c r="CP78" s="623"/>
      <c r="CQ78" s="623"/>
      <c r="CR78" s="623"/>
      <c r="CS78" s="623"/>
      <c r="CT78" s="623"/>
      <c r="CU78" s="623"/>
      <c r="CV78" s="623"/>
      <c r="CW78" s="623"/>
      <c r="CX78" s="623"/>
      <c r="CY78" s="623"/>
      <c r="CZ78" s="623"/>
      <c r="DA78" s="623"/>
      <c r="DB78" s="623"/>
      <c r="DC78" s="623"/>
      <c r="DD78" s="623"/>
      <c r="DE78" s="623"/>
      <c r="DF78" s="623"/>
      <c r="DG78" s="623"/>
      <c r="DH78" s="623"/>
      <c r="DI78" s="623"/>
      <c r="DJ78" s="623"/>
      <c r="DK78" s="623"/>
      <c r="DL78" s="623"/>
      <c r="DM78" s="623"/>
      <c r="DN78" s="623"/>
      <c r="DO78" s="623"/>
      <c r="DP78" s="623"/>
      <c r="DQ78" s="65"/>
      <c r="DR78" s="65"/>
      <c r="DS78" s="65"/>
      <c r="DT78" s="65"/>
      <c r="DU78" s="65"/>
      <c r="DV78" s="65"/>
      <c r="DW78" s="65"/>
      <c r="DX78" s="65"/>
      <c r="DY78" s="65"/>
      <c r="DZ78" s="65"/>
      <c r="EA78" s="65"/>
      <c r="EB78" s="65"/>
      <c r="EC78" s="65"/>
      <c r="ED78" s="65"/>
      <c r="EE78" s="65"/>
      <c r="EF78" s="65"/>
      <c r="EG78" s="65"/>
      <c r="EH78" s="65"/>
      <c r="EI78" s="65"/>
      <c r="EJ78" s="65"/>
      <c r="EK78" s="65"/>
      <c r="EL78" s="65"/>
      <c r="EM78" s="65"/>
      <c r="EN78" s="65"/>
      <c r="EO78" s="221"/>
    </row>
    <row r="79" spans="1:145" ht="15.75" customHeight="1" x14ac:dyDescent="0.35">
      <c r="A79" s="275"/>
      <c r="B79" s="65"/>
      <c r="C79" s="65"/>
      <c r="D79" s="1209"/>
      <c r="E79" s="217"/>
      <c r="G79" s="218" t="s">
        <v>1442</v>
      </c>
      <c r="H79" s="65"/>
      <c r="I79" s="65"/>
      <c r="J79" s="65"/>
      <c r="K79" s="65"/>
      <c r="L79" s="65"/>
      <c r="M79" s="1107"/>
      <c r="N79" s="1107"/>
      <c r="O79" s="1107"/>
      <c r="P79" s="1107"/>
      <c r="Q79" s="1107"/>
      <c r="R79" s="1107"/>
      <c r="S79" s="1107"/>
      <c r="T79" s="1107"/>
      <c r="U79" s="1107"/>
      <c r="V79" s="1107"/>
      <c r="W79" s="1107"/>
      <c r="X79" s="1107"/>
      <c r="Y79" s="1107"/>
      <c r="Z79" s="1107"/>
      <c r="AA79" s="1107"/>
      <c r="AB79" s="1107"/>
      <c r="AC79" s="1107"/>
      <c r="AD79" s="1104"/>
      <c r="AE79" s="1104"/>
      <c r="AF79" s="1104"/>
      <c r="AG79" s="65"/>
      <c r="AH79" s="65"/>
      <c r="AI79" s="1125"/>
      <c r="AJ79" s="65"/>
      <c r="AK79" s="65"/>
      <c r="AL79" s="65"/>
      <c r="AM79" s="1093">
        <f>AL80*1.025</f>
        <v>242.34689999999998</v>
      </c>
      <c r="AN79" s="1093">
        <f>AM79*1.028</f>
        <v>249.13261319999998</v>
      </c>
      <c r="AO79" s="65"/>
      <c r="AP79" s="65"/>
      <c r="AQ79" s="65"/>
      <c r="AR79" s="103"/>
      <c r="AS79" s="103"/>
      <c r="AT79" s="103"/>
      <c r="AU79" s="65"/>
      <c r="AV79" s="65"/>
      <c r="AW79" s="65"/>
      <c r="AX79" s="65"/>
      <c r="AY79" s="65"/>
      <c r="AZ79" s="65"/>
      <c r="BA79" s="65"/>
      <c r="BB79" s="65"/>
      <c r="BC79" s="65"/>
      <c r="BD79" s="65"/>
      <c r="BE79" s="65"/>
      <c r="BF79" s="65"/>
      <c r="BG79" s="65"/>
      <c r="BH79" s="65"/>
      <c r="BI79" s="65"/>
      <c r="BJ79" s="65"/>
      <c r="BK79" s="65"/>
      <c r="BL79" s="623"/>
      <c r="BM79" s="623"/>
      <c r="BN79" s="623"/>
      <c r="BO79" s="623"/>
      <c r="BP79" s="623"/>
      <c r="BQ79" s="623"/>
      <c r="BR79" s="623"/>
      <c r="BS79" s="623"/>
      <c r="BT79" s="623"/>
      <c r="BU79" s="623"/>
      <c r="BV79" s="623"/>
      <c r="BW79" s="623"/>
      <c r="BX79" s="623"/>
      <c r="BY79" s="623"/>
      <c r="BZ79" s="623"/>
      <c r="CA79" s="623"/>
      <c r="CB79" s="623"/>
      <c r="CC79" s="623"/>
      <c r="CD79" s="623"/>
      <c r="CE79" s="623"/>
      <c r="CF79" s="623"/>
      <c r="CG79" s="623"/>
      <c r="CH79" s="623"/>
      <c r="CI79" s="623"/>
      <c r="CJ79" s="623"/>
      <c r="CK79" s="623"/>
      <c r="CL79" s="623"/>
      <c r="CM79" s="623"/>
      <c r="CN79" s="623"/>
      <c r="CO79" s="623"/>
      <c r="CP79" s="623"/>
      <c r="CQ79" s="623"/>
      <c r="CR79" s="623"/>
      <c r="CS79" s="623"/>
      <c r="CT79" s="623"/>
      <c r="CU79" s="623"/>
      <c r="CV79" s="623"/>
      <c r="CW79" s="623"/>
      <c r="CX79" s="623"/>
      <c r="CY79" s="623"/>
      <c r="CZ79" s="623"/>
      <c r="DA79" s="623"/>
      <c r="DB79" s="623"/>
      <c r="DC79" s="623"/>
      <c r="DD79" s="623"/>
      <c r="DE79" s="623"/>
      <c r="DF79" s="623"/>
      <c r="DG79" s="623"/>
      <c r="DH79" s="623"/>
      <c r="DI79" s="623"/>
      <c r="DJ79" s="623"/>
      <c r="DK79" s="623"/>
      <c r="DL79" s="623"/>
      <c r="DM79" s="623"/>
      <c r="DN79" s="623"/>
      <c r="DO79" s="623"/>
      <c r="DP79" s="623"/>
      <c r="DQ79" s="65"/>
      <c r="DR79" s="65"/>
      <c r="DS79" s="65"/>
      <c r="DT79" s="65"/>
      <c r="DU79" s="65"/>
      <c r="DV79" s="65"/>
      <c r="DW79" s="65"/>
      <c r="DX79" s="65"/>
      <c r="DY79" s="65"/>
      <c r="DZ79" s="65"/>
      <c r="EA79" s="65"/>
      <c r="EB79" s="65"/>
      <c r="EC79" s="65"/>
      <c r="ED79" s="65"/>
      <c r="EE79" s="65"/>
      <c r="EF79" s="65"/>
      <c r="EG79" s="65"/>
      <c r="EH79" s="65"/>
      <c r="EI79" s="65"/>
      <c r="EJ79" s="65"/>
      <c r="EK79" s="65"/>
      <c r="EL79" s="65"/>
      <c r="EM79" s="65"/>
      <c r="EN79" s="65"/>
      <c r="EO79" s="221"/>
    </row>
    <row r="80" spans="1:145" ht="15.75" customHeight="1" x14ac:dyDescent="0.35">
      <c r="A80" s="275" t="s">
        <v>417</v>
      </c>
      <c r="B80" s="65" t="s">
        <v>1443</v>
      </c>
      <c r="C80" s="65" t="s">
        <v>1444</v>
      </c>
      <c r="D80" s="101">
        <v>46043</v>
      </c>
      <c r="E80" s="217" t="s">
        <v>173</v>
      </c>
      <c r="G80" s="218" t="s">
        <v>1445</v>
      </c>
      <c r="H80" s="65"/>
      <c r="I80" s="65"/>
      <c r="J80" s="65"/>
      <c r="K80" s="65"/>
      <c r="L80" s="65"/>
      <c r="M80" s="588">
        <v>90.5</v>
      </c>
      <c r="N80" s="588">
        <v>93.3</v>
      </c>
      <c r="O80" s="588">
        <v>95.1</v>
      </c>
      <c r="P80" s="588">
        <v>98.8</v>
      </c>
      <c r="Q80" s="588">
        <v>101.7</v>
      </c>
      <c r="R80" s="588">
        <v>106</v>
      </c>
      <c r="S80" s="588">
        <v>110.9</v>
      </c>
      <c r="T80" s="588">
        <v>117.2</v>
      </c>
      <c r="U80" s="588">
        <v>127.6</v>
      </c>
      <c r="V80" s="588">
        <v>127.8</v>
      </c>
      <c r="W80" s="588">
        <v>133.30000000000001</v>
      </c>
      <c r="X80" s="588">
        <v>142.19999999999999</v>
      </c>
      <c r="Y80" s="588">
        <v>146.69999999999999</v>
      </c>
      <c r="Z80" s="588">
        <v>150.1</v>
      </c>
      <c r="AA80" s="588">
        <v>154.19999999999999</v>
      </c>
      <c r="AB80" s="588">
        <v>153.9</v>
      </c>
      <c r="AC80" s="588">
        <v>155.80000000000001</v>
      </c>
      <c r="AD80" s="589">
        <v>163</v>
      </c>
      <c r="AE80" s="589">
        <v>172.2</v>
      </c>
      <c r="AF80" s="589">
        <v>175.1</v>
      </c>
      <c r="AG80" s="163">
        <v>177.8</v>
      </c>
      <c r="AH80" s="163">
        <v>190.8</v>
      </c>
      <c r="AI80" s="1094">
        <v>215.4</v>
      </c>
      <c r="AJ80" s="1094">
        <v>223.5</v>
      </c>
      <c r="AK80" s="1094">
        <v>231.8</v>
      </c>
      <c r="AL80" s="1094">
        <f>AK80*1.02</f>
        <v>236.43600000000001</v>
      </c>
      <c r="AM80" s="65"/>
      <c r="AN80" s="65"/>
      <c r="AO80" s="65"/>
      <c r="AP80" s="65"/>
      <c r="AQ80" s="65"/>
      <c r="AR80" s="103"/>
      <c r="AS80" s="103"/>
      <c r="AT80" s="103"/>
      <c r="AU80" s="65"/>
      <c r="AV80" s="65"/>
      <c r="AW80" s="65"/>
      <c r="AX80" s="65"/>
      <c r="AY80" s="65"/>
      <c r="AZ80" s="65"/>
      <c r="BA80" s="65"/>
      <c r="BB80" s="65"/>
      <c r="BC80" s="65"/>
      <c r="BD80" s="65"/>
      <c r="BE80" s="65"/>
      <c r="BF80" s="65"/>
      <c r="BG80" s="65"/>
      <c r="BH80" s="65"/>
      <c r="BI80" s="65"/>
      <c r="BJ80" s="65"/>
      <c r="BK80" s="65"/>
      <c r="BL80" s="623"/>
      <c r="BM80" s="623"/>
      <c r="BN80" s="623"/>
      <c r="BO80" s="623"/>
      <c r="BP80" s="623"/>
      <c r="BQ80" s="623"/>
      <c r="BR80" s="623"/>
      <c r="BS80" s="623"/>
      <c r="BT80" s="623"/>
      <c r="BU80" s="623"/>
      <c r="BV80" s="623"/>
      <c r="BW80" s="623"/>
      <c r="BX80" s="623"/>
      <c r="BY80" s="623"/>
      <c r="BZ80" s="623"/>
      <c r="CA80" s="623"/>
      <c r="CB80" s="623"/>
      <c r="CC80" s="623"/>
      <c r="CD80" s="623"/>
      <c r="CE80" s="623"/>
      <c r="CF80" s="623"/>
      <c r="CG80" s="623"/>
      <c r="CH80" s="623"/>
      <c r="CI80" s="623"/>
      <c r="CJ80" s="623"/>
      <c r="CK80" s="623"/>
      <c r="CL80" s="623"/>
      <c r="CM80" s="623"/>
      <c r="CN80" s="623"/>
      <c r="CO80" s="623"/>
      <c r="CP80" s="623"/>
      <c r="CQ80" s="623"/>
      <c r="CR80" s="623"/>
      <c r="CS80" s="623"/>
      <c r="CT80" s="623"/>
      <c r="CU80" s="623"/>
      <c r="CV80" s="623"/>
      <c r="CW80" s="623"/>
      <c r="CX80" s="623"/>
      <c r="CY80" s="623"/>
      <c r="CZ80" s="623"/>
      <c r="DA80" s="623"/>
      <c r="DB80" s="623"/>
      <c r="DC80" s="623"/>
      <c r="DD80" s="623"/>
      <c r="DE80" s="623"/>
      <c r="DF80" s="623"/>
      <c r="DG80" s="623"/>
      <c r="DH80" s="623"/>
      <c r="DI80" s="623"/>
      <c r="DJ80" s="623"/>
      <c r="DK80" s="623"/>
      <c r="DL80" s="623"/>
      <c r="DM80" s="623"/>
      <c r="DN80" s="623"/>
      <c r="DO80" s="623"/>
      <c r="DP80" s="623"/>
      <c r="DQ80" s="65"/>
      <c r="DR80" s="65"/>
      <c r="DS80" s="65"/>
      <c r="DT80" s="65"/>
      <c r="DU80" s="65"/>
      <c r="DV80" s="65"/>
      <c r="DW80" s="65"/>
      <c r="DX80" s="65"/>
      <c r="DY80" s="65"/>
      <c r="DZ80" s="65"/>
      <c r="EA80" s="65"/>
      <c r="EB80" s="65"/>
      <c r="EC80" s="65"/>
      <c r="ED80" s="65"/>
      <c r="EE80" s="65"/>
      <c r="EF80" s="65"/>
      <c r="EG80" s="65"/>
      <c r="EH80" s="65"/>
      <c r="EI80" s="65"/>
      <c r="EJ80" s="65"/>
      <c r="EK80" s="65"/>
      <c r="EL80" s="65"/>
      <c r="EM80" s="65"/>
      <c r="EN80" s="65"/>
      <c r="EO80" s="221"/>
    </row>
    <row r="81" spans="1:146" ht="15.75" customHeight="1" x14ac:dyDescent="0.35">
      <c r="A81" s="275"/>
      <c r="B81" s="65"/>
      <c r="C81" s="65"/>
      <c r="D81" s="101"/>
      <c r="E81" s="217"/>
      <c r="G81" s="218" t="s">
        <v>1446</v>
      </c>
      <c r="H81" s="65"/>
      <c r="I81" s="65"/>
      <c r="J81" s="65"/>
      <c r="K81" s="65"/>
      <c r="L81" s="65"/>
      <c r="M81" s="1107"/>
      <c r="N81" s="1107"/>
      <c r="O81" s="1107"/>
      <c r="P81" s="1107"/>
      <c r="Q81" s="1107"/>
      <c r="R81" s="1107"/>
      <c r="S81" s="1107"/>
      <c r="T81" s="1107"/>
      <c r="U81" s="1107"/>
      <c r="V81" s="1107"/>
      <c r="W81" s="1107"/>
      <c r="X81" s="1107"/>
      <c r="Y81" s="1107"/>
      <c r="Z81" s="1107"/>
      <c r="AA81" s="1107"/>
      <c r="AB81" s="1123"/>
      <c r="AC81" s="1123"/>
      <c r="AD81" s="1124"/>
      <c r="AE81" s="1124"/>
      <c r="AF81" s="1124"/>
      <c r="AG81" s="569"/>
      <c r="AH81" s="569"/>
      <c r="AI81" s="1125"/>
      <c r="AJ81" s="65"/>
      <c r="AK81" s="65"/>
      <c r="AL81" s="65"/>
      <c r="AM81" s="754">
        <f>AL82*(1+Fremtidig_Reallønnsvekst)*(_xlfn.XLOOKUP(AM72,StatistikkOgPrognoseÅr,KPIIndeks)/_xlfn.XLOOKUP(AL72,StatistikkOgPrognoseÅr,KPIIndeks))</f>
        <v>763940.69999999984</v>
      </c>
      <c r="AN81" s="754">
        <f>AM81*(1+Fremtidig_Reallønnsvekst)*(_xlfn.XLOOKUP(AN72,StatistikkOgPrognoseÅr,KPIIndeks)/_xlfn.XLOOKUP(AM72,StatistikkOgPrognoseÅr,KPIIndeks))</f>
        <v>789257.69479799981</v>
      </c>
      <c r="AO81" s="65"/>
      <c r="AP81" s="65"/>
      <c r="AQ81" s="65"/>
      <c r="AR81" s="103"/>
      <c r="AS81" s="103"/>
      <c r="AT81" s="103"/>
      <c r="AU81" s="65"/>
      <c r="AV81" s="65"/>
      <c r="AW81" s="65"/>
      <c r="AX81" s="65"/>
      <c r="AY81" s="65"/>
      <c r="AZ81" s="65"/>
      <c r="BA81" s="65"/>
      <c r="BB81" s="65"/>
      <c r="BC81" s="65"/>
      <c r="BD81" s="65"/>
      <c r="BE81" s="65"/>
      <c r="BF81" s="65"/>
      <c r="BG81" s="65"/>
      <c r="BH81" s="65"/>
      <c r="BI81" s="65"/>
      <c r="BJ81" s="65"/>
      <c r="BK81" s="65"/>
      <c r="BL81" s="623"/>
      <c r="BM81" s="623"/>
      <c r="BN81" s="623"/>
      <c r="BO81" s="623"/>
      <c r="BP81" s="623"/>
      <c r="BQ81" s="623"/>
      <c r="BR81" s="623"/>
      <c r="BS81" s="623"/>
      <c r="BT81" s="623"/>
      <c r="BU81" s="623"/>
      <c r="BV81" s="623"/>
      <c r="BW81" s="623"/>
      <c r="BX81" s="623"/>
      <c r="BY81" s="623"/>
      <c r="BZ81" s="623"/>
      <c r="CA81" s="623"/>
      <c r="CB81" s="623"/>
      <c r="CC81" s="623"/>
      <c r="CD81" s="623"/>
      <c r="CE81" s="623"/>
      <c r="CF81" s="623"/>
      <c r="CG81" s="623"/>
      <c r="CH81" s="623"/>
      <c r="CI81" s="623"/>
      <c r="CJ81" s="623"/>
      <c r="CK81" s="623"/>
      <c r="CL81" s="623"/>
      <c r="CM81" s="623"/>
      <c r="CN81" s="623"/>
      <c r="CO81" s="623"/>
      <c r="CP81" s="623"/>
      <c r="CQ81" s="623"/>
      <c r="CR81" s="623"/>
      <c r="CS81" s="623"/>
      <c r="CT81" s="623"/>
      <c r="CU81" s="623"/>
      <c r="CV81" s="623"/>
      <c r="CW81" s="623"/>
      <c r="CX81" s="623"/>
      <c r="CY81" s="623"/>
      <c r="CZ81" s="623"/>
      <c r="DA81" s="623"/>
      <c r="DB81" s="623"/>
      <c r="DC81" s="623"/>
      <c r="DD81" s="623"/>
      <c r="DE81" s="623"/>
      <c r="DF81" s="623"/>
      <c r="DG81" s="623"/>
      <c r="DH81" s="623"/>
      <c r="DI81" s="623"/>
      <c r="DJ81" s="1141"/>
      <c r="DK81" s="623"/>
      <c r="DL81" s="623"/>
      <c r="DM81" s="623"/>
      <c r="DN81" s="623"/>
      <c r="DO81" s="623"/>
      <c r="DP81" s="623"/>
      <c r="DQ81" s="65"/>
      <c r="DR81" s="65"/>
      <c r="DS81" s="65"/>
      <c r="DT81" s="65"/>
      <c r="DU81" s="65"/>
      <c r="DV81" s="65"/>
      <c r="DW81" s="65"/>
      <c r="DX81" s="65"/>
      <c r="DY81" s="65"/>
      <c r="DZ81" s="65"/>
      <c r="EA81" s="65"/>
      <c r="EB81" s="65"/>
      <c r="EC81" s="65"/>
      <c r="ED81" s="65"/>
      <c r="EE81" s="65"/>
      <c r="EF81" s="65"/>
      <c r="EG81" s="65"/>
      <c r="EH81" s="65"/>
      <c r="EI81" s="65"/>
      <c r="EJ81" s="65"/>
      <c r="EK81" s="65"/>
      <c r="EL81" s="65"/>
      <c r="EM81" s="65"/>
      <c r="EN81" s="65"/>
      <c r="EO81" s="221"/>
    </row>
    <row r="82" spans="1:146" ht="15.75" customHeight="1" x14ac:dyDescent="0.35">
      <c r="A82" s="275" t="s">
        <v>1447</v>
      </c>
      <c r="B82" s="65" t="s">
        <v>1448</v>
      </c>
      <c r="C82" s="65" t="s">
        <v>1449</v>
      </c>
      <c r="D82" s="101">
        <v>46071</v>
      </c>
      <c r="E82" s="217" t="s">
        <v>173</v>
      </c>
      <c r="G82" s="218" t="s">
        <v>1450</v>
      </c>
      <c r="H82" s="65"/>
      <c r="I82" s="65"/>
      <c r="J82" s="65"/>
      <c r="K82" s="65"/>
      <c r="L82" s="65"/>
      <c r="M82" s="1107"/>
      <c r="N82" s="1107"/>
      <c r="O82" s="1107"/>
      <c r="P82" s="1107"/>
      <c r="Q82" s="1107"/>
      <c r="R82" s="1107"/>
      <c r="S82" s="1107"/>
      <c r="T82" s="1107"/>
      <c r="U82" s="1107"/>
      <c r="V82" s="1107"/>
      <c r="W82" s="1107"/>
      <c r="X82" s="1107"/>
      <c r="Y82" s="1107"/>
      <c r="Z82" s="1107"/>
      <c r="AA82" s="1107"/>
      <c r="AB82" s="1108">
        <v>516000</v>
      </c>
      <c r="AC82" s="1108">
        <v>522700</v>
      </c>
      <c r="AD82" s="1108">
        <v>535400</v>
      </c>
      <c r="AE82" s="1108">
        <v>550800</v>
      </c>
      <c r="AF82" s="1108">
        <v>569900</v>
      </c>
      <c r="AG82" s="1108">
        <v>587600</v>
      </c>
      <c r="AH82" s="1108">
        <v>609600</v>
      </c>
      <c r="AI82" s="1108">
        <v>634700</v>
      </c>
      <c r="AJ82" s="1108">
        <v>668400</v>
      </c>
      <c r="AK82" s="1108">
        <v>704700</v>
      </c>
      <c r="AL82" s="1108">
        <v>741600</v>
      </c>
      <c r="AM82" s="65"/>
      <c r="AN82" s="65"/>
      <c r="AO82" s="65"/>
      <c r="AP82" s="65"/>
      <c r="AQ82" s="65"/>
      <c r="AR82" s="65"/>
      <c r="AS82" s="65"/>
      <c r="AT82" s="65"/>
      <c r="AU82" s="65"/>
      <c r="AV82" s="65"/>
      <c r="AW82" s="65"/>
      <c r="AX82" s="65"/>
      <c r="AY82" s="65"/>
      <c r="AZ82" s="65"/>
      <c r="BA82" s="65"/>
      <c r="BB82" s="65"/>
      <c r="BC82" s="65"/>
      <c r="BD82" s="65"/>
      <c r="BE82" s="65"/>
      <c r="BF82" s="65"/>
      <c r="BG82" s="65"/>
      <c r="BH82" s="65"/>
      <c r="BI82" s="65"/>
      <c r="BJ82" s="65"/>
      <c r="BK82" s="65"/>
      <c r="BL82" s="623"/>
      <c r="BM82" s="623"/>
      <c r="BN82" s="623"/>
      <c r="BO82" s="623"/>
      <c r="BP82" s="623"/>
      <c r="BQ82" s="623"/>
      <c r="BR82" s="623"/>
      <c r="BS82" s="623"/>
      <c r="BT82" s="623"/>
      <c r="BU82" s="623"/>
      <c r="BV82" s="623"/>
      <c r="BW82" s="623"/>
      <c r="BX82" s="623"/>
      <c r="BY82" s="623"/>
      <c r="BZ82" s="623"/>
      <c r="CA82" s="623"/>
      <c r="CB82" s="623"/>
      <c r="CC82" s="623"/>
      <c r="CD82" s="623"/>
      <c r="CE82" s="623"/>
      <c r="CF82" s="623"/>
      <c r="CG82" s="623"/>
      <c r="CH82" s="623"/>
      <c r="CI82" s="623"/>
      <c r="CJ82" s="623"/>
      <c r="CK82" s="623"/>
      <c r="CL82" s="623"/>
      <c r="CM82" s="623"/>
      <c r="CN82" s="623"/>
      <c r="CO82" s="623"/>
      <c r="CP82" s="623"/>
      <c r="CQ82" s="623"/>
      <c r="CR82" s="623"/>
      <c r="CS82" s="623"/>
      <c r="CT82" s="623"/>
      <c r="CU82" s="623"/>
      <c r="CV82" s="623"/>
      <c r="CW82" s="623"/>
      <c r="CX82" s="623"/>
      <c r="CY82" s="623"/>
      <c r="CZ82" s="1141"/>
      <c r="DA82" s="1141"/>
      <c r="DB82" s="1141"/>
      <c r="DC82" s="1141"/>
      <c r="DD82" s="1141"/>
      <c r="DE82" s="1141"/>
      <c r="DF82" s="1141"/>
      <c r="DG82" s="1141"/>
      <c r="DH82" s="1141"/>
      <c r="DI82" s="1141"/>
      <c r="DJ82" s="1140"/>
      <c r="DK82" s="1142"/>
      <c r="DL82" s="623"/>
      <c r="DM82" s="623"/>
      <c r="DN82" s="623"/>
      <c r="DO82" s="623"/>
      <c r="DP82" s="623"/>
      <c r="DQ82" s="65"/>
      <c r="DR82" s="65"/>
      <c r="DS82" s="65"/>
      <c r="DT82" s="65"/>
      <c r="DU82" s="65"/>
      <c r="DV82" s="65"/>
      <c r="DW82" s="65"/>
      <c r="DX82" s="65"/>
      <c r="DY82" s="65"/>
      <c r="DZ82" s="65"/>
      <c r="EA82" s="65"/>
      <c r="EB82" s="65"/>
      <c r="EC82" s="65"/>
      <c r="ED82" s="65"/>
      <c r="EE82" s="65"/>
      <c r="EF82" s="65"/>
      <c r="EG82" s="65"/>
      <c r="EH82" s="65"/>
      <c r="EI82" s="65"/>
      <c r="EJ82" s="65"/>
      <c r="EK82" s="65"/>
      <c r="EL82" s="65"/>
      <c r="EM82" s="65"/>
      <c r="EN82" s="65"/>
      <c r="EO82" s="221"/>
    </row>
    <row r="83" spans="1:146" x14ac:dyDescent="0.35">
      <c r="A83" s="275" t="s">
        <v>1451</v>
      </c>
      <c r="B83" s="65" t="s">
        <v>1452</v>
      </c>
      <c r="C83" s="65" t="s">
        <v>1453</v>
      </c>
      <c r="D83" s="101">
        <v>45548</v>
      </c>
      <c r="E83" s="217" t="s">
        <v>173</v>
      </c>
      <c r="G83" s="218" t="s">
        <v>1454</v>
      </c>
      <c r="H83" s="65"/>
      <c r="I83" s="65"/>
      <c r="J83" s="65"/>
      <c r="K83" s="65"/>
      <c r="L83" s="65"/>
      <c r="M83" s="65"/>
      <c r="N83" s="65"/>
      <c r="O83" s="65"/>
      <c r="P83" s="65"/>
      <c r="Q83" s="65"/>
      <c r="R83" s="65"/>
      <c r="S83" s="65"/>
      <c r="T83" s="65"/>
      <c r="U83" s="65"/>
      <c r="V83" s="65"/>
      <c r="W83" s="65"/>
      <c r="X83" s="65"/>
      <c r="Y83" s="65"/>
      <c r="Z83" s="537"/>
      <c r="AA83" s="537"/>
      <c r="AB83" s="537"/>
      <c r="AC83" s="1105">
        <v>5213985</v>
      </c>
      <c r="AD83" s="1105">
        <v>5258317</v>
      </c>
      <c r="AE83" s="1105">
        <v>5295619</v>
      </c>
      <c r="AF83" s="1105">
        <v>5328212</v>
      </c>
      <c r="AG83" s="1105">
        <v>5367580</v>
      </c>
      <c r="AH83" s="1105">
        <v>5391369</v>
      </c>
      <c r="AI83" s="1105">
        <v>5425270</v>
      </c>
      <c r="AJ83" s="1105">
        <v>5474990</v>
      </c>
      <c r="AK83" s="1105">
        <v>5511434</v>
      </c>
      <c r="AL83" s="1108">
        <v>5535390</v>
      </c>
      <c r="AM83" s="1108">
        <v>5559813</v>
      </c>
      <c r="AN83" s="1108">
        <v>5584778</v>
      </c>
      <c r="AO83" s="1108">
        <v>5610035</v>
      </c>
      <c r="AP83" s="1108">
        <v>5635498</v>
      </c>
      <c r="AQ83" s="1108">
        <v>5660704</v>
      </c>
      <c r="AR83" s="1108">
        <v>5685526</v>
      </c>
      <c r="AS83" s="1108">
        <v>5709850</v>
      </c>
      <c r="AT83" s="1108">
        <v>5733853</v>
      </c>
      <c r="AU83" s="1108">
        <v>5757504</v>
      </c>
      <c r="AV83" s="1108">
        <v>5780690</v>
      </c>
      <c r="AW83" s="1108">
        <v>5803479</v>
      </c>
      <c r="AX83" s="1108">
        <v>5825928</v>
      </c>
      <c r="AY83" s="1108">
        <v>5847408</v>
      </c>
      <c r="AZ83" s="1108">
        <v>5867934</v>
      </c>
      <c r="BA83" s="1108">
        <v>5887567</v>
      </c>
      <c r="BB83" s="1108">
        <v>5906312</v>
      </c>
      <c r="BC83" s="1108">
        <v>5924166</v>
      </c>
      <c r="BD83" s="1108">
        <v>5941143</v>
      </c>
      <c r="BE83" s="1108">
        <v>5957200</v>
      </c>
      <c r="BF83" s="1108">
        <v>5972322</v>
      </c>
      <c r="BG83" s="1108">
        <v>5986492</v>
      </c>
      <c r="BH83" s="1108">
        <v>5999703</v>
      </c>
      <c r="BI83" s="1108">
        <v>6011945</v>
      </c>
      <c r="BJ83" s="1108">
        <v>6023260</v>
      </c>
      <c r="BK83" s="1108">
        <v>6033631</v>
      </c>
      <c r="BL83" s="1108">
        <v>6043155</v>
      </c>
      <c r="BM83" s="1108">
        <v>6051876</v>
      </c>
      <c r="BN83" s="1108">
        <v>6059886</v>
      </c>
      <c r="BO83" s="1108">
        <v>6067235</v>
      </c>
      <c r="BP83" s="1108">
        <v>6074002</v>
      </c>
      <c r="BQ83" s="1108">
        <v>6080222</v>
      </c>
      <c r="BR83" s="1108">
        <v>6086000</v>
      </c>
      <c r="BS83" s="1108">
        <v>6091372</v>
      </c>
      <c r="BT83" s="1108">
        <v>6096426</v>
      </c>
      <c r="BU83" s="1108">
        <v>6101191</v>
      </c>
      <c r="BV83" s="1108">
        <v>6105766</v>
      </c>
      <c r="BW83" s="1108">
        <v>6110198</v>
      </c>
      <c r="BX83" s="1108">
        <v>6114578</v>
      </c>
      <c r="BY83" s="1108">
        <v>6118988</v>
      </c>
      <c r="BZ83" s="1108">
        <v>6123483</v>
      </c>
      <c r="CA83" s="1108">
        <v>6128107</v>
      </c>
      <c r="CB83" s="1108">
        <v>6132917</v>
      </c>
      <c r="CC83" s="1108">
        <v>6137935</v>
      </c>
      <c r="CD83" s="1108">
        <v>6143189</v>
      </c>
      <c r="CE83" s="1108">
        <v>6148644</v>
      </c>
      <c r="CF83" s="1108">
        <v>6154259</v>
      </c>
      <c r="CG83" s="1108">
        <v>6159984</v>
      </c>
      <c r="CH83" s="1108">
        <v>6165699</v>
      </c>
      <c r="CI83" s="1108">
        <v>6171321</v>
      </c>
      <c r="CJ83" s="1108">
        <v>6176754</v>
      </c>
      <c r="CK83" s="1108">
        <v>6181867</v>
      </c>
      <c r="CL83" s="1108">
        <v>6186566</v>
      </c>
      <c r="CM83" s="1108">
        <v>6190764</v>
      </c>
      <c r="CN83" s="1108">
        <v>6194395</v>
      </c>
      <c r="CO83" s="1108">
        <v>6197383</v>
      </c>
      <c r="CP83" s="1108">
        <v>6199711</v>
      </c>
      <c r="CQ83" s="1108">
        <v>6201382</v>
      </c>
      <c r="CR83" s="1108">
        <v>6202404</v>
      </c>
      <c r="CS83" s="1108">
        <v>6202824</v>
      </c>
      <c r="CT83" s="1108">
        <v>6202707</v>
      </c>
      <c r="CU83" s="1108">
        <v>6202107</v>
      </c>
      <c r="CV83" s="1108">
        <v>6201158</v>
      </c>
      <c r="CW83" s="1108">
        <v>6199967</v>
      </c>
      <c r="CX83" s="1108">
        <v>6198627</v>
      </c>
      <c r="CY83" s="1108">
        <v>6197263</v>
      </c>
      <c r="CZ83" s="1108">
        <v>6195962</v>
      </c>
      <c r="DA83" s="1108">
        <v>6194828</v>
      </c>
      <c r="DB83" s="1108">
        <v>6193935</v>
      </c>
      <c r="DC83" s="1108">
        <v>6193308</v>
      </c>
      <c r="DD83" s="1108">
        <v>6192960</v>
      </c>
      <c r="DE83" s="1108">
        <v>6192920</v>
      </c>
      <c r="DF83" s="1108">
        <v>6193171</v>
      </c>
      <c r="DG83" s="1108">
        <v>6193692</v>
      </c>
      <c r="DH83" s="1108">
        <v>6194428</v>
      </c>
      <c r="DI83" s="1108">
        <v>6195332</v>
      </c>
      <c r="DJ83" s="1143">
        <f>DI83*(1+AVERAGE($DI$83/$DH$83-1,$DH$83/$DG$83-1,$DG$83/$DF$83-1,$DF$83/$DE$83-1,$DE$83/$DD$83-1,$DD$83/$DC$83-1,$DC$83/$DB$83-1,$DB$83/$DA$83-1,$DA$83/$CZ$83-1,$CZ$83/$CY$83-1))</f>
        <v>6195138.9783927063</v>
      </c>
      <c r="DK83" s="1143">
        <f t="shared" ref="DK83:EO83" si="267">DJ83*(1+AVERAGE($DI$83/$DH$83-1,$DH$83/$DG$83-1,$DG$83/$DF$83-1,$DF$83/$DE$83-1,$DE$83/$DD$83-1,$DD$83/$DC$83-1,$DC$83/$DB$83-1,$DB$83/$DA$83-1,$DA$83/$CZ$83-1,$CZ$83/$CY$83-1))</f>
        <v>6194945.9627991887</v>
      </c>
      <c r="DL83" s="1143">
        <f t="shared" si="267"/>
        <v>6194752.9532192601</v>
      </c>
      <c r="DM83" s="1143">
        <f t="shared" si="267"/>
        <v>6194559.9496527333</v>
      </c>
      <c r="DN83" s="1143">
        <f t="shared" si="267"/>
        <v>6194366.9520994201</v>
      </c>
      <c r="DO83" s="1143">
        <f t="shared" si="267"/>
        <v>6194173.9605591344</v>
      </c>
      <c r="DP83" s="1143">
        <f t="shared" si="267"/>
        <v>6193980.9750316879</v>
      </c>
      <c r="DQ83" s="1143">
        <f t="shared" si="267"/>
        <v>6193787.9955168935</v>
      </c>
      <c r="DR83" s="1143">
        <f t="shared" si="267"/>
        <v>6193595.0220145639</v>
      </c>
      <c r="DS83" s="1143">
        <f t="shared" si="267"/>
        <v>6193402.054524512</v>
      </c>
      <c r="DT83" s="1143">
        <f t="shared" si="267"/>
        <v>6193209.0930465506</v>
      </c>
      <c r="DU83" s="1143">
        <f t="shared" si="267"/>
        <v>6193016.1375804925</v>
      </c>
      <c r="DV83" s="1143">
        <f t="shared" si="267"/>
        <v>6192823.1881261496</v>
      </c>
      <c r="DW83" s="1143">
        <f t="shared" si="267"/>
        <v>6192630.2446833355</v>
      </c>
      <c r="DX83" s="1143">
        <f t="shared" si="267"/>
        <v>6192437.3072518623</v>
      </c>
      <c r="DY83" s="1143">
        <f t="shared" si="267"/>
        <v>6192244.3758315425</v>
      </c>
      <c r="DZ83" s="1143">
        <f t="shared" si="267"/>
        <v>6192051.4504221892</v>
      </c>
      <c r="EA83" s="1143">
        <f t="shared" si="267"/>
        <v>6191858.531023615</v>
      </c>
      <c r="EB83" s="1143">
        <f t="shared" si="267"/>
        <v>6191665.6176356329</v>
      </c>
      <c r="EC83" s="1143">
        <f t="shared" si="267"/>
        <v>6191472.7102580555</v>
      </c>
      <c r="ED83" s="1143">
        <f t="shared" si="267"/>
        <v>6191279.8088906957</v>
      </c>
      <c r="EE83" s="1143">
        <f t="shared" si="267"/>
        <v>6191086.9135333654</v>
      </c>
      <c r="EF83" s="1143">
        <f t="shared" si="267"/>
        <v>6190894.0241858782</v>
      </c>
      <c r="EG83" s="1143">
        <f t="shared" si="267"/>
        <v>6190701.1408480471</v>
      </c>
      <c r="EH83" s="1143">
        <f t="shared" si="267"/>
        <v>6190508.2635196839</v>
      </c>
      <c r="EI83" s="1143">
        <f t="shared" si="267"/>
        <v>6190315.3922006022</v>
      </c>
      <c r="EJ83" s="1143">
        <f t="shared" si="267"/>
        <v>6190122.5268906141</v>
      </c>
      <c r="EK83" s="1143">
        <f t="shared" si="267"/>
        <v>6189929.6675895331</v>
      </c>
      <c r="EL83" s="1143">
        <f t="shared" si="267"/>
        <v>6189736.8142971713</v>
      </c>
      <c r="EM83" s="1143">
        <f t="shared" si="267"/>
        <v>6189543.9670133423</v>
      </c>
      <c r="EN83" s="1143">
        <f t="shared" si="267"/>
        <v>6189351.125737858</v>
      </c>
      <c r="EO83" s="1149">
        <f t="shared" si="267"/>
        <v>6189158.2904705312</v>
      </c>
      <c r="EP83" s="445"/>
    </row>
    <row r="84" spans="1:146" x14ac:dyDescent="0.35">
      <c r="A84" s="275" t="s">
        <v>506</v>
      </c>
      <c r="B84" s="65" t="s">
        <v>1455</v>
      </c>
      <c r="C84" s="65" t="s">
        <v>106</v>
      </c>
      <c r="D84" s="101">
        <v>45548</v>
      </c>
      <c r="E84" s="217" t="s">
        <v>173</v>
      </c>
      <c r="G84" s="218" t="s">
        <v>1456</v>
      </c>
      <c r="H84" s="65"/>
      <c r="I84" s="65"/>
      <c r="J84" s="65"/>
      <c r="K84" s="65"/>
      <c r="L84" s="65"/>
      <c r="M84" s="65"/>
      <c r="N84" s="65"/>
      <c r="O84" s="65"/>
      <c r="P84" s="65"/>
      <c r="Q84" s="65"/>
      <c r="R84" s="65"/>
      <c r="S84" s="65"/>
      <c r="T84" s="65"/>
      <c r="U84" s="65"/>
      <c r="V84" s="65"/>
      <c r="W84" s="65"/>
      <c r="X84" s="65"/>
      <c r="Y84" s="65"/>
      <c r="Z84" s="537"/>
      <c r="AA84" s="537"/>
      <c r="AB84" s="537"/>
      <c r="AC84" s="536"/>
      <c r="AD84" s="536"/>
      <c r="AE84" s="536"/>
      <c r="AF84" s="417">
        <f>IF(AF65&lt;'1.2 Forutsetninger'!$E$25,Fremtidig_Reallønnsvekst,IF(AF65&lt;2100,(Fremtidig_Reallønnsvekst*(COS((AF65-'1.2 Forutsetninger'!$E$25)*(PI())/(2100-'1.2 Forutsetninger'!$E$25))+1)/2),0))</f>
        <v>5.0000000000000001E-3</v>
      </c>
      <c r="AG84" s="417">
        <f>IF(AG65&lt;'1.2 Forutsetninger'!$E$25,Fremtidig_Reallønnsvekst,IF(AG65&lt;2100,(Fremtidig_Reallønnsvekst*(COS((AG65-'1.2 Forutsetninger'!$E$25)*(PI())/(2100-'1.2 Forutsetninger'!$E$25))+1)/2),0))</f>
        <v>5.0000000000000001E-3</v>
      </c>
      <c r="AH84" s="417">
        <f>IF(AH65&lt;'1.2 Forutsetninger'!$E$25,Fremtidig_Reallønnsvekst,IF(AH65&lt;2100,(Fremtidig_Reallønnsvekst*(COS((AH65-'1.2 Forutsetninger'!$E$25)*(PI())/(2100-'1.2 Forutsetninger'!$E$25))+1)/2),0))</f>
        <v>5.0000000000000001E-3</v>
      </c>
      <c r="AI84" s="417">
        <f>IF(AI65&lt;'1.2 Forutsetninger'!$E$25,Fremtidig_Reallønnsvekst,IF(AI65&lt;2100,(Fremtidig_Reallønnsvekst*(COS((AI65-'1.2 Forutsetninger'!$E$25)*(PI())/(2100-'1.2 Forutsetninger'!$E$25))+1)/2),0))</f>
        <v>5.0000000000000001E-3</v>
      </c>
      <c r="AJ84" s="417">
        <f>IF(AJ65&lt;'1.2 Forutsetninger'!$E$25,Fremtidig_Reallønnsvekst,IF(AJ65&lt;2100,(Fremtidig_Reallønnsvekst*(COS((AJ65-'1.2 Forutsetninger'!$E$25)*(PI())/(2100-'1.2 Forutsetninger'!$E$25))+1)/2),0))</f>
        <v>5.0000000000000001E-3</v>
      </c>
      <c r="AK84" s="417">
        <f>IF(AK65&lt;'1.2 Forutsetninger'!$E$25,Fremtidig_Reallønnsvekst,IF(AK65&lt;2100,(Fremtidig_Reallønnsvekst*(COS((AK65-'1.2 Forutsetninger'!$E$25)*(PI())/(2100-'1.2 Forutsetninger'!$E$25))+1)/2),0))</f>
        <v>5.0000000000000001E-3</v>
      </c>
      <c r="AL84" s="417">
        <f>IF(AL65&lt;'1.2 Forutsetninger'!$E$25,Fremtidig_Reallønnsvekst,IF(AL65&lt;2100,(Fremtidig_Reallønnsvekst*(COS((AL65-'1.2 Forutsetninger'!$E$25)*(PI())/(2100-'1.2 Forutsetninger'!$E$25))+1)/2),0))</f>
        <v>5.0000000000000001E-3</v>
      </c>
      <c r="AM84" s="417">
        <f>IF(AM65&lt;'1.2 Forutsetninger'!$E$25,Fremtidig_Reallønnsvekst,IF(AM65&lt;2100,(Fremtidig_Reallønnsvekst*(COS((AM65-'1.2 Forutsetninger'!$E$25)*(PI())/(2100-'1.2 Forutsetninger'!$E$25))+1)/2),0))</f>
        <v>5.0000000000000001E-3</v>
      </c>
      <c r="AN84" s="417">
        <f>IF(AN65&lt;'1.2 Forutsetninger'!$E$25,Fremtidig_Reallønnsvekst,IF(AN65&lt;2100,(Fremtidig_Reallønnsvekst*(COS((AN65-'1.2 Forutsetninger'!$E$25)*(PI())/(2100-'1.2 Forutsetninger'!$E$25))+1)/2),0))</f>
        <v>5.0000000000000001E-3</v>
      </c>
      <c r="AO84" s="417">
        <f>IF(AO65&lt;'1.2 Forutsetninger'!$E$25,Fremtidig_Reallønnsvekst,IF(AO65&lt;2100,(Fremtidig_Reallønnsvekst*(COS((AO65-'1.2 Forutsetninger'!$E$25)*(PI())/(2100-'1.2 Forutsetninger'!$E$25))+1)/2),0))</f>
        <v>5.0000000000000001E-3</v>
      </c>
      <c r="AP84" s="417">
        <f>IF(AP65&lt;'1.2 Forutsetninger'!$E$25,Fremtidig_Reallønnsvekst,IF(AP65&lt;2100,(Fremtidig_Reallønnsvekst*(COS((AP65-'1.2 Forutsetninger'!$E$25)*(PI())/(2100-'1.2 Forutsetninger'!$E$25))+1)/2),0))</f>
        <v>5.0000000000000001E-3</v>
      </c>
      <c r="AQ84" s="417">
        <f>IF(AQ65&lt;'1.2 Forutsetninger'!$E$25,Fremtidig_Reallønnsvekst,IF(AQ65&lt;2100,(Fremtidig_Reallønnsvekst*(COS((AQ65-'1.2 Forutsetninger'!$E$25)*(PI())/(2100-'1.2 Forutsetninger'!$E$25))+1)/2),0))</f>
        <v>5.0000000000000001E-3</v>
      </c>
      <c r="AR84" s="417">
        <f>IF(AR65&lt;'1.2 Forutsetninger'!$E$25,Fremtidig_Reallønnsvekst,IF(AR65&lt;2100,(Fremtidig_Reallønnsvekst*(COS((AR65-'1.2 Forutsetninger'!$E$25)*(PI())/(2100-'1.2 Forutsetninger'!$E$25))+1)/2),0))</f>
        <v>5.0000000000000001E-3</v>
      </c>
      <c r="AS84" s="417">
        <f>IF(AS65&lt;'1.2 Forutsetninger'!$E$25,Fremtidig_Reallønnsvekst,IF(AS65&lt;2100,(Fremtidig_Reallønnsvekst*(COS((AS65-'1.2 Forutsetninger'!$E$25)*(PI())/(2100-'1.2 Forutsetninger'!$E$25))+1)/2),0))</f>
        <v>5.0000000000000001E-3</v>
      </c>
      <c r="AT84" s="417">
        <f>IF(AT65&lt;'1.2 Forutsetninger'!$E$25,Fremtidig_Reallønnsvekst,IF(AT65&lt;2100,(Fremtidig_Reallønnsvekst*(COS((AT65-'1.2 Forutsetninger'!$E$25)*(PI())/(2100-'1.2 Forutsetninger'!$E$25))+1)/2),0))</f>
        <v>5.0000000000000001E-3</v>
      </c>
      <c r="AU84" s="417">
        <f>IF(AU65&lt;'1.2 Forutsetninger'!$E$25,Fremtidig_Reallønnsvekst,IF(AU65&lt;2100,(Fremtidig_Reallønnsvekst*(COS((AU65-'1.2 Forutsetninger'!$E$25)*(PI())/(2100-'1.2 Forutsetninger'!$E$25))+1)/2),0))</f>
        <v>5.0000000000000001E-3</v>
      </c>
      <c r="AV84" s="417">
        <f>IF(AV65&lt;'1.2 Forutsetninger'!$E$25,Fremtidig_Reallønnsvekst,IF(AV65&lt;2100,(Fremtidig_Reallønnsvekst*(COS((AV65-'1.2 Forutsetninger'!$E$25)*(PI())/(2100-'1.2 Forutsetninger'!$E$25))+1)/2),0))</f>
        <v>5.0000000000000001E-3</v>
      </c>
      <c r="AW84" s="417">
        <f>IF(AW65&lt;'1.2 Forutsetninger'!$E$25,Fremtidig_Reallønnsvekst,IF(AW65&lt;2100,(Fremtidig_Reallønnsvekst*(COS((AW65-'1.2 Forutsetninger'!$E$25)*(PI())/(2100-'1.2 Forutsetninger'!$E$25))+1)/2),0))</f>
        <v>5.0000000000000001E-3</v>
      </c>
      <c r="AX84" s="417">
        <f>IF(AX65&lt;'1.2 Forutsetninger'!$E$25,Fremtidig_Reallønnsvekst,IF(AX65&lt;2100,(Fremtidig_Reallønnsvekst*(COS((AX65-'1.2 Forutsetninger'!$E$25)*(PI())/(2100-'1.2 Forutsetninger'!$E$25))+1)/2),0))</f>
        <v>5.0000000000000001E-3</v>
      </c>
      <c r="AY84" s="417">
        <f>IF(AY65&lt;'1.2 Forutsetninger'!$E$25,Fremtidig_Reallønnsvekst,IF(AY65&lt;2100,(Fremtidig_Reallønnsvekst*(COS((AY65-'1.2 Forutsetninger'!$E$25)*(PI())/(2100-'1.2 Forutsetninger'!$E$25))+1)/2),0))</f>
        <v>5.0000000000000001E-3</v>
      </c>
      <c r="AZ84" s="417">
        <f>IF(AZ65&lt;'1.2 Forutsetninger'!$E$25,Fremtidig_Reallønnsvekst,IF(AZ65&lt;2100,(Fremtidig_Reallønnsvekst*(COS((AZ65-'1.2 Forutsetninger'!$E$25)*(PI())/(2100-'1.2 Forutsetninger'!$E$25))+1)/2),0))</f>
        <v>5.0000000000000001E-3</v>
      </c>
      <c r="BA84" s="417">
        <f>IF(BA65&lt;'1.2 Forutsetninger'!$E$25,Fremtidig_Reallønnsvekst,IF(BA65&lt;2100,(Fremtidig_Reallønnsvekst*(COS((BA65-'1.2 Forutsetninger'!$E$25)*(PI())/(2100-'1.2 Forutsetninger'!$E$25))+1)/2),0))</f>
        <v>5.0000000000000001E-3</v>
      </c>
      <c r="BB84" s="417">
        <f>IF(BB65&lt;'1.2 Forutsetninger'!$E$25,Fremtidig_Reallønnsvekst,IF(BB65&lt;2100,(Fremtidig_Reallønnsvekst*(COS((BB65-'1.2 Forutsetninger'!$E$25)*(PI())/(2100-'1.2 Forutsetninger'!$E$25))+1)/2),0))</f>
        <v>5.0000000000000001E-3</v>
      </c>
      <c r="BC84" s="417">
        <f>IF(BC65&lt;'1.2 Forutsetninger'!$E$25,Fremtidig_Reallønnsvekst,IF(BC65&lt;2100,(Fremtidig_Reallønnsvekst*(COS((BC65-'1.2 Forutsetninger'!$E$25)*(PI())/(2100-'1.2 Forutsetninger'!$E$25))+1)/2),0))</f>
        <v>5.0000000000000001E-3</v>
      </c>
      <c r="BD84" s="417">
        <f>IF(BD65&lt;'1.2 Forutsetninger'!$E$25,Fremtidig_Reallønnsvekst,IF(BD65&lt;2100,(Fremtidig_Reallønnsvekst*(COS((BD65-'1.2 Forutsetninger'!$E$25)*(PI())/(2100-'1.2 Forutsetninger'!$E$25))+1)/2),0))</f>
        <v>5.0000000000000001E-3</v>
      </c>
      <c r="BE84" s="417">
        <f>IF(BE65&lt;'1.2 Forutsetninger'!$E$25,Fremtidig_Reallønnsvekst,IF(BE65&lt;2100,(Fremtidig_Reallønnsvekst*(COS((BE65-'1.2 Forutsetninger'!$E$25)*(PI())/(2100-'1.2 Forutsetninger'!$E$25))+1)/2),0))</f>
        <v>5.0000000000000001E-3</v>
      </c>
      <c r="BF84" s="417">
        <f>IF(BF65&lt;'1.2 Forutsetninger'!$E$25,Fremtidig_Reallønnsvekst,IF(BF65&lt;2100,(Fremtidig_Reallønnsvekst*(COS((BF65-'1.2 Forutsetninger'!$E$25)*(PI())/(2100-'1.2 Forutsetninger'!$E$25))+1)/2),0))</f>
        <v>5.0000000000000001E-3</v>
      </c>
      <c r="BG84" s="417">
        <f>IF(BG65&lt;'1.2 Forutsetninger'!$E$25,Fremtidig_Reallønnsvekst,IF(BG65&lt;2100,(Fremtidig_Reallønnsvekst*(COS((BG65-'1.2 Forutsetninger'!$E$25)*(PI())/(2100-'1.2 Forutsetninger'!$E$25))+1)/2),0))</f>
        <v>5.0000000000000001E-3</v>
      </c>
      <c r="BH84" s="417">
        <f>IF(BH65&lt;'1.2 Forutsetninger'!$E$25,Fremtidig_Reallønnsvekst,IF(BH65&lt;2100,(Fremtidig_Reallønnsvekst*(COS((BH65-'1.2 Forutsetninger'!$E$25)*(PI())/(2100-'1.2 Forutsetninger'!$E$25))+1)/2),0))</f>
        <v>5.0000000000000001E-3</v>
      </c>
      <c r="BI84" s="417">
        <f>IF(BI65&lt;'1.2 Forutsetninger'!$E$25,Fremtidig_Reallønnsvekst,IF(BI65&lt;2100,(Fremtidig_Reallønnsvekst*(COS((BI65-'1.2 Forutsetninger'!$E$25)*(PI())/(2100-'1.2 Forutsetninger'!$E$25))+1)/2),0))</f>
        <v>5.0000000000000001E-3</v>
      </c>
      <c r="BJ84" s="417">
        <f>IF(BJ65&lt;'1.2 Forutsetninger'!$E$25,Fremtidig_Reallønnsvekst,IF(BJ65&lt;2100,(Fremtidig_Reallønnsvekst*(COS((BJ65-'1.2 Forutsetninger'!$E$25)*(PI())/(2100-'1.2 Forutsetninger'!$E$25))+1)/2),0))</f>
        <v>5.0000000000000001E-3</v>
      </c>
      <c r="BK84" s="417">
        <f>IF(BK65&lt;'1.2 Forutsetninger'!$E$25,Fremtidig_Reallønnsvekst,IF(BK65&lt;2100,(Fremtidig_Reallønnsvekst*(COS((BK65-'1.2 Forutsetninger'!$E$25)*(PI())/(2100-'1.2 Forutsetninger'!$E$25))+1)/2),0))</f>
        <v>5.0000000000000001E-3</v>
      </c>
      <c r="BL84" s="417">
        <f>IF(BL65&lt;'1.2 Forutsetninger'!$E$25,Fremtidig_Reallønnsvekst,IF(BL65&lt;2100,(Fremtidig_Reallønnsvekst*(COS((BL65-'1.2 Forutsetninger'!$E$25)*(PI())/(2100-'1.2 Forutsetninger'!$E$25))+1)/2),0))</f>
        <v>5.0000000000000001E-3</v>
      </c>
      <c r="BM84" s="417">
        <f>IF(BM65&lt;'1.2 Forutsetninger'!$E$25,Fremtidig_Reallønnsvekst,IF(BM65&lt;2100,(Fremtidig_Reallønnsvekst*(COS((BM65-'1.2 Forutsetninger'!$E$25)*(PI())/(2100-'1.2 Forutsetninger'!$E$25))+1)/2),0))</f>
        <v>5.0000000000000001E-3</v>
      </c>
      <c r="BN84" s="417">
        <f>IF(BN65&lt;'1.2 Forutsetninger'!$E$25,Fremtidig_Reallønnsvekst,IF(BN65&lt;2100,(Fremtidig_Reallønnsvekst*(COS((BN65-'1.2 Forutsetninger'!$E$25)*(PI())/(2100-'1.2 Forutsetninger'!$E$25))+1)/2),0))</f>
        <v>5.0000000000000001E-3</v>
      </c>
      <c r="BO84" s="417">
        <f>IF(BO65&lt;'1.2 Forutsetninger'!$E$25,Fremtidig_Reallønnsvekst,IF(BO65&lt;2100,(Fremtidig_Reallønnsvekst*(COS((BO65-'1.2 Forutsetninger'!$E$25)*(PI())/(2100-'1.2 Forutsetninger'!$E$25))+1)/2),0))</f>
        <v>5.0000000000000001E-3</v>
      </c>
      <c r="BP84" s="417">
        <f>IF(BP65&lt;'1.2 Forutsetninger'!$E$25,Fremtidig_Reallønnsvekst,IF(BP65&lt;2100,(Fremtidig_Reallønnsvekst*(COS((BP65-'1.2 Forutsetninger'!$E$25)*(PI())/(2100-'1.2 Forutsetninger'!$E$25))+1)/2),0))</f>
        <v>5.0000000000000001E-3</v>
      </c>
      <c r="BQ84" s="417">
        <f>IF(BQ65&lt;'1.2 Forutsetninger'!$E$25,Fremtidig_Reallønnsvekst,IF(BQ65&lt;2100,(Fremtidig_Reallønnsvekst*(COS((BQ65-'1.2 Forutsetninger'!$E$25)*(PI())/(2100-'1.2 Forutsetninger'!$E$25))+1)/2),0))</f>
        <v>5.0000000000000001E-3</v>
      </c>
      <c r="BR84" s="417">
        <f>IF(BR65&lt;'1.2 Forutsetninger'!$E$25,Fremtidig_Reallønnsvekst,IF(BR65&lt;2100,(Fremtidig_Reallønnsvekst*(COS((BR65-'1.2 Forutsetninger'!$E$25)*(PI())/(2100-'1.2 Forutsetninger'!$E$25))+1)/2),0))</f>
        <v>5.0000000000000001E-3</v>
      </c>
      <c r="BS84" s="417">
        <f>IF(BS65&lt;'1.2 Forutsetninger'!$E$25,Fremtidig_Reallønnsvekst,IF(BS65&lt;2100,(Fremtidig_Reallønnsvekst*(COS((BS65-'1.2 Forutsetninger'!$E$25)*(PI())/(2100-'1.2 Forutsetninger'!$E$25))+1)/2),0))</f>
        <v>5.0000000000000001E-3</v>
      </c>
      <c r="BT84" s="417">
        <f>IF(BT65&lt;'1.2 Forutsetninger'!$E$25,Fremtidig_Reallønnsvekst,IF(BT65&lt;2100,(Fremtidig_Reallønnsvekst*(COS((BT65-'1.2 Forutsetninger'!$E$25)*(PI())/(2100-'1.2 Forutsetninger'!$E$25))+1)/2),0))</f>
        <v>5.0000000000000001E-3</v>
      </c>
      <c r="BU84" s="417">
        <f>IF(BU65&lt;'1.2 Forutsetninger'!$E$25,Fremtidig_Reallønnsvekst,IF(BU65&lt;2100,(Fremtidig_Reallønnsvekst*(COS((BU65-'1.2 Forutsetninger'!$E$25)*(PI())/(2100-'1.2 Forutsetninger'!$E$25))+1)/2),0))</f>
        <v>5.0000000000000001E-3</v>
      </c>
      <c r="BV84" s="417">
        <f>IF(BV65&lt;'1.2 Forutsetninger'!$E$25,Fremtidig_Reallønnsvekst,IF(BV65&lt;2100,(Fremtidig_Reallønnsvekst*(COS((BV65-'1.2 Forutsetninger'!$E$25)*(PI())/(2100-'1.2 Forutsetninger'!$E$25))+1)/2),0))</f>
        <v>5.0000000000000001E-3</v>
      </c>
      <c r="BW84" s="417">
        <f>IF(BW65&lt;'1.2 Forutsetninger'!$E$25,Fremtidig_Reallønnsvekst,IF(BW65&lt;2100,(Fremtidig_Reallønnsvekst*(COS((BW65-'1.2 Forutsetninger'!$E$25)*(PI())/(2100-'1.2 Forutsetninger'!$E$25))+1)/2),0))</f>
        <v>4.9918932703355255E-3</v>
      </c>
      <c r="BX84" s="417">
        <f>IF(BX65&lt;'1.2 Forutsetninger'!$E$25,Fremtidig_Reallønnsvekst,IF(BX65&lt;2100,(Fremtidig_Reallønnsvekst*(COS((BX65-'1.2 Forutsetninger'!$E$25)*(PI())/(2100-'1.2 Forutsetninger'!$E$25))+1)/2),0))</f>
        <v>4.9676256565947818E-3</v>
      </c>
      <c r="BY84" s="417">
        <f>IF(BY65&lt;'1.2 Forutsetninger'!$E$25,Fremtidig_Reallønnsvekst,IF(BY65&lt;2100,(Fremtidig_Reallønnsvekst*(COS((BY65-'1.2 Forutsetninger'!$E$25)*(PI())/(2100-'1.2 Forutsetninger'!$E$25))+1)/2),0))</f>
        <v>4.9273545435651305E-3</v>
      </c>
      <c r="BZ84" s="417">
        <f>IF(BZ65&lt;'1.2 Forutsetninger'!$E$25,Fremtidig_Reallønnsvekst,IF(BZ65&lt;2100,(Fremtidig_Reallønnsvekst*(COS((BZ65-'1.2 Forutsetninger'!$E$25)*(PI())/(2100-'1.2 Forutsetninger'!$E$25))+1)/2),0))</f>
        <v>4.8713411048678639E-3</v>
      </c>
      <c r="CA84" s="417">
        <f>IF(CA65&lt;'1.2 Forutsetninger'!$E$25,Fremtidig_Reallønnsvekst,IF(CA65&lt;2100,(Fremtidig_Reallønnsvekst*(COS((CA65-'1.2 Forutsetninger'!$E$25)*(PI())/(2100-'1.2 Forutsetninger'!$E$25))+1)/2),0))</f>
        <v>4.799948609147061E-3</v>
      </c>
      <c r="CB84" s="417">
        <f>IF(CB65&lt;'1.2 Forutsetninger'!$E$25,Fremtidig_Reallønnsvekst,IF(CB65&lt;2100,(Fremtidig_Reallønnsvekst*(COS((CB65-'1.2 Forutsetninger'!$E$25)*(PI())/(2100-'1.2 Forutsetninger'!$E$25))+1)/2),0))</f>
        <v>4.7136400641330243E-3</v>
      </c>
      <c r="CC84" s="417">
        <f>IF(CC65&lt;'1.2 Forutsetninger'!$E$25,Fremtidig_Reallønnsvekst,IF(CC65&lt;2100,(Fremtidig_Reallønnsvekst*(COS((CC65-'1.2 Forutsetninger'!$E$25)*(PI())/(2100-'1.2 Forutsetninger'!$E$25))+1)/2),0))</f>
        <v>4.6129752138594875E-3</v>
      </c>
      <c r="CD84" s="417">
        <f>IF(CD65&lt;'1.2 Forutsetninger'!$E$25,Fremtidig_Reallønnsvekst,IF(CD65&lt;2100,(Fremtidig_Reallønnsvekst*(COS((CD65-'1.2 Forutsetninger'!$E$25)*(PI())/(2100-'1.2 Forutsetninger'!$E$25))+1)/2),0))</f>
        <v>4.4986069085087531E-3</v>
      </c>
      <c r="CE84" s="417">
        <f>IF(CE65&lt;'1.2 Forutsetninger'!$E$25,Fremtidig_Reallønnsvekst,IF(CE65&lt;2100,(Fremtidig_Reallønnsvekst*(COS((CE65-'1.2 Forutsetninger'!$E$25)*(PI())/(2100-'1.2 Forutsetninger'!$E$25))+1)/2),0))</f>
        <v>4.3712768704277528E-3</v>
      </c>
      <c r="CF84" s="417">
        <f>IF(CF65&lt;'1.2 Forutsetninger'!$E$25,Fremtidig_Reallønnsvekst,IF(CF65&lt;2100,(Fremtidig_Reallønnsvekst*(COS((CF65-'1.2 Forutsetninger'!$E$25)*(PI())/(2100-'1.2 Forutsetninger'!$E$25))+1)/2),0))</f>
        <v>4.2318108837739992E-3</v>
      </c>
      <c r="CG84" s="417">
        <f>IF(CG65&lt;'1.2 Forutsetninger'!$E$25,Fremtidig_Reallønnsvekst,IF(CG65&lt;2100,(Fremtidig_Reallønnsvekst*(COS((CG65-'1.2 Forutsetninger'!$E$25)*(PI())/(2100-'1.2 Forutsetninger'!$E$25))+1)/2),0))</f>
        <v>4.0811134389884436E-3</v>
      </c>
      <c r="CH84" s="417">
        <f>IF(CH65&lt;'1.2 Forutsetninger'!$E$25,Fremtidig_Reallønnsvekst,IF(CH65&lt;2100,(Fremtidig_Reallønnsvekst*(COS((CH65-'1.2 Forutsetninger'!$E$25)*(PI())/(2100-'1.2 Forutsetninger'!$E$25))+1)/2),0))</f>
        <v>3.92016186682789E-3</v>
      </c>
      <c r="CI84" s="417">
        <f>IF(CI65&lt;'1.2 Forutsetninger'!$E$25,Fremtidig_Reallønnsvekst,IF(CI65&lt;2100,(Fremtidig_Reallønnsvekst*(COS((CI65-'1.2 Forutsetninger'!$E$25)*(PI())/(2100-'1.2 Forutsetninger'!$E$25))+1)/2),0))</f>
        <v>3.7499999999999999E-3</v>
      </c>
      <c r="CJ84" s="417">
        <f>IF(CJ65&lt;'1.2 Forutsetninger'!$E$25,Fremtidig_Reallønnsvekst,IF(CJ65&lt;2100,(Fremtidig_Reallønnsvekst*(COS((CJ65-'1.2 Forutsetninger'!$E$25)*(PI())/(2100-'1.2 Forutsetninger'!$E$25))+1)/2),0))</f>
        <v>3.5717314035076352E-3</v>
      </c>
      <c r="CK84" s="417">
        <f>IF(CK65&lt;'1.2 Forutsetninger'!$E$25,Fremtidig_Reallønnsvekst,IF(CK65&lt;2100,(Fremtidig_Reallønnsvekst*(COS((CK65-'1.2 Forutsetninger'!$E$25)*(PI())/(2100-'1.2 Forutsetninger'!$E$25))+1)/2),0))</f>
        <v>3.3865122176063396E-3</v>
      </c>
      <c r="CL84" s="417">
        <f>IF(CL65&lt;'1.2 Forutsetninger'!$E$25,Fremtidig_Reallønnsvekst,IF(CL65&lt;2100,(Fremtidig_Reallønnsvekst*(COS((CL65-'1.2 Forutsetninger'!$E$25)*(PI())/(2100-'1.2 Forutsetninger'!$E$25))+1)/2),0))</f>
        <v>3.1955436597911318E-3</v>
      </c>
      <c r="CM84" s="417">
        <f>IF(CM65&lt;'1.2 Forutsetninger'!$E$25,Fremtidig_Reallønnsvekst,IF(CM65&lt;2100,(Fremtidig_Reallønnsvekst*(COS((CM65-'1.2 Forutsetninger'!$E$25)*(PI())/(2100-'1.2 Forutsetninger'!$E$25))+1)/2),0))</f>
        <v>3.0000642344401112E-3</v>
      </c>
      <c r="CN84" s="417">
        <f>IF(CN65&lt;'1.2 Forutsetninger'!$E$25,Fremtidig_Reallønnsvekst,IF(CN65&lt;2100,(Fremtidig_Reallønnsvekst*(COS((CN65-'1.2 Forutsetninger'!$E$25)*(PI())/(2100-'1.2 Forutsetninger'!$E$25))+1)/2),0))</f>
        <v>2.8013417006383075E-3</v>
      </c>
      <c r="CO84" s="417">
        <f>IF(CO65&lt;'1.2 Forutsetninger'!$E$25,Fremtidig_Reallønnsvekst,IF(CO65&lt;2100,(Fremtidig_Reallønnsvekst*(COS((CO65-'1.2 Forutsetninger'!$E$25)*(PI())/(2100-'1.2 Forutsetninger'!$E$25))+1)/2),0))</f>
        <v>2.6006648502735381E-3</v>
      </c>
      <c r="CP84" s="417">
        <f>IF(CP65&lt;'1.2 Forutsetninger'!$E$25,Fremtidig_Reallønnsvekst,IF(CP65&lt;2100,(Fremtidig_Reallønnsvekst*(COS((CP65-'1.2 Forutsetninger'!$E$25)*(PI())/(2100-'1.2 Forutsetninger'!$E$25))+1)/2),0))</f>
        <v>2.3993351497264624E-3</v>
      </c>
      <c r="CQ84" s="417">
        <f>IF(CQ65&lt;'1.2 Forutsetninger'!$E$25,Fremtidig_Reallønnsvekst,IF(CQ65&lt;2100,(Fremtidig_Reallønnsvekst*(COS((CQ65-'1.2 Forutsetninger'!$E$25)*(PI())/(2100-'1.2 Forutsetninger'!$E$25))+1)/2),0))</f>
        <v>2.1986582993616922E-3</v>
      </c>
      <c r="CR84" s="417">
        <f>IF(CR65&lt;'1.2 Forutsetninger'!$E$25,Fremtidig_Reallønnsvekst,IF(CR65&lt;2100,(Fremtidig_Reallønnsvekst*(COS((CR65-'1.2 Forutsetninger'!$E$25)*(PI())/(2100-'1.2 Forutsetninger'!$E$25))+1)/2),0))</f>
        <v>1.9999357655598898E-3</v>
      </c>
      <c r="CS84" s="417">
        <f>IF(CS65&lt;'1.2 Forutsetninger'!$E$25,Fremtidig_Reallønnsvekst,IF(CS65&lt;2100,(Fremtidig_Reallønnsvekst*(COS((CS65-'1.2 Forutsetninger'!$E$25)*(PI())/(2100-'1.2 Forutsetninger'!$E$25))+1)/2),0))</f>
        <v>1.804456340208869E-3</v>
      </c>
      <c r="CT84" s="417">
        <f>IF(CT65&lt;'1.2 Forutsetninger'!$E$25,Fremtidig_Reallønnsvekst,IF(CT65&lt;2100,(Fremtidig_Reallønnsvekst*(COS((CT65-'1.2 Forutsetninger'!$E$25)*(PI())/(2100-'1.2 Forutsetninger'!$E$25))+1)/2),0))</f>
        <v>1.6134877823936614E-3</v>
      </c>
      <c r="CU84" s="417">
        <f>IF(CU65&lt;'1.2 Forutsetninger'!$E$25,Fremtidig_Reallønnsvekst,IF(CU65&lt;2100,(Fremtidig_Reallønnsvekst*(COS((CU65-'1.2 Forutsetninger'!$E$25)*(PI())/(2100-'1.2 Forutsetninger'!$E$25))+1)/2),0))</f>
        <v>1.4282685964923641E-3</v>
      </c>
      <c r="CV84" s="417">
        <f>IF(CV65&lt;'1.2 Forutsetninger'!$E$25,Fremtidig_Reallønnsvekst,IF(CV65&lt;2100,(Fremtidig_Reallønnsvekst*(COS((CV65-'1.2 Forutsetninger'!$E$25)*(PI())/(2100-'1.2 Forutsetninger'!$E$25))+1)/2),0))</f>
        <v>1.2499999999999994E-3</v>
      </c>
      <c r="CW84" s="417">
        <f>IF(CW65&lt;'1.2 Forutsetninger'!$E$25,Fremtidig_Reallønnsvekst,IF(CW65&lt;2100,(Fremtidig_Reallønnsvekst*(COS((CW65-'1.2 Forutsetninger'!$E$25)*(PI())/(2100-'1.2 Forutsetninger'!$E$25))+1)/2),0))</f>
        <v>1.0798381331721108E-3</v>
      </c>
      <c r="CX84" s="417">
        <f>IF(CX65&lt;'1.2 Forutsetninger'!$E$25,Fremtidig_Reallønnsvekst,IF(CX65&lt;2100,(Fremtidig_Reallønnsvekst*(COS((CX65-'1.2 Forutsetninger'!$E$25)*(PI())/(2100-'1.2 Forutsetninger'!$E$25))+1)/2),0))</f>
        <v>9.1888656101155714E-4</v>
      </c>
      <c r="CY84" s="417">
        <f>IF(CY65&lt;'1.2 Forutsetninger'!$E$25,Fremtidig_Reallønnsvekst,IF(CY65&lt;2100,(Fremtidig_Reallønnsvekst*(COS((CY65-'1.2 Forutsetninger'!$E$25)*(PI())/(2100-'1.2 Forutsetninger'!$E$25))+1)/2),0))</f>
        <v>7.6818911622600155E-4</v>
      </c>
      <c r="CZ84" s="417">
        <f>IF(CZ65&lt;'1.2 Forutsetninger'!$E$25,Fremtidig_Reallønnsvekst,IF(CZ65&lt;2100,(Fremtidig_Reallønnsvekst*(COS((CZ65-'1.2 Forutsetninger'!$E$25)*(PI())/(2100-'1.2 Forutsetninger'!$E$25))+1)/2),0))</f>
        <v>6.2872312957224787E-4</v>
      </c>
      <c r="DA84" s="417">
        <f>IF(DA65&lt;'1.2 Forutsetninger'!$E$25,Fremtidig_Reallønnsvekst,IF(DA65&lt;2100,(Fremtidig_Reallønnsvekst*(COS((DA65-'1.2 Forutsetninger'!$E$25)*(PI())/(2100-'1.2 Forutsetninger'!$E$25))+1)/2),0))</f>
        <v>5.0139309149124767E-4</v>
      </c>
      <c r="DB84" s="417">
        <f>IF(DB65&lt;'1.2 Forutsetninger'!$E$25,Fremtidig_Reallønnsvekst,IF(DB65&lt;2100,(Fremtidig_Reallønnsvekst*(COS((DB65-'1.2 Forutsetninger'!$E$25)*(PI())/(2100-'1.2 Forutsetninger'!$E$25))+1)/2),0))</f>
        <v>3.870247861405135E-4</v>
      </c>
      <c r="DC84" s="417">
        <f>IF(DC65&lt;'1.2 Forutsetninger'!$E$25,Fremtidig_Reallønnsvekst,IF(DC65&lt;2100,(Fremtidig_Reallønnsvekst*(COS((DC65-'1.2 Forutsetninger'!$E$25)*(PI())/(2100-'1.2 Forutsetninger'!$E$25))+1)/2),0))</f>
        <v>2.8635993586697552E-4</v>
      </c>
      <c r="DD84" s="417">
        <f>IF(DD65&lt;'1.2 Forutsetninger'!$E$25,Fremtidig_Reallønnsvekst,IF(DD65&lt;2100,(Fremtidig_Reallønnsvekst*(COS((DD65-'1.2 Forutsetninger'!$E$25)*(PI())/(2100-'1.2 Forutsetninger'!$E$25))+1)/2),0))</f>
        <v>2.0005139085293945E-4</v>
      </c>
      <c r="DE84" s="417">
        <f>IF(DE65&lt;'1.2 Forutsetninger'!$E$25,Fremtidig_Reallønnsvekst,IF(DE65&lt;2100,(Fremtidig_Reallønnsvekst*(COS((DE65-'1.2 Forutsetninger'!$E$25)*(PI())/(2100-'1.2 Forutsetninger'!$E$25))+1)/2),0))</f>
        <v>1.286588951321363E-4</v>
      </c>
      <c r="DF84" s="417">
        <f>IF(DF65&lt;'1.2 Forutsetninger'!$E$25,Fremtidig_Reallønnsvekst,IF(DF65&lt;2100,(Fremtidig_Reallønnsvekst*(COS((DF65-'1.2 Forutsetninger'!$E$25)*(PI())/(2100-'1.2 Forutsetninger'!$E$25))+1)/2),0))</f>
        <v>7.2645456434869968E-5</v>
      </c>
      <c r="DG84" s="417">
        <f>IF(DG65&lt;'1.2 Forutsetninger'!$E$25,Fremtidig_Reallønnsvekst,IF(DG65&lt;2100,(Fremtidig_Reallønnsvekst*(COS((DG65-'1.2 Forutsetninger'!$E$25)*(PI())/(2100-'1.2 Forutsetninger'!$E$25))+1)/2),0))</f>
        <v>3.2374343405217889E-5</v>
      </c>
      <c r="DH84" s="417">
        <f>IF(DH65&lt;'1.2 Forutsetninger'!$E$25,Fremtidig_Reallønnsvekst,IF(DH65&lt;2100,(Fremtidig_Reallønnsvekst*(COS((DH65-'1.2 Forutsetninger'!$E$25)*(PI())/(2100-'1.2 Forutsetninger'!$E$25))+1)/2),0))</f>
        <v>8.106729664475176E-6</v>
      </c>
      <c r="DI84" s="417">
        <f>IF(DI65&lt;'1.2 Forutsetninger'!$E$25,Fremtidig_Reallønnsvekst,IF(DI65&lt;2100,(Fremtidig_Reallønnsvekst*(COS((DI65-'1.2 Forutsetninger'!$E$25)*(PI())/(2100-'1.2 Forutsetninger'!$E$25))+1)/2),0))</f>
        <v>0</v>
      </c>
      <c r="DJ84" s="417">
        <f>IF(DJ65&lt;'1.2 Forutsetninger'!$E$25,Fremtidig_Reallønnsvekst,IF(DJ65&lt;2100,(Fremtidig_Reallønnsvekst*(COS((DJ65-'1.2 Forutsetninger'!$E$25)*(PI())/(2100-'1.2 Forutsetninger'!$E$25))+1)/2),0))</f>
        <v>0</v>
      </c>
      <c r="DK84" s="417">
        <f>IF(DK65&lt;'1.2 Forutsetninger'!$E$25,Fremtidig_Reallønnsvekst,IF(DK65&lt;2100,(Fremtidig_Reallønnsvekst*(COS((DK65-'1.2 Forutsetninger'!$E$25)*(PI())/(2100-'1.2 Forutsetninger'!$E$25))+1)/2),0))</f>
        <v>0</v>
      </c>
      <c r="DL84" s="417">
        <f>IF(DL65&lt;'1.2 Forutsetninger'!$E$25,Fremtidig_Reallønnsvekst,IF(DL65&lt;2100,(Fremtidig_Reallønnsvekst*(COS((DL65-'1.2 Forutsetninger'!$E$25)*(PI())/(2100-'1.2 Forutsetninger'!$E$25))+1)/2),0))</f>
        <v>0</v>
      </c>
      <c r="DM84" s="417">
        <f>IF(DM65&lt;'1.2 Forutsetninger'!$E$25,Fremtidig_Reallønnsvekst,IF(DM65&lt;2100,(Fremtidig_Reallønnsvekst*(COS((DM65-'1.2 Forutsetninger'!$E$25)*(PI())/(2100-'1.2 Forutsetninger'!$E$25))+1)/2),0))</f>
        <v>0</v>
      </c>
      <c r="DN84" s="417">
        <f>IF(DN65&lt;'1.2 Forutsetninger'!$E$25,Fremtidig_Reallønnsvekst,IF(DN65&lt;2100,(Fremtidig_Reallønnsvekst*(COS((DN65-'1.2 Forutsetninger'!$E$25)*(PI())/(2100-'1.2 Forutsetninger'!$E$25))+1)/2),0))</f>
        <v>0</v>
      </c>
      <c r="DO84" s="417">
        <f>IF(DO65&lt;'1.2 Forutsetninger'!$E$25,Fremtidig_Reallønnsvekst,IF(DO65&lt;2100,(Fremtidig_Reallønnsvekst*(COS((DO65-'1.2 Forutsetninger'!$E$25)*(PI())/(2100-'1.2 Forutsetninger'!$E$25))+1)/2),0))</f>
        <v>0</v>
      </c>
      <c r="DP84" s="417">
        <f>IF(DP65&lt;'1.2 Forutsetninger'!$E$25,Fremtidig_Reallønnsvekst,IF(DP65&lt;2100,(Fremtidig_Reallønnsvekst*(COS((DP65-'1.2 Forutsetninger'!$E$25)*(PI())/(2100-'1.2 Forutsetninger'!$E$25))+1)/2),0))</f>
        <v>0</v>
      </c>
      <c r="DQ84" s="1132">
        <f>IF(DQ65&lt;'1.2 Forutsetninger'!$E$25,Fremtidig_Reallønnsvekst,IF(DQ65&lt;2100,(Fremtidig_Reallønnsvekst*(COS((DQ65-'1.2 Forutsetninger'!$E$25)*(PI())/(2100-'1.2 Forutsetninger'!$E$25))+1)/2),0))</f>
        <v>0</v>
      </c>
      <c r="DR84" s="1132">
        <f>IF(DR65&lt;'1.2 Forutsetninger'!$E$25,Fremtidig_Reallønnsvekst,IF(DR65&lt;2100,(Fremtidig_Reallønnsvekst*(COS((DR65-'1.2 Forutsetninger'!$E$25)*(PI())/(2100-'1.2 Forutsetninger'!$E$25))+1)/2),0))</f>
        <v>0</v>
      </c>
      <c r="DS84" s="1132">
        <f>IF(DS65&lt;'1.2 Forutsetninger'!$E$25,Fremtidig_Reallønnsvekst,IF(DS65&lt;2100,(Fremtidig_Reallønnsvekst*(COS((DS65-'1.2 Forutsetninger'!$E$25)*(PI())/(2100-'1.2 Forutsetninger'!$E$25))+1)/2),0))</f>
        <v>0</v>
      </c>
      <c r="DT84" s="1132">
        <f>IF(DT65&lt;'1.2 Forutsetninger'!$E$25,Fremtidig_Reallønnsvekst,IF(DT65&lt;2100,(Fremtidig_Reallønnsvekst*(COS((DT65-'1.2 Forutsetninger'!$E$25)*(PI())/(2100-'1.2 Forutsetninger'!$E$25))+1)/2),0))</f>
        <v>0</v>
      </c>
      <c r="DU84" s="1132">
        <f>IF(DU65&lt;'1.2 Forutsetninger'!$E$25,Fremtidig_Reallønnsvekst,IF(DU65&lt;2100,(Fremtidig_Reallønnsvekst*(COS((DU65-'1.2 Forutsetninger'!$E$25)*(PI())/(2100-'1.2 Forutsetninger'!$E$25))+1)/2),0))</f>
        <v>0</v>
      </c>
      <c r="DV84" s="1132">
        <f>IF(DV65&lt;'1.2 Forutsetninger'!$E$25,Fremtidig_Reallønnsvekst,IF(DV65&lt;2100,(Fremtidig_Reallønnsvekst*(COS((DV65-'1.2 Forutsetninger'!$E$25)*(PI())/(2100-'1.2 Forutsetninger'!$E$25))+1)/2),0))</f>
        <v>0</v>
      </c>
      <c r="DW84" s="1132">
        <f>IF(DW65&lt;'1.2 Forutsetninger'!$E$25,Fremtidig_Reallønnsvekst,IF(DW65&lt;2100,(Fremtidig_Reallønnsvekst*(COS((DW65-'1.2 Forutsetninger'!$E$25)*(PI())/(2100-'1.2 Forutsetninger'!$E$25))+1)/2),0))</f>
        <v>0</v>
      </c>
      <c r="DX84" s="1132">
        <f>IF(DX65&lt;'1.2 Forutsetninger'!$E$25,Fremtidig_Reallønnsvekst,IF(DX65&lt;2100,(Fremtidig_Reallønnsvekst*(COS((DX65-'1.2 Forutsetninger'!$E$25)*(PI())/(2100-'1.2 Forutsetninger'!$E$25))+1)/2),0))</f>
        <v>0</v>
      </c>
      <c r="DY84" s="1132">
        <f>IF(DY65&lt;'1.2 Forutsetninger'!$E$25,Fremtidig_Reallønnsvekst,IF(DY65&lt;2100,(Fremtidig_Reallønnsvekst*(COS((DY65-'1.2 Forutsetninger'!$E$25)*(PI())/(2100-'1.2 Forutsetninger'!$E$25))+1)/2),0))</f>
        <v>0</v>
      </c>
      <c r="DZ84" s="1132">
        <f>IF(DZ65&lt;'1.2 Forutsetninger'!$E$25,Fremtidig_Reallønnsvekst,IF(DZ65&lt;2100,(Fremtidig_Reallønnsvekst*(COS((DZ65-'1.2 Forutsetninger'!$E$25)*(PI())/(2100-'1.2 Forutsetninger'!$E$25))+1)/2),0))</f>
        <v>0</v>
      </c>
      <c r="EA84" s="1132">
        <f>IF(EA65&lt;'1.2 Forutsetninger'!$E$25,Fremtidig_Reallønnsvekst,IF(EA65&lt;2100,(Fremtidig_Reallønnsvekst*(COS((EA65-'1.2 Forutsetninger'!$E$25)*(PI())/(2100-'1.2 Forutsetninger'!$E$25))+1)/2),0))</f>
        <v>0</v>
      </c>
      <c r="EB84" s="1132">
        <f>IF(EB65&lt;'1.2 Forutsetninger'!$E$25,Fremtidig_Reallønnsvekst,IF(EB65&lt;2100,(Fremtidig_Reallønnsvekst*(COS((EB65-'1.2 Forutsetninger'!$E$25)*(PI())/(2100-'1.2 Forutsetninger'!$E$25))+1)/2),0))</f>
        <v>0</v>
      </c>
      <c r="EC84" s="1132">
        <f>IF(EC65&lt;'1.2 Forutsetninger'!$E$25,Fremtidig_Reallønnsvekst,IF(EC65&lt;2100,(Fremtidig_Reallønnsvekst*(COS((EC65-'1.2 Forutsetninger'!$E$25)*(PI())/(2100-'1.2 Forutsetninger'!$E$25))+1)/2),0))</f>
        <v>0</v>
      </c>
      <c r="ED84" s="1132">
        <f>IF(ED65&lt;'1.2 Forutsetninger'!$E$25,Fremtidig_Reallønnsvekst,IF(ED65&lt;2100,(Fremtidig_Reallønnsvekst*(COS((ED65-'1.2 Forutsetninger'!$E$25)*(PI())/(2100-'1.2 Forutsetninger'!$E$25))+1)/2),0))</f>
        <v>0</v>
      </c>
      <c r="EE84" s="1132">
        <f>IF(EE65&lt;'1.2 Forutsetninger'!$E$25,Fremtidig_Reallønnsvekst,IF(EE65&lt;2100,(Fremtidig_Reallønnsvekst*(COS((EE65-'1.2 Forutsetninger'!$E$25)*(PI())/(2100-'1.2 Forutsetninger'!$E$25))+1)/2),0))</f>
        <v>0</v>
      </c>
      <c r="EF84" s="1132">
        <f>IF(EF65&lt;'1.2 Forutsetninger'!$E$25,Fremtidig_Reallønnsvekst,IF(EF65&lt;2100,(Fremtidig_Reallønnsvekst*(COS((EF65-'1.2 Forutsetninger'!$E$25)*(PI())/(2100-'1.2 Forutsetninger'!$E$25))+1)/2),0))</f>
        <v>0</v>
      </c>
      <c r="EG84" s="1132">
        <f>IF(EG65&lt;'1.2 Forutsetninger'!$E$25,Fremtidig_Reallønnsvekst,IF(EG65&lt;2100,(Fremtidig_Reallønnsvekst*(COS((EG65-'1.2 Forutsetninger'!$E$25)*(PI())/(2100-'1.2 Forutsetninger'!$E$25))+1)/2),0))</f>
        <v>0</v>
      </c>
      <c r="EH84" s="1132">
        <f>IF(EH65&lt;'1.2 Forutsetninger'!$E$25,Fremtidig_Reallønnsvekst,IF(EH65&lt;2100,(Fremtidig_Reallønnsvekst*(COS((EH65-'1.2 Forutsetninger'!$E$25)*(PI())/(2100-'1.2 Forutsetninger'!$E$25))+1)/2),0))</f>
        <v>0</v>
      </c>
      <c r="EI84" s="1132">
        <f>IF(EI65&lt;'1.2 Forutsetninger'!$E$25,Fremtidig_Reallønnsvekst,IF(EI65&lt;2100,(Fremtidig_Reallønnsvekst*(COS((EI65-'1.2 Forutsetninger'!$E$25)*(PI())/(2100-'1.2 Forutsetninger'!$E$25))+1)/2),0))</f>
        <v>0</v>
      </c>
      <c r="EJ84" s="1132">
        <f>IF(EJ65&lt;'1.2 Forutsetninger'!$E$25,Fremtidig_Reallønnsvekst,IF(EJ65&lt;2100,(Fremtidig_Reallønnsvekst*(COS((EJ65-'1.2 Forutsetninger'!$E$25)*(PI())/(2100-'1.2 Forutsetninger'!$E$25))+1)/2),0))</f>
        <v>0</v>
      </c>
      <c r="EK84" s="1132">
        <f>IF(EK65&lt;'1.2 Forutsetninger'!$E$25,Fremtidig_Reallønnsvekst,IF(EK65&lt;2100,(Fremtidig_Reallønnsvekst*(COS((EK65-'1.2 Forutsetninger'!$E$25)*(PI())/(2100-'1.2 Forutsetninger'!$E$25))+1)/2),0))</f>
        <v>0</v>
      </c>
      <c r="EL84" s="1132">
        <f>IF(EL65&lt;'1.2 Forutsetninger'!$E$25,Fremtidig_Reallønnsvekst,IF(EL65&lt;2100,(Fremtidig_Reallønnsvekst*(COS((EL65-'1.2 Forutsetninger'!$E$25)*(PI())/(2100-'1.2 Forutsetninger'!$E$25))+1)/2),0))</f>
        <v>0</v>
      </c>
      <c r="EM84" s="1132">
        <f>IF(EM65&lt;'1.2 Forutsetninger'!$E$25,Fremtidig_Reallønnsvekst,IF(EM65&lt;2100,(Fremtidig_Reallønnsvekst*(COS((EM65-'1.2 Forutsetninger'!$E$25)*(PI())/(2100-'1.2 Forutsetninger'!$E$25))+1)/2),0))</f>
        <v>0</v>
      </c>
      <c r="EN84" s="1132">
        <f>IF(EN65&lt;'1.2 Forutsetninger'!$E$25,Fremtidig_Reallønnsvekst,IF(EN65&lt;2100,(Fremtidig_Reallønnsvekst*(COS((EN65-'1.2 Forutsetninger'!$E$25)*(PI())/(2100-'1.2 Forutsetninger'!$E$25))+1)/2),0))</f>
        <v>0</v>
      </c>
      <c r="EO84" s="1145">
        <f>IF(EO65&lt;'1.2 Forutsetninger'!$E$25,Fremtidig_Reallønnsvekst,IF(EO65&lt;2100,(Fremtidig_Reallønnsvekst*(COS((EO65-'1.2 Forutsetninger'!$E$25)*(PI())/(2100-'1.2 Forutsetninger'!$E$25))+1)/2),0))</f>
        <v>0</v>
      </c>
    </row>
    <row r="85" spans="1:146" x14ac:dyDescent="0.35">
      <c r="A85" s="275" t="s">
        <v>1457</v>
      </c>
      <c r="B85" s="65" t="s">
        <v>1458</v>
      </c>
      <c r="C85" s="65" t="s">
        <v>1459</v>
      </c>
      <c r="D85" s="101">
        <v>45251</v>
      </c>
      <c r="E85" s="217" t="s">
        <v>173</v>
      </c>
      <c r="G85" s="218" t="s">
        <v>1460</v>
      </c>
      <c r="H85" s="65"/>
      <c r="I85" s="65"/>
      <c r="J85" s="65"/>
      <c r="K85" s="65"/>
      <c r="L85" s="65"/>
      <c r="M85" s="65"/>
      <c r="N85" s="65"/>
      <c r="O85" s="65"/>
      <c r="P85" s="65"/>
      <c r="Q85" s="65"/>
      <c r="R85" s="65"/>
      <c r="S85" s="65"/>
      <c r="T85" s="65"/>
      <c r="U85" s="65"/>
      <c r="V85" s="65"/>
      <c r="W85" s="65"/>
      <c r="X85" s="65"/>
      <c r="Y85" s="65"/>
      <c r="Z85" s="537"/>
      <c r="AA85" s="1153"/>
      <c r="AB85" s="1153"/>
      <c r="AC85" s="537"/>
      <c r="AD85" s="1179"/>
      <c r="AE85" s="417">
        <v>1.3700000000000045E-2</v>
      </c>
      <c r="AF85" s="417">
        <v>1.3700000000000045E-2</v>
      </c>
      <c r="AG85" s="417">
        <v>1.2699999999999999E-2</v>
      </c>
      <c r="AH85" s="417">
        <v>1.2699999999999999E-2</v>
      </c>
      <c r="AI85" s="417">
        <v>1.2699999999999999E-2</v>
      </c>
      <c r="AJ85" s="417">
        <v>1.2699999999999999E-2</v>
      </c>
      <c r="AK85" s="417">
        <v>1.2699999999999999E-2</v>
      </c>
      <c r="AL85" s="417">
        <v>1.2699999999999999E-2</v>
      </c>
      <c r="AM85" s="417">
        <v>1.2699999999999999E-2</v>
      </c>
      <c r="AN85" s="417">
        <v>1.2699999999999999E-2</v>
      </c>
      <c r="AO85" s="417">
        <v>1.2699999999999999E-2</v>
      </c>
      <c r="AP85" s="417">
        <v>1.2699999999999999E-2</v>
      </c>
      <c r="AQ85" s="417">
        <v>1.2699999999999999E-2</v>
      </c>
      <c r="AR85" s="417">
        <v>5.8999999999999999E-3</v>
      </c>
      <c r="AS85" s="417">
        <v>5.8999999999999999E-3</v>
      </c>
      <c r="AT85" s="417">
        <v>5.8999999999999999E-3</v>
      </c>
      <c r="AU85" s="417">
        <v>5.8999999999999999E-3</v>
      </c>
      <c r="AV85" s="417">
        <v>5.8999999999999999E-3</v>
      </c>
      <c r="AW85" s="417">
        <v>5.8999999999999999E-3</v>
      </c>
      <c r="AX85" s="417">
        <v>5.8999999999999999E-3</v>
      </c>
      <c r="AY85" s="417">
        <v>5.8999999999999999E-3</v>
      </c>
      <c r="AZ85" s="417">
        <v>5.8999999999999999E-3</v>
      </c>
      <c r="BA85" s="417">
        <v>5.8999999999999999E-3</v>
      </c>
      <c r="BB85" s="417">
        <v>5.8999999999999999E-3</v>
      </c>
      <c r="BC85" s="417">
        <v>5.8999999999999999E-3</v>
      </c>
      <c r="BD85" s="417">
        <v>5.8999999999999999E-3</v>
      </c>
      <c r="BE85" s="417">
        <v>5.8999999999999999E-3</v>
      </c>
      <c r="BF85" s="417">
        <v>5.8999999999999999E-3</v>
      </c>
      <c r="BG85" s="417">
        <v>5.8999999999999999E-3</v>
      </c>
      <c r="BH85" s="417">
        <v>5.8999999999999999E-3</v>
      </c>
      <c r="BI85" s="417">
        <v>5.8999999999999999E-3</v>
      </c>
      <c r="BJ85" s="417">
        <v>5.8999999999999999E-3</v>
      </c>
      <c r="BK85" s="417">
        <v>5.8999999999999999E-3</v>
      </c>
      <c r="BL85" s="417">
        <v>5.8999999999999999E-3</v>
      </c>
      <c r="BM85" s="417">
        <v>5.8999999999999999E-3</v>
      </c>
      <c r="BN85" s="417">
        <v>5.8999999999999999E-3</v>
      </c>
      <c r="BO85" s="417">
        <v>5.8999999999999999E-3</v>
      </c>
      <c r="BP85" s="417">
        <v>5.8999999999999999E-3</v>
      </c>
      <c r="BQ85" s="417">
        <v>5.8999999999999999E-3</v>
      </c>
      <c r="BR85" s="417">
        <v>5.8999999999999999E-3</v>
      </c>
      <c r="BS85" s="417">
        <v>5.8999999999999999E-3</v>
      </c>
      <c r="BT85" s="417">
        <v>5.8999999999999999E-3</v>
      </c>
      <c r="BU85" s="417">
        <v>5.8999999999999999E-3</v>
      </c>
      <c r="BV85" s="417">
        <v>5.7524999999999998E-3</v>
      </c>
      <c r="BW85" s="417">
        <v>5.6049999999999997E-3</v>
      </c>
      <c r="BX85" s="417">
        <v>5.4574999999999997E-3</v>
      </c>
      <c r="BY85" s="417">
        <v>5.3099999999999996E-3</v>
      </c>
      <c r="BZ85" s="417">
        <v>5.1624999999999996E-3</v>
      </c>
      <c r="CA85" s="417">
        <v>5.0149999999999995E-3</v>
      </c>
      <c r="CB85" s="417">
        <v>4.8674999999999994E-3</v>
      </c>
      <c r="CC85" s="417">
        <v>4.7199999999999994E-3</v>
      </c>
      <c r="CD85" s="417">
        <v>4.5724999999999993E-3</v>
      </c>
      <c r="CE85" s="417">
        <v>4.4249999999999992E-3</v>
      </c>
      <c r="CF85" s="417">
        <v>4.2774999999999992E-3</v>
      </c>
      <c r="CG85" s="417">
        <v>4.1299999999999991E-3</v>
      </c>
      <c r="CH85" s="417">
        <v>3.9824999999999991E-3</v>
      </c>
      <c r="CI85" s="417">
        <v>3.834999999999999E-3</v>
      </c>
      <c r="CJ85" s="417">
        <v>3.6874999999999989E-3</v>
      </c>
      <c r="CK85" s="417">
        <v>3.5399999999999989E-3</v>
      </c>
      <c r="CL85" s="417">
        <v>3.3924999999999988E-3</v>
      </c>
      <c r="CM85" s="417">
        <v>3.2449999999999988E-3</v>
      </c>
      <c r="CN85" s="417">
        <v>3.0974999999999987E-3</v>
      </c>
      <c r="CO85" s="417">
        <v>2.9499999999999986E-3</v>
      </c>
      <c r="CP85" s="417">
        <v>2.8024999999999986E-3</v>
      </c>
      <c r="CQ85" s="417">
        <v>2.6549999999999985E-3</v>
      </c>
      <c r="CR85" s="417">
        <v>2.5074999999999984E-3</v>
      </c>
      <c r="CS85" s="417">
        <v>2.3599999999999984E-3</v>
      </c>
      <c r="CT85" s="417">
        <v>2.2124999999999983E-3</v>
      </c>
      <c r="CU85" s="417">
        <v>2.0649999999999983E-3</v>
      </c>
      <c r="CV85" s="417">
        <v>1.9174999999999982E-3</v>
      </c>
      <c r="CW85" s="417">
        <v>1.7699999999999981E-3</v>
      </c>
      <c r="CX85" s="417">
        <v>1.6224999999999981E-3</v>
      </c>
      <c r="CY85" s="417">
        <v>1.474999999999998E-3</v>
      </c>
      <c r="CZ85" s="417">
        <v>1.327499999999998E-3</v>
      </c>
      <c r="DA85" s="417">
        <v>1.1799999999999979E-3</v>
      </c>
      <c r="DB85" s="417">
        <v>1.0324999999999978E-3</v>
      </c>
      <c r="DC85" s="417">
        <v>8.8499999999999777E-4</v>
      </c>
      <c r="DD85" s="417">
        <v>7.3749999999999771E-4</v>
      </c>
      <c r="DE85" s="417">
        <v>5.8999999999999764E-4</v>
      </c>
      <c r="DF85" s="417">
        <v>4.4249999999999764E-4</v>
      </c>
      <c r="DG85" s="417">
        <v>2.9499999999999763E-4</v>
      </c>
      <c r="DH85" s="417">
        <v>1.4749999999999762E-4</v>
      </c>
      <c r="DI85" s="417">
        <v>0</v>
      </c>
      <c r="DJ85" s="417">
        <v>0</v>
      </c>
      <c r="DK85" s="417">
        <v>0</v>
      </c>
      <c r="DL85" s="417">
        <v>0</v>
      </c>
      <c r="DM85" s="417">
        <v>0</v>
      </c>
      <c r="DN85" s="417">
        <v>0</v>
      </c>
      <c r="DO85" s="417">
        <v>0</v>
      </c>
      <c r="DP85" s="417">
        <v>0</v>
      </c>
      <c r="DQ85" s="1132">
        <v>0</v>
      </c>
      <c r="DR85" s="417">
        <v>0</v>
      </c>
      <c r="DS85" s="1132">
        <v>0</v>
      </c>
      <c r="DT85" s="417">
        <v>0</v>
      </c>
      <c r="DU85" s="1132">
        <v>0</v>
      </c>
      <c r="DV85" s="417">
        <v>0</v>
      </c>
      <c r="DW85" s="1132">
        <v>0</v>
      </c>
      <c r="DX85" s="417">
        <v>0</v>
      </c>
      <c r="DY85" s="1132">
        <v>0</v>
      </c>
      <c r="DZ85" s="417">
        <v>0</v>
      </c>
      <c r="EA85" s="1132">
        <v>0</v>
      </c>
      <c r="EB85" s="417">
        <v>0</v>
      </c>
      <c r="EC85" s="1132">
        <v>0</v>
      </c>
      <c r="ED85" s="417">
        <v>0</v>
      </c>
      <c r="EE85" s="1132">
        <v>0</v>
      </c>
      <c r="EF85" s="417">
        <v>0</v>
      </c>
      <c r="EG85" s="1132">
        <v>0</v>
      </c>
      <c r="EH85" s="417">
        <v>0</v>
      </c>
      <c r="EI85" s="1132">
        <v>0</v>
      </c>
      <c r="EJ85" s="417">
        <v>0</v>
      </c>
      <c r="EK85" s="1132">
        <v>0</v>
      </c>
      <c r="EL85" s="417">
        <v>0</v>
      </c>
      <c r="EM85" s="1132">
        <v>0</v>
      </c>
      <c r="EN85" s="417">
        <v>0</v>
      </c>
      <c r="EO85" s="1132">
        <v>0</v>
      </c>
      <c r="EP85" s="445"/>
    </row>
    <row r="86" spans="1:146" x14ac:dyDescent="0.35">
      <c r="A86" s="275" t="s">
        <v>1457</v>
      </c>
      <c r="B86" s="65" t="s">
        <v>1461</v>
      </c>
      <c r="C86" s="65" t="s">
        <v>1459</v>
      </c>
      <c r="D86" s="101">
        <v>45251</v>
      </c>
      <c r="E86" s="217" t="s">
        <v>173</v>
      </c>
      <c r="G86" s="218" t="s">
        <v>1462</v>
      </c>
      <c r="H86" s="65"/>
      <c r="I86" s="65"/>
      <c r="J86" s="65"/>
      <c r="K86" s="65"/>
      <c r="L86" s="65"/>
      <c r="M86" s="65"/>
      <c r="N86" s="65"/>
      <c r="O86" s="65"/>
      <c r="P86" s="65"/>
      <c r="Q86" s="65"/>
      <c r="R86" s="65"/>
      <c r="S86" s="65"/>
      <c r="T86" s="65"/>
      <c r="U86" s="65"/>
      <c r="V86" s="65"/>
      <c r="W86" s="65"/>
      <c r="X86" s="65"/>
      <c r="Y86" s="65"/>
      <c r="Z86" s="537"/>
      <c r="AA86" s="537"/>
      <c r="AB86" s="65"/>
      <c r="AC86" s="536"/>
      <c r="AD86" s="536"/>
      <c r="AE86" s="417">
        <v>6.7000000000000002E-3</v>
      </c>
      <c r="AF86" s="417">
        <v>6.7000000000000002E-3</v>
      </c>
      <c r="AG86" s="417">
        <v>1.24E-2</v>
      </c>
      <c r="AH86" s="417">
        <v>1.24E-2</v>
      </c>
      <c r="AI86" s="417">
        <v>1.24E-2</v>
      </c>
      <c r="AJ86" s="417">
        <v>1.24E-2</v>
      </c>
      <c r="AK86" s="417">
        <v>1.24E-2</v>
      </c>
      <c r="AL86" s="417">
        <v>1.24E-2</v>
      </c>
      <c r="AM86" s="417">
        <v>1.24E-2</v>
      </c>
      <c r="AN86" s="417">
        <v>1.24E-2</v>
      </c>
      <c r="AO86" s="417">
        <v>1.24E-2</v>
      </c>
      <c r="AP86" s="417">
        <v>1.24E-2</v>
      </c>
      <c r="AQ86" s="417">
        <v>1.24E-2</v>
      </c>
      <c r="AR86" s="417">
        <v>4.0000000000000001E-3</v>
      </c>
      <c r="AS86" s="417">
        <v>4.0000000000000001E-3</v>
      </c>
      <c r="AT86" s="417">
        <v>4.0000000000000001E-3</v>
      </c>
      <c r="AU86" s="417">
        <v>4.0000000000000001E-3</v>
      </c>
      <c r="AV86" s="417">
        <v>4.0000000000000001E-3</v>
      </c>
      <c r="AW86" s="417">
        <v>4.0000000000000001E-3</v>
      </c>
      <c r="AX86" s="417">
        <v>4.0000000000000001E-3</v>
      </c>
      <c r="AY86" s="417">
        <v>4.0000000000000001E-3</v>
      </c>
      <c r="AZ86" s="417">
        <v>4.0000000000000001E-3</v>
      </c>
      <c r="BA86" s="417">
        <v>4.0000000000000001E-3</v>
      </c>
      <c r="BB86" s="417">
        <v>4.0000000000000001E-3</v>
      </c>
      <c r="BC86" s="417">
        <v>4.0000000000000001E-3</v>
      </c>
      <c r="BD86" s="417">
        <v>4.0000000000000001E-3</v>
      </c>
      <c r="BE86" s="417">
        <v>4.0000000000000001E-3</v>
      </c>
      <c r="BF86" s="417">
        <v>4.0000000000000001E-3</v>
      </c>
      <c r="BG86" s="417">
        <v>4.0000000000000001E-3</v>
      </c>
      <c r="BH86" s="417">
        <v>4.0000000000000001E-3</v>
      </c>
      <c r="BI86" s="417">
        <v>4.0000000000000001E-3</v>
      </c>
      <c r="BJ86" s="417">
        <v>4.0000000000000001E-3</v>
      </c>
      <c r="BK86" s="417">
        <v>4.0000000000000001E-3</v>
      </c>
      <c r="BL86" s="417">
        <v>4.0000000000000001E-3</v>
      </c>
      <c r="BM86" s="417">
        <v>4.0000000000000001E-3</v>
      </c>
      <c r="BN86" s="417">
        <v>4.0000000000000001E-3</v>
      </c>
      <c r="BO86" s="417">
        <v>4.0000000000000001E-3</v>
      </c>
      <c r="BP86" s="417">
        <v>4.0000000000000001E-3</v>
      </c>
      <c r="BQ86" s="417">
        <v>4.0000000000000001E-3</v>
      </c>
      <c r="BR86" s="417">
        <v>4.0000000000000001E-3</v>
      </c>
      <c r="BS86" s="417">
        <v>4.0000000000000001E-3</v>
      </c>
      <c r="BT86" s="417">
        <v>4.0000000000000001E-3</v>
      </c>
      <c r="BU86" s="417">
        <v>4.0000000000000001E-3</v>
      </c>
      <c r="BV86" s="417">
        <v>3.9000000000000003E-3</v>
      </c>
      <c r="BW86" s="417">
        <v>3.8000000000000004E-3</v>
      </c>
      <c r="BX86" s="417">
        <v>3.7000000000000006E-3</v>
      </c>
      <c r="BY86" s="417">
        <v>3.6000000000000008E-3</v>
      </c>
      <c r="BZ86" s="417">
        <v>3.5000000000000009E-3</v>
      </c>
      <c r="CA86" s="417">
        <v>3.4000000000000011E-3</v>
      </c>
      <c r="CB86" s="417">
        <v>3.3000000000000013E-3</v>
      </c>
      <c r="CC86" s="417">
        <v>3.2000000000000015E-3</v>
      </c>
      <c r="CD86" s="417">
        <v>3.1000000000000016E-3</v>
      </c>
      <c r="CE86" s="417">
        <v>3.0000000000000018E-3</v>
      </c>
      <c r="CF86" s="417">
        <v>2.900000000000002E-3</v>
      </c>
      <c r="CG86" s="417">
        <v>2.8000000000000021E-3</v>
      </c>
      <c r="CH86" s="417">
        <v>2.7000000000000023E-3</v>
      </c>
      <c r="CI86" s="417">
        <v>2.6000000000000025E-3</v>
      </c>
      <c r="CJ86" s="417">
        <v>2.5000000000000027E-3</v>
      </c>
      <c r="CK86" s="417">
        <v>2.4000000000000028E-3</v>
      </c>
      <c r="CL86" s="417">
        <v>2.300000000000003E-3</v>
      </c>
      <c r="CM86" s="417">
        <v>2.2000000000000032E-3</v>
      </c>
      <c r="CN86" s="417">
        <v>2.1000000000000033E-3</v>
      </c>
      <c r="CO86" s="417">
        <v>2.0000000000000035E-3</v>
      </c>
      <c r="CP86" s="417">
        <v>1.9000000000000035E-3</v>
      </c>
      <c r="CQ86" s="417">
        <v>1.8000000000000034E-3</v>
      </c>
      <c r="CR86" s="417">
        <v>1.7000000000000034E-3</v>
      </c>
      <c r="CS86" s="417">
        <v>1.6000000000000033E-3</v>
      </c>
      <c r="CT86" s="417">
        <v>1.5000000000000033E-3</v>
      </c>
      <c r="CU86" s="417">
        <v>1.4000000000000032E-3</v>
      </c>
      <c r="CV86" s="417">
        <v>1.3000000000000032E-3</v>
      </c>
      <c r="CW86" s="417">
        <v>1.2000000000000031E-3</v>
      </c>
      <c r="CX86" s="417">
        <v>1.1000000000000031E-3</v>
      </c>
      <c r="CY86" s="417">
        <v>1.0000000000000031E-3</v>
      </c>
      <c r="CZ86" s="417">
        <v>9.0000000000000301E-4</v>
      </c>
      <c r="DA86" s="417">
        <v>8.0000000000000297E-4</v>
      </c>
      <c r="DB86" s="417">
        <v>7.0000000000000292E-4</v>
      </c>
      <c r="DC86" s="417">
        <v>6.0000000000000287E-4</v>
      </c>
      <c r="DD86" s="417">
        <v>5.0000000000000283E-4</v>
      </c>
      <c r="DE86" s="417">
        <v>4.0000000000000284E-4</v>
      </c>
      <c r="DF86" s="417">
        <v>3.0000000000000285E-4</v>
      </c>
      <c r="DG86" s="417">
        <v>2.0000000000000286E-4</v>
      </c>
      <c r="DH86" s="417">
        <v>1.0000000000000285E-4</v>
      </c>
      <c r="DI86" s="417">
        <v>0</v>
      </c>
      <c r="DJ86" s="417">
        <v>0</v>
      </c>
      <c r="DK86" s="417">
        <v>0</v>
      </c>
      <c r="DL86" s="417">
        <v>0</v>
      </c>
      <c r="DM86" s="417">
        <v>0</v>
      </c>
      <c r="DN86" s="417">
        <v>0</v>
      </c>
      <c r="DO86" s="417">
        <v>0</v>
      </c>
      <c r="DP86" s="417">
        <v>0</v>
      </c>
      <c r="DQ86" s="1132">
        <v>0</v>
      </c>
      <c r="DR86" s="417">
        <v>0</v>
      </c>
      <c r="DS86" s="1132">
        <v>0</v>
      </c>
      <c r="DT86" s="417">
        <v>0</v>
      </c>
      <c r="DU86" s="1132">
        <v>0</v>
      </c>
      <c r="DV86" s="417">
        <v>0</v>
      </c>
      <c r="DW86" s="1132">
        <v>0</v>
      </c>
      <c r="DX86" s="417">
        <v>0</v>
      </c>
      <c r="DY86" s="1132">
        <v>0</v>
      </c>
      <c r="DZ86" s="417">
        <v>0</v>
      </c>
      <c r="EA86" s="1132">
        <v>0</v>
      </c>
      <c r="EB86" s="417">
        <v>0</v>
      </c>
      <c r="EC86" s="1132">
        <v>0</v>
      </c>
      <c r="ED86" s="417">
        <v>0</v>
      </c>
      <c r="EE86" s="1132">
        <v>0</v>
      </c>
      <c r="EF86" s="417">
        <v>0</v>
      </c>
      <c r="EG86" s="1132">
        <v>0</v>
      </c>
      <c r="EH86" s="417">
        <v>0</v>
      </c>
      <c r="EI86" s="1132">
        <v>0</v>
      </c>
      <c r="EJ86" s="417">
        <v>0</v>
      </c>
      <c r="EK86" s="1132">
        <v>0</v>
      </c>
      <c r="EL86" s="417">
        <v>0</v>
      </c>
      <c r="EM86" s="1132">
        <v>0</v>
      </c>
      <c r="EN86" s="417">
        <v>0</v>
      </c>
      <c r="EO86" s="1180">
        <v>0</v>
      </c>
      <c r="EP86" s="445"/>
    </row>
    <row r="87" spans="1:146" x14ac:dyDescent="0.35">
      <c r="A87" s="275" t="s">
        <v>1457</v>
      </c>
      <c r="B87" s="65" t="s">
        <v>1463</v>
      </c>
      <c r="C87" s="65" t="s">
        <v>1464</v>
      </c>
      <c r="D87" s="101">
        <v>45251</v>
      </c>
      <c r="E87" s="221" t="s">
        <v>173</v>
      </c>
      <c r="F87" s="1181"/>
      <c r="G87" s="218" t="s">
        <v>1465</v>
      </c>
      <c r="H87" s="65" t="s">
        <v>602</v>
      </c>
      <c r="I87" s="65"/>
      <c r="J87" s="65"/>
      <c r="K87" s="65"/>
      <c r="L87" s="65"/>
      <c r="M87" s="65"/>
      <c r="N87" s="65"/>
      <c r="O87" s="65"/>
      <c r="P87" s="65"/>
      <c r="Q87" s="65"/>
      <c r="R87" s="65"/>
      <c r="S87" s="65"/>
      <c r="T87" s="65"/>
      <c r="U87" s="65"/>
      <c r="V87" s="65"/>
      <c r="W87" s="65"/>
      <c r="X87" s="65"/>
      <c r="Y87" s="65"/>
      <c r="Z87" s="65"/>
      <c r="AA87" s="65"/>
      <c r="AB87" s="625">
        <v>34153</v>
      </c>
      <c r="AC87" s="625">
        <v>34306</v>
      </c>
      <c r="AD87" s="625">
        <v>35224</v>
      </c>
      <c r="AE87" s="625">
        <v>35848</v>
      </c>
      <c r="AF87" s="625">
        <v>36309</v>
      </c>
      <c r="AG87" s="625">
        <v>35286</v>
      </c>
      <c r="AH87" s="625">
        <v>35794.118399999999</v>
      </c>
      <c r="AI87" s="625">
        <v>36309.553704959995</v>
      </c>
      <c r="AJ87" s="625">
        <v>36832.411278311418</v>
      </c>
      <c r="AK87" s="625">
        <v>37362.7980007191</v>
      </c>
      <c r="AL87" s="625">
        <v>37900.822291929457</v>
      </c>
      <c r="AM87" s="625">
        <v>38446.594132933242</v>
      </c>
      <c r="AN87" s="625">
        <v>39000.225088447478</v>
      </c>
      <c r="AO87" s="625">
        <v>39561.828329721124</v>
      </c>
      <c r="AP87" s="625">
        <v>40131.518657669105</v>
      </c>
      <c r="AQ87" s="625">
        <v>40724</v>
      </c>
      <c r="AR87" s="625">
        <v>40895.040800000002</v>
      </c>
      <c r="AS87" s="625">
        <v>41066.79997136</v>
      </c>
      <c r="AT87" s="625">
        <v>41239.28053123971</v>
      </c>
      <c r="AU87" s="625">
        <v>41412.485509470913</v>
      </c>
      <c r="AV87" s="625">
        <v>41586.417948610688</v>
      </c>
      <c r="AW87" s="625">
        <v>41761.080903994851</v>
      </c>
      <c r="AX87" s="625">
        <v>41936.477443791628</v>
      </c>
      <c r="AY87" s="625">
        <v>42112.610649055554</v>
      </c>
      <c r="AZ87" s="625">
        <v>42289.483613781587</v>
      </c>
      <c r="BA87" s="625">
        <v>42467.099444959473</v>
      </c>
      <c r="BB87" s="625">
        <v>42645.461262628305</v>
      </c>
      <c r="BC87" s="625">
        <v>42824.572199931346</v>
      </c>
      <c r="BD87" s="625">
        <v>43004.435403171061</v>
      </c>
      <c r="BE87" s="625">
        <v>43185.054031864376</v>
      </c>
      <c r="BF87" s="625">
        <v>43366.431258798206</v>
      </c>
      <c r="BG87" s="625">
        <v>43548.570270085154</v>
      </c>
      <c r="BH87" s="625">
        <v>43731.474265219513</v>
      </c>
      <c r="BI87" s="625">
        <v>43915.146457133436</v>
      </c>
      <c r="BJ87" s="625">
        <v>44099.590072253399</v>
      </c>
      <c r="BK87" s="625">
        <v>44284.808350556865</v>
      </c>
      <c r="BL87" s="625">
        <v>44470.804545629202</v>
      </c>
      <c r="BM87" s="625">
        <v>44657.581924720842</v>
      </c>
      <c r="BN87" s="625">
        <v>44845.143768804672</v>
      </c>
      <c r="BO87" s="625">
        <v>45033.493372633653</v>
      </c>
      <c r="BP87" s="625">
        <v>45222.634044798717</v>
      </c>
      <c r="BQ87" s="625">
        <v>45412.569107786869</v>
      </c>
      <c r="BR87" s="625">
        <v>45603.301898039572</v>
      </c>
      <c r="BS87" s="625">
        <v>45794.83576601134</v>
      </c>
      <c r="BT87" s="625">
        <v>45987.174076228584</v>
      </c>
      <c r="BU87" s="625">
        <v>46158</v>
      </c>
      <c r="BV87" s="625">
        <v>46338.016199999998</v>
      </c>
      <c r="BW87" s="625">
        <v>46514.100661559998</v>
      </c>
      <c r="BX87" s="625">
        <v>46686.202834007774</v>
      </c>
      <c r="BY87" s="625">
        <v>46854.273164210201</v>
      </c>
      <c r="BZ87" s="625">
        <v>47018.263120284937</v>
      </c>
      <c r="CA87" s="625">
        <v>47178.125214893909</v>
      </c>
      <c r="CB87" s="625">
        <v>47333.813028103061</v>
      </c>
      <c r="CC87" s="625">
        <v>47485.281229792992</v>
      </c>
      <c r="CD87" s="625">
        <v>47632.485601605353</v>
      </c>
      <c r="CE87" s="625">
        <v>47775.383058410167</v>
      </c>
      <c r="CF87" s="625">
        <v>47913.931669279555</v>
      </c>
      <c r="CG87" s="625">
        <v>48048.090677953536</v>
      </c>
      <c r="CH87" s="625">
        <v>48177.820522784008</v>
      </c>
      <c r="CI87" s="625">
        <v>48303.082856143243</v>
      </c>
      <c r="CJ87" s="625">
        <v>48423.8405632836</v>
      </c>
      <c r="CK87" s="625">
        <v>48540.057780635478</v>
      </c>
      <c r="CL87" s="625">
        <v>48651.699913530938</v>
      </c>
      <c r="CM87" s="625">
        <v>48758.733653340707</v>
      </c>
      <c r="CN87" s="625">
        <v>48861.126994012724</v>
      </c>
      <c r="CO87" s="625">
        <v>48958.849248000748</v>
      </c>
      <c r="CP87" s="625">
        <v>49051.871061571946</v>
      </c>
      <c r="CQ87" s="625">
        <v>49140.164429482778</v>
      </c>
      <c r="CR87" s="625">
        <v>49223.702709012898</v>
      </c>
      <c r="CS87" s="625">
        <v>49302.46063334732</v>
      </c>
      <c r="CT87" s="625">
        <v>49376.414324297344</v>
      </c>
      <c r="CU87" s="625">
        <v>49445.541304351362</v>
      </c>
      <c r="CV87" s="625">
        <v>49509.820508047022</v>
      </c>
      <c r="CW87" s="625">
        <v>49569.232292656685</v>
      </c>
      <c r="CX87" s="625">
        <v>49623.758448178611</v>
      </c>
      <c r="CY87" s="625">
        <v>49673.382206626797</v>
      </c>
      <c r="CZ87" s="625">
        <v>49718.088250612753</v>
      </c>
      <c r="DA87" s="625">
        <v>49757.862721213241</v>
      </c>
      <c r="DB87" s="625">
        <v>49792.693225118084</v>
      </c>
      <c r="DC87" s="625">
        <v>49822.568841053151</v>
      </c>
      <c r="DD87" s="625">
        <v>49847.480125473674</v>
      </c>
      <c r="DE87" s="625">
        <v>49867.419117523859</v>
      </c>
      <c r="DF87" s="625">
        <v>49882.379343259112</v>
      </c>
      <c r="DG87" s="625">
        <v>49892.355819127763</v>
      </c>
      <c r="DH87" s="625">
        <v>49897.345054709673</v>
      </c>
      <c r="DI87" s="625">
        <v>49897.345054709673</v>
      </c>
      <c r="DJ87" s="625">
        <v>49897.345054709673</v>
      </c>
      <c r="DK87" s="625">
        <v>49897.345054709673</v>
      </c>
      <c r="DL87" s="625">
        <v>49897.345054709673</v>
      </c>
      <c r="DM87" s="625">
        <v>49897.345054709673</v>
      </c>
      <c r="DN87" s="625">
        <v>49897.345054709673</v>
      </c>
      <c r="DO87" s="625">
        <v>49897.345054709673</v>
      </c>
      <c r="DP87" s="625">
        <v>49897.345054709673</v>
      </c>
      <c r="DQ87" s="625">
        <v>49897.345054709673</v>
      </c>
      <c r="DR87" s="625">
        <v>49897.345054709673</v>
      </c>
      <c r="DS87" s="625">
        <v>49897.345054709673</v>
      </c>
      <c r="DT87" s="625">
        <v>49897.345054709673</v>
      </c>
      <c r="DU87" s="625">
        <v>49897.345054709673</v>
      </c>
      <c r="DV87" s="625">
        <v>49897.345054709673</v>
      </c>
      <c r="DW87" s="625">
        <v>49897.345054709673</v>
      </c>
      <c r="DX87" s="625">
        <v>49897.345054709673</v>
      </c>
      <c r="DY87" s="625">
        <v>49897.345054709673</v>
      </c>
      <c r="DZ87" s="625">
        <v>49897.345054709673</v>
      </c>
      <c r="EA87" s="625">
        <v>49897.345054709673</v>
      </c>
      <c r="EB87" s="625">
        <v>49897.345054709673</v>
      </c>
      <c r="EC87" s="625">
        <v>49897.345054709673</v>
      </c>
      <c r="ED87" s="625">
        <v>49897.345054709673</v>
      </c>
      <c r="EE87" s="625">
        <v>49897.345054709673</v>
      </c>
      <c r="EF87" s="625">
        <v>49897.345054709673</v>
      </c>
      <c r="EG87" s="625">
        <v>49897.345054709673</v>
      </c>
      <c r="EH87" s="625">
        <v>49897.345054709673</v>
      </c>
      <c r="EI87" s="625">
        <v>49897.345054709673</v>
      </c>
      <c r="EJ87" s="625">
        <v>49897.345054709673</v>
      </c>
      <c r="EK87" s="625">
        <v>49897.345054709673</v>
      </c>
      <c r="EL87" s="625">
        <v>49897.345054709673</v>
      </c>
      <c r="EM87" s="625">
        <v>49897.345054709673</v>
      </c>
      <c r="EN87" s="1133">
        <v>49897.345054709673</v>
      </c>
      <c r="EO87" s="1162">
        <v>49897.345054709673</v>
      </c>
    </row>
    <row r="88" spans="1:146" x14ac:dyDescent="0.35">
      <c r="A88" s="275" t="s">
        <v>1457</v>
      </c>
      <c r="B88" s="65" t="s">
        <v>1466</v>
      </c>
      <c r="C88" s="65" t="s">
        <v>1467</v>
      </c>
      <c r="D88" s="101">
        <v>45251</v>
      </c>
      <c r="E88" s="221" t="s">
        <v>173</v>
      </c>
      <c r="F88" s="1181"/>
      <c r="G88" s="218" t="s">
        <v>1468</v>
      </c>
      <c r="H88" s="65" t="s">
        <v>602</v>
      </c>
      <c r="I88" s="65"/>
      <c r="J88" s="65"/>
      <c r="K88" s="65"/>
      <c r="L88" s="65"/>
      <c r="M88" s="65"/>
      <c r="N88" s="65"/>
      <c r="O88" s="65"/>
      <c r="P88" s="65"/>
      <c r="Q88" s="65"/>
      <c r="R88" s="65"/>
      <c r="S88" s="65"/>
      <c r="T88" s="65"/>
      <c r="U88" s="65"/>
      <c r="V88" s="65"/>
      <c r="W88" s="65"/>
      <c r="X88" s="65"/>
      <c r="Y88" s="65"/>
      <c r="Z88" s="65"/>
      <c r="AA88" s="65"/>
      <c r="AB88" s="625">
        <v>6360</v>
      </c>
      <c r="AC88" s="625">
        <v>6248</v>
      </c>
      <c r="AD88" s="625">
        <v>6255</v>
      </c>
      <c r="AE88" s="625">
        <v>6169</v>
      </c>
      <c r="AF88" s="625">
        <v>6027</v>
      </c>
      <c r="AG88" s="625">
        <v>5841</v>
      </c>
      <c r="AH88" s="625">
        <v>4157</v>
      </c>
      <c r="AI88" s="625">
        <v>3853.0107250825581</v>
      </c>
      <c r="AJ88" s="625">
        <v>3549.0214501651162</v>
      </c>
      <c r="AK88" s="625">
        <v>3245.0321752476743</v>
      </c>
      <c r="AL88" s="625">
        <v>2941.0429003302324</v>
      </c>
      <c r="AM88" s="625">
        <v>2637.0536254127906</v>
      </c>
      <c r="AN88" s="625">
        <v>2333.0643504953487</v>
      </c>
      <c r="AO88" s="625">
        <v>2029.075075577907</v>
      </c>
      <c r="AP88" s="625">
        <v>1725.0858006604653</v>
      </c>
      <c r="AQ88" s="625">
        <v>1421.0965257430241</v>
      </c>
      <c r="AR88" s="625">
        <v>1374.1685455999343</v>
      </c>
      <c r="AS88" s="625">
        <v>1327.2405654568445</v>
      </c>
      <c r="AT88" s="625">
        <v>1280.3125853137547</v>
      </c>
      <c r="AU88" s="625">
        <v>1233.3846051706648</v>
      </c>
      <c r="AV88" s="625">
        <v>1186.456625027575</v>
      </c>
      <c r="AW88" s="625">
        <v>1139.5286448844852</v>
      </c>
      <c r="AX88" s="625">
        <v>1092.6006647413953</v>
      </c>
      <c r="AY88" s="625">
        <v>1045.6726845983055</v>
      </c>
      <c r="AZ88" s="625">
        <v>998.74470445521558</v>
      </c>
      <c r="BA88" s="625">
        <v>951.81672431212564</v>
      </c>
      <c r="BB88" s="625">
        <v>904.8887441690357</v>
      </c>
      <c r="BC88" s="625">
        <v>857.96076402594576</v>
      </c>
      <c r="BD88" s="625">
        <v>811.03278388285582</v>
      </c>
      <c r="BE88" s="625">
        <v>764.10480373976588</v>
      </c>
      <c r="BF88" s="625">
        <v>717.17682359667594</v>
      </c>
      <c r="BG88" s="625">
        <v>670.24884345358601</v>
      </c>
      <c r="BH88" s="625">
        <v>623.32086331049607</v>
      </c>
      <c r="BI88" s="625">
        <v>576.39288316740613</v>
      </c>
      <c r="BJ88" s="625">
        <v>529.46490302431619</v>
      </c>
      <c r="BK88" s="625">
        <v>482.53692288122636</v>
      </c>
      <c r="BL88" s="625">
        <v>435.60894273813642</v>
      </c>
      <c r="BM88" s="625">
        <v>388.68096259504659</v>
      </c>
      <c r="BN88" s="625">
        <v>341.75298245195665</v>
      </c>
      <c r="BO88" s="625">
        <v>294.82500230886677</v>
      </c>
      <c r="BP88" s="625">
        <v>247.89702216577689</v>
      </c>
      <c r="BQ88" s="625">
        <v>200.96904202268703</v>
      </c>
      <c r="BR88" s="625">
        <v>154.04106187959712</v>
      </c>
      <c r="BS88" s="625">
        <v>107.11308173650724</v>
      </c>
      <c r="BT88" s="625">
        <v>60.18510159341735</v>
      </c>
      <c r="BU88" s="625">
        <v>13.25712145032756</v>
      </c>
      <c r="BV88" s="625">
        <v>22.251067553689143</v>
      </c>
      <c r="BW88" s="625">
        <v>13.914434932551712</v>
      </c>
      <c r="BX88" s="625">
        <v>8.37145711763843</v>
      </c>
      <c r="BY88" s="625">
        <v>4.8379229835279878</v>
      </c>
      <c r="BZ88" s="625">
        <v>2.6812721969509643</v>
      </c>
      <c r="CA88" s="625">
        <v>1.4228154434664462</v>
      </c>
      <c r="CB88" s="625">
        <v>0.72174468988795282</v>
      </c>
      <c r="CC88" s="625">
        <v>0.34941990044775378</v>
      </c>
      <c r="CD88" s="625">
        <v>0.16119157380842744</v>
      </c>
      <c r="CE88" s="625">
        <v>7.0740699073741628E-2</v>
      </c>
      <c r="CF88" s="625">
        <v>2.948698174418107E-2</v>
      </c>
      <c r="CG88" s="625">
        <v>1.1655392593078987E-2</v>
      </c>
      <c r="CH88" s="625">
        <v>4.3617498473829319E-3</v>
      </c>
      <c r="CI88" s="625">
        <v>1.5428848509077256E-3</v>
      </c>
      <c r="CJ88" s="625">
        <v>5.150469713533309E-4</v>
      </c>
      <c r="CK88" s="625">
        <v>1.6199528463472642E-4</v>
      </c>
      <c r="CL88" s="625">
        <v>4.7929375643579632E-5</v>
      </c>
      <c r="CM88" s="625">
        <v>1.331823528478451E-5</v>
      </c>
      <c r="CN88" s="625">
        <v>3.4700741697221496E-6</v>
      </c>
      <c r="CO88" s="625">
        <v>8.4640777746212456E-7</v>
      </c>
      <c r="CP88" s="625">
        <v>1.9296164666574666E-7</v>
      </c>
      <c r="CQ88" s="625">
        <v>4.1050122873542431E-8</v>
      </c>
      <c r="CR88" s="625">
        <v>8.1360140512797836E-9</v>
      </c>
      <c r="CS88" s="625">
        <v>1.4999070014586523E-9</v>
      </c>
      <c r="CT88" s="625">
        <v>2.5678759440686966E-10</v>
      </c>
      <c r="CU88" s="625">
        <v>4.0760777497226945E-11</v>
      </c>
      <c r="CV88" s="625">
        <v>5.9892334894742143E-12</v>
      </c>
      <c r="CW88" s="625">
        <v>8.1332110808846964E-13</v>
      </c>
      <c r="CX88" s="625">
        <v>1.0190993101409745E-13</v>
      </c>
      <c r="CY88" s="625">
        <v>1.1763492671405805E-14</v>
      </c>
      <c r="CZ88" s="625">
        <v>1.2488866688126587E-15</v>
      </c>
      <c r="DA88" s="625">
        <v>1.2175264038150987E-16</v>
      </c>
      <c r="DB88" s="625">
        <v>1.0881881992856942E-17</v>
      </c>
      <c r="DC88" s="625">
        <v>8.9022861703030542E-19</v>
      </c>
      <c r="DD88" s="625">
        <v>6.655376903342275E-20</v>
      </c>
      <c r="DE88" s="625">
        <v>4.5396145059783393E-21</v>
      </c>
      <c r="DF88" s="625">
        <v>2.8206042805393492E-22</v>
      </c>
      <c r="DG88" s="625">
        <v>1.5938368441234297E-23</v>
      </c>
      <c r="DH88" s="625">
        <v>8.1775974717070053E-25</v>
      </c>
      <c r="DI88" s="625">
        <v>3.8035524787641749E-26</v>
      </c>
      <c r="DJ88" s="625">
        <v>1.6013268804491353E-27</v>
      </c>
      <c r="DK88" s="625">
        <v>6.0925503566569225E-29</v>
      </c>
      <c r="DL88" s="625">
        <v>2.0914547256409502E-30</v>
      </c>
      <c r="DM88" s="625">
        <v>6.4673992095782765E-32</v>
      </c>
      <c r="DN88" s="625">
        <v>1.798640575637955E-33</v>
      </c>
      <c r="DO88" s="625">
        <v>4.4915296804339771E-35</v>
      </c>
      <c r="DP88" s="625">
        <v>1.0054974787750506E-36</v>
      </c>
      <c r="DQ88" s="625">
        <v>2.0146804733033404E-38</v>
      </c>
      <c r="DR88" s="625">
        <v>3.6072106291527969E-40</v>
      </c>
      <c r="DS88" s="625">
        <v>5.7620711271160823E-42</v>
      </c>
      <c r="DT88" s="625">
        <v>8.1984012581716562E-44</v>
      </c>
      <c r="DU88" s="625">
        <v>1.0373488333789615E-45</v>
      </c>
      <c r="DV88" s="625">
        <v>1.1653791045665357E-47</v>
      </c>
      <c r="DW88" s="625">
        <v>1.1605344499347839E-49</v>
      </c>
      <c r="DX88" s="625">
        <v>1.0228192833054908E-51</v>
      </c>
      <c r="DY88" s="625">
        <v>7.9651047669161078E-54</v>
      </c>
      <c r="DZ88" s="625">
        <v>5.4718911211645049E-56</v>
      </c>
      <c r="EA88" s="625">
        <v>3.3108417714129106E-58</v>
      </c>
      <c r="EB88" s="625">
        <v>1.7615544943449776E-60</v>
      </c>
      <c r="EC88" s="625">
        <v>8.2283370409379218E-63</v>
      </c>
      <c r="ED88" s="625">
        <v>3.3688994543565697E-65</v>
      </c>
      <c r="EE88" s="625">
        <v>1.2070511338195952E-67</v>
      </c>
      <c r="EF88" s="625">
        <v>3.7785622668387337E-70</v>
      </c>
      <c r="EG88" s="625">
        <v>1.0317926956563454E-72</v>
      </c>
      <c r="EH88" s="625">
        <v>2.4537195318591884E-75</v>
      </c>
      <c r="EI88" s="625">
        <v>5.0737101172968713E-78</v>
      </c>
      <c r="EJ88" s="625">
        <v>9.1074395047689319E-81</v>
      </c>
      <c r="EK88" s="625">
        <v>1.4168977427744713E-83</v>
      </c>
      <c r="EL88" s="625">
        <v>1.9074534352872683E-86</v>
      </c>
      <c r="EM88" s="625">
        <v>2.2184224861676017E-89</v>
      </c>
      <c r="EN88" s="1133">
        <v>2.2254154793097764E-92</v>
      </c>
      <c r="EO88" s="1162">
        <v>1.9224547968742178E-95</v>
      </c>
    </row>
    <row r="89" spans="1:146" x14ac:dyDescent="0.35">
      <c r="A89" s="275" t="s">
        <v>1457</v>
      </c>
      <c r="B89" s="65" t="s">
        <v>1469</v>
      </c>
      <c r="C89" s="65" t="s">
        <v>1470</v>
      </c>
      <c r="D89" s="101">
        <v>45251</v>
      </c>
      <c r="E89" s="221" t="s">
        <v>173</v>
      </c>
      <c r="F89" s="1181"/>
      <c r="G89" s="218" t="s">
        <v>1465</v>
      </c>
      <c r="H89" s="65" t="s">
        <v>678</v>
      </c>
      <c r="I89" s="65"/>
      <c r="J89" s="65"/>
      <c r="K89" s="65"/>
      <c r="L89" s="65"/>
      <c r="M89" s="65"/>
      <c r="N89" s="65"/>
      <c r="O89" s="65"/>
      <c r="P89" s="65"/>
      <c r="Q89" s="65"/>
      <c r="R89" s="65"/>
      <c r="S89" s="65"/>
      <c r="T89" s="65"/>
      <c r="U89" s="65"/>
      <c r="V89" s="65"/>
      <c r="W89" s="65"/>
      <c r="X89" s="65"/>
      <c r="Y89" s="65"/>
      <c r="Z89" s="65"/>
      <c r="AA89" s="65"/>
      <c r="AB89" s="625">
        <v>2193</v>
      </c>
      <c r="AC89" s="625">
        <v>2212</v>
      </c>
      <c r="AD89" s="625">
        <v>2272</v>
      </c>
      <c r="AE89" s="625">
        <v>2322</v>
      </c>
      <c r="AF89" s="625">
        <v>2359</v>
      </c>
      <c r="AG89" s="625">
        <v>2216</v>
      </c>
      <c r="AH89" s="625">
        <v>2248.5751999999998</v>
      </c>
      <c r="AI89" s="625">
        <v>2281.6292554399997</v>
      </c>
      <c r="AJ89" s="625">
        <v>2315.1692054949676</v>
      </c>
      <c r="AK89" s="625">
        <v>2349.2021928157437</v>
      </c>
      <c r="AL89" s="625">
        <v>2383.7354650501352</v>
      </c>
      <c r="AM89" s="625">
        <v>2418.7763763863722</v>
      </c>
      <c r="AN89" s="625">
        <v>2454.3323891192517</v>
      </c>
      <c r="AO89" s="625">
        <v>2490.4110752393044</v>
      </c>
      <c r="AP89" s="625">
        <v>2527.0201180453219</v>
      </c>
      <c r="AQ89" s="625">
        <v>2564.1673137805878</v>
      </c>
      <c r="AR89" s="625">
        <v>2591.091070575284</v>
      </c>
      <c r="AS89" s="625">
        <v>2618.2975268163245</v>
      </c>
      <c r="AT89" s="625">
        <v>2645.7896508478957</v>
      </c>
      <c r="AU89" s="625">
        <v>2673.5704421817986</v>
      </c>
      <c r="AV89" s="625">
        <v>2701.6429318247074</v>
      </c>
      <c r="AW89" s="625">
        <v>2730.0101826088667</v>
      </c>
      <c r="AX89" s="625">
        <v>2758.6752895262598</v>
      </c>
      <c r="AY89" s="625">
        <v>2787.6413800662854</v>
      </c>
      <c r="AZ89" s="625">
        <v>2816.911614556981</v>
      </c>
      <c r="BA89" s="625">
        <v>2846.4891865098293</v>
      </c>
      <c r="BB89" s="625">
        <v>2876.3773229681824</v>
      </c>
      <c r="BC89" s="625">
        <v>2906.5792848593483</v>
      </c>
      <c r="BD89" s="625">
        <v>2937.0983673503711</v>
      </c>
      <c r="BE89" s="625">
        <v>2967.9379002075498</v>
      </c>
      <c r="BF89" s="625">
        <v>2999.101248159729</v>
      </c>
      <c r="BG89" s="625">
        <v>3030.5918112654062</v>
      </c>
      <c r="BH89" s="625">
        <v>3062.4130252836931</v>
      </c>
      <c r="BI89" s="625">
        <v>3094.5683620491718</v>
      </c>
      <c r="BJ89" s="625">
        <v>3127.0613298506878</v>
      </c>
      <c r="BK89" s="625">
        <v>3159.8954738141197</v>
      </c>
      <c r="BL89" s="625">
        <v>3193.074376289168</v>
      </c>
      <c r="BM89" s="625">
        <v>3226.6016572402041</v>
      </c>
      <c r="BN89" s="625">
        <v>3260.4809746412261</v>
      </c>
      <c r="BO89" s="625">
        <v>3294.7160248749587</v>
      </c>
      <c r="BP89" s="625">
        <v>3329.3105431361455</v>
      </c>
      <c r="BQ89" s="625">
        <v>3364.2683038390751</v>
      </c>
      <c r="BR89" s="625">
        <v>3399.5931210293852</v>
      </c>
      <c r="BS89" s="625">
        <v>3435.2888488001936</v>
      </c>
      <c r="BT89" s="625">
        <v>3471.3593817125957</v>
      </c>
      <c r="BU89" s="625">
        <v>3507.8086552205777</v>
      </c>
      <c r="BV89" s="625">
        <v>3527.9873245097342</v>
      </c>
      <c r="BW89" s="625">
        <v>3547.7616934636117</v>
      </c>
      <c r="BX89" s="625">
        <v>3567.123602905689</v>
      </c>
      <c r="BY89" s="625">
        <v>3586.0650292371179</v>
      </c>
      <c r="BZ89" s="625">
        <v>3604.5780899505544</v>
      </c>
      <c r="CA89" s="625">
        <v>3622.6550490716563</v>
      </c>
      <c r="CB89" s="625">
        <v>3640.2883225230125</v>
      </c>
      <c r="CC89" s="625">
        <v>3657.4704834053214</v>
      </c>
      <c r="CD89" s="625">
        <v>3674.1942671906927</v>
      </c>
      <c r="CE89" s="625">
        <v>3690.452576823011</v>
      </c>
      <c r="CF89" s="625">
        <v>3706.2384877203713</v>
      </c>
      <c r="CG89" s="625">
        <v>3721.5452526746562</v>
      </c>
      <c r="CH89" s="625">
        <v>3736.3663066434328</v>
      </c>
      <c r="CI89" s="625">
        <v>3750.6952714294107</v>
      </c>
      <c r="CJ89" s="625">
        <v>3764.5259602428068</v>
      </c>
      <c r="CK89" s="625">
        <v>3777.8523821420667</v>
      </c>
      <c r="CL89" s="625">
        <v>3790.6687463484832</v>
      </c>
      <c r="CM89" s="625">
        <v>3802.9694664303838</v>
      </c>
      <c r="CN89" s="625">
        <v>3814.7491643526519</v>
      </c>
      <c r="CO89" s="625">
        <v>3826.0026743874923</v>
      </c>
      <c r="CP89" s="625">
        <v>3836.7250468824636</v>
      </c>
      <c r="CQ89" s="625">
        <v>3846.9115518819367</v>
      </c>
      <c r="CR89" s="625">
        <v>3856.5576825982812</v>
      </c>
      <c r="CS89" s="625">
        <v>3865.6591587292128</v>
      </c>
      <c r="CT89" s="625">
        <v>3874.2119296179008</v>
      </c>
      <c r="CU89" s="625">
        <v>3882.2121772525616</v>
      </c>
      <c r="CV89" s="625">
        <v>3889.6563191024434</v>
      </c>
      <c r="CW89" s="625">
        <v>3896.5410107872549</v>
      </c>
      <c r="CX89" s="625">
        <v>3902.8631485772576</v>
      </c>
      <c r="CY89" s="625">
        <v>3908.6198717214088</v>
      </c>
      <c r="CZ89" s="625">
        <v>3913.8085646011186</v>
      </c>
      <c r="DA89" s="625">
        <v>3918.4268587073479</v>
      </c>
      <c r="DB89" s="625">
        <v>3922.4726344389633</v>
      </c>
      <c r="DC89" s="625">
        <v>3925.9440227204418</v>
      </c>
      <c r="DD89" s="625">
        <v>3928.8394064371982</v>
      </c>
      <c r="DE89" s="625">
        <v>3931.1574216869967</v>
      </c>
      <c r="DF89" s="625">
        <v>3932.8969588460927</v>
      </c>
      <c r="DG89" s="625">
        <v>3934.057163448952</v>
      </c>
      <c r="DH89" s="625">
        <v>3934.6374368805605</v>
      </c>
      <c r="DI89" s="625">
        <v>3934.6374368805605</v>
      </c>
      <c r="DJ89" s="625">
        <v>3934.6374368805605</v>
      </c>
      <c r="DK89" s="625">
        <v>3934.6374368805605</v>
      </c>
      <c r="DL89" s="625">
        <v>3934.6374368805605</v>
      </c>
      <c r="DM89" s="625">
        <v>3934.6374368805605</v>
      </c>
      <c r="DN89" s="625">
        <v>3934.6374368805605</v>
      </c>
      <c r="DO89" s="625">
        <v>3934.6374368805605</v>
      </c>
      <c r="DP89" s="625">
        <v>3934.6374368805605</v>
      </c>
      <c r="DQ89" s="625">
        <v>3934.6374368805605</v>
      </c>
      <c r="DR89" s="625">
        <v>3934.6374368805605</v>
      </c>
      <c r="DS89" s="625">
        <v>3934.6374368805605</v>
      </c>
      <c r="DT89" s="625">
        <v>3934.6374368805605</v>
      </c>
      <c r="DU89" s="625">
        <v>3934.6374368805605</v>
      </c>
      <c r="DV89" s="625">
        <v>3934.6374368805605</v>
      </c>
      <c r="DW89" s="625">
        <v>3934.6374368805605</v>
      </c>
      <c r="DX89" s="625">
        <v>3934.6374368805605</v>
      </c>
      <c r="DY89" s="625">
        <v>3934.6374368805605</v>
      </c>
      <c r="DZ89" s="625">
        <v>3934.6374368805605</v>
      </c>
      <c r="EA89" s="625">
        <v>3934.6374368805605</v>
      </c>
      <c r="EB89" s="625">
        <v>3934.6374368805605</v>
      </c>
      <c r="EC89" s="625">
        <v>3934.6374368805605</v>
      </c>
      <c r="ED89" s="625">
        <v>3934.6374368805605</v>
      </c>
      <c r="EE89" s="625">
        <v>3934.6374368805605</v>
      </c>
      <c r="EF89" s="625">
        <v>3934.6374368805605</v>
      </c>
      <c r="EG89" s="625">
        <v>3934.6374368805605</v>
      </c>
      <c r="EH89" s="625">
        <v>3934.6374368805605</v>
      </c>
      <c r="EI89" s="625">
        <v>3934.6374368805605</v>
      </c>
      <c r="EJ89" s="625">
        <v>3934.6374368805605</v>
      </c>
      <c r="EK89" s="625">
        <v>3934.6374368805605</v>
      </c>
      <c r="EL89" s="625">
        <v>3934.6374368805605</v>
      </c>
      <c r="EM89" s="625">
        <v>3934.6374368805605</v>
      </c>
      <c r="EN89" s="1133">
        <v>3934.6374368805605</v>
      </c>
      <c r="EO89" s="1162">
        <v>3934.6374368805605</v>
      </c>
    </row>
    <row r="90" spans="1:146" x14ac:dyDescent="0.35">
      <c r="A90" s="275" t="s">
        <v>1457</v>
      </c>
      <c r="B90" s="65" t="s">
        <v>1471</v>
      </c>
      <c r="C90" s="65" t="s">
        <v>1472</v>
      </c>
      <c r="D90" s="101">
        <v>45251</v>
      </c>
      <c r="E90" s="221" t="s">
        <v>173</v>
      </c>
      <c r="F90" s="1181"/>
      <c r="G90" s="218" t="s">
        <v>1468</v>
      </c>
      <c r="H90" s="65" t="s">
        <v>678</v>
      </c>
      <c r="I90" s="65"/>
      <c r="J90" s="65"/>
      <c r="K90" s="65"/>
      <c r="L90" s="65"/>
      <c r="M90" s="65"/>
      <c r="N90" s="65"/>
      <c r="O90" s="65"/>
      <c r="P90" s="65"/>
      <c r="Q90" s="65"/>
      <c r="R90" s="65"/>
      <c r="S90" s="65"/>
      <c r="T90" s="18"/>
      <c r="U90" s="65"/>
      <c r="V90" s="65"/>
      <c r="W90" s="65"/>
      <c r="X90" s="65"/>
      <c r="Y90" s="65"/>
      <c r="Z90" s="65"/>
      <c r="AA90" s="65"/>
      <c r="AB90" s="625">
        <v>2347</v>
      </c>
      <c r="AC90" s="625">
        <v>2399</v>
      </c>
      <c r="AD90" s="625">
        <v>2492</v>
      </c>
      <c r="AE90" s="625">
        <v>2570</v>
      </c>
      <c r="AF90" s="625">
        <v>2626</v>
      </c>
      <c r="AG90" s="625">
        <v>2636</v>
      </c>
      <c r="AH90" s="625">
        <v>2334</v>
      </c>
      <c r="AI90" s="625">
        <v>2330.3892194729824</v>
      </c>
      <c r="AJ90" s="625">
        <v>2326.7784389459657</v>
      </c>
      <c r="AK90" s="625">
        <v>2323.1676584189486</v>
      </c>
      <c r="AL90" s="625">
        <v>2319.5568778919314</v>
      </c>
      <c r="AM90" s="625">
        <v>2315.9460973649143</v>
      </c>
      <c r="AN90" s="625">
        <v>2312.3353168378972</v>
      </c>
      <c r="AO90" s="625">
        <v>2308.72453631088</v>
      </c>
      <c r="AP90" s="625">
        <v>2305.1137557838629</v>
      </c>
      <c r="AQ90" s="625">
        <v>2301.5029752568475</v>
      </c>
      <c r="AR90" s="625">
        <v>2282.4407190738752</v>
      </c>
      <c r="AS90" s="625">
        <v>2263.3784628909029</v>
      </c>
      <c r="AT90" s="625">
        <v>2244.3162067079306</v>
      </c>
      <c r="AU90" s="625">
        <v>2225.2539505249583</v>
      </c>
      <c r="AV90" s="625">
        <v>2206.191694341986</v>
      </c>
      <c r="AW90" s="625">
        <v>2187.1294381590137</v>
      </c>
      <c r="AX90" s="625">
        <v>2168.0671819760414</v>
      </c>
      <c r="AY90" s="625">
        <v>2149.0049257930691</v>
      </c>
      <c r="AZ90" s="625">
        <v>2129.9426696100968</v>
      </c>
      <c r="BA90" s="625">
        <v>2110.8804134271245</v>
      </c>
      <c r="BB90" s="625">
        <v>2091.8181572441522</v>
      </c>
      <c r="BC90" s="625">
        <v>2072.7559010611799</v>
      </c>
      <c r="BD90" s="625">
        <v>2053.6936448782076</v>
      </c>
      <c r="BE90" s="625">
        <v>2034.6313886952353</v>
      </c>
      <c r="BF90" s="625">
        <v>2015.5691325122632</v>
      </c>
      <c r="BG90" s="625">
        <v>1996.5068763292907</v>
      </c>
      <c r="BH90" s="625">
        <v>1977.4446201463184</v>
      </c>
      <c r="BI90" s="625">
        <v>1958.3823639633458</v>
      </c>
      <c r="BJ90" s="625">
        <v>1939.3201077803737</v>
      </c>
      <c r="BK90" s="625">
        <v>1920.2578515974014</v>
      </c>
      <c r="BL90" s="625">
        <v>1901.1955954144291</v>
      </c>
      <c r="BM90" s="625">
        <v>1882.1333392314571</v>
      </c>
      <c r="BN90" s="625">
        <v>1863.0710830484845</v>
      </c>
      <c r="BO90" s="625">
        <v>1844.0088268655122</v>
      </c>
      <c r="BP90" s="625">
        <v>1824.9465706825397</v>
      </c>
      <c r="BQ90" s="625">
        <v>1805.8843144995676</v>
      </c>
      <c r="BR90" s="625">
        <v>1786.8220583165955</v>
      </c>
      <c r="BS90" s="625">
        <v>1767.7598021336228</v>
      </c>
      <c r="BT90" s="625">
        <v>1748.6975459506505</v>
      </c>
      <c r="BU90" s="625">
        <v>1729.6352897676802</v>
      </c>
      <c r="BV90" s="625">
        <v>1703.015350283626</v>
      </c>
      <c r="BW90" s="625">
        <v>1677.5296347852213</v>
      </c>
      <c r="BX90" s="625">
        <v>1652.2629738314881</v>
      </c>
      <c r="BY90" s="625">
        <v>1627.2313123566462</v>
      </c>
      <c r="BZ90" s="625">
        <v>1602.4496332347635</v>
      </c>
      <c r="CA90" s="625">
        <v>1577.9319794866274</v>
      </c>
      <c r="CB90" s="625">
        <v>1553.6914777928471</v>
      </c>
      <c r="CC90" s="625">
        <v>1529.7403631611264</v>
      </c>
      <c r="CD90" s="625">
        <v>1506.0900046017903</v>
      </c>
      <c r="CE90" s="625">
        <v>1482.7509316720618</v>
      </c>
      <c r="CF90" s="625">
        <v>1459.7328617561998</v>
      </c>
      <c r="CG90" s="625">
        <v>1437.0447279553136</v>
      </c>
      <c r="CH90" s="625">
        <v>1414.6947074675759</v>
      </c>
      <c r="CI90" s="625">
        <v>1392.6902503464216</v>
      </c>
      <c r="CJ90" s="625">
        <v>1371.0381085312674</v>
      </c>
      <c r="CK90" s="625">
        <v>1349.7443650522007</v>
      </c>
      <c r="CL90" s="625">
        <v>1328.8144633169386</v>
      </c>
      <c r="CM90" s="625">
        <v>1308.2532363951718</v>
      </c>
      <c r="CN90" s="625">
        <v>1288.0649362220558</v>
      </c>
      <c r="CO90" s="625">
        <v>1268.2532626492073</v>
      </c>
      <c r="CP90" s="625">
        <v>1248.8213922779519</v>
      </c>
      <c r="CQ90" s="625">
        <v>1229.7720070158241</v>
      </c>
      <c r="CR90" s="625">
        <v>1211.1073223033859</v>
      </c>
      <c r="CS90" s="625">
        <v>1192.8291149643248</v>
      </c>
      <c r="CT90" s="625">
        <v>1174.9387506374405</v>
      </c>
      <c r="CU90" s="625">
        <v>1157.4372107546312</v>
      </c>
      <c r="CV90" s="625">
        <v>1140.3251190342305</v>
      </c>
      <c r="CW90" s="625">
        <v>1123.6027674640918</v>
      </c>
      <c r="CX90" s="625">
        <v>1107.2701417536446</v>
      </c>
      <c r="CY90" s="625">
        <v>1091.3269462387489</v>
      </c>
      <c r="CZ90" s="625">
        <v>1075.7726282275755</v>
      </c>
      <c r="DA90" s="625">
        <v>1060.606401779919</v>
      </c>
      <c r="DB90" s="625">
        <v>1045.82727091631</v>
      </c>
      <c r="DC90" s="625">
        <v>1031.4340522571049</v>
      </c>
      <c r="DD90" s="625">
        <v>1017.4253970952666</v>
      </c>
      <c r="DE90" s="625">
        <v>1003.7998129099923</v>
      </c>
      <c r="DF90" s="625">
        <v>990.55568433153508</v>
      </c>
      <c r="DG90" s="625">
        <v>977.69129357063355</v>
      </c>
      <c r="DH90" s="625">
        <v>965.2048403288801</v>
      </c>
      <c r="DI90" s="625">
        <v>953.09446120909354</v>
      </c>
      <c r="DJ90" s="625">
        <v>941.49711947253957</v>
      </c>
      <c r="DK90" s="625">
        <v>930.40593353266854</v>
      </c>
      <c r="DL90" s="625">
        <v>919.81439818173897</v>
      </c>
      <c r="DM90" s="625">
        <v>909.71639635840347</v>
      </c>
      <c r="DN90" s="625">
        <v>900.10621100015078</v>
      </c>
      <c r="DO90" s="625">
        <v>890.97853706018998</v>
      </c>
      <c r="DP90" s="625">
        <v>882.32849377016703</v>
      </c>
      <c r="DQ90" s="625">
        <v>874.15163723216358</v>
      </c>
      <c r="DR90" s="625">
        <v>866.4439734258624</v>
      </c>
      <c r="DS90" s="625">
        <v>859.20197171951588</v>
      </c>
      <c r="DT90" s="625">
        <v>852.42257897654304</v>
      </c>
      <c r="DU90" s="625">
        <v>846.10323435318196</v>
      </c>
      <c r="DV90" s="625">
        <v>840.24188488669904</v>
      </c>
      <c r="DW90" s="625">
        <v>834.83700197827864</v>
      </c>
      <c r="DX90" s="625">
        <v>829.88759887986225</v>
      </c>
      <c r="DY90" s="625">
        <v>825.39324930000453</v>
      </c>
      <c r="DZ90" s="625">
        <v>821.3541072502843</v>
      </c>
      <c r="EA90" s="625">
        <v>817.77092826098283</v>
      </c>
      <c r="EB90" s="625">
        <v>814.64509210277788</v>
      </c>
      <c r="EC90" s="625">
        <v>811.97862716005272</v>
      </c>
      <c r="ED90" s="625">
        <v>809.77423661128978</v>
      </c>
      <c r="EE90" s="625">
        <v>808.03532658290476</v>
      </c>
      <c r="EF90" s="625">
        <v>806.76603645491991</v>
      </c>
      <c r="EG90" s="625">
        <v>805.97127151020629</v>
      </c>
      <c r="EH90" s="625">
        <v>805.65673813369733</v>
      </c>
      <c r="EI90" s="625">
        <v>805.82898178421522</v>
      </c>
      <c r="EJ90" s="625">
        <v>806.49542797941353</v>
      </c>
      <c r="EK90" s="625">
        <v>807.66442655409003</v>
      </c>
      <c r="EL90" s="625">
        <v>809.34529947382498</v>
      </c>
      <c r="EM90" s="625">
        <v>811.54839250991097</v>
      </c>
      <c r="EN90" s="1133">
        <v>814.28513110791198</v>
      </c>
      <c r="EO90" s="1162">
        <v>817.56808081133772</v>
      </c>
    </row>
    <row r="91" spans="1:146" x14ac:dyDescent="0.35">
      <c r="A91" s="275" t="s">
        <v>1457</v>
      </c>
      <c r="B91" s="65" t="s">
        <v>1473</v>
      </c>
      <c r="C91" s="65"/>
      <c r="D91" s="101">
        <v>45251</v>
      </c>
      <c r="E91" s="221" t="s">
        <v>173</v>
      </c>
      <c r="F91" s="1181"/>
      <c r="G91" s="218" t="s">
        <v>1465</v>
      </c>
      <c r="H91" s="65" t="s">
        <v>1474</v>
      </c>
      <c r="I91" s="65"/>
      <c r="J91" s="65"/>
      <c r="K91" s="65"/>
      <c r="L91" s="65"/>
      <c r="M91" s="65"/>
      <c r="N91" s="65"/>
      <c r="O91" s="65"/>
      <c r="P91" s="65"/>
      <c r="Q91" s="65"/>
      <c r="R91" s="65"/>
      <c r="S91" s="65"/>
      <c r="T91" s="18"/>
      <c r="U91" s="65"/>
      <c r="V91" s="65"/>
      <c r="W91" s="65"/>
      <c r="X91" s="65"/>
      <c r="Y91" s="65"/>
      <c r="Z91" s="65"/>
      <c r="AA91" s="65"/>
      <c r="AB91" s="625"/>
      <c r="AC91" s="625"/>
      <c r="AD91" s="625"/>
      <c r="AE91" s="625"/>
      <c r="AF91" s="625"/>
      <c r="AG91" s="625"/>
      <c r="AH91" s="625">
        <v>7450</v>
      </c>
      <c r="AI91" s="625">
        <v>7557.28</v>
      </c>
      <c r="AJ91" s="625">
        <v>7666.1048319999991</v>
      </c>
      <c r="AK91" s="625">
        <v>7776.4967415807987</v>
      </c>
      <c r="AL91" s="625">
        <v>7888.4782946595624</v>
      </c>
      <c r="AM91" s="625">
        <v>8002.0723821026595</v>
      </c>
      <c r="AN91" s="625">
        <v>8117.302224404938</v>
      </c>
      <c r="AO91" s="625">
        <v>8234.191376436369</v>
      </c>
      <c r="AP91" s="625">
        <v>8352.7637322570517</v>
      </c>
      <c r="AQ91" s="625">
        <v>8473.0435300015524</v>
      </c>
      <c r="AR91" s="625">
        <v>8508.6303128275595</v>
      </c>
      <c r="AS91" s="625">
        <v>8544.3665601414359</v>
      </c>
      <c r="AT91" s="625">
        <v>8580.2528996940291</v>
      </c>
      <c r="AU91" s="625">
        <v>8616.2899618727442</v>
      </c>
      <c r="AV91" s="625">
        <v>8652.4783797126092</v>
      </c>
      <c r="AW91" s="625">
        <v>8688.8187889074015</v>
      </c>
      <c r="AX91" s="625">
        <v>8725.3118278208131</v>
      </c>
      <c r="AY91" s="625">
        <v>8761.9581374976606</v>
      </c>
      <c r="AZ91" s="625">
        <v>8798.7583616751508</v>
      </c>
      <c r="BA91" s="625">
        <v>8835.7131467941854</v>
      </c>
      <c r="BB91" s="625">
        <v>8872.8231420107204</v>
      </c>
      <c r="BC91" s="625">
        <v>8910.0889992071661</v>
      </c>
      <c r="BD91" s="625">
        <v>8947.5113730038356</v>
      </c>
      <c r="BE91" s="625">
        <v>8985.0909207704517</v>
      </c>
      <c r="BF91" s="625">
        <v>9022.8283026376866</v>
      </c>
      <c r="BG91" s="625">
        <v>9060.7241815087655</v>
      </c>
      <c r="BH91" s="625">
        <v>9098.779223071102</v>
      </c>
      <c r="BI91" s="625">
        <v>9136.9940958080006</v>
      </c>
      <c r="BJ91" s="625">
        <v>9175.3694710103937</v>
      </c>
      <c r="BK91" s="625">
        <v>9213.9060227886366</v>
      </c>
      <c r="BL91" s="625">
        <v>9252.6044280843489</v>
      </c>
      <c r="BM91" s="625">
        <v>9291.4653666823033</v>
      </c>
      <c r="BN91" s="625">
        <v>9330.4895212223691</v>
      </c>
      <c r="BO91" s="625">
        <v>9369.6775772115034</v>
      </c>
      <c r="BP91" s="625">
        <v>9409.030223035792</v>
      </c>
      <c r="BQ91" s="625">
        <v>9448.5481499725429</v>
      </c>
      <c r="BR91" s="625">
        <v>9488.2320522024274</v>
      </c>
      <c r="BS91" s="625">
        <v>9528.082626821677</v>
      </c>
      <c r="BT91" s="625">
        <v>9568.1005738543281</v>
      </c>
      <c r="BU91" s="625">
        <v>9608.2865962645155</v>
      </c>
      <c r="BV91" s="625">
        <v>9645.7589139899464</v>
      </c>
      <c r="BW91" s="625">
        <v>9682.4127978631077</v>
      </c>
      <c r="BX91" s="625">
        <v>9718.2377252152019</v>
      </c>
      <c r="BY91" s="625">
        <v>9753.2233810259768</v>
      </c>
      <c r="BZ91" s="625">
        <v>9787.3596628595678</v>
      </c>
      <c r="CA91" s="625">
        <v>9820.6366857132907</v>
      </c>
      <c r="CB91" s="625">
        <v>9853.044786776145</v>
      </c>
      <c r="CC91" s="625">
        <v>9884.5745300938288</v>
      </c>
      <c r="CD91" s="625">
        <v>9915.21671113712</v>
      </c>
      <c r="CE91" s="625">
        <v>9944.9623612705309</v>
      </c>
      <c r="CF91" s="625">
        <v>9973.8027521182139</v>
      </c>
      <c r="CG91" s="625">
        <v>10001.729399824144</v>
      </c>
      <c r="CH91" s="625">
        <v>10028.734069203669</v>
      </c>
      <c r="CI91" s="625">
        <v>10054.808777783597</v>
      </c>
      <c r="CJ91" s="625">
        <v>10079.945799728055</v>
      </c>
      <c r="CK91" s="625">
        <v>10104.137669647402</v>
      </c>
      <c r="CL91" s="625">
        <v>10127.377186287591</v>
      </c>
      <c r="CM91" s="625">
        <v>10149.657416097423</v>
      </c>
      <c r="CN91" s="625">
        <v>10170.971696671228</v>
      </c>
      <c r="CO91" s="625">
        <v>10191.313640064571</v>
      </c>
      <c r="CP91" s="625">
        <v>10210.677135980693</v>
      </c>
      <c r="CQ91" s="625">
        <v>10229.056354825459</v>
      </c>
      <c r="CR91" s="625">
        <v>10246.445750628664</v>
      </c>
      <c r="CS91" s="625">
        <v>10262.84006382967</v>
      </c>
      <c r="CT91" s="625">
        <v>10278.234323925415</v>
      </c>
      <c r="CU91" s="625">
        <v>10292.623851978911</v>
      </c>
      <c r="CV91" s="625">
        <v>10306.004262986484</v>
      </c>
      <c r="CW91" s="625">
        <v>10318.371468102068</v>
      </c>
      <c r="CX91" s="625">
        <v>10329.721676716981</v>
      </c>
      <c r="CY91" s="625">
        <v>10340.0513983937</v>
      </c>
      <c r="CZ91" s="625">
        <v>10349.357444652253</v>
      </c>
      <c r="DA91" s="625">
        <v>10357.636930607974</v>
      </c>
      <c r="DB91" s="625">
        <v>10364.8872764594</v>
      </c>
      <c r="DC91" s="625">
        <v>10371.106208825275</v>
      </c>
      <c r="DD91" s="625">
        <v>10376.291761929688</v>
      </c>
      <c r="DE91" s="625">
        <v>10380.442278634458</v>
      </c>
      <c r="DF91" s="625">
        <v>10383.556411318048</v>
      </c>
      <c r="DG91" s="625">
        <v>10385.633122600311</v>
      </c>
      <c r="DH91" s="625">
        <v>10386.671685912572</v>
      </c>
      <c r="DI91" s="625">
        <v>10386.671685912572</v>
      </c>
      <c r="DJ91" s="625">
        <v>10386.671685912572</v>
      </c>
      <c r="DK91" s="625">
        <v>10386.671685912572</v>
      </c>
      <c r="DL91" s="625">
        <v>10386.671685912572</v>
      </c>
      <c r="DM91" s="625">
        <v>10386.671685912572</v>
      </c>
      <c r="DN91" s="625">
        <v>10386.671685912572</v>
      </c>
      <c r="DO91" s="625">
        <v>10386.671685912572</v>
      </c>
      <c r="DP91" s="625">
        <v>10386.671685912572</v>
      </c>
      <c r="DQ91" s="625">
        <v>10386.671685912572</v>
      </c>
      <c r="DR91" s="625">
        <v>10386.671685912572</v>
      </c>
      <c r="DS91" s="625">
        <v>10386.671685912572</v>
      </c>
      <c r="DT91" s="625">
        <v>10386.671685912572</v>
      </c>
      <c r="DU91" s="625">
        <v>10386.671685912572</v>
      </c>
      <c r="DV91" s="625">
        <v>10386.671685912572</v>
      </c>
      <c r="DW91" s="625">
        <v>10386.671685912572</v>
      </c>
      <c r="DX91" s="625">
        <v>10386.671685912572</v>
      </c>
      <c r="DY91" s="625">
        <v>10386.671685912572</v>
      </c>
      <c r="DZ91" s="625">
        <v>10386.671685912572</v>
      </c>
      <c r="EA91" s="625">
        <v>10386.671685912572</v>
      </c>
      <c r="EB91" s="625">
        <v>10386.671685912572</v>
      </c>
      <c r="EC91" s="625">
        <v>10386.671685912572</v>
      </c>
      <c r="ED91" s="625">
        <v>10386.671685912572</v>
      </c>
      <c r="EE91" s="625">
        <v>10386.671685912572</v>
      </c>
      <c r="EF91" s="625">
        <v>10386.671685912572</v>
      </c>
      <c r="EG91" s="625">
        <v>10386.671685912572</v>
      </c>
      <c r="EH91" s="625">
        <v>10386.671685912572</v>
      </c>
      <c r="EI91" s="625">
        <v>10386.671685912572</v>
      </c>
      <c r="EJ91" s="625">
        <v>10386.671685912572</v>
      </c>
      <c r="EK91" s="625">
        <v>10386.671685912572</v>
      </c>
      <c r="EL91" s="625">
        <v>10386.671685912572</v>
      </c>
      <c r="EM91" s="625">
        <v>10386.671685912572</v>
      </c>
      <c r="EN91" s="1133">
        <v>10386.671685912572</v>
      </c>
      <c r="EO91" s="1162">
        <v>10386.671685912572</v>
      </c>
    </row>
    <row r="92" spans="1:146" x14ac:dyDescent="0.35">
      <c r="A92" s="275" t="s">
        <v>1457</v>
      </c>
      <c r="B92" s="65" t="s">
        <v>1475</v>
      </c>
      <c r="C92" s="65" t="s">
        <v>1476</v>
      </c>
      <c r="D92" s="101">
        <v>45251</v>
      </c>
      <c r="E92" s="221" t="s">
        <v>173</v>
      </c>
      <c r="F92" s="1181"/>
      <c r="G92" s="218" t="s">
        <v>1477</v>
      </c>
      <c r="H92" s="65" t="s">
        <v>1474</v>
      </c>
      <c r="I92" s="65"/>
      <c r="J92" s="65"/>
      <c r="K92" s="65"/>
      <c r="L92" s="65"/>
      <c r="M92" s="65"/>
      <c r="N92" s="65"/>
      <c r="O92" s="65"/>
      <c r="P92" s="65"/>
      <c r="Q92" s="65"/>
      <c r="R92" s="65"/>
      <c r="S92" s="65"/>
      <c r="T92" s="18"/>
      <c r="U92" s="65"/>
      <c r="V92" s="65"/>
      <c r="W92" s="65"/>
      <c r="X92" s="65"/>
      <c r="Y92" s="65"/>
      <c r="Z92" s="65"/>
      <c r="AA92" s="65"/>
      <c r="AB92" s="625"/>
      <c r="AC92" s="625"/>
      <c r="AD92" s="625"/>
      <c r="AE92" s="625"/>
      <c r="AF92" s="625"/>
      <c r="AG92" s="625"/>
      <c r="AH92" s="625">
        <v>1491</v>
      </c>
      <c r="AI92" s="625">
        <v>1465.8856633183107</v>
      </c>
      <c r="AJ92" s="625">
        <v>1440.7713266366213</v>
      </c>
      <c r="AK92" s="625">
        <v>1415.656989954932</v>
      </c>
      <c r="AL92" s="625">
        <v>1390.5426532732426</v>
      </c>
      <c r="AM92" s="625">
        <v>1365.4283165915533</v>
      </c>
      <c r="AN92" s="625">
        <v>1340.313979909864</v>
      </c>
      <c r="AO92" s="625">
        <v>1315.1996432281746</v>
      </c>
      <c r="AP92" s="625">
        <v>1290.0853065464853</v>
      </c>
      <c r="AQ92" s="625">
        <v>1264.9709698647957</v>
      </c>
      <c r="AR92" s="625">
        <v>1230.1629099094635</v>
      </c>
      <c r="AS92" s="625">
        <v>1195.3548499541309</v>
      </c>
      <c r="AT92" s="625">
        <v>1160.5467899987984</v>
      </c>
      <c r="AU92" s="625">
        <v>1125.7387300434659</v>
      </c>
      <c r="AV92" s="625">
        <v>1090.9306700881334</v>
      </c>
      <c r="AW92" s="625">
        <v>1056.1226101328009</v>
      </c>
      <c r="AX92" s="625">
        <v>1021.3145501774684</v>
      </c>
      <c r="AY92" s="625">
        <v>986.50649022213588</v>
      </c>
      <c r="AZ92" s="625">
        <v>951.69843026680337</v>
      </c>
      <c r="BA92" s="625">
        <v>916.89037031147086</v>
      </c>
      <c r="BB92" s="625">
        <v>882.08231035613835</v>
      </c>
      <c r="BC92" s="625">
        <v>847.27425040080584</v>
      </c>
      <c r="BD92" s="625">
        <v>812.46619044547333</v>
      </c>
      <c r="BE92" s="625">
        <v>777.65813049014082</v>
      </c>
      <c r="BF92" s="625">
        <v>742.85007053480831</v>
      </c>
      <c r="BG92" s="625">
        <v>708.0420105794758</v>
      </c>
      <c r="BH92" s="625">
        <v>673.23395062414329</v>
      </c>
      <c r="BI92" s="625">
        <v>638.42589066881078</v>
      </c>
      <c r="BJ92" s="625">
        <v>603.61783071347827</v>
      </c>
      <c r="BK92" s="625">
        <v>568.80977075814576</v>
      </c>
      <c r="BL92" s="625">
        <v>534.00171080281325</v>
      </c>
      <c r="BM92" s="625">
        <v>499.1936508474808</v>
      </c>
      <c r="BN92" s="625">
        <v>464.38559089214829</v>
      </c>
      <c r="BO92" s="625">
        <v>429.57753093681589</v>
      </c>
      <c r="BP92" s="625">
        <v>394.76947098148349</v>
      </c>
      <c r="BQ92" s="625">
        <v>359.96141102615098</v>
      </c>
      <c r="BR92" s="625">
        <v>325.15335107081853</v>
      </c>
      <c r="BS92" s="625">
        <v>290.34529111548608</v>
      </c>
      <c r="BT92" s="625">
        <v>255.53723116015362</v>
      </c>
      <c r="BU92" s="625">
        <v>220.72917120482225</v>
      </c>
      <c r="BV92" s="625">
        <v>205.03036845061098</v>
      </c>
      <c r="BW92" s="625">
        <v>180.63210706930286</v>
      </c>
      <c r="BX92" s="625">
        <v>158.0768136178485</v>
      </c>
      <c r="BY92" s="625">
        <v>137.38691090314947</v>
      </c>
      <c r="BZ92" s="625">
        <v>118.55885474478107</v>
      </c>
      <c r="CA92" s="625">
        <v>101.5644157239729</v>
      </c>
      <c r="CB92" s="625">
        <v>86.352633474746838</v>
      </c>
      <c r="CC92" s="625">
        <v>72.852342898325901</v>
      </c>
      <c r="CD92" s="625">
        <v>60.975149602979691</v>
      </c>
      <c r="CE92" s="625">
        <v>50.618716873937252</v>
      </c>
      <c r="CF92" s="625">
        <v>41.670219362701573</v>
      </c>
      <c r="CG92" s="625">
        <v>34.009819679019245</v>
      </c>
      <c r="CH92" s="625">
        <v>27.514032810881154</v>
      </c>
      <c r="CI92" s="625">
        <v>22.058858878418373</v>
      </c>
      <c r="CJ92" s="625">
        <v>17.522585776482586</v>
      </c>
      <c r="CK92" s="625">
        <v>13.788188077115819</v>
      </c>
      <c r="CL92" s="625">
        <v>10.745275270587765</v>
      </c>
      <c r="CM92" s="625">
        <v>8.2915691358075083</v>
      </c>
      <c r="CN92" s="625">
        <v>6.33391500942151</v>
      </c>
      <c r="CO92" s="625">
        <v>4.7888535123624969</v>
      </c>
      <c r="CP92" s="625">
        <v>3.5827968191940314</v>
      </c>
      <c r="CQ92" s="625">
        <v>2.6518661819641554</v>
      </c>
      <c r="CR92" s="625">
        <v>1.9414549542413944</v>
      </c>
      <c r="CS92" s="625">
        <v>1.4055840210465902</v>
      </c>
      <c r="CT92" s="625">
        <v>1.0061148859312024</v>
      </c>
      <c r="CU92" s="625">
        <v>0.71188050393863656</v>
      </c>
      <c r="CV92" s="625">
        <v>0.49778622685004748</v>
      </c>
      <c r="CW92" s="625">
        <v>0.34392393099329588</v>
      </c>
      <c r="CX92" s="625">
        <v>0.23473246000428327</v>
      </c>
      <c r="CY92" s="625">
        <v>0.15822774162028005</v>
      </c>
      <c r="CZ92" s="625">
        <v>0.10531696245471131</v>
      </c>
      <c r="DA92" s="625">
        <v>6.9203446983041345E-2</v>
      </c>
      <c r="DB92" s="625">
        <v>4.4882633060119762E-2</v>
      </c>
      <c r="DC92" s="625">
        <v>2.872483985076214E-2</v>
      </c>
      <c r="DD92" s="625">
        <v>1.8137318721931261E-2</v>
      </c>
      <c r="DE92" s="625">
        <v>1.1296196131609619E-2</v>
      </c>
      <c r="DF92" s="625">
        <v>6.9381314762581329E-3</v>
      </c>
      <c r="DG92" s="625">
        <v>4.2015687965606032E-3</v>
      </c>
      <c r="DH92" s="625">
        <v>2.5081099801356225E-3</v>
      </c>
      <c r="DI92" s="625">
        <v>1.47555468029442E-3</v>
      </c>
      <c r="DJ92" s="625">
        <v>8.5543811467362273E-4</v>
      </c>
      <c r="DK92" s="625">
        <v>4.8860053438036608E-4</v>
      </c>
      <c r="DL92" s="625">
        <v>2.7488992711975418E-4</v>
      </c>
      <c r="DM92" s="625">
        <v>1.5230380642343216E-4</v>
      </c>
      <c r="DN92" s="625">
        <v>8.3083967456519238E-5</v>
      </c>
      <c r="DO92" s="625">
        <v>4.4615496441360235E-5</v>
      </c>
      <c r="DP92" s="625">
        <v>2.3578911982849814E-5</v>
      </c>
      <c r="DQ92" s="625">
        <v>1.2261364883836563E-5</v>
      </c>
      <c r="DR92" s="625">
        <v>6.2724670899199007E-6</v>
      </c>
      <c r="DS92" s="625">
        <v>3.1559490295486046E-6</v>
      </c>
      <c r="DT92" s="625">
        <v>1.5614248230472345E-6</v>
      </c>
      <c r="DU92" s="625">
        <v>7.5948496923844559E-7</v>
      </c>
      <c r="DV92" s="625">
        <v>3.6310463067357032E-7</v>
      </c>
      <c r="DW92" s="625">
        <v>1.7059503500570249E-7</v>
      </c>
      <c r="DX92" s="625">
        <v>7.8746358195681642E-8</v>
      </c>
      <c r="DY92" s="625">
        <v>3.5705206964672761E-8</v>
      </c>
      <c r="DZ92" s="625">
        <v>1.5899267381067515E-8</v>
      </c>
      <c r="EA92" s="625">
        <v>6.951437908608555E-9</v>
      </c>
      <c r="EB92" s="625">
        <v>2.9835385575776376E-9</v>
      </c>
      <c r="EC92" s="625">
        <v>1.2567694897191E-9</v>
      </c>
      <c r="ED92" s="625">
        <v>5.1946233758673682E-10</v>
      </c>
      <c r="EE92" s="625">
        <v>2.1063690262398296E-10</v>
      </c>
      <c r="EF92" s="625">
        <v>8.3773046126812888E-11</v>
      </c>
      <c r="EG92" s="625">
        <v>3.2671652649546632E-11</v>
      </c>
      <c r="EH92" s="625">
        <v>1.249229820088452E-11</v>
      </c>
      <c r="EI92" s="625">
        <v>4.6819365191382995E-12</v>
      </c>
      <c r="EJ92" s="625">
        <v>1.719602759692563E-12</v>
      </c>
      <c r="EK92" s="625">
        <v>6.1881050160007997E-13</v>
      </c>
      <c r="EL92" s="625">
        <v>2.1813313545290842E-13</v>
      </c>
      <c r="EM92" s="625">
        <v>7.5305644297475684E-14</v>
      </c>
      <c r="EN92" s="1133">
        <v>2.5455570252152808E-14</v>
      </c>
      <c r="EO92" s="1162">
        <v>8.423547766622846E-15</v>
      </c>
    </row>
    <row r="93" spans="1:146" x14ac:dyDescent="0.35">
      <c r="A93" s="275" t="s">
        <v>1457</v>
      </c>
      <c r="B93" s="65" t="s">
        <v>1478</v>
      </c>
      <c r="C93" s="65" t="s">
        <v>1464</v>
      </c>
      <c r="D93" s="101">
        <v>45251</v>
      </c>
      <c r="E93" s="221" t="s">
        <v>173</v>
      </c>
      <c r="F93" s="1181"/>
      <c r="G93" s="218" t="s">
        <v>1465</v>
      </c>
      <c r="H93" s="65" t="s">
        <v>603</v>
      </c>
      <c r="I93" s="65"/>
      <c r="J93" s="65"/>
      <c r="K93" s="65"/>
      <c r="L93" s="65"/>
      <c r="M93" s="65"/>
      <c r="N93" s="65"/>
      <c r="O93" s="65"/>
      <c r="P93" s="65"/>
      <c r="Q93" s="65"/>
      <c r="R93" s="65"/>
      <c r="S93" s="65"/>
      <c r="T93" s="65"/>
      <c r="U93" s="65"/>
      <c r="V93" s="65"/>
      <c r="W93" s="65"/>
      <c r="X93" s="65"/>
      <c r="Y93" s="65"/>
      <c r="Z93" s="65"/>
      <c r="AA93" s="65"/>
      <c r="AB93" s="625">
        <v>563</v>
      </c>
      <c r="AC93" s="625">
        <v>557</v>
      </c>
      <c r="AD93" s="625">
        <v>571</v>
      </c>
      <c r="AE93" s="625">
        <v>574</v>
      </c>
      <c r="AF93" s="625">
        <v>567</v>
      </c>
      <c r="AG93" s="625">
        <v>583.5</v>
      </c>
      <c r="AH93" s="625">
        <v>584.55029999999999</v>
      </c>
      <c r="AI93" s="625">
        <v>585.60249053999996</v>
      </c>
      <c r="AJ93" s="625">
        <v>586.65657502297199</v>
      </c>
      <c r="AK93" s="625">
        <v>587.71255685801339</v>
      </c>
      <c r="AL93" s="625">
        <v>588.77043946035781</v>
      </c>
      <c r="AM93" s="625">
        <v>589.83022625138642</v>
      </c>
      <c r="AN93" s="625">
        <v>590.89192065863892</v>
      </c>
      <c r="AO93" s="625">
        <v>591.95552611582445</v>
      </c>
      <c r="AP93" s="625">
        <v>593.02104606283297</v>
      </c>
      <c r="AQ93" s="625">
        <v>594.08848394574613</v>
      </c>
      <c r="AR93" s="625">
        <v>594.68257242969185</v>
      </c>
      <c r="AS93" s="625">
        <v>595.27725500212148</v>
      </c>
      <c r="AT93" s="625">
        <v>595.87253225712357</v>
      </c>
      <c r="AU93" s="625">
        <v>596.46840478938066</v>
      </c>
      <c r="AV93" s="625">
        <v>597.06487319416999</v>
      </c>
      <c r="AW93" s="625">
        <v>597.66193806736408</v>
      </c>
      <c r="AX93" s="625">
        <v>598.25960000543137</v>
      </c>
      <c r="AY93" s="625">
        <v>598.85785960543672</v>
      </c>
      <c r="AZ93" s="625">
        <v>599.45671746504206</v>
      </c>
      <c r="BA93" s="625">
        <v>600.05617418250699</v>
      </c>
      <c r="BB93" s="625">
        <v>600.65623035668943</v>
      </c>
      <c r="BC93" s="625">
        <v>601.2568865870461</v>
      </c>
      <c r="BD93" s="625">
        <v>601.85814347363305</v>
      </c>
      <c r="BE93" s="625">
        <v>602.46000161710663</v>
      </c>
      <c r="BF93" s="625">
        <v>603.06246161872366</v>
      </c>
      <c r="BG93" s="625">
        <v>603.66552408034227</v>
      </c>
      <c r="BH93" s="625">
        <v>604.26918960442254</v>
      </c>
      <c r="BI93" s="625">
        <v>604.87345879402687</v>
      </c>
      <c r="BJ93" s="625">
        <v>605.47833225282079</v>
      </c>
      <c r="BK93" s="625">
        <v>606.08381058507359</v>
      </c>
      <c r="BL93" s="625">
        <v>606.6898943956586</v>
      </c>
      <c r="BM93" s="625">
        <v>607.29658429005417</v>
      </c>
      <c r="BN93" s="625">
        <v>607.90388087434417</v>
      </c>
      <c r="BO93" s="625">
        <v>608.5117847552184</v>
      </c>
      <c r="BP93" s="625">
        <v>609.12029653997354</v>
      </c>
      <c r="BQ93" s="625">
        <v>609.72941683651345</v>
      </c>
      <c r="BR93" s="625">
        <v>610.3391462533499</v>
      </c>
      <c r="BS93" s="625">
        <v>610.94948539960319</v>
      </c>
      <c r="BT93" s="625">
        <v>611.56043488500268</v>
      </c>
      <c r="BU93" s="625">
        <v>612.17199531988763</v>
      </c>
      <c r="BV93" s="625">
        <v>614.55946610163517</v>
      </c>
      <c r="BW93" s="625">
        <v>616.89479207282136</v>
      </c>
      <c r="BX93" s="625">
        <v>619.17730280349087</v>
      </c>
      <c r="BY93" s="625">
        <v>621.40634109358348</v>
      </c>
      <c r="BZ93" s="625">
        <v>623.58126328741105</v>
      </c>
      <c r="CA93" s="625">
        <v>625.70143958258825</v>
      </c>
      <c r="CB93" s="625">
        <v>627.7662543332109</v>
      </c>
      <c r="CC93" s="625">
        <v>629.77510634707721</v>
      </c>
      <c r="CD93" s="625">
        <v>631.72740917675321</v>
      </c>
      <c r="CE93" s="625">
        <v>633.62259140428341</v>
      </c>
      <c r="CF93" s="625">
        <v>635.46009691935581</v>
      </c>
      <c r="CG93" s="625">
        <v>637.23938519072999</v>
      </c>
      <c r="CH93" s="625">
        <v>638.95993153074494</v>
      </c>
      <c r="CI93" s="625">
        <v>640.62122735272487</v>
      </c>
      <c r="CJ93" s="625">
        <v>642.22278042110668</v>
      </c>
      <c r="CK93" s="625">
        <v>643.7641150941173</v>
      </c>
      <c r="CL93" s="625">
        <v>645.2447725588338</v>
      </c>
      <c r="CM93" s="625">
        <v>646.66431105846323</v>
      </c>
      <c r="CN93" s="625">
        <v>648.02230611168602</v>
      </c>
      <c r="CO93" s="625">
        <v>649.31835072390936</v>
      </c>
      <c r="CP93" s="625">
        <v>650.55205559028479</v>
      </c>
      <c r="CQ93" s="625">
        <v>651.72304929034738</v>
      </c>
      <c r="CR93" s="625">
        <v>652.83097847414103</v>
      </c>
      <c r="CS93" s="625">
        <v>653.87550803969964</v>
      </c>
      <c r="CT93" s="625">
        <v>654.85632130175918</v>
      </c>
      <c r="CU93" s="625">
        <v>655.77312015158168</v>
      </c>
      <c r="CV93" s="625">
        <v>656.62562520777874</v>
      </c>
      <c r="CW93" s="625">
        <v>657.4135759580281</v>
      </c>
      <c r="CX93" s="625">
        <v>658.13673089158203</v>
      </c>
      <c r="CY93" s="625">
        <v>658.7948676224737</v>
      </c>
      <c r="CZ93" s="625">
        <v>659.38778300333388</v>
      </c>
      <c r="DA93" s="625">
        <v>659.91529322973645</v>
      </c>
      <c r="DB93" s="625">
        <v>660.37723393499721</v>
      </c>
      <c r="DC93" s="625">
        <v>660.77346027535816</v>
      </c>
      <c r="DD93" s="625">
        <v>661.10384700549582</v>
      </c>
      <c r="DE93" s="625">
        <v>661.36828854429803</v>
      </c>
      <c r="DF93" s="625">
        <v>661.56669903086129</v>
      </c>
      <c r="DG93" s="625">
        <v>661.69901237066745</v>
      </c>
      <c r="DH93" s="625">
        <v>661.76518227190445</v>
      </c>
      <c r="DI93" s="625">
        <v>661.76518227190445</v>
      </c>
      <c r="DJ93" s="625">
        <v>661.76518227190445</v>
      </c>
      <c r="DK93" s="625">
        <v>661.76518227190445</v>
      </c>
      <c r="DL93" s="625">
        <v>661.76518227190445</v>
      </c>
      <c r="DM93" s="625">
        <v>661.76518227190445</v>
      </c>
      <c r="DN93" s="625">
        <v>661.76518227190445</v>
      </c>
      <c r="DO93" s="625">
        <v>661.76518227190445</v>
      </c>
      <c r="DP93" s="625">
        <v>661.76518227190445</v>
      </c>
      <c r="DQ93" s="625">
        <v>661.76518227190445</v>
      </c>
      <c r="DR93" s="625">
        <v>661.76518227190445</v>
      </c>
      <c r="DS93" s="625">
        <v>661.76518227190445</v>
      </c>
      <c r="DT93" s="625">
        <v>661.76518227190445</v>
      </c>
      <c r="DU93" s="625">
        <v>661.76518227190445</v>
      </c>
      <c r="DV93" s="625">
        <v>661.76518227190445</v>
      </c>
      <c r="DW93" s="625">
        <v>661.76518227190445</v>
      </c>
      <c r="DX93" s="625">
        <v>661.76518227190445</v>
      </c>
      <c r="DY93" s="625">
        <v>661.76518227190445</v>
      </c>
      <c r="DZ93" s="625">
        <v>661.76518227190445</v>
      </c>
      <c r="EA93" s="625">
        <v>661.76518227190445</v>
      </c>
      <c r="EB93" s="625">
        <v>661.76518227190445</v>
      </c>
      <c r="EC93" s="625">
        <v>661.76518227190445</v>
      </c>
      <c r="ED93" s="625">
        <v>661.76518227190445</v>
      </c>
      <c r="EE93" s="625">
        <v>661.76518227190445</v>
      </c>
      <c r="EF93" s="625">
        <v>661.76518227190445</v>
      </c>
      <c r="EG93" s="625">
        <v>661.76518227190445</v>
      </c>
      <c r="EH93" s="625">
        <v>661.76518227190445</v>
      </c>
      <c r="EI93" s="625">
        <v>661.76518227190445</v>
      </c>
      <c r="EJ93" s="625">
        <v>661.76518227190445</v>
      </c>
      <c r="EK93" s="625">
        <v>661.76518227190445</v>
      </c>
      <c r="EL93" s="625">
        <v>661.76518227190445</v>
      </c>
      <c r="EM93" s="625">
        <v>661.76518227190445</v>
      </c>
      <c r="EN93" s="1133">
        <v>661.76518227190445</v>
      </c>
      <c r="EO93" s="1162">
        <v>661.76518227190445</v>
      </c>
    </row>
    <row r="94" spans="1:146" x14ac:dyDescent="0.35">
      <c r="A94" s="275" t="s">
        <v>1457</v>
      </c>
      <c r="B94" s="65" t="s">
        <v>1466</v>
      </c>
      <c r="C94" s="65" t="s">
        <v>1467</v>
      </c>
      <c r="D94" s="101">
        <v>45251</v>
      </c>
      <c r="E94" s="221" t="s">
        <v>173</v>
      </c>
      <c r="F94" s="511"/>
      <c r="G94" s="218" t="s">
        <v>1468</v>
      </c>
      <c r="H94" s="65" t="s">
        <v>603</v>
      </c>
      <c r="I94" s="65"/>
      <c r="J94" s="65"/>
      <c r="K94" s="65"/>
      <c r="L94" s="65"/>
      <c r="M94" s="65"/>
      <c r="N94" s="65"/>
      <c r="O94" s="65"/>
      <c r="P94" s="65"/>
      <c r="Q94" s="65"/>
      <c r="R94" s="65"/>
      <c r="S94" s="65"/>
      <c r="T94" s="65"/>
      <c r="U94" s="65"/>
      <c r="V94" s="65"/>
      <c r="W94" s="65"/>
      <c r="X94" s="65"/>
      <c r="Y94" s="65"/>
      <c r="Z94" s="65"/>
      <c r="AA94" s="65"/>
      <c r="AB94" s="1161">
        <v>445</v>
      </c>
      <c r="AC94" s="1161">
        <v>439</v>
      </c>
      <c r="AD94" s="1161">
        <v>452</v>
      </c>
      <c r="AE94" s="1161">
        <v>453</v>
      </c>
      <c r="AF94" s="1160">
        <v>447</v>
      </c>
      <c r="AG94" s="625">
        <v>439</v>
      </c>
      <c r="AH94" s="625">
        <v>571</v>
      </c>
      <c r="AI94" s="625">
        <v>549.7493698539181</v>
      </c>
      <c r="AJ94" s="625">
        <v>528.49873970783619</v>
      </c>
      <c r="AK94" s="625">
        <v>507.24810956175435</v>
      </c>
      <c r="AL94" s="625">
        <v>485.9974794156725</v>
      </c>
      <c r="AM94" s="625">
        <v>464.74684926959065</v>
      </c>
      <c r="AN94" s="625">
        <v>443.49621912350881</v>
      </c>
      <c r="AO94" s="625">
        <v>422.24558897742696</v>
      </c>
      <c r="AP94" s="625">
        <v>400.99495883134512</v>
      </c>
      <c r="AQ94" s="625">
        <v>379.74432868526338</v>
      </c>
      <c r="AR94" s="625">
        <v>371.26421521405246</v>
      </c>
      <c r="AS94" s="625">
        <v>362.78410174284153</v>
      </c>
      <c r="AT94" s="625">
        <v>354.3039882716306</v>
      </c>
      <c r="AU94" s="625">
        <v>345.82387480041967</v>
      </c>
      <c r="AV94" s="625">
        <v>337.34376132920875</v>
      </c>
      <c r="AW94" s="625">
        <v>328.86364785799782</v>
      </c>
      <c r="AX94" s="625">
        <v>320.38353438678689</v>
      </c>
      <c r="AY94" s="625">
        <v>311.90342091557596</v>
      </c>
      <c r="AZ94" s="625">
        <v>303.42330744436504</v>
      </c>
      <c r="BA94" s="625">
        <v>294.94319397315411</v>
      </c>
      <c r="BB94" s="625">
        <v>286.46308050194318</v>
      </c>
      <c r="BC94" s="625">
        <v>277.98296703073225</v>
      </c>
      <c r="BD94" s="625">
        <v>269.50285355952133</v>
      </c>
      <c r="BE94" s="625">
        <v>261.0227400883104</v>
      </c>
      <c r="BF94" s="625">
        <v>252.5426266170995</v>
      </c>
      <c r="BG94" s="625">
        <v>244.06251314588854</v>
      </c>
      <c r="BH94" s="625">
        <v>235.58239967467762</v>
      </c>
      <c r="BI94" s="625">
        <v>227.10228620346669</v>
      </c>
      <c r="BJ94" s="625">
        <v>218.62217273225576</v>
      </c>
      <c r="BK94" s="625">
        <v>210.14205926104484</v>
      </c>
      <c r="BL94" s="625">
        <v>201.66194578983391</v>
      </c>
      <c r="BM94" s="625">
        <v>193.18183231862298</v>
      </c>
      <c r="BN94" s="625">
        <v>184.70171884741205</v>
      </c>
      <c r="BO94" s="625">
        <v>176.22160537620113</v>
      </c>
      <c r="BP94" s="625">
        <v>167.7414919049902</v>
      </c>
      <c r="BQ94" s="625">
        <v>159.26137843377927</v>
      </c>
      <c r="BR94" s="625">
        <v>150.78126496256834</v>
      </c>
      <c r="BS94" s="625">
        <v>142.30115149135742</v>
      </c>
      <c r="BT94" s="625">
        <v>133.82103802014649</v>
      </c>
      <c r="BU94" s="625">
        <v>125.34092454893548</v>
      </c>
      <c r="BV94" s="625">
        <v>116.11680022255618</v>
      </c>
      <c r="BW94" s="625">
        <v>107.99691708776481</v>
      </c>
      <c r="BX94" s="625">
        <v>100.01137735543769</v>
      </c>
      <c r="BY94" s="625">
        <v>92.199968469295484</v>
      </c>
      <c r="BZ94" s="625">
        <v>84.601295339378751</v>
      </c>
      <c r="CA94" s="625">
        <v>77.251992699129929</v>
      </c>
      <c r="CB94" s="625">
        <v>70.185980130984348</v>
      </c>
      <c r="CC94" s="625">
        <v>63.433782640526132</v>
      </c>
      <c r="CD94" s="625">
        <v>57.021938152539278</v>
      </c>
      <c r="CE94" s="625">
        <v>50.9725107565855</v>
      </c>
      <c r="CF94" s="625">
        <v>45.302725024602189</v>
      </c>
      <c r="CG94" s="625">
        <v>40.024732400446702</v>
      </c>
      <c r="CH94" s="625">
        <v>35.145515720463024</v>
      </c>
      <c r="CI94" s="625">
        <v>30.666932611125166</v>
      </c>
      <c r="CJ94" s="625">
        <v>26.585893103183974</v>
      </c>
      <c r="CK94" s="625">
        <v>22.89466159458502</v>
      </c>
      <c r="CL94" s="625">
        <v>19.581268574270766</v>
      </c>
      <c r="CM94" s="625">
        <v>16.630013547317052</v>
      </c>
      <c r="CN94" s="625">
        <v>14.022037594898531</v>
      </c>
      <c r="CO94" s="625">
        <v>11.735942115137679</v>
      </c>
      <c r="CP94" s="625">
        <v>9.7484296048074768</v>
      </c>
      <c r="CQ94" s="625">
        <v>8.0349428602288597</v>
      </c>
      <c r="CR94" s="625">
        <v>6.5702806234653961</v>
      </c>
      <c r="CS94" s="625">
        <v>5.3291703308293092</v>
      </c>
      <c r="CT94" s="625">
        <v>4.2867820300777275</v>
      </c>
      <c r="CU94" s="625">
        <v>3.4191714746188575</v>
      </c>
      <c r="CV94" s="625">
        <v>2.7036446106582703</v>
      </c>
      <c r="CW94" s="625">
        <v>2.1190398796642342</v>
      </c>
      <c r="CX94" s="625">
        <v>1.6459287171306569</v>
      </c>
      <c r="CY94" s="625">
        <v>1.2667381300397509</v>
      </c>
      <c r="CZ94" s="625">
        <v>0.96580212061975612</v>
      </c>
      <c r="DA94" s="625">
        <v>0.72935089184135027</v>
      </c>
      <c r="DB94" s="625">
        <v>0.5454481795043441</v>
      </c>
      <c r="DC94" s="625">
        <v>0.4038877224092105</v>
      </c>
      <c r="DD94" s="625">
        <v>0.29605987064054462</v>
      </c>
      <c r="DE94" s="625">
        <v>0.21479874491335826</v>
      </c>
      <c r="DF94" s="625">
        <v>0.15421932454473536</v>
      </c>
      <c r="DG94" s="625">
        <v>0.10955249651301893</v>
      </c>
      <c r="DH94" s="625">
        <v>7.6984580579169778E-2</v>
      </c>
      <c r="DI94" s="625">
        <v>5.3506281037555919E-2</v>
      </c>
      <c r="DJ94" s="625">
        <v>3.6778187908965441E-2</v>
      </c>
      <c r="DK94" s="625">
        <v>2.4996660840863431E-2</v>
      </c>
      <c r="DL94" s="625">
        <v>1.6795825100131775E-2</v>
      </c>
      <c r="DM94" s="625">
        <v>1.1155009166038921E-2</v>
      </c>
      <c r="DN94" s="625">
        <v>7.3216561294950078E-3</v>
      </c>
      <c r="DO94" s="625">
        <v>4.7483322426422085E-3</v>
      </c>
      <c r="DP94" s="625">
        <v>3.042193342719803E-3</v>
      </c>
      <c r="DQ94" s="625">
        <v>1.9251653296455601E-3</v>
      </c>
      <c r="DR94" s="625">
        <v>1.2031127415276324E-3</v>
      </c>
      <c r="DS94" s="625">
        <v>7.4237486802657419E-4</v>
      </c>
      <c r="DT94" s="625">
        <v>4.5221025091147344E-4</v>
      </c>
      <c r="DU94" s="625">
        <v>2.7188128765001705E-4</v>
      </c>
      <c r="DV94" s="625">
        <v>1.6131010470222536E-4</v>
      </c>
      <c r="DW94" s="625">
        <v>9.4429727030565986E-5</v>
      </c>
      <c r="DX94" s="625">
        <v>5.4530862651036062E-5</v>
      </c>
      <c r="DY94" s="625">
        <v>3.1058754855759388E-5</v>
      </c>
      <c r="DZ94" s="625">
        <v>1.7444371187560995E-5</v>
      </c>
      <c r="EA94" s="625">
        <v>9.6600143000917782E-6</v>
      </c>
      <c r="EB94" s="625">
        <v>5.2731843895709517E-6</v>
      </c>
      <c r="EC94" s="625">
        <v>2.8370203491289232E-6</v>
      </c>
      <c r="ED94" s="625">
        <v>1.5040691901582785E-6</v>
      </c>
      <c r="EE94" s="625">
        <v>7.8561653745155369E-7</v>
      </c>
      <c r="EF94" s="625">
        <v>4.0421499713972048E-7</v>
      </c>
      <c r="EG94" s="625">
        <v>2.0483058186830346E-7</v>
      </c>
      <c r="EH94" s="625">
        <v>1.0220668714193793E-7</v>
      </c>
      <c r="EI94" s="625">
        <v>5.020968857342157E-8</v>
      </c>
      <c r="EJ94" s="625">
        <v>2.4279571251883304E-8</v>
      </c>
      <c r="EK94" s="625">
        <v>1.1554770795212081E-8</v>
      </c>
      <c r="EL94" s="625">
        <v>5.4109068714615853E-9</v>
      </c>
      <c r="EM94" s="625">
        <v>2.4928075553191637E-9</v>
      </c>
      <c r="EN94" s="1133">
        <v>1.1296371868061838E-9</v>
      </c>
      <c r="EO94" s="1162">
        <v>5.0343373085662489E-10</v>
      </c>
    </row>
    <row r="95" spans="1:146" x14ac:dyDescent="0.35">
      <c r="A95" s="275" t="s">
        <v>802</v>
      </c>
      <c r="B95" s="65" t="s">
        <v>1479</v>
      </c>
      <c r="C95" s="65"/>
      <c r="D95" s="101">
        <v>46038</v>
      </c>
      <c r="E95" s="221" t="s">
        <v>173</v>
      </c>
      <c r="F95" s="511"/>
      <c r="G95" s="218" t="s">
        <v>1480</v>
      </c>
      <c r="H95" s="65">
        <v>2026</v>
      </c>
      <c r="I95" s="65" t="s">
        <v>1481</v>
      </c>
      <c r="J95" s="65"/>
      <c r="K95" s="65"/>
      <c r="L95" s="65"/>
      <c r="M95" s="65"/>
      <c r="N95" s="65"/>
      <c r="O95" s="65"/>
      <c r="P95" s="65"/>
      <c r="Q95" s="65"/>
      <c r="R95" s="65"/>
      <c r="S95" s="65"/>
      <c r="T95" s="65"/>
      <c r="U95" s="65"/>
      <c r="V95" s="65"/>
      <c r="W95" s="65"/>
      <c r="X95" s="65"/>
      <c r="Y95" s="65"/>
      <c r="Z95" s="65"/>
      <c r="AA95" s="65"/>
      <c r="AB95" s="18"/>
      <c r="AC95" s="80"/>
      <c r="AD95" s="80"/>
      <c r="AE95" s="80"/>
      <c r="AF95" s="625">
        <v>757.75786495078512</v>
      </c>
      <c r="AG95" s="625">
        <v>788.06817954881637</v>
      </c>
      <c r="AH95" s="625">
        <v>819.59090673076912</v>
      </c>
      <c r="AI95" s="625">
        <v>852.3745429999999</v>
      </c>
      <c r="AJ95" s="625">
        <v>1005.0740000000001</v>
      </c>
      <c r="AK95" s="625">
        <v>1205.4000000000001</v>
      </c>
      <c r="AL95" s="625">
        <v>1440.1249999999998</v>
      </c>
      <c r="AM95" s="625">
        <v>1639</v>
      </c>
      <c r="AN95" s="625">
        <v>1813</v>
      </c>
      <c r="AO95" s="625">
        <v>2005</v>
      </c>
      <c r="AP95" s="625">
        <v>2218</v>
      </c>
      <c r="AQ95" s="625">
        <v>2453</v>
      </c>
      <c r="AR95" s="625">
        <v>2630</v>
      </c>
      <c r="AS95" s="625">
        <v>2819</v>
      </c>
      <c r="AT95" s="625">
        <v>3023</v>
      </c>
      <c r="AU95" s="625">
        <v>3241</v>
      </c>
      <c r="AV95" s="625">
        <v>3475</v>
      </c>
      <c r="AW95" s="625">
        <v>3475</v>
      </c>
      <c r="AX95" s="625">
        <v>3475</v>
      </c>
      <c r="AY95" s="625">
        <v>3475</v>
      </c>
      <c r="AZ95" s="625">
        <v>3475</v>
      </c>
      <c r="BA95" s="625">
        <v>3475</v>
      </c>
      <c r="BB95" s="625">
        <v>3475</v>
      </c>
      <c r="BC95" s="625">
        <v>3475</v>
      </c>
      <c r="BD95" s="625">
        <v>3475</v>
      </c>
      <c r="BE95" s="625">
        <v>3475</v>
      </c>
      <c r="BF95" s="625">
        <v>3475</v>
      </c>
      <c r="BG95" s="625">
        <v>3475</v>
      </c>
      <c r="BH95" s="625">
        <v>3475</v>
      </c>
      <c r="BI95" s="625">
        <v>3475</v>
      </c>
      <c r="BJ95" s="625">
        <v>3475</v>
      </c>
      <c r="BK95" s="625">
        <v>3475</v>
      </c>
      <c r="BL95" s="625">
        <v>3475</v>
      </c>
      <c r="BM95" s="625">
        <v>3475</v>
      </c>
      <c r="BN95" s="625">
        <v>3475</v>
      </c>
      <c r="BO95" s="625">
        <v>3475</v>
      </c>
      <c r="BP95" s="625">
        <v>3475</v>
      </c>
      <c r="BQ95" s="625">
        <v>3475</v>
      </c>
      <c r="BR95" s="625">
        <v>3475</v>
      </c>
      <c r="BS95" s="625">
        <v>3475</v>
      </c>
      <c r="BT95" s="625">
        <v>3475</v>
      </c>
      <c r="BU95" s="625">
        <v>3475</v>
      </c>
      <c r="BV95" s="625">
        <v>3475</v>
      </c>
      <c r="BW95" s="625">
        <v>3538</v>
      </c>
      <c r="BX95" s="625">
        <v>3679</v>
      </c>
      <c r="BY95" s="625">
        <v>3827</v>
      </c>
      <c r="BZ95" s="625">
        <v>3980</v>
      </c>
      <c r="CA95" s="625">
        <v>4139</v>
      </c>
      <c r="CB95" s="625">
        <v>4263</v>
      </c>
      <c r="CC95" s="625">
        <v>4391</v>
      </c>
      <c r="CD95" s="625">
        <v>4523</v>
      </c>
      <c r="CE95" s="625">
        <v>4658</v>
      </c>
      <c r="CF95" s="625">
        <v>4798</v>
      </c>
      <c r="CG95" s="625">
        <v>4942</v>
      </c>
      <c r="CH95" s="625">
        <v>5090</v>
      </c>
      <c r="CI95" s="625">
        <v>5243</v>
      </c>
      <c r="CJ95" s="625">
        <v>5400</v>
      </c>
      <c r="CK95" s="625">
        <v>5562</v>
      </c>
      <c r="CL95" s="625">
        <v>5729</v>
      </c>
      <c r="CM95" s="625">
        <v>5901</v>
      </c>
      <c r="CN95" s="625">
        <v>6078</v>
      </c>
      <c r="CO95" s="625">
        <v>6260</v>
      </c>
      <c r="CP95" s="625">
        <v>6448</v>
      </c>
      <c r="CQ95" s="625">
        <v>6642</v>
      </c>
      <c r="CR95" s="625">
        <v>6841</v>
      </c>
      <c r="CS95" s="625">
        <v>7046</v>
      </c>
      <c r="CT95" s="625">
        <v>7258</v>
      </c>
      <c r="CU95" s="625">
        <v>7475</v>
      </c>
      <c r="CV95" s="625">
        <v>7699</v>
      </c>
      <c r="CW95" s="625">
        <v>7930</v>
      </c>
      <c r="CX95" s="625">
        <v>8168</v>
      </c>
      <c r="CY95" s="625">
        <v>8413</v>
      </c>
      <c r="CZ95" s="625">
        <v>8666</v>
      </c>
      <c r="DA95" s="625">
        <v>8926</v>
      </c>
      <c r="DB95" s="625">
        <v>9194</v>
      </c>
      <c r="DC95" s="625">
        <v>9469</v>
      </c>
      <c r="DD95" s="625">
        <v>9753</v>
      </c>
      <c r="DE95" s="625">
        <v>10046</v>
      </c>
      <c r="DF95" s="625">
        <v>10347</v>
      </c>
      <c r="DG95" s="625">
        <v>10658</v>
      </c>
      <c r="DH95" s="625">
        <v>10978</v>
      </c>
      <c r="DI95" s="625">
        <v>11307</v>
      </c>
      <c r="DJ95" s="625">
        <v>11533</v>
      </c>
      <c r="DK95" s="625">
        <v>11764</v>
      </c>
      <c r="DL95" s="625">
        <v>11999</v>
      </c>
      <c r="DM95" s="625">
        <v>12239</v>
      </c>
      <c r="DN95" s="625">
        <v>12484</v>
      </c>
      <c r="DO95" s="625">
        <v>12733</v>
      </c>
      <c r="DP95" s="625">
        <v>12988</v>
      </c>
      <c r="DQ95" s="625">
        <v>13248</v>
      </c>
      <c r="DR95" s="625">
        <v>13513</v>
      </c>
      <c r="DS95" s="625">
        <v>13783</v>
      </c>
      <c r="DT95" s="625">
        <f t="shared" ref="DT95:EO95" si="268">DS95*(1+Kalkulasjonsrente3)</f>
        <v>14058.66</v>
      </c>
      <c r="DU95" s="625">
        <f t="shared" si="268"/>
        <v>14339.833200000001</v>
      </c>
      <c r="DV95" s="625">
        <f t="shared" si="268"/>
        <v>14626.629864</v>
      </c>
      <c r="DW95" s="625">
        <f t="shared" si="268"/>
        <v>14919.162461280001</v>
      </c>
      <c r="DX95" s="625">
        <f t="shared" si="268"/>
        <v>15217.545710505601</v>
      </c>
      <c r="DY95" s="625">
        <f t="shared" si="268"/>
        <v>15521.896624715713</v>
      </c>
      <c r="DZ95" s="625">
        <f t="shared" si="268"/>
        <v>15832.334557210028</v>
      </c>
      <c r="EA95" s="625">
        <f t="shared" si="268"/>
        <v>16148.981248354228</v>
      </c>
      <c r="EB95" s="625">
        <f t="shared" si="268"/>
        <v>16471.960873321314</v>
      </c>
      <c r="EC95" s="625">
        <f t="shared" si="268"/>
        <v>16801.400090787742</v>
      </c>
      <c r="ED95" s="625">
        <f t="shared" si="268"/>
        <v>17137.428092603495</v>
      </c>
      <c r="EE95" s="625">
        <f t="shared" si="268"/>
        <v>17480.176654455565</v>
      </c>
      <c r="EF95" s="625">
        <f t="shared" si="268"/>
        <v>17829.780187544675</v>
      </c>
      <c r="EG95" s="625">
        <f t="shared" si="268"/>
        <v>18186.37579129557</v>
      </c>
      <c r="EH95" s="625">
        <f t="shared" si="268"/>
        <v>18550.103307121481</v>
      </c>
      <c r="EI95" s="625">
        <f t="shared" si="268"/>
        <v>18921.105373263912</v>
      </c>
      <c r="EJ95" s="625">
        <f t="shared" si="268"/>
        <v>19299.52748072919</v>
      </c>
      <c r="EK95" s="625">
        <f t="shared" si="268"/>
        <v>19685.518030343774</v>
      </c>
      <c r="EL95" s="625">
        <f t="shared" si="268"/>
        <v>20079.228390950648</v>
      </c>
      <c r="EM95" s="625">
        <f t="shared" si="268"/>
        <v>20480.81295876966</v>
      </c>
      <c r="EN95" s="1133">
        <f t="shared" si="268"/>
        <v>20890.429217945053</v>
      </c>
      <c r="EO95" s="1148">
        <f t="shared" si="268"/>
        <v>21308.237802303953</v>
      </c>
    </row>
    <row r="96" spans="1:146" x14ac:dyDescent="0.35">
      <c r="A96" s="275" t="s">
        <v>802</v>
      </c>
      <c r="B96" s="65" t="s">
        <v>1479</v>
      </c>
      <c r="C96" s="65"/>
      <c r="D96" s="101">
        <v>46038</v>
      </c>
      <c r="E96" s="221" t="s">
        <v>173</v>
      </c>
      <c r="F96" s="511"/>
      <c r="G96" s="218" t="s">
        <v>1482</v>
      </c>
      <c r="H96" s="65">
        <v>2026</v>
      </c>
      <c r="I96" s="65" t="s">
        <v>1481</v>
      </c>
      <c r="J96" s="65"/>
      <c r="K96" s="65"/>
      <c r="L96" s="65"/>
      <c r="M96" s="65"/>
      <c r="N96" s="65"/>
      <c r="O96" s="65"/>
      <c r="P96" s="65"/>
      <c r="Q96" s="65"/>
      <c r="R96" s="65"/>
      <c r="S96" s="65"/>
      <c r="T96" s="65"/>
      <c r="U96" s="65"/>
      <c r="V96" s="65"/>
      <c r="W96" s="65"/>
      <c r="X96" s="65"/>
      <c r="Y96" s="65"/>
      <c r="Z96" s="65"/>
      <c r="AA96" s="65"/>
      <c r="AB96" s="18"/>
      <c r="AC96" s="80"/>
      <c r="AD96" s="80"/>
      <c r="AE96" s="80"/>
      <c r="AF96" s="625">
        <v>456.03965501607291</v>
      </c>
      <c r="AG96" s="625">
        <v>474.28124121671584</v>
      </c>
      <c r="AH96" s="625">
        <v>493.25249086538446</v>
      </c>
      <c r="AI96" s="625">
        <v>512.9825904999999</v>
      </c>
      <c r="AJ96" s="625">
        <v>631.33849999999995</v>
      </c>
      <c r="AK96" s="625">
        <v>718.52499999999998</v>
      </c>
      <c r="AL96" s="625">
        <v>624.22499999999991</v>
      </c>
      <c r="AM96" s="625">
        <v>742</v>
      </c>
      <c r="AN96" s="625">
        <v>748</v>
      </c>
      <c r="AO96" s="625">
        <v>757</v>
      </c>
      <c r="AP96" s="625">
        <v>768</v>
      </c>
      <c r="AQ96" s="625">
        <v>787</v>
      </c>
      <c r="AR96" s="625">
        <v>818</v>
      </c>
      <c r="AS96" s="625">
        <v>851</v>
      </c>
      <c r="AT96" s="625">
        <v>885</v>
      </c>
      <c r="AU96" s="625">
        <v>920</v>
      </c>
      <c r="AV96" s="625">
        <v>957</v>
      </c>
      <c r="AW96" s="625">
        <v>996</v>
      </c>
      <c r="AX96" s="625">
        <v>1035</v>
      </c>
      <c r="AY96" s="625">
        <v>1077</v>
      </c>
      <c r="AZ96" s="625">
        <v>1120</v>
      </c>
      <c r="BA96" s="625">
        <v>1165</v>
      </c>
      <c r="BB96" s="625">
        <v>1211</v>
      </c>
      <c r="BC96" s="625">
        <v>1260</v>
      </c>
      <c r="BD96" s="625">
        <v>1310</v>
      </c>
      <c r="BE96" s="625">
        <v>1362</v>
      </c>
      <c r="BF96" s="625">
        <v>1417</v>
      </c>
      <c r="BG96" s="625">
        <v>1474</v>
      </c>
      <c r="BH96" s="625">
        <v>1533</v>
      </c>
      <c r="BI96" s="625">
        <v>1594</v>
      </c>
      <c r="BJ96" s="625">
        <v>1658</v>
      </c>
      <c r="BK96" s="625">
        <v>1724</v>
      </c>
      <c r="BL96" s="625">
        <v>1793</v>
      </c>
      <c r="BM96" s="625">
        <v>1865</v>
      </c>
      <c r="BN96" s="625">
        <v>1939</v>
      </c>
      <c r="BO96" s="625">
        <v>2017</v>
      </c>
      <c r="BP96" s="625">
        <v>2097</v>
      </c>
      <c r="BQ96" s="625">
        <v>2181</v>
      </c>
      <c r="BR96" s="625">
        <v>2269</v>
      </c>
      <c r="BS96" s="625">
        <v>2359</v>
      </c>
      <c r="BT96" s="625">
        <v>2454</v>
      </c>
      <c r="BU96" s="625">
        <v>2552</v>
      </c>
      <c r="BV96" s="625">
        <v>2654</v>
      </c>
      <c r="BW96" s="625">
        <v>2760</v>
      </c>
      <c r="BX96" s="625">
        <v>2871</v>
      </c>
      <c r="BY96" s="625">
        <v>2985</v>
      </c>
      <c r="BZ96" s="625">
        <v>3105</v>
      </c>
      <c r="CA96" s="625">
        <v>3229</v>
      </c>
      <c r="CB96" s="625">
        <v>3326</v>
      </c>
      <c r="CC96" s="625">
        <v>3426</v>
      </c>
      <c r="CD96" s="625">
        <v>3528</v>
      </c>
      <c r="CE96" s="625">
        <v>3634</v>
      </c>
      <c r="CF96" s="625">
        <v>3743</v>
      </c>
      <c r="CG96" s="625">
        <v>3856</v>
      </c>
      <c r="CH96" s="625">
        <v>3971</v>
      </c>
      <c r="CI96" s="625">
        <v>4090</v>
      </c>
      <c r="CJ96" s="625">
        <v>4213</v>
      </c>
      <c r="CK96" s="625">
        <v>4339</v>
      </c>
      <c r="CL96" s="625">
        <v>4470</v>
      </c>
      <c r="CM96" s="625">
        <v>4604</v>
      </c>
      <c r="CN96" s="625">
        <v>4742</v>
      </c>
      <c r="CO96" s="625">
        <v>4884</v>
      </c>
      <c r="CP96" s="625">
        <v>5031</v>
      </c>
      <c r="CQ96" s="625">
        <v>5182</v>
      </c>
      <c r="CR96" s="625">
        <v>5337</v>
      </c>
      <c r="CS96" s="625">
        <v>5497</v>
      </c>
      <c r="CT96" s="625">
        <v>5662</v>
      </c>
      <c r="CU96" s="625">
        <v>5832</v>
      </c>
      <c r="CV96" s="625">
        <v>6007</v>
      </c>
      <c r="CW96" s="625">
        <v>6187</v>
      </c>
      <c r="CX96" s="625">
        <v>6373</v>
      </c>
      <c r="CY96" s="625">
        <v>6564</v>
      </c>
      <c r="CZ96" s="625">
        <v>6761</v>
      </c>
      <c r="DA96" s="625">
        <v>6964</v>
      </c>
      <c r="DB96" s="625">
        <v>7172</v>
      </c>
      <c r="DC96" s="625">
        <v>7388</v>
      </c>
      <c r="DD96" s="625">
        <v>7609</v>
      </c>
      <c r="DE96" s="625">
        <v>7838</v>
      </c>
      <c r="DF96" s="625">
        <v>8073</v>
      </c>
      <c r="DG96" s="625">
        <v>8315</v>
      </c>
      <c r="DH96" s="625">
        <v>8564</v>
      </c>
      <c r="DI96" s="625">
        <v>8821</v>
      </c>
      <c r="DJ96" s="625">
        <v>8998</v>
      </c>
      <c r="DK96" s="625">
        <v>9178</v>
      </c>
      <c r="DL96" s="625">
        <v>9361</v>
      </c>
      <c r="DM96" s="625">
        <v>9548</v>
      </c>
      <c r="DN96" s="625">
        <v>9739</v>
      </c>
      <c r="DO96" s="625">
        <v>9934</v>
      </c>
      <c r="DP96" s="625">
        <v>10133</v>
      </c>
      <c r="DQ96" s="625">
        <v>10335</v>
      </c>
      <c r="DR96" s="625">
        <v>10542</v>
      </c>
      <c r="DS96" s="625">
        <v>10753</v>
      </c>
      <c r="DT96" s="625">
        <f t="shared" ref="DT96:EO96" si="269">DS96*(1+Kalkulasjonsrente3)</f>
        <v>10968.06</v>
      </c>
      <c r="DU96" s="625">
        <f t="shared" si="269"/>
        <v>11187.421199999999</v>
      </c>
      <c r="DV96" s="625">
        <f t="shared" si="269"/>
        <v>11411.169623999998</v>
      </c>
      <c r="DW96" s="625">
        <f t="shared" si="269"/>
        <v>11639.393016479999</v>
      </c>
      <c r="DX96" s="625">
        <f t="shared" si="269"/>
        <v>11872.180876809598</v>
      </c>
      <c r="DY96" s="625">
        <f t="shared" si="269"/>
        <v>12109.62449434579</v>
      </c>
      <c r="DZ96" s="625">
        <f t="shared" si="269"/>
        <v>12351.816984232706</v>
      </c>
      <c r="EA96" s="625">
        <f t="shared" si="269"/>
        <v>12598.853323917361</v>
      </c>
      <c r="EB96" s="625">
        <f t="shared" si="269"/>
        <v>12850.830390395709</v>
      </c>
      <c r="EC96" s="625">
        <f t="shared" si="269"/>
        <v>13107.846998203624</v>
      </c>
      <c r="ED96" s="625">
        <f t="shared" si="269"/>
        <v>13370.003938167696</v>
      </c>
      <c r="EE96" s="625">
        <f t="shared" si="269"/>
        <v>13637.40401693105</v>
      </c>
      <c r="EF96" s="625">
        <f t="shared" si="269"/>
        <v>13910.152097269671</v>
      </c>
      <c r="EG96" s="625">
        <f t="shared" si="269"/>
        <v>14188.355139215064</v>
      </c>
      <c r="EH96" s="625">
        <f t="shared" si="269"/>
        <v>14472.122241999365</v>
      </c>
      <c r="EI96" s="625">
        <f t="shared" si="269"/>
        <v>14761.564686839352</v>
      </c>
      <c r="EJ96" s="625">
        <f t="shared" si="269"/>
        <v>15056.79598057614</v>
      </c>
      <c r="EK96" s="625">
        <f t="shared" si="269"/>
        <v>15357.931900187663</v>
      </c>
      <c r="EL96" s="625">
        <f t="shared" si="269"/>
        <v>15665.090538191416</v>
      </c>
      <c r="EM96" s="625">
        <f t="shared" si="269"/>
        <v>15978.392348955245</v>
      </c>
      <c r="EN96" s="1133">
        <f t="shared" si="269"/>
        <v>16297.960195934351</v>
      </c>
      <c r="EO96" s="1133">
        <f t="shared" si="269"/>
        <v>16623.919399853039</v>
      </c>
      <c r="EP96" s="1147"/>
    </row>
    <row r="97" spans="1:146" x14ac:dyDescent="0.35">
      <c r="A97" s="275" t="s">
        <v>802</v>
      </c>
      <c r="B97" s="65" t="s">
        <v>1479</v>
      </c>
      <c r="C97" s="65"/>
      <c r="D97" s="101">
        <v>46038</v>
      </c>
      <c r="E97" s="221" t="s">
        <v>173</v>
      </c>
      <c r="F97" s="511"/>
      <c r="G97" s="218" t="s">
        <v>1483</v>
      </c>
      <c r="H97" s="65">
        <v>2026</v>
      </c>
      <c r="I97" s="65" t="s">
        <v>1481</v>
      </c>
      <c r="J97" s="65"/>
      <c r="K97" s="65"/>
      <c r="L97" s="65"/>
      <c r="M97" s="65"/>
      <c r="N97" s="65"/>
      <c r="O97" s="65"/>
      <c r="P97" s="65"/>
      <c r="Q97" s="65"/>
      <c r="R97" s="65"/>
      <c r="S97" s="65"/>
      <c r="T97" s="65"/>
      <c r="U97" s="65"/>
      <c r="V97" s="65"/>
      <c r="W97" s="65"/>
      <c r="X97" s="65"/>
      <c r="Y97" s="65"/>
      <c r="Z97" s="65"/>
      <c r="AA97" s="65"/>
      <c r="AB97" s="18"/>
      <c r="AC97" s="80"/>
      <c r="AD97" s="80"/>
      <c r="AE97" s="80"/>
      <c r="AF97" s="625">
        <v>1187.0880390873915</v>
      </c>
      <c r="AG97" s="625">
        <v>1234.571560650887</v>
      </c>
      <c r="AH97" s="625">
        <v>1283.9544230769227</v>
      </c>
      <c r="AI97" s="625">
        <v>1335.3125999999995</v>
      </c>
      <c r="AJ97" s="625">
        <v>1551.9525000000001</v>
      </c>
      <c r="AK97" s="625">
        <v>1940.3249999999998</v>
      </c>
      <c r="AL97" s="625">
        <v>2198.625</v>
      </c>
      <c r="AM97" s="625">
        <v>2084</v>
      </c>
      <c r="AN97" s="625">
        <v>2294</v>
      </c>
      <c r="AO97" s="625">
        <v>2524</v>
      </c>
      <c r="AP97" s="625">
        <v>2778</v>
      </c>
      <c r="AQ97" s="625">
        <v>3057</v>
      </c>
      <c r="AR97" s="625">
        <v>3240</v>
      </c>
      <c r="AS97" s="625">
        <v>3435</v>
      </c>
      <c r="AT97" s="625">
        <v>3642</v>
      </c>
      <c r="AU97" s="625">
        <v>3861</v>
      </c>
      <c r="AV97" s="625">
        <v>4093</v>
      </c>
      <c r="AW97" s="625">
        <v>4339</v>
      </c>
      <c r="AX97" s="625">
        <v>4600</v>
      </c>
      <c r="AY97" s="625">
        <v>4876</v>
      </c>
      <c r="AZ97" s="625">
        <v>5170</v>
      </c>
      <c r="BA97" s="625">
        <v>5480</v>
      </c>
      <c r="BB97" s="625">
        <v>5748</v>
      </c>
      <c r="BC97" s="625">
        <v>6029</v>
      </c>
      <c r="BD97" s="625">
        <v>6324</v>
      </c>
      <c r="BE97" s="625">
        <v>6633</v>
      </c>
      <c r="BF97" s="625">
        <v>6957</v>
      </c>
      <c r="BG97" s="625">
        <v>7296</v>
      </c>
      <c r="BH97" s="625">
        <v>7653</v>
      </c>
      <c r="BI97" s="625">
        <v>8027</v>
      </c>
      <c r="BJ97" s="625">
        <v>8419</v>
      </c>
      <c r="BK97" s="625">
        <v>8830</v>
      </c>
      <c r="BL97" s="625">
        <v>8927</v>
      </c>
      <c r="BM97" s="625">
        <v>9025</v>
      </c>
      <c r="BN97" s="625">
        <v>9124</v>
      </c>
      <c r="BO97" s="625">
        <v>9225</v>
      </c>
      <c r="BP97" s="625">
        <v>9326</v>
      </c>
      <c r="BQ97" s="625">
        <v>9428</v>
      </c>
      <c r="BR97" s="625">
        <v>9532</v>
      </c>
      <c r="BS97" s="625">
        <v>9636</v>
      </c>
      <c r="BT97" s="625">
        <v>9742</v>
      </c>
      <c r="BU97" s="625">
        <v>9849</v>
      </c>
      <c r="BV97" s="625">
        <v>9945</v>
      </c>
      <c r="BW97" s="625">
        <v>10042</v>
      </c>
      <c r="BX97" s="625">
        <v>10140</v>
      </c>
      <c r="BY97" s="625">
        <v>10239</v>
      </c>
      <c r="BZ97" s="625">
        <v>10339</v>
      </c>
      <c r="CA97" s="625">
        <v>10440</v>
      </c>
      <c r="CB97" s="625">
        <v>10541</v>
      </c>
      <c r="CC97" s="625">
        <v>10644</v>
      </c>
      <c r="CD97" s="625">
        <v>10748</v>
      </c>
      <c r="CE97" s="625">
        <v>10853</v>
      </c>
      <c r="CF97" s="625">
        <v>10938</v>
      </c>
      <c r="CG97" s="625">
        <v>11023</v>
      </c>
      <c r="CH97" s="625">
        <v>11110</v>
      </c>
      <c r="CI97" s="625">
        <v>11196</v>
      </c>
      <c r="CJ97" s="625">
        <v>11284</v>
      </c>
      <c r="CK97" s="625">
        <v>11372</v>
      </c>
      <c r="CL97" s="625">
        <v>11461</v>
      </c>
      <c r="CM97" s="625">
        <v>11551</v>
      </c>
      <c r="CN97" s="625">
        <v>11642</v>
      </c>
      <c r="CO97" s="625">
        <v>11733</v>
      </c>
      <c r="CP97" s="625">
        <v>11870</v>
      </c>
      <c r="CQ97" s="625">
        <v>12010</v>
      </c>
      <c r="CR97" s="625">
        <v>12150</v>
      </c>
      <c r="CS97" s="625">
        <v>12293</v>
      </c>
      <c r="CT97" s="625">
        <v>12437</v>
      </c>
      <c r="CU97" s="625">
        <v>12583</v>
      </c>
      <c r="CV97" s="625">
        <v>12731</v>
      </c>
      <c r="CW97" s="625">
        <v>12880</v>
      </c>
      <c r="CX97" s="625">
        <v>13031</v>
      </c>
      <c r="CY97" s="625">
        <v>13184</v>
      </c>
      <c r="CZ97" s="625">
        <v>13349</v>
      </c>
      <c r="DA97" s="625">
        <v>13516</v>
      </c>
      <c r="DB97" s="625">
        <v>13685</v>
      </c>
      <c r="DC97" s="625">
        <v>13856</v>
      </c>
      <c r="DD97" s="625">
        <v>14029</v>
      </c>
      <c r="DE97" s="625">
        <v>14204</v>
      </c>
      <c r="DF97" s="625">
        <v>14382</v>
      </c>
      <c r="DG97" s="625">
        <v>14562</v>
      </c>
      <c r="DH97" s="625">
        <v>14744</v>
      </c>
      <c r="DI97" s="625">
        <v>14928</v>
      </c>
      <c r="DJ97" s="625">
        <v>15115</v>
      </c>
      <c r="DK97" s="625">
        <v>15304</v>
      </c>
      <c r="DL97" s="625">
        <v>15495</v>
      </c>
      <c r="DM97" s="625">
        <v>15689</v>
      </c>
      <c r="DN97" s="625">
        <v>15885</v>
      </c>
      <c r="DO97" s="625">
        <v>16084</v>
      </c>
      <c r="DP97" s="625">
        <v>16285</v>
      </c>
      <c r="DQ97" s="625">
        <v>16489</v>
      </c>
      <c r="DR97" s="625">
        <v>16695</v>
      </c>
      <c r="DS97" s="625">
        <v>16904</v>
      </c>
      <c r="DT97" s="625">
        <f t="shared" ref="DT97:EO97" si="270">DS97*(1+Kalkulasjonsrente3)</f>
        <v>17242.080000000002</v>
      </c>
      <c r="DU97" s="625">
        <f t="shared" si="270"/>
        <v>17586.921600000001</v>
      </c>
      <c r="DV97" s="625">
        <f t="shared" si="270"/>
        <v>17938.660032000003</v>
      </c>
      <c r="DW97" s="625">
        <f t="shared" si="270"/>
        <v>18297.433232640004</v>
      </c>
      <c r="DX97" s="625">
        <f t="shared" si="270"/>
        <v>18663.381897292806</v>
      </c>
      <c r="DY97" s="625">
        <f t="shared" si="270"/>
        <v>19036.649535238663</v>
      </c>
      <c r="DZ97" s="625">
        <f t="shared" si="270"/>
        <v>19417.382525943438</v>
      </c>
      <c r="EA97" s="625">
        <f t="shared" si="270"/>
        <v>19805.730176462308</v>
      </c>
      <c r="EB97" s="625">
        <f t="shared" si="270"/>
        <v>20201.844779991556</v>
      </c>
      <c r="EC97" s="625">
        <f t="shared" si="270"/>
        <v>20605.881675591387</v>
      </c>
      <c r="ED97" s="625">
        <f t="shared" si="270"/>
        <v>21017.999309103216</v>
      </c>
      <c r="EE97" s="625">
        <f t="shared" si="270"/>
        <v>21438.359295285281</v>
      </c>
      <c r="EF97" s="625">
        <f t="shared" si="270"/>
        <v>21867.126481190986</v>
      </c>
      <c r="EG97" s="625">
        <f t="shared" si="270"/>
        <v>22304.469010814806</v>
      </c>
      <c r="EH97" s="625">
        <f t="shared" si="270"/>
        <v>22750.558391031103</v>
      </c>
      <c r="EI97" s="625">
        <f t="shared" si="270"/>
        <v>23205.569558851726</v>
      </c>
      <c r="EJ97" s="625">
        <f t="shared" si="270"/>
        <v>23669.68095002876</v>
      </c>
      <c r="EK97" s="625">
        <f t="shared" si="270"/>
        <v>24143.074569029337</v>
      </c>
      <c r="EL97" s="625">
        <f t="shared" si="270"/>
        <v>24625.936060409924</v>
      </c>
      <c r="EM97" s="625">
        <f t="shared" si="270"/>
        <v>25118.454781618122</v>
      </c>
      <c r="EN97" s="1133">
        <f t="shared" si="270"/>
        <v>25620.823877250485</v>
      </c>
      <c r="EO97" s="1148">
        <f t="shared" si="270"/>
        <v>26133.240354795496</v>
      </c>
    </row>
    <row r="98" spans="1:146" x14ac:dyDescent="0.35">
      <c r="A98" s="275" t="s">
        <v>802</v>
      </c>
      <c r="B98" s="65" t="s">
        <v>1479</v>
      </c>
      <c r="C98" s="65"/>
      <c r="D98" s="101">
        <v>46038</v>
      </c>
      <c r="E98" s="221" t="s">
        <v>173</v>
      </c>
      <c r="F98" s="511"/>
      <c r="G98" s="218" t="s">
        <v>1484</v>
      </c>
      <c r="H98" s="65">
        <v>2026</v>
      </c>
      <c r="I98" s="65" t="s">
        <v>1481</v>
      </c>
      <c r="J98" s="65"/>
      <c r="K98" s="65"/>
      <c r="L98" s="65"/>
      <c r="M98" s="65"/>
      <c r="N98" s="65"/>
      <c r="O98" s="65"/>
      <c r="P98" s="65"/>
      <c r="Q98" s="65"/>
      <c r="R98" s="65"/>
      <c r="S98" s="65"/>
      <c r="T98" s="65"/>
      <c r="U98" s="65"/>
      <c r="V98" s="65"/>
      <c r="W98" s="65"/>
      <c r="X98" s="65"/>
      <c r="Y98" s="65"/>
      <c r="Z98" s="65"/>
      <c r="AA98" s="65"/>
      <c r="AB98" s="18"/>
      <c r="AC98" s="80"/>
      <c r="AD98" s="80"/>
      <c r="AE98" s="80"/>
      <c r="AF98" s="625">
        <v>607.39337999971542</v>
      </c>
      <c r="AG98" s="625">
        <v>631.68911519970413</v>
      </c>
      <c r="AH98" s="625">
        <v>656.95667980769224</v>
      </c>
      <c r="AI98" s="625">
        <v>683.23494699999992</v>
      </c>
      <c r="AJ98" s="625">
        <v>842.48850000000004</v>
      </c>
      <c r="AK98" s="625">
        <v>957.34999999999991</v>
      </c>
      <c r="AL98" s="625">
        <v>832.3</v>
      </c>
      <c r="AM98" s="625">
        <v>990</v>
      </c>
      <c r="AN98" s="625">
        <v>998</v>
      </c>
      <c r="AO98" s="625">
        <v>1009</v>
      </c>
      <c r="AP98" s="625">
        <v>1023</v>
      </c>
      <c r="AQ98" s="625">
        <v>1049</v>
      </c>
      <c r="AR98" s="625">
        <v>1126</v>
      </c>
      <c r="AS98" s="625">
        <v>1208</v>
      </c>
      <c r="AT98" s="625">
        <v>1296</v>
      </c>
      <c r="AU98" s="625">
        <v>1390</v>
      </c>
      <c r="AV98" s="625">
        <v>1492</v>
      </c>
      <c r="AW98" s="625">
        <v>1571</v>
      </c>
      <c r="AX98" s="625">
        <v>1655</v>
      </c>
      <c r="AY98" s="625">
        <v>1743</v>
      </c>
      <c r="AZ98" s="625">
        <v>1836</v>
      </c>
      <c r="BA98" s="625">
        <v>1934</v>
      </c>
      <c r="BB98" s="625">
        <v>1960</v>
      </c>
      <c r="BC98" s="625">
        <v>1986</v>
      </c>
      <c r="BD98" s="625">
        <v>2013</v>
      </c>
      <c r="BE98" s="625">
        <v>2040</v>
      </c>
      <c r="BF98" s="625">
        <v>2067</v>
      </c>
      <c r="BG98" s="625">
        <v>2095</v>
      </c>
      <c r="BH98" s="625">
        <v>2123</v>
      </c>
      <c r="BI98" s="625">
        <v>2152</v>
      </c>
      <c r="BJ98" s="625">
        <v>2180</v>
      </c>
      <c r="BK98" s="625">
        <v>2210</v>
      </c>
      <c r="BL98" s="625">
        <v>2298</v>
      </c>
      <c r="BM98" s="625">
        <v>2390</v>
      </c>
      <c r="BN98" s="625">
        <v>2486</v>
      </c>
      <c r="BO98" s="625">
        <v>2585</v>
      </c>
      <c r="BP98" s="625">
        <v>2689</v>
      </c>
      <c r="BQ98" s="625">
        <v>2796</v>
      </c>
      <c r="BR98" s="625">
        <v>2908</v>
      </c>
      <c r="BS98" s="625">
        <v>3024</v>
      </c>
      <c r="BT98" s="625">
        <v>3145</v>
      </c>
      <c r="BU98" s="625">
        <v>3271</v>
      </c>
      <c r="BV98" s="625">
        <v>3402</v>
      </c>
      <c r="BW98" s="625">
        <v>3538</v>
      </c>
      <c r="BX98" s="625">
        <v>3679</v>
      </c>
      <c r="BY98" s="625">
        <v>3827</v>
      </c>
      <c r="BZ98" s="625">
        <v>3980</v>
      </c>
      <c r="CA98" s="625">
        <v>4139</v>
      </c>
      <c r="CB98" s="625">
        <v>4263</v>
      </c>
      <c r="CC98" s="625">
        <v>4391</v>
      </c>
      <c r="CD98" s="625">
        <v>4523</v>
      </c>
      <c r="CE98" s="625">
        <v>4658</v>
      </c>
      <c r="CF98" s="625">
        <v>4798</v>
      </c>
      <c r="CG98" s="625">
        <v>4942</v>
      </c>
      <c r="CH98" s="625">
        <v>5090</v>
      </c>
      <c r="CI98" s="625">
        <v>5243</v>
      </c>
      <c r="CJ98" s="625">
        <v>5400</v>
      </c>
      <c r="CK98" s="625">
        <v>5562</v>
      </c>
      <c r="CL98" s="625">
        <v>5729</v>
      </c>
      <c r="CM98" s="625">
        <v>5901</v>
      </c>
      <c r="CN98" s="625">
        <v>6078</v>
      </c>
      <c r="CO98" s="625">
        <v>6260</v>
      </c>
      <c r="CP98" s="625">
        <v>6448</v>
      </c>
      <c r="CQ98" s="625">
        <v>6642</v>
      </c>
      <c r="CR98" s="625">
        <v>6841</v>
      </c>
      <c r="CS98" s="625">
        <v>7046</v>
      </c>
      <c r="CT98" s="625">
        <v>7258</v>
      </c>
      <c r="CU98" s="625">
        <v>7475</v>
      </c>
      <c r="CV98" s="625">
        <v>7699</v>
      </c>
      <c r="CW98" s="625">
        <v>7930</v>
      </c>
      <c r="CX98" s="625">
        <v>8168</v>
      </c>
      <c r="CY98" s="625">
        <v>8413</v>
      </c>
      <c r="CZ98" s="625">
        <v>8666</v>
      </c>
      <c r="DA98" s="625">
        <v>8926</v>
      </c>
      <c r="DB98" s="625">
        <v>9194</v>
      </c>
      <c r="DC98" s="625">
        <v>9469</v>
      </c>
      <c r="DD98" s="625">
        <v>9753</v>
      </c>
      <c r="DE98" s="625">
        <v>10046</v>
      </c>
      <c r="DF98" s="625">
        <v>10347</v>
      </c>
      <c r="DG98" s="625">
        <v>10658</v>
      </c>
      <c r="DH98" s="625">
        <v>10978</v>
      </c>
      <c r="DI98" s="625">
        <v>11307</v>
      </c>
      <c r="DJ98" s="625">
        <v>11533</v>
      </c>
      <c r="DK98" s="625">
        <v>11764</v>
      </c>
      <c r="DL98" s="625">
        <v>11999</v>
      </c>
      <c r="DM98" s="625">
        <v>12239</v>
      </c>
      <c r="DN98" s="625">
        <v>12484</v>
      </c>
      <c r="DO98" s="625">
        <v>12733</v>
      </c>
      <c r="DP98" s="625">
        <v>12988</v>
      </c>
      <c r="DQ98" s="625">
        <v>13248</v>
      </c>
      <c r="DR98" s="625">
        <v>13513</v>
      </c>
      <c r="DS98" s="625">
        <v>13783</v>
      </c>
      <c r="DT98" s="625">
        <f t="shared" ref="DT98:EO98" si="271">DS98*(1+Kalkulasjonsrente3)</f>
        <v>14058.66</v>
      </c>
      <c r="DU98" s="625">
        <f t="shared" si="271"/>
        <v>14339.833200000001</v>
      </c>
      <c r="DV98" s="625">
        <f t="shared" si="271"/>
        <v>14626.629864</v>
      </c>
      <c r="DW98" s="625">
        <f t="shared" si="271"/>
        <v>14919.162461280001</v>
      </c>
      <c r="DX98" s="625">
        <f t="shared" si="271"/>
        <v>15217.545710505601</v>
      </c>
      <c r="DY98" s="625">
        <f t="shared" si="271"/>
        <v>15521.896624715713</v>
      </c>
      <c r="DZ98" s="625">
        <f t="shared" si="271"/>
        <v>15832.334557210028</v>
      </c>
      <c r="EA98" s="625">
        <f t="shared" si="271"/>
        <v>16148.981248354228</v>
      </c>
      <c r="EB98" s="625">
        <f t="shared" si="271"/>
        <v>16471.960873321314</v>
      </c>
      <c r="EC98" s="625">
        <f t="shared" si="271"/>
        <v>16801.400090787742</v>
      </c>
      <c r="ED98" s="625">
        <f t="shared" si="271"/>
        <v>17137.428092603495</v>
      </c>
      <c r="EE98" s="625">
        <f t="shared" si="271"/>
        <v>17480.176654455565</v>
      </c>
      <c r="EF98" s="625">
        <f t="shared" si="271"/>
        <v>17829.780187544675</v>
      </c>
      <c r="EG98" s="625">
        <f t="shared" si="271"/>
        <v>18186.37579129557</v>
      </c>
      <c r="EH98" s="625">
        <f t="shared" si="271"/>
        <v>18550.103307121481</v>
      </c>
      <c r="EI98" s="625">
        <f t="shared" si="271"/>
        <v>18921.105373263912</v>
      </c>
      <c r="EJ98" s="625">
        <f t="shared" si="271"/>
        <v>19299.52748072919</v>
      </c>
      <c r="EK98" s="625">
        <f t="shared" si="271"/>
        <v>19685.518030343774</v>
      </c>
      <c r="EL98" s="625">
        <f t="shared" si="271"/>
        <v>20079.228390950648</v>
      </c>
      <c r="EM98" s="625">
        <f t="shared" si="271"/>
        <v>20480.81295876966</v>
      </c>
      <c r="EN98" s="625">
        <f t="shared" si="271"/>
        <v>20890.429217945053</v>
      </c>
      <c r="EO98" s="1148">
        <f t="shared" si="271"/>
        <v>21308.237802303953</v>
      </c>
    </row>
    <row r="99" spans="1:146" ht="15" thickBot="1" x14ac:dyDescent="0.4">
      <c r="A99" s="289" t="s">
        <v>802</v>
      </c>
      <c r="B99" s="267" t="s">
        <v>1485</v>
      </c>
      <c r="C99" s="267"/>
      <c r="D99" s="408">
        <v>46038</v>
      </c>
      <c r="E99" s="268" t="s">
        <v>173</v>
      </c>
      <c r="F99" s="511"/>
      <c r="G99" s="266" t="s">
        <v>1486</v>
      </c>
      <c r="H99" s="267">
        <v>2026</v>
      </c>
      <c r="I99" s="267" t="s">
        <v>1481</v>
      </c>
      <c r="J99" s="267"/>
      <c r="K99" s="267"/>
      <c r="L99" s="267"/>
      <c r="M99" s="267"/>
      <c r="N99" s="267"/>
      <c r="O99" s="267"/>
      <c r="P99" s="267"/>
      <c r="Q99" s="267"/>
      <c r="R99" s="267"/>
      <c r="S99" s="267"/>
      <c r="T99" s="267"/>
      <c r="U99" s="267"/>
      <c r="V99" s="267"/>
      <c r="W99" s="267"/>
      <c r="X99" s="267"/>
      <c r="Y99" s="267"/>
      <c r="Z99" s="267"/>
      <c r="AA99" s="267"/>
      <c r="AB99" s="998">
        <v>560.40686289009011</v>
      </c>
      <c r="AC99" s="998">
        <v>554.12675961445984</v>
      </c>
      <c r="AD99" s="998">
        <v>583.01488452326964</v>
      </c>
      <c r="AE99" s="998">
        <v>630.46402539160465</v>
      </c>
      <c r="AF99" s="999">
        <v>626.67668915242996</v>
      </c>
      <c r="AG99" s="999">
        <v>662.71321553890868</v>
      </c>
      <c r="AH99" s="999">
        <v>695.78465991899986</v>
      </c>
      <c r="AI99" s="999">
        <v>853.48730350000005</v>
      </c>
      <c r="AJ99" s="999">
        <v>1005.0740000000001</v>
      </c>
      <c r="AK99" s="999">
        <v>1205.4000000000001</v>
      </c>
      <c r="AL99" s="999">
        <v>1440.1249999999998</v>
      </c>
      <c r="AM99" s="999">
        <f>AM95</f>
        <v>1639</v>
      </c>
      <c r="AN99" s="999">
        <f>IF(Åpningsår="",0,IF('1.2 Forutsetninger'!$C$96="Ja",AM99*IF(AN72&lt;Åpningsår+40,1.04,IF(AN72&lt;Åpningsår+75,1.03,1.02)),AM99))</f>
        <v>0</v>
      </c>
      <c r="AO99" s="999">
        <f>IF(Åpningsår="",0,IF('1.2 Forutsetninger'!$C$96="Ja",AN99*IF(AO72&lt;Åpningsår+40,1.04,IF(AO72&lt;Åpningsår+75,1.03,1.02)),AN99))</f>
        <v>0</v>
      </c>
      <c r="AP99" s="999">
        <f>IF(Åpningsår="",0,IF('1.2 Forutsetninger'!$C$96="Ja",AO99*IF(AP72&lt;Åpningsår+40,1.04,IF(AP72&lt;Åpningsår+75,1.03,1.02)),AO99))</f>
        <v>0</v>
      </c>
      <c r="AQ99" s="999">
        <f>IF(Åpningsår="",0,IF('1.2 Forutsetninger'!$C$96="Ja",AP99*IF(AQ72&lt;Åpningsår+40,1.04,IF(AQ72&lt;Åpningsår+75,1.03,1.02)),AP99))</f>
        <v>0</v>
      </c>
      <c r="AR99" s="999">
        <f>IF(Åpningsår="",0,IF('1.2 Forutsetninger'!$C$96="Ja",AQ99*IF(AR72&lt;Åpningsår+40,1.04,IF(AR72&lt;Åpningsår+75,1.03,1.02)),AQ99))</f>
        <v>0</v>
      </c>
      <c r="AS99" s="999">
        <f>IF(Åpningsår="",0,IF('1.2 Forutsetninger'!$C$96="Ja",AR99*IF(AS72&lt;Åpningsår+40,1.04,IF(AS72&lt;Åpningsår+75,1.03,1.02)),AR99))</f>
        <v>0</v>
      </c>
      <c r="AT99" s="999">
        <f>IF(Åpningsår="",0,IF('1.2 Forutsetninger'!$C$96="Ja",AS99*IF(AT72&lt;Åpningsår+40,1.04,IF(AT72&lt;Åpningsår+75,1.03,1.02)),AS99))</f>
        <v>0</v>
      </c>
      <c r="AU99" s="999">
        <f>IF(Åpningsår="",0,IF('1.2 Forutsetninger'!$C$96="Ja",AT99*IF(AU72&lt;Åpningsår+40,1.04,IF(AU72&lt;Åpningsår+75,1.03,1.02)),AT99))</f>
        <v>0</v>
      </c>
      <c r="AV99" s="999">
        <f>IF(Åpningsår="",0,IF('1.2 Forutsetninger'!$C$96="Ja",AU99*IF(AV72&lt;Åpningsår+40,1.04,IF(AV72&lt;Åpningsår+75,1.03,1.02)),AU99))</f>
        <v>0</v>
      </c>
      <c r="AW99" s="999">
        <f>IF(Åpningsår="",0,IF('1.2 Forutsetninger'!$C$96="Ja",AV99*IF(AW72&lt;Åpningsår+40,1.04,IF(AW72&lt;Åpningsår+75,1.03,1.02)),AV99))</f>
        <v>0</v>
      </c>
      <c r="AX99" s="999">
        <f>IF(Åpningsår="",0,IF('1.2 Forutsetninger'!$C$96="Ja",AW99*IF(AX72&lt;Åpningsår+40,1.04,IF(AX72&lt;Åpningsår+75,1.03,1.02)),AW99))</f>
        <v>0</v>
      </c>
      <c r="AY99" s="999">
        <f>IF(Åpningsår="",0,IF('1.2 Forutsetninger'!$C$96="Ja",AX99*IF(AY72&lt;Åpningsår+40,1.04,IF(AY72&lt;Åpningsår+75,1.03,1.02)),AX99))</f>
        <v>0</v>
      </c>
      <c r="AZ99" s="999">
        <f>IF(Åpningsår="",0,IF('1.2 Forutsetninger'!$C$96="Ja",AY99*IF(AZ72&lt;Åpningsår+40,1.04,IF(AZ72&lt;Åpningsår+75,1.03,1.02)),AY99))</f>
        <v>0</v>
      </c>
      <c r="BA99" s="999">
        <f>IF(Åpningsår="",0,IF('1.2 Forutsetninger'!$C$96="Ja",AZ99*IF(BA72&lt;Åpningsår+40,1.04,IF(BA72&lt;Åpningsår+75,1.03,1.02)),AZ99))</f>
        <v>0</v>
      </c>
      <c r="BB99" s="999">
        <f>IF(Åpningsår="",0,IF('1.2 Forutsetninger'!$C$96="Ja",BA99*IF(BB72&lt;Åpningsår+40,1.04,IF(BB72&lt;Åpningsår+75,1.03,1.02)),BA99))</f>
        <v>0</v>
      </c>
      <c r="BC99" s="999">
        <f>IF(Åpningsår="",0,IF('1.2 Forutsetninger'!$C$96="Ja",BB99*IF(BC72&lt;Åpningsår+40,1.04,IF(BC72&lt;Åpningsår+75,1.03,1.02)),BB99))</f>
        <v>0</v>
      </c>
      <c r="BD99" s="999">
        <f>IF(Åpningsår="",0,IF('1.2 Forutsetninger'!$C$96="Ja",BC99*IF(BD72&lt;Åpningsår+40,1.04,IF(BD72&lt;Åpningsår+75,1.03,1.02)),BC99))</f>
        <v>0</v>
      </c>
      <c r="BE99" s="999">
        <f>IF(Åpningsår="",0,IF('1.2 Forutsetninger'!$C$96="Ja",BD99*IF(BE72&lt;Åpningsår+40,1.04,IF(BE72&lt;Åpningsår+75,1.03,1.02)),BD99))</f>
        <v>0</v>
      </c>
      <c r="BF99" s="999">
        <f>IF(Åpningsår="",0,IF('1.2 Forutsetninger'!$C$96="Ja",BE99*IF(BF72&lt;Åpningsår+40,1.04,IF(BF72&lt;Åpningsår+75,1.03,1.02)),BE99))</f>
        <v>0</v>
      </c>
      <c r="BG99" s="999">
        <f>IF(Åpningsår="",0,IF('1.2 Forutsetninger'!$C$96="Ja",BF99*IF(BG72&lt;Åpningsår+40,1.04,IF(BG72&lt;Åpningsår+75,1.03,1.02)),BF99))</f>
        <v>0</v>
      </c>
      <c r="BH99" s="999">
        <f>IF(Åpningsår="",0,IF('1.2 Forutsetninger'!$C$96="Ja",BG99*IF(BH72&lt;Åpningsår+40,1.04,IF(BH72&lt;Åpningsår+75,1.03,1.02)),BG99))</f>
        <v>0</v>
      </c>
      <c r="BI99" s="999">
        <f>IF(Åpningsår="",0,IF('1.2 Forutsetninger'!$C$96="Ja",BH99*IF(BI72&lt;Åpningsår+40,1.04,IF(BI72&lt;Åpningsår+75,1.03,1.02)),BH99))</f>
        <v>0</v>
      </c>
      <c r="BJ99" s="999">
        <f>IF(Åpningsår="",0,IF('1.2 Forutsetninger'!$C$96="Ja",BI99*IF(BJ72&lt;Åpningsår+40,1.04,IF(BJ72&lt;Åpningsår+75,1.03,1.02)),BI99))</f>
        <v>0</v>
      </c>
      <c r="BK99" s="999">
        <f>IF(Åpningsår="",0,IF('1.2 Forutsetninger'!$C$96="Ja",BJ99*IF(BK72&lt;Åpningsår+40,1.04,IF(BK72&lt;Åpningsår+75,1.03,1.02)),BJ99))</f>
        <v>0</v>
      </c>
      <c r="BL99" s="999">
        <f>IF(Åpningsår="",0,IF('1.2 Forutsetninger'!$C$96="Ja",BK99*IF(BL72&lt;Åpningsår+40,1.04,IF(BL72&lt;Åpningsår+75,1.03,1.02)),BK99))</f>
        <v>0</v>
      </c>
      <c r="BM99" s="999">
        <f>IF(Åpningsår="",0,IF('1.2 Forutsetninger'!$C$96="Ja",BL99*IF(BM72&lt;Åpningsår+40,1.04,IF(BM72&lt;Åpningsår+75,1.03,1.02)),BL99))</f>
        <v>0</v>
      </c>
      <c r="BN99" s="999">
        <f>IF(Åpningsår="",0,IF('1.2 Forutsetninger'!$C$96="Ja",BM99*IF(BN72&lt;Åpningsår+40,1.04,IF(BN72&lt;Åpningsår+75,1.03,1.02)),BM99))</f>
        <v>0</v>
      </c>
      <c r="BO99" s="999">
        <f>IF(Åpningsår="",0,IF('1.2 Forutsetninger'!$C$96="Ja",BN99*IF(BO72&lt;Åpningsår+40,1.04,IF(BO72&lt;Åpningsår+75,1.03,1.02)),BN99))</f>
        <v>0</v>
      </c>
      <c r="BP99" s="999">
        <f>IF(Åpningsår="",0,IF('1.2 Forutsetninger'!$C$96="Ja",BO99*IF(BP72&lt;Åpningsår+40,1.04,IF(BP72&lt;Åpningsår+75,1.03,1.02)),BO99))</f>
        <v>0</v>
      </c>
      <c r="BQ99" s="999">
        <f>IF(Åpningsår="",0,IF('1.2 Forutsetninger'!$C$96="Ja",BP99*IF(BQ72&lt;Åpningsår+40,1.04,IF(BQ72&lt;Åpningsår+75,1.03,1.02)),BP99))</f>
        <v>0</v>
      </c>
      <c r="BR99" s="999">
        <f>IF(Åpningsår="",0,IF('1.2 Forutsetninger'!$C$96="Ja",BQ99*IF(BR72&lt;Åpningsår+40,1.04,IF(BR72&lt;Åpningsår+75,1.03,1.02)),BQ99))</f>
        <v>0</v>
      </c>
      <c r="BS99" s="999">
        <f>IF(Åpningsår="",0,IF('1.2 Forutsetninger'!$C$96="Ja",BR99*IF(BS72&lt;Åpningsår+40,1.04,IF(BS72&lt;Åpningsår+75,1.03,1.02)),BR99))</f>
        <v>0</v>
      </c>
      <c r="BT99" s="999">
        <f>IF(Åpningsår="",0,IF('1.2 Forutsetninger'!$C$96="Ja",BS99*IF(BT72&lt;Åpningsår+40,1.04,IF(BT72&lt;Åpningsår+75,1.03,1.02)),BS99))</f>
        <v>0</v>
      </c>
      <c r="BU99" s="999">
        <f>IF(Åpningsår="",0,IF('1.2 Forutsetninger'!$C$96="Ja",BT99*IF(BU72&lt;Åpningsår+40,1.04,IF(BU72&lt;Åpningsår+75,1.03,1.02)),BT99))</f>
        <v>0</v>
      </c>
      <c r="BV99" s="999">
        <f>IF(Åpningsår="",0,IF('1.2 Forutsetninger'!$C$96="Ja",BU99*IF(BV72&lt;Åpningsår+40,1.04,IF(BV72&lt;Åpningsår+75,1.03,1.02)),BU99))</f>
        <v>0</v>
      </c>
      <c r="BW99" s="999">
        <f>IF(Åpningsår="",0,IF('1.2 Forutsetninger'!$C$96="Ja",BV99*IF(BW72&lt;Åpningsår+40,1.04,IF(BW72&lt;Åpningsår+75,1.03,1.02)),BV99))</f>
        <v>0</v>
      </c>
      <c r="BX99" s="999">
        <f>IF(Åpningsår="",0,IF('1.2 Forutsetninger'!$C$96="Ja",BW99*IF(BX72&lt;Åpningsår+40,1.04,IF(BX72&lt;Åpningsår+75,1.03,1.02)),BW99))</f>
        <v>0</v>
      </c>
      <c r="BY99" s="999">
        <f>IF(Åpningsår="",0,IF('1.2 Forutsetninger'!$C$96="Ja",BX99*IF(BY72&lt;Åpningsår+40,1.04,IF(BY72&lt;Åpningsår+75,1.03,1.02)),BX99))</f>
        <v>0</v>
      </c>
      <c r="BZ99" s="999">
        <f>IF(Åpningsår="",0,IF('1.2 Forutsetninger'!$C$96="Ja",BY99*IF(BZ72&lt;Åpningsår+40,1.04,IF(BZ72&lt;Åpningsår+75,1.03,1.02)),BY99))</f>
        <v>0</v>
      </c>
      <c r="CA99" s="999">
        <f>IF(Åpningsår="",0,IF('1.2 Forutsetninger'!$C$96="Ja",BZ99*IF(CA72&lt;Åpningsår+40,1.04,IF(CA72&lt;Åpningsår+75,1.03,1.02)),BZ99))</f>
        <v>0</v>
      </c>
      <c r="CB99" s="999">
        <f>IF(Åpningsår="",0,IF('1.2 Forutsetninger'!$C$96="Ja",CA99*IF(CB72&lt;Åpningsår+40,1.04,IF(CB72&lt;Åpningsår+75,1.03,1.02)),CA99))</f>
        <v>0</v>
      </c>
      <c r="CC99" s="999">
        <f>IF(Åpningsår="",0,IF('1.2 Forutsetninger'!$C$96="Ja",CB99*IF(CC72&lt;Åpningsår+40,1.04,IF(CC72&lt;Åpningsår+75,1.03,1.02)),CB99))</f>
        <v>0</v>
      </c>
      <c r="CD99" s="999">
        <f>IF(Åpningsår="",0,IF('1.2 Forutsetninger'!$C$96="Ja",CC99*IF(CD72&lt;Åpningsår+40,1.04,IF(CD72&lt;Åpningsår+75,1.03,1.02)),CC99))</f>
        <v>0</v>
      </c>
      <c r="CE99" s="999">
        <f>IF(Åpningsår="",0,IF('1.2 Forutsetninger'!$C$96="Ja",CD99*IF(CE72&lt;Åpningsår+40,1.04,IF(CE72&lt;Åpningsår+75,1.03,1.02)),CD99))</f>
        <v>0</v>
      </c>
      <c r="CF99" s="999">
        <f>IF(Åpningsår="",0,IF('1.2 Forutsetninger'!$C$96="Ja",CE99*IF(CF72&lt;Åpningsår+40,1.04,IF(CF72&lt;Åpningsår+75,1.03,1.02)),CE99))</f>
        <v>0</v>
      </c>
      <c r="CG99" s="999">
        <f>IF(Åpningsår="",0,IF('1.2 Forutsetninger'!$C$96="Ja",CF99*IF(CG72&lt;Åpningsår+40,1.04,IF(CG72&lt;Åpningsår+75,1.03,1.02)),CF99))</f>
        <v>0</v>
      </c>
      <c r="CH99" s="999">
        <f>IF(Åpningsår="",0,IF('1.2 Forutsetninger'!$C$96="Ja",CG99*IF(CH72&lt;Åpningsår+40,1.04,IF(CH72&lt;Åpningsår+75,1.03,1.02)),CG99))</f>
        <v>0</v>
      </c>
      <c r="CI99" s="999">
        <f>IF(Åpningsår="",0,IF('1.2 Forutsetninger'!$C$96="Ja",CH99*IF(CI72&lt;Åpningsår+40,1.04,IF(CI72&lt;Åpningsår+75,1.03,1.02)),CH99))</f>
        <v>0</v>
      </c>
      <c r="CJ99" s="999">
        <f>IF(Åpningsår="",0,IF('1.2 Forutsetninger'!$C$96="Ja",CI99*IF(CJ72&lt;Åpningsår+40,1.04,IF(CJ72&lt;Åpningsår+75,1.03,1.02)),CI99))</f>
        <v>0</v>
      </c>
      <c r="CK99" s="999">
        <f>IF(Åpningsår="",0,IF('1.2 Forutsetninger'!$C$96="Ja",CJ99*IF(CK72&lt;Åpningsår+40,1.04,IF(CK72&lt;Åpningsår+75,1.03,1.02)),CJ99))</f>
        <v>0</v>
      </c>
      <c r="CL99" s="999">
        <f>IF(Åpningsår="",0,IF('1.2 Forutsetninger'!$C$96="Ja",CK99*IF(CL72&lt;Åpningsår+40,1.04,IF(CL72&lt;Åpningsår+75,1.03,1.02)),CK99))</f>
        <v>0</v>
      </c>
      <c r="CM99" s="999">
        <f>IF(Åpningsår="",0,IF('1.2 Forutsetninger'!$C$96="Ja",CL99*IF(CM72&lt;Åpningsår+40,1.04,IF(CM72&lt;Åpningsår+75,1.03,1.02)),CL99))</f>
        <v>0</v>
      </c>
      <c r="CN99" s="999">
        <f>IF(Åpningsår="",0,IF('1.2 Forutsetninger'!$C$96="Ja",CM99*IF(CN72&lt;Åpningsår+40,1.04,IF(CN72&lt;Åpningsår+75,1.03,1.02)),CM99))</f>
        <v>0</v>
      </c>
      <c r="CO99" s="999">
        <f>IF(Åpningsår="",0,IF('1.2 Forutsetninger'!$C$96="Ja",CN99*IF(CO72&lt;Åpningsår+40,1.04,IF(CO72&lt;Åpningsår+75,1.03,1.02)),CN99))</f>
        <v>0</v>
      </c>
      <c r="CP99" s="999">
        <f>IF(Åpningsår="",0,IF('1.2 Forutsetninger'!$C$96="Ja",CO99*IF(CP72&lt;Åpningsår+40,1.04,IF(CP72&lt;Åpningsår+75,1.03,1.02)),CO99))</f>
        <v>0</v>
      </c>
      <c r="CQ99" s="999">
        <f>IF(Åpningsår="",0,IF('1.2 Forutsetninger'!$C$96="Ja",CP99*IF(CQ72&lt;Åpningsår+40,1.04,IF(CQ72&lt;Åpningsår+75,1.03,1.02)),CP99))</f>
        <v>0</v>
      </c>
      <c r="CR99" s="999">
        <f>IF(Åpningsår="",0,IF('1.2 Forutsetninger'!$C$96="Ja",CQ99*IF(CR72&lt;Åpningsår+40,1.04,IF(CR72&lt;Åpningsår+75,1.03,1.02)),CQ99))</f>
        <v>0</v>
      </c>
      <c r="CS99" s="999">
        <f>IF(Åpningsår="",0,IF('1.2 Forutsetninger'!$C$96="Ja",CR99*IF(CS72&lt;Åpningsår+40,1.04,IF(CS72&lt;Åpningsår+75,1.03,1.02)),CR99))</f>
        <v>0</v>
      </c>
      <c r="CT99" s="999">
        <f>IF(Åpningsår="",0,IF('1.2 Forutsetninger'!$C$96="Ja",CS99*IF(CT72&lt;Åpningsår+40,1.04,IF(CT72&lt;Åpningsår+75,1.03,1.02)),CS99))</f>
        <v>0</v>
      </c>
      <c r="CU99" s="999">
        <f>IF(Åpningsår="",0,IF('1.2 Forutsetninger'!$C$96="Ja",CT99*IF(CU72&lt;Åpningsår+40,1.04,IF(CU72&lt;Åpningsår+75,1.03,1.02)),CT99))</f>
        <v>0</v>
      </c>
      <c r="CV99" s="999">
        <f>IF(Åpningsår="",0,IF('1.2 Forutsetninger'!$C$96="Ja",CU99*IF(CV72&lt;Åpningsår+40,1.04,IF(CV72&lt;Åpningsår+75,1.03,1.02)),CU99))</f>
        <v>0</v>
      </c>
      <c r="CW99" s="999">
        <f>IF(Åpningsår="",0,IF('1.2 Forutsetninger'!$C$96="Ja",CV99*IF(CW72&lt;Åpningsår+40,1.04,IF(CW72&lt;Åpningsår+75,1.03,1.02)),CV99))</f>
        <v>0</v>
      </c>
      <c r="CX99" s="999">
        <f>IF(Åpningsår="",0,IF('1.2 Forutsetninger'!$C$96="Ja",CW99*IF(CX72&lt;Åpningsår+40,1.04,IF(CX72&lt;Åpningsår+75,1.03,1.02)),CW99))</f>
        <v>0</v>
      </c>
      <c r="CY99" s="999">
        <f>IF(Åpningsår="",0,IF('1.2 Forutsetninger'!$C$96="Ja",CX99*IF(CY72&lt;Åpningsår+40,1.04,IF(CY72&lt;Åpningsår+75,1.03,1.02)),CX99))</f>
        <v>0</v>
      </c>
      <c r="CZ99" s="999">
        <f>IF(Åpningsår="",0,IF('1.2 Forutsetninger'!$C$96="Ja",CY99*IF(CZ72&lt;Åpningsår+40,1.04,IF(CZ72&lt;Åpningsår+75,1.03,1.02)),CY99))</f>
        <v>0</v>
      </c>
      <c r="DA99" s="999">
        <f>IF(Åpningsår="",0,IF('1.2 Forutsetninger'!$C$96="Ja",CZ99*IF(DA72&lt;Åpningsår+40,1.04,IF(DA72&lt;Åpningsår+75,1.03,1.02)),CZ99))</f>
        <v>0</v>
      </c>
      <c r="DB99" s="999">
        <f>IF(Åpningsår="",0,IF('1.2 Forutsetninger'!$C$96="Ja",DA99*IF(DB72&lt;Åpningsår+40,1.04,IF(DB72&lt;Åpningsår+75,1.03,1.02)),DA99))</f>
        <v>0</v>
      </c>
      <c r="DC99" s="999">
        <f>IF(Åpningsår="",0,IF('1.2 Forutsetninger'!$C$96="Ja",DB99*IF(DC72&lt;Åpningsår+40,1.04,IF(DC72&lt;Åpningsår+75,1.03,1.02)),DB99))</f>
        <v>0</v>
      </c>
      <c r="DD99" s="999">
        <f>IF(Åpningsår="",0,IF('1.2 Forutsetninger'!$C$96="Ja",DC99*IF(DD72&lt;Åpningsår+40,1.04,IF(DD72&lt;Åpningsår+75,1.03,1.02)),DC99))</f>
        <v>0</v>
      </c>
      <c r="DE99" s="999">
        <f>IF(Åpningsår="",0,IF('1.2 Forutsetninger'!$C$96="Ja",DD99*IF(DE72&lt;Åpningsår+40,1.04,IF(DE72&lt;Åpningsår+75,1.03,1.02)),DD99))</f>
        <v>0</v>
      </c>
      <c r="DF99" s="999">
        <f>IF(Åpningsår="",0,IF('1.2 Forutsetninger'!$C$96="Ja",DE99*IF(DF72&lt;Åpningsår+40,1.04,IF(DF72&lt;Åpningsår+75,1.03,1.02)),DE99))</f>
        <v>0</v>
      </c>
      <c r="DG99" s="999">
        <f>IF(Åpningsår="",0,IF('1.2 Forutsetninger'!$C$96="Ja",DF99*IF(DG72&lt;Åpningsår+40,1.04,IF(DG72&lt;Åpningsår+75,1.03,1.02)),DF99))</f>
        <v>0</v>
      </c>
      <c r="DH99" s="999">
        <f>IF(Åpningsår="",0,IF('1.2 Forutsetninger'!$C$96="Ja",DG99*IF(DH72&lt;Åpningsår+40,1.04,IF(DH72&lt;Åpningsår+75,1.03,1.02)),DG99))</f>
        <v>0</v>
      </c>
      <c r="DI99" s="999">
        <f>IF(Åpningsår="",0,IF('1.2 Forutsetninger'!$C$96="Ja",DH99*IF(DI72&lt;Åpningsår+40,1.04,IF(DI72&lt;Åpningsår+75,1.03,1.02)),DH99))</f>
        <v>0</v>
      </c>
      <c r="DJ99" s="999">
        <f>IF(Åpningsår="",0,IF('1.2 Forutsetninger'!$C$96="Ja",DI99*IF(DJ72&lt;Åpningsår+40,1.04,IF(DJ72&lt;Åpningsår+75,1.03,1.02)),DI99))</f>
        <v>0</v>
      </c>
      <c r="DK99" s="999">
        <f>IF(Åpningsår="",0,IF('1.2 Forutsetninger'!$C$96="Ja",DJ99*IF(DK72&lt;Åpningsår+40,1.04,IF(DK72&lt;Åpningsår+75,1.03,1.02)),DJ99))</f>
        <v>0</v>
      </c>
      <c r="DL99" s="999">
        <f>IF(Åpningsår="",0,IF('1.2 Forutsetninger'!$C$96="Ja",DK99*IF(DL72&lt;Åpningsår+40,1.04,IF(DL72&lt;Åpningsår+75,1.03,1.02)),DK99))</f>
        <v>0</v>
      </c>
      <c r="DM99" s="999">
        <f>IF(Åpningsår="",0,IF('1.2 Forutsetninger'!$C$96="Ja",DL99*IF(DM72&lt;Åpningsår+40,1.04,IF(DM72&lt;Åpningsår+75,1.03,1.02)),DL99))</f>
        <v>0</v>
      </c>
      <c r="DN99" s="999">
        <f>IF(Åpningsår="",0,IF('1.2 Forutsetninger'!$C$96="Ja",DM99*IF(DN72&lt;Åpningsår+40,1.04,IF(DN72&lt;Åpningsår+75,1.03,1.02)),DM99))</f>
        <v>0</v>
      </c>
      <c r="DO99" s="999">
        <f>IF(Åpningsår="",0,IF('1.2 Forutsetninger'!$C$96="Ja",DN99*IF(DO72&lt;Åpningsår+40,1.04,IF(DO72&lt;Åpningsår+75,1.03,1.02)),DN99))</f>
        <v>0</v>
      </c>
      <c r="DP99" s="999">
        <f>IF(Åpningsår="",0,IF('1.2 Forutsetninger'!$C$96="Ja",DO99*IF(DP72&lt;Åpningsår+40,1.04,IF(DP72&lt;Åpningsår+75,1.03,1.02)),DO99))</f>
        <v>0</v>
      </c>
      <c r="DQ99" s="999">
        <f>IF(Åpningsår="",0,IF('1.2 Forutsetninger'!$C$96="Ja",DP99*IF(DQ72&lt;Åpningsår+40,1.04,IF(DQ72&lt;Åpningsår+75,1.03,1.02)),DP99))</f>
        <v>0</v>
      </c>
      <c r="DR99" s="999">
        <f>IF(Åpningsår="",0,IF('1.2 Forutsetninger'!$C$96="Ja",DQ99*IF(DR72&lt;Åpningsår+40,1.04,IF(DR72&lt;Åpningsår+75,1.03,1.02)),DQ99))</f>
        <v>0</v>
      </c>
      <c r="DS99" s="999">
        <f>IF(Åpningsår="",0,IF('1.2 Forutsetninger'!$C$96="Ja",DR99*IF(DS72&lt;Åpningsår+40,1.04,IF(DS72&lt;Åpningsår+75,1.03,1.02)),DR99))</f>
        <v>0</v>
      </c>
      <c r="DT99" s="999">
        <f>IF(Åpningsår="",0,IF('1.2 Forutsetninger'!$C$96="Ja",DS99*IF(DT72&lt;Åpningsår+40,1.04,IF(DT72&lt;Åpningsår+75,1.03,1.02)),DS99))</f>
        <v>0</v>
      </c>
      <c r="DU99" s="999">
        <f>IF(Åpningsår="",0,IF('1.2 Forutsetninger'!$C$96="Ja",DT99*IF(DU72&lt;Åpningsår+40,1.04,IF(DU72&lt;Åpningsår+75,1.03,1.02)),DT99))</f>
        <v>0</v>
      </c>
      <c r="DV99" s="999">
        <f>IF(Åpningsår="",0,IF('1.2 Forutsetninger'!$C$96="Ja",DU99*IF(DV72&lt;Åpningsår+40,1.04,IF(DV72&lt;Åpningsår+75,1.03,1.02)),DU99))</f>
        <v>0</v>
      </c>
      <c r="DW99" s="999">
        <f>IF(Åpningsår="",0,IF('1.2 Forutsetninger'!$C$96="Ja",DV99*IF(DW72&lt;Åpningsår+40,1.04,IF(DW72&lt;Åpningsår+75,1.03,1.02)),DV99))</f>
        <v>0</v>
      </c>
      <c r="DX99" s="999">
        <f>IF(Åpningsår="",0,IF('1.2 Forutsetninger'!$C$96="Ja",DW99*IF(DX72&lt;Åpningsår+40,1.04,IF(DX72&lt;Åpningsår+75,1.03,1.02)),DW99))</f>
        <v>0</v>
      </c>
      <c r="DY99" s="999">
        <f>IF(Åpningsår="",0,IF('1.2 Forutsetninger'!$C$96="Ja",DX99*IF(DY72&lt;Åpningsår+40,1.04,IF(DY72&lt;Åpningsår+75,1.03,1.02)),DX99))</f>
        <v>0</v>
      </c>
      <c r="DZ99" s="999">
        <f>IF(Åpningsår="",0,IF('1.2 Forutsetninger'!$C$96="Ja",DY99*IF(DZ72&lt;Åpningsår+40,1.04,IF(DZ72&lt;Åpningsår+75,1.03,1.02)),DY99))</f>
        <v>0</v>
      </c>
      <c r="EA99" s="999">
        <f>IF(Åpningsår="",0,IF('1.2 Forutsetninger'!$C$96="Ja",DZ99*IF(EA72&lt;Åpningsår+40,1.04,IF(EA72&lt;Åpningsår+75,1.03,1.02)),DZ99))</f>
        <v>0</v>
      </c>
      <c r="EB99" s="999">
        <f>IF(Åpningsår="",0,IF('1.2 Forutsetninger'!$C$96="Ja",EA99*IF(EB72&lt;Åpningsår+40,1.04,IF(EB72&lt;Åpningsår+75,1.03,1.02)),EA99))</f>
        <v>0</v>
      </c>
      <c r="EC99" s="999">
        <f>IF(Åpningsår="",0,IF('1.2 Forutsetninger'!$C$96="Ja",EB99*IF(EC72&lt;Åpningsår+40,1.04,IF(EC72&lt;Åpningsår+75,1.03,1.02)),EB99))</f>
        <v>0</v>
      </c>
      <c r="ED99" s="999">
        <f>IF(Åpningsår="",0,IF('1.2 Forutsetninger'!$C$96="Ja",EC99*IF(ED72&lt;Åpningsår+40,1.04,IF(ED72&lt;Åpningsår+75,1.03,1.02)),EC99))</f>
        <v>0</v>
      </c>
      <c r="EE99" s="999">
        <f>IF(Åpningsår="",0,IF('1.2 Forutsetninger'!$C$96="Ja",ED99*IF(EE72&lt;Åpningsår+40,1.04,IF(EE72&lt;Åpningsår+75,1.03,1.02)),ED99))</f>
        <v>0</v>
      </c>
      <c r="EF99" s="999">
        <f>IF(Åpningsår="",0,IF('1.2 Forutsetninger'!$C$96="Ja",EE99*IF(EF72&lt;Åpningsår+40,1.04,IF(EF72&lt;Åpningsår+75,1.03,1.02)),EE99))</f>
        <v>0</v>
      </c>
      <c r="EG99" s="999">
        <f>IF(Åpningsår="",0,IF('1.2 Forutsetninger'!$C$96="Ja",EF99*IF(EG72&lt;Åpningsår+40,1.04,IF(EG72&lt;Åpningsår+75,1.03,1.02)),EF99))</f>
        <v>0</v>
      </c>
      <c r="EH99" s="999">
        <f>IF(Åpningsår="",0,IF('1.2 Forutsetninger'!$C$96="Ja",EG99*IF(EH72&lt;Åpningsår+40,1.04,IF(EH72&lt;Åpningsår+75,1.03,1.02)),EG99))</f>
        <v>0</v>
      </c>
      <c r="EI99" s="999">
        <f>IF(Åpningsår="",0,IF('1.2 Forutsetninger'!$C$96="Ja",EH99*IF(EI72&lt;Åpningsår+40,1.04,IF(EI72&lt;Åpningsår+75,1.03,1.02)),EH99))</f>
        <v>0</v>
      </c>
      <c r="EJ99" s="999">
        <f>IF(Åpningsår="",0,IF('1.2 Forutsetninger'!$C$96="Ja",EI99*IF(EJ72&lt;Åpningsår+40,1.04,IF(EJ72&lt;Åpningsår+75,1.03,1.02)),EI99))</f>
        <v>0</v>
      </c>
      <c r="EK99" s="999">
        <f>IF(Åpningsår="",0,IF('1.2 Forutsetninger'!$C$96="Ja",EJ99*IF(EK72&lt;Åpningsår+40,1.04,IF(EK72&lt;Åpningsår+75,1.03,1.02)),EJ99))</f>
        <v>0</v>
      </c>
      <c r="EL99" s="999">
        <f>IF(Åpningsår="",0,IF('1.2 Forutsetninger'!$C$96="Ja",EK99*IF(EL72&lt;Åpningsår+40,1.04,IF(EL72&lt;Åpningsår+75,1.03,1.02)),EK99))</f>
        <v>0</v>
      </c>
      <c r="EM99" s="999">
        <f>IF(Åpningsår="",0,IF('1.2 Forutsetninger'!$C$96="Ja",EL99*IF(EM72&lt;Åpningsår+40,1.04,IF(EM72&lt;Åpningsår+75,1.03,1.02)),EL99))</f>
        <v>0</v>
      </c>
      <c r="EN99" s="999">
        <f>IF(Åpningsår="",0,IF('1.2 Forutsetninger'!$C$96="Ja",EM99*IF(EN72&lt;Åpningsår+40,1.04,IF(EN72&lt;Åpningsår+75,1.03,1.02)),EM99))</f>
        <v>0</v>
      </c>
      <c r="EO99" s="1134">
        <f>IF(Åpningsår="",0,IF('1.2 Forutsetninger'!$C$96="Ja",EN99*IF(EO72&lt;Åpningsår+40,1.04,IF(EO72&lt;Åpningsår+75,1.03,1.02)),EN99))</f>
        <v>0</v>
      </c>
      <c r="EP99" s="445"/>
    </row>
    <row r="100" spans="1:146" x14ac:dyDescent="0.35">
      <c r="AK100" s="1117"/>
      <c r="DH100" s="430"/>
    </row>
    <row r="101" spans="1:146" x14ac:dyDescent="0.35">
      <c r="E101" s="396"/>
      <c r="G101" s="692"/>
      <c r="AB101" s="1199"/>
      <c r="AC101" s="1199"/>
      <c r="AD101" s="1199"/>
      <c r="AE101" s="1199"/>
      <c r="AF101" s="1199"/>
      <c r="AG101" s="1199"/>
      <c r="AH101" s="1199"/>
      <c r="AI101" s="1199"/>
      <c r="AJ101" s="1199"/>
      <c r="AK101" s="406"/>
      <c r="AL101" s="1199"/>
      <c r="AM101" s="5"/>
      <c r="AN101" s="500"/>
      <c r="AO101" s="500"/>
      <c r="AP101" s="500"/>
      <c r="AQ101" s="500"/>
      <c r="AR101" s="500"/>
      <c r="AS101" s="500"/>
      <c r="AT101" s="500"/>
      <c r="AU101" s="500"/>
      <c r="AV101" s="500"/>
      <c r="AW101" s="500"/>
      <c r="AX101" s="500"/>
      <c r="AY101" s="500"/>
      <c r="AZ101" s="500"/>
      <c r="BA101" s="500"/>
      <c r="BB101" s="500"/>
      <c r="BC101" s="500"/>
      <c r="BD101" s="500"/>
      <c r="BE101" s="500"/>
      <c r="BF101" s="500"/>
      <c r="BG101" s="500"/>
      <c r="BH101" s="500"/>
      <c r="BI101" s="500"/>
      <c r="BJ101" s="500"/>
      <c r="BK101" s="500"/>
      <c r="BL101" s="500"/>
      <c r="BM101" s="500"/>
      <c r="BN101" s="500"/>
      <c r="BO101" s="500"/>
      <c r="BP101" s="500"/>
      <c r="BQ101" s="500"/>
      <c r="BR101" s="500"/>
      <c r="BS101" s="500"/>
      <c r="BT101" s="500"/>
      <c r="BU101" s="500"/>
      <c r="BV101" s="500"/>
      <c r="BW101" s="500"/>
      <c r="BX101" s="500"/>
      <c r="BY101" s="500"/>
      <c r="BZ101" s="500"/>
      <c r="CA101" s="500"/>
      <c r="CB101" s="500"/>
      <c r="CC101" s="500"/>
      <c r="CD101" s="500"/>
      <c r="CE101" s="500"/>
      <c r="CF101" s="500"/>
      <c r="CG101" s="500"/>
      <c r="CH101" s="500"/>
      <c r="CI101" s="500"/>
      <c r="CJ101" s="500"/>
      <c r="CK101" s="500"/>
      <c r="CL101" s="500"/>
      <c r="CM101" s="500"/>
      <c r="CN101" s="500"/>
      <c r="CO101" s="500"/>
      <c r="CP101" s="500"/>
      <c r="CQ101" s="500"/>
      <c r="CR101" s="500"/>
      <c r="CS101" s="500"/>
      <c r="CT101" s="500"/>
      <c r="CU101" s="500"/>
      <c r="CV101" s="500"/>
      <c r="CW101" s="500"/>
      <c r="CX101" s="500"/>
      <c r="CY101" s="500"/>
      <c r="CZ101" s="500"/>
      <c r="DA101" s="500"/>
      <c r="DB101" s="500"/>
      <c r="DC101" s="500"/>
      <c r="DD101" s="500"/>
      <c r="DE101" s="500"/>
      <c r="DF101" s="500"/>
      <c r="DG101" s="500"/>
      <c r="DH101" s="500"/>
      <c r="DI101" s="500"/>
      <c r="DJ101"/>
      <c r="DK101"/>
      <c r="DL101"/>
      <c r="DM101"/>
      <c r="DN101"/>
      <c r="DO101"/>
      <c r="DP101"/>
      <c r="DQ101"/>
      <c r="DR101"/>
      <c r="DS101"/>
      <c r="DT101"/>
      <c r="DU101"/>
      <c r="DV101"/>
      <c r="DW101"/>
      <c r="DX101"/>
      <c r="DY101" s="1116"/>
      <c r="DZ101" s="1116"/>
      <c r="EA101" s="1116"/>
      <c r="EB101" s="1116"/>
      <c r="EC101" s="1116"/>
      <c r="ED101" s="1116"/>
      <c r="EE101" s="1116"/>
      <c r="EF101" s="1116"/>
      <c r="EG101" s="1116"/>
      <c r="EH101" s="1116"/>
      <c r="EI101" s="1116"/>
      <c r="EJ101" s="1116"/>
      <c r="EK101" s="1116"/>
      <c r="EL101" s="1116"/>
      <c r="EM101" s="1116"/>
      <c r="EN101" s="1116"/>
      <c r="EO101" s="1116"/>
    </row>
    <row r="102" spans="1:146" x14ac:dyDescent="0.35">
      <c r="G102" s="692"/>
      <c r="AB102" s="406"/>
      <c r="AC102" s="406"/>
      <c r="AD102" s="406"/>
      <c r="AE102" s="406"/>
      <c r="AF102" s="406"/>
      <c r="AG102" s="406"/>
      <c r="AH102" s="406"/>
      <c r="AI102" s="406"/>
      <c r="AJ102" s="406"/>
      <c r="AK102" s="406"/>
      <c r="AM102" s="61"/>
      <c r="AN102" s="61"/>
      <c r="AO102" s="61"/>
      <c r="AP102" s="61"/>
      <c r="AQ102" s="61"/>
      <c r="AR102" s="61"/>
      <c r="AS102" s="61"/>
      <c r="AT102" s="61"/>
      <c r="AU102" s="61"/>
      <c r="AV102" s="61"/>
      <c r="DS102" s="692"/>
    </row>
    <row r="103" spans="1:146" x14ac:dyDescent="0.35">
      <c r="G103" s="692"/>
      <c r="AB103" s="1117"/>
      <c r="AC103" s="1117"/>
      <c r="AD103" s="1117"/>
      <c r="AE103" s="1208"/>
    </row>
    <row r="104" spans="1:146" x14ac:dyDescent="0.35">
      <c r="AC104" s="406"/>
      <c r="AD104" s="406"/>
      <c r="AE104" s="1208"/>
      <c r="AM104" s="406"/>
      <c r="AN104" s="406"/>
      <c r="AO104" s="406"/>
      <c r="AP104" s="406"/>
      <c r="AQ104" s="406"/>
    </row>
    <row r="105" spans="1:146" x14ac:dyDescent="0.35">
      <c r="AE105" s="1208"/>
      <c r="AM105" s="406"/>
      <c r="AO105" s="406"/>
      <c r="AP105" s="406"/>
      <c r="AQ105" s="406"/>
    </row>
    <row r="106" spans="1:146" x14ac:dyDescent="0.35">
      <c r="AE106" s="1208"/>
      <c r="AM106" s="1118"/>
      <c r="AN106" s="1118"/>
      <c r="AO106" s="1118"/>
      <c r="AP106" s="1118"/>
      <c r="AQ106" s="1118"/>
      <c r="AR106" s="1118"/>
    </row>
    <row r="107" spans="1:146" x14ac:dyDescent="0.35">
      <c r="U107" s="692"/>
      <c r="AM107" s="1118"/>
      <c r="AN107" s="1118"/>
      <c r="AO107" s="1118"/>
      <c r="AP107" s="1118"/>
      <c r="AQ107" s="1118"/>
      <c r="AR107" s="1118"/>
      <c r="AS107" s="1118"/>
      <c r="AT107" s="1118"/>
      <c r="AU107" s="1118"/>
      <c r="AV107" s="1118"/>
      <c r="AW107" s="1118"/>
    </row>
    <row r="108" spans="1:146" x14ac:dyDescent="0.35">
      <c r="AE108" s="1208"/>
      <c r="AM108" s="500"/>
      <c r="AN108" s="500"/>
      <c r="AO108" s="500"/>
      <c r="AP108" s="500"/>
      <c r="AQ108" s="500"/>
      <c r="AR108" s="500"/>
      <c r="AS108" s="500"/>
      <c r="AT108" s="500"/>
      <c r="AU108" s="500"/>
      <c r="AV108" s="500"/>
      <c r="AW108" s="500"/>
      <c r="AX108" s="500"/>
      <c r="AY108" s="500"/>
      <c r="AZ108" s="500"/>
      <c r="BA108" s="500"/>
      <c r="BB108" s="500"/>
      <c r="BC108" s="500"/>
      <c r="BD108" s="500"/>
      <c r="BE108" s="500"/>
      <c r="BF108" s="500"/>
      <c r="BG108" s="500"/>
      <c r="BH108" s="500"/>
      <c r="BI108" s="500"/>
      <c r="BJ108" s="500"/>
      <c r="BK108" s="500"/>
      <c r="BL108" s="500"/>
      <c r="BM108" s="500"/>
      <c r="BN108" s="500"/>
      <c r="BO108" s="500"/>
      <c r="BP108" s="500"/>
      <c r="BQ108" s="500"/>
      <c r="BR108" s="500"/>
      <c r="BS108" s="500"/>
      <c r="BT108" s="500"/>
      <c r="BU108" s="500"/>
      <c r="BV108" s="500"/>
      <c r="BW108" s="500"/>
      <c r="BX108" s="500"/>
      <c r="BY108" s="500"/>
      <c r="BZ108" s="500"/>
      <c r="CA108" s="500"/>
      <c r="CB108" s="500"/>
      <c r="CC108" s="500"/>
      <c r="CD108" s="500"/>
      <c r="CE108" s="500"/>
      <c r="CF108" s="500"/>
      <c r="CG108" s="500"/>
      <c r="CH108" s="500"/>
      <c r="CI108" s="500"/>
      <c r="CJ108" s="500"/>
      <c r="CK108" s="500"/>
      <c r="CL108" s="500"/>
      <c r="CM108" s="500"/>
      <c r="CN108" s="500"/>
      <c r="CO108" s="500"/>
      <c r="CP108" s="500"/>
      <c r="CQ108" s="500"/>
      <c r="CR108" s="500"/>
      <c r="CS108" s="500"/>
      <c r="CT108" s="500"/>
      <c r="CU108" s="500"/>
      <c r="CV108" s="500"/>
      <c r="CW108" s="500"/>
      <c r="CX108" s="500"/>
      <c r="CY108" s="500"/>
      <c r="CZ108" s="500"/>
      <c r="DA108" s="500"/>
      <c r="DB108" s="500"/>
      <c r="DC108" s="500"/>
      <c r="DD108" s="500"/>
      <c r="DE108" s="500"/>
      <c r="DF108" s="500"/>
      <c r="DG108"/>
      <c r="DH108"/>
      <c r="DI108"/>
      <c r="DJ108"/>
      <c r="DK108"/>
      <c r="DL108"/>
      <c r="DM108"/>
      <c r="DN108"/>
      <c r="DO108"/>
      <c r="DP108"/>
    </row>
    <row r="109" spans="1:146" x14ac:dyDescent="0.35">
      <c r="AE109" s="1208"/>
    </row>
    <row r="110" spans="1:146" x14ac:dyDescent="0.35">
      <c r="AE110" s="1208"/>
    </row>
    <row r="111" spans="1:146" x14ac:dyDescent="0.35">
      <c r="AE111" s="1208"/>
    </row>
    <row r="112" spans="1:146" x14ac:dyDescent="0.35">
      <c r="AE112" s="1208"/>
    </row>
    <row r="113" spans="31:31" x14ac:dyDescent="0.35">
      <c r="AE113" s="1208"/>
    </row>
    <row r="114" spans="31:31" x14ac:dyDescent="0.35">
      <c r="AE114" s="1208"/>
    </row>
    <row r="115" spans="31:31" x14ac:dyDescent="0.35">
      <c r="AE115" s="1208"/>
    </row>
    <row r="116" spans="31:31" x14ac:dyDescent="0.35">
      <c r="AE116" s="1208"/>
    </row>
    <row r="117" spans="31:31" x14ac:dyDescent="0.35">
      <c r="AE117" s="1208"/>
    </row>
    <row r="118" spans="31:31" x14ac:dyDescent="0.35">
      <c r="AE118" s="1208"/>
    </row>
    <row r="119" spans="31:31" x14ac:dyDescent="0.35">
      <c r="AE119" s="1208"/>
    </row>
    <row r="120" spans="31:31" x14ac:dyDescent="0.35">
      <c r="AE120" s="1208"/>
    </row>
    <row r="121" spans="31:31" x14ac:dyDescent="0.35">
      <c r="AE121" s="1208"/>
    </row>
    <row r="122" spans="31:31" x14ac:dyDescent="0.35">
      <c r="AE122" s="1208"/>
    </row>
    <row r="123" spans="31:31" x14ac:dyDescent="0.35">
      <c r="AE123" s="1208"/>
    </row>
    <row r="124" spans="31:31" x14ac:dyDescent="0.35">
      <c r="AE124" s="1208"/>
    </row>
    <row r="125" spans="31:31" x14ac:dyDescent="0.35">
      <c r="AE125" s="1208"/>
    </row>
    <row r="126" spans="31:31" x14ac:dyDescent="0.35">
      <c r="AE126" s="1208"/>
    </row>
    <row r="127" spans="31:31" x14ac:dyDescent="0.35">
      <c r="AE127" s="1208"/>
    </row>
    <row r="128" spans="31:31" x14ac:dyDescent="0.35">
      <c r="AE128" s="1208"/>
    </row>
    <row r="129" spans="31:31" x14ac:dyDescent="0.35">
      <c r="AE129" s="1208"/>
    </row>
    <row r="130" spans="31:31" x14ac:dyDescent="0.35">
      <c r="AE130" s="1208"/>
    </row>
    <row r="131" spans="31:31" x14ac:dyDescent="0.35">
      <c r="AE131" s="1208"/>
    </row>
    <row r="132" spans="31:31" x14ac:dyDescent="0.35">
      <c r="AE132" s="1208"/>
    </row>
    <row r="133" spans="31:31" x14ac:dyDescent="0.35">
      <c r="AE133" s="1208"/>
    </row>
    <row r="134" spans="31:31" x14ac:dyDescent="0.35">
      <c r="AE134" s="1208"/>
    </row>
    <row r="135" spans="31:31" x14ac:dyDescent="0.35">
      <c r="AE135" s="1208"/>
    </row>
    <row r="136" spans="31:31" x14ac:dyDescent="0.35">
      <c r="AE136" s="1208"/>
    </row>
    <row r="137" spans="31:31" x14ac:dyDescent="0.35">
      <c r="AE137" s="1208"/>
    </row>
    <row r="138" spans="31:31" x14ac:dyDescent="0.35">
      <c r="AE138" s="1208"/>
    </row>
    <row r="139" spans="31:31" x14ac:dyDescent="0.35">
      <c r="AE139" s="1208"/>
    </row>
    <row r="140" spans="31:31" x14ac:dyDescent="0.35">
      <c r="AE140" s="1208"/>
    </row>
    <row r="141" spans="31:31" x14ac:dyDescent="0.35">
      <c r="AE141" s="1208"/>
    </row>
    <row r="142" spans="31:31" x14ac:dyDescent="0.35">
      <c r="AE142" s="1208"/>
    </row>
    <row r="143" spans="31:31" x14ac:dyDescent="0.35">
      <c r="AE143" s="1208"/>
    </row>
    <row r="144" spans="31:31" x14ac:dyDescent="0.35">
      <c r="AE144" s="1208"/>
    </row>
    <row r="145" spans="31:31" x14ac:dyDescent="0.35">
      <c r="AE145" s="1208"/>
    </row>
    <row r="146" spans="31:31" x14ac:dyDescent="0.35">
      <c r="AE146" s="1208"/>
    </row>
    <row r="147" spans="31:31" x14ac:dyDescent="0.35">
      <c r="AE147" s="1208"/>
    </row>
    <row r="148" spans="31:31" x14ac:dyDescent="0.35">
      <c r="AE148" s="1208"/>
    </row>
    <row r="149" spans="31:31" x14ac:dyDescent="0.35">
      <c r="AE149" s="1208"/>
    </row>
    <row r="150" spans="31:31" x14ac:dyDescent="0.35">
      <c r="AE150" s="1208"/>
    </row>
    <row r="151" spans="31:31" x14ac:dyDescent="0.35">
      <c r="AE151" s="1208"/>
    </row>
    <row r="152" spans="31:31" x14ac:dyDescent="0.35">
      <c r="AE152" s="1208"/>
    </row>
    <row r="153" spans="31:31" x14ac:dyDescent="0.35">
      <c r="AE153" s="1208"/>
    </row>
    <row r="154" spans="31:31" x14ac:dyDescent="0.35">
      <c r="AE154" s="1208"/>
    </row>
    <row r="155" spans="31:31" x14ac:dyDescent="0.35">
      <c r="AE155" s="1208"/>
    </row>
    <row r="156" spans="31:31" x14ac:dyDescent="0.35">
      <c r="AE156" s="1208"/>
    </row>
    <row r="157" spans="31:31" x14ac:dyDescent="0.35">
      <c r="AE157" s="1208"/>
    </row>
    <row r="158" spans="31:31" x14ac:dyDescent="0.35">
      <c r="AE158" s="1208"/>
    </row>
    <row r="159" spans="31:31" x14ac:dyDescent="0.35">
      <c r="AE159" s="1208"/>
    </row>
    <row r="160" spans="31:31" x14ac:dyDescent="0.35">
      <c r="AE160" s="1208"/>
    </row>
    <row r="161" spans="31:31" x14ac:dyDescent="0.35">
      <c r="AE161" s="1208"/>
    </row>
    <row r="162" spans="31:31" x14ac:dyDescent="0.35">
      <c r="AE162" s="1208"/>
    </row>
    <row r="163" spans="31:31" x14ac:dyDescent="0.35">
      <c r="AE163" s="1208"/>
    </row>
    <row r="164" spans="31:31" x14ac:dyDescent="0.35">
      <c r="AE164" s="1208"/>
    </row>
    <row r="165" spans="31:31" x14ac:dyDescent="0.35">
      <c r="AE165" s="1208"/>
    </row>
    <row r="166" spans="31:31" x14ac:dyDescent="0.35">
      <c r="AE166" s="1208"/>
    </row>
    <row r="167" spans="31:31" x14ac:dyDescent="0.35">
      <c r="AE167" s="1208"/>
    </row>
    <row r="168" spans="31:31" x14ac:dyDescent="0.35">
      <c r="AE168" s="1208"/>
    </row>
    <row r="169" spans="31:31" x14ac:dyDescent="0.35">
      <c r="AE169" s="1208"/>
    </row>
    <row r="170" spans="31:31" x14ac:dyDescent="0.35">
      <c r="AE170" s="1208"/>
    </row>
    <row r="171" spans="31:31" x14ac:dyDescent="0.35">
      <c r="AE171" s="1208"/>
    </row>
    <row r="172" spans="31:31" x14ac:dyDescent="0.35">
      <c r="AE172" s="1208"/>
    </row>
    <row r="173" spans="31:31" x14ac:dyDescent="0.35">
      <c r="AE173" s="1208"/>
    </row>
    <row r="174" spans="31:31" x14ac:dyDescent="0.35">
      <c r="AE174" s="1208"/>
    </row>
    <row r="175" spans="31:31" x14ac:dyDescent="0.35">
      <c r="AE175" s="1208"/>
    </row>
    <row r="176" spans="31:31" x14ac:dyDescent="0.35">
      <c r="AE176" s="1208"/>
    </row>
    <row r="177" spans="31:31" x14ac:dyDescent="0.35">
      <c r="AE177" s="1208"/>
    </row>
    <row r="178" spans="31:31" x14ac:dyDescent="0.35">
      <c r="AE178" s="1208"/>
    </row>
    <row r="179" spans="31:31" x14ac:dyDescent="0.35">
      <c r="AE179" s="1208"/>
    </row>
    <row r="180" spans="31:31" x14ac:dyDescent="0.35">
      <c r="AE180" s="1208"/>
    </row>
    <row r="181" spans="31:31" x14ac:dyDescent="0.35">
      <c r="AE181" s="1208"/>
    </row>
  </sheetData>
  <sortState xmlns:xlrd2="http://schemas.microsoft.com/office/spreadsheetml/2017/richdata2" ref="H101:I120">
    <sortCondition ref="H101"/>
  </sortState>
  <mergeCells count="2">
    <mergeCell ref="C5:D5"/>
    <mergeCell ref="C6:D6"/>
  </mergeCells>
  <hyperlinks>
    <hyperlink ref="A74" location="SSB_2019" display="SSB (2019)" xr:uid="{00000000-0004-0000-0A00-000003000000}"/>
    <hyperlink ref="A87:A88" location="TØI_1518_2016" display="TØI (2016)" xr:uid="{00000000-0004-0000-0A00-000004000000}"/>
    <hyperlink ref="A86" location="TØI_1718_2019" display="TØI (2019)" xr:uid="{00000000-0004-0000-0A00-000007000000}"/>
    <hyperlink ref="A84" location="Regjeringen_2021" display="Regjeringen (2021)" xr:uid="{00000000-0004-0000-0A00-000008000000}"/>
    <hyperlink ref="A75:A78" location="SSB_2018" display="SSB (2018)" xr:uid="{FDC37F1E-1D3C-46BF-901A-CCA5D8F145F8}"/>
    <hyperlink ref="A76" location="SSB_2019_2" display="SSB (2019)" xr:uid="{66115247-ABC1-419D-848E-CE1862336313}"/>
    <hyperlink ref="A78" location="SSB_2019_3" display="SSB (2019)" xr:uid="{11F1757A-68A8-48A0-834D-295FA714341D}"/>
    <hyperlink ref="A85" location="TØI_1718_2019" display="TØI (2019)" xr:uid="{730DBEA5-9699-4BD5-9BFE-0E4EA8DDEFAB}"/>
    <hyperlink ref="A95" location="CO2KvotePris1" display="CO2KvotePris1" xr:uid="{1C69A20C-3D6B-433E-A89C-104160246297}"/>
    <hyperlink ref="A97" location="Høy_bane" display="Høy_bane" xr:uid="{37ECFFA5-FF10-443B-8B77-3286554BD530}"/>
    <hyperlink ref="A99" location="CO2_avgift" display="CO2_avgift" xr:uid="{860FC461-B704-4BF9-9E21-9CAD40C5F1FB}"/>
    <hyperlink ref="A96" location="Lav_bane" display="Lav_bane" xr:uid="{F84CD927-23CE-4852-9B08-EC1EDC009008}"/>
    <hyperlink ref="A98" location="Skogogarealbruk_bane" display="Skogogarealbruk_bane" xr:uid="{4B2DD000-2E6D-4D89-A070-678FB4D8271F}"/>
    <hyperlink ref="A83" location="SSB_2022" display="SSB_2022" xr:uid="{B7593981-77A0-4998-A5EF-EA458FCC2A7C}"/>
  </hyperlinks>
  <pageMargins left="0.7" right="0.7" top="0.75" bottom="0.75" header="0.3" footer="0.3"/>
  <pageSetup paperSize="9" orientation="portrait" r:id="rId1"/>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Ark8">
    <tabColor theme="4" tint="0.39997558519241921"/>
  </sheetPr>
  <dimension ref="A3:S95"/>
  <sheetViews>
    <sheetView zoomScaleNormal="100" workbookViewId="0"/>
  </sheetViews>
  <sheetFormatPr baseColWidth="10" defaultColWidth="11.453125" defaultRowHeight="14.5" x14ac:dyDescent="0.35"/>
  <cols>
    <col min="1" max="1" width="42.453125" customWidth="1"/>
    <col min="2" max="2" width="41.453125" customWidth="1"/>
    <col min="3" max="3" width="12.453125" customWidth="1"/>
    <col min="4" max="4" width="11.81640625" customWidth="1"/>
    <col min="5" max="5" width="12.1796875" customWidth="1"/>
    <col min="6" max="6" width="18.453125" bestFit="1" customWidth="1"/>
    <col min="8" max="8" width="14.453125" customWidth="1"/>
    <col min="9" max="9" width="16.453125" customWidth="1"/>
    <col min="10" max="10" width="17.453125" customWidth="1"/>
    <col min="11" max="11" width="17.1796875" customWidth="1"/>
    <col min="12" max="12" width="13.453125" customWidth="1"/>
    <col min="13" max="13" width="13.81640625" customWidth="1"/>
    <col min="14" max="93" width="13.453125" bestFit="1" customWidth="1"/>
  </cols>
  <sheetData>
    <row r="3" spans="1:11" ht="15" thickBot="1" x14ac:dyDescent="0.4"/>
    <row r="4" spans="1:11" ht="18.5" x14ac:dyDescent="0.45">
      <c r="A4" s="290" t="s">
        <v>717</v>
      </c>
      <c r="B4" s="209"/>
    </row>
    <row r="5" spans="1:11" ht="15" thickBot="1" x14ac:dyDescent="0.4">
      <c r="A5" s="292" t="s">
        <v>1487</v>
      </c>
      <c r="B5" s="362" t="s">
        <v>1488</v>
      </c>
    </row>
    <row r="7" spans="1:11" ht="15" thickBot="1" x14ac:dyDescent="0.4"/>
    <row r="8" spans="1:11" ht="21" x14ac:dyDescent="0.5">
      <c r="B8" s="342" t="s">
        <v>1489</v>
      </c>
      <c r="C8" s="208"/>
      <c r="D8" s="208"/>
      <c r="E8" s="208"/>
      <c r="F8" s="209"/>
      <c r="G8" s="6"/>
    </row>
    <row r="9" spans="1:11" ht="18.5" x14ac:dyDescent="0.45">
      <c r="A9" s="7"/>
      <c r="B9" s="343" t="s">
        <v>1490</v>
      </c>
      <c r="C9" s="14"/>
      <c r="D9" s="14"/>
      <c r="E9" s="14"/>
      <c r="F9" s="248"/>
      <c r="G9" s="6"/>
    </row>
    <row r="10" spans="1:11" x14ac:dyDescent="0.35">
      <c r="A10" s="4"/>
      <c r="B10" s="344" t="s">
        <v>1491</v>
      </c>
      <c r="C10" s="9">
        <f>FørsteBeregningsår</f>
        <v>0</v>
      </c>
      <c r="D10" s="9">
        <f>AndreBeregningsår</f>
        <v>0</v>
      </c>
      <c r="E10" s="9">
        <f>TredjeBeregningsår</f>
        <v>0</v>
      </c>
      <c r="F10" s="216" t="s">
        <v>534</v>
      </c>
      <c r="G10" s="6"/>
    </row>
    <row r="11" spans="1:11" x14ac:dyDescent="0.35">
      <c r="A11" s="71"/>
      <c r="B11" s="345" t="s">
        <v>1492</v>
      </c>
      <c r="C11" s="21">
        <f>(Trafikantnytte_TogÅr1+Trafikantnytte_TogÅr1_Togtype_2)/1000000</f>
        <v>0</v>
      </c>
      <c r="D11" s="21">
        <f>(Trafikantnytte_TogÅr2+Trafikantnytte_TogÅr2_Togtype_2)/1000000</f>
        <v>0</v>
      </c>
      <c r="E11" s="21">
        <f>(Trafikantnytte_TogÅr3+Trafikantnytte_TogÅr3_Togtype_2)/1000000</f>
        <v>0</v>
      </c>
      <c r="F11" s="346" t="s">
        <v>1493</v>
      </c>
      <c r="G11" s="6"/>
    </row>
    <row r="12" spans="1:11" x14ac:dyDescent="0.35">
      <c r="A12" s="4"/>
      <c r="B12" s="344" t="s">
        <v>1494</v>
      </c>
      <c r="C12" s="53"/>
      <c r="D12" s="53"/>
      <c r="E12" s="53"/>
      <c r="F12" s="347"/>
      <c r="G12" s="6"/>
    </row>
    <row r="13" spans="1:11" x14ac:dyDescent="0.35">
      <c r="B13" s="345" t="s">
        <v>602</v>
      </c>
      <c r="C13" s="21">
        <f>(TrafikantnytteNy_TogÅr1+TrafikantnytteNy_TogÅr1_Togtype_2)*OverførtTrafikk_Bil/1000000</f>
        <v>0</v>
      </c>
      <c r="D13" s="21">
        <f>(TrafikantnytteNy_TogÅr2+TrafikantnytteNy_TogÅr2_Togtype_2)*OverførtTrafikk_Bil/1000000</f>
        <v>0</v>
      </c>
      <c r="E13" s="21">
        <f>(TrafikantnytteNy_TogÅr3+TrafikantnytteNy_TogÅr3_Togtype_2)*OverførtTrafikk_Bil/1000000</f>
        <v>0</v>
      </c>
      <c r="F13" s="346" t="s">
        <v>1493</v>
      </c>
    </row>
    <row r="14" spans="1:11" x14ac:dyDescent="0.35">
      <c r="A14" s="4"/>
      <c r="B14" s="345" t="s">
        <v>603</v>
      </c>
      <c r="C14" s="21">
        <f>(TrafikantnytteNy_TogÅr1+TrafikantnytteNy_TogÅr1_Togtype_2)*OverførtTrafikk_Buss/1000000</f>
        <v>0</v>
      </c>
      <c r="D14" s="21">
        <f>(TrafikantnytteNy_TogÅr2+TrafikantnytteNy_TogÅr2_Togtype_2)*OverførtTrafikk_Buss/1000000</f>
        <v>0</v>
      </c>
      <c r="E14" s="21">
        <f>(TrafikantnytteNy_TogÅr3+TrafikantnytteNy_TogÅr3_Togtype_2)*OverførtTrafikk_Buss/1000000</f>
        <v>0</v>
      </c>
      <c r="F14" s="346" t="s">
        <v>1493</v>
      </c>
    </row>
    <row r="15" spans="1:11" x14ac:dyDescent="0.35">
      <c r="B15" s="212" t="s">
        <v>875</v>
      </c>
      <c r="C15" s="33">
        <f>(TrafikantnytteNy_TogÅr1+TrafikantnytteNy_TogÅr1_Togtype_2)*OverførtTrafikk_Fly/1000000</f>
        <v>0</v>
      </c>
      <c r="D15" s="33">
        <f>(TrafikantnytteNy_TogÅr2+TrafikantnytteNy_TogÅr2_Togtype_2)*OverførtTrafikk_Fly/1000000</f>
        <v>0</v>
      </c>
      <c r="E15" s="33">
        <f>(TrafikantnytteNy_TogÅr3+TrafikantnytteNy_TogÅr3_Togtype_2)*OverførtTrafikk_Fly/1000000</f>
        <v>0</v>
      </c>
      <c r="F15" s="346" t="s">
        <v>1493</v>
      </c>
      <c r="K15" s="73"/>
    </row>
    <row r="16" spans="1:11" x14ac:dyDescent="0.35">
      <c r="B16" s="345" t="s">
        <v>1495</v>
      </c>
      <c r="C16" s="21">
        <f>(TrafikantnytteNy_TogÅr1+TrafikantnytteNy_TogÅr1_Togtype_2)*AndelNyskaptTrafikk/1000000</f>
        <v>0</v>
      </c>
      <c r="D16" s="21">
        <f>(TrafikantnytteNy_TogÅr2+TrafikantnytteNy_TogÅr2_Togtype_2)*AndelNyskaptTrafikk/1000000</f>
        <v>0</v>
      </c>
      <c r="E16" s="21">
        <f>(TrafikantnytteNy_TogÅr3+TrafikantnytteNy_TogÅr3_Togtype_2)*AndelNyskaptTrafikk/1000000</f>
        <v>0</v>
      </c>
      <c r="F16" s="346" t="s">
        <v>1493</v>
      </c>
    </row>
    <row r="17" spans="1:12" x14ac:dyDescent="0.35">
      <c r="B17" s="345" t="s">
        <v>1496</v>
      </c>
      <c r="C17" s="21">
        <f>IFERROR(SUM(C13:C16)/(Togreiser_År1+Togreiser_År1_Togtype_2)*1000000,0)</f>
        <v>0</v>
      </c>
      <c r="D17" s="21">
        <f>IFERROR(SUM(D13:D16)/(Togreiser_År2+Togreiser_År2_Togtype_2)*1000000,0)</f>
        <v>0</v>
      </c>
      <c r="E17" s="21">
        <f>IFERROR(SUM(E13:E16)/(Togreiser_År3+Togreiser_År3_Togtype_2)*1000000,0)</f>
        <v>0</v>
      </c>
      <c r="F17" s="348" t="s">
        <v>1497</v>
      </c>
      <c r="G17" s="6"/>
    </row>
    <row r="18" spans="1:12" x14ac:dyDescent="0.35">
      <c r="A18" s="4"/>
      <c r="B18" s="357" t="s">
        <v>1498</v>
      </c>
      <c r="C18" s="8"/>
      <c r="D18" s="8"/>
      <c r="E18" s="8"/>
      <c r="F18" s="259"/>
    </row>
    <row r="19" spans="1:12" x14ac:dyDescent="0.35">
      <c r="B19" s="345" t="s">
        <v>1499</v>
      </c>
      <c r="C19" s="32">
        <f>(Togreiser_År1+Togreiser_År1_Togtype_2)*AndelNyskaptTrafikk</f>
        <v>0</v>
      </c>
      <c r="D19" s="32">
        <f>(Togreiser_År2+Togreiser_År2_Togtype_2)*AndelNyskaptTrafikk</f>
        <v>0</v>
      </c>
      <c r="E19" s="32">
        <f>(Togreiser_År3+Togreiser_År3_Togtype_2)*AndelNyskaptTrafikk</f>
        <v>0</v>
      </c>
      <c r="F19" s="349" t="s">
        <v>1500</v>
      </c>
      <c r="G19" s="6"/>
    </row>
    <row r="20" spans="1:12" x14ac:dyDescent="0.35">
      <c r="B20" s="345" t="s">
        <v>1501</v>
      </c>
      <c r="C20" s="29">
        <f>(Passasjerkm_TogÅr1+Passasjerkm_TogÅr1_Togtype_2)*AndelNyskaptTrafikk</f>
        <v>0</v>
      </c>
      <c r="D20" s="29">
        <f>(Passasjerkm_EndringTogÅr2+Passasjerkm_EndringTogÅr2_Togtype_2)*AndelNyskaptTrafikk</f>
        <v>0</v>
      </c>
      <c r="E20" s="29">
        <f>(Passasjerkm_EndringTogÅr3+Passasjerkm_EndringTogÅr3_Togtype_2)*AndelNyskaptTrafikk</f>
        <v>0</v>
      </c>
      <c r="F20" s="341" t="s">
        <v>1322</v>
      </c>
    </row>
    <row r="21" spans="1:12" ht="18.5" x14ac:dyDescent="0.45">
      <c r="B21" s="247" t="s">
        <v>1502</v>
      </c>
      <c r="C21" s="14"/>
      <c r="D21" s="39"/>
      <c r="E21" s="14"/>
      <c r="F21" s="248"/>
    </row>
    <row r="22" spans="1:12" x14ac:dyDescent="0.35">
      <c r="A22" s="6"/>
      <c r="B22" s="215" t="s">
        <v>790</v>
      </c>
      <c r="C22" s="8"/>
      <c r="D22" s="70"/>
      <c r="E22" s="8"/>
      <c r="F22" s="259"/>
    </row>
    <row r="23" spans="1:12" x14ac:dyDescent="0.35">
      <c r="A23" s="6"/>
      <c r="B23" s="345" t="s">
        <v>1503</v>
      </c>
      <c r="C23" s="33">
        <f>IF(OR(Modell_Person="RTM",Modell_Person="RTM23+"),0,Kjøretøykm_Bil_År1*Kø_Bil/1000000)</f>
        <v>0</v>
      </c>
      <c r="D23" s="33">
        <f>IF(OR(Modell_Person="RTM",Modell_Person="RTM23+"),0,Kjøretøykm_Bil_År2*Kø_Bil/1000000)</f>
        <v>0</v>
      </c>
      <c r="E23" s="33">
        <f>IF(OR(Modell_Person="RTM",Modell_Person="RTM23+"),0,Kjøretøykm_Bil_År3*Kø_Bil/1000000)</f>
        <v>0</v>
      </c>
      <c r="F23" s="346" t="s">
        <v>1493</v>
      </c>
      <c r="G23" s="37"/>
      <c r="H23" s="38"/>
    </row>
    <row r="24" spans="1:12" x14ac:dyDescent="0.35">
      <c r="A24" s="6"/>
      <c r="B24" s="345" t="s">
        <v>1504</v>
      </c>
      <c r="C24" s="33">
        <f>IF(OR(Modell_Person="RTM",Modell_Person="RTM23+"),0,SUM(KjøretøyMkm_Lettlastebil_År1+KjøretøyMkm_Tunglastebil_År1+KjøretøyMkm_Modulvogntog_År1)*Kø_Lastebil)</f>
        <v>0</v>
      </c>
      <c r="D24" s="33">
        <f>IF(OR(Modell_Person="RTM",Modell_Person="RTM23+"),0,SUM(KjøretøyMkm_Lettlastebil_År2+KjøretøyMkm_Tunglastebil_År2+KjøretøyMkm_Modulvogntog_År2)*Kø_Lastebil)</f>
        <v>0</v>
      </c>
      <c r="E24" s="33">
        <f>IF(OR(Modell_Person="RTM",Modell_Person="RTM23+"),0,SUM(KjøretøyMkm_Lettlastebil_År3+KjøretøyMkm_Tunglastebil_År3+KjøretøyMkm_Modulvogntog_År3)*Kø_Lastebil)</f>
        <v>0</v>
      </c>
      <c r="F24" s="346"/>
      <c r="G24" s="37"/>
      <c r="H24" s="38"/>
    </row>
    <row r="25" spans="1:12" x14ac:dyDescent="0.35">
      <c r="A25" s="6"/>
      <c r="B25" s="345" t="s">
        <v>603</v>
      </c>
      <c r="C25" s="21">
        <f>IF(OR(Modell_Person="RTM",Modell_Person="RTM23+"),0,Kjøretøykm_Buss_År1*Kø_Buss/1000000)</f>
        <v>0</v>
      </c>
      <c r="D25" s="21">
        <f>IF(OR(Modell_Person="RTM",Modell_Person="RTM23+"),0,Kjøretøykm_Buss_År2*Kø_Buss/1000000)</f>
        <v>0</v>
      </c>
      <c r="E25" s="21">
        <f>IF(OR(Modell_Person="RTM",Modell_Person="RTM23+"),0,Kjøretøykm_Buss_År3*Kø_Buss/1000000)</f>
        <v>0</v>
      </c>
      <c r="F25" s="346" t="s">
        <v>1493</v>
      </c>
    </row>
    <row r="26" spans="1:12" x14ac:dyDescent="0.35">
      <c r="A26" s="6"/>
      <c r="B26" s="215" t="s">
        <v>1505</v>
      </c>
      <c r="C26" s="8"/>
      <c r="D26" s="70"/>
      <c r="E26" s="8"/>
      <c r="F26" s="259"/>
    </row>
    <row r="27" spans="1:12" x14ac:dyDescent="0.35">
      <c r="A27" s="6"/>
      <c r="B27" s="345" t="s">
        <v>602</v>
      </c>
      <c r="C27" s="21">
        <f>Trafikantnytte_BilÅr1/1000000</f>
        <v>0</v>
      </c>
      <c r="D27" s="21">
        <f>Trafikantnytte_BilÅr2/1000000</f>
        <v>0</v>
      </c>
      <c r="E27" s="21">
        <f>Trafikantnytte_BilÅr3/1000000</f>
        <v>0</v>
      </c>
      <c r="F27" s="346" t="s">
        <v>1493</v>
      </c>
      <c r="H27" s="6"/>
    </row>
    <row r="28" spans="1:12" x14ac:dyDescent="0.35">
      <c r="A28" s="6"/>
      <c r="B28" s="345" t="s">
        <v>603</v>
      </c>
      <c r="C28" s="21">
        <f>Trafikantnytte_BussÅr1/1000000</f>
        <v>0</v>
      </c>
      <c r="D28" s="21">
        <f>Trafikantnytte_BussÅr2/1000000</f>
        <v>0</v>
      </c>
      <c r="E28" s="21">
        <f>Trafikantnytte_BussÅr3/1000000</f>
        <v>0</v>
      </c>
      <c r="F28" s="346" t="s">
        <v>1493</v>
      </c>
    </row>
    <row r="29" spans="1:12" x14ac:dyDescent="0.35">
      <c r="A29" s="6"/>
      <c r="B29" s="212" t="s">
        <v>875</v>
      </c>
      <c r="C29" s="21">
        <f>Trafikantnytte_FlyÅr1/1000000</f>
        <v>0</v>
      </c>
      <c r="D29" s="21">
        <f>Trafikantnytte_FlyÅr2/1000000</f>
        <v>0</v>
      </c>
      <c r="E29" s="21">
        <f>Trafikantnytte_FlyÅr3/1000000</f>
        <v>0</v>
      </c>
      <c r="F29" s="346" t="s">
        <v>1493</v>
      </c>
    </row>
    <row r="30" spans="1:12" ht="18.5" x14ac:dyDescent="0.45">
      <c r="B30" s="247" t="s">
        <v>1506</v>
      </c>
      <c r="C30" s="52"/>
      <c r="D30" s="52"/>
      <c r="E30" s="52"/>
      <c r="F30" s="248"/>
      <c r="L30" s="6"/>
    </row>
    <row r="31" spans="1:12" x14ac:dyDescent="0.35">
      <c r="B31" s="215" t="s">
        <v>1507</v>
      </c>
      <c r="C31" s="8"/>
      <c r="D31" s="70"/>
      <c r="E31" s="8"/>
      <c r="F31" s="259"/>
      <c r="L31" s="6"/>
    </row>
    <row r="32" spans="1:12" x14ac:dyDescent="0.35">
      <c r="B32" s="423" t="s">
        <v>1508</v>
      </c>
      <c r="C32" s="33">
        <f>-Logistikkostnad_År1</f>
        <v>0</v>
      </c>
      <c r="D32" s="33">
        <f>-Logistikkostnad_År2</f>
        <v>0</v>
      </c>
      <c r="E32" s="33">
        <f>-Logistikkostnad_År3</f>
        <v>0</v>
      </c>
      <c r="F32" s="346" t="s">
        <v>1493</v>
      </c>
      <c r="L32" s="6"/>
    </row>
    <row r="33" spans="2:7" ht="18.5" x14ac:dyDescent="0.45">
      <c r="B33" s="343" t="s">
        <v>1509</v>
      </c>
      <c r="C33" s="14"/>
      <c r="D33" s="14"/>
      <c r="E33" s="14"/>
      <c r="F33" s="248"/>
    </row>
    <row r="34" spans="2:7" x14ac:dyDescent="0.35">
      <c r="B34" s="344" t="s">
        <v>1510</v>
      </c>
      <c r="C34" s="20"/>
      <c r="D34" s="20"/>
      <c r="E34" s="20"/>
      <c r="F34" s="363"/>
    </row>
    <row r="35" spans="2:7" ht="15" thickBot="1" x14ac:dyDescent="0.4">
      <c r="B35" s="252" t="s">
        <v>1511</v>
      </c>
      <c r="C35" s="365">
        <f>-Bilreiser_År1*Helsegevinst_Km*Helsegevinst/1000000</f>
        <v>0</v>
      </c>
      <c r="D35" s="365">
        <f>-Bilreiser_År2*Helsegevinst_Km*Helsegevinst/1000000</f>
        <v>0</v>
      </c>
      <c r="E35" s="365">
        <f>-Bilreiser_År3*Helsegevinst_Km*Helsegevinst/1000000</f>
        <v>0</v>
      </c>
      <c r="F35" s="361" t="s">
        <v>840</v>
      </c>
    </row>
    <row r="36" spans="2:7" x14ac:dyDescent="0.35">
      <c r="G36" s="6"/>
    </row>
    <row r="37" spans="2:7" x14ac:dyDescent="0.35">
      <c r="G37" s="6"/>
    </row>
    <row r="38" spans="2:7" x14ac:dyDescent="0.35">
      <c r="G38" s="6"/>
    </row>
    <row r="39" spans="2:7" x14ac:dyDescent="0.35">
      <c r="G39" s="6"/>
    </row>
    <row r="64" spans="7:19" x14ac:dyDescent="0.35">
      <c r="G64" s="6"/>
      <c r="S64" s="5"/>
    </row>
    <row r="65" spans="7:7" x14ac:dyDescent="0.35">
      <c r="G65" s="6"/>
    </row>
    <row r="66" spans="7:7" x14ac:dyDescent="0.35">
      <c r="G66" s="6"/>
    </row>
    <row r="67" spans="7:7" x14ac:dyDescent="0.35">
      <c r="G67" s="6"/>
    </row>
    <row r="68" spans="7:7" x14ac:dyDescent="0.35">
      <c r="G68" s="6"/>
    </row>
    <row r="69" spans="7:7" x14ac:dyDescent="0.35">
      <c r="G69" s="6"/>
    </row>
    <row r="70" spans="7:7" x14ac:dyDescent="0.35">
      <c r="G70" s="6"/>
    </row>
    <row r="71" spans="7:7" x14ac:dyDescent="0.35">
      <c r="G71" s="6"/>
    </row>
    <row r="72" spans="7:7" x14ac:dyDescent="0.35">
      <c r="G72" s="6"/>
    </row>
    <row r="73" spans="7:7" x14ac:dyDescent="0.35">
      <c r="G73" s="6"/>
    </row>
    <row r="74" spans="7:7" x14ac:dyDescent="0.35">
      <c r="G74" s="6"/>
    </row>
    <row r="75" spans="7:7" x14ac:dyDescent="0.35">
      <c r="G75" s="6"/>
    </row>
    <row r="76" spans="7:7" x14ac:dyDescent="0.35">
      <c r="G76" s="6"/>
    </row>
    <row r="77" spans="7:7" x14ac:dyDescent="0.35">
      <c r="G77" s="6"/>
    </row>
    <row r="78" spans="7:7" x14ac:dyDescent="0.35">
      <c r="G78" s="6"/>
    </row>
    <row r="79" spans="7:7" x14ac:dyDescent="0.35">
      <c r="G79" s="6"/>
    </row>
    <row r="80" spans="7:7" x14ac:dyDescent="0.35">
      <c r="G80" s="6"/>
    </row>
    <row r="81" spans="7:7" x14ac:dyDescent="0.35">
      <c r="G81" s="6"/>
    </row>
    <row r="82" spans="7:7" x14ac:dyDescent="0.35">
      <c r="G82" s="6"/>
    </row>
    <row r="83" spans="7:7" x14ac:dyDescent="0.35">
      <c r="G83" s="6"/>
    </row>
    <row r="84" spans="7:7" x14ac:dyDescent="0.35">
      <c r="G84" s="6"/>
    </row>
    <row r="85" spans="7:7" x14ac:dyDescent="0.35">
      <c r="G85" s="6"/>
    </row>
    <row r="86" spans="7:7" x14ac:dyDescent="0.35">
      <c r="G86" s="6"/>
    </row>
    <row r="87" spans="7:7" x14ac:dyDescent="0.35">
      <c r="G87" s="6"/>
    </row>
    <row r="88" spans="7:7" x14ac:dyDescent="0.35">
      <c r="G88" s="6"/>
    </row>
    <row r="89" spans="7:7" x14ac:dyDescent="0.35">
      <c r="G89" s="6"/>
    </row>
    <row r="90" spans="7:7" x14ac:dyDescent="0.35">
      <c r="G90" s="6"/>
    </row>
    <row r="91" spans="7:7" x14ac:dyDescent="0.35">
      <c r="G91" s="6"/>
    </row>
    <row r="92" spans="7:7" x14ac:dyDescent="0.35">
      <c r="G92" s="6"/>
    </row>
    <row r="93" spans="7:7" x14ac:dyDescent="0.35">
      <c r="G93" s="6"/>
    </row>
    <row r="94" spans="7:7" x14ac:dyDescent="0.35">
      <c r="G94" s="6"/>
    </row>
    <row r="95" spans="7:7" x14ac:dyDescent="0.35">
      <c r="G95" s="6"/>
    </row>
  </sheetData>
  <sortState xmlns:xlrd2="http://schemas.microsoft.com/office/spreadsheetml/2017/richdata2" ref="J42:J53">
    <sortCondition ref="J42:J53"/>
  </sortState>
  <conditionalFormatting sqref="E11 E19:E20 E27:E29 E32 E13:E17 E23:E25">
    <cfRule type="expression" dxfId="649" priority="6">
      <formula>TredjeBeregningsår=""</formula>
    </cfRule>
  </conditionalFormatting>
  <conditionalFormatting sqref="D11 D19:D20 D27:D29 D32 D13:D17 D24:D25">
    <cfRule type="expression" dxfId="648" priority="5">
      <formula>AndreBeregningsår=""</formula>
    </cfRule>
  </conditionalFormatting>
  <conditionalFormatting sqref="C11 C19:C20 C27:C29 C32 C13:C17 C23:C25 D23">
    <cfRule type="expression" dxfId="647" priority="4">
      <formula>Åpningsår=""</formula>
    </cfRule>
  </conditionalFormatting>
  <conditionalFormatting sqref="E35">
    <cfRule type="expression" dxfId="646" priority="3">
      <formula>TredjeBeregningsår=""</formula>
    </cfRule>
  </conditionalFormatting>
  <conditionalFormatting sqref="D35">
    <cfRule type="expression" dxfId="645" priority="2">
      <formula>AndreBeregningsår=""</formula>
    </cfRule>
  </conditionalFormatting>
  <conditionalFormatting sqref="C35">
    <cfRule type="expression" dxfId="644" priority="1">
      <formula>Åpningsår=""</formula>
    </cfRule>
  </conditionalFormatting>
  <pageMargins left="0.7" right="0.7" top="0.75" bottom="0.75" header="0.3" footer="0.3"/>
  <pageSetup paperSize="9" orientation="landscape" r:id="rId1"/>
  <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Ark9">
    <tabColor theme="4" tint="0.39997558519241921"/>
  </sheetPr>
  <dimension ref="A3:AP72"/>
  <sheetViews>
    <sheetView zoomScaleNormal="100" workbookViewId="0"/>
  </sheetViews>
  <sheetFormatPr baseColWidth="10" defaultColWidth="11.453125" defaultRowHeight="14.5" x14ac:dyDescent="0.35"/>
  <cols>
    <col min="1" max="1" width="40.453125" bestFit="1" customWidth="1"/>
    <col min="2" max="2" width="38.453125" customWidth="1"/>
    <col min="3" max="3" width="13.1796875" customWidth="1"/>
    <col min="4" max="4" width="13.453125" customWidth="1"/>
    <col min="5" max="5" width="11.453125" customWidth="1"/>
    <col min="6" max="6" width="8.453125" customWidth="1"/>
    <col min="7" max="8" width="12.453125" customWidth="1"/>
    <col min="9" max="9" width="11.1796875" customWidth="1"/>
    <col min="10" max="10" width="13.453125" customWidth="1"/>
    <col min="11" max="11" width="16" customWidth="1"/>
    <col min="12" max="12" width="16.453125" customWidth="1"/>
    <col min="13" max="13" width="19" customWidth="1"/>
    <col min="14" max="14" width="15.81640625" bestFit="1" customWidth="1"/>
    <col min="15" max="15" width="15.453125" bestFit="1" customWidth="1"/>
    <col min="16" max="29" width="15.453125" customWidth="1"/>
    <col min="30" max="30" width="14.453125" customWidth="1"/>
    <col min="31" max="31" width="16.453125" customWidth="1"/>
    <col min="32" max="32" width="17.453125" customWidth="1"/>
    <col min="33" max="33" width="17.1796875" customWidth="1"/>
    <col min="34" max="34" width="13.453125" customWidth="1"/>
    <col min="35" max="35" width="13.81640625" customWidth="1"/>
    <col min="36" max="115" width="13.453125" bestFit="1" customWidth="1"/>
  </cols>
  <sheetData>
    <row r="3" spans="1:42" ht="15" thickBot="1" x14ac:dyDescent="0.4"/>
    <row r="4" spans="1:42" ht="18.5" x14ac:dyDescent="0.45">
      <c r="A4" s="290" t="s">
        <v>717</v>
      </c>
      <c r="B4" s="209"/>
    </row>
    <row r="5" spans="1:42" ht="17.25" customHeight="1" x14ac:dyDescent="0.35">
      <c r="A5" s="291" t="s">
        <v>1487</v>
      </c>
      <c r="B5" s="351" t="s">
        <v>1488</v>
      </c>
    </row>
    <row r="6" spans="1:42" ht="15" thickBot="1" x14ac:dyDescent="0.4">
      <c r="A6" s="292" t="s">
        <v>720</v>
      </c>
      <c r="B6" s="778" t="s">
        <v>721</v>
      </c>
    </row>
    <row r="8" spans="1:42" ht="15" thickBot="1" x14ac:dyDescent="0.4"/>
    <row r="9" spans="1:42" ht="21" x14ac:dyDescent="0.5">
      <c r="B9" s="342" t="s">
        <v>1512</v>
      </c>
      <c r="C9" s="352"/>
      <c r="D9" s="352"/>
      <c r="E9" s="352"/>
      <c r="F9" s="352"/>
      <c r="G9" s="352"/>
      <c r="H9" s="352"/>
      <c r="I9" s="352"/>
      <c r="J9" s="352"/>
      <c r="K9" s="208"/>
      <c r="L9" s="208"/>
      <c r="M9" s="208"/>
      <c r="N9" s="209"/>
      <c r="O9" s="6"/>
      <c r="P9" s="342" t="s">
        <v>1512</v>
      </c>
      <c r="Q9" s="352" t="s">
        <v>1513</v>
      </c>
      <c r="R9" s="352"/>
      <c r="S9" s="352"/>
      <c r="T9" s="352"/>
      <c r="U9" s="352"/>
      <c r="V9" s="352"/>
      <c r="W9" s="352"/>
      <c r="X9" s="352"/>
      <c r="Y9" s="208"/>
      <c r="Z9" s="208"/>
      <c r="AA9" s="208"/>
      <c r="AB9" s="209"/>
      <c r="AC9" s="6"/>
      <c r="AD9" s="342" t="s">
        <v>1514</v>
      </c>
      <c r="AE9" s="352"/>
      <c r="AF9" s="352" t="s">
        <v>1515</v>
      </c>
      <c r="AG9" s="352"/>
      <c r="AH9" s="352"/>
      <c r="AI9" s="352"/>
      <c r="AJ9" s="352"/>
      <c r="AK9" s="352"/>
      <c r="AL9" s="352"/>
      <c r="AM9" s="208"/>
      <c r="AN9" s="208"/>
      <c r="AO9" s="208"/>
      <c r="AP9" s="209"/>
    </row>
    <row r="10" spans="1:42" ht="21" x14ac:dyDescent="0.5">
      <c r="B10" s="353" t="s">
        <v>1516</v>
      </c>
      <c r="C10" s="10" t="s">
        <v>1036</v>
      </c>
      <c r="D10" s="10"/>
      <c r="E10" s="10"/>
      <c r="F10" s="10"/>
      <c r="G10" s="10" t="s">
        <v>1037</v>
      </c>
      <c r="H10" s="10"/>
      <c r="I10" s="10"/>
      <c r="J10" s="10"/>
      <c r="K10" s="10" t="s">
        <v>1038</v>
      </c>
      <c r="L10" s="10"/>
      <c r="M10" s="10"/>
      <c r="N10" s="241"/>
      <c r="P10" s="353" t="s">
        <v>1516</v>
      </c>
      <c r="Q10" s="10" t="s">
        <v>1036</v>
      </c>
      <c r="R10" s="10"/>
      <c r="S10" s="10"/>
      <c r="T10" s="10"/>
      <c r="U10" s="10" t="s">
        <v>1037</v>
      </c>
      <c r="V10" s="10"/>
      <c r="W10" s="10"/>
      <c r="X10" s="10"/>
      <c r="Y10" s="10" t="s">
        <v>1038</v>
      </c>
      <c r="Z10" s="10"/>
      <c r="AA10" s="10"/>
      <c r="AB10" s="241"/>
      <c r="AD10" s="353" t="s">
        <v>1516</v>
      </c>
      <c r="AE10" s="10" t="s">
        <v>1036</v>
      </c>
      <c r="AF10" s="10"/>
      <c r="AG10" s="10"/>
      <c r="AH10" s="10"/>
      <c r="AI10" s="10" t="s">
        <v>1037</v>
      </c>
      <c r="AJ10" s="10"/>
      <c r="AK10" s="10"/>
      <c r="AL10" s="10"/>
      <c r="AM10" s="10" t="s">
        <v>1038</v>
      </c>
      <c r="AN10" s="10"/>
      <c r="AO10" s="10"/>
      <c r="AP10" s="241"/>
    </row>
    <row r="11" spans="1:42" ht="17.25" customHeight="1" x14ac:dyDescent="0.45">
      <c r="A11" s="7"/>
      <c r="B11" s="343" t="s">
        <v>1517</v>
      </c>
      <c r="C11" s="10"/>
      <c r="D11" s="10"/>
      <c r="E11" s="10"/>
      <c r="F11" s="10"/>
      <c r="G11" s="10"/>
      <c r="H11" s="10"/>
      <c r="I11" s="10"/>
      <c r="J11" s="14"/>
      <c r="K11" s="10"/>
      <c r="L11" s="10"/>
      <c r="M11" s="10"/>
      <c r="N11" s="241"/>
      <c r="O11" s="6"/>
      <c r="P11" s="343" t="s">
        <v>1517</v>
      </c>
      <c r="Q11" s="10"/>
      <c r="R11" s="10"/>
      <c r="S11" s="10"/>
      <c r="T11" s="10"/>
      <c r="U11" s="10"/>
      <c r="V11" s="10"/>
      <c r="W11" s="10"/>
      <c r="X11" s="14"/>
      <c r="Y11" s="10"/>
      <c r="Z11" s="10"/>
      <c r="AA11" s="10"/>
      <c r="AB11" s="241"/>
      <c r="AC11" s="6"/>
      <c r="AD11" s="343" t="s">
        <v>1517</v>
      </c>
      <c r="AE11" s="10"/>
      <c r="AF11" s="10"/>
      <c r="AG11" s="10"/>
      <c r="AH11" s="10"/>
      <c r="AI11" s="10"/>
      <c r="AJ11" s="10"/>
      <c r="AK11" s="10"/>
      <c r="AL11" s="14"/>
      <c r="AM11" s="10"/>
      <c r="AN11" s="10"/>
      <c r="AO11" s="10"/>
      <c r="AP11" s="241"/>
    </row>
    <row r="12" spans="1:42" x14ac:dyDescent="0.35">
      <c r="A12" s="4"/>
      <c r="B12" s="344" t="s">
        <v>1518</v>
      </c>
      <c r="C12" s="9">
        <f>FørsteBeregningsår</f>
        <v>0</v>
      </c>
      <c r="D12" s="9">
        <f>AndreBeregningsår</f>
        <v>0</v>
      </c>
      <c r="E12" s="9">
        <f>TredjeBeregningsår</f>
        <v>0</v>
      </c>
      <c r="F12" s="9"/>
      <c r="G12" s="9">
        <f>FørsteBeregningsår</f>
        <v>0</v>
      </c>
      <c r="H12" s="9">
        <f>AndreBeregningsår</f>
        <v>0</v>
      </c>
      <c r="I12" s="9">
        <f>TredjeBeregningsår</f>
        <v>0</v>
      </c>
      <c r="J12" s="8"/>
      <c r="K12" s="9">
        <f>FørsteBeregningsår</f>
        <v>0</v>
      </c>
      <c r="L12" s="9">
        <f>AndreBeregningsår</f>
        <v>0</v>
      </c>
      <c r="M12" s="9">
        <f>TredjeBeregningsår</f>
        <v>0</v>
      </c>
      <c r="N12" s="216" t="s">
        <v>534</v>
      </c>
      <c r="O12" s="6"/>
      <c r="P12" s="344" t="s">
        <v>1518</v>
      </c>
      <c r="Q12" s="9">
        <f>FørsteBeregningsår</f>
        <v>0</v>
      </c>
      <c r="R12" s="9">
        <f>AndreBeregningsår</f>
        <v>0</v>
      </c>
      <c r="S12" s="9">
        <f>TredjeBeregningsår</f>
        <v>0</v>
      </c>
      <c r="T12" s="9"/>
      <c r="U12" s="9">
        <f>FørsteBeregningsår</f>
        <v>0</v>
      </c>
      <c r="V12" s="9">
        <f>AndreBeregningsår</f>
        <v>0</v>
      </c>
      <c r="W12" s="9">
        <f>TredjeBeregningsår</f>
        <v>0</v>
      </c>
      <c r="X12" s="8"/>
      <c r="Y12" s="9">
        <f>FørsteBeregningsår</f>
        <v>0</v>
      </c>
      <c r="Z12" s="9">
        <f>AndreBeregningsår</f>
        <v>0</v>
      </c>
      <c r="AA12" s="9">
        <f>TredjeBeregningsår</f>
        <v>0</v>
      </c>
      <c r="AB12" s="216" t="s">
        <v>534</v>
      </c>
      <c r="AC12" s="6"/>
      <c r="AD12" s="344" t="s">
        <v>1518</v>
      </c>
      <c r="AE12" s="9">
        <f>FørsteBeregningsår</f>
        <v>0</v>
      </c>
      <c r="AF12" s="9">
        <f>AndreBeregningsår</f>
        <v>0</v>
      </c>
      <c r="AG12" s="9">
        <f>TredjeBeregningsår</f>
        <v>0</v>
      </c>
      <c r="AH12" s="9"/>
      <c r="AI12" s="9">
        <f>FørsteBeregningsår</f>
        <v>0</v>
      </c>
      <c r="AJ12" s="9">
        <f>AndreBeregningsår</f>
        <v>0</v>
      </c>
      <c r="AK12" s="9">
        <f>TredjeBeregningsår</f>
        <v>0</v>
      </c>
      <c r="AL12" s="8"/>
      <c r="AM12" s="9">
        <f>FørsteBeregningsår</f>
        <v>0</v>
      </c>
      <c r="AN12" s="9">
        <f>AndreBeregningsår</f>
        <v>0</v>
      </c>
      <c r="AO12" s="9">
        <f>TredjeBeregningsår</f>
        <v>0</v>
      </c>
      <c r="AP12" s="216" t="s">
        <v>534</v>
      </c>
    </row>
    <row r="13" spans="1:42" x14ac:dyDescent="0.35">
      <c r="A13" s="4"/>
      <c r="B13" s="345" t="s">
        <v>1519</v>
      </c>
      <c r="C13" s="34"/>
      <c r="D13" s="34"/>
      <c r="E13" s="34"/>
      <c r="F13" s="34"/>
      <c r="G13" s="34"/>
      <c r="H13" s="34"/>
      <c r="I13" s="34"/>
      <c r="J13" s="34"/>
      <c r="K13" s="29">
        <f>Y13+AM13</f>
        <v>0</v>
      </c>
      <c r="L13" s="29">
        <f t="shared" ref="L13:M15" si="0">Z13+AN13</f>
        <v>0</v>
      </c>
      <c r="M13" s="29">
        <f t="shared" si="0"/>
        <v>0</v>
      </c>
      <c r="N13" s="349" t="s">
        <v>1500</v>
      </c>
      <c r="O13" s="6"/>
      <c r="P13" s="345" t="s">
        <v>1519</v>
      </c>
      <c r="Q13" s="34"/>
      <c r="R13" s="34"/>
      <c r="S13" s="34"/>
      <c r="T13" s="34"/>
      <c r="U13" s="34"/>
      <c r="V13" s="34"/>
      <c r="W13" s="34"/>
      <c r="X13" s="34"/>
      <c r="Y13" s="29">
        <f>Togreiser_År1</f>
        <v>0</v>
      </c>
      <c r="Z13" s="29">
        <f>Togreiser_År2</f>
        <v>0</v>
      </c>
      <c r="AA13" s="29">
        <f>Togreiser_År3</f>
        <v>0</v>
      </c>
      <c r="AB13" s="349" t="s">
        <v>1500</v>
      </c>
      <c r="AC13" s="6"/>
      <c r="AD13" s="345" t="s">
        <v>1519</v>
      </c>
      <c r="AE13" s="34"/>
      <c r="AF13" s="34"/>
      <c r="AG13" s="34"/>
      <c r="AH13" s="34"/>
      <c r="AI13" s="34"/>
      <c r="AJ13" s="34"/>
      <c r="AK13" s="34"/>
      <c r="AL13" s="34"/>
      <c r="AM13" s="29">
        <f>Togreiser_År1_Togtype_2</f>
        <v>0</v>
      </c>
      <c r="AN13" s="29">
        <f>Togreiser_År2_Togtype_2</f>
        <v>0</v>
      </c>
      <c r="AO13" s="29">
        <f>Togreiser_År3_Togtype_2</f>
        <v>0</v>
      </c>
      <c r="AP13" s="349" t="s">
        <v>1500</v>
      </c>
    </row>
    <row r="14" spans="1:42" x14ac:dyDescent="0.35">
      <c r="B14" s="345" t="s">
        <v>1520</v>
      </c>
      <c r="C14" s="34"/>
      <c r="D14" s="34"/>
      <c r="E14" s="34"/>
      <c r="F14" s="34"/>
      <c r="G14" s="34"/>
      <c r="H14" s="34"/>
      <c r="I14" s="34"/>
      <c r="J14" s="34"/>
      <c r="K14" s="30">
        <f t="shared" ref="K14:K18" si="1">Y14+AM14</f>
        <v>0</v>
      </c>
      <c r="L14" s="30">
        <f t="shared" si="0"/>
        <v>0</v>
      </c>
      <c r="M14" s="30">
        <f t="shared" si="0"/>
        <v>0</v>
      </c>
      <c r="N14" s="346" t="s">
        <v>1044</v>
      </c>
      <c r="O14" s="6"/>
      <c r="P14" s="345" t="s">
        <v>1520</v>
      </c>
      <c r="Q14" s="34"/>
      <c r="R14" s="34"/>
      <c r="S14" s="34"/>
      <c r="T14" s="34"/>
      <c r="U14" s="34"/>
      <c r="V14" s="34"/>
      <c r="W14" s="34"/>
      <c r="X14" s="34"/>
      <c r="Y14" s="21">
        <f>IFERROR((Passasjerkm_TiltakÅr1/Togreiser_TiltakÅr1)-(Passasjerkm_RefÅr1/Togreiser_RefÅr1),0)</f>
        <v>0</v>
      </c>
      <c r="Z14" s="21">
        <f>IFERROR((Passasjerkm_TiltakÅr2/Togreiser_TiltakÅr2)-(Passasjerkm_RefÅr2/Togreiser_RefÅr2),0)</f>
        <v>0</v>
      </c>
      <c r="AA14" s="21">
        <f>IFERROR((Passasjerkm_TiltakÅr3/Togreiser_TiltakÅr3)-(Passasjerkm_RefÅr3/Togreiser_RefÅr3),0)</f>
        <v>0</v>
      </c>
      <c r="AB14" s="346" t="s">
        <v>1044</v>
      </c>
      <c r="AC14" s="6"/>
      <c r="AD14" s="345" t="s">
        <v>1520</v>
      </c>
      <c r="AE14" s="34"/>
      <c r="AF14" s="34"/>
      <c r="AG14" s="34"/>
      <c r="AH14" s="34"/>
      <c r="AI14" s="34"/>
      <c r="AJ14" s="34"/>
      <c r="AK14" s="34"/>
      <c r="AL14" s="34"/>
      <c r="AM14" s="21">
        <f>IFERROR((Passasjerkm_TiltakÅr1_Togtype_2/Togreiser_TiltakÅr1_Togtype_2)-(Passasjerkm_RefÅr1_Togtype_2/Togreiser_RefÅr1_Togtype_2),0)</f>
        <v>0</v>
      </c>
      <c r="AN14" s="21">
        <f>IFERROR((Passasjerkm_TiltakÅr2_Togtype_2/Togreiser_TiltakÅr2_Togtype_2)-(Passasjerkm_RefÅr2_Togtype_2/Togreiser_RefÅr2_Togtype_2),0)</f>
        <v>0</v>
      </c>
      <c r="AO14" s="21">
        <f>IFERROR((Passasjerkm_TiltakÅr3_Togtype_2/Togreiser_TiltakÅr3_Togtype_2)-(Passasjerkm_RefÅr3_Togtype_2/Togreiser_RefÅr3_Togtype_2),0)</f>
        <v>0</v>
      </c>
      <c r="AP14" s="346" t="s">
        <v>1044</v>
      </c>
    </row>
    <row r="15" spans="1:42" x14ac:dyDescent="0.35">
      <c r="B15" s="345" t="s">
        <v>1519</v>
      </c>
      <c r="C15" s="44"/>
      <c r="D15" s="44"/>
      <c r="E15" s="44"/>
      <c r="F15" s="44"/>
      <c r="G15" s="44"/>
      <c r="H15" s="44"/>
      <c r="I15" s="44"/>
      <c r="J15" s="158"/>
      <c r="K15" s="30">
        <f t="shared" si="1"/>
        <v>0</v>
      </c>
      <c r="L15" s="30">
        <f t="shared" si="0"/>
        <v>0</v>
      </c>
      <c r="M15" s="30">
        <f t="shared" si="0"/>
        <v>0</v>
      </c>
      <c r="N15" s="348" t="s">
        <v>1521</v>
      </c>
      <c r="O15" s="6"/>
      <c r="P15" s="345" t="s">
        <v>1519</v>
      </c>
      <c r="Q15" s="44"/>
      <c r="R15" s="44"/>
      <c r="S15" s="44"/>
      <c r="T15" s="44"/>
      <c r="U15" s="44"/>
      <c r="V15" s="44"/>
      <c r="W15" s="44"/>
      <c r="X15" s="158"/>
      <c r="Y15" s="30">
        <f>(Passasjerkm_TiltakÅr1-Passasjerkm_RefÅr1)/1000000</f>
        <v>0</v>
      </c>
      <c r="Z15" s="30">
        <f>(Passasjerkm_TiltakÅr2-Passasjerkm_RefÅr2)/1000000</f>
        <v>0</v>
      </c>
      <c r="AA15" s="30">
        <f>(Passasjerkm_TiltakÅr3-Passasjerkm_RefÅr3)/1000000</f>
        <v>0</v>
      </c>
      <c r="AB15" s="348" t="s">
        <v>1521</v>
      </c>
      <c r="AC15" s="6"/>
      <c r="AD15" s="345" t="s">
        <v>1519</v>
      </c>
      <c r="AE15" s="44"/>
      <c r="AF15" s="44"/>
      <c r="AG15" s="44"/>
      <c r="AH15" s="44"/>
      <c r="AI15" s="44"/>
      <c r="AJ15" s="44"/>
      <c r="AK15" s="44"/>
      <c r="AL15" s="158"/>
      <c r="AM15" s="30">
        <f>(Passasjerkm_TiltakÅr1_Togtype_2-Passasjerkm_RefÅr1_Togtype_2)/1000000</f>
        <v>0</v>
      </c>
      <c r="AN15" s="30">
        <f>(Passasjerkm_TiltakÅr2_Togtype_2-Passasjerkm_RefÅr2_Togtype_2)/1000000</f>
        <v>0</v>
      </c>
      <c r="AO15" s="30">
        <f>(Passasjerkm_TiltakÅr3_Togtype_2-Passasjerkm_RefÅr3_Togtype_2)/1000000</f>
        <v>0</v>
      </c>
      <c r="AP15" s="348" t="s">
        <v>1521</v>
      </c>
    </row>
    <row r="16" spans="1:42" x14ac:dyDescent="0.35">
      <c r="B16" s="344" t="s">
        <v>1522</v>
      </c>
      <c r="C16" s="35"/>
      <c r="D16" s="35"/>
      <c r="E16" s="35"/>
      <c r="F16" s="35"/>
      <c r="G16" s="35"/>
      <c r="H16" s="35"/>
      <c r="I16" s="35"/>
      <c r="J16" s="35"/>
      <c r="K16" s="157" t="s">
        <v>884</v>
      </c>
      <c r="L16" s="35"/>
      <c r="M16" s="35"/>
      <c r="N16" s="354"/>
      <c r="P16" s="344" t="s">
        <v>1522</v>
      </c>
      <c r="Q16" s="35"/>
      <c r="R16" s="35"/>
      <c r="S16" s="35"/>
      <c r="T16" s="35"/>
      <c r="U16" s="35"/>
      <c r="V16" s="35"/>
      <c r="W16" s="35"/>
      <c r="X16" s="35"/>
      <c r="Y16" s="157" t="s">
        <v>884</v>
      </c>
      <c r="Z16" s="35"/>
      <c r="AA16" s="35"/>
      <c r="AB16" s="354"/>
      <c r="AD16" s="344" t="s">
        <v>1522</v>
      </c>
      <c r="AE16" s="35"/>
      <c r="AF16" s="35"/>
      <c r="AG16" s="35"/>
      <c r="AH16" s="35"/>
      <c r="AI16" s="35"/>
      <c r="AJ16" s="35"/>
      <c r="AK16" s="35"/>
      <c r="AL16" s="35"/>
      <c r="AM16" s="157" t="s">
        <v>884</v>
      </c>
      <c r="AN16" s="35"/>
      <c r="AO16" s="35"/>
      <c r="AP16" s="354"/>
    </row>
    <row r="17" spans="1:42" x14ac:dyDescent="0.35">
      <c r="B17" s="345" t="s">
        <v>1523</v>
      </c>
      <c r="C17" s="29">
        <f>Q17+AE17</f>
        <v>0</v>
      </c>
      <c r="D17" s="29">
        <f t="shared" ref="D17:E18" si="2">R17+AF17</f>
        <v>0</v>
      </c>
      <c r="E17" s="29">
        <f t="shared" si="2"/>
        <v>0</v>
      </c>
      <c r="F17" s="23"/>
      <c r="G17" s="29">
        <f>U17+AI17</f>
        <v>0</v>
      </c>
      <c r="H17" s="29">
        <f t="shared" ref="H17:H18" si="3">V17+AJ17</f>
        <v>0</v>
      </c>
      <c r="I17" s="29">
        <f t="shared" ref="I17:I18" si="4">W17+AK17</f>
        <v>0</v>
      </c>
      <c r="J17" s="17"/>
      <c r="K17" s="30">
        <f t="shared" si="1"/>
        <v>0</v>
      </c>
      <c r="L17" s="30">
        <f t="shared" ref="L17:L18" si="5">Z17+AN17</f>
        <v>0</v>
      </c>
      <c r="M17" s="30">
        <f t="shared" ref="M17:M18" si="6">AA17+AO17</f>
        <v>0</v>
      </c>
      <c r="N17" s="346" t="s">
        <v>840</v>
      </c>
      <c r="P17" s="345" t="s">
        <v>1523</v>
      </c>
      <c r="Q17" s="29">
        <f>Billettinntekt_RefÅr1/1000000</f>
        <v>0</v>
      </c>
      <c r="R17" s="29">
        <f>Billettinntekt_RefÅr2/1000000</f>
        <v>0</v>
      </c>
      <c r="S17" s="29">
        <f>Billettinntekt_RefÅr3/1000000</f>
        <v>0</v>
      </c>
      <c r="T17" s="23"/>
      <c r="U17" s="29">
        <f>Billettinntekt_TiltakÅr1/1000000</f>
        <v>0</v>
      </c>
      <c r="V17" s="29">
        <f>Billettinntekt_TiltakÅr2/1000000</f>
        <v>0</v>
      </c>
      <c r="W17" s="29">
        <f>Billettinntekt_TiltakÅr3/1000000</f>
        <v>0</v>
      </c>
      <c r="X17" s="17"/>
      <c r="Y17" s="21">
        <f>Billettinntekt_År1/1000000</f>
        <v>0</v>
      </c>
      <c r="Z17" s="21">
        <f>Billettinntekt_År2/1000000</f>
        <v>0</v>
      </c>
      <c r="AA17" s="21">
        <f>Billettinntekt_År3/1000000</f>
        <v>0</v>
      </c>
      <c r="AB17" s="346" t="s">
        <v>840</v>
      </c>
      <c r="AD17" s="345" t="s">
        <v>1523</v>
      </c>
      <c r="AE17" s="29">
        <f>Billettinntekt_RefÅr1_Togtype_2/1000000</f>
        <v>0</v>
      </c>
      <c r="AF17" s="29">
        <f>Billettinntekt_RefÅr2_Togtype_2/1000000</f>
        <v>0</v>
      </c>
      <c r="AG17" s="29">
        <f>Billettinntekt_RefÅr3_Togtype_2/1000000</f>
        <v>0</v>
      </c>
      <c r="AH17" s="23"/>
      <c r="AI17" s="29">
        <f>Billettinntekt_TiltakÅr1_Togtype_2/1000000</f>
        <v>0</v>
      </c>
      <c r="AJ17" s="29">
        <f>Billettinntekt_TiltakÅr2_Togtype_2/1000000</f>
        <v>0</v>
      </c>
      <c r="AK17" s="29">
        <f>Billettinntekt_TiltakÅr3_Togtype_2/1000000</f>
        <v>0</v>
      </c>
      <c r="AL17" s="17"/>
      <c r="AM17" s="21">
        <f>Billettinntekt_År1_Togtype_2/1000000</f>
        <v>0</v>
      </c>
      <c r="AN17" s="21">
        <f>Billettinntekt_År2_Togtype_2/1000000</f>
        <v>0</v>
      </c>
      <c r="AO17" s="21">
        <f>Billettinntekt_År3_Togtype_2/1000000</f>
        <v>0</v>
      </c>
      <c r="AP17" s="346" t="s">
        <v>840</v>
      </c>
    </row>
    <row r="18" spans="1:42" x14ac:dyDescent="0.35">
      <c r="B18" s="345" t="s">
        <v>1524</v>
      </c>
      <c r="C18" s="29">
        <f ca="1">Q18+AE18</f>
        <v>0</v>
      </c>
      <c r="D18" s="29">
        <f t="shared" ca="1" si="2"/>
        <v>0</v>
      </c>
      <c r="E18" s="29">
        <f t="shared" ca="1" si="2"/>
        <v>0</v>
      </c>
      <c r="F18" s="23"/>
      <c r="G18" s="29">
        <f ca="1">U18+AI18</f>
        <v>0</v>
      </c>
      <c r="H18" s="29">
        <f t="shared" ca="1" si="3"/>
        <v>0</v>
      </c>
      <c r="I18" s="29">
        <f t="shared" ca="1" si="4"/>
        <v>0</v>
      </c>
      <c r="J18" s="17"/>
      <c r="K18" s="1196">
        <f t="shared" ca="1" si="1"/>
        <v>0</v>
      </c>
      <c r="L18" s="1196">
        <f t="shared" ca="1" si="5"/>
        <v>0</v>
      </c>
      <c r="M18" s="1196">
        <f t="shared" ca="1" si="6"/>
        <v>0</v>
      </c>
      <c r="N18" s="346" t="s">
        <v>840</v>
      </c>
      <c r="O18" s="6"/>
      <c r="P18" s="345" t="s">
        <v>1524</v>
      </c>
      <c r="Q18" s="733">
        <f ca="1">Q47-Q17</f>
        <v>0</v>
      </c>
      <c r="R18" s="733">
        <f ca="1">R47-R17</f>
        <v>0</v>
      </c>
      <c r="S18" s="733">
        <f ca="1">S47-S17</f>
        <v>0</v>
      </c>
      <c r="T18" s="23"/>
      <c r="U18" s="733">
        <f ca="1">U47-U17</f>
        <v>0</v>
      </c>
      <c r="V18" s="733">
        <f ca="1">V47-V17</f>
        <v>0</v>
      </c>
      <c r="W18" s="733">
        <f ca="1">W47-W17</f>
        <v>0</v>
      </c>
      <c r="X18" s="17"/>
      <c r="Y18" s="743">
        <f ca="1">Y47-Y17</f>
        <v>0</v>
      </c>
      <c r="Z18" s="743">
        <f ca="1">Z47-Z17</f>
        <v>0</v>
      </c>
      <c r="AA18" s="743">
        <f ca="1">AA47-AA17</f>
        <v>0</v>
      </c>
      <c r="AB18" s="346" t="s">
        <v>840</v>
      </c>
      <c r="AC18" s="6"/>
      <c r="AD18" s="345" t="s">
        <v>1524</v>
      </c>
      <c r="AE18" s="733">
        <f ca="1">AE47-AE17</f>
        <v>0</v>
      </c>
      <c r="AF18" s="733">
        <f ca="1">AF47-AF17</f>
        <v>0</v>
      </c>
      <c r="AG18" s="733">
        <f ca="1">AG47-AG17</f>
        <v>0</v>
      </c>
      <c r="AH18" s="23"/>
      <c r="AI18" s="733">
        <f ca="1">AI47-AI17</f>
        <v>0</v>
      </c>
      <c r="AJ18" s="733">
        <f ca="1">AJ47-AJ17</f>
        <v>0</v>
      </c>
      <c r="AK18" s="733">
        <f ca="1">AK47-AK17</f>
        <v>0</v>
      </c>
      <c r="AL18" s="17"/>
      <c r="AM18" s="743">
        <f ca="1">AM47-AM17</f>
        <v>0</v>
      </c>
      <c r="AN18" s="743">
        <f ca="1">AN47-AN17</f>
        <v>0</v>
      </c>
      <c r="AO18" s="743">
        <f ca="1">AO47-AO17</f>
        <v>0</v>
      </c>
      <c r="AP18" s="346" t="s">
        <v>840</v>
      </c>
    </row>
    <row r="19" spans="1:42" x14ac:dyDescent="0.35">
      <c r="B19" s="345" t="s">
        <v>1522</v>
      </c>
      <c r="C19" s="733">
        <f ca="1">SUM(C17:C18)</f>
        <v>0</v>
      </c>
      <c r="D19" s="733">
        <f ca="1">SUM(D17:D18)</f>
        <v>0</v>
      </c>
      <c r="E19" s="733">
        <f ca="1">SUM(E17:E18)</f>
        <v>0</v>
      </c>
      <c r="F19" s="23"/>
      <c r="G19" s="733">
        <f ca="1">SUM(G17:G18)</f>
        <v>0</v>
      </c>
      <c r="H19" s="733">
        <f ca="1">SUM(H17:H18)</f>
        <v>0</v>
      </c>
      <c r="I19" s="733">
        <f ca="1">SUM(I17:I18)</f>
        <v>0</v>
      </c>
      <c r="J19" s="17"/>
      <c r="K19" s="463">
        <f ca="1">SUM(K17:K18)</f>
        <v>0</v>
      </c>
      <c r="L19" s="463">
        <f ca="1">SUM(L17:L18)</f>
        <v>0</v>
      </c>
      <c r="M19" s="463">
        <f ca="1">SUM(M17:M18)</f>
        <v>0</v>
      </c>
      <c r="N19" s="346" t="s">
        <v>840</v>
      </c>
      <c r="O19" s="46"/>
      <c r="P19" s="345" t="s">
        <v>1522</v>
      </c>
      <c r="Q19" s="733">
        <f ca="1">SUM(Q17:Q18)</f>
        <v>0</v>
      </c>
      <c r="R19" s="733">
        <f ca="1">SUM(R17:R18)</f>
        <v>0</v>
      </c>
      <c r="S19" s="733">
        <f ca="1">SUM(S17:S18)</f>
        <v>0</v>
      </c>
      <c r="T19" s="23"/>
      <c r="U19" s="733">
        <f ca="1">SUM(U17:U18)</f>
        <v>0</v>
      </c>
      <c r="V19" s="733">
        <f ca="1">SUM(V17:V18)</f>
        <v>0</v>
      </c>
      <c r="W19" s="733">
        <f ca="1">SUM(W17:W18)</f>
        <v>0</v>
      </c>
      <c r="X19" s="17"/>
      <c r="Y19" s="463">
        <f ca="1">SUM(Y17:Y18)</f>
        <v>0</v>
      </c>
      <c r="Z19" s="463">
        <f ca="1">SUM(Z17:Z18)</f>
        <v>0</v>
      </c>
      <c r="AA19" s="463">
        <f ca="1">SUM(AA17:AA18)</f>
        <v>0</v>
      </c>
      <c r="AB19" s="346" t="s">
        <v>840</v>
      </c>
      <c r="AC19" s="46"/>
      <c r="AD19" s="345" t="s">
        <v>1522</v>
      </c>
      <c r="AE19" s="733">
        <f ca="1">SUM(AE17:AE18)</f>
        <v>0</v>
      </c>
      <c r="AF19" s="733">
        <f ca="1">SUM(AF17:AF18)</f>
        <v>0</v>
      </c>
      <c r="AG19" s="733">
        <f ca="1">SUM(AG17:AG18)</f>
        <v>0</v>
      </c>
      <c r="AH19" s="23"/>
      <c r="AI19" s="733">
        <f ca="1">SUM(AI17:AI18)</f>
        <v>0</v>
      </c>
      <c r="AJ19" s="733">
        <f ca="1">SUM(AJ17:AJ18)</f>
        <v>0</v>
      </c>
      <c r="AK19" s="733">
        <f ca="1">SUM(AK17:AK18)</f>
        <v>0</v>
      </c>
      <c r="AL19" s="17"/>
      <c r="AM19" s="463">
        <f ca="1">SUM(AM17:AM18)</f>
        <v>0</v>
      </c>
      <c r="AN19" s="463">
        <f ca="1">SUM(AN17:AN18)</f>
        <v>0</v>
      </c>
      <c r="AO19" s="463">
        <f ca="1">SUM(AO17:AO18)</f>
        <v>0</v>
      </c>
      <c r="AP19" s="346" t="s">
        <v>840</v>
      </c>
    </row>
    <row r="20" spans="1:42" x14ac:dyDescent="0.35">
      <c r="B20" s="344" t="s">
        <v>1525</v>
      </c>
      <c r="C20" s="35"/>
      <c r="D20" s="35"/>
      <c r="E20" s="35"/>
      <c r="F20" s="35"/>
      <c r="G20" s="35"/>
      <c r="H20" s="35"/>
      <c r="I20" s="35"/>
      <c r="J20" s="35"/>
      <c r="K20" s="35"/>
      <c r="L20" s="35"/>
      <c r="M20" s="35"/>
      <c r="N20" s="354"/>
      <c r="P20" s="344" t="s">
        <v>1525</v>
      </c>
      <c r="Q20" s="35"/>
      <c r="R20" s="35"/>
      <c r="S20" s="35"/>
      <c r="T20" s="35"/>
      <c r="U20" s="35"/>
      <c r="V20" s="35"/>
      <c r="W20" s="35"/>
      <c r="X20" s="35"/>
      <c r="Y20" s="35"/>
      <c r="Z20" s="35"/>
      <c r="AA20" s="35"/>
      <c r="AB20" s="354"/>
      <c r="AD20" s="344" t="s">
        <v>1525</v>
      </c>
      <c r="AE20" s="35"/>
      <c r="AF20" s="35"/>
      <c r="AG20" s="35"/>
      <c r="AH20" s="35"/>
      <c r="AI20" s="35"/>
      <c r="AJ20" s="35"/>
      <c r="AK20" s="35"/>
      <c r="AL20" s="35"/>
      <c r="AM20" s="35"/>
      <c r="AN20" s="35"/>
      <c r="AO20" s="35"/>
      <c r="AP20" s="354"/>
    </row>
    <row r="21" spans="1:42" s="6" customFormat="1" x14ac:dyDescent="0.35">
      <c r="A21"/>
      <c r="B21" s="265" t="s">
        <v>1526</v>
      </c>
      <c r="C21" s="29">
        <f>Q21+AE21</f>
        <v>0</v>
      </c>
      <c r="D21" s="29">
        <f t="shared" ref="D21:E22" si="7">R21+AF21</f>
        <v>0</v>
      </c>
      <c r="E21" s="29">
        <f t="shared" si="7"/>
        <v>0</v>
      </c>
      <c r="F21" s="82"/>
      <c r="G21" s="29">
        <f>U21+AI21</f>
        <v>0</v>
      </c>
      <c r="H21" s="29">
        <f t="shared" ref="H21:H22" si="8">V21+AJ21</f>
        <v>0</v>
      </c>
      <c r="I21" s="29">
        <f t="shared" ref="I21:I22" si="9">W21+AK21</f>
        <v>0</v>
      </c>
      <c r="J21" s="83"/>
      <c r="K21" s="32">
        <f t="shared" ref="K21:M22" si="10">G21-C21</f>
        <v>0</v>
      </c>
      <c r="L21" s="32">
        <f t="shared" si="10"/>
        <v>0</v>
      </c>
      <c r="M21" s="32">
        <f t="shared" si="10"/>
        <v>0</v>
      </c>
      <c r="N21" s="341" t="s">
        <v>1044</v>
      </c>
      <c r="O21" s="37"/>
      <c r="P21" s="265" t="s">
        <v>1526</v>
      </c>
      <c r="Q21" s="32">
        <f>TogkmEL_RefÅr1+TogkmBiEl_RefÅr1</f>
        <v>0</v>
      </c>
      <c r="R21" s="32">
        <f>TogkmEL_RefÅr2+TogkmBiEl_RefÅr2</f>
        <v>0</v>
      </c>
      <c r="S21" s="32">
        <f>TogkmEL_RefÅr3+TogkmBiEL_RefÅr3</f>
        <v>0</v>
      </c>
      <c r="T21" s="82"/>
      <c r="U21" s="32">
        <f>TogkmEL_TiltakÅr1+TogkmBiEl_TiltakÅr1</f>
        <v>0</v>
      </c>
      <c r="V21" s="32">
        <f>TogkmEL_TiltakÅr2+TogkmBiEl_TiltakÅr2</f>
        <v>0</v>
      </c>
      <c r="W21" s="32">
        <f>TogkmEL_TiltakÅr3+TogkmBiEl_TiltakÅr3</f>
        <v>0</v>
      </c>
      <c r="X21" s="83"/>
      <c r="Y21" s="32">
        <f t="shared" ref="Y21:Y22" si="11">U21-Q21</f>
        <v>0</v>
      </c>
      <c r="Z21" s="32">
        <f t="shared" ref="Z21:Z22" si="12">V21-R21</f>
        <v>0</v>
      </c>
      <c r="AA21" s="32">
        <f t="shared" ref="AA21:AA22" si="13">W21-S21</f>
        <v>0</v>
      </c>
      <c r="AB21" s="341" t="s">
        <v>1044</v>
      </c>
      <c r="AC21" s="37"/>
      <c r="AD21" s="265" t="s">
        <v>1526</v>
      </c>
      <c r="AE21" s="32">
        <f>TogkmEL_RefÅr1_Togtype_2+TogkmBiEl_RefÅr1_Togtype_2</f>
        <v>0</v>
      </c>
      <c r="AF21" s="32">
        <f>TogkmEL_RefÅr2_Togtype_2+TogkmBiEl_RefÅr2_Togtype_2</f>
        <v>0</v>
      </c>
      <c r="AG21" s="32">
        <f>TogkmEL_RefÅr3_Togtype_2+TogkmBiEL_RefÅr3_Togtype_2</f>
        <v>0</v>
      </c>
      <c r="AH21" s="82"/>
      <c r="AI21" s="32">
        <f>TogkmEL_TiltakÅr1_Togtype_2+TogkmBiEl_TiltakÅr1_Togtype_2</f>
        <v>0</v>
      </c>
      <c r="AJ21" s="32">
        <f>TogkmEL_TiltakÅr2_Togtype_2+TogkmBiEl_TiltakÅr2_Togtype_2</f>
        <v>0</v>
      </c>
      <c r="AK21" s="32">
        <f>TogkmEL_TiltakÅr3_Togtype_2+TogkmBiEl_TiltakÅr3_Togtype_2</f>
        <v>0</v>
      </c>
      <c r="AL21" s="83"/>
      <c r="AM21" s="32">
        <f t="shared" ref="AM21:AM22" si="14">AI21-AE21</f>
        <v>0</v>
      </c>
      <c r="AN21" s="32">
        <f t="shared" ref="AN21:AN22" si="15">AJ21-AF21</f>
        <v>0</v>
      </c>
      <c r="AO21" s="32">
        <f t="shared" ref="AO21:AO22" si="16">AK21-AG21</f>
        <v>0</v>
      </c>
      <c r="AP21" s="341" t="s">
        <v>1044</v>
      </c>
    </row>
    <row r="22" spans="1:42" s="6" customFormat="1" x14ac:dyDescent="0.35">
      <c r="A22"/>
      <c r="B22" s="265" t="s">
        <v>1527</v>
      </c>
      <c r="C22" s="29">
        <f>Q22+AE22</f>
        <v>0</v>
      </c>
      <c r="D22" s="29">
        <f t="shared" si="7"/>
        <v>0</v>
      </c>
      <c r="E22" s="29">
        <f t="shared" si="7"/>
        <v>0</v>
      </c>
      <c r="F22" s="82"/>
      <c r="G22" s="29">
        <f>U22+AI22</f>
        <v>0</v>
      </c>
      <c r="H22" s="29">
        <f t="shared" si="8"/>
        <v>0</v>
      </c>
      <c r="I22" s="29">
        <f t="shared" si="9"/>
        <v>0</v>
      </c>
      <c r="J22" s="83"/>
      <c r="K22" s="32">
        <f t="shared" si="10"/>
        <v>0</v>
      </c>
      <c r="L22" s="32">
        <f t="shared" si="10"/>
        <v>0</v>
      </c>
      <c r="M22" s="32">
        <f t="shared" si="10"/>
        <v>0</v>
      </c>
      <c r="N22" s="341" t="s">
        <v>1044</v>
      </c>
      <c r="P22" s="265" t="s">
        <v>1527</v>
      </c>
      <c r="Q22" s="32">
        <f>TogkmD_RefÅr1+TogkmBiDi_RefÅr1</f>
        <v>0</v>
      </c>
      <c r="R22" s="32">
        <f>TogkmD_RefÅr2+TogkmBiDi_RefÅr2</f>
        <v>0</v>
      </c>
      <c r="S22" s="32">
        <f>TogkmD_RefÅr3+TogkmBiDi_RefÅr3</f>
        <v>0</v>
      </c>
      <c r="T22" s="82"/>
      <c r="U22" s="32">
        <f>TogkmD_TiltakÅr1+TogkmBiDi_TiltakÅr1</f>
        <v>0</v>
      </c>
      <c r="V22" s="32">
        <f>TogkmD_TiltakÅr2+TogkmBiDi_TiltakÅr2</f>
        <v>0</v>
      </c>
      <c r="W22" s="32">
        <f>TogkmBiDi_TiltakÅr3+TogkmD_TiltakÅr3</f>
        <v>0</v>
      </c>
      <c r="X22" s="83"/>
      <c r="Y22" s="32">
        <f t="shared" si="11"/>
        <v>0</v>
      </c>
      <c r="Z22" s="32">
        <f t="shared" si="12"/>
        <v>0</v>
      </c>
      <c r="AA22" s="32">
        <f t="shared" si="13"/>
        <v>0</v>
      </c>
      <c r="AB22" s="341" t="s">
        <v>1044</v>
      </c>
      <c r="AD22" s="265" t="s">
        <v>1527</v>
      </c>
      <c r="AE22" s="32">
        <f>TogkmD_RefÅr1_Togtype_2+TogkmBiDi_RefÅr1_Togtype_2</f>
        <v>0</v>
      </c>
      <c r="AF22" s="32">
        <f>TogkmD_RefÅr2_Togtype_2+TogkmBiDi_RefÅr2_Togtype_2</f>
        <v>0</v>
      </c>
      <c r="AG22" s="32">
        <f>TogkmD_RefÅr3_Togtype_2+TogkmBiDi_RefÅr3_Togtype_2</f>
        <v>0</v>
      </c>
      <c r="AH22" s="82"/>
      <c r="AI22" s="32">
        <f>TogkmD_TiltakÅr1_Togtype_2+TogkmBiDi_TiltakÅr1_Togtype_2</f>
        <v>0</v>
      </c>
      <c r="AJ22" s="32">
        <f>TogkmD_TiltakÅr2_Togtype_2+TogkmBiDi_TiltakÅr2_Togtype_2</f>
        <v>0</v>
      </c>
      <c r="AK22" s="32">
        <f>TogkmBiDi_TiltakÅr3_Togtype_2+TogkmD_TiltakÅr3_Togtype_2</f>
        <v>0</v>
      </c>
      <c r="AL22" s="83"/>
      <c r="AM22" s="32">
        <f t="shared" si="14"/>
        <v>0</v>
      </c>
      <c r="AN22" s="32">
        <f t="shared" si="15"/>
        <v>0</v>
      </c>
      <c r="AO22" s="32">
        <f t="shared" si="16"/>
        <v>0</v>
      </c>
      <c r="AP22" s="341" t="s">
        <v>1044</v>
      </c>
    </row>
    <row r="23" spans="1:42" x14ac:dyDescent="0.35">
      <c r="B23" s="345" t="s">
        <v>1528</v>
      </c>
      <c r="C23" s="733">
        <f>SUM(C21:C22)</f>
        <v>0</v>
      </c>
      <c r="D23" s="733">
        <f>SUM(D21:D22)</f>
        <v>0</v>
      </c>
      <c r="E23" s="733">
        <f>SUM(E21:E22)</f>
        <v>0</v>
      </c>
      <c r="F23" s="77"/>
      <c r="G23" s="733">
        <f>SUM(G21:G22)</f>
        <v>0</v>
      </c>
      <c r="H23" s="733">
        <f>SUM(H21:H22)</f>
        <v>0</v>
      </c>
      <c r="I23" s="733">
        <f>SUM(I21:I22)</f>
        <v>0</v>
      </c>
      <c r="J23" s="26"/>
      <c r="K23" s="733">
        <f>SUM(K21:K22)</f>
        <v>0</v>
      </c>
      <c r="L23" s="733">
        <f>SUM(L21:L22)</f>
        <v>0</v>
      </c>
      <c r="M23" s="733">
        <f>SUM(M21:M22)</f>
        <v>0</v>
      </c>
      <c r="N23" s="341" t="s">
        <v>1044</v>
      </c>
      <c r="P23" s="345" t="s">
        <v>1528</v>
      </c>
      <c r="Q23" s="733">
        <f>SUM(Q21:Q22)</f>
        <v>0</v>
      </c>
      <c r="R23" s="733">
        <f>SUM(R21:R22)</f>
        <v>0</v>
      </c>
      <c r="S23" s="733">
        <f>SUM(S21:S22)</f>
        <v>0</v>
      </c>
      <c r="T23" s="77"/>
      <c r="U23" s="733">
        <f>SUM(U21:U22)</f>
        <v>0</v>
      </c>
      <c r="V23" s="733">
        <f>SUM(V21:V22)</f>
        <v>0</v>
      </c>
      <c r="W23" s="733">
        <f>SUM(W21:W22)</f>
        <v>0</v>
      </c>
      <c r="X23" s="26"/>
      <c r="Y23" s="733">
        <f>SUM(Y21:Y22)</f>
        <v>0</v>
      </c>
      <c r="Z23" s="733">
        <f>SUM(Z21:Z22)</f>
        <v>0</v>
      </c>
      <c r="AA23" s="733">
        <f>SUM(AA21:AA22)</f>
        <v>0</v>
      </c>
      <c r="AB23" s="341" t="s">
        <v>1044</v>
      </c>
      <c r="AD23" s="345" t="s">
        <v>1528</v>
      </c>
      <c r="AE23" s="733">
        <f>SUM(AE21:AE22)</f>
        <v>0</v>
      </c>
      <c r="AF23" s="733">
        <f>SUM(AF21:AF22)</f>
        <v>0</v>
      </c>
      <c r="AG23" s="733">
        <f>SUM(AG21:AG22)</f>
        <v>0</v>
      </c>
      <c r="AH23" s="77"/>
      <c r="AI23" s="733">
        <f>SUM(AI21:AI22)</f>
        <v>0</v>
      </c>
      <c r="AJ23" s="733">
        <f>SUM(AJ21:AJ22)</f>
        <v>0</v>
      </c>
      <c r="AK23" s="733">
        <f>SUM(AK21:AK22)</f>
        <v>0</v>
      </c>
      <c r="AL23" s="26"/>
      <c r="AM23" s="733">
        <f>SUM(AM21:AM22)</f>
        <v>0</v>
      </c>
      <c r="AN23" s="733">
        <f>SUM(AN21:AN22)</f>
        <v>0</v>
      </c>
      <c r="AO23" s="733">
        <f>SUM(AO21:AO22)</f>
        <v>0</v>
      </c>
      <c r="AP23" s="341" t="s">
        <v>1044</v>
      </c>
    </row>
    <row r="24" spans="1:42" x14ac:dyDescent="0.35">
      <c r="A24" s="202"/>
      <c r="B24" s="345" t="s">
        <v>1328</v>
      </c>
      <c r="C24" s="29">
        <f>Q24+AE24</f>
        <v>0</v>
      </c>
      <c r="D24" s="29">
        <f t="shared" ref="D24:E29" si="17">R24+AF24</f>
        <v>0</v>
      </c>
      <c r="E24" s="29">
        <f t="shared" si="17"/>
        <v>0</v>
      </c>
      <c r="F24" s="77"/>
      <c r="G24" s="29">
        <f>U24+AI24</f>
        <v>0</v>
      </c>
      <c r="H24" s="29">
        <f t="shared" ref="H24:H29" si="18">V24+AJ24</f>
        <v>0</v>
      </c>
      <c r="I24" s="29">
        <f t="shared" ref="I24:K29" si="19">W24+AK24</f>
        <v>0</v>
      </c>
      <c r="J24" s="26"/>
      <c r="K24" s="29">
        <f t="shared" si="19"/>
        <v>0</v>
      </c>
      <c r="L24" s="29">
        <f t="shared" ref="L24:L29" si="20">Z24+AN24</f>
        <v>0</v>
      </c>
      <c r="M24" s="29">
        <f t="shared" ref="M24:M29" si="21">AA24+AO24</f>
        <v>0</v>
      </c>
      <c r="N24" s="341" t="s">
        <v>1044</v>
      </c>
      <c r="P24" s="345" t="s">
        <v>1328</v>
      </c>
      <c r="Q24" s="29">
        <f>Settkm_RefÅr1</f>
        <v>0</v>
      </c>
      <c r="R24" s="29">
        <f>Settkm_RefÅr2</f>
        <v>0</v>
      </c>
      <c r="S24" s="29">
        <f>Settkm_RefÅr3</f>
        <v>0</v>
      </c>
      <c r="T24" s="77"/>
      <c r="U24" s="29">
        <f>Settkm_TiltakÅr1</f>
        <v>0</v>
      </c>
      <c r="V24" s="29">
        <f>Settkm_TiltakÅr2</f>
        <v>0</v>
      </c>
      <c r="W24" s="29">
        <f>Settkm_TiltakÅr3</f>
        <v>0</v>
      </c>
      <c r="X24" s="26"/>
      <c r="Y24" s="29">
        <f>Settkm_År1</f>
        <v>0</v>
      </c>
      <c r="Z24" s="29">
        <f>Settkm_År2</f>
        <v>0</v>
      </c>
      <c r="AA24" s="29">
        <f>Settkm_År3</f>
        <v>0</v>
      </c>
      <c r="AB24" s="341" t="s">
        <v>1044</v>
      </c>
      <c r="AD24" s="345" t="s">
        <v>1328</v>
      </c>
      <c r="AE24" s="29">
        <f>Settkm_RefÅr1_Togtype_2</f>
        <v>0</v>
      </c>
      <c r="AF24" s="29">
        <f>Settkm_RefÅr2_Togtype_2</f>
        <v>0</v>
      </c>
      <c r="AG24" s="29">
        <f>Settkm_RefÅr3_Togtype_2</f>
        <v>0</v>
      </c>
      <c r="AH24" s="77"/>
      <c r="AI24" s="29">
        <f>Settkm_TiltakÅr1_Togtype_2</f>
        <v>0</v>
      </c>
      <c r="AJ24" s="29">
        <f>Settkm_TiltakÅr2_Togtype_2</f>
        <v>0</v>
      </c>
      <c r="AK24" s="29">
        <f>Settkm_TiltakÅr3_Togtype_2</f>
        <v>0</v>
      </c>
      <c r="AL24" s="26"/>
      <c r="AM24" s="29">
        <f>Settkm_År1_Togtype_2</f>
        <v>0</v>
      </c>
      <c r="AN24" s="29">
        <f>Settkm_År2_Togtype_2</f>
        <v>0</v>
      </c>
      <c r="AO24" s="29">
        <f>Settkm_År3_Togtype_2</f>
        <v>0</v>
      </c>
      <c r="AP24" s="341" t="s">
        <v>1044</v>
      </c>
    </row>
    <row r="25" spans="1:42" x14ac:dyDescent="0.35">
      <c r="B25" s="345" t="s">
        <v>1335</v>
      </c>
      <c r="C25" s="29">
        <f t="shared" ref="C25:C29" si="22">Q25+AE25</f>
        <v>0</v>
      </c>
      <c r="D25" s="29">
        <f t="shared" si="17"/>
        <v>0</v>
      </c>
      <c r="E25" s="29">
        <f t="shared" si="17"/>
        <v>0</v>
      </c>
      <c r="F25" s="77"/>
      <c r="G25" s="29">
        <f t="shared" ref="G25:G29" si="23">U25+AI25</f>
        <v>0</v>
      </c>
      <c r="H25" s="29">
        <f t="shared" si="18"/>
        <v>0</v>
      </c>
      <c r="I25" s="29">
        <f t="shared" si="19"/>
        <v>0</v>
      </c>
      <c r="J25" s="26"/>
      <c r="K25" s="29">
        <f t="shared" si="19"/>
        <v>0</v>
      </c>
      <c r="L25" s="29">
        <f t="shared" si="20"/>
        <v>0</v>
      </c>
      <c r="M25" s="29">
        <f t="shared" si="21"/>
        <v>0</v>
      </c>
      <c r="N25" s="341" t="s">
        <v>571</v>
      </c>
      <c r="O25" s="46"/>
      <c r="P25" s="345" t="s">
        <v>1335</v>
      </c>
      <c r="Q25" s="29">
        <f>Settimer_RefÅr1</f>
        <v>0</v>
      </c>
      <c r="R25" s="29">
        <f>Settimer_RefÅr2</f>
        <v>0</v>
      </c>
      <c r="S25" s="29">
        <f>Settimer_RefÅr3</f>
        <v>0</v>
      </c>
      <c r="T25" s="77"/>
      <c r="U25" s="29">
        <f>Settimer_TiltakÅr1</f>
        <v>0</v>
      </c>
      <c r="V25" s="29">
        <f>Settimer_TiltakÅr2</f>
        <v>0</v>
      </c>
      <c r="W25" s="29">
        <f>Settimer_TiltakÅr3</f>
        <v>0</v>
      </c>
      <c r="X25" s="26"/>
      <c r="Y25" s="29">
        <f>Settimer_År1</f>
        <v>0</v>
      </c>
      <c r="Z25" s="29">
        <f>Settimer_År2</f>
        <v>0</v>
      </c>
      <c r="AA25" s="29">
        <f>Settimer_År3</f>
        <v>0</v>
      </c>
      <c r="AB25" s="341" t="s">
        <v>571</v>
      </c>
      <c r="AC25" s="46"/>
      <c r="AD25" s="345" t="s">
        <v>1335</v>
      </c>
      <c r="AE25" s="29">
        <f>Settimer_RefÅr1_Togtype_2</f>
        <v>0</v>
      </c>
      <c r="AF25" s="29">
        <f>Settimer_RefÅr2_Togtype_2</f>
        <v>0</v>
      </c>
      <c r="AG25" s="29">
        <f>Settimer_RefÅr3_Togtype_2</f>
        <v>0</v>
      </c>
      <c r="AH25" s="77"/>
      <c r="AI25" s="29">
        <f>Settimer_TiltakÅr1_Togtype_2</f>
        <v>0</v>
      </c>
      <c r="AJ25" s="29">
        <f>Settimer_TiltakÅr2_Togtype_2</f>
        <v>0</v>
      </c>
      <c r="AK25" s="29">
        <f>Settimer_TiltakÅr3_Togtype_2</f>
        <v>0</v>
      </c>
      <c r="AL25" s="26"/>
      <c r="AM25" s="29">
        <f>Settimer_År1_Togtype_2</f>
        <v>0</v>
      </c>
      <c r="AN25" s="29">
        <f>Settimer_År2_Togtype_2</f>
        <v>0</v>
      </c>
      <c r="AO25" s="29">
        <f>Settimer_År3_Togtype_2</f>
        <v>0</v>
      </c>
      <c r="AP25" s="341" t="s">
        <v>571</v>
      </c>
    </row>
    <row r="26" spans="1:42" x14ac:dyDescent="0.35">
      <c r="B26" s="345" t="s">
        <v>1529</v>
      </c>
      <c r="C26" s="29">
        <f t="shared" si="22"/>
        <v>0</v>
      </c>
      <c r="D26" s="29">
        <f t="shared" si="17"/>
        <v>0</v>
      </c>
      <c r="E26" s="29">
        <f t="shared" si="17"/>
        <v>0</v>
      </c>
      <c r="F26" s="77"/>
      <c r="G26" s="29">
        <f t="shared" si="23"/>
        <v>0</v>
      </c>
      <c r="H26" s="29">
        <f t="shared" si="18"/>
        <v>0</v>
      </c>
      <c r="I26" s="29">
        <f t="shared" si="19"/>
        <v>0</v>
      </c>
      <c r="J26" s="26"/>
      <c r="K26" s="29">
        <f t="shared" si="19"/>
        <v>0</v>
      </c>
      <c r="L26" s="29">
        <f t="shared" si="20"/>
        <v>0</v>
      </c>
      <c r="M26" s="29">
        <f t="shared" si="21"/>
        <v>0</v>
      </c>
      <c r="N26" s="341" t="s">
        <v>965</v>
      </c>
      <c r="P26" s="345" t="s">
        <v>1529</v>
      </c>
      <c r="Q26" s="29">
        <f>IF(FørsteBeregningsår&gt;0,Togsett_Ref,0)</f>
        <v>0</v>
      </c>
      <c r="R26" s="29">
        <f>IF(AndreBeregningsår&gt;0,Togsett_Ref,0)</f>
        <v>0</v>
      </c>
      <c r="S26" s="29">
        <f>IF(TredjeBeregningsår&gt;0,Togsett_Ref,0)</f>
        <v>0</v>
      </c>
      <c r="T26" s="77"/>
      <c r="U26" s="29">
        <f>IF(FørsteBeregningsår&gt;0,Togsett_Tiltak,0)</f>
        <v>0</v>
      </c>
      <c r="V26" s="29">
        <f>IF(AndreBeregningsår&gt;0,Togsett_Tiltak,0)</f>
        <v>0</v>
      </c>
      <c r="W26" s="29">
        <f>IF(TredjeBeregningsår&gt;0,Togsett_Tiltak,0)</f>
        <v>0</v>
      </c>
      <c r="X26" s="26"/>
      <c r="Y26" s="29">
        <f>IF(FørsteBeregningsår="",0,Togsett_Tiltak-Togsett_Ref)</f>
        <v>0</v>
      </c>
      <c r="Z26" s="29">
        <f>IF(AndreBeregningsår="",0,Togsett_Tiltak-Togsett_Ref)</f>
        <v>0</v>
      </c>
      <c r="AA26" s="29">
        <f>IF(TredjeBeregningsår="",0,Togsett_Tiltak-Togsett_Ref)</f>
        <v>0</v>
      </c>
      <c r="AB26" s="341" t="s">
        <v>965</v>
      </c>
      <c r="AD26" s="345" t="s">
        <v>1529</v>
      </c>
      <c r="AE26" s="29">
        <f>IF(FørsteBeregningsår&gt;0,Togsett_Ref_2,0)</f>
        <v>0</v>
      </c>
      <c r="AF26" s="29">
        <f>IF(AndreBeregningsår&gt;0,Togsett_Ref_2,0)</f>
        <v>0</v>
      </c>
      <c r="AG26" s="29">
        <f>IF(TredjeBeregningsår&gt;0,Togsett_Ref_2,0)</f>
        <v>0</v>
      </c>
      <c r="AH26" s="77"/>
      <c r="AI26" s="29">
        <f>IF(FørsteBeregningsår&gt;0,Togsett_Tiltak_2,0)</f>
        <v>0</v>
      </c>
      <c r="AJ26" s="29">
        <f>IF(AndreBeregningsår&gt;0,Togsett_Tiltak_2,0)</f>
        <v>0</v>
      </c>
      <c r="AK26" s="29">
        <f>IF(TredjeBeregningsår&gt;0,Togsett_Tiltak_2,0)</f>
        <v>0</v>
      </c>
      <c r="AL26" s="26"/>
      <c r="AM26" s="29">
        <f>IF(FørsteBeregningsår="",0,Togsett_Tiltak_2-Togsett_Ref_2)</f>
        <v>0</v>
      </c>
      <c r="AN26" s="29">
        <f>IF(AndreBeregningsår="",0,Togsett_Tiltak_2-Togsett_Ref_2)</f>
        <v>0</v>
      </c>
      <c r="AO26" s="29">
        <f>IF(TredjeBeregningsår="",0,Togsett_Tiltak_2-Togsett_Ref_2)</f>
        <v>0</v>
      </c>
      <c r="AP26" s="341" t="s">
        <v>965</v>
      </c>
    </row>
    <row r="27" spans="1:42" x14ac:dyDescent="0.35">
      <c r="B27" s="345" t="s">
        <v>1530</v>
      </c>
      <c r="C27" s="29">
        <f t="shared" ca="1" si="22"/>
        <v>0</v>
      </c>
      <c r="D27" s="29">
        <f t="shared" ca="1" si="17"/>
        <v>0</v>
      </c>
      <c r="E27" s="29">
        <f t="shared" ca="1" si="17"/>
        <v>0</v>
      </c>
      <c r="F27" s="77"/>
      <c r="G27" s="29">
        <f t="shared" ca="1" si="23"/>
        <v>0</v>
      </c>
      <c r="H27" s="29">
        <f t="shared" ca="1" si="18"/>
        <v>0</v>
      </c>
      <c r="I27" s="29">
        <f t="shared" ca="1" si="19"/>
        <v>0</v>
      </c>
      <c r="J27" s="26"/>
      <c r="K27" s="29">
        <f t="shared" ca="1" si="19"/>
        <v>0</v>
      </c>
      <c r="L27" s="29">
        <f t="shared" ca="1" si="20"/>
        <v>0</v>
      </c>
      <c r="M27" s="29">
        <f t="shared" ca="1" si="21"/>
        <v>0</v>
      </c>
      <c r="N27" s="346" t="s">
        <v>840</v>
      </c>
      <c r="O27" s="6"/>
      <c r="P27" s="345" t="s">
        <v>1530</v>
      </c>
      <c r="Q27" s="29">
        <f ca="1">IF(OR(Togtype_Ref="-",Togtype_Ref="Godstog"),,Settkm_RefÅr1*INDIRECT("Seter_"&amp;Togtype_Ref)/1000000)</f>
        <v>0</v>
      </c>
      <c r="R27" s="29">
        <f ca="1">IF(OR(Togtype_Ref="-",Togtype_Ref="Godstog"),,Settkm_RefÅr2*INDIRECT("Seter_"&amp;Togtype_Ref)/1000000)</f>
        <v>0</v>
      </c>
      <c r="S27" s="29">
        <f ca="1">IF(OR(Togtype_Ref="-",Togtype_Ref="Godstog"),,Settkm_RefÅr3*INDIRECT("Seter_"&amp;Togtype_Ref)/1000000)</f>
        <v>0</v>
      </c>
      <c r="T27" s="77"/>
      <c r="U27" s="29">
        <f ca="1">IF(OR(Togtype_Tiltak="-",Togtype_Tiltak="Godstog"),,Settkm_TiltakÅr1*INDIRECT("Seter_"&amp;Togtype_Tiltak)/1000000)</f>
        <v>0</v>
      </c>
      <c r="V27" s="29">
        <f ca="1">IF(OR(Togtype_Tiltak="-",Togtype_Tiltak="Godstog"),,Settkm_TiltakÅr2*INDIRECT("Seter_"&amp;Togtype_Tiltak)/1000000)</f>
        <v>0</v>
      </c>
      <c r="W27" s="29">
        <f ca="1">IF(OR(Togtype_Tiltak="-",Togtype_Tiltak="Godstog"),,Settkm_TiltakÅr3*INDIRECT("Seter_"&amp;Togtype_Tiltak)/1000000)</f>
        <v>0</v>
      </c>
      <c r="X27" s="26"/>
      <c r="Y27" s="733">
        <f ca="1">U27-Q27</f>
        <v>0</v>
      </c>
      <c r="Z27" s="733">
        <f ca="1">V27-R27</f>
        <v>0</v>
      </c>
      <c r="AA27" s="733">
        <f ca="1">W27-S27</f>
        <v>0</v>
      </c>
      <c r="AB27" s="346" t="s">
        <v>840</v>
      </c>
      <c r="AC27" s="6"/>
      <c r="AD27" s="345" t="s">
        <v>1530</v>
      </c>
      <c r="AE27" s="29">
        <f ca="1">IF(OR(Togtype_Ref_2="-",Togtype_Ref_2="Godstog"),,Settkm_RefÅr1_Togtype_2*INDIRECT("Seter_"&amp;Togtype_Ref_2)/1000000)</f>
        <v>0</v>
      </c>
      <c r="AF27" s="29">
        <f ca="1">IF(OR(Togtype_Ref_2="-",Togtype_Ref_2="Godstog"),,Settkm_RefÅr2_Togtype_2*INDIRECT("Seter_"&amp;Togtype_Ref_2)/1000000)</f>
        <v>0</v>
      </c>
      <c r="AG27" s="29">
        <f ca="1">IF(OR(Togtype_Ref_2="-",Togtype_Ref_2="Godstog"),,Settkm_RefÅr3_Togtype_2*INDIRECT("Seter_"&amp;Togtype_Ref_2)/1000000)</f>
        <v>0</v>
      </c>
      <c r="AH27" s="77"/>
      <c r="AI27" s="29">
        <f ca="1">IF(OR(Togtype_Tiltak_2="-",Togtype_Tiltak_2="Godstog"),,Settkm_TiltakÅr1_Togtype_2*INDIRECT("Seter_"&amp;Togtype_Tiltak_2)/1000000)</f>
        <v>0</v>
      </c>
      <c r="AJ27" s="29">
        <f ca="1">IF(OR(Togtype_Tiltak_2="-",Togtype_Tiltak_2="Godstog"),,Settkm_TiltakÅr2_Togtype_2*INDIRECT("Seter_"&amp;Togtype_Tiltak_2)/1000000)</f>
        <v>0</v>
      </c>
      <c r="AK27" s="29">
        <f ca="1">IF(OR(Togtype_Tiltak_2="-",Togtype_Tiltak_2="Godstog"),,Settkm_TiltakÅr3_Togtype_2*INDIRECT("Seter_"&amp;Togtype_Tiltak_2)/1000000)</f>
        <v>0</v>
      </c>
      <c r="AL27" s="26"/>
      <c r="AM27" s="733">
        <f ca="1">AI27-AE27</f>
        <v>0</v>
      </c>
      <c r="AN27" s="733">
        <f ca="1">AJ27-AF27</f>
        <v>0</v>
      </c>
      <c r="AO27" s="733">
        <f ca="1">AK27-AG27</f>
        <v>0</v>
      </c>
      <c r="AP27" s="346" t="s">
        <v>840</v>
      </c>
    </row>
    <row r="28" spans="1:42" x14ac:dyDescent="0.35">
      <c r="B28" s="345" t="s">
        <v>834</v>
      </c>
      <c r="C28" s="29">
        <f t="shared" si="22"/>
        <v>0</v>
      </c>
      <c r="D28" s="29">
        <f t="shared" si="17"/>
        <v>0</v>
      </c>
      <c r="E28" s="29">
        <f t="shared" si="17"/>
        <v>0</v>
      </c>
      <c r="F28" s="77"/>
      <c r="G28" s="29">
        <f t="shared" si="23"/>
        <v>0</v>
      </c>
      <c r="H28" s="29">
        <f t="shared" si="18"/>
        <v>0</v>
      </c>
      <c r="I28" s="29">
        <f t="shared" si="19"/>
        <v>0</v>
      </c>
      <c r="J28" s="26"/>
      <c r="K28" s="29">
        <f t="shared" si="19"/>
        <v>0</v>
      </c>
      <c r="L28" s="29">
        <f t="shared" si="20"/>
        <v>0</v>
      </c>
      <c r="M28" s="29">
        <f t="shared" si="21"/>
        <v>0</v>
      </c>
      <c r="N28" s="341" t="s">
        <v>571</v>
      </c>
      <c r="P28" s="345" t="s">
        <v>834</v>
      </c>
      <c r="Q28" s="29">
        <f>Togtimer_RefÅr1</f>
        <v>0</v>
      </c>
      <c r="R28" s="29">
        <f>Togtimer_RefÅr2</f>
        <v>0</v>
      </c>
      <c r="S28" s="29">
        <f>Togtimer_RefÅr3</f>
        <v>0</v>
      </c>
      <c r="T28" s="77"/>
      <c r="U28" s="29">
        <f>Togtimer_TiltakÅr1</f>
        <v>0</v>
      </c>
      <c r="V28" s="29">
        <f>Togtimer_TiltakÅr2</f>
        <v>0</v>
      </c>
      <c r="W28" s="29">
        <f>Togtimer_TiltakÅr3</f>
        <v>0</v>
      </c>
      <c r="X28" s="26"/>
      <c r="Y28" s="29">
        <f>Togtimer_År1</f>
        <v>0</v>
      </c>
      <c r="Z28" s="29">
        <f>Togtimer_År2</f>
        <v>0</v>
      </c>
      <c r="AA28" s="29">
        <f>Togtimer_År3</f>
        <v>0</v>
      </c>
      <c r="AB28" s="341" t="s">
        <v>571</v>
      </c>
      <c r="AD28" s="345" t="s">
        <v>834</v>
      </c>
      <c r="AE28" s="29">
        <f>Togtimer_RefÅr1_Togtype_2</f>
        <v>0</v>
      </c>
      <c r="AF28" s="29">
        <f>Togtimer_RefÅr2_Togtype_2</f>
        <v>0</v>
      </c>
      <c r="AG28" s="29">
        <f>Togtimer_RefÅr3_Togtype_2</f>
        <v>0</v>
      </c>
      <c r="AH28" s="77"/>
      <c r="AI28" s="29">
        <f>Togtimer_TiltakÅr1_Togtype_2</f>
        <v>0</v>
      </c>
      <c r="AJ28" s="29">
        <f>Togtimer_TiltakÅr2_Togtype_2</f>
        <v>0</v>
      </c>
      <c r="AK28" s="29">
        <f>Togtimer_TiltakÅr3_Togtype_2</f>
        <v>0</v>
      </c>
      <c r="AL28" s="26"/>
      <c r="AM28" s="29">
        <f>Togtimer_År1_Togtype_2</f>
        <v>0</v>
      </c>
      <c r="AN28" s="29">
        <f>Togtimer_År2_Togtype_2</f>
        <v>0</v>
      </c>
      <c r="AO28" s="29">
        <f>Togtimer_År3_Togtype_2</f>
        <v>0</v>
      </c>
      <c r="AP28" s="341" t="s">
        <v>571</v>
      </c>
    </row>
    <row r="29" spans="1:42" x14ac:dyDescent="0.35">
      <c r="B29" s="212" t="s">
        <v>837</v>
      </c>
      <c r="C29" s="29">
        <f t="shared" si="22"/>
        <v>0</v>
      </c>
      <c r="D29" s="29">
        <f t="shared" si="17"/>
        <v>0</v>
      </c>
      <c r="E29" s="29">
        <f t="shared" si="17"/>
        <v>0</v>
      </c>
      <c r="F29" s="77"/>
      <c r="G29" s="29">
        <f t="shared" si="23"/>
        <v>0</v>
      </c>
      <c r="H29" s="29">
        <f t="shared" si="18"/>
        <v>0</v>
      </c>
      <c r="I29" s="29">
        <f t="shared" si="19"/>
        <v>0</v>
      </c>
      <c r="J29" s="26"/>
      <c r="K29" s="29">
        <f t="shared" si="19"/>
        <v>0</v>
      </c>
      <c r="L29" s="29">
        <f t="shared" si="20"/>
        <v>0</v>
      </c>
      <c r="M29" s="29">
        <f t="shared" si="21"/>
        <v>0</v>
      </c>
      <c r="N29" s="341" t="s">
        <v>571</v>
      </c>
      <c r="P29" s="212" t="s">
        <v>837</v>
      </c>
      <c r="Q29" s="29">
        <f>Settimer_RefÅr1</f>
        <v>0</v>
      </c>
      <c r="R29" s="29">
        <f>Settimer_RefÅr2</f>
        <v>0</v>
      </c>
      <c r="S29" s="29">
        <f>Settimer_RefÅr3</f>
        <v>0</v>
      </c>
      <c r="T29" s="77"/>
      <c r="U29" s="29">
        <f>Settimer_TiltakÅr1</f>
        <v>0</v>
      </c>
      <c r="V29" s="29">
        <f>Settimer_TiltakÅr2</f>
        <v>0</v>
      </c>
      <c r="W29" s="29">
        <f>Settimer_TiltakÅr3</f>
        <v>0</v>
      </c>
      <c r="X29" s="26"/>
      <c r="Y29" s="29">
        <f>Settimer_År1</f>
        <v>0</v>
      </c>
      <c r="Z29" s="29">
        <f>Settimer_År2</f>
        <v>0</v>
      </c>
      <c r="AA29" s="29">
        <f>Settimer_År3</f>
        <v>0</v>
      </c>
      <c r="AB29" s="341" t="s">
        <v>571</v>
      </c>
      <c r="AD29" s="212" t="s">
        <v>837</v>
      </c>
      <c r="AE29" s="29">
        <f>Settimer_RefÅr1_Togtype_2</f>
        <v>0</v>
      </c>
      <c r="AF29" s="29">
        <f>Settimer_RefÅr2_Togtype_2</f>
        <v>0</v>
      </c>
      <c r="AG29" s="29">
        <f>Settimer_RefÅr3_Togtype_2</f>
        <v>0</v>
      </c>
      <c r="AH29" s="77"/>
      <c r="AI29" s="29">
        <f>Settimer_TiltakÅr1_Togtype_2</f>
        <v>0</v>
      </c>
      <c r="AJ29" s="29">
        <f>Settimer_TiltakÅr2_Togtype_2</f>
        <v>0</v>
      </c>
      <c r="AK29" s="29">
        <f>Settimer_TiltakÅr3_Togtype_2</f>
        <v>0</v>
      </c>
      <c r="AL29" s="26"/>
      <c r="AM29" s="29">
        <f>Settimer_År1_Togtype_2</f>
        <v>0</v>
      </c>
      <c r="AN29" s="29">
        <f>Settimer_År2_Togtype_2</f>
        <v>0</v>
      </c>
      <c r="AO29" s="29">
        <f>Settimer_År3_Togtype_2</f>
        <v>0</v>
      </c>
      <c r="AP29" s="341" t="s">
        <v>571</v>
      </c>
    </row>
    <row r="30" spans="1:42" x14ac:dyDescent="0.35">
      <c r="B30" s="344" t="s">
        <v>1531</v>
      </c>
      <c r="C30" s="35"/>
      <c r="D30" s="35"/>
      <c r="E30" s="35"/>
      <c r="F30" s="35"/>
      <c r="G30" s="35"/>
      <c r="H30" s="35"/>
      <c r="I30" s="35"/>
      <c r="J30" s="35"/>
      <c r="K30" s="35"/>
      <c r="L30" s="35"/>
      <c r="M30" s="35"/>
      <c r="N30" s="354"/>
      <c r="P30" s="344" t="s">
        <v>1531</v>
      </c>
      <c r="Q30" s="35"/>
      <c r="R30" s="35"/>
      <c r="S30" s="35"/>
      <c r="T30" s="35"/>
      <c r="U30" s="35"/>
      <c r="V30" s="35"/>
      <c r="W30" s="35"/>
      <c r="X30" s="35"/>
      <c r="Y30" s="35"/>
      <c r="Z30" s="35"/>
      <c r="AA30" s="35"/>
      <c r="AB30" s="354"/>
      <c r="AD30" s="344" t="s">
        <v>1531</v>
      </c>
      <c r="AE30" s="35"/>
      <c r="AF30" s="35"/>
      <c r="AG30" s="35"/>
      <c r="AH30" s="35"/>
      <c r="AI30" s="35"/>
      <c r="AJ30" s="35"/>
      <c r="AK30" s="35"/>
      <c r="AL30" s="35"/>
      <c r="AM30" s="35"/>
      <c r="AN30" s="35"/>
      <c r="AO30" s="35"/>
      <c r="AP30" s="354"/>
    </row>
    <row r="31" spans="1:42" x14ac:dyDescent="0.35">
      <c r="B31" s="345" t="s">
        <v>834</v>
      </c>
      <c r="C31" s="30">
        <f>Q31+AE31</f>
        <v>0</v>
      </c>
      <c r="D31" s="30">
        <f t="shared" ref="D31:E39" si="24">R31+AF31</f>
        <v>0</v>
      </c>
      <c r="E31" s="30">
        <f t="shared" si="24"/>
        <v>0</v>
      </c>
      <c r="F31" s="77"/>
      <c r="G31" s="30">
        <f>U31+AI31</f>
        <v>0</v>
      </c>
      <c r="H31" s="30">
        <f t="shared" ref="H31:H39" si="25">V31+AJ31</f>
        <v>0</v>
      </c>
      <c r="I31" s="30">
        <f t="shared" ref="I31:I39" si="26">W31+AK31</f>
        <v>0</v>
      </c>
      <c r="J31" s="26"/>
      <c r="K31" s="30">
        <f>Y31+AM31</f>
        <v>0</v>
      </c>
      <c r="L31" s="30">
        <f t="shared" ref="L31:M31" si="27">Z31+AN31</f>
        <v>0</v>
      </c>
      <c r="M31" s="30">
        <f t="shared" si="27"/>
        <v>0</v>
      </c>
      <c r="N31" s="346" t="s">
        <v>840</v>
      </c>
      <c r="O31" s="6"/>
      <c r="P31" s="345" t="s">
        <v>834</v>
      </c>
      <c r="Q31" s="770">
        <f>TimeLønnLokfører*Q28/1000000</f>
        <v>0</v>
      </c>
      <c r="R31" s="770">
        <f>TimeLønnLokfører*R28/1000000</f>
        <v>0</v>
      </c>
      <c r="S31" s="770">
        <f>TimeLønnLokfører*S28/1000000</f>
        <v>0</v>
      </c>
      <c r="T31" s="77"/>
      <c r="U31" s="770">
        <f>TimeLønnLokfører*U28/1000000</f>
        <v>0</v>
      </c>
      <c r="V31" s="770">
        <f>TimeLønnLokfører*V28/1000000</f>
        <v>0</v>
      </c>
      <c r="W31" s="770">
        <f>TimeLønnLokfører*W28/1000000</f>
        <v>0</v>
      </c>
      <c r="X31" s="26"/>
      <c r="Y31" s="770">
        <f>TimeLønnLokfører*Y28/1000000</f>
        <v>0</v>
      </c>
      <c r="Z31" s="770">
        <f>TimeLønnLokfører*Z28/1000000</f>
        <v>0</v>
      </c>
      <c r="AA31" s="770">
        <f>TimeLønnLokfører*AA28/1000000</f>
        <v>0</v>
      </c>
      <c r="AB31" s="346" t="s">
        <v>840</v>
      </c>
      <c r="AC31" s="6"/>
      <c r="AD31" s="345" t="s">
        <v>834</v>
      </c>
      <c r="AE31" s="770">
        <f>TimeLønnLokfører*AE28/1000000</f>
        <v>0</v>
      </c>
      <c r="AF31" s="770">
        <f>TimeLønnLokfører*AF28/1000000</f>
        <v>0</v>
      </c>
      <c r="AG31" s="770">
        <f>TimeLønnLokfører*AG28/1000000</f>
        <v>0</v>
      </c>
      <c r="AH31" s="77"/>
      <c r="AI31" s="770">
        <f>TimeLønnLokfører*AI28/1000000</f>
        <v>0</v>
      </c>
      <c r="AJ31" s="770">
        <f>TimeLønnLokfører*AJ28/1000000</f>
        <v>0</v>
      </c>
      <c r="AK31" s="770">
        <f>TimeLønnLokfører*AK28/1000000</f>
        <v>0</v>
      </c>
      <c r="AL31" s="26"/>
      <c r="AM31" s="770">
        <f>TimeLønnLokfører*AM28/1000000</f>
        <v>0</v>
      </c>
      <c r="AN31" s="770">
        <f>TimeLønnLokfører*AN28/1000000</f>
        <v>0</v>
      </c>
      <c r="AO31" s="770">
        <f>TimeLønnLokfører*AO28/1000000</f>
        <v>0</v>
      </c>
      <c r="AP31" s="346" t="s">
        <v>840</v>
      </c>
    </row>
    <row r="32" spans="1:42" ht="18.5" x14ac:dyDescent="0.45">
      <c r="B32" s="345" t="s">
        <v>837</v>
      </c>
      <c r="C32" s="30">
        <f t="shared" ref="C32:C39" si="28">Q32+AE32</f>
        <v>0</v>
      </c>
      <c r="D32" s="30">
        <f t="shared" si="24"/>
        <v>0</v>
      </c>
      <c r="E32" s="30">
        <f t="shared" si="24"/>
        <v>0</v>
      </c>
      <c r="F32" s="77"/>
      <c r="G32" s="30">
        <f t="shared" ref="G32:G39" si="29">U32+AI32</f>
        <v>0</v>
      </c>
      <c r="H32" s="30">
        <f t="shared" si="25"/>
        <v>0</v>
      </c>
      <c r="I32" s="30">
        <f t="shared" si="26"/>
        <v>0</v>
      </c>
      <c r="J32" s="26"/>
      <c r="K32" s="30">
        <f t="shared" ref="K32:K39" si="30">Y32+AM32</f>
        <v>0</v>
      </c>
      <c r="L32" s="30">
        <f t="shared" ref="L32:L39" si="31">Z32+AN32</f>
        <v>0</v>
      </c>
      <c r="M32" s="30">
        <f t="shared" ref="M32:M39" si="32">AA32+AO32</f>
        <v>0</v>
      </c>
      <c r="N32" s="346" t="s">
        <v>840</v>
      </c>
      <c r="O32" s="100"/>
      <c r="P32" s="345" t="s">
        <v>837</v>
      </c>
      <c r="Q32" s="463">
        <f>Q29*TimeLønnTogfører/1000000</f>
        <v>0</v>
      </c>
      <c r="R32" s="463">
        <f>R29*TimeLønnTogfører/1000000</f>
        <v>0</v>
      </c>
      <c r="S32" s="463">
        <f>S29*TimeLønnTogfører/1000000</f>
        <v>0</v>
      </c>
      <c r="T32" s="77"/>
      <c r="U32" s="463">
        <f>U29*TimeLønnTogfører/1000000</f>
        <v>0</v>
      </c>
      <c r="V32" s="463">
        <f>V29*TimeLønnTogfører/1000000</f>
        <v>0</v>
      </c>
      <c r="W32" s="463">
        <f>W29*TimeLønnTogfører/1000000</f>
        <v>0</v>
      </c>
      <c r="X32" s="26"/>
      <c r="Y32" s="463">
        <f>Y29*TimeLønnTogfører/1000000</f>
        <v>0</v>
      </c>
      <c r="Z32" s="463">
        <f>Z29*TimeLønnTogfører/1000000</f>
        <v>0</v>
      </c>
      <c r="AA32" s="463">
        <f>AA29*TimeLønnTogfører/1000000</f>
        <v>0</v>
      </c>
      <c r="AB32" s="346" t="s">
        <v>840</v>
      </c>
      <c r="AC32" s="100"/>
      <c r="AD32" s="345" t="s">
        <v>837</v>
      </c>
      <c r="AE32" s="463">
        <f>AE29*TimeLønnTogfører/1000000</f>
        <v>0</v>
      </c>
      <c r="AF32" s="463">
        <f>AF29*TimeLønnTogfører/1000000</f>
        <v>0</v>
      </c>
      <c r="AG32" s="463">
        <f>AG29*TimeLønnTogfører/1000000</f>
        <v>0</v>
      </c>
      <c r="AH32" s="77"/>
      <c r="AI32" s="463">
        <f>AI29*TimeLønnTogfører/1000000</f>
        <v>0</v>
      </c>
      <c r="AJ32" s="463">
        <f>AJ29*TimeLønnTogfører/1000000</f>
        <v>0</v>
      </c>
      <c r="AK32" s="463">
        <f>AK29*TimeLønnTogfører/1000000</f>
        <v>0</v>
      </c>
      <c r="AL32" s="26"/>
      <c r="AM32" s="463">
        <f>AM29*TimeLønnTogfører/1000000</f>
        <v>0</v>
      </c>
      <c r="AN32" s="463">
        <f>AN29*TimeLønnTogfører/1000000</f>
        <v>0</v>
      </c>
      <c r="AO32" s="463">
        <f>AO29*TimeLønnTogfører/1000000</f>
        <v>0</v>
      </c>
      <c r="AP32" s="346" t="s">
        <v>840</v>
      </c>
    </row>
    <row r="33" spans="1:42" s="6" customFormat="1" x14ac:dyDescent="0.35">
      <c r="A33"/>
      <c r="B33" s="345" t="s">
        <v>1532</v>
      </c>
      <c r="C33" s="30">
        <f t="shared" ca="1" si="28"/>
        <v>0</v>
      </c>
      <c r="D33" s="30">
        <f t="shared" ca="1" si="24"/>
        <v>0</v>
      </c>
      <c r="E33" s="30">
        <f t="shared" ca="1" si="24"/>
        <v>0</v>
      </c>
      <c r="F33" s="79"/>
      <c r="G33" s="30">
        <f t="shared" ca="1" si="29"/>
        <v>0</v>
      </c>
      <c r="H33" s="30">
        <f t="shared" ca="1" si="25"/>
        <v>0</v>
      </c>
      <c r="I33" s="30">
        <f t="shared" ca="1" si="26"/>
        <v>0</v>
      </c>
      <c r="J33" s="80"/>
      <c r="K33" s="30">
        <f t="shared" ca="1" si="30"/>
        <v>0</v>
      </c>
      <c r="L33" s="30">
        <f t="shared" ca="1" si="31"/>
        <v>0</v>
      </c>
      <c r="M33" s="30">
        <f t="shared" ca="1" si="32"/>
        <v>0</v>
      </c>
      <c r="N33" s="346" t="s">
        <v>840</v>
      </c>
      <c r="P33" s="345" t="s">
        <v>1532</v>
      </c>
      <c r="Q33" s="463">
        <f ca="1">IF(Togtype_Ref=76,Q22*Energi_76+Q21*Energi_76el,IF(OR(Togtype_Ref="-",Togtype_Ref="Godstog"),,IF(OR(Togtype_Ref="EL18",Togtype_Ref="Di4"),Q23*(INDIRECT("Energi_"&amp;Togtype_Ref)),Q24*INDIRECT("Energi_"&amp;Togtype_Ref))))/1000000</f>
        <v>0</v>
      </c>
      <c r="R33" s="463">
        <f ca="1">IF(Togtype_Ref=76,R22*Energi_76+R21*Energi_76el,IF(OR(Togtype_Ref="-",Togtype_Ref="Godstog"),,IF(OR(Togtype_Ref="EL18",Togtype_Ref="Di4"),R23*(INDIRECT("Energi_"&amp;Togtype_Ref)),R24*INDIRECT("Energi_"&amp;Togtype_Ref))))/1000000</f>
        <v>0</v>
      </c>
      <c r="S33" s="463">
        <f ca="1">IF(Togtype_Ref=76,S22*Energi_76+S21*Energi_76el,IF(OR(Togtype_Ref="-",Togtype_Ref="Godstog"),,IF(OR(Togtype_Ref="EL18",Togtype_Ref="Di4"),S23*(INDIRECT("Energi_"&amp;Togtype_Ref)),S24*INDIRECT("Energi_"&amp;Togtype_Ref))))/1000000</f>
        <v>0</v>
      </c>
      <c r="T33" s="79"/>
      <c r="U33" s="752">
        <f ca="1">IF(Togtype_Tiltak=76,U22*Energi_76+U21*Energi_76el,IF(OR(Togtype_Tiltak="-",Togtype_Tiltak="Godstog"),,IF(OR(Togtype_Tiltak="EL18",Togtype_Tiltak="Di4"),U23*(INDIRECT("Energi_"&amp;Togtype_Tiltak)),U24*INDIRECT("Energi_"&amp;Togtype_Tiltak))))/1000000</f>
        <v>0</v>
      </c>
      <c r="V33" s="752">
        <f ca="1">IF(Togtype_Tiltak=76,V22*Energi_76+V21*Energi_76el,IF(OR(Togtype_Tiltak="-",Togtype_Tiltak="Godstog"),,IF(OR(Togtype_Tiltak="EL18",Togtype_Tiltak="Di4"),V23*(INDIRECT("Energi_"&amp;Togtype_Tiltak)),V24*INDIRECT("Energi_"&amp;Togtype_Tiltak))))/1000000</f>
        <v>0</v>
      </c>
      <c r="W33" s="752">
        <f ca="1">IF(Togtype_Tiltak=76,W22*Energi_76+W21*Energi_76el,IF(OR(Togtype_Tiltak="-",Togtype_Tiltak="Godstog"),,IF(OR(Togtype_Tiltak="EL18",Togtype_Tiltak="Di4"),W23*(INDIRECT("Energi_"&amp;Togtype_Tiltak)),W24*INDIRECT("Energi_"&amp;Togtype_Tiltak))))/1000000</f>
        <v>0</v>
      </c>
      <c r="X33" s="80"/>
      <c r="Y33" s="463">
        <f ca="1">U33-Q33</f>
        <v>0</v>
      </c>
      <c r="Z33" s="463">
        <f t="shared" ref="Z33:Z36" ca="1" si="33">V33-R33</f>
        <v>0</v>
      </c>
      <c r="AA33" s="463">
        <f t="shared" ref="AA33" ca="1" si="34">W33-S33</f>
        <v>0</v>
      </c>
      <c r="AB33" s="346" t="s">
        <v>840</v>
      </c>
      <c r="AD33" s="345" t="s">
        <v>1532</v>
      </c>
      <c r="AE33" s="463">
        <f ca="1">IF(Togtype_Ref_2=76,AE22*Energi_76+AE21*Energi_76el,IF(OR(Togtype_Ref_2="-",Togtype_Ref_2="Godstog"),,IF(OR(Togtype_Ref_2="EL18",Togtype_Ref_2="Di4"),AE23*(INDIRECT("Energi_"&amp;Togtype_Ref_2)),AE24*INDIRECT("Energi_"&amp;Togtype_Ref_2))))/1000000</f>
        <v>0</v>
      </c>
      <c r="AF33" s="463">
        <f ca="1">IF(Togtype_Ref_2=76,AF22*Energi_76+AF21*Energi_76el,IF(OR(Togtype_Ref_2="-",Togtype_Ref_2="Godstog"),,IF(OR(Togtype_Ref_2="EL18",Togtype_Ref_2="Di4"),AF23*(INDIRECT("Energi_"&amp;Togtype_Ref_2)),AF24*INDIRECT("Energi_"&amp;Togtype_Ref_2))))/1000000</f>
        <v>0</v>
      </c>
      <c r="AG33" s="463">
        <f ca="1">IF(Togtype_Ref_2=76,AG22*Energi_76+AG21*Energi_76el,IF(OR(Togtype_Ref_2="-",Togtype_Ref_2="Godstog"),,IF(OR(Togtype_Ref_2="EL18",Togtype_Ref_2="Di4"),AG23*(INDIRECT("Energi_"&amp;Togtype_Ref_2)),AG24*INDIRECT("Energi_"&amp;Togtype_Ref_2))))/1000000</f>
        <v>0</v>
      </c>
      <c r="AH33" s="79"/>
      <c r="AI33" s="752">
        <f ca="1">IF(Togtype_Tiltak_2=76,AI22*Energi_76+AI21*Energi_76el,IF(OR(Togtype_Tiltak_2="-",Togtype_Tiltak_2="Godstog"),,IF(OR(Togtype_Tiltak_2="EL18",Togtype_Tiltak_2="Di4"),AI23*(INDIRECT("Energi_"&amp;Togtype_Tiltak_2)),AI24*INDIRECT("Energi_"&amp;Togtype_Tiltak_2))))/1000000</f>
        <v>0</v>
      </c>
      <c r="AJ33" s="752">
        <f ca="1">IF(Togtype_Tiltak_2=76,AJ22*Energi_76+AJ21*Energi_76el,IF(OR(Togtype_Tiltak_2="-",Togtype_Tiltak_2="Godstog"),,IF(OR(Togtype_Tiltak_2="EL18",Togtype_Tiltak_2="Di4"),AJ23*(INDIRECT("Energi_"&amp;Togtype_Tiltak_2)),AJ24*INDIRECT("Energi_"&amp;Togtype_Tiltak_2))))/1000000</f>
        <v>0</v>
      </c>
      <c r="AK33" s="752">
        <f ca="1">IF(Togtype_Tiltak_2=76,AK22*Energi_76+AK21*Energi_76el,IF(OR(Togtype_Tiltak_2="-",Togtype_Tiltak_2="Godstog"),,IF(OR(Togtype_Tiltak_2="EL18",Togtype_Tiltak_2="Di4"),AK23*(INDIRECT("Energi_"&amp;Togtype_Tiltak_2)),AK24*INDIRECT("Energi_"&amp;Togtype_Tiltak_2))))/1000000</f>
        <v>0</v>
      </c>
      <c r="AL33" s="80"/>
      <c r="AM33" s="463">
        <f ca="1">AI33-AE33</f>
        <v>0</v>
      </c>
      <c r="AN33" s="463">
        <f t="shared" ref="AN33:AN36" ca="1" si="35">AJ33-AF33</f>
        <v>0</v>
      </c>
      <c r="AO33" s="463">
        <f t="shared" ref="AO33" ca="1" si="36">AK33-AG33</f>
        <v>0</v>
      </c>
      <c r="AP33" s="346" t="s">
        <v>840</v>
      </c>
    </row>
    <row r="34" spans="1:42" s="6" customFormat="1" x14ac:dyDescent="0.35">
      <c r="A34"/>
      <c r="B34" s="212" t="s">
        <v>1035</v>
      </c>
      <c r="C34" s="30">
        <f t="shared" ca="1" si="28"/>
        <v>0</v>
      </c>
      <c r="D34" s="30">
        <f t="shared" ca="1" si="24"/>
        <v>0</v>
      </c>
      <c r="E34" s="30">
        <f t="shared" ca="1" si="24"/>
        <v>0</v>
      </c>
      <c r="F34" s="82"/>
      <c r="G34" s="30">
        <f t="shared" ca="1" si="29"/>
        <v>0</v>
      </c>
      <c r="H34" s="30">
        <f t="shared" ca="1" si="25"/>
        <v>0</v>
      </c>
      <c r="I34" s="30">
        <f t="shared" ca="1" si="26"/>
        <v>0</v>
      </c>
      <c r="J34" s="80"/>
      <c r="K34" s="30">
        <f t="shared" ca="1" si="30"/>
        <v>0</v>
      </c>
      <c r="L34" s="30">
        <f t="shared" ca="1" si="31"/>
        <v>0</v>
      </c>
      <c r="M34" s="30">
        <f t="shared" ca="1" si="32"/>
        <v>0</v>
      </c>
      <c r="N34" s="346" t="s">
        <v>840</v>
      </c>
      <c r="P34" s="212" t="s">
        <v>1035</v>
      </c>
      <c r="Q34" s="752">
        <f ca="1">IF(OR(Togtype_Ref="-",Togtype_Ref="Godstog"),,IF(OR(Togtype_Ref="EL18",Togtype_Ref="Di4"),Q23*(INDIRECT("Vedlikehold_"&amp;Togtype_Ref)+Vogner_Ref*Vedlikehold_Sittevogn),Q24*INDIRECT("Vedlikehold_"&amp;Togtype_Ref))/1000000)</f>
        <v>0</v>
      </c>
      <c r="R34" s="752">
        <f ca="1">IF(OR(Togtype_Ref="-",Togtype_Ref="Godstog"),,IF(OR(Togtype_Ref="EL18",Togtype_Ref="Di4"),R23*(INDIRECT("Vedlikehold_"&amp;Togtype_Ref)+Vogner_Ref*Vedlikehold_Sittevogn),R24*INDIRECT("Vedlikehold_"&amp;Togtype_Ref))/1000000)</f>
        <v>0</v>
      </c>
      <c r="S34" s="752">
        <f ca="1">IF(OR(Togtype_Ref="-",Togtype_Ref="Godstog"),,IF(OR(Togtype_Ref="EL18",Togtype_Ref="Di4"),S23*(INDIRECT("Vedlikehold_"&amp;Togtype_Ref)+Vogner_Ref*Vedlikehold_Sittevogn),S24*INDIRECT("Vedlikehold_"&amp;Togtype_Ref))/1000000)</f>
        <v>0</v>
      </c>
      <c r="T34" s="82"/>
      <c r="U34" s="752">
        <f ca="1">IF(OR(Togtype_Tiltak="-",Togtype_Tiltak="Godstog"),,IF(OR(Togtype_Tiltak="EL18",Togtype_Tiltak="Di4"),U23*(INDIRECT("Vedlikehold_"&amp;Togtype_Tiltak)+Vogner_Tiltak*Vedlikehold_Sittevogn),U24*INDIRECT("Vedlikehold_"&amp;Togtype_Tiltak))/1000000)</f>
        <v>0</v>
      </c>
      <c r="V34" s="752">
        <f ca="1">IF(OR(Togtype_Tiltak="-",Togtype_Tiltak="Godstog"),,IF(OR(Togtype_Tiltak="EL18",Togtype_Tiltak="Di4"),V23*(INDIRECT("Vedlikehold_"&amp;Togtype_Tiltak)+Vogner_Tiltak*Vedlikehold_Sittevogn),V24*INDIRECT("Vedlikehold_"&amp;Togtype_Tiltak))/1000000)</f>
        <v>0</v>
      </c>
      <c r="W34" s="752">
        <f ca="1">IF(OR(Togtype_Tiltak="-",Togtype_Tiltak="Godstog"),,IF(OR(Togtype_Tiltak="EL18",Togtype_Tiltak="Di4"),W23*(INDIRECT("Vedlikehold_"&amp;Togtype_Tiltak)+Vogner_Tiltak*Vedlikehold_Sittevogn),W24*INDIRECT("Vedlikehold_"&amp;Togtype_Tiltak))/1000000)</f>
        <v>0</v>
      </c>
      <c r="X34" s="80"/>
      <c r="Y34" s="463">
        <f ca="1">U34-Q34</f>
        <v>0</v>
      </c>
      <c r="Z34" s="463">
        <f t="shared" ca="1" si="33"/>
        <v>0</v>
      </c>
      <c r="AA34" s="463">
        <f ca="1">W34-S34</f>
        <v>0</v>
      </c>
      <c r="AB34" s="346" t="s">
        <v>840</v>
      </c>
      <c r="AD34" s="212" t="s">
        <v>1035</v>
      </c>
      <c r="AE34" s="752">
        <f ca="1">IF(OR(Togtype_Ref_2="-",Togtype_Ref_2="Godstog"),,IF(OR(Togtype_Ref_2="EL18",Togtype_Ref_2="Di4"),AE23*(INDIRECT("Vedlikehold_"&amp;Togtype_Ref_2)+Vogner_Ref_2*Vedlikehold_Sittevogn),AE24*INDIRECT("Vedlikehold_"&amp;Togtype_Ref_2))/1000000)</f>
        <v>0</v>
      </c>
      <c r="AF34" s="752">
        <f ca="1">IF(OR(Togtype_Ref_2="-",Togtype_Ref_2="Godstog"),,IF(OR(Togtype_Ref_2="EL18",Togtype_Ref_2="Di4"),AF23*(INDIRECT("Vedlikehold_"&amp;Togtype_Ref_2)+Vogner_Ref_2*Vedlikehold_Sittevogn),AF24*INDIRECT("Vedlikehold_"&amp;Togtype_Ref_2))/1000000)</f>
        <v>0</v>
      </c>
      <c r="AG34" s="752">
        <f ca="1">IF(OR(Togtype_Ref_2="-",Togtype_Ref_2="Godstog"),,IF(OR(Togtype_Ref_2="EL18",Togtype_Ref_2="Di4"),AG23*(INDIRECT("Vedlikehold_"&amp;Togtype_Ref_2)+Vogner_Ref_2*Vedlikehold_Sittevogn),AG24*INDIRECT("Vedlikehold_"&amp;Togtype_Ref_2))/1000000)</f>
        <v>0</v>
      </c>
      <c r="AH34" s="82"/>
      <c r="AI34" s="752">
        <f ca="1">IF(OR(Togtype_Tiltak_2="-",Togtype_Tiltak_2="Godstog"),,IF(OR(Togtype_Tiltak_2="EL18",Togtype_Tiltak_2="Di4"),AI23*(INDIRECT("Vedlikehold_"&amp;Togtype_Tiltak_2)+Vogner_Tiltak_2*Vedlikehold_Sittevogn),AI24*INDIRECT("Vedlikehold_"&amp;Togtype_Tiltak_2))/1000000)</f>
        <v>0</v>
      </c>
      <c r="AJ34" s="752">
        <f ca="1">IF(OR(Togtype_Tiltak_2="-",Togtype_Tiltak_2="Godstog"),,IF(OR(Togtype_Tiltak_2="EL18",Togtype_Tiltak_2="Di4"),AJ23*(INDIRECT("Vedlikehold_"&amp;Togtype_Tiltak_2)+Vogner_Tiltak_2*Vedlikehold_Sittevogn),AJ24*INDIRECT("Vedlikehold_"&amp;Togtype_Tiltak_2))/1000000)</f>
        <v>0</v>
      </c>
      <c r="AK34" s="752">
        <f ca="1">IF(OR(Togtype_Tiltak_2="-",Togtype_Tiltak_2="Godstog"),,IF(OR(Togtype_Tiltak_2="EL18",Togtype_Tiltak_2="Di4"),AK23*(INDIRECT("Vedlikehold_"&amp;Togtype_Tiltak_2)+Vogner_Tiltak_2*Vedlikehold_Sittevogn),AK24*INDIRECT("Vedlikehold_"&amp;Togtype_Tiltak_2))/1000000)</f>
        <v>0</v>
      </c>
      <c r="AL34" s="80"/>
      <c r="AM34" s="463">
        <f ca="1">AI34-AE34</f>
        <v>0</v>
      </c>
      <c r="AN34" s="463">
        <f t="shared" ca="1" si="35"/>
        <v>0</v>
      </c>
      <c r="AO34" s="463">
        <f ca="1">AK34-AG34</f>
        <v>0</v>
      </c>
      <c r="AP34" s="346" t="s">
        <v>840</v>
      </c>
    </row>
    <row r="35" spans="1:42" s="6" customFormat="1" x14ac:dyDescent="0.35">
      <c r="A35"/>
      <c r="B35" s="212" t="s">
        <v>1533</v>
      </c>
      <c r="C35" s="30">
        <f t="shared" ca="1" si="28"/>
        <v>0</v>
      </c>
      <c r="D35" s="30">
        <f t="shared" ca="1" si="24"/>
        <v>0</v>
      </c>
      <c r="E35" s="30">
        <f t="shared" ca="1" si="24"/>
        <v>0</v>
      </c>
      <c r="F35" s="82"/>
      <c r="G35" s="30">
        <f t="shared" ca="1" si="29"/>
        <v>0</v>
      </c>
      <c r="H35" s="30">
        <f t="shared" ca="1" si="25"/>
        <v>0</v>
      </c>
      <c r="I35" s="30">
        <f t="shared" ca="1" si="26"/>
        <v>0</v>
      </c>
      <c r="J35" s="80"/>
      <c r="K35" s="30">
        <f t="shared" ca="1" si="30"/>
        <v>0</v>
      </c>
      <c r="L35" s="30">
        <f t="shared" ca="1" si="31"/>
        <v>0</v>
      </c>
      <c r="M35" s="30">
        <f t="shared" ca="1" si="32"/>
        <v>0</v>
      </c>
      <c r="N35" s="346" t="s">
        <v>840</v>
      </c>
      <c r="P35" s="212" t="s">
        <v>1533</v>
      </c>
      <c r="Q35" s="752">
        <f ca="1">IF(OR(Togtype_Ref="-",Togtype_Ref="Godstog"),,AntallDøgn_Materiell*Q26*IF(OR(Togtype_Ref="EL18",Togtype_Ref="Di4"),(INDIRECT("Klargjøring_"&amp;Togtype_Ref)+Vogner_Ref*Klargjøring_Sittevogn),INDIRECT("Klargjøring_"&amp;Togtype_Ref))/1000000)</f>
        <v>0</v>
      </c>
      <c r="R35" s="752">
        <f ca="1">IF(OR(Togtype_Ref="-",Togtype_Ref="Godstog"),,AntallDøgn_Materiell*R26*IF(OR(Togtype_Ref="EL18",Togtype_Ref="Di4"),(INDIRECT("Klargjøring_"&amp;Togtype_Ref)+Vogner_Ref*Klargjøring_Sittevogn),INDIRECT("Klargjøring_"&amp;Togtype_Ref))/1000000)</f>
        <v>0</v>
      </c>
      <c r="S35" s="752">
        <f ca="1">IF(OR(Togtype_Ref="-",Togtype_Ref="Godstog"),,AntallDøgn_Materiell*S26*IF(OR(Togtype_Ref="EL18",Togtype_Ref="Di4"),(INDIRECT("Klargjøring_"&amp;Togtype_Ref)+Vogner_Ref*Klargjøring_Sittevogn),INDIRECT("Klargjøring_"&amp;Togtype_Ref))/1000000)</f>
        <v>0</v>
      </c>
      <c r="T35" s="82"/>
      <c r="U35" s="752">
        <f ca="1">IF(OR(Togtype_Tiltak="-",Togtype_Tiltak="Godstog"),,AntallDøgn_Materiell*U26*IF(OR(Togtype_Tiltak="EL18",Togtype_Tiltak="Di4"),(INDIRECT("Klargjøring_"&amp;Togtype_Tiltak)+Vogner_Tiltak*Klargjøring_Sittevogn),INDIRECT("Klargjøring_"&amp;Togtype_Tiltak))/1000000)</f>
        <v>0</v>
      </c>
      <c r="V35" s="752">
        <f ca="1">IF(OR(Togtype_Tiltak="-",Togtype_Tiltak="Godstog"),,AntallDøgn_Materiell*V26*IF(OR(Togtype_Tiltak="EL18",Togtype_Tiltak="Di4"),(INDIRECT("Klargjøring_"&amp;Togtype_Tiltak)+Vogner_Tiltak*Klargjøring_Sittevogn),INDIRECT("Klargjøring_"&amp;Togtype_Tiltak))/1000000)</f>
        <v>0</v>
      </c>
      <c r="W35" s="752">
        <f ca="1">IF(OR(Togtype_Tiltak="-",Togtype_Tiltak="Godstog"),,AntallDøgn_Materiell*W26*IF(OR(Togtype_Tiltak="EL18",Togtype_Tiltak="Di4"),(INDIRECT("Klargjøring_"&amp;Togtype_Tiltak)+Vogner_Tiltak*Klargjøring_Sittevogn),INDIRECT("Klargjøring_"&amp;Togtype_Tiltak))/1000000)</f>
        <v>0</v>
      </c>
      <c r="X35" s="80"/>
      <c r="Y35" s="463">
        <f ca="1">U35-Q35</f>
        <v>0</v>
      </c>
      <c r="Z35" s="463">
        <f t="shared" ca="1" si="33"/>
        <v>0</v>
      </c>
      <c r="AA35" s="463">
        <f ca="1">W35-S35</f>
        <v>0</v>
      </c>
      <c r="AB35" s="346" t="s">
        <v>840</v>
      </c>
      <c r="AD35" s="212" t="s">
        <v>1533</v>
      </c>
      <c r="AE35" s="752">
        <f ca="1">IF(OR(Togtype_Ref_2="-",Togtype_Ref_2="Godstog"),,AntallDøgn_Materiell*AE26*IF(OR(Togtype_Ref_2="EL18",Togtype_Ref_2="Di4"),(INDIRECT("Klargjøring_"&amp;Togtype_Ref_2)+Vogner_Ref_2*Klargjøring_Sittevogn),INDIRECT("Klargjøring_"&amp;Togtype_Ref_2))/1000000)</f>
        <v>0</v>
      </c>
      <c r="AF35" s="752">
        <f ca="1">IF(OR(Togtype_Ref_2="-",Togtype_Ref_2="Godstog"),,AntallDøgn_Materiell*AF26*IF(OR(Togtype_Ref_2="EL18",Togtype_Ref_2="Di4"),(INDIRECT("Klargjøring_"&amp;Togtype_Ref_2)+Vogner_Ref_2*Klargjøring_Sittevogn),INDIRECT("Klargjøring_"&amp;Togtype_Ref_2))/1000000)</f>
        <v>0</v>
      </c>
      <c r="AG35" s="752">
        <f ca="1">IF(OR(Togtype_Ref_2="-",Togtype_Ref_2="Godstog"),,AntallDøgn_Materiell*AG26*IF(OR(Togtype_Ref_2="EL18",Togtype_Ref_2="Di4"),(INDIRECT("Klargjøring_"&amp;Togtype_Ref_2)+Vogner_Ref_2*Klargjøring_Sittevogn),INDIRECT("Klargjøring_"&amp;Togtype_Ref_2))/1000000)</f>
        <v>0</v>
      </c>
      <c r="AH35" s="82"/>
      <c r="AI35" s="752">
        <f ca="1">IF(OR(Togtype_Tiltak_2="-",Togtype_Tiltak_2="Godstog"),,AntallDøgn_Materiell*AI26*IF(OR(Togtype_Tiltak_2="EL18",Togtype_Tiltak_2="Di4"),(INDIRECT("Klargjøring_"&amp;Togtype_Tiltak_2)+Vogner_Tiltak_2*Klargjøring_Sittevogn),INDIRECT("Klargjøring_"&amp;Togtype_Tiltak_2))/1000000)</f>
        <v>0</v>
      </c>
      <c r="AJ35" s="752">
        <f ca="1">IF(OR(Togtype_Tiltak_2="-",Togtype_Tiltak_2="Godstog"),,AntallDøgn_Materiell*AJ26*IF(OR(Togtype_Tiltak_2="EL18",Togtype_Tiltak_2="Di4"),(INDIRECT("Klargjøring_"&amp;Togtype_Tiltak_2)+Vogner_Tiltak_2*Klargjøring_Sittevogn),INDIRECT("Klargjøring_"&amp;Togtype_Tiltak_2))/1000000)</f>
        <v>0</v>
      </c>
      <c r="AK35" s="752">
        <f ca="1">IF(OR(Togtype_Tiltak_2="-",Togtype_Tiltak_2="Godstog"),,AntallDøgn_Materiell*AK26*IF(OR(Togtype_Tiltak_2="EL18",Togtype_Tiltak_2="Di4"),(INDIRECT("Klargjøring_"&amp;Togtype_Tiltak_2)+Vogner_Tiltak_2*Klargjøring_Sittevogn),INDIRECT("Klargjøring_"&amp;Togtype_Tiltak_2))/1000000)</f>
        <v>0</v>
      </c>
      <c r="AL35" s="80"/>
      <c r="AM35" s="463">
        <f ca="1">AI35-AE35</f>
        <v>0</v>
      </c>
      <c r="AN35" s="463">
        <f t="shared" ca="1" si="35"/>
        <v>0</v>
      </c>
      <c r="AO35" s="463">
        <f ca="1">AK35-AG35</f>
        <v>0</v>
      </c>
      <c r="AP35" s="346" t="s">
        <v>840</v>
      </c>
    </row>
    <row r="36" spans="1:42" s="6" customFormat="1" x14ac:dyDescent="0.35">
      <c r="A36" s="46"/>
      <c r="B36" s="212" t="s">
        <v>1534</v>
      </c>
      <c r="C36" s="30">
        <f t="shared" ca="1" si="28"/>
        <v>0</v>
      </c>
      <c r="D36" s="30">
        <f t="shared" ca="1" si="24"/>
        <v>0</v>
      </c>
      <c r="E36" s="30">
        <f t="shared" ca="1" si="24"/>
        <v>0</v>
      </c>
      <c r="F36" s="82"/>
      <c r="G36" s="30">
        <f t="shared" ca="1" si="29"/>
        <v>0</v>
      </c>
      <c r="H36" s="30">
        <f t="shared" ca="1" si="25"/>
        <v>0</v>
      </c>
      <c r="I36" s="30">
        <f t="shared" ca="1" si="26"/>
        <v>0</v>
      </c>
      <c r="J36" s="80"/>
      <c r="K36" s="30">
        <f t="shared" ca="1" si="30"/>
        <v>0</v>
      </c>
      <c r="L36" s="30">
        <f t="shared" ca="1" si="31"/>
        <v>0</v>
      </c>
      <c r="M36" s="30">
        <f t="shared" ca="1" si="32"/>
        <v>0</v>
      </c>
      <c r="N36" s="346" t="s">
        <v>840</v>
      </c>
      <c r="P36" s="212" t="s">
        <v>1534</v>
      </c>
      <c r="Q36" s="752">
        <f ca="1">IF(OR(Togtype_Ref="-",Togtype_Ref="Godstog"),,AntallDøgn_Materiell*Q26*IF(OR(Togtype_Ref="EL18",Togtype_Ref="Di4"),(INDIRECT("Rengjøring_"&amp;Togtype_Ref)+Vogner_Ref*Rengjøring_Sittevogn),INDIRECT("Rengjøring_"&amp;Togtype_Ref))/1000000)</f>
        <v>0</v>
      </c>
      <c r="R36" s="752">
        <f ca="1">IF(OR(Togtype_Ref="-",Togtype_Ref="Godstog"),,AntallDøgn_Materiell*R26*IF(OR(Togtype_Ref="EL18",Togtype_Ref="Di4"),(INDIRECT("Rengjøring_"&amp;Togtype_Ref)+Vogner_Ref*Rengjøring_Sittevogn),INDIRECT("Rengjøring_"&amp;Togtype_Ref))/1000000)</f>
        <v>0</v>
      </c>
      <c r="S36" s="752">
        <f ca="1">IF(OR(Togtype_Ref="-",Togtype_Ref="Godstog"),,AntallDøgn_Materiell*S26*IF(OR(Togtype_Ref="EL18",Togtype_Ref="Di4"),(INDIRECT("Rengjøring_"&amp;Togtype_Ref)+Vogner_Ref*Rengjøring_Sittevogn),INDIRECT("Rengjøring_"&amp;Togtype_Ref))/1000000)</f>
        <v>0</v>
      </c>
      <c r="T36" s="82"/>
      <c r="U36" s="752">
        <f ca="1">IF(OR(Togtype_Tiltak="-",Togtype_Tiltak="Godstog"),,AntallDøgn_Materiell*U26*IF(OR(Togtype_Tiltak="EL18",Togtype_Tiltak="Di4"),(INDIRECT("Rengjøring_"&amp;Togtype_Tiltak)+Vogner_Tiltak*Rengjøring_Sittevogn),INDIRECT("Rengjøring_"&amp;Togtype_Tiltak))/1000000)</f>
        <v>0</v>
      </c>
      <c r="V36" s="752">
        <f ca="1">IF(OR(Togtype_Tiltak="-",Togtype_Tiltak="Godstog"),,AntallDøgn_Materiell*V26*IF(OR(Togtype_Tiltak="EL18",Togtype_Tiltak="Di4"),(INDIRECT("Rengjøring_"&amp;Togtype_Tiltak)+Vogner_Tiltak*Rengjøring_Sittevogn),INDIRECT("Rengjøring_"&amp;Togtype_Tiltak))/1000000)</f>
        <v>0</v>
      </c>
      <c r="W36" s="752">
        <f ca="1">IF(OR(Togtype_Tiltak="-",Togtype_Tiltak="Godstog"),,AntallDøgn_Materiell*W26*IF(OR(Togtype_Tiltak="EL18",Togtype_Tiltak="Di4"),(INDIRECT("Rengjøring_"&amp;Togtype_Tiltak)+Vogner_Tiltak*Rengjøring_Sittevogn),INDIRECT("Rengjøring_"&amp;Togtype_Tiltak))/1000000)</f>
        <v>0</v>
      </c>
      <c r="X36" s="80"/>
      <c r="Y36" s="463">
        <f ca="1">U36-Q36</f>
        <v>0</v>
      </c>
      <c r="Z36" s="463">
        <f t="shared" ca="1" si="33"/>
        <v>0</v>
      </c>
      <c r="AA36" s="463">
        <f t="shared" ref="AA36" ca="1" si="37">W36-S36</f>
        <v>0</v>
      </c>
      <c r="AB36" s="346" t="s">
        <v>840</v>
      </c>
      <c r="AD36" s="212" t="s">
        <v>1534</v>
      </c>
      <c r="AE36" s="752">
        <f ca="1">IF(OR(Togtype_Ref_2="-",Togtype_Ref_2="Godstog"),,AntallDøgn_Materiell*AE26*IF(OR(Togtype_Ref_2="EL18",Togtype_Ref_2="Di4"),(INDIRECT("Rengjøring_"&amp;Togtype_Ref_2)+Vogner_Ref_2*Rengjøring_Sittevogn),INDIRECT("Rengjøring_"&amp;Togtype_Ref_2))/1000000)</f>
        <v>0</v>
      </c>
      <c r="AF36" s="752">
        <f ca="1">IF(OR(Togtype_Ref_2="-",Togtype_Ref_2="Godstog"),,AntallDøgn_Materiell*AF26*IF(OR(Togtype_Ref_2="EL18",Togtype_Ref_2="Di4"),(INDIRECT("Rengjøring_"&amp;Togtype_Ref_2)+Vogner_Ref_2*Rengjøring_Sittevogn),INDIRECT("Rengjøring_"&amp;Togtype_Ref_2))/1000000)</f>
        <v>0</v>
      </c>
      <c r="AG36" s="752">
        <f ca="1">IF(OR(Togtype_Ref_2="-",Togtype_Ref_2="Godstog"),,AntallDøgn_Materiell*AG26*IF(OR(Togtype_Ref_2="EL18",Togtype_Ref_2="Di4"),(INDIRECT("Rengjøring_"&amp;Togtype_Ref_2)+Vogner_Ref_2*Rengjøring_Sittevogn),INDIRECT("Rengjøring_"&amp;Togtype_Ref_2))/1000000)</f>
        <v>0</v>
      </c>
      <c r="AH36" s="82"/>
      <c r="AI36" s="752">
        <f ca="1">IF(OR(Togtype_Tiltak_2="-",Togtype_Tiltak_2="Godstog"),,AntallDøgn_Materiell*AI26*IF(OR(Togtype_Tiltak_2="EL18",Togtype_Tiltak_2="Di4"),(INDIRECT("Rengjøring_"&amp;Togtype_Tiltak_2)+Vogner_Tiltak_2*Rengjøring_Sittevogn),INDIRECT("Rengjøring_"&amp;Togtype_Tiltak_2))/1000000)</f>
        <v>0</v>
      </c>
      <c r="AJ36" s="752">
        <f ca="1">IF(OR(Togtype_Tiltak_2="-",Togtype_Tiltak_2="Godstog"),,AntallDøgn_Materiell*AJ26*IF(OR(Togtype_Tiltak_2="EL18",Togtype_Tiltak_2="Di4"),(INDIRECT("Rengjøring_"&amp;Togtype_Tiltak_2)+Vogner_Tiltak_2*Rengjøring_Sittevogn),INDIRECT("Rengjøring_"&amp;Togtype_Tiltak_2))/1000000)</f>
        <v>0</v>
      </c>
      <c r="AK36" s="752">
        <f ca="1">IF(OR(Togtype_Tiltak_2="-",Togtype_Tiltak_2="Godstog"),,AntallDøgn_Materiell*AK26*IF(OR(Togtype_Tiltak_2="EL18",Togtype_Tiltak_2="Di4"),(INDIRECT("Rengjøring_"&amp;Togtype_Tiltak_2)+Vogner_Tiltak_2*Rengjøring_Sittevogn),INDIRECT("Rengjøring_"&amp;Togtype_Tiltak_2))/1000000)</f>
        <v>0</v>
      </c>
      <c r="AL36" s="80"/>
      <c r="AM36" s="463">
        <f ca="1">AI36-AE36</f>
        <v>0</v>
      </c>
      <c r="AN36" s="463">
        <f t="shared" ca="1" si="35"/>
        <v>0</v>
      </c>
      <c r="AO36" s="463">
        <f t="shared" ref="AO36" ca="1" si="38">AK36-AG36</f>
        <v>0</v>
      </c>
      <c r="AP36" s="346" t="s">
        <v>840</v>
      </c>
    </row>
    <row r="37" spans="1:42" x14ac:dyDescent="0.35">
      <c r="B37" s="212" t="s">
        <v>1238</v>
      </c>
      <c r="C37" s="30">
        <f t="shared" si="28"/>
        <v>0</v>
      </c>
      <c r="D37" s="30">
        <f t="shared" si="24"/>
        <v>0</v>
      </c>
      <c r="E37" s="30">
        <f t="shared" si="24"/>
        <v>0</v>
      </c>
      <c r="F37" s="77"/>
      <c r="G37" s="30">
        <f t="shared" si="29"/>
        <v>0</v>
      </c>
      <c r="H37" s="30">
        <f t="shared" si="25"/>
        <v>0</v>
      </c>
      <c r="I37" s="30">
        <f t="shared" si="26"/>
        <v>0</v>
      </c>
      <c r="J37" s="26"/>
      <c r="K37" s="30">
        <f t="shared" si="30"/>
        <v>0</v>
      </c>
      <c r="L37" s="30">
        <f t="shared" si="31"/>
        <v>0</v>
      </c>
      <c r="M37" s="30">
        <f t="shared" si="32"/>
        <v>0</v>
      </c>
      <c r="N37" s="346" t="s">
        <v>840</v>
      </c>
      <c r="O37" s="6"/>
      <c r="P37" s="212" t="s">
        <v>1238</v>
      </c>
      <c r="Q37" s="463">
        <f>IF(PunktlighetRef="",0,SUM(Q31:Q32)*-LN(PunktlighetRef)*Punktlighetkostnader_TilleggDrift)</f>
        <v>0</v>
      </c>
      <c r="R37" s="463">
        <f>IF(PunktlighetRef="",0,SUM(R31:R32)*-LN(PunktlighetRef)*Punktlighetkostnader_TilleggDrift)</f>
        <v>0</v>
      </c>
      <c r="S37" s="463">
        <f>IF(PunktlighetRef="",0,SUM(S31:S32)*-LN(PunktlighetRef)*Punktlighetkostnader_TilleggDrift)</f>
        <v>0</v>
      </c>
      <c r="T37" s="77"/>
      <c r="U37" s="463">
        <f>IF(PunktlighetTiltak="",0,SUM(U31:U32)*-LN(PunktlighetTiltak)*Punktlighetkostnader_TilleggDrift)</f>
        <v>0</v>
      </c>
      <c r="V37" s="463">
        <f>IF(PunktlighetTiltak="",0,SUM(V31:V32)*-LN(PunktlighetTiltak)*Punktlighetkostnader_TilleggDrift)</f>
        <v>0</v>
      </c>
      <c r="W37" s="463">
        <f>IF(PunktlighetTiltak="",0,SUM(W31:W32)*-LN(PunktlighetTiltak)*Punktlighetkostnader_TilleggDrift)</f>
        <v>0</v>
      </c>
      <c r="X37" s="26"/>
      <c r="Y37" s="463">
        <f>IF(PunktlighetTiltak="",0,SUM(Y31:Y32)*-LN(PunktlighetTiltak)*Punktlighetkostnader_TilleggDrift)</f>
        <v>0</v>
      </c>
      <c r="Z37" s="463">
        <f>IF(PunktlighetTiltak="",0,SUM(Z31:Z32)*-LN(PunktlighetTiltak)*Punktlighetkostnader_TilleggDrift)</f>
        <v>0</v>
      </c>
      <c r="AA37" s="463">
        <f>IF(PunktlighetTiltak="",0,SUM(AA31:AA32)*-LN(PunktlighetTiltak)*Punktlighetkostnader_TilleggDrift)</f>
        <v>0</v>
      </c>
      <c r="AB37" s="346" t="s">
        <v>840</v>
      </c>
      <c r="AC37" s="6"/>
      <c r="AD37" s="212" t="s">
        <v>1238</v>
      </c>
      <c r="AE37" s="463">
        <f>IF(PunktlighetRef="",0,SUM(AE31:AE32)*-LN(PunktlighetRef)*Punktlighetkostnader_TilleggDrift)</f>
        <v>0</v>
      </c>
      <c r="AF37" s="463">
        <f>IF(PunktlighetRef="",0,SUM(AF31:AF32)*-LN(PunktlighetRef)*Punktlighetkostnader_TilleggDrift)</f>
        <v>0</v>
      </c>
      <c r="AG37" s="463">
        <f>IF(PunktlighetRef="",0,SUM(AG31:AG32)*-LN(PunktlighetRef)*Punktlighetkostnader_TilleggDrift)</f>
        <v>0</v>
      </c>
      <c r="AH37" s="77"/>
      <c r="AI37" s="463">
        <f>IF(PunktlighetTiltak="",0,SUM(AI31:AI32)*-LN(PunktlighetTiltak)*Punktlighetkostnader_TilleggDrift)</f>
        <v>0</v>
      </c>
      <c r="AJ37" s="463">
        <f>IF(PunktlighetTiltak="",0,SUM(AJ31:AJ32)*-LN(PunktlighetTiltak)*Punktlighetkostnader_TilleggDrift)</f>
        <v>0</v>
      </c>
      <c r="AK37" s="463">
        <f>IF(PunktlighetTiltak="",0,SUM(AK31:AK32)*-LN(PunktlighetTiltak)*Punktlighetkostnader_TilleggDrift)</f>
        <v>0</v>
      </c>
      <c r="AL37" s="26"/>
      <c r="AM37" s="463">
        <f>IF(PunktlighetTiltak="",0,SUM(AM31:AM32)*-LN(PunktlighetTiltak)*Punktlighetkostnader_TilleggDrift)</f>
        <v>0</v>
      </c>
      <c r="AN37" s="463">
        <f>IF(PunktlighetTiltak="",0,SUM(AN31:AN32)*-LN(PunktlighetTiltak)*Punktlighetkostnader_TilleggDrift)</f>
        <v>0</v>
      </c>
      <c r="AO37" s="463">
        <f>IF(PunktlighetTiltak="",0,SUM(AO31:AO32)*-LN(PunktlighetTiltak)*Punktlighetkostnader_TilleggDrift)</f>
        <v>0</v>
      </c>
      <c r="AP37" s="346" t="s">
        <v>840</v>
      </c>
    </row>
    <row r="38" spans="1:42" x14ac:dyDescent="0.35">
      <c r="B38" s="212" t="s">
        <v>1242</v>
      </c>
      <c r="C38" s="30">
        <f t="shared" ca="1" si="28"/>
        <v>0</v>
      </c>
      <c r="D38" s="30">
        <f t="shared" ca="1" si="24"/>
        <v>0</v>
      </c>
      <c r="E38" s="30">
        <f t="shared" ca="1" si="24"/>
        <v>0</v>
      </c>
      <c r="F38" s="77"/>
      <c r="G38" s="30">
        <f t="shared" ca="1" si="29"/>
        <v>0</v>
      </c>
      <c r="H38" s="30">
        <f t="shared" ca="1" si="25"/>
        <v>0</v>
      </c>
      <c r="I38" s="30">
        <f t="shared" ca="1" si="26"/>
        <v>0</v>
      </c>
      <c r="J38" s="26"/>
      <c r="K38" s="30">
        <f t="shared" ca="1" si="30"/>
        <v>0</v>
      </c>
      <c r="L38" s="30">
        <f t="shared" ca="1" si="31"/>
        <v>0</v>
      </c>
      <c r="M38" s="30">
        <f t="shared" ca="1" si="32"/>
        <v>0</v>
      </c>
      <c r="N38" s="346" t="s">
        <v>840</v>
      </c>
      <c r="O38" s="6"/>
      <c r="P38" s="212" t="s">
        <v>1242</v>
      </c>
      <c r="Q38" s="463">
        <f ca="1">SUM(Q31:Q37)*Admkostnader_TilleggDrift+Q17*Admkostnader_TilleggInntekter</f>
        <v>0</v>
      </c>
      <c r="R38" s="463">
        <f ca="1">SUM(R31:R37)*Admkostnader_TilleggDrift+R17*Admkostnader_TilleggInntekter</f>
        <v>0</v>
      </c>
      <c r="S38" s="463">
        <f ca="1">SUM(S31:S37)*Admkostnader_TilleggDrift+S17*Admkostnader_TilleggInntekter</f>
        <v>0</v>
      </c>
      <c r="T38" s="77"/>
      <c r="U38" s="463">
        <f ca="1">SUM(U31:U37)*Admkostnader_TilleggDrift+U17*Admkostnader_TilleggInntekter</f>
        <v>0</v>
      </c>
      <c r="V38" s="463">
        <f ca="1">SUM(V31:V37)*Admkostnader_TilleggDrift+V17*Admkostnader_TilleggInntekter</f>
        <v>0</v>
      </c>
      <c r="W38" s="463">
        <f ca="1">SUM(W31:W37)*Admkostnader_TilleggDrift+W17*Admkostnader_TilleggInntekter</f>
        <v>0</v>
      </c>
      <c r="X38" s="26"/>
      <c r="Y38" s="463">
        <f ca="1">SUM(Y31:Y37)*Admkostnader_TilleggDrift+Y17*Admkostnader_TilleggInntekter</f>
        <v>0</v>
      </c>
      <c r="Z38" s="463">
        <f ca="1">SUM(Z31:Z37)*Admkostnader_TilleggDrift+Z17*Admkostnader_TilleggInntekter</f>
        <v>0</v>
      </c>
      <c r="AA38" s="463">
        <f ca="1">SUM(AA31:AA37)*Admkostnader_TilleggDrift+AA17*Admkostnader_TilleggInntekter</f>
        <v>0</v>
      </c>
      <c r="AB38" s="346" t="s">
        <v>840</v>
      </c>
      <c r="AC38" s="6"/>
      <c r="AD38" s="212" t="s">
        <v>1242</v>
      </c>
      <c r="AE38" s="463">
        <f ca="1">SUM(AE31:AE37)*Admkostnader_TilleggDrift+AE17*Admkostnader_TilleggInntekter</f>
        <v>0</v>
      </c>
      <c r="AF38" s="463">
        <f ca="1">SUM(AF31:AF37)*Admkostnader_TilleggDrift+AF17*Admkostnader_TilleggInntekter</f>
        <v>0</v>
      </c>
      <c r="AG38" s="463">
        <f ca="1">SUM(AG31:AG37)*Admkostnader_TilleggDrift+AG17*Admkostnader_TilleggInntekter</f>
        <v>0</v>
      </c>
      <c r="AH38" s="77"/>
      <c r="AI38" s="463">
        <f ca="1">SUM(AI31:AI37)*Admkostnader_TilleggDrift+AI17*Admkostnader_TilleggInntekter</f>
        <v>0</v>
      </c>
      <c r="AJ38" s="463">
        <f ca="1">SUM(AJ31:AJ37)*Admkostnader_TilleggDrift+AJ17*Admkostnader_TilleggInntekter</f>
        <v>0</v>
      </c>
      <c r="AK38" s="463">
        <f ca="1">SUM(AK31:AK37)*Admkostnader_TilleggDrift+AK17*Admkostnader_TilleggInntekter</f>
        <v>0</v>
      </c>
      <c r="AL38" s="26"/>
      <c r="AM38" s="463">
        <f ca="1">SUM(AM31:AM37)*Admkostnader_TilleggDrift+AM17*Admkostnader_TilleggInntekter</f>
        <v>0</v>
      </c>
      <c r="AN38" s="463">
        <f ca="1">SUM(AN31:AN37)*Admkostnader_TilleggDrift+AN17*Admkostnader_TilleggInntekter</f>
        <v>0</v>
      </c>
      <c r="AO38" s="463">
        <f ca="1">SUM(AO31:AO37)*Admkostnader_TilleggDrift+AO17*Admkostnader_TilleggInntekter</f>
        <v>0</v>
      </c>
      <c r="AP38" s="346" t="s">
        <v>840</v>
      </c>
    </row>
    <row r="39" spans="1:42" x14ac:dyDescent="0.35">
      <c r="B39" s="212" t="s">
        <v>1535</v>
      </c>
      <c r="C39" s="30">
        <f t="shared" si="28"/>
        <v>0</v>
      </c>
      <c r="D39" s="30">
        <f t="shared" si="24"/>
        <v>0</v>
      </c>
      <c r="E39" s="30">
        <f t="shared" si="24"/>
        <v>0</v>
      </c>
      <c r="F39" s="77"/>
      <c r="G39" s="30">
        <f t="shared" si="29"/>
        <v>0</v>
      </c>
      <c r="H39" s="30">
        <f t="shared" si="25"/>
        <v>0</v>
      </c>
      <c r="I39" s="30">
        <f t="shared" si="26"/>
        <v>0</v>
      </c>
      <c r="J39" s="26"/>
      <c r="K39" s="30">
        <f t="shared" si="30"/>
        <v>0</v>
      </c>
      <c r="L39" s="30">
        <f t="shared" si="31"/>
        <v>0</v>
      </c>
      <c r="M39" s="30">
        <f t="shared" si="32"/>
        <v>0</v>
      </c>
      <c r="N39" s="346" t="s">
        <v>840</v>
      </c>
      <c r="P39" s="212" t="s">
        <v>1535</v>
      </c>
      <c r="Q39" s="1197"/>
      <c r="R39" s="1197"/>
      <c r="S39" s="1197"/>
      <c r="T39" s="77"/>
      <c r="U39" s="1197"/>
      <c r="V39" s="1197"/>
      <c r="W39" s="1197"/>
      <c r="X39" s="26"/>
      <c r="Y39" s="75">
        <f>U39-Q39</f>
        <v>0</v>
      </c>
      <c r="Z39" s="75">
        <f t="shared" ref="Z39" si="39">V39-R39</f>
        <v>0</v>
      </c>
      <c r="AA39" s="75">
        <f t="shared" ref="AA39" si="40">W39-S39</f>
        <v>0</v>
      </c>
      <c r="AB39" s="346" t="s">
        <v>840</v>
      </c>
      <c r="AD39" s="212" t="s">
        <v>1535</v>
      </c>
      <c r="AE39" s="1197"/>
      <c r="AF39" s="1197"/>
      <c r="AG39" s="1197"/>
      <c r="AH39" s="77"/>
      <c r="AI39" s="1197"/>
      <c r="AJ39" s="1197"/>
      <c r="AK39" s="1197"/>
      <c r="AL39" s="26"/>
      <c r="AM39" s="75">
        <f>AI39-AE39</f>
        <v>0</v>
      </c>
      <c r="AN39" s="75">
        <f t="shared" ref="AN39" si="41">AJ39-AF39</f>
        <v>0</v>
      </c>
      <c r="AO39" s="75">
        <f t="shared" ref="AO39" si="42">AK39-AG39</f>
        <v>0</v>
      </c>
      <c r="AP39" s="346" t="s">
        <v>840</v>
      </c>
    </row>
    <row r="40" spans="1:42" x14ac:dyDescent="0.35">
      <c r="B40" s="314" t="s">
        <v>1536</v>
      </c>
      <c r="C40" s="733">
        <f ca="1">SUM(C31:C39)</f>
        <v>0</v>
      </c>
      <c r="D40" s="733">
        <f ca="1">SUM(D31:D39)</f>
        <v>0</v>
      </c>
      <c r="E40" s="733">
        <f ca="1">SUM(E31:E39)</f>
        <v>0</v>
      </c>
      <c r="F40" s="77"/>
      <c r="G40" s="733">
        <f ca="1">SUM(G31:G39)</f>
        <v>0</v>
      </c>
      <c r="H40" s="733">
        <f ca="1">SUM(H31:H39)</f>
        <v>0</v>
      </c>
      <c r="I40" s="733">
        <f ca="1">SUM(I31:I39)</f>
        <v>0</v>
      </c>
      <c r="J40" s="26"/>
      <c r="K40" s="770">
        <f ca="1">SUM(K31:K39)</f>
        <v>0</v>
      </c>
      <c r="L40" s="770">
        <f ca="1">SUM(L31:L39)</f>
        <v>0</v>
      </c>
      <c r="M40" s="770">
        <f ca="1">SUM(M31:M39)</f>
        <v>0</v>
      </c>
      <c r="N40" s="346" t="s">
        <v>840</v>
      </c>
      <c r="O40" s="6"/>
      <c r="P40" s="314" t="s">
        <v>1536</v>
      </c>
      <c r="Q40" s="733">
        <f ca="1">SUM(Q31:Q39)</f>
        <v>0</v>
      </c>
      <c r="R40" s="733">
        <f ca="1">SUM(R31:R39)</f>
        <v>0</v>
      </c>
      <c r="S40" s="733">
        <f ca="1">SUM(S31:S39)</f>
        <v>0</v>
      </c>
      <c r="T40" s="77"/>
      <c r="U40" s="733">
        <f ca="1">SUM(U31:U39)</f>
        <v>0</v>
      </c>
      <c r="V40" s="733">
        <f ca="1">SUM(V31:V39)</f>
        <v>0</v>
      </c>
      <c r="W40" s="733">
        <f ca="1">SUM(W31:W39)</f>
        <v>0</v>
      </c>
      <c r="X40" s="26"/>
      <c r="Y40" s="770">
        <f ca="1">SUM(Y31:Y39)</f>
        <v>0</v>
      </c>
      <c r="Z40" s="770">
        <f ca="1">SUM(Z31:Z39)</f>
        <v>0</v>
      </c>
      <c r="AA40" s="770">
        <f ca="1">SUM(AA31:AA39)</f>
        <v>0</v>
      </c>
      <c r="AB40" s="346" t="s">
        <v>840</v>
      </c>
      <c r="AC40" s="6"/>
      <c r="AD40" s="314" t="s">
        <v>1536</v>
      </c>
      <c r="AE40" s="733">
        <f ca="1">SUM(AE31:AE39)</f>
        <v>0</v>
      </c>
      <c r="AF40" s="733">
        <f ca="1">SUM(AF31:AF39)</f>
        <v>0</v>
      </c>
      <c r="AG40" s="733">
        <f ca="1">SUM(AG31:AG39)</f>
        <v>0</v>
      </c>
      <c r="AH40" s="77"/>
      <c r="AI40" s="733">
        <f ca="1">SUM(AI31:AI39)</f>
        <v>0</v>
      </c>
      <c r="AJ40" s="733">
        <f ca="1">SUM(AJ31:AJ39)</f>
        <v>0</v>
      </c>
      <c r="AK40" s="733">
        <f ca="1">SUM(AK31:AK39)</f>
        <v>0</v>
      </c>
      <c r="AL40" s="26"/>
      <c r="AM40" s="770">
        <f ca="1">SUM(AM31:AM39)</f>
        <v>0</v>
      </c>
      <c r="AN40" s="770">
        <f ca="1">SUM(AN31:AN39)</f>
        <v>0</v>
      </c>
      <c r="AO40" s="770">
        <f ca="1">SUM(AO31:AO39)</f>
        <v>0</v>
      </c>
      <c r="AP40" s="346" t="s">
        <v>840</v>
      </c>
    </row>
    <row r="41" spans="1:42" x14ac:dyDescent="0.35">
      <c r="B41" s="212" t="s">
        <v>1537</v>
      </c>
      <c r="C41" s="29">
        <f>Q41+AE41</f>
        <v>0</v>
      </c>
      <c r="D41" s="29">
        <f t="shared" ref="D41:E44" si="43">R41+AF41</f>
        <v>0</v>
      </c>
      <c r="E41" s="29">
        <f t="shared" si="43"/>
        <v>0</v>
      </c>
      <c r="F41" s="79"/>
      <c r="G41" s="29">
        <f>U41+AI41</f>
        <v>0</v>
      </c>
      <c r="H41" s="29">
        <f t="shared" ref="H41:H44" si="44">V41+AJ41</f>
        <v>0</v>
      </c>
      <c r="I41" s="29">
        <f t="shared" ref="I41:K45" si="45">W41+AK41</f>
        <v>0</v>
      </c>
      <c r="J41" s="80"/>
      <c r="K41" s="29">
        <f t="shared" si="45"/>
        <v>0</v>
      </c>
      <c r="L41" s="29">
        <f t="shared" ref="L41:L45" si="46">Z41+AN41</f>
        <v>0</v>
      </c>
      <c r="M41" s="29">
        <f t="shared" ref="M41:M45" si="47">AA41+AO41</f>
        <v>0</v>
      </c>
      <c r="N41" s="346" t="s">
        <v>840</v>
      </c>
      <c r="P41" s="212" t="s">
        <v>1537</v>
      </c>
      <c r="Q41" s="733">
        <f>Q21*AvgifterTilStaten_TogEL/1000000</f>
        <v>0</v>
      </c>
      <c r="R41" s="733">
        <f>R21*AvgifterTilStaten_TogEL/1000000</f>
        <v>0</v>
      </c>
      <c r="S41" s="733">
        <f>S21*AvgifterTilStaten_TogEL/1000000</f>
        <v>0</v>
      </c>
      <c r="T41" s="79"/>
      <c r="U41" s="733">
        <f>U21*AvgifterTilStaten_TogEL/1000000</f>
        <v>0</v>
      </c>
      <c r="V41" s="733">
        <f>V21*AvgifterTilStaten_TogEL/1000000</f>
        <v>0</v>
      </c>
      <c r="W41" s="733">
        <f>W21*AvgifterTilStaten_TogEL/1000000</f>
        <v>0</v>
      </c>
      <c r="X41" s="80"/>
      <c r="Y41" s="733">
        <f>Y21*AvgifterTilStaten_TogEL/1000000</f>
        <v>0</v>
      </c>
      <c r="Z41" s="733">
        <f>Z21*AvgifterTilStaten_TogEL/1000000</f>
        <v>0</v>
      </c>
      <c r="AA41" s="733">
        <f>AA21*AvgifterTilStaten_TogEL/1000000</f>
        <v>0</v>
      </c>
      <c r="AB41" s="346" t="s">
        <v>840</v>
      </c>
      <c r="AD41" s="212" t="s">
        <v>1537</v>
      </c>
      <c r="AE41" s="733">
        <f>AE21*AvgifterTilStaten_TogEL/1000000</f>
        <v>0</v>
      </c>
      <c r="AF41" s="733">
        <f>AF21*AvgifterTilStaten_TogEL/1000000</f>
        <v>0</v>
      </c>
      <c r="AG41" s="733">
        <f>AG21*AvgifterTilStaten_TogEL/1000000</f>
        <v>0</v>
      </c>
      <c r="AH41" s="79"/>
      <c r="AI41" s="733">
        <f>AI21*AvgifterTilStaten_TogEL/1000000</f>
        <v>0</v>
      </c>
      <c r="AJ41" s="733">
        <f>AJ21*AvgifterTilStaten_TogEL/1000000</f>
        <v>0</v>
      </c>
      <c r="AK41" s="733">
        <f>AK21*AvgifterTilStaten_TogEL/1000000</f>
        <v>0</v>
      </c>
      <c r="AL41" s="80"/>
      <c r="AM41" s="733">
        <f>AM21*AvgifterTilStaten_TogEL/1000000</f>
        <v>0</v>
      </c>
      <c r="AN41" s="733">
        <f>AN21*AvgifterTilStaten_TogEL/1000000</f>
        <v>0</v>
      </c>
      <c r="AO41" s="733">
        <f>AO21*AvgifterTilStaten_TogEL/1000000</f>
        <v>0</v>
      </c>
      <c r="AP41" s="346" t="s">
        <v>840</v>
      </c>
    </row>
    <row r="42" spans="1:42" x14ac:dyDescent="0.35">
      <c r="B42" s="212" t="s">
        <v>1538</v>
      </c>
      <c r="C42" s="29">
        <f t="shared" ref="C42:C44" si="48">Q42+AE42</f>
        <v>0</v>
      </c>
      <c r="D42" s="29">
        <f t="shared" si="43"/>
        <v>0</v>
      </c>
      <c r="E42" s="29">
        <f t="shared" si="43"/>
        <v>0</v>
      </c>
      <c r="F42" s="79"/>
      <c r="G42" s="29">
        <f t="shared" ref="G42:G44" si="49">U42+AI42</f>
        <v>0</v>
      </c>
      <c r="H42" s="29">
        <f t="shared" si="44"/>
        <v>0</v>
      </c>
      <c r="I42" s="29">
        <f t="shared" si="45"/>
        <v>0</v>
      </c>
      <c r="J42" s="80"/>
      <c r="K42" s="29">
        <f t="shared" si="45"/>
        <v>0</v>
      </c>
      <c r="L42" s="29">
        <f t="shared" si="46"/>
        <v>0</v>
      </c>
      <c r="M42" s="29">
        <f t="shared" si="47"/>
        <v>0</v>
      </c>
      <c r="N42" s="346" t="s">
        <v>840</v>
      </c>
      <c r="P42" s="212" t="s">
        <v>1538</v>
      </c>
      <c r="Q42" s="733">
        <f>Q22*AvgifterTilStaten_TogD/1000000</f>
        <v>0</v>
      </c>
      <c r="R42" s="733">
        <f>R22*AvgifterTilStaten_TogD/1000000</f>
        <v>0</v>
      </c>
      <c r="S42" s="733">
        <f>S22*AvgifterTilStaten_TogD/1000000</f>
        <v>0</v>
      </c>
      <c r="T42" s="79"/>
      <c r="U42" s="733">
        <f>U22*AvgifterTilStaten_TogD/1000000</f>
        <v>0</v>
      </c>
      <c r="V42" s="733">
        <f>V22*AvgifterTilStaten_TogD/1000000</f>
        <v>0</v>
      </c>
      <c r="W42" s="733">
        <f>W22*AvgifterTilStaten_TogD/1000000</f>
        <v>0</v>
      </c>
      <c r="X42" s="80"/>
      <c r="Y42" s="733">
        <f>Y22*AvgifterTilStaten_TogD/1000000</f>
        <v>0</v>
      </c>
      <c r="Z42" s="733">
        <f>Z22*AvgifterTilStaten_TogD/1000000</f>
        <v>0</v>
      </c>
      <c r="AA42" s="733">
        <f>AA22*AvgifterTilStaten_TogD/1000000</f>
        <v>0</v>
      </c>
      <c r="AB42" s="346" t="s">
        <v>840</v>
      </c>
      <c r="AD42" s="212" t="s">
        <v>1538</v>
      </c>
      <c r="AE42" s="733">
        <f>AE22*AvgifterTilStaten_TogD/1000000</f>
        <v>0</v>
      </c>
      <c r="AF42" s="733">
        <f>AF22*AvgifterTilStaten_TogD/1000000</f>
        <v>0</v>
      </c>
      <c r="AG42" s="733">
        <f>AG22*AvgifterTilStaten_TogD/1000000</f>
        <v>0</v>
      </c>
      <c r="AH42" s="79"/>
      <c r="AI42" s="733">
        <f>AI22*AvgifterTilStaten_TogD/1000000</f>
        <v>0</v>
      </c>
      <c r="AJ42" s="733">
        <f>AJ22*AvgifterTilStaten_TogD/1000000</f>
        <v>0</v>
      </c>
      <c r="AK42" s="733">
        <f>AK22*AvgifterTilStaten_TogD/1000000</f>
        <v>0</v>
      </c>
      <c r="AL42" s="80"/>
      <c r="AM42" s="733">
        <f>AM22*AvgifterTilStaten_TogD/1000000</f>
        <v>0</v>
      </c>
      <c r="AN42" s="733">
        <f>AN22*AvgifterTilStaten_TogD/1000000</f>
        <v>0</v>
      </c>
      <c r="AO42" s="733">
        <f>AO22*AvgifterTilStaten_TogD/1000000</f>
        <v>0</v>
      </c>
      <c r="AP42" s="346" t="s">
        <v>840</v>
      </c>
    </row>
    <row r="43" spans="1:42" x14ac:dyDescent="0.35">
      <c r="B43" s="212" t="s">
        <v>1539</v>
      </c>
      <c r="C43" s="29">
        <f t="shared" si="48"/>
        <v>0</v>
      </c>
      <c r="D43" s="29">
        <f t="shared" si="43"/>
        <v>0</v>
      </c>
      <c r="E43" s="29">
        <f t="shared" si="43"/>
        <v>0</v>
      </c>
      <c r="F43" s="79"/>
      <c r="G43" s="29">
        <f t="shared" si="49"/>
        <v>0</v>
      </c>
      <c r="H43" s="29">
        <f t="shared" si="44"/>
        <v>0</v>
      </c>
      <c r="I43" s="29">
        <f t="shared" si="45"/>
        <v>0</v>
      </c>
      <c r="J43" s="80"/>
      <c r="K43" s="29">
        <f t="shared" si="45"/>
        <v>0</v>
      </c>
      <c r="L43" s="29">
        <f t="shared" si="46"/>
        <v>0</v>
      </c>
      <c r="M43" s="29">
        <f t="shared" si="47"/>
        <v>0</v>
      </c>
      <c r="N43" s="346" t="s">
        <v>840</v>
      </c>
      <c r="P43" s="212" t="s">
        <v>1539</v>
      </c>
      <c r="Q43" s="733">
        <f>IFERROR(Q22*LOOKUP(FørsteBeregningsår,SerieÅR,SerieCO2avgift_PersontogD)/1000000,0)</f>
        <v>0</v>
      </c>
      <c r="R43" s="733">
        <f>IFERROR(R22*LOOKUP(AndreBeregningsår,SerieÅR,SerieCO2avgift_PersontogD)/1000000,0)</f>
        <v>0</v>
      </c>
      <c r="S43" s="733">
        <f>IFERROR(S22*LOOKUP(TredjeBeregningsår,SerieÅR,SerieCO2avgift_PersontogD)/1000000,0)</f>
        <v>0</v>
      </c>
      <c r="T43" s="79"/>
      <c r="U43" s="733">
        <f>IFERROR(U22*LOOKUP(FørsteBeregningsår,SerieÅR,SerieCO2avgift_PersontogD)/1000000,0)</f>
        <v>0</v>
      </c>
      <c r="V43" s="733">
        <f>IFERROR(V22*LOOKUP(AndreBeregningsår,SerieÅR,SerieCO2avgift_PersontogD)/1000000,0)</f>
        <v>0</v>
      </c>
      <c r="W43" s="733">
        <f>IFERROR(W22*LOOKUP(TredjeBeregningsår,SerieÅR,SerieCO2avgift_PersontogD)/1000000,0)</f>
        <v>0</v>
      </c>
      <c r="X43" s="80"/>
      <c r="Y43" s="733">
        <f>IFERROR(Y22*LOOKUP(FørsteBeregningsår,SerieÅR,SerieCO2avgift_PersontogD)/1000000,0)</f>
        <v>0</v>
      </c>
      <c r="Z43" s="733">
        <f>IFERROR(Z22*LOOKUP(AndreBeregningsår,SerieÅR,SerieCO2avgift_PersontogD)/1000000,0)</f>
        <v>0</v>
      </c>
      <c r="AA43" s="733">
        <f>IFERROR(AA22*LOOKUP(TredjeBeregningsår,SerieÅR,SerieCO2avgift_PersontogD)/1000000,0)</f>
        <v>0</v>
      </c>
      <c r="AB43" s="346" t="s">
        <v>840</v>
      </c>
      <c r="AD43" s="212" t="s">
        <v>1539</v>
      </c>
      <c r="AE43" s="733">
        <f>IFERROR(AE22*LOOKUP(FørsteBeregningsår,SerieÅR,SerieCO2avgift_PersontogD)/1000000,0)</f>
        <v>0</v>
      </c>
      <c r="AF43" s="733">
        <f>IFERROR(AF22*LOOKUP(AndreBeregningsår,SerieÅR,SerieCO2avgift_PersontogD)/1000000,0)</f>
        <v>0</v>
      </c>
      <c r="AG43" s="733">
        <f>IFERROR(AG22*LOOKUP(TredjeBeregningsår,SerieÅR,SerieCO2avgift_PersontogD)/1000000,0)</f>
        <v>0</v>
      </c>
      <c r="AH43" s="79"/>
      <c r="AI43" s="733">
        <f>IFERROR(AI22*LOOKUP(FørsteBeregningsår,SerieÅR,SerieCO2avgift_PersontogD)/1000000,0)</f>
        <v>0</v>
      </c>
      <c r="AJ43" s="733">
        <f>IFERROR(AJ22*LOOKUP(AndreBeregningsår,SerieÅR,SerieCO2avgift_PersontogD)/1000000,0)</f>
        <v>0</v>
      </c>
      <c r="AK43" s="733">
        <f>IFERROR(AK22*LOOKUP(TredjeBeregningsår,SerieÅR,SerieCO2avgift_PersontogD)/1000000,0)</f>
        <v>0</v>
      </c>
      <c r="AL43" s="80"/>
      <c r="AM43" s="733">
        <f>IFERROR(AM22*LOOKUP(FørsteBeregningsår,SerieÅR,SerieCO2avgift_PersontogD)/1000000,0)</f>
        <v>0</v>
      </c>
      <c r="AN43" s="733">
        <f>IFERROR(AN22*LOOKUP(AndreBeregningsår,SerieÅR,SerieCO2avgift_PersontogD)/1000000,0)</f>
        <v>0</v>
      </c>
      <c r="AO43" s="733">
        <f>IFERROR(AO22*LOOKUP(TredjeBeregningsår,SerieÅR,SerieCO2avgift_PersontogD)/1000000,0)</f>
        <v>0</v>
      </c>
      <c r="AP43" s="346" t="s">
        <v>840</v>
      </c>
    </row>
    <row r="44" spans="1:42" x14ac:dyDescent="0.35">
      <c r="B44" s="212" t="s">
        <v>1540</v>
      </c>
      <c r="C44" s="30">
        <f t="shared" ca="1" si="48"/>
        <v>0</v>
      </c>
      <c r="D44" s="30">
        <f t="shared" ca="1" si="43"/>
        <v>0</v>
      </c>
      <c r="E44" s="30">
        <f t="shared" ca="1" si="43"/>
        <v>0</v>
      </c>
      <c r="F44" s="413"/>
      <c r="G44" s="30">
        <f t="shared" ca="1" si="49"/>
        <v>0</v>
      </c>
      <c r="H44" s="30">
        <f t="shared" ca="1" si="44"/>
        <v>0</v>
      </c>
      <c r="I44" s="30">
        <f t="shared" ca="1" si="45"/>
        <v>0</v>
      </c>
      <c r="J44" s="81"/>
      <c r="K44" s="30">
        <f t="shared" ca="1" si="45"/>
        <v>0</v>
      </c>
      <c r="L44" s="30">
        <f t="shared" ca="1" si="46"/>
        <v>0</v>
      </c>
      <c r="M44" s="30">
        <f t="shared" ca="1" si="47"/>
        <v>0</v>
      </c>
      <c r="N44" s="346" t="s">
        <v>840</v>
      </c>
      <c r="O44" s="6"/>
      <c r="P44" s="212" t="s">
        <v>1540</v>
      </c>
      <c r="Q44" s="779">
        <f ca="1">IF(OR(Togtype_Ref="-",Togtype_Ref="Godstog"),,Q26*CRF_Faktor*IF(OR(Togtype_Ref="EL18",Togtype_Ref="Di4"),((INDIRECT("KostnadPrSett_"&amp;Togtype_Ref)+(Vogner_Ref*KostnadPrSett_sittevogn))),INDIRECT("KostnadPrSett_"&amp;Togtype_Ref)))</f>
        <v>0</v>
      </c>
      <c r="R44" s="779">
        <f ca="1">IF(OR(Togtype_Ref="-",Togtype_Ref="Godstog"),,R26*CRF_Faktor*IF(OR(Togtype_Ref="EL18",Togtype_Ref="Di4"),((INDIRECT("KostnadPrSett_"&amp;Togtype_Ref)+(Vogner_Ref*KostnadPrSett_sittevogn))),INDIRECT("KostnadPrSett_"&amp;Togtype_Ref)))</f>
        <v>0</v>
      </c>
      <c r="S44" s="779">
        <f ca="1">IF(OR(Togtype_Ref="-",Togtype_Ref="Godstog"),,S26*CRF_Faktor*IF(OR(Togtype_Ref="EL18",Togtype_Ref="Di4"),((INDIRECT("KostnadPrSett_"&amp;Togtype_Ref)+(Vogner_Ref*KostnadPrSett_sittevogn))),INDIRECT("KostnadPrSett_"&amp;Togtype_Ref)))</f>
        <v>0</v>
      </c>
      <c r="T44" s="413"/>
      <c r="U44" s="779">
        <f ca="1">IF(OR(Togtype_Tiltak="-",Togtype_Tiltak="Godstog"),,U26*CRF_Faktor*IF(OR(Togtype_Tiltak="EL18",Togtype_Tiltak="Di4"),((INDIRECT("KostnadPrSett_"&amp;Togtype_Tiltak)+(Vogner_Tiltak*KostnadPrSett_sittevogn))),INDIRECT("KostnadPrSett_"&amp;Togtype_Tiltak)))</f>
        <v>0</v>
      </c>
      <c r="V44" s="779">
        <f ca="1">IF(OR(Togtype_Tiltak="-",Togtype_Tiltak="Godstog"),,V26*CRF_Faktor*IF(OR(Togtype_Tiltak="EL18",Togtype_Tiltak="Di4"),((INDIRECT("KostnadPrSett_"&amp;Togtype_Tiltak)+(Vogner_Tiltak*KostnadPrSett_sittevogn))),INDIRECT("KostnadPrSett_"&amp;Togtype_Tiltak)))</f>
        <v>0</v>
      </c>
      <c r="W44" s="779">
        <f ca="1">IF(OR(Togtype_Tiltak="-",Togtype_Tiltak="Godstog"),,W26*CRF_Faktor*IF(OR(Togtype_Tiltak="EL18",Togtype_Tiltak="Di4"),((INDIRECT("KostnadPrSett_"&amp;Togtype_Tiltak)+(Vogner_Tiltak*KostnadPrSett_sittevogn))),INDIRECT("KostnadPrSett_"&amp;Togtype_Tiltak)))</f>
        <v>0</v>
      </c>
      <c r="X44" s="81"/>
      <c r="Y44" s="779">
        <f ca="1">(U44-Q44)</f>
        <v>0</v>
      </c>
      <c r="Z44" s="779">
        <f ca="1">(V44-R44)</f>
        <v>0</v>
      </c>
      <c r="AA44" s="779">
        <f ca="1">(W44-S44)</f>
        <v>0</v>
      </c>
      <c r="AB44" s="346" t="s">
        <v>840</v>
      </c>
      <c r="AC44" s="6"/>
      <c r="AD44" s="212" t="s">
        <v>1540</v>
      </c>
      <c r="AE44" s="779">
        <f ca="1">IF(OR(Togtype_Ref_2="-",Togtype_Ref_2="Godstog"),,AE26*CRF_Faktor*IF(OR(Togtype_Ref_2="EL18",Togtype_Ref_2="Di4"),((INDIRECT("KostnadPrSett_"&amp;Togtype_Ref_2)+(Vogner_Ref_2*KostnadPrSett_sittevogn))),INDIRECT("KostnadPrSett_"&amp;Togtype_Ref_2)))</f>
        <v>0</v>
      </c>
      <c r="AF44" s="779">
        <f ca="1">IF(OR(Togtype_Ref_2="-",Togtype_Ref_2="Godstog"),,AF26*CRF_Faktor*IF(OR(Togtype_Ref_2="EL18",Togtype_Ref_2="Di4"),((INDIRECT("KostnadPrSett_"&amp;Togtype_Ref_2)+(Vogner_Ref_2*KostnadPrSett_sittevogn))),INDIRECT("KostnadPrSett_"&amp;Togtype_Ref_2)))</f>
        <v>0</v>
      </c>
      <c r="AG44" s="779">
        <f ca="1">IF(OR(Togtype_Ref_2="-",Togtype_Ref_2="Godstog"),,AG26*CRF_Faktor*IF(OR(Togtype_Ref_2="EL18",Togtype_Ref_2="Di4"),((INDIRECT("KostnadPrSett_"&amp;Togtype_Ref_2)+(Vogner_Ref_2*KostnadPrSett_sittevogn))),INDIRECT("KostnadPrSett_"&amp;Togtype_Ref_2)))</f>
        <v>0</v>
      </c>
      <c r="AH44" s="413"/>
      <c r="AI44" s="779">
        <f ca="1">IF(OR(Togtype_Tiltak_2="-",Togtype_Tiltak_2="Godstog"),,AI26*CRF_Faktor*IF(OR(Togtype_Tiltak_2="EL18",Togtype_Tiltak_2="Di4"),((INDIRECT("KostnadPrSett_"&amp;Togtype_Tiltak_2)+(Vogner_Tiltak_2*KostnadPrSett_sittevogn))),INDIRECT("KostnadPrSett_"&amp;Togtype_Tiltak_2)))</f>
        <v>0</v>
      </c>
      <c r="AJ44" s="779">
        <f ca="1">IF(OR(Togtype_Tiltak_2="-",Togtype_Tiltak_2="Godstog"),,AJ26*CRF_Faktor*IF(OR(Togtype_Tiltak_2="EL18",Togtype_Tiltak_2="Di4"),((INDIRECT("KostnadPrSett_"&amp;Togtype_Tiltak_2)+(Vogner_Tiltak_2*KostnadPrSett_sittevogn))),INDIRECT("KostnadPrSett_"&amp;Togtype_Tiltak_2)))</f>
        <v>0</v>
      </c>
      <c r="AK44" s="779">
        <f ca="1">IF(OR(Togtype_Tiltak_2="-",Togtype_Tiltak_2="Godstog"),,AK26*CRF_Faktor*IF(OR(Togtype_Tiltak_2="EL18",Togtype_Tiltak_2="Di4"),((INDIRECT("KostnadPrSett_"&amp;Togtype_Tiltak_2)+(Vogner_Tiltak_2*KostnadPrSett_sittevogn))),INDIRECT("KostnadPrSett_"&amp;Togtype_Tiltak_2)))</f>
        <v>0</v>
      </c>
      <c r="AL44" s="81"/>
      <c r="AM44" s="779">
        <f ca="1">(AI44-AE44)</f>
        <v>0</v>
      </c>
      <c r="AN44" s="779">
        <f ca="1">(AJ44-AF44)</f>
        <v>0</v>
      </c>
      <c r="AO44" s="779">
        <f ca="1">(AK44-AG44)</f>
        <v>0</v>
      </c>
      <c r="AP44" s="346" t="s">
        <v>840</v>
      </c>
    </row>
    <row r="45" spans="1:42" x14ac:dyDescent="0.35">
      <c r="B45" s="212" t="s">
        <v>1541</v>
      </c>
      <c r="C45" s="26"/>
      <c r="D45" s="26"/>
      <c r="E45" s="26"/>
      <c r="F45" s="77"/>
      <c r="G45" s="26"/>
      <c r="H45" s="26"/>
      <c r="I45" s="26"/>
      <c r="J45" s="26"/>
      <c r="K45" s="29">
        <f t="shared" si="45"/>
        <v>0</v>
      </c>
      <c r="L45" s="29">
        <f t="shared" si="46"/>
        <v>0</v>
      </c>
      <c r="M45" s="29">
        <f t="shared" si="47"/>
        <v>0</v>
      </c>
      <c r="N45" s="346" t="s">
        <v>840</v>
      </c>
      <c r="O45" s="6"/>
      <c r="P45" s="212" t="s">
        <v>1541</v>
      </c>
      <c r="Q45" s="1197"/>
      <c r="R45" s="1197"/>
      <c r="S45" s="1197"/>
      <c r="T45" s="77"/>
      <c r="U45" s="1197"/>
      <c r="V45" s="1197"/>
      <c r="W45" s="1197"/>
      <c r="X45" s="26"/>
      <c r="Y45" s="78">
        <f>U45-Q45</f>
        <v>0</v>
      </c>
      <c r="Z45" s="78">
        <f t="shared" ref="Z45" si="50">V45-R45</f>
        <v>0</v>
      </c>
      <c r="AA45" s="78">
        <f t="shared" ref="AA45" si="51">W45-S45</f>
        <v>0</v>
      </c>
      <c r="AB45" s="346" t="s">
        <v>840</v>
      </c>
      <c r="AC45" s="6"/>
      <c r="AD45" s="212" t="s">
        <v>1541</v>
      </c>
      <c r="AE45" s="1197"/>
      <c r="AF45" s="1197"/>
      <c r="AG45" s="1197"/>
      <c r="AH45" s="77"/>
      <c r="AI45" s="1197"/>
      <c r="AJ45" s="1197"/>
      <c r="AK45" s="1197"/>
      <c r="AL45" s="26"/>
      <c r="AM45" s="78">
        <f>AI45-AE45</f>
        <v>0</v>
      </c>
      <c r="AN45" s="78">
        <f t="shared" ref="AN45" si="52">AJ45-AF45</f>
        <v>0</v>
      </c>
      <c r="AO45" s="78">
        <f t="shared" ref="AO45" si="53">AK45-AG45</f>
        <v>0</v>
      </c>
      <c r="AP45" s="346" t="s">
        <v>840</v>
      </c>
    </row>
    <row r="46" spans="1:42" x14ac:dyDescent="0.35">
      <c r="B46" s="314" t="s">
        <v>1542</v>
      </c>
      <c r="C46" s="733">
        <f ca="1">SUM(C44:C45)</f>
        <v>0</v>
      </c>
      <c r="D46" s="733">
        <f ca="1">SUM(D44:D45)</f>
        <v>0</v>
      </c>
      <c r="E46" s="733">
        <f ca="1">SUM(E44:E45)</f>
        <v>0</v>
      </c>
      <c r="F46" s="77"/>
      <c r="G46" s="733">
        <f ca="1">SUM(G44:G45)</f>
        <v>0</v>
      </c>
      <c r="H46" s="733">
        <f ca="1">SUM(H44:H45)</f>
        <v>0</v>
      </c>
      <c r="I46" s="733">
        <f ca="1">SUM(I44:I45)</f>
        <v>0</v>
      </c>
      <c r="J46" s="26"/>
      <c r="K46" s="779">
        <f ca="1">SUM(K44:K45)</f>
        <v>0</v>
      </c>
      <c r="L46" s="779">
        <f ca="1">SUM(L44:L45)</f>
        <v>0</v>
      </c>
      <c r="M46" s="779">
        <f ca="1">SUM(M44:M45)</f>
        <v>0</v>
      </c>
      <c r="N46" s="346" t="s">
        <v>840</v>
      </c>
      <c r="O46" s="6"/>
      <c r="P46" s="314" t="s">
        <v>1542</v>
      </c>
      <c r="Q46" s="733">
        <f ca="1">SUM(Q44:Q45)</f>
        <v>0</v>
      </c>
      <c r="R46" s="733">
        <f ca="1">SUM(R44:R45)</f>
        <v>0</v>
      </c>
      <c r="S46" s="733">
        <f ca="1">SUM(S44:S45)</f>
        <v>0</v>
      </c>
      <c r="T46" s="77"/>
      <c r="U46" s="733">
        <f ca="1">SUM(U44:U45)</f>
        <v>0</v>
      </c>
      <c r="V46" s="733">
        <f ca="1">SUM(V44:V45)</f>
        <v>0</v>
      </c>
      <c r="W46" s="733">
        <f ca="1">SUM(W44:W45)</f>
        <v>0</v>
      </c>
      <c r="X46" s="26"/>
      <c r="Y46" s="779">
        <f ca="1">SUM(Y44:Y45)</f>
        <v>0</v>
      </c>
      <c r="Z46" s="779">
        <f ca="1">SUM(Z44:Z45)</f>
        <v>0</v>
      </c>
      <c r="AA46" s="779">
        <f ca="1">SUM(AA44:AA45)</f>
        <v>0</v>
      </c>
      <c r="AB46" s="346" t="s">
        <v>840</v>
      </c>
      <c r="AC46" s="6"/>
      <c r="AD46" s="314" t="s">
        <v>1542</v>
      </c>
      <c r="AE46" s="733">
        <f ca="1">SUM(AE44:AE45)</f>
        <v>0</v>
      </c>
      <c r="AF46" s="733">
        <f ca="1">SUM(AF44:AF45)</f>
        <v>0</v>
      </c>
      <c r="AG46" s="733">
        <f ca="1">SUM(AG44:AG45)</f>
        <v>0</v>
      </c>
      <c r="AH46" s="77"/>
      <c r="AI46" s="733">
        <f ca="1">SUM(AI44:AI45)</f>
        <v>0</v>
      </c>
      <c r="AJ46" s="733">
        <f ca="1">SUM(AJ44:AJ45)</f>
        <v>0</v>
      </c>
      <c r="AK46" s="733">
        <f ca="1">SUM(AK44:AK45)</f>
        <v>0</v>
      </c>
      <c r="AL46" s="26"/>
      <c r="AM46" s="779">
        <f ca="1">SUM(AM44:AM45)</f>
        <v>0</v>
      </c>
      <c r="AN46" s="779">
        <f ca="1">SUM(AN44:AN45)</f>
        <v>0</v>
      </c>
      <c r="AO46" s="779">
        <f ca="1">SUM(AO44:AO45)</f>
        <v>0</v>
      </c>
      <c r="AP46" s="346" t="s">
        <v>840</v>
      </c>
    </row>
    <row r="47" spans="1:42" ht="15" thickBot="1" x14ac:dyDescent="0.4">
      <c r="B47" s="314" t="s">
        <v>1543</v>
      </c>
      <c r="C47" s="733">
        <f ca="1">C40+SUM(C41:C42)+C46</f>
        <v>0</v>
      </c>
      <c r="D47" s="733">
        <f ca="1">D40+SUM(D41:D42)+D46</f>
        <v>0</v>
      </c>
      <c r="E47" s="733">
        <f ca="1">E40+SUM(E41:E42)+E46</f>
        <v>0</v>
      </c>
      <c r="F47" s="77"/>
      <c r="G47" s="733">
        <f ca="1">G40+SUM(G41:G42)+G46</f>
        <v>0</v>
      </c>
      <c r="H47" s="733">
        <f ca="1">H40+SUM(H41:H42)+H46</f>
        <v>0</v>
      </c>
      <c r="I47" s="733">
        <f ca="1">I40+SUM(I41:I42)+I46</f>
        <v>0</v>
      </c>
      <c r="J47" s="26"/>
      <c r="K47" s="770">
        <f ca="1">K40+SUM(K41:K42)+K46</f>
        <v>0</v>
      </c>
      <c r="L47" s="770">
        <f ca="1">L40+SUM(L41:L42)+L46</f>
        <v>0</v>
      </c>
      <c r="M47" s="770">
        <f ca="1">M40+SUM(M41:M42)+M46</f>
        <v>0</v>
      </c>
      <c r="N47" s="346" t="s">
        <v>840</v>
      </c>
      <c r="O47" s="6"/>
      <c r="P47" s="1184" t="s">
        <v>1543</v>
      </c>
      <c r="Q47" s="744">
        <f ca="1">Q40+SUM(Q41:Q42)+Q46</f>
        <v>0</v>
      </c>
      <c r="R47" s="744">
        <f ca="1">R40+SUM(R41:R42)+R46</f>
        <v>0</v>
      </c>
      <c r="S47" s="744">
        <f ca="1">S40+SUM(S41:S42)+S46</f>
        <v>0</v>
      </c>
      <c r="T47" s="1185"/>
      <c r="U47" s="744">
        <f ca="1">U40+SUM(U41:U42)+U46</f>
        <v>0</v>
      </c>
      <c r="V47" s="744">
        <f ca="1">V40+SUM(V41:V42)+V46</f>
        <v>0</v>
      </c>
      <c r="W47" s="744">
        <f ca="1">W40+SUM(W41:W42)+W46</f>
        <v>0</v>
      </c>
      <c r="X47" s="1186"/>
      <c r="Y47" s="1187">
        <f ca="1">Y40+SUM(Y41:Y42)+Y46</f>
        <v>0</v>
      </c>
      <c r="Z47" s="1187">
        <f ca="1">Z40+SUM(Z41:Z42)+Z46</f>
        <v>0</v>
      </c>
      <c r="AA47" s="1187">
        <f ca="1">AA40+SUM(AA41:AA42)+AA46</f>
        <v>0</v>
      </c>
      <c r="AB47" s="459" t="s">
        <v>840</v>
      </c>
      <c r="AC47" s="6"/>
      <c r="AD47" s="1184" t="s">
        <v>1543</v>
      </c>
      <c r="AE47" s="744">
        <f ca="1">AE40+SUM(AE41:AE42)+AE46</f>
        <v>0</v>
      </c>
      <c r="AF47" s="744">
        <f ca="1">AF40+SUM(AF41:AF42)+AF46</f>
        <v>0</v>
      </c>
      <c r="AG47" s="744">
        <f ca="1">AG40+SUM(AG41:AG42)+AG46</f>
        <v>0</v>
      </c>
      <c r="AH47" s="1185"/>
      <c r="AI47" s="744">
        <f ca="1">AI40+SUM(AI41:AI42)+AI46</f>
        <v>0</v>
      </c>
      <c r="AJ47" s="744">
        <f ca="1">AJ40+SUM(AJ41:AJ42)+AJ46</f>
        <v>0</v>
      </c>
      <c r="AK47" s="744">
        <f ca="1">AK40+SUM(AK41:AK42)+AK46</f>
        <v>0</v>
      </c>
      <c r="AL47" s="1186"/>
      <c r="AM47" s="1187">
        <f ca="1">AM40+SUM(AM41:AM42)+AM46</f>
        <v>0</v>
      </c>
      <c r="AN47" s="1187">
        <f ca="1">AN40+SUM(AN41:AN42)+AN46</f>
        <v>0</v>
      </c>
      <c r="AO47" s="1187">
        <f ca="1">AO40+SUM(AO41:AO42)+AO46</f>
        <v>0</v>
      </c>
      <c r="AP47" s="459" t="s">
        <v>840</v>
      </c>
    </row>
    <row r="48" spans="1:42" ht="18.5" x14ac:dyDescent="0.45">
      <c r="B48" s="343" t="s">
        <v>1189</v>
      </c>
      <c r="C48" s="48"/>
      <c r="D48" s="48"/>
      <c r="E48" s="48"/>
      <c r="F48" s="48"/>
      <c r="G48" s="48"/>
      <c r="H48" s="48"/>
      <c r="I48" s="48"/>
      <c r="J48" s="48"/>
      <c r="K48" s="49"/>
      <c r="L48" s="49"/>
      <c r="M48" s="49"/>
      <c r="N48" s="355"/>
      <c r="O48" s="6"/>
      <c r="P48" s="6"/>
      <c r="Q48" s="6"/>
      <c r="R48" s="6"/>
      <c r="S48" s="6"/>
      <c r="T48" s="6"/>
      <c r="U48" s="6"/>
      <c r="V48" s="6"/>
      <c r="W48" s="6"/>
      <c r="X48" s="6"/>
      <c r="Y48" s="6"/>
      <c r="Z48" s="6"/>
      <c r="AA48" s="6"/>
      <c r="AB48" s="6"/>
      <c r="AC48" s="6"/>
    </row>
    <row r="49" spans="2:34" x14ac:dyDescent="0.35">
      <c r="B49" s="344" t="s">
        <v>1518</v>
      </c>
      <c r="C49" s="36"/>
      <c r="D49" s="36"/>
      <c r="E49" s="36"/>
      <c r="F49" s="36"/>
      <c r="G49" s="36"/>
      <c r="H49" s="36"/>
      <c r="I49" s="36"/>
      <c r="J49" s="36"/>
      <c r="K49" s="31"/>
      <c r="L49" s="31"/>
      <c r="M49" s="31"/>
      <c r="N49" s="245"/>
    </row>
    <row r="50" spans="2:34" x14ac:dyDescent="0.35">
      <c r="B50" s="345" t="s">
        <v>1544</v>
      </c>
      <c r="C50" s="91"/>
      <c r="D50" s="91"/>
      <c r="E50" s="91"/>
      <c r="F50" s="23"/>
      <c r="G50" s="91"/>
      <c r="H50" s="91"/>
      <c r="I50" s="91"/>
      <c r="J50" s="17"/>
      <c r="K50" s="29">
        <f>Bilreiser_År1</f>
        <v>0</v>
      </c>
      <c r="L50" s="29">
        <f>Bilreiser_År2</f>
        <v>0</v>
      </c>
      <c r="M50" s="29">
        <f>Bilreiser_År3</f>
        <v>0</v>
      </c>
      <c r="N50" s="349" t="s">
        <v>1500</v>
      </c>
      <c r="O50" s="6"/>
      <c r="P50" s="6"/>
      <c r="Q50" s="6"/>
      <c r="R50" s="6"/>
      <c r="S50" s="6"/>
      <c r="T50" s="6"/>
      <c r="U50" s="6"/>
      <c r="V50" s="6"/>
      <c r="W50" s="6"/>
      <c r="X50" s="6"/>
      <c r="Y50" s="6"/>
      <c r="Z50" s="6"/>
      <c r="AA50" s="6"/>
      <c r="AB50" s="6"/>
      <c r="AC50" s="6"/>
      <c r="AD50" s="6"/>
    </row>
    <row r="51" spans="2:34" x14ac:dyDescent="0.35">
      <c r="B51" s="345" t="s">
        <v>1544</v>
      </c>
      <c r="C51" s="91"/>
      <c r="D51" s="91"/>
      <c r="E51" s="91"/>
      <c r="F51" s="23"/>
      <c r="G51" s="91"/>
      <c r="H51" s="91"/>
      <c r="I51" s="91"/>
      <c r="J51" s="17"/>
      <c r="K51" s="29">
        <f>PersonbilKm_År1</f>
        <v>0</v>
      </c>
      <c r="L51" s="29">
        <f>PersonbilKm_År2</f>
        <v>0</v>
      </c>
      <c r="M51" s="29">
        <f>PersonbilKm_År3</f>
        <v>0</v>
      </c>
      <c r="N51" s="341" t="s">
        <v>1545</v>
      </c>
      <c r="AD51" s="6"/>
    </row>
    <row r="52" spans="2:34" x14ac:dyDescent="0.35">
      <c r="B52" s="344" t="s">
        <v>1525</v>
      </c>
      <c r="C52" s="8"/>
      <c r="D52" s="8"/>
      <c r="E52" s="8"/>
      <c r="F52" s="8"/>
      <c r="G52" s="8"/>
      <c r="H52" s="8"/>
      <c r="I52" s="8"/>
      <c r="J52" s="8"/>
      <c r="K52" s="42"/>
      <c r="L52" s="42"/>
      <c r="M52" s="41"/>
      <c r="N52" s="356"/>
      <c r="O52" s="6"/>
      <c r="P52" s="6"/>
      <c r="Q52" s="6"/>
      <c r="R52" s="6"/>
      <c r="S52" s="6"/>
      <c r="T52" s="6"/>
      <c r="U52" s="6"/>
      <c r="V52" s="6"/>
      <c r="W52" s="6"/>
      <c r="X52" s="6"/>
      <c r="Y52" s="6"/>
      <c r="Z52" s="6"/>
      <c r="AA52" s="6"/>
      <c r="AB52" s="6"/>
      <c r="AC52" s="6"/>
    </row>
    <row r="53" spans="2:34" x14ac:dyDescent="0.35">
      <c r="B53" s="345" t="s">
        <v>1544</v>
      </c>
      <c r="C53" s="91"/>
      <c r="D53" s="91"/>
      <c r="E53" s="91"/>
      <c r="F53" s="23"/>
      <c r="G53" s="91"/>
      <c r="H53" s="91"/>
      <c r="I53" s="91"/>
      <c r="J53" s="17"/>
      <c r="K53" s="733">
        <f>K51/Bilbelegg_Gjennomsnitt</f>
        <v>0</v>
      </c>
      <c r="L53" s="780">
        <f>L51/Bilbelegg_Gjennomsnitt</f>
        <v>0</v>
      </c>
      <c r="M53" s="733">
        <f>M51/Bilbelegg_Gjennomsnitt</f>
        <v>0</v>
      </c>
      <c r="N53" s="341" t="s">
        <v>1546</v>
      </c>
      <c r="AD53" s="6"/>
    </row>
    <row r="54" spans="2:34" ht="18.5" x14ac:dyDescent="0.45">
      <c r="B54" s="343" t="s">
        <v>603</v>
      </c>
      <c r="C54" s="48"/>
      <c r="D54" s="48"/>
      <c r="E54" s="48"/>
      <c r="F54" s="48"/>
      <c r="G54" s="48"/>
      <c r="H54" s="48"/>
      <c r="I54" s="48"/>
      <c r="J54" s="48"/>
      <c r="K54" s="49"/>
      <c r="L54" s="49"/>
      <c r="M54" s="49"/>
      <c r="N54" s="355"/>
      <c r="O54" s="6"/>
      <c r="P54" s="6"/>
      <c r="Q54" s="6"/>
      <c r="R54" s="6"/>
      <c r="S54" s="6"/>
      <c r="T54" s="6"/>
      <c r="U54" s="6"/>
      <c r="V54" s="6"/>
      <c r="W54" s="6"/>
      <c r="X54" s="6"/>
      <c r="Y54" s="6"/>
      <c r="Z54" s="6"/>
      <c r="AA54" s="6"/>
      <c r="AB54" s="6"/>
      <c r="AC54" s="6"/>
    </row>
    <row r="55" spans="2:34" x14ac:dyDescent="0.35">
      <c r="B55" s="344" t="s">
        <v>1518</v>
      </c>
      <c r="C55" s="36"/>
      <c r="D55" s="36"/>
      <c r="E55" s="36"/>
      <c r="F55" s="36"/>
      <c r="G55" s="36"/>
      <c r="H55" s="36"/>
      <c r="I55" s="36"/>
      <c r="J55" s="36"/>
      <c r="K55" s="31"/>
      <c r="L55" s="31"/>
      <c r="M55" s="31"/>
      <c r="N55" s="245"/>
    </row>
    <row r="56" spans="2:34" x14ac:dyDescent="0.35">
      <c r="B56" s="345" t="s">
        <v>1547</v>
      </c>
      <c r="C56" s="91"/>
      <c r="D56" s="91"/>
      <c r="E56" s="91"/>
      <c r="F56" s="23"/>
      <c r="G56" s="91"/>
      <c r="H56" s="91"/>
      <c r="I56" s="91"/>
      <c r="J56" s="17"/>
      <c r="K56" s="29">
        <f>Bussreiser_År1</f>
        <v>0</v>
      </c>
      <c r="L56" s="29">
        <f>Bussreiser_År2</f>
        <v>0</v>
      </c>
      <c r="M56" s="29">
        <f>Bussreiser_År3</f>
        <v>0</v>
      </c>
      <c r="N56" s="349" t="s">
        <v>1500</v>
      </c>
      <c r="O56" s="6"/>
      <c r="P56" s="6"/>
      <c r="Q56" s="6"/>
      <c r="R56" s="6"/>
      <c r="S56" s="6"/>
      <c r="T56" s="6"/>
      <c r="U56" s="6"/>
      <c r="V56" s="6"/>
      <c r="W56" s="6"/>
      <c r="X56" s="6"/>
      <c r="Y56" s="6"/>
      <c r="Z56" s="6"/>
      <c r="AA56" s="6"/>
      <c r="AB56" s="6"/>
      <c r="AC56" s="6"/>
      <c r="AD56" s="6"/>
    </row>
    <row r="57" spans="2:34" x14ac:dyDescent="0.35">
      <c r="B57" s="345" t="s">
        <v>1547</v>
      </c>
      <c r="C57" s="91"/>
      <c r="D57" s="91"/>
      <c r="E57" s="91"/>
      <c r="F57" s="23"/>
      <c r="G57" s="91"/>
      <c r="H57" s="91"/>
      <c r="I57" s="91"/>
      <c r="J57" s="17"/>
      <c r="K57" s="29">
        <f>Passasjerkm_BussÅr1</f>
        <v>0</v>
      </c>
      <c r="L57" s="29">
        <f>Passasjerkm_BussÅr2</f>
        <v>0</v>
      </c>
      <c r="M57" s="29">
        <f>Passasjerkm_BussÅr3</f>
        <v>0</v>
      </c>
      <c r="N57" s="341" t="s">
        <v>1322</v>
      </c>
      <c r="AD57" s="6"/>
    </row>
    <row r="58" spans="2:34" x14ac:dyDescent="0.35">
      <c r="B58" s="344" t="s">
        <v>1525</v>
      </c>
      <c r="C58" s="8"/>
      <c r="D58" s="8"/>
      <c r="E58" s="8"/>
      <c r="F58" s="8"/>
      <c r="G58" s="8"/>
      <c r="H58" s="8"/>
      <c r="I58" s="8"/>
      <c r="J58" s="8"/>
      <c r="K58" s="42"/>
      <c r="L58" s="42"/>
      <c r="M58" s="42"/>
      <c r="N58" s="356"/>
      <c r="AH58" s="6"/>
    </row>
    <row r="59" spans="2:34" x14ac:dyDescent="0.35">
      <c r="B59" s="345" t="s">
        <v>1547</v>
      </c>
      <c r="C59" s="91"/>
      <c r="D59" s="91"/>
      <c r="E59" s="91"/>
      <c r="F59" s="23"/>
      <c r="G59" s="91"/>
      <c r="H59" s="91"/>
      <c r="I59" s="91"/>
      <c r="J59" s="17"/>
      <c r="K59" s="733">
        <f>K57/Bussbelegg</f>
        <v>0</v>
      </c>
      <c r="L59" s="733">
        <f>L57/Bussbelegg</f>
        <v>0</v>
      </c>
      <c r="M59" s="733">
        <f>M57/Bussbelegg</f>
        <v>0</v>
      </c>
      <c r="N59" s="341" t="s">
        <v>1546</v>
      </c>
      <c r="O59" s="153"/>
      <c r="P59" s="153"/>
      <c r="Q59" s="153"/>
      <c r="R59" s="153"/>
      <c r="S59" s="153"/>
      <c r="T59" s="153"/>
      <c r="U59" s="153"/>
      <c r="V59" s="153"/>
      <c r="W59" s="153"/>
      <c r="X59" s="153"/>
      <c r="Y59" s="153"/>
      <c r="Z59" s="153"/>
      <c r="AA59" s="153"/>
      <c r="AB59" s="153"/>
      <c r="AC59" s="153"/>
    </row>
    <row r="60" spans="2:34" x14ac:dyDescent="0.35">
      <c r="B60" s="357" t="s">
        <v>1548</v>
      </c>
      <c r="C60" s="35"/>
      <c r="D60" s="35"/>
      <c r="E60" s="35"/>
      <c r="F60" s="35"/>
      <c r="G60" s="35"/>
      <c r="H60" s="35"/>
      <c r="I60" s="35"/>
      <c r="J60" s="35"/>
      <c r="K60" s="141"/>
      <c r="L60" s="141"/>
      <c r="M60" s="141"/>
      <c r="N60" s="354"/>
      <c r="O60" s="6"/>
      <c r="P60" s="6"/>
      <c r="Q60" s="6"/>
      <c r="R60" s="6"/>
      <c r="S60" s="6"/>
      <c r="T60" s="6"/>
      <c r="U60" s="6"/>
      <c r="V60" s="6"/>
      <c r="W60" s="6"/>
      <c r="X60" s="6"/>
      <c r="Y60" s="6"/>
      <c r="Z60" s="6"/>
      <c r="AA60" s="6"/>
      <c r="AB60" s="6"/>
      <c r="AC60" s="6"/>
      <c r="AH60" s="6"/>
    </row>
    <row r="61" spans="2:34" x14ac:dyDescent="0.35">
      <c r="B61" s="265" t="s">
        <v>1549</v>
      </c>
      <c r="C61" s="91"/>
      <c r="D61" s="91"/>
      <c r="E61" s="91"/>
      <c r="F61" s="23"/>
      <c r="G61" s="91"/>
      <c r="H61" s="91"/>
      <c r="I61" s="91"/>
      <c r="J61" s="17"/>
      <c r="K61" s="754">
        <f>K59*AvgifterTilStaten_Buss/1000000</f>
        <v>0</v>
      </c>
      <c r="L61" s="781">
        <f>L59*AvgifterTilStaten_Buss/1000000</f>
        <v>0</v>
      </c>
      <c r="M61" s="754">
        <f>M59*AvgifterTilStaten_Buss/1000000</f>
        <v>0</v>
      </c>
      <c r="N61" s="346" t="s">
        <v>840</v>
      </c>
      <c r="O61" s="6"/>
      <c r="P61" s="6"/>
      <c r="Q61" s="6"/>
      <c r="R61" s="6"/>
      <c r="S61" s="6"/>
      <c r="T61" s="6"/>
      <c r="U61" s="6"/>
      <c r="V61" s="6"/>
      <c r="W61" s="6"/>
      <c r="X61" s="6"/>
      <c r="Y61" s="6"/>
      <c r="Z61" s="6"/>
      <c r="AA61" s="6"/>
      <c r="AB61" s="6"/>
      <c r="AC61" s="6"/>
      <c r="AD61" s="6"/>
    </row>
    <row r="62" spans="2:34" x14ac:dyDescent="0.35">
      <c r="B62" s="265" t="s">
        <v>1550</v>
      </c>
      <c r="C62" s="91"/>
      <c r="D62" s="91"/>
      <c r="E62" s="91"/>
      <c r="F62" s="23"/>
      <c r="G62" s="91"/>
      <c r="H62" s="91"/>
      <c r="I62" s="91"/>
      <c r="J62" s="17"/>
      <c r="K62" s="754">
        <f>IFERROR(K59*LOOKUP(FørsteBeregningsår,SerieÅR,SerieCO2avgift_Buss)/1000000,0)</f>
        <v>0</v>
      </c>
      <c r="L62" s="781">
        <f>IFERROR(L59*LOOKUP(AndreBeregningsår,SerieÅR,SerieCO2avgift_Buss)/1000000,0)</f>
        <v>0</v>
      </c>
      <c r="M62" s="754">
        <f>IFERROR(M59*LOOKUP(TredjeBeregningsår,SerieÅR,SerieCO2avgift_Buss)/1000000,0)</f>
        <v>0</v>
      </c>
      <c r="N62" s="346" t="s">
        <v>840</v>
      </c>
      <c r="O62" s="6"/>
      <c r="P62" s="6"/>
      <c r="Q62" s="6"/>
      <c r="R62" s="6"/>
      <c r="S62" s="6"/>
      <c r="T62" s="6"/>
      <c r="U62" s="6"/>
      <c r="V62" s="6"/>
      <c r="W62" s="6"/>
      <c r="X62" s="6"/>
      <c r="Y62" s="6"/>
      <c r="Z62" s="6"/>
      <c r="AA62" s="6"/>
      <c r="AB62" s="6"/>
      <c r="AC62" s="6"/>
      <c r="AD62" s="6"/>
    </row>
    <row r="63" spans="2:34" x14ac:dyDescent="0.35">
      <c r="B63" s="357" t="s">
        <v>1522</v>
      </c>
      <c r="C63" s="35"/>
      <c r="D63" s="35"/>
      <c r="E63" s="35"/>
      <c r="F63" s="35"/>
      <c r="G63" s="35"/>
      <c r="H63" s="35"/>
      <c r="I63" s="35"/>
      <c r="J63" s="35"/>
      <c r="K63" s="627"/>
      <c r="L63" s="627"/>
      <c r="M63" s="627"/>
      <c r="N63" s="354"/>
      <c r="O63" s="6"/>
      <c r="P63" s="6"/>
      <c r="Q63" s="6"/>
      <c r="R63" s="6"/>
      <c r="S63" s="6"/>
      <c r="T63" s="6"/>
      <c r="U63" s="6"/>
      <c r="V63" s="6"/>
      <c r="W63" s="6"/>
      <c r="X63" s="6"/>
      <c r="Y63" s="6"/>
      <c r="Z63" s="6"/>
      <c r="AA63" s="6"/>
      <c r="AB63" s="6"/>
      <c r="AC63" s="6"/>
      <c r="AD63" s="6"/>
    </row>
    <row r="64" spans="2:34" x14ac:dyDescent="0.35">
      <c r="B64" s="265" t="s">
        <v>1524</v>
      </c>
      <c r="C64" s="91"/>
      <c r="D64" s="91"/>
      <c r="E64" s="91"/>
      <c r="F64" s="23"/>
      <c r="G64" s="91"/>
      <c r="H64" s="91"/>
      <c r="I64" s="91"/>
      <c r="J64" s="17"/>
      <c r="K64" s="781">
        <f>Avgift_BussÅr1+K62</f>
        <v>0</v>
      </c>
      <c r="L64" s="781">
        <f>Avgift_BussÅr2+L62</f>
        <v>0</v>
      </c>
      <c r="M64" s="754">
        <f>Avgift_BussÅr3+M62</f>
        <v>0</v>
      </c>
      <c r="N64" s="346" t="s">
        <v>840</v>
      </c>
      <c r="O64" s="6"/>
      <c r="P64" s="6"/>
      <c r="Q64" s="6"/>
      <c r="R64" s="6"/>
      <c r="S64" s="6"/>
      <c r="T64" s="6"/>
      <c r="U64" s="6"/>
      <c r="V64" s="6"/>
      <c r="W64" s="6"/>
      <c r="X64" s="6"/>
      <c r="Y64" s="6"/>
      <c r="Z64" s="6"/>
      <c r="AA64" s="6"/>
      <c r="AB64" s="6"/>
      <c r="AC64" s="6"/>
      <c r="AD64" s="6"/>
    </row>
    <row r="65" spans="1:34" ht="18.5" x14ac:dyDescent="0.45">
      <c r="B65" s="343" t="s">
        <v>875</v>
      </c>
      <c r="C65" s="50"/>
      <c r="D65" s="50"/>
      <c r="E65" s="50"/>
      <c r="F65" s="50"/>
      <c r="G65" s="50"/>
      <c r="H65" s="50"/>
      <c r="I65" s="50"/>
      <c r="J65" s="14"/>
      <c r="K65" s="49"/>
      <c r="L65" s="14"/>
      <c r="M65" s="14"/>
      <c r="N65" s="248"/>
      <c r="AH65" s="6"/>
    </row>
    <row r="66" spans="1:34" x14ac:dyDescent="0.35">
      <c r="B66" s="344" t="s">
        <v>1518</v>
      </c>
      <c r="C66" s="51"/>
      <c r="D66" s="51"/>
      <c r="E66" s="51"/>
      <c r="F66" s="51"/>
      <c r="G66" s="51"/>
      <c r="H66" s="51"/>
      <c r="I66" s="51"/>
      <c r="J66" s="8"/>
      <c r="K66" s="27"/>
      <c r="L66" s="8"/>
      <c r="M66" s="8"/>
      <c r="N66" s="259"/>
      <c r="AH66" s="6"/>
    </row>
    <row r="67" spans="1:34" x14ac:dyDescent="0.35">
      <c r="A67" s="84"/>
      <c r="B67" s="345" t="s">
        <v>1551</v>
      </c>
      <c r="C67" s="91"/>
      <c r="D67" s="91"/>
      <c r="E67" s="91"/>
      <c r="F67" s="34"/>
      <c r="G67" s="91"/>
      <c r="H67" s="91"/>
      <c r="I67" s="91"/>
      <c r="J67" s="34"/>
      <c r="K67" s="29">
        <f>Flyreiser_År1</f>
        <v>0</v>
      </c>
      <c r="L67" s="29">
        <f>Flyreiser_År2</f>
        <v>0</v>
      </c>
      <c r="M67" s="29">
        <f>Flyreiser_År3</f>
        <v>0</v>
      </c>
      <c r="N67" s="349" t="s">
        <v>1500</v>
      </c>
      <c r="O67" s="6"/>
      <c r="P67" s="6"/>
      <c r="Q67" s="6"/>
      <c r="R67" s="6"/>
      <c r="S67" s="6"/>
      <c r="T67" s="6"/>
      <c r="U67" s="6"/>
      <c r="V67" s="6"/>
      <c r="W67" s="6"/>
      <c r="X67" s="6"/>
      <c r="Y67" s="6"/>
      <c r="Z67" s="6"/>
      <c r="AA67" s="6"/>
      <c r="AB67" s="6"/>
      <c r="AC67" s="6"/>
      <c r="AD67" s="6"/>
    </row>
    <row r="68" spans="1:34" x14ac:dyDescent="0.35">
      <c r="A68" s="84"/>
      <c r="B68" s="345" t="s">
        <v>1551</v>
      </c>
      <c r="C68" s="91"/>
      <c r="D68" s="91"/>
      <c r="E68" s="91"/>
      <c r="F68" s="34"/>
      <c r="G68" s="91"/>
      <c r="H68" s="91"/>
      <c r="I68" s="91"/>
      <c r="J68" s="34"/>
      <c r="K68" s="29">
        <f>Passasjerkm_FlyÅr1</f>
        <v>0</v>
      </c>
      <c r="L68" s="29">
        <f>Passasjerkm_FlyÅr2</f>
        <v>0</v>
      </c>
      <c r="M68" s="29">
        <f>Passasjerkm_FlyÅr3</f>
        <v>0</v>
      </c>
      <c r="N68" s="341" t="s">
        <v>1322</v>
      </c>
      <c r="AD68" s="6"/>
    </row>
    <row r="69" spans="1:34" x14ac:dyDescent="0.35">
      <c r="B69" s="344" t="s">
        <v>1525</v>
      </c>
      <c r="C69" s="8"/>
      <c r="D69" s="8"/>
      <c r="E69" s="8"/>
      <c r="F69" s="8"/>
      <c r="G69" s="8"/>
      <c r="H69" s="8"/>
      <c r="I69" s="8"/>
      <c r="J69" s="8"/>
      <c r="K69" s="41"/>
      <c r="L69" s="41"/>
      <c r="M69" s="41"/>
      <c r="N69" s="356"/>
    </row>
    <row r="70" spans="1:34" x14ac:dyDescent="0.35">
      <c r="A70" s="84"/>
      <c r="B70" s="345" t="s">
        <v>1551</v>
      </c>
      <c r="C70" s="91"/>
      <c r="D70" s="91"/>
      <c r="E70" s="91"/>
      <c r="F70" s="23"/>
      <c r="G70" s="91"/>
      <c r="H70" s="91"/>
      <c r="I70" s="91"/>
      <c r="J70" s="17"/>
      <c r="K70" s="733">
        <f>K68/Flybelegg</f>
        <v>0</v>
      </c>
      <c r="L70" s="733">
        <f>L68/Flybelegg</f>
        <v>0</v>
      </c>
      <c r="M70" s="733">
        <f>M68/Flybelegg</f>
        <v>0</v>
      </c>
      <c r="N70" s="341" t="s">
        <v>1552</v>
      </c>
    </row>
    <row r="71" spans="1:34" x14ac:dyDescent="0.35">
      <c r="B71" s="344" t="s">
        <v>1531</v>
      </c>
      <c r="C71" s="35"/>
      <c r="D71" s="35"/>
      <c r="E71" s="35"/>
      <c r="F71" s="35"/>
      <c r="G71" s="35"/>
      <c r="H71" s="35"/>
      <c r="I71" s="35"/>
      <c r="J71" s="35"/>
      <c r="K71" s="35"/>
      <c r="L71" s="35"/>
      <c r="M71" s="35"/>
      <c r="N71" s="354"/>
      <c r="AH71" s="6"/>
    </row>
    <row r="72" spans="1:34" ht="15" thickBot="1" x14ac:dyDescent="0.4">
      <c r="A72" s="84"/>
      <c r="B72" s="358" t="s">
        <v>1550</v>
      </c>
      <c r="C72" s="359"/>
      <c r="D72" s="359"/>
      <c r="E72" s="359"/>
      <c r="F72" s="360"/>
      <c r="G72" s="359"/>
      <c r="H72" s="359"/>
      <c r="I72" s="359"/>
      <c r="J72" s="301"/>
      <c r="K72" s="744">
        <f>IFERROR(K70*LOOKUP(FørsteBeregningsår,SerieÅR,SerieCO2avgift_Fly)/1000000,0)</f>
        <v>0</v>
      </c>
      <c r="L72" s="744">
        <f>IFERROR(L70*LOOKUP(AndreBeregningsår,SerieÅR,SerieCO2avgift_Fly)/1000000,0)</f>
        <v>0</v>
      </c>
      <c r="M72" s="744">
        <f>IFERROR(M70*LOOKUP(TredjeBeregningsår,SerieÅR,SerieCO2avgift_Fly)/1000000,0)</f>
        <v>0</v>
      </c>
      <c r="N72" s="361" t="s">
        <v>840</v>
      </c>
    </row>
  </sheetData>
  <conditionalFormatting sqref="E19 E23 I19 I23 M19 M21:M23 M50:M51 M53 M56:M57 M59 M61 M64 M67:M68 M70 I45:I47 M46:M47 E45:E47 E40 I40 M40">
    <cfRule type="expression" dxfId="643" priority="57">
      <formula>TredjeBeregningsår=""</formula>
    </cfRule>
  </conditionalFormatting>
  <conditionalFormatting sqref="D19 D23 H19 H23 L19 L21:L23 L50:L51 L53 L56:L57 L59 L61 L67:L68 L70 K64:L64 H45:H47 L46:L47 D45:D47 D40 H40 K40:L40">
    <cfRule type="expression" dxfId="642" priority="56">
      <formula>AndreBeregningsår=""</formula>
    </cfRule>
  </conditionalFormatting>
  <conditionalFormatting sqref="G19 G40 K50:K51 K53 K56:K57 K59 K61 K67:K68 K70 G45:G47 G23 C17:C19 D17:E18 G17:I18 D21:E22 G21:I22 C21:C29 D24:E29 G24:I29 D41:E44 G41:I44 K13:M15 K17:K19 L17:M18 K21:K29 L24:M29 K31:M39 K41:K47 L41:M45 C31:C47 D31:E39 G31:I39">
    <cfRule type="expression" dxfId="641" priority="55">
      <formula>Åpningsår=""</formula>
    </cfRule>
  </conditionalFormatting>
  <conditionalFormatting sqref="K62">
    <cfRule type="expression" dxfId="640" priority="34">
      <formula>Åpningsår=""</formula>
    </cfRule>
  </conditionalFormatting>
  <conditionalFormatting sqref="K72">
    <cfRule type="expression" dxfId="639" priority="31">
      <formula>Åpningsår=""</formula>
    </cfRule>
  </conditionalFormatting>
  <conditionalFormatting sqref="M62">
    <cfRule type="expression" dxfId="638" priority="36">
      <formula>TredjeBeregningsår=""</formula>
    </cfRule>
  </conditionalFormatting>
  <conditionalFormatting sqref="L62">
    <cfRule type="expression" dxfId="637" priority="35">
      <formula>AndreBeregningsår=""</formula>
    </cfRule>
  </conditionalFormatting>
  <conditionalFormatting sqref="M72">
    <cfRule type="expression" dxfId="636" priority="33">
      <formula>TredjeBeregningsår=""</formula>
    </cfRule>
  </conditionalFormatting>
  <conditionalFormatting sqref="L72">
    <cfRule type="expression" dxfId="635" priority="32">
      <formula>AndreBeregningsår=""</formula>
    </cfRule>
  </conditionalFormatting>
  <conditionalFormatting sqref="AG17:AG19 AG23:AG29 AG31:AG32 AK17:AK19 AK23:AK29 AK31:AK32 AO13:AO15 AO17:AO19 AO21:AO29 AO31:AO36 AK44 AO44:AO47 AG44 AG38 AK38 AO38:AO41 AG34:AG36 AK34:AK36 AG40:AG41 AG46:AG47 AK40:AK41 AK46:AK47">
    <cfRule type="expression" dxfId="634" priority="30">
      <formula>TredjeBeregningsår=""</formula>
    </cfRule>
  </conditionalFormatting>
  <conditionalFormatting sqref="AF17:AF19 AF23:AF29 AF31:AF32 AJ17:AJ19 AJ23:AJ29 AJ31:AJ32 AN13:AN15 AN17:AN19 AN21:AN29 AN31:AN36 AM40 AJ44 AN44:AN47 AF44 AF38 AJ38 AN38:AN41 AF34:AF36 AJ34:AJ36 AF40:AF41 AF46:AF47 AJ40:AJ41 AJ46:AJ47">
    <cfRule type="expression" dxfId="633" priority="29">
      <formula>AndreBeregningsår=""</formula>
    </cfRule>
  </conditionalFormatting>
  <conditionalFormatting sqref="AE17:AE19 AE31:AE38 AI17:AI19 AI31:AI38 AM13:AM15 AM17:AM19 AM21:AM29 AM41 AI44 AM44:AM47 AE44 AF37:AG37 AJ37:AK37 AM31:AM39 AN37:AO37 AE21:AE29 AI21:AI29 AF33:AG33 AJ33:AK33 AF21:AG22 AJ21:AK22 AE40:AE41 AE46:AE47 AI40:AI41 AI46:AI47">
    <cfRule type="expression" dxfId="632" priority="28">
      <formula>Åpningsår=""</formula>
    </cfRule>
  </conditionalFormatting>
  <conditionalFormatting sqref="AG43">
    <cfRule type="expression" dxfId="631" priority="27">
      <formula>TredjeBeregningsår=""</formula>
    </cfRule>
  </conditionalFormatting>
  <conditionalFormatting sqref="AF43">
    <cfRule type="expression" dxfId="630" priority="26">
      <formula>AndreBeregningsår=""</formula>
    </cfRule>
  </conditionalFormatting>
  <conditionalFormatting sqref="AE43">
    <cfRule type="expression" dxfId="629" priority="25">
      <formula>Åpningsår=""</formula>
    </cfRule>
  </conditionalFormatting>
  <conditionalFormatting sqref="AK43">
    <cfRule type="expression" dxfId="628" priority="24">
      <formula>TredjeBeregningsår=""</formula>
    </cfRule>
  </conditionalFormatting>
  <conditionalFormatting sqref="AJ43">
    <cfRule type="expression" dxfId="627" priority="23">
      <formula>AndreBeregningsår=""</formula>
    </cfRule>
  </conditionalFormatting>
  <conditionalFormatting sqref="AI43">
    <cfRule type="expression" dxfId="626" priority="22">
      <formula>Åpningsår=""</formula>
    </cfRule>
  </conditionalFormatting>
  <conditionalFormatting sqref="AE42 AI42 AM42">
    <cfRule type="expression" dxfId="625" priority="16">
      <formula>Åpningsår=""</formula>
    </cfRule>
  </conditionalFormatting>
  <conditionalFormatting sqref="AO43">
    <cfRule type="expression" dxfId="624" priority="21">
      <formula>TredjeBeregningsår=""</formula>
    </cfRule>
  </conditionalFormatting>
  <conditionalFormatting sqref="AN43">
    <cfRule type="expression" dxfId="623" priority="20">
      <formula>AndreBeregningsår=""</formula>
    </cfRule>
  </conditionalFormatting>
  <conditionalFormatting sqref="AM43">
    <cfRule type="expression" dxfId="622" priority="19">
      <formula>Åpningsår=""</formula>
    </cfRule>
  </conditionalFormatting>
  <conditionalFormatting sqref="AG42 AK42 AO42">
    <cfRule type="expression" dxfId="621" priority="18">
      <formula>TredjeBeregningsår=""</formula>
    </cfRule>
  </conditionalFormatting>
  <conditionalFormatting sqref="AF42 AJ42 AN42">
    <cfRule type="expression" dxfId="620" priority="17">
      <formula>AndreBeregningsår=""</formula>
    </cfRule>
  </conditionalFormatting>
  <conditionalFormatting sqref="S17:S19 S23:S29 S31:S32 W17:W19 W23:W29 W31:W32 AA13:AA15 AA17:AA19 AA21:AA29 AA31:AA36 W44 AA44:AA47 S44 S38 W38 AA38:AA41 S34:S36 W34:W36 S40:S41 S46:S47 W46:W47 W40:W41">
    <cfRule type="expression" dxfId="619" priority="15">
      <formula>TredjeBeregningsår=""</formula>
    </cfRule>
  </conditionalFormatting>
  <conditionalFormatting sqref="R17:R19 R23:R29 R31:R32 V17:V19 V23:V29 V31:V32 Z13:Z15 Z17:Z19 Z21:Z29 Z31:Z36 Y40 V44 Z44:Z47 R44 R38 V38 Z38:Z41 R34:R36 V34:V36 R40:R41 R46:R47 V46:V47 V40:V41">
    <cfRule type="expression" dxfId="618" priority="14">
      <formula>AndreBeregningsår=""</formula>
    </cfRule>
  </conditionalFormatting>
  <conditionalFormatting sqref="Q17:Q19 Q31:Q38 U17:U19 U31:U38 Y13:Y15 Y17:Y19 Y21:Y29 Y41 U44 Y44:Y47 Q44 R37:S37 V37:W37 Y31:Y39 Z37:AA37 Q21:Q29 U21:U29 R33:S33 V33:W33 R21:S22 V21:W22 Q40:Q41 Q46:Q47 U46:U47 U40:U41">
    <cfRule type="expression" dxfId="617" priority="13">
      <formula>Åpningsår=""</formula>
    </cfRule>
  </conditionalFormatting>
  <conditionalFormatting sqref="S43">
    <cfRule type="expression" dxfId="616" priority="12">
      <formula>TredjeBeregningsår=""</formula>
    </cfRule>
  </conditionalFormatting>
  <conditionalFormatting sqref="R43">
    <cfRule type="expression" dxfId="615" priority="11">
      <formula>AndreBeregningsår=""</formula>
    </cfRule>
  </conditionalFormatting>
  <conditionalFormatting sqref="Q43">
    <cfRule type="expression" dxfId="614" priority="10">
      <formula>Åpningsår=""</formula>
    </cfRule>
  </conditionalFormatting>
  <conditionalFormatting sqref="W43">
    <cfRule type="expression" dxfId="613" priority="9">
      <formula>TredjeBeregningsår=""</formula>
    </cfRule>
  </conditionalFormatting>
  <conditionalFormatting sqref="V43">
    <cfRule type="expression" dxfId="612" priority="8">
      <formula>AndreBeregningsår=""</formula>
    </cfRule>
  </conditionalFormatting>
  <conditionalFormatting sqref="U43">
    <cfRule type="expression" dxfId="611" priority="7">
      <formula>Åpningsår=""</formula>
    </cfRule>
  </conditionalFormatting>
  <conditionalFormatting sqref="Q42 U42 Y42">
    <cfRule type="expression" dxfId="610" priority="1">
      <formula>Åpningsår=""</formula>
    </cfRule>
  </conditionalFormatting>
  <conditionalFormatting sqref="AA43">
    <cfRule type="expression" dxfId="609" priority="6">
      <formula>TredjeBeregningsår=""</formula>
    </cfRule>
  </conditionalFormatting>
  <conditionalFormatting sqref="Z43">
    <cfRule type="expression" dxfId="608" priority="5">
      <formula>AndreBeregningsår=""</formula>
    </cfRule>
  </conditionalFormatting>
  <conditionalFormatting sqref="Y43">
    <cfRule type="expression" dxfId="607" priority="4">
      <formula>Åpningsår=""</formula>
    </cfRule>
  </conditionalFormatting>
  <conditionalFormatting sqref="S42 W42 AA42">
    <cfRule type="expression" dxfId="606" priority="3">
      <formula>TredjeBeregningsår=""</formula>
    </cfRule>
  </conditionalFormatting>
  <conditionalFormatting sqref="R42 V42 Z42">
    <cfRule type="expression" dxfId="605" priority="2">
      <formula>AndreBeregningsår=""</formula>
    </cfRule>
  </conditionalFormatting>
  <pageMargins left="0.7" right="0.7" top="0.75" bottom="0.75" header="0.3" footer="0.3"/>
  <pageSetup paperSize="9" orientation="landscape" r:id="rId1"/>
  <drawing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Ark10">
    <tabColor theme="4" tint="0.39997558519241921"/>
  </sheetPr>
  <dimension ref="A3:I86"/>
  <sheetViews>
    <sheetView zoomScaleNormal="100" workbookViewId="0"/>
  </sheetViews>
  <sheetFormatPr baseColWidth="10" defaultColWidth="11.453125" defaultRowHeight="14.5" x14ac:dyDescent="0.35"/>
  <cols>
    <col min="1" max="1" width="40.81640625" customWidth="1"/>
    <col min="2" max="2" width="38.453125" customWidth="1"/>
    <col min="3" max="3" width="13.1796875" customWidth="1"/>
    <col min="4" max="4" width="14" customWidth="1"/>
    <col min="5" max="5" width="15.453125" customWidth="1"/>
    <col min="6" max="6" width="10.453125" bestFit="1" customWidth="1"/>
    <col min="7" max="7" width="15.453125" bestFit="1" customWidth="1"/>
    <col min="8" max="8" width="14.453125" customWidth="1"/>
    <col min="9" max="9" width="16.453125" customWidth="1"/>
    <col min="10" max="10" width="17.453125" customWidth="1"/>
    <col min="11" max="11" width="17.1796875" customWidth="1"/>
    <col min="12" max="12" width="13.453125" customWidth="1"/>
    <col min="13" max="13" width="13.81640625" customWidth="1"/>
  </cols>
  <sheetData>
    <row r="3" spans="1:9" ht="15" thickBot="1" x14ac:dyDescent="0.4"/>
    <row r="4" spans="1:9" ht="18.5" x14ac:dyDescent="0.45">
      <c r="A4" s="290" t="s">
        <v>717</v>
      </c>
      <c r="B4" s="209"/>
    </row>
    <row r="5" spans="1:9" ht="15" thickBot="1" x14ac:dyDescent="0.4">
      <c r="A5" s="292" t="s">
        <v>1487</v>
      </c>
      <c r="B5" s="362" t="s">
        <v>1488</v>
      </c>
    </row>
    <row r="8" spans="1:9" ht="15" thickBot="1" x14ac:dyDescent="0.4"/>
    <row r="9" spans="1:9" ht="21" x14ac:dyDescent="0.5">
      <c r="B9" s="342" t="s">
        <v>1553</v>
      </c>
      <c r="C9" s="208"/>
      <c r="D9" s="208"/>
      <c r="E9" s="208"/>
      <c r="F9" s="209"/>
      <c r="G9" s="6"/>
    </row>
    <row r="10" spans="1:9" ht="18.5" x14ac:dyDescent="0.45">
      <c r="A10" s="7"/>
      <c r="B10" s="343" t="s">
        <v>1554</v>
      </c>
      <c r="C10" s="14"/>
      <c r="D10" s="14"/>
      <c r="E10" s="14"/>
      <c r="F10" s="248"/>
      <c r="G10" s="6"/>
    </row>
    <row r="11" spans="1:9" x14ac:dyDescent="0.35">
      <c r="A11" s="6"/>
      <c r="B11" s="344" t="s">
        <v>1517</v>
      </c>
      <c r="C11" s="9">
        <f>FørsteBeregningsår</f>
        <v>0</v>
      </c>
      <c r="D11" s="9">
        <f>AndreBeregningsår</f>
        <v>0</v>
      </c>
      <c r="E11" s="9">
        <f>TredjeBeregningsår</f>
        <v>0</v>
      </c>
      <c r="F11" s="216" t="s">
        <v>534</v>
      </c>
      <c r="G11" s="6"/>
    </row>
    <row r="12" spans="1:9" x14ac:dyDescent="0.35">
      <c r="A12" s="71"/>
      <c r="B12" s="212" t="s">
        <v>1555</v>
      </c>
      <c r="C12" s="21">
        <f>(TogkmEL_År1+TogkmBiEl_År1)*AvgifterTilStaten_TogEL/1000000</f>
        <v>0</v>
      </c>
      <c r="D12" s="21">
        <f>(TogkmEL_År2+TogkmBiEl_År2)*AvgifterTilStaten_TogEL/1000000</f>
        <v>0</v>
      </c>
      <c r="E12" s="21">
        <f>(TogkmEL_År3+TogkmBiEl_År3)*AvgifterTilStaten_TogEL/1000000</f>
        <v>0</v>
      </c>
      <c r="F12" s="346" t="s">
        <v>840</v>
      </c>
      <c r="G12" s="6"/>
    </row>
    <row r="13" spans="1:9" x14ac:dyDescent="0.35">
      <c r="A13" s="71"/>
      <c r="B13" s="212" t="s">
        <v>1556</v>
      </c>
      <c r="C13" s="21">
        <f>(TogkmBiDi_År1+TogkmD_År1)*AvgifterTilStaten_TogD/1000000</f>
        <v>0</v>
      </c>
      <c r="D13" s="21">
        <f>(TogkmBiDi_År2+TogkmD_År2)*AvgifterTilStaten_TogD/1000000</f>
        <v>0</v>
      </c>
      <c r="E13" s="21">
        <f>(TogkmBiDi_År3+TogkmD_År3)*AvgifterTilStaten_TogD/1000000</f>
        <v>0</v>
      </c>
      <c r="F13" s="346" t="s">
        <v>840</v>
      </c>
      <c r="G13" s="6"/>
    </row>
    <row r="14" spans="1:9" x14ac:dyDescent="0.35">
      <c r="A14" s="71"/>
      <c r="B14" s="212" t="s">
        <v>1557</v>
      </c>
      <c r="C14" s="21">
        <f>IF(RabattSporavgift="Ja",((GodstogMkmEL_År1*AvgifterTilStaten_GodstogEL)*(1-RabattfaktorSporavgift)),(GodstogMkmEL_År1*AvgifterTilStaten_GodstogEL))</f>
        <v>0</v>
      </c>
      <c r="D14" s="21">
        <f>IF(RabattSporavgift="Ja",((GodstogMkmEL_År2*AvgifterTilStaten_GodstogEL)*(1-RabattfaktorSporavgift)),(GodstogMkmEL_År2*AvgifterTilStaten_GodstogEL))</f>
        <v>0</v>
      </c>
      <c r="E14" s="21">
        <f>IF(RabattSporavgift="Ja",((GodstogMkmEL_År3*AvgifterTilStaten_GodstogEL)*(1-RabattfaktorSporavgift)),(GodstogMkmEL_År3*AvgifterTilStaten_GodstogEL))</f>
        <v>0</v>
      </c>
      <c r="F14" s="346" t="s">
        <v>840</v>
      </c>
      <c r="G14" s="6"/>
      <c r="I14" s="6"/>
    </row>
    <row r="15" spans="1:9" x14ac:dyDescent="0.35">
      <c r="A15" s="71"/>
      <c r="B15" s="212" t="s">
        <v>1558</v>
      </c>
      <c r="C15" s="21">
        <f>IF(RabattSporavgift="Ja",((GodstogMkmD_År1*AvgifterTilStaten_GodstogD)*(1-RabattfaktorSporavgift)),(GodstogMkmD_År1*AvgifterTilStaten_GodstogD))</f>
        <v>0</v>
      </c>
      <c r="D15" s="21">
        <f>IF(RabattSporavgift="Ja",((GodstogMkmD_År2*AvgifterTilStaten_GodstogD)*(1-RabattfaktorSporavgift)),(GodstogMkmD_År2*AvgifterTilStaten_GodstogD))</f>
        <v>0</v>
      </c>
      <c r="E15" s="21">
        <f>IF(RabattSporavgift="Ja",((GodstogMkmD_År3*AvgifterTilStaten_GodstogD)*(1-RabattfaktorSporavgift)),(GodstogMkmD_År3*AvgifterTilStaten_GodstogD))</f>
        <v>0</v>
      </c>
      <c r="F15" s="346" t="s">
        <v>840</v>
      </c>
      <c r="G15" s="6"/>
    </row>
    <row r="16" spans="1:9" x14ac:dyDescent="0.35">
      <c r="A16" s="71"/>
      <c r="B16" s="344" t="s">
        <v>809</v>
      </c>
      <c r="C16" s="8"/>
      <c r="D16" s="8"/>
      <c r="E16" s="120"/>
      <c r="F16" s="259"/>
      <c r="G16" s="6"/>
      <c r="H16" s="500"/>
    </row>
    <row r="17" spans="1:7" x14ac:dyDescent="0.35">
      <c r="A17" s="6"/>
      <c r="B17" s="344" t="s">
        <v>1559</v>
      </c>
      <c r="C17" s="8"/>
      <c r="D17" s="8"/>
      <c r="E17" s="47"/>
      <c r="F17" s="259"/>
      <c r="G17" s="6"/>
    </row>
    <row r="18" spans="1:7" x14ac:dyDescent="0.35">
      <c r="A18" s="6"/>
      <c r="B18" s="265" t="s">
        <v>1344</v>
      </c>
      <c r="C18" s="30">
        <f>Avgift_BomFergeÅr1</f>
        <v>0</v>
      </c>
      <c r="D18" s="30">
        <f>Avgift_BomFergeÅr2</f>
        <v>0</v>
      </c>
      <c r="E18" s="30">
        <f>Avgift_BomFergeÅr3</f>
        <v>0</v>
      </c>
      <c r="F18" s="346" t="s">
        <v>840</v>
      </c>
      <c r="G18" s="6"/>
    </row>
    <row r="19" spans="1:7" x14ac:dyDescent="0.35">
      <c r="A19" s="71"/>
      <c r="B19" s="345" t="s">
        <v>602</v>
      </c>
      <c r="C19" s="21">
        <f>Kjøretøykm_Bil_År1*AvgifterTilStaten_Bil/1000000</f>
        <v>0</v>
      </c>
      <c r="D19" s="21">
        <f>Kjøretøykm_Bil_År2*AvgifterTilStaten_Bil/1000000</f>
        <v>0</v>
      </c>
      <c r="E19" s="21">
        <f>Kjøretøykm_Bil_År3*AvgifterTilStaten_Bil/1000000</f>
        <v>0</v>
      </c>
      <c r="F19" s="346" t="s">
        <v>840</v>
      </c>
      <c r="G19" s="6"/>
    </row>
    <row r="20" spans="1:7" x14ac:dyDescent="0.35">
      <c r="A20" s="71"/>
      <c r="B20" s="345" t="s">
        <v>605</v>
      </c>
      <c r="C20" s="21">
        <f>KjøretøyMkm_Lettlastebil_År1*AvgifterTilStaten_Lettlastebil</f>
        <v>0</v>
      </c>
      <c r="D20" s="21">
        <f>KjøretøyMkm_Lettlastebil_År2*AvgifterTilStaten_Lettlastebil</f>
        <v>0</v>
      </c>
      <c r="E20" s="21">
        <f>KjøretøyMkm_Lettlastebil_År3*AvgifterTilStaten_Lettlastebil</f>
        <v>0</v>
      </c>
      <c r="F20" s="346" t="s">
        <v>840</v>
      </c>
      <c r="G20" s="6"/>
    </row>
    <row r="21" spans="1:7" x14ac:dyDescent="0.35">
      <c r="A21" s="71"/>
      <c r="B21" s="345" t="s">
        <v>606</v>
      </c>
      <c r="C21" s="21">
        <f>(KjøretøyMkm_Tunglastebil_År1+KjøretøyMkm_Modulvogntog_År1)*AvgifterTilStaten_Tunglastebil</f>
        <v>0</v>
      </c>
      <c r="D21" s="21">
        <f>(KjøretøyMkm_Tunglastebil_År2+KjøretøyMkm_Modulvogntog_År2)*AvgifterTilStaten_Tunglastebil</f>
        <v>0</v>
      </c>
      <c r="E21" s="21">
        <f>(KjøretøyMkm_Tunglastebil_År3+KjøretøyMkm_Modulvogntog_År3)*AvgifterTilStaten_Tunglastebil</f>
        <v>0</v>
      </c>
      <c r="F21" s="346" t="s">
        <v>840</v>
      </c>
      <c r="G21" s="6"/>
    </row>
    <row r="22" spans="1:7" x14ac:dyDescent="0.35">
      <c r="A22" s="71"/>
      <c r="B22" s="345" t="s">
        <v>604</v>
      </c>
      <c r="C22" s="21">
        <f>FartøyMkm_InnlandSkip_År1*AvgifterTilStaten_Skip</f>
        <v>0</v>
      </c>
      <c r="D22" s="21">
        <f>FartøyMkm_InnlandSkip_År2*AvgifterTilStaten_Skip</f>
        <v>0</v>
      </c>
      <c r="E22" s="21">
        <f>FartøyMkm_InnlandSkip_År3*AvgifterTilStaten_Skip</f>
        <v>0</v>
      </c>
      <c r="F22" s="346" t="s">
        <v>840</v>
      </c>
      <c r="G22" s="6"/>
    </row>
    <row r="23" spans="1:7" x14ac:dyDescent="0.35">
      <c r="A23" s="4"/>
      <c r="B23" s="345" t="s">
        <v>603</v>
      </c>
      <c r="C23" s="30">
        <f>Avgift_BussÅr1</f>
        <v>0</v>
      </c>
      <c r="D23" s="30">
        <f>Avgift_BussÅr2</f>
        <v>0</v>
      </c>
      <c r="E23" s="30">
        <f>Avgift_BussÅr3</f>
        <v>0</v>
      </c>
      <c r="F23" s="346" t="s">
        <v>840</v>
      </c>
    </row>
    <row r="24" spans="1:7" ht="18.5" x14ac:dyDescent="0.45">
      <c r="A24" s="7"/>
      <c r="B24" s="343" t="s">
        <v>1539</v>
      </c>
      <c r="C24" s="14"/>
      <c r="D24" s="14"/>
      <c r="E24" s="14"/>
      <c r="F24" s="248"/>
      <c r="G24" s="6"/>
    </row>
    <row r="25" spans="1:7" x14ac:dyDescent="0.35">
      <c r="A25" s="71"/>
      <c r="B25" s="212" t="s">
        <v>1556</v>
      </c>
      <c r="C25" s="21" cm="1">
        <f t="array" ref="C25">IFERROR((TogkmBiDi_År1+TogkmD_År1)*LOOKUP(FørsteBeregningsår,SerieÅR,SerieCO2avgift_PersontogD/1000000),0)</f>
        <v>0</v>
      </c>
      <c r="D25" s="21" cm="1">
        <f t="array" ref="D25">IFERROR((TogkmBiDi_År2+TogkmD_År2)*LOOKUP(AndreBeregningsår,SerieÅR,SerieCO2avgift_PersontogD/1000000),0)</f>
        <v>0</v>
      </c>
      <c r="E25" s="21" cm="1">
        <f t="array" ref="E25">IFERROR((TogkmBiDi_År3+TogkmD_År3)*LOOKUP(TredjeBeregningsår,SerieÅR,SerieCO2avgift_PersontogD/1000000),0)</f>
        <v>0</v>
      </c>
      <c r="F25" s="346" t="s">
        <v>840</v>
      </c>
      <c r="G25" s="6"/>
    </row>
    <row r="26" spans="1:7" x14ac:dyDescent="0.35">
      <c r="A26" s="71"/>
      <c r="B26" s="212" t="s">
        <v>1558</v>
      </c>
      <c r="C26" s="21">
        <f>IFERROR(GodstogMkmD_År1*LOOKUP(FørsteBeregningsår,SerieÅR,SerieCO2avgift_GodstogD),0)</f>
        <v>0</v>
      </c>
      <c r="D26" s="21">
        <f>IFERROR(GodstogMkmD_År2*LOOKUP(AndreBeregningsår,SerieÅR,SerieCO2avgift_GodstogD),0)</f>
        <v>0</v>
      </c>
      <c r="E26" s="21">
        <f>IFERROR(GodstogMkmD_År3*LOOKUP(TredjeBeregningsår,SerieÅR,SerieCO2avgift_GodstogD),0)</f>
        <v>0</v>
      </c>
      <c r="F26" s="346" t="s">
        <v>840</v>
      </c>
      <c r="G26" s="6"/>
    </row>
    <row r="27" spans="1:7" x14ac:dyDescent="0.35">
      <c r="A27" s="71"/>
      <c r="B27" s="345" t="s">
        <v>602</v>
      </c>
      <c r="C27" s="21">
        <f>IFERROR(Kjøretøykm_Bil_År1*LOOKUP(FørsteBeregningsår,SerieÅR,SerieCO2avgift_Bil)/1000000,0)</f>
        <v>0</v>
      </c>
      <c r="D27" s="21">
        <f>IFERROR(Kjøretøykm_Bil_År2*LOOKUP(AndreBeregningsår,SerieÅR,SerieCO2avgift_Bil)/1000000,0)</f>
        <v>0</v>
      </c>
      <c r="E27" s="21">
        <f>IFERROR(Kjøretøykm_Bil_År3*LOOKUP(TredjeBeregningsår,SerieÅR,SerieCO2avgift_Bil)/1000000,0)</f>
        <v>0</v>
      </c>
      <c r="F27" s="346" t="s">
        <v>840</v>
      </c>
      <c r="G27" s="6"/>
    </row>
    <row r="28" spans="1:7" x14ac:dyDescent="0.35">
      <c r="A28" s="71"/>
      <c r="B28" s="345" t="s">
        <v>605</v>
      </c>
      <c r="C28" s="21">
        <f>IFERROR(KjøretøyMkm_Lettlastebil_År1*LOOKUP(FørsteBeregningsår,SerieÅR,serieCO2avgift_LettLastebil),0)</f>
        <v>0</v>
      </c>
      <c r="D28" s="21">
        <f>IFERROR(KjøretøyMkm_Lettlastebil_År2*LOOKUP(AndreBeregningsår,SerieÅR,serieCO2avgift_LettLastebil),0)</f>
        <v>0</v>
      </c>
      <c r="E28" s="21">
        <f>IFERROR(KjøretøyMkm_Lettlastebil_År3*LOOKUP(TredjeBeregningsår,SerieÅR,SerieCO2avgift_Lastebil),0)</f>
        <v>0</v>
      </c>
      <c r="F28" s="346" t="s">
        <v>840</v>
      </c>
      <c r="G28" s="6"/>
    </row>
    <row r="29" spans="1:7" x14ac:dyDescent="0.35">
      <c r="A29" s="71"/>
      <c r="B29" s="345" t="s">
        <v>606</v>
      </c>
      <c r="C29" s="21">
        <f>IFERROR((KjøretøyMkm_Tunglastebil_År1+KjøretøyMkm_Modulvogntog_År1)*LOOKUP(FørsteBeregningsår,SerieÅR,SerieCO2avgift_Lastebil),0)</f>
        <v>0</v>
      </c>
      <c r="D29" s="21">
        <f>IFERROR((KjøretøyMkm_Tunglastebil_År2+KjøretøyMkm_Modulvogntog_År2)*LOOKUP(AndreBeregningsår,SerieÅR,SerieCO2avgift_Lastebil),0)</f>
        <v>0</v>
      </c>
      <c r="E29" s="21">
        <f>IFERROR((KjøretøyMkm_Tunglastebil_År3+KjøretøyMkm_Modulvogntog_År3)*LOOKUP(TredjeBeregningsår,SerieÅR,SerieCO2avgift_Lastebil),0)</f>
        <v>0</v>
      </c>
      <c r="F29" s="346" t="s">
        <v>840</v>
      </c>
      <c r="G29" s="6"/>
    </row>
    <row r="30" spans="1:7" x14ac:dyDescent="0.35">
      <c r="A30" s="71"/>
      <c r="B30" s="345" t="s">
        <v>604</v>
      </c>
      <c r="C30" s="21">
        <f>IFERROR(FartøyMkm_InnlandSkip_År1*LOOKUP(FørsteBeregningsår,SerieÅR,SerieCO2avgift_Skip),0)</f>
        <v>0</v>
      </c>
      <c r="D30" s="21">
        <f>IFERROR(FartøyMkm_InnlandSkip_År2*LOOKUP(AndreBeregningsår,SerieÅR,SerieCO2avgift_Skip),0)</f>
        <v>0</v>
      </c>
      <c r="E30" s="21">
        <f>IFERROR(FartøyMkm_InnlandSkip_År3*LOOKUP(TredjeBeregningsår,SerieÅR,SerieCO2avgift_Skip),0)</f>
        <v>0</v>
      </c>
      <c r="F30" s="346" t="s">
        <v>840</v>
      </c>
      <c r="G30" s="6"/>
    </row>
    <row r="31" spans="1:7" x14ac:dyDescent="0.35">
      <c r="A31" s="4"/>
      <c r="B31" s="345" t="s">
        <v>603</v>
      </c>
      <c r="C31" s="30">
        <f>'2.2 Operatører'!K62</f>
        <v>0</v>
      </c>
      <c r="D31" s="30">
        <f>'2.2 Operatører'!L62</f>
        <v>0</v>
      </c>
      <c r="E31" s="30">
        <f>'2.2 Operatører'!M62</f>
        <v>0</v>
      </c>
      <c r="F31" s="346" t="s">
        <v>840</v>
      </c>
    </row>
    <row r="32" spans="1:7" x14ac:dyDescent="0.35">
      <c r="A32" s="6"/>
      <c r="B32" s="265" t="s">
        <v>875</v>
      </c>
      <c r="C32" s="33">
        <f>IFERROR('2.2 Operatører'!K72+GodsflyMkm_InnlandÅr1*LOOKUP(FørsteBeregningsår,SerieÅR,SerieCO2avgift_Fly),0)</f>
        <v>0</v>
      </c>
      <c r="D32" s="33">
        <f>IFERROR('2.2 Operatører'!L72+GodsflyMkm_InnlandÅr2*LOOKUP(AndreBeregningsår,SerieÅR,SerieCO2avgift_Fly),0)</f>
        <v>0</v>
      </c>
      <c r="E32" s="33">
        <f>IFERROR('2.2 Operatører'!M72+GodsflyMkm_InnlandÅr3*LOOKUP(TredjeBeregningsår,SerieÅR,SerieCO2avgift_Fly),0)</f>
        <v>0</v>
      </c>
      <c r="F32" s="346" t="s">
        <v>840</v>
      </c>
      <c r="G32" s="6"/>
    </row>
    <row r="33" spans="1:9" ht="18.5" x14ac:dyDescent="0.45">
      <c r="B33" s="343" t="s">
        <v>1560</v>
      </c>
      <c r="C33" s="54"/>
      <c r="D33" s="49"/>
      <c r="E33" s="49"/>
      <c r="F33" s="355"/>
    </row>
    <row r="34" spans="1:9" x14ac:dyDescent="0.35">
      <c r="A34" s="6"/>
      <c r="B34" s="344" t="s">
        <v>809</v>
      </c>
      <c r="C34" s="20"/>
      <c r="D34" s="20"/>
      <c r="E34" s="118"/>
      <c r="F34" s="363"/>
      <c r="G34" s="6"/>
    </row>
    <row r="35" spans="1:9" x14ac:dyDescent="0.35">
      <c r="B35" s="345" t="s">
        <v>602</v>
      </c>
      <c r="C35" s="21">
        <f>Kjøretøykm_Bil_År1*Slitasje_Bil/1000000</f>
        <v>0</v>
      </c>
      <c r="D35" s="21">
        <f>Kjøretøykm_Bil_År2*Slitasje_Bil/1000000</f>
        <v>0</v>
      </c>
      <c r="E35" s="21">
        <f>Kjøretøykm_Bil_År3*Slitasje_Bil/1000000</f>
        <v>0</v>
      </c>
      <c r="F35" s="346" t="s">
        <v>840</v>
      </c>
      <c r="G35" s="6"/>
      <c r="I35" s="6"/>
    </row>
    <row r="36" spans="1:9" x14ac:dyDescent="0.35">
      <c r="B36" s="345" t="s">
        <v>678</v>
      </c>
      <c r="C36" s="21">
        <f>KjøretøyMkm_Lettlastebil_År1*Slitasje_LettLastebil+KjøretøyMkm_Tunglastebil_År1*Slitasje_TungLastebil+KjøretøyMkm_Modulvogntog_År1*Slitasje_Modulvogntog</f>
        <v>0</v>
      </c>
      <c r="D36" s="21">
        <f>KjøretøyMkm_Lettlastebil_År2*Slitasje_LettLastebil+KjøretøyMkm_Tunglastebil_År2*Slitasje_TungLastebil+KjøretøyMkm_Modulvogntog_År2*Slitasje_Modulvogntog</f>
        <v>0</v>
      </c>
      <c r="E36" s="21">
        <f>KjøretøyMkm_Lettlastebil_År3*Slitasje_LettLastebil+KjøretøyMkm_Tunglastebil_År3*Slitasje_TungLastebil+KjøretøyMkm_Modulvogntog_År3*Slitasje_Modulvogntog</f>
        <v>0</v>
      </c>
      <c r="F36" s="346" t="s">
        <v>840</v>
      </c>
      <c r="G36" s="6"/>
    </row>
    <row r="37" spans="1:9" x14ac:dyDescent="0.35">
      <c r="A37" s="6"/>
      <c r="B37" s="345" t="s">
        <v>603</v>
      </c>
      <c r="C37" s="21">
        <f>Kjøretøykm_Buss_År1*Slitasje_Buss/1000000</f>
        <v>0</v>
      </c>
      <c r="D37" s="21">
        <f>Kjøretøykm_Buss_År2*Slitasje_Buss/1000000</f>
        <v>0</v>
      </c>
      <c r="E37" s="21">
        <f>Kjøretøykm_Buss_År3*Slitasje_Buss/1000000</f>
        <v>0</v>
      </c>
      <c r="F37" s="346" t="s">
        <v>840</v>
      </c>
      <c r="G37" s="6"/>
    </row>
    <row r="38" spans="1:9" ht="18.5" x14ac:dyDescent="0.45">
      <c r="B38" s="343" t="s">
        <v>1524</v>
      </c>
      <c r="C38" s="55"/>
      <c r="D38" s="55"/>
      <c r="E38" s="55"/>
      <c r="F38" s="364"/>
    </row>
    <row r="39" spans="1:9" x14ac:dyDescent="0.35">
      <c r="A39" s="6"/>
      <c r="B39" s="344" t="s">
        <v>1524</v>
      </c>
      <c r="C39" s="20"/>
      <c r="D39" s="20"/>
      <c r="E39" s="20"/>
      <c r="F39" s="363"/>
      <c r="I39" s="6"/>
    </row>
    <row r="40" spans="1:9" x14ac:dyDescent="0.35">
      <c r="B40" s="345" t="s">
        <v>1517</v>
      </c>
      <c r="C40" s="30">
        <f ca="1">-OffentligkjøpÅr1</f>
        <v>0</v>
      </c>
      <c r="D40" s="30">
        <f ca="1">-OffentligkjøpÅr2</f>
        <v>0</v>
      </c>
      <c r="E40" s="30">
        <f ca="1">-OffentligkjøpÅr3</f>
        <v>0</v>
      </c>
      <c r="F40" s="346" t="s">
        <v>840</v>
      </c>
      <c r="G40" s="6"/>
    </row>
    <row r="41" spans="1:9" ht="15" thickBot="1" x14ac:dyDescent="0.4">
      <c r="B41" s="350" t="s">
        <v>603</v>
      </c>
      <c r="C41" s="365">
        <f>-OffentligkjøpBuss_År1</f>
        <v>0</v>
      </c>
      <c r="D41" s="365">
        <f>-OffentligkjøpBuss_År2</f>
        <v>0</v>
      </c>
      <c r="E41" s="365">
        <f>-OffentligkjøpBuss_År3</f>
        <v>0</v>
      </c>
      <c r="F41" s="361" t="s">
        <v>840</v>
      </c>
    </row>
    <row r="68" spans="7:7" x14ac:dyDescent="0.35">
      <c r="G68" s="6"/>
    </row>
    <row r="69" spans="7:7" x14ac:dyDescent="0.35">
      <c r="G69" s="6"/>
    </row>
    <row r="70" spans="7:7" x14ac:dyDescent="0.35">
      <c r="G70" s="6"/>
    </row>
    <row r="71" spans="7:7" x14ac:dyDescent="0.35">
      <c r="G71" s="6"/>
    </row>
    <row r="72" spans="7:7" x14ac:dyDescent="0.35">
      <c r="G72" s="6"/>
    </row>
    <row r="73" spans="7:7" x14ac:dyDescent="0.35">
      <c r="G73" s="6"/>
    </row>
    <row r="74" spans="7:7" x14ac:dyDescent="0.35">
      <c r="G74" s="6"/>
    </row>
    <row r="75" spans="7:7" x14ac:dyDescent="0.35">
      <c r="G75" s="6"/>
    </row>
    <row r="76" spans="7:7" x14ac:dyDescent="0.35">
      <c r="G76" s="6"/>
    </row>
    <row r="77" spans="7:7" x14ac:dyDescent="0.35">
      <c r="G77" s="6"/>
    </row>
    <row r="78" spans="7:7" x14ac:dyDescent="0.35">
      <c r="G78" s="6"/>
    </row>
    <row r="79" spans="7:7" x14ac:dyDescent="0.35">
      <c r="G79" s="6"/>
    </row>
    <row r="80" spans="7:7" x14ac:dyDescent="0.35">
      <c r="G80" s="6"/>
    </row>
    <row r="81" spans="7:7" x14ac:dyDescent="0.35">
      <c r="G81" s="6"/>
    </row>
    <row r="82" spans="7:7" x14ac:dyDescent="0.35">
      <c r="G82" s="6"/>
    </row>
    <row r="83" spans="7:7" x14ac:dyDescent="0.35">
      <c r="G83" s="6"/>
    </row>
    <row r="84" spans="7:7" x14ac:dyDescent="0.35">
      <c r="G84" s="6"/>
    </row>
    <row r="85" spans="7:7" x14ac:dyDescent="0.35">
      <c r="G85" s="6"/>
    </row>
    <row r="86" spans="7:7" x14ac:dyDescent="0.35">
      <c r="G86" s="6"/>
    </row>
  </sheetData>
  <conditionalFormatting sqref="E40:E41 E26:E32 E35:E37">
    <cfRule type="expression" dxfId="604" priority="9">
      <formula>TredjeBeregningsår=""</formula>
    </cfRule>
  </conditionalFormatting>
  <conditionalFormatting sqref="D40:D41 D26:D32 D35:D37">
    <cfRule type="expression" dxfId="603" priority="8">
      <formula>AndreBeregningsår=""</formula>
    </cfRule>
  </conditionalFormatting>
  <conditionalFormatting sqref="C40:C41 C25:C32 D25:E25 C35:C37">
    <cfRule type="expression" dxfId="602" priority="7">
      <formula>Åpningsår=""</formula>
    </cfRule>
  </conditionalFormatting>
  <conditionalFormatting sqref="E14:E15 E18:E23">
    <cfRule type="expression" dxfId="601" priority="3">
      <formula>TredjeBeregningsår=""</formula>
    </cfRule>
  </conditionalFormatting>
  <conditionalFormatting sqref="D14:D15 D18:D23">
    <cfRule type="expression" dxfId="600" priority="2">
      <formula>AndreBeregningsår=""</formula>
    </cfRule>
  </conditionalFormatting>
  <conditionalFormatting sqref="C18:C23 C12:C15 D12:E13">
    <cfRule type="expression" dxfId="599" priority="1">
      <formula>Åpningsår=""</formula>
    </cfRule>
  </conditionalFormatting>
  <pageMargins left="0.7" right="0.7" top="0.75" bottom="0.75" header="0.3" footer="0.3"/>
  <pageSetup paperSize="9" orientation="landscape" r:id="rId1"/>
  <drawing r:id="rId2"/>
  <legacy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Ark14">
    <tabColor theme="4" tint="0.39997558519241921"/>
  </sheetPr>
  <dimension ref="A3:R81"/>
  <sheetViews>
    <sheetView zoomScaleNormal="100" workbookViewId="0"/>
  </sheetViews>
  <sheetFormatPr baseColWidth="10" defaultColWidth="11.453125" defaultRowHeight="14.5" x14ac:dyDescent="0.35"/>
  <cols>
    <col min="1" max="1" width="42.453125" customWidth="1"/>
    <col min="2" max="2" width="51.81640625" customWidth="1"/>
    <col min="3" max="3" width="17" customWidth="1"/>
    <col min="4" max="4" width="15.81640625" customWidth="1"/>
    <col min="5" max="6" width="15.453125" customWidth="1"/>
    <col min="8" max="8" width="17" bestFit="1" customWidth="1"/>
    <col min="9" max="9" width="12.7265625" bestFit="1" customWidth="1"/>
    <col min="12" max="12" width="15.81640625" bestFit="1" customWidth="1"/>
    <col min="13" max="13" width="16.453125" customWidth="1"/>
    <col min="14" max="15" width="18.453125" customWidth="1"/>
    <col min="16" max="16" width="20" customWidth="1"/>
    <col min="17" max="17" width="16.453125" customWidth="1"/>
    <col min="18" max="18" width="15.453125" bestFit="1" customWidth="1"/>
    <col min="19" max="19" width="14.453125" customWidth="1"/>
    <col min="20" max="20" width="16.453125" customWidth="1"/>
    <col min="21" max="21" width="17.453125" customWidth="1"/>
    <col min="22" max="22" width="17.1796875" customWidth="1"/>
    <col min="23" max="23" width="13.453125" customWidth="1"/>
    <col min="24" max="24" width="13.81640625" customWidth="1"/>
  </cols>
  <sheetData>
    <row r="3" spans="1:8" ht="15" thickBot="1" x14ac:dyDescent="0.4"/>
    <row r="4" spans="1:8" ht="18.5" x14ac:dyDescent="0.45">
      <c r="A4" s="290" t="s">
        <v>717</v>
      </c>
      <c r="B4" s="209"/>
    </row>
    <row r="5" spans="1:8" x14ac:dyDescent="0.35">
      <c r="A5" s="366" t="s">
        <v>1487</v>
      </c>
      <c r="B5" s="255" t="s">
        <v>1488</v>
      </c>
    </row>
    <row r="6" spans="1:8" ht="15" thickBot="1" x14ac:dyDescent="0.4">
      <c r="A6" s="292" t="s">
        <v>720</v>
      </c>
      <c r="B6" s="778" t="s">
        <v>721</v>
      </c>
    </row>
    <row r="8" spans="1:8" ht="15" thickBot="1" x14ac:dyDescent="0.4"/>
    <row r="9" spans="1:8" ht="21" x14ac:dyDescent="0.5">
      <c r="B9" s="342" t="s">
        <v>1561</v>
      </c>
      <c r="C9" s="208"/>
      <c r="D9" s="208"/>
      <c r="E9" s="208"/>
      <c r="F9" s="209"/>
    </row>
    <row r="10" spans="1:8" ht="18.5" x14ac:dyDescent="0.45">
      <c r="A10" s="7"/>
      <c r="B10" s="343" t="s">
        <v>1562</v>
      </c>
      <c r="C10" s="14"/>
      <c r="D10" s="14"/>
      <c r="E10" s="14"/>
      <c r="F10" s="248"/>
    </row>
    <row r="11" spans="1:8" x14ac:dyDescent="0.35">
      <c r="A11" s="4"/>
      <c r="B11" s="344" t="s">
        <v>1517</v>
      </c>
      <c r="C11" s="9">
        <f>FørsteBeregningsår</f>
        <v>0</v>
      </c>
      <c r="D11" s="9">
        <f>AndreBeregningsår</f>
        <v>0</v>
      </c>
      <c r="E11" s="9">
        <f>TredjeBeregningsår</f>
        <v>0</v>
      </c>
      <c r="F11" s="216" t="s">
        <v>534</v>
      </c>
    </row>
    <row r="12" spans="1:8" x14ac:dyDescent="0.35">
      <c r="B12" s="212" t="s">
        <v>595</v>
      </c>
      <c r="C12" s="29">
        <f>Ulykke_Persontog*(TogkmD_År1+TogkmEL_År1+TogkmBiDi_År1+TogkmBiEl_År1+TogkmD_År1_Togtype_2+TogkmEL_År1_Togtype_2+TogkmBiEl_År1_Togtype_2+TogkmBiDi_År1_Togtype_2)/1000000</f>
        <v>0</v>
      </c>
      <c r="D12" s="29">
        <f>Ulykke_Persontog*(TogkmD_År2+TogkmEL_År2+TogkmBiDi_År2+TogkmBiEl_År2+TogkmD_År2_Togtype_2+TogkmEL_År2_Togtype_2+TogkmBiEl_År2_Togtype_2+TogkmBiDi_År2_Togtype_2)/1000000</f>
        <v>0</v>
      </c>
      <c r="E12" s="29">
        <f>Ulykke_Persontog*(TogkmD_År3+TogkmEL_År3+TogkmBiDi_År3+TogkmBiEl_År3+TogkmD_År3_Togtype_2+TogkmEL_År3_Togtype_2+TogkmBiEl_År3_Togtype_2+TogkmBiDi_År3_Togtype_2)/1000000</f>
        <v>0</v>
      </c>
      <c r="F12" s="346" t="s">
        <v>840</v>
      </c>
    </row>
    <row r="13" spans="1:8" x14ac:dyDescent="0.35">
      <c r="B13" s="212" t="s">
        <v>596</v>
      </c>
      <c r="C13" s="29">
        <f>Ulykke_Godstog*(GodstogMkmD_År1+GodstogMkmEL_År1)</f>
        <v>0</v>
      </c>
      <c r="D13" s="29">
        <f>Ulykke_Godstog*(GodstogMkmD_År2+GodstogMkmEL_År2)</f>
        <v>0</v>
      </c>
      <c r="E13" s="29">
        <f>Ulykke_Godstog*(GodstogMkmD_År3+GodstogMkmEL_År3)</f>
        <v>0</v>
      </c>
      <c r="F13" s="346" t="s">
        <v>840</v>
      </c>
    </row>
    <row r="14" spans="1:8" x14ac:dyDescent="0.35">
      <c r="B14" s="313" t="s">
        <v>1563</v>
      </c>
      <c r="C14" s="733">
        <f>SUM(C12:C13)</f>
        <v>0</v>
      </c>
      <c r="D14" s="733">
        <f>SUM(D12:D13)</f>
        <v>0</v>
      </c>
      <c r="E14" s="733">
        <f>SUM(E12:E13)</f>
        <v>0</v>
      </c>
      <c r="F14" s="346" t="s">
        <v>840</v>
      </c>
      <c r="H14" s="46"/>
    </row>
    <row r="15" spans="1:8" x14ac:dyDescent="0.35">
      <c r="B15" s="344" t="s">
        <v>809</v>
      </c>
      <c r="C15" s="27"/>
      <c r="D15" s="27"/>
      <c r="E15" s="628"/>
      <c r="F15" s="363"/>
    </row>
    <row r="16" spans="1:8" x14ac:dyDescent="0.35">
      <c r="B16" s="212" t="s">
        <v>602</v>
      </c>
      <c r="C16" s="29">
        <f>Kjøretøykm_Bil_År1*Ulykke_Bil/1000000</f>
        <v>0</v>
      </c>
      <c r="D16" s="29">
        <f>Kjøretøykm_Bil_År2*Ulykke_Bil/1000000</f>
        <v>0</v>
      </c>
      <c r="E16" s="29">
        <f>Kjøretøykm_Bil_År3*Ulykke_Bil/1000000</f>
        <v>0</v>
      </c>
      <c r="F16" s="346" t="s">
        <v>840</v>
      </c>
    </row>
    <row r="17" spans="2:9" x14ac:dyDescent="0.35">
      <c r="B17" s="212" t="s">
        <v>603</v>
      </c>
      <c r="C17" s="29">
        <f>Kjøretøykm_Buss_År1*Ulykke_Buss/1000000</f>
        <v>0</v>
      </c>
      <c r="D17" s="29">
        <f>Kjøretøykm_Buss_År2*Ulykke_Buss/1000000</f>
        <v>0</v>
      </c>
      <c r="E17" s="29">
        <f>Kjøretøykm_Buss_År3*Ulykke_Buss/1000000</f>
        <v>0</v>
      </c>
      <c r="F17" s="346" t="s">
        <v>840</v>
      </c>
    </row>
    <row r="18" spans="2:9" x14ac:dyDescent="0.35">
      <c r="B18" s="212" t="s">
        <v>875</v>
      </c>
      <c r="C18" s="29">
        <f>Flykm_År1*Ulykke_Fly/1000000</f>
        <v>0</v>
      </c>
      <c r="D18" s="29">
        <f>Flykm_År2*Ulykke_Fly/1000000</f>
        <v>0</v>
      </c>
      <c r="E18" s="29">
        <f>Flykm_År3*Ulykke_Fly/1000000</f>
        <v>0</v>
      </c>
      <c r="F18" s="346" t="s">
        <v>840</v>
      </c>
    </row>
    <row r="19" spans="2:9" x14ac:dyDescent="0.35">
      <c r="B19" s="212" t="s">
        <v>678</v>
      </c>
      <c r="C19" s="29">
        <f>KjøretøyMkm_Lettlastebil_År1*Ulykke_Lettlastebil+KjøretøyMkm_Tunglastebil_År1*Ulykke_Tunglastebil+KjøretøyMkm_Modulvogntog_År1*Ulykke_Modulvogntog</f>
        <v>0</v>
      </c>
      <c r="D19" s="29">
        <f>KjøretøyMkm_Lettlastebil_År2*Ulykke_Lettlastebil+KjøretøyMkm_Tunglastebil_År2*Ulykke_Tunglastebil+KjøretøyMkm_Modulvogntog_År2*Ulykke_Modulvogntog</f>
        <v>0</v>
      </c>
      <c r="E19" s="29">
        <f>KjøretøyMkm_Lettlastebil_År3*Ulykke_Lettlastebil+KjøretøyMkm_Tunglastebil_År3*Ulykke_Tunglastebil++KjøretøyMkm_Modulvogntog_År3*Ulykke_Modulvogntog</f>
        <v>0</v>
      </c>
      <c r="F19" s="346" t="s">
        <v>840</v>
      </c>
    </row>
    <row r="20" spans="2:9" x14ac:dyDescent="0.35">
      <c r="B20" s="212" t="s">
        <v>604</v>
      </c>
      <c r="C20" s="29">
        <f>FartøyMkm_Skip_År1*Ulykke_Skip</f>
        <v>0</v>
      </c>
      <c r="D20" s="29">
        <f>FartøyMkm_Skip_År2*Ulykke_Skip</f>
        <v>0</v>
      </c>
      <c r="E20" s="29">
        <f>FartøyMkm_Skip_År3*Ulykke_Skip</f>
        <v>0</v>
      </c>
      <c r="F20" s="346" t="s">
        <v>840</v>
      </c>
    </row>
    <row r="21" spans="2:9" x14ac:dyDescent="0.35">
      <c r="B21" s="313" t="s">
        <v>1564</v>
      </c>
      <c r="C21" s="733">
        <f>SUM(C16:C20)</f>
        <v>0</v>
      </c>
      <c r="D21" s="733">
        <f>SUM(D16:D20)</f>
        <v>0</v>
      </c>
      <c r="E21" s="733">
        <f>SUM(E16:E20)</f>
        <v>0</v>
      </c>
      <c r="F21" s="346" t="s">
        <v>840</v>
      </c>
      <c r="I21" s="421"/>
    </row>
    <row r="22" spans="2:9" ht="18.5" x14ac:dyDescent="0.45">
      <c r="B22" s="343" t="s">
        <v>1565</v>
      </c>
      <c r="C22" s="629"/>
      <c r="D22" s="629"/>
      <c r="E22" s="629"/>
      <c r="F22" s="248"/>
    </row>
    <row r="23" spans="2:9" x14ac:dyDescent="0.35">
      <c r="B23" s="344" t="s">
        <v>1517</v>
      </c>
      <c r="C23" s="27"/>
      <c r="D23" s="27"/>
      <c r="E23" s="172"/>
      <c r="F23" s="363"/>
    </row>
    <row r="24" spans="2:9" x14ac:dyDescent="0.35">
      <c r="B24" s="218" t="s">
        <v>595</v>
      </c>
      <c r="C24" s="32">
        <f>(Støy_PersontogEL*(TogkmEL_År1+TogkmBiEl_År1+TogkmEL_År1_Togtype_2+TogkmBiEl_År1_Togtype_2)+ Støy_PersontogD*(TogkmD_År1+TogkmBiDi_År1+TogkmD_År1_Togtype_2+TogkmBiDi_År1_Togtype_2))/1000000</f>
        <v>0</v>
      </c>
      <c r="D24" s="32">
        <f>(Støy_PersontogEL*(TogkmEL_År2+TogkmBiEl_År2+TogkmEL_År2_Togtype_2+TogkmBiEl_År2_Togtype_2)+ Støy_PersontogD*(TogkmD_År2+TogkmBiDi_År2+TogkmD_År2_Togtype_2+TogkmBiDi_År2_Togtype_2))/1000000</f>
        <v>0</v>
      </c>
      <c r="E24" s="32">
        <f>(Støy_PersontogEL*(TogkmEL_År3+TogkmBiEl_År3+TogkmEL_År3_Togtype_2+TogkmBiEl_År3_Togtype_2)+ Støy_PersontogD*(TogkmD_År3+TogkmBiDi_År3+TogkmD_År3_Togtype_2+TogkmBiDi_År3_Togtype_2))/1000000</f>
        <v>0</v>
      </c>
      <c r="F24" s="514" t="s">
        <v>840</v>
      </c>
    </row>
    <row r="25" spans="2:9" x14ac:dyDescent="0.35">
      <c r="B25" s="218" t="s">
        <v>596</v>
      </c>
      <c r="C25" s="32">
        <f>IF(Nattogandel_Godstog=0,Støy_GodstogEL*GodstogMkmEL_År1+Støy_GodstogD*GodstogMkmD_År1,(1-Nattogandel_Godstog)*(Støy_GodstogEL*GodstogMkmEL_År1+Støy_GodstogD*GodstogMkmD_År1)+Nattogandel_Gods*(Støy_GodstogElNatt*GodstogMkmEL_År1+Støy_GodstogDNatt*GodstogMkmD_År1))</f>
        <v>0</v>
      </c>
      <c r="D25" s="32">
        <f>IF(Nattogandel_Godstog=0,Støy_GodstogEL*GodstogMkmEL_År2+Støy_GodstogD*GodstogMkmD_År2,(1-Nattogandel_Godstog)*(Støy_GodstogEL*GodstogMkmEL_År2+Støy_GodstogD*GodstogMkmD_År2)+Nattogandel_Gods*(Støy_GodstogElNatt*GodstogMkmEL_År2+Støy_GodstogDNatt*GodstogMkmD_År2))</f>
        <v>0</v>
      </c>
      <c r="E25" s="32">
        <f>IF(Nattogandel_Godstog=0,Støy_GodstogEL*GodstogMkmEL_År3+Støy_GodstogD*GodstogMkmD_År3,(1-Nattogandel_Godstog)*(Støy_GodstogEL*GodstogMkmEL_År3+Støy_GodstogD*GodstogMkmD_År3)+Nattogandel_Gods*(Støy_GodstogElNatt*GodstogMkmEL_År3+Støy_GodstogDNatt*GodstogMkmD_År3))</f>
        <v>0</v>
      </c>
      <c r="F25" s="514" t="s">
        <v>840</v>
      </c>
    </row>
    <row r="26" spans="2:9" x14ac:dyDescent="0.35">
      <c r="B26" s="313" t="s">
        <v>1566</v>
      </c>
      <c r="C26" s="733">
        <f>SUM(C24:C25)</f>
        <v>0</v>
      </c>
      <c r="D26" s="733">
        <f>SUM(D24:D25)</f>
        <v>0</v>
      </c>
      <c r="E26" s="733">
        <f>SUM(E24:E25)</f>
        <v>0</v>
      </c>
      <c r="F26" s="346" t="s">
        <v>840</v>
      </c>
    </row>
    <row r="27" spans="2:9" x14ac:dyDescent="0.35">
      <c r="B27" s="344" t="s">
        <v>809</v>
      </c>
      <c r="C27" s="27"/>
      <c r="D27" s="27"/>
      <c r="E27" s="628"/>
      <c r="F27" s="363"/>
    </row>
    <row r="28" spans="2:9" x14ac:dyDescent="0.35">
      <c r="B28" s="212" t="s">
        <v>602</v>
      </c>
      <c r="C28" s="29">
        <f>Kjøretøykm_Bil_År1*Støy_Bil/1000000</f>
        <v>0</v>
      </c>
      <c r="D28" s="29">
        <f>Kjøretøykm_Bil_År2*Støy_Bil/1000000</f>
        <v>0</v>
      </c>
      <c r="E28" s="29">
        <f>Kjøretøykm_Bil_År3*Støy_Bil/1000000</f>
        <v>0</v>
      </c>
      <c r="F28" s="346" t="s">
        <v>840</v>
      </c>
    </row>
    <row r="29" spans="2:9" x14ac:dyDescent="0.35">
      <c r="B29" s="212" t="s">
        <v>603</v>
      </c>
      <c r="C29" s="29">
        <f>Kjøretøykm_Buss_År1*Støy_Buss/1000000</f>
        <v>0</v>
      </c>
      <c r="D29" s="29">
        <f>Kjøretøykm_Buss_År2*Støy_Buss/1000000</f>
        <v>0</v>
      </c>
      <c r="E29" s="29">
        <f>Kjøretøykm_Buss_År3*Støy_Buss/1000000</f>
        <v>0</v>
      </c>
      <c r="F29" s="346" t="s">
        <v>840</v>
      </c>
    </row>
    <row r="30" spans="2:9" x14ac:dyDescent="0.35">
      <c r="B30" s="212" t="s">
        <v>678</v>
      </c>
      <c r="C30" s="29">
        <f>KjøretøyMkm_Lettlastebil_År1*Støy_LettLastebil+KjøretøyMkm_Tunglastebil_År1*Støy_TungLastebil+KjøretøyMkm_Modulvogntog_År1*Støy_Modulvogntog</f>
        <v>0</v>
      </c>
      <c r="D30" s="29">
        <f>KjøretøyMkm_Lettlastebil_År2*Støy_LettLastebil+KjøretøyMkm_Tunglastebil_År2*Støy_TungLastebil+KjøretøyMkm_Modulvogntog_År2*Støy_Modulvogntog</f>
        <v>0</v>
      </c>
      <c r="E30" s="29">
        <f>KjøretøyMkm_Lettlastebil_År3*Støy_LettLastebil+KjøretøyMkm_Tunglastebil_År3*Støy_TungLastebil+KjøretøyMkm_Modulvogntog_År3*Støy_Modulvogntog</f>
        <v>0</v>
      </c>
      <c r="F30" s="346" t="s">
        <v>840</v>
      </c>
    </row>
    <row r="31" spans="2:9" x14ac:dyDescent="0.35">
      <c r="B31" s="313" t="s">
        <v>1567</v>
      </c>
      <c r="C31" s="733">
        <f>SUM(C28:C30)</f>
        <v>0</v>
      </c>
      <c r="D31" s="733">
        <f>SUM(D28:D30)</f>
        <v>0</v>
      </c>
      <c r="E31" s="733">
        <f>SUM(E28:E30)</f>
        <v>0</v>
      </c>
      <c r="F31" s="346" t="s">
        <v>840</v>
      </c>
    </row>
    <row r="32" spans="2:9" ht="18.5" x14ac:dyDescent="0.45">
      <c r="B32" s="343" t="s">
        <v>1568</v>
      </c>
      <c r="C32" s="629"/>
      <c r="D32" s="629"/>
      <c r="E32" s="629"/>
      <c r="F32" s="422"/>
    </row>
    <row r="33" spans="2:12" x14ac:dyDescent="0.35">
      <c r="B33" s="344" t="s">
        <v>1517</v>
      </c>
      <c r="C33" s="27"/>
      <c r="D33" s="27"/>
      <c r="E33" s="172"/>
      <c r="F33" s="363"/>
    </row>
    <row r="34" spans="2:12" x14ac:dyDescent="0.35">
      <c r="B34" s="212" t="s">
        <v>595</v>
      </c>
      <c r="C34" s="29">
        <f>(((TogkmBiEl_År1+TogkmEL_År1+TogkmEL_År1_Togtype_2+TogkmBiEl_År1_Togtype_2)*LokaleUtslipp_PersontogEL)+((TogkmBiDi_År1+TogkmD_År1+TogkmD_År1_Togtype_2+TogkmBiDi_År1_Togtype_2)*LokaleUtslipp_PersontogD)/1000000)</f>
        <v>0</v>
      </c>
      <c r="D34" s="29">
        <f>(((TogkmBiEl_År2+TogkmEL_År2+TogkmEL_År2_Togtype_2+TogkmBiEl_År2_Togtype_2)*LokaleUtslipp_PersontogEL)+((TogkmBiDi_År2+TogkmD_År2+TogkmD_År2_Togtype_2+TogkmBiDi_År2_Togtype_2)*LokaleUtslipp_PersontogD)/1000000)</f>
        <v>0</v>
      </c>
      <c r="E34" s="29">
        <f>(((TogkmBiEl_År3+TogkmEL_År3+TogkmEL_År3_Togtype_2+TogkmBiEl_År3_Togtype_2)*LokaleUtslipp_PersontogEL)+((TogkmBiDi_År3+TogkmD_År3+TogkmD_År3_Togtype_2+TogkmBiDi_År3_Togtype_2)*LokaleUtslipp_PersontogD)/1000000)</f>
        <v>0</v>
      </c>
      <c r="F34" s="346" t="s">
        <v>840</v>
      </c>
    </row>
    <row r="35" spans="2:12" x14ac:dyDescent="0.35">
      <c r="B35" s="212" t="s">
        <v>596</v>
      </c>
      <c r="C35" s="29">
        <f>(GodstogMkmEL_År1*LokaleUtslipp_GodstogEL+GodstogMkmD_År1*LokaleUtslipp_GodstogD)</f>
        <v>0</v>
      </c>
      <c r="D35" s="29">
        <f>(GodstogMkmEL_År2*LokaleUtslipp_GodstogEL+GodstogMkmD_År2*LokaleUtslipp_GodstogD)</f>
        <v>0</v>
      </c>
      <c r="E35" s="29">
        <f>(GodstogMkmEL_År3*LokaleUtslipp_GodstogEL+GodstogMkmD_År3*LokaleUtslipp_GodstogD)</f>
        <v>0</v>
      </c>
      <c r="F35" s="346" t="s">
        <v>840</v>
      </c>
    </row>
    <row r="36" spans="2:12" x14ac:dyDescent="0.35">
      <c r="B36" s="313" t="s">
        <v>1569</v>
      </c>
      <c r="C36" s="733">
        <f>SUM(C34:C35)</f>
        <v>0</v>
      </c>
      <c r="D36" s="733">
        <f>SUM(D34:D35)</f>
        <v>0</v>
      </c>
      <c r="E36" s="733">
        <f>SUM(E34:E35)</f>
        <v>0</v>
      </c>
      <c r="F36" s="346" t="s">
        <v>840</v>
      </c>
    </row>
    <row r="37" spans="2:12" x14ac:dyDescent="0.35">
      <c r="B37" s="212" t="s">
        <v>595</v>
      </c>
      <c r="C37" s="29">
        <f>(((TogkmBiEl_År1+TogkmEL_År1+TogkmEL_År1_Togtype_2+TogkmBiEl_År1_Togtype_2)*NOxUtslipp_PersontogEL)+((TogkmBiDi_År1+TogkmD_År1+TogkmD_År1_Togtype_2+TogkmBiDi_År1_Togtype_2)*NOxUtslipp_PersontogD))*Andel_StoreTettsteder_Persontog_Diesel/1000</f>
        <v>0</v>
      </c>
      <c r="D37" s="29">
        <f>(((TogkmBiEl_År2+TogkmEL_År2+TogkmEL_År2_Togtype_2+TogkmBiEl_År2_Togtype_2)*NOxUtslipp_PersontogEL)+((TogkmBiDi_År2+TogkmD_År2+TogkmD_År2_Togtype_2+TogkmBiDi_År2_Togtype_2)*NOxUtslipp_PersontogD))*Andel_StoreTettsteder_Persontog_Diesel/1000</f>
        <v>0</v>
      </c>
      <c r="E37" s="29">
        <f>(((TogkmBiEl_År3+TogkmEL_År3+TogkmEL_År3_Togtype_2+TogkmBiEl_År3_Togtype_2)*NOxUtslipp_PersontogEL)+((TogkmBiDi_År3+TogkmD_År3+TogkmD_År3_Togtype_2+TogkmBiDi_År3_Togtype_2)*NOxUtslipp_PersontogD))*Andel_StoreTettsteder_Persontog_Diesel/1000</f>
        <v>0</v>
      </c>
      <c r="F37" s="213" t="s">
        <v>1570</v>
      </c>
      <c r="L37" s="150"/>
    </row>
    <row r="38" spans="2:12" x14ac:dyDescent="0.35">
      <c r="B38" s="212" t="s">
        <v>596</v>
      </c>
      <c r="C38" s="29">
        <f>(GodstogMkmEL_År1*NOxUtslipp_GodstogEL+GodstogMkmD_År1*NOxUtslipp_GodstogD)*1000*Andel_StoreTettsteder_Godstog_Diesel</f>
        <v>0</v>
      </c>
      <c r="D38" s="29">
        <f>GodstogMkmEL_År2*NOxUtslipp_GodstogEL+GodstogMkmD_År2*NOxUtslipp_GodstogD*1000*Andel_StoreTettsteder_Godstog_Diesel</f>
        <v>0</v>
      </c>
      <c r="E38" s="29">
        <f>GodstogMkmEL_År3*NOxUtslipp_GodstogEL+GodstogMkmD_År3*NOxUtslipp_GodstogD*Andel_StoreTettsteder_Godstog_Diesel</f>
        <v>0</v>
      </c>
      <c r="F38" s="213" t="s">
        <v>1570</v>
      </c>
    </row>
    <row r="39" spans="2:12" x14ac:dyDescent="0.35">
      <c r="B39" s="313" t="s">
        <v>1571</v>
      </c>
      <c r="C39" s="733">
        <f>SUM(C37:C38)</f>
        <v>0</v>
      </c>
      <c r="D39" s="733">
        <f>SUM(D37:D38)</f>
        <v>0</v>
      </c>
      <c r="E39" s="733">
        <f>SUM(E37:E38)</f>
        <v>0</v>
      </c>
      <c r="F39" s="213" t="s">
        <v>1570</v>
      </c>
    </row>
    <row r="40" spans="2:12" x14ac:dyDescent="0.35">
      <c r="B40" s="344" t="s">
        <v>809</v>
      </c>
      <c r="C40" s="27"/>
      <c r="D40" s="27"/>
      <c r="E40" s="172"/>
      <c r="F40" s="363"/>
    </row>
    <row r="41" spans="2:12" x14ac:dyDescent="0.35">
      <c r="B41" s="212" t="s">
        <v>602</v>
      </c>
      <c r="C41" s="29">
        <f>Kjøretøykm_Bil_År1*LokaleUtslipp_Bil/1000000</f>
        <v>0</v>
      </c>
      <c r="D41" s="29">
        <f>Kjøretøykm_Bil_År2*LokaleUtslipp_Bil/1000000</f>
        <v>0</v>
      </c>
      <c r="E41" s="29">
        <f>Kjøretøykm_Bil_År3*LokaleUtslipp_Bil/1000000</f>
        <v>0</v>
      </c>
      <c r="F41" s="346" t="s">
        <v>840</v>
      </c>
    </row>
    <row r="42" spans="2:12" x14ac:dyDescent="0.35">
      <c r="B42" s="212" t="s">
        <v>603</v>
      </c>
      <c r="C42" s="29">
        <f>Kjøretøykm_Buss_År1*LokaleUtslipp_Buss/1000000</f>
        <v>0</v>
      </c>
      <c r="D42" s="29">
        <f>Kjøretøykm_Buss_År2*LokaleUtslipp_Buss/1000000</f>
        <v>0</v>
      </c>
      <c r="E42" s="29">
        <f>Kjøretøykm_Buss_År3*LokaleUtslipp_Buss/1000000</f>
        <v>0</v>
      </c>
      <c r="F42" s="346" t="s">
        <v>840</v>
      </c>
    </row>
    <row r="43" spans="2:12" x14ac:dyDescent="0.35">
      <c r="B43" s="212" t="s">
        <v>1572</v>
      </c>
      <c r="C43" s="29">
        <f>Flykm_År1*LokaleUtslipp_Fly/1000000</f>
        <v>0</v>
      </c>
      <c r="D43" s="29">
        <f>Flykm_År2*LokaleUtslipp_Fly/1000000</f>
        <v>0</v>
      </c>
      <c r="E43" s="29">
        <f>Flykm_År3*LokaleUtslipp_Fly/1000000</f>
        <v>0</v>
      </c>
      <c r="F43" s="346" t="s">
        <v>840</v>
      </c>
    </row>
    <row r="44" spans="2:12" x14ac:dyDescent="0.35">
      <c r="B44" s="212" t="s">
        <v>678</v>
      </c>
      <c r="C44" s="29">
        <f>KjøretøyMkm_Lettlastebil_År1*LokaleUtslipp_LettLastebil+KjøretøyMkm_Tunglastebil_År1*LokaleUtslipp_TungLastebil+KjøretøyMkm_Modulvogntog_År1*LokaleUtslipp_Modulvogntog</f>
        <v>0</v>
      </c>
      <c r="D44" s="29">
        <f>KjøretøyMkm_Lettlastebil_År2*LokaleUtslipp_LettLastebil+KjøretøyMkm_Tunglastebil_År2*LokaleUtslipp_TungLastebil+KjøretøyMkm_Modulvogntog_År2*LokaleUtslipp_Modulvogntog</f>
        <v>0</v>
      </c>
      <c r="E44" s="29">
        <f>KjøretøyMkm_Lettlastebil_År3*LokaleUtslipp_LettLastebil+KjøretøyMkm_Tunglastebil_År3*LokaleUtslipp_TungLastebil+KjøretøyMkm_Modulvogntog_År3*LokaleUtslipp_Modulvogntog</f>
        <v>0</v>
      </c>
      <c r="F44" s="346" t="s">
        <v>840</v>
      </c>
    </row>
    <row r="45" spans="2:12" x14ac:dyDescent="0.35">
      <c r="B45" s="212" t="s">
        <v>604</v>
      </c>
      <c r="C45" s="29">
        <f>FartøyMkm_Skip_År1*LokaleUtslipp_Skip</f>
        <v>0</v>
      </c>
      <c r="D45" s="29">
        <f>FartøyMkm_Skip_År2*LokaleUtslipp_Skip</f>
        <v>0</v>
      </c>
      <c r="E45" s="29">
        <f>FartøyMkm_Skip_År3*LokaleUtslipp_Skip</f>
        <v>0</v>
      </c>
      <c r="F45" s="346" t="s">
        <v>840</v>
      </c>
    </row>
    <row r="46" spans="2:12" x14ac:dyDescent="0.35">
      <c r="B46" s="313" t="s">
        <v>1573</v>
      </c>
      <c r="C46" s="733">
        <f>SUM(C41:C45)</f>
        <v>0</v>
      </c>
      <c r="D46" s="733">
        <f>SUM(D41:D45)</f>
        <v>0</v>
      </c>
      <c r="E46" s="733">
        <f>SUM(E41:E45)</f>
        <v>0</v>
      </c>
      <c r="F46" s="346" t="s">
        <v>840</v>
      </c>
    </row>
    <row r="47" spans="2:12" x14ac:dyDescent="0.35">
      <c r="B47" s="212" t="s">
        <v>602</v>
      </c>
      <c r="C47" s="29">
        <f>Kjøretøykm_Bil_År1*Andel_StoreTettsteder_Bil*NOxUtslipp_Bil/1000</f>
        <v>0</v>
      </c>
      <c r="D47" s="29">
        <f>Kjøretøykm_Bil_År2*Andel_StoreTettsteder_Bil*NOxUtslipp_Bil/1000</f>
        <v>0</v>
      </c>
      <c r="E47" s="29">
        <f>Kjøretøykm_Bil_År3*Andel_StoreTettsteder_Bil*NOxUtslipp_Bil/1000</f>
        <v>0</v>
      </c>
      <c r="F47" s="213" t="s">
        <v>1570</v>
      </c>
    </row>
    <row r="48" spans="2:12" x14ac:dyDescent="0.35">
      <c r="B48" s="212" t="s">
        <v>603</v>
      </c>
      <c r="C48" s="29">
        <f>Kjøretøykm_Buss_År1*Andel_StoreTettsteder_Buss*NOxUtslipp_Buss/1000</f>
        <v>0</v>
      </c>
      <c r="D48" s="29">
        <f>Kjøretøykm_Buss_År2*Andel_StoreTettsteder_Buss*NOxUtslipp_Buss/1000</f>
        <v>0</v>
      </c>
      <c r="E48" s="29">
        <f>Kjøretøykm_Buss_År3*Andel_StoreTettsteder_Buss*NOxUtslipp_Buss/1000</f>
        <v>0</v>
      </c>
      <c r="F48" s="213" t="s">
        <v>1570</v>
      </c>
    </row>
    <row r="49" spans="2:12" x14ac:dyDescent="0.35">
      <c r="B49" s="212" t="s">
        <v>1572</v>
      </c>
      <c r="C49" s="29">
        <f>Flykm_År1*Andel_StoreTettsteder_Fly*NOxUtslipp_Fly/1000</f>
        <v>0</v>
      </c>
      <c r="D49" s="29">
        <f>Flykm_År2*Andel_StoreTettsteder_Fly*NOxUtslipp_Fly/1000</f>
        <v>0</v>
      </c>
      <c r="E49" s="29">
        <f>Flykm_År3*Andel_StoreTettsteder_Fly*NOxUtslipp_Fly/1000</f>
        <v>0</v>
      </c>
      <c r="F49" s="213" t="s">
        <v>1570</v>
      </c>
    </row>
    <row r="50" spans="2:12" x14ac:dyDescent="0.35">
      <c r="B50" s="212" t="s">
        <v>678</v>
      </c>
      <c r="C50" s="29">
        <f>((KjøretøyMkm_Lettlastebil_År1*Andel_StoreTettsteder_LettLastebil*NOxUtslipp_LettLastebil)+(KjøretøyMkm_Tunglastebil_År1*Andel_StoreTettsteder_TungLastebil*NOxUtslipp_TungLastebil)+(KjøretøyMkm_Modulvogntog_År1*Andel_StoreTettsteder_Modulvogntog*NOxUtslipp_Modulvogntog))*1000</f>
        <v>0</v>
      </c>
      <c r="D50" s="29">
        <f>((KjøretøyMkm_Lettlastebil_År2*Andel_StoreTettsteder_LettLastebil*NOxUtslipp_LettLastebil)+(KjøretøyMkm_Tunglastebil_År2*Andel_StoreTettsteder_TungLastebil*NOxUtslipp_TungLastebil)+(KjøretøyMkm_Modulvogntog_År2*Andel_StoreTettsteder_Modulvogntog*NOxUtslipp_Modulvogntog))*1000</f>
        <v>0</v>
      </c>
      <c r="E50" s="29">
        <f>((KjøretøyMkm_Lettlastebil_År3*Andel_StoreTettsteder_LettLastebil*NOxUtslipp_LettLastebil)+(KjøretøyMkm_Tunglastebil_År3*Andel_StoreTettsteder_TungLastebil*NOxUtslipp_TungLastebil)+(KjøretøyMkm_Modulvogntog_År3*Andel_StoreTettsteder_Modulvogntog*NOxUtslipp_Modulvogntog))*1000</f>
        <v>0</v>
      </c>
      <c r="F50" s="346" t="s">
        <v>1570</v>
      </c>
    </row>
    <row r="51" spans="2:12" x14ac:dyDescent="0.35">
      <c r="B51" s="212" t="s">
        <v>604</v>
      </c>
      <c r="C51" s="29">
        <f>FartøyMkm_Skip_År1*Andel_StoreTettsteder_Skip*NOxUtslipp_Skip*1000</f>
        <v>0</v>
      </c>
      <c r="D51" s="29">
        <f>FartøyMkm_Skip_År2*Andel_StoreTettsteder_Skip*NOxUtslipp_Skip*1000</f>
        <v>0</v>
      </c>
      <c r="E51" s="29">
        <f>FartøyMkm_Skip_År3*Andel_StoreTettsteder_Skip*NOxUtslipp_Skip*1000</f>
        <v>0</v>
      </c>
      <c r="F51" s="213" t="s">
        <v>1570</v>
      </c>
    </row>
    <row r="52" spans="2:12" x14ac:dyDescent="0.35">
      <c r="B52" s="313" t="s">
        <v>1574</v>
      </c>
      <c r="C52" s="733">
        <f>SUM(C47:C51)</f>
        <v>0</v>
      </c>
      <c r="D52" s="733">
        <f>SUM(D47:D51)</f>
        <v>0</v>
      </c>
      <c r="E52" s="733">
        <f>SUM(E47:E51)</f>
        <v>0</v>
      </c>
      <c r="F52" s="213" t="s">
        <v>1570</v>
      </c>
    </row>
    <row r="53" spans="2:12" ht="18.5" x14ac:dyDescent="0.45">
      <c r="B53" s="343" t="s">
        <v>1575</v>
      </c>
      <c r="C53" s="629"/>
      <c r="D53" s="629"/>
      <c r="E53" s="629"/>
      <c r="F53" s="248"/>
    </row>
    <row r="54" spans="2:12" x14ac:dyDescent="0.35">
      <c r="B54" s="344" t="s">
        <v>1517</v>
      </c>
      <c r="C54" s="27"/>
      <c r="D54" s="27"/>
      <c r="E54" s="27"/>
      <c r="F54" s="363"/>
    </row>
    <row r="55" spans="2:12" x14ac:dyDescent="0.35">
      <c r="B55" s="218" t="s">
        <v>595</v>
      </c>
      <c r="C55" s="32">
        <f>IFERROR((TogkmBiDi_År1+TogkmD_År1+TogkmD_År1_Togtype_2+TogkmBiDi_År1_Togtype_2)*LOOKUP(FørsteBeregningsår,SerieÅR,SerieCO2krkm_PersontogD)/1000000,0)</f>
        <v>0</v>
      </c>
      <c r="D55" s="32">
        <f>IFERROR((TogkmBiDi_År2+TogkmD_År2+TogkmD_År2_Togtype_2+TogkmBiDi_År2_Togtype_2)*LOOKUP(AndreBeregningsår,SerieÅR,SerieCO2krkm_PersontogD)/1000000,0)</f>
        <v>0</v>
      </c>
      <c r="E55" s="32">
        <f>IFERROR((TogkmBiDi_År3+TogkmD_År3+TogkmD_År3_Togtype_2+TogkmBiDi_År3_Togtype_2)*LOOKUP(TredjeBeregningsår,SerieÅR,SerieCO2krkm_PersontogD)/1000000,0)</f>
        <v>0</v>
      </c>
      <c r="F55" s="514" t="s">
        <v>840</v>
      </c>
    </row>
    <row r="56" spans="2:12" x14ac:dyDescent="0.35">
      <c r="B56" s="218" t="s">
        <v>596</v>
      </c>
      <c r="C56" s="32">
        <f>IFERROR(GodstogMkmD_År1*LOOKUP(FørsteBeregningsår,SerieÅR,SerieCO2krkm_GodstogD),0)</f>
        <v>0</v>
      </c>
      <c r="D56" s="32">
        <f>IFERROR(GodstogMkmD_År2*LOOKUP(AndreBeregningsår,SerieÅR,SerieCO2krkm_GodstogD),0)</f>
        <v>0</v>
      </c>
      <c r="E56" s="32">
        <f>IFERROR(GodstogMkmD_År3*LOOKUP(TredjeBeregningsår,SerieÅR,SerieCO2krkm_GodstogD),0)</f>
        <v>0</v>
      </c>
      <c r="F56" s="514" t="s">
        <v>840</v>
      </c>
    </row>
    <row r="57" spans="2:12" x14ac:dyDescent="0.35">
      <c r="B57" s="314" t="s">
        <v>1576</v>
      </c>
      <c r="C57" s="782">
        <f>SUM(C55:C56)</f>
        <v>0</v>
      </c>
      <c r="D57" s="782">
        <f>SUM(D55:D56)</f>
        <v>0</v>
      </c>
      <c r="E57" s="782">
        <f>SUM(E55:E56)</f>
        <v>0</v>
      </c>
      <c r="F57" s="514" t="s">
        <v>840</v>
      </c>
    </row>
    <row r="58" spans="2:12" s="6" customFormat="1" x14ac:dyDescent="0.35">
      <c r="B58" s="218" t="s">
        <v>595</v>
      </c>
      <c r="C58" s="32">
        <f>IFERROR((TogkmBiDi_År1+TogkmD_År1+TogkmD_År1_Togtype_2+TogkmBiDi_År1_Togtype_2)*LOOKUP(FørsteBeregningsår,SerieÅR,SerieCO2Utslipp_PersontogD)/1000,0)</f>
        <v>0</v>
      </c>
      <c r="D58" s="32">
        <f>IFERROR((TogkmBiDi_År2+TogkmD_År2+TogkmD_År2_Togtype_2+TogkmBiDi_År2_Togtype_2)*LOOKUP(AndreBeregningsår,SerieÅR,SerieCO2Utslipp_PersontogD)/1000,0)</f>
        <v>0</v>
      </c>
      <c r="E58" s="32">
        <f>IFERROR((TogkmBiDi_År3+TogkmD_År3+TogkmD_År3_Togtype_2+TogkmBiDi_År3_Togtype_2)*LOOKUP(TredjeBeregningsår,SerieÅR,SerieCO2Utslipp_PersontogD)/1000,0)</f>
        <v>0</v>
      </c>
      <c r="F58" s="540" t="s">
        <v>1227</v>
      </c>
      <c r="H58" s="59"/>
      <c r="I58" s="153"/>
    </row>
    <row r="59" spans="2:12" s="6" customFormat="1" x14ac:dyDescent="0.35">
      <c r="B59" s="218" t="s">
        <v>596</v>
      </c>
      <c r="C59" s="32">
        <f>IFERROR(GodstogMkmD_År1*1000*LOOKUP(FørsteBeregningsår,SerieÅR,SerieCO2Utslipp_GodstogD),0)</f>
        <v>0</v>
      </c>
      <c r="D59" s="32">
        <f>IFERROR(GodstogMkmD_År2*1000*LOOKUP(AndreBeregningsår,SerieÅR,SerieCO2Utslipp_GodstogD),0)</f>
        <v>0</v>
      </c>
      <c r="E59" s="32">
        <f>(IFERROR(GodstogMkmD_År3*1000*LOOKUP(TredjeBeregningsår,SerieÅR,SerieCO2Utslipp_GodstogD),0))</f>
        <v>0</v>
      </c>
      <c r="F59" s="540" t="s">
        <v>1227</v>
      </c>
      <c r="L59" s="153"/>
    </row>
    <row r="60" spans="2:12" x14ac:dyDescent="0.35">
      <c r="B60" s="314" t="s">
        <v>1577</v>
      </c>
      <c r="C60" s="727">
        <f>SUM(C58:C59)</f>
        <v>0</v>
      </c>
      <c r="D60" s="727">
        <f>SUM(D58:D59)</f>
        <v>0</v>
      </c>
      <c r="E60" s="727">
        <f>SUM(E58:E59)</f>
        <v>0</v>
      </c>
      <c r="F60" s="540" t="s">
        <v>1227</v>
      </c>
      <c r="H60" s="519"/>
    </row>
    <row r="61" spans="2:12" x14ac:dyDescent="0.35">
      <c r="B61" s="344" t="s">
        <v>809</v>
      </c>
      <c r="C61" s="27"/>
      <c r="D61" s="27"/>
      <c r="E61" s="27"/>
      <c r="F61" s="363"/>
      <c r="H61" s="519"/>
    </row>
    <row r="62" spans="2:12" x14ac:dyDescent="0.35">
      <c r="B62" s="212" t="s">
        <v>602</v>
      </c>
      <c r="C62" s="32">
        <f>IFERROR(Kjøretøykm_Bil_År1*LOOKUP(FørsteBeregningsår,SerieÅR,SerieCO2krkm_Bil),0)/1000000</f>
        <v>0</v>
      </c>
      <c r="D62" s="32">
        <f>IFERROR(Kjøretøykm_Bil_År2*LOOKUP(AndreBeregningsår,SerieÅR,SerieCO2krkm_Bil),0)/1000000</f>
        <v>0</v>
      </c>
      <c r="E62" s="32">
        <f>IFERROR(Kjøretøykm_Bil_År3*LOOKUP(TredjeBeregningsår,SerieÅR,SerieCO2krkm_Bil),0)/1000000</f>
        <v>0</v>
      </c>
      <c r="F62" s="346" t="s">
        <v>840</v>
      </c>
      <c r="H62" s="519"/>
    </row>
    <row r="63" spans="2:12" x14ac:dyDescent="0.35">
      <c r="B63" s="212" t="s">
        <v>603</v>
      </c>
      <c r="C63" s="32">
        <f>IFERROR(Kjøretøykm_Buss_År1*LOOKUP(FørsteBeregningsår,SerieÅR,SerieCO2krkm_Buss),0)/1000000</f>
        <v>0</v>
      </c>
      <c r="D63" s="32">
        <f>IFERROR(Kjøretøykm_Buss_År2*LOOKUP(AndreBeregningsår,SerieÅR,SerieCO2krkm_Buss),0)/1000000</f>
        <v>0</v>
      </c>
      <c r="E63" s="32">
        <f>IFERROR(Kjøretøykm_Buss_År3*LOOKUP(TredjeBeregningsår,SerieÅR,SerieCO2krkm_Buss),0)/1000000</f>
        <v>0</v>
      </c>
      <c r="F63" s="346" t="s">
        <v>840</v>
      </c>
      <c r="H63" s="519"/>
    </row>
    <row r="64" spans="2:12" x14ac:dyDescent="0.35">
      <c r="B64" s="212" t="s">
        <v>1572</v>
      </c>
      <c r="C64" s="32">
        <f>IFERROR((Flykm_År1*CO2Utslipp_Fly/1000)*LOOKUP(FørsteBeregningsår,SerieÅR,SerieKarbonpris),0)/1000000</f>
        <v>0</v>
      </c>
      <c r="D64" s="32">
        <f>IFERROR((Flykm_År2*CO2Utslipp_Fly/1000)*LOOKUP(AndreBeregningsår,SerieÅR,SerieKarbonpris)/1000000,0)</f>
        <v>0</v>
      </c>
      <c r="E64" s="32">
        <f>IFERROR((Flykm_År3*CO2Utslipp_Fly/1000)*LOOKUP(TredjeBeregningsår,SerieÅR,SerieKarbonpris)/1000000,0)</f>
        <v>0</v>
      </c>
      <c r="F64" s="346" t="s">
        <v>840</v>
      </c>
      <c r="H64" s="519"/>
    </row>
    <row r="65" spans="2:15" x14ac:dyDescent="0.35">
      <c r="B65" s="212" t="s">
        <v>678</v>
      </c>
      <c r="C65" s="32" cm="1">
        <f t="array" ref="C65">IFERROR((KjøretøyMkm_Tunglastebil_År1+KjøretøyMkm_Modulvogntog_År1)*LOOKUP(FørsteBeregningsår,SerieÅR,SerieCO2krkm_Lastebil),0)</f>
        <v>0</v>
      </c>
      <c r="D65" s="32">
        <f>IFERROR((KjøretøyMkm_Tunglastebil_År2+KjøretøyMkm_Modulvogntog_År2)*LOOKUP(AndreBeregningsår,SerieÅR,SerieCO2krkm_Lastebil),0)</f>
        <v>0</v>
      </c>
      <c r="E65" s="32">
        <f>IFERROR((KjøretøyMkm_Lettlastebil_År3+KjøretøyMkm_Tunglastebil_År3+KjøretøyMkm_Modulvogntog_År3)*LOOKUP(TredjeBeregningsår,SerieÅR,SerieCO2krkm_Lastebil),0)</f>
        <v>0</v>
      </c>
      <c r="F65" s="346" t="s">
        <v>840</v>
      </c>
      <c r="H65" s="519"/>
      <c r="L65" s="525"/>
      <c r="O65" s="525"/>
    </row>
    <row r="66" spans="2:15" x14ac:dyDescent="0.35">
      <c r="B66" s="212" t="s">
        <v>1474</v>
      </c>
      <c r="C66" s="32">
        <f>IFERROR((KjøretøyMkm_Lettlastebil_År1)*LOOKUP(FørsteBeregningsår,SerieÅR,serieCO2krkm_LettLastebil),0)</f>
        <v>0</v>
      </c>
      <c r="D66" s="32">
        <f>IFERROR((KjøretøyMkm_Lettlastebil_År2)*LOOKUP(AndreBeregningsår,SerieÅR,serieCO2krkm_LettLastebil),0)</f>
        <v>0</v>
      </c>
      <c r="E66" s="32">
        <f>IFERROR((KjøretøyMkm_Lettlastebil_År3)*LOOKUP(TredjeBeregningsår,SerieÅR,serieCO2krkm_LettLastebil),0)</f>
        <v>0</v>
      </c>
      <c r="F66" s="346" t="s">
        <v>840</v>
      </c>
      <c r="H66" s="519"/>
      <c r="L66" s="525"/>
      <c r="O66" s="525"/>
    </row>
    <row r="67" spans="2:15" x14ac:dyDescent="0.35">
      <c r="B67" s="212" t="s">
        <v>604</v>
      </c>
      <c r="C67" s="32">
        <f>IFERROR(FartøyMkm_Skip_År1*LOOKUP(FørsteBeregningsår,SerieÅR,SerieCO2krkm_Skip),0)</f>
        <v>0</v>
      </c>
      <c r="D67" s="32">
        <f>IFERROR(FartøyMkm_Skip_År2*LOOKUP(AndreBeregningsår,SerieÅR,SerieCO2krkm_Skip),0)</f>
        <v>0</v>
      </c>
      <c r="E67" s="32">
        <f>IFERROR(FartøyMkm_Skip_År3*LOOKUP(TredjeBeregningsår,SerieÅR,SerieCO2krkm_Skip),0)</f>
        <v>0</v>
      </c>
      <c r="F67" s="346" t="s">
        <v>840</v>
      </c>
      <c r="H67" s="519"/>
      <c r="L67" s="525"/>
      <c r="O67" s="525"/>
    </row>
    <row r="68" spans="2:15" x14ac:dyDescent="0.35">
      <c r="B68" s="212" t="s">
        <v>1578</v>
      </c>
      <c r="C68" s="630">
        <f>IFERROR(GodsflyMkm_År1*CO2Utslipp_Fly*LOOKUP(FørsteBeregningsår,SerieÅR,SerieKarbonpris),0)</f>
        <v>0</v>
      </c>
      <c r="D68" s="630">
        <f>IFERROR(GodsflyMkm_År2*CO2Utslipp_Fly*LOOKUP(AndreBeregningsår,SerieÅR,SerieKarbonpris),0)</f>
        <v>0</v>
      </c>
      <c r="E68" s="630">
        <f>IFERROR(GodsflyMkm_År3*CO2Utslipp_Fly*LOOKUP(TredjeBeregningsår,SerieÅR,SerieKarbonpris),0)</f>
        <v>0</v>
      </c>
      <c r="F68" s="346" t="s">
        <v>840</v>
      </c>
    </row>
    <row r="69" spans="2:15" x14ac:dyDescent="0.35">
      <c r="B69" s="313" t="s">
        <v>1579</v>
      </c>
      <c r="C69" s="783">
        <f>SUM(C62:C68)</f>
        <v>0</v>
      </c>
      <c r="D69" s="783">
        <f>SUM(D62:D68)</f>
        <v>0</v>
      </c>
      <c r="E69" s="783">
        <f>SUM(E62:E68)</f>
        <v>0</v>
      </c>
      <c r="F69" s="346" t="s">
        <v>840</v>
      </c>
    </row>
    <row r="70" spans="2:15" x14ac:dyDescent="0.35">
      <c r="B70" s="212" t="s">
        <v>602</v>
      </c>
      <c r="C70" s="32">
        <f>IFERROR(Kjøretøykm_Bil_År1*LOOKUP(FørsteBeregningsår,SerieÅR,SerieCO2utslipp_Bil)/1000,0)</f>
        <v>0</v>
      </c>
      <c r="D70" s="32">
        <f>IFERROR(Kjøretøykm_Bil_År2*LOOKUP(AndreBeregningsår,SerieÅR,SerieCO2utslipp_Bil)/1000,0)</f>
        <v>0</v>
      </c>
      <c r="E70" s="32">
        <f>IFERROR(Kjøretøykm_Bil_År3*LOOKUP(TredjeBeregningsår,SerieÅR,SerieCO2utslipp_Bil)/1000,0)</f>
        <v>0</v>
      </c>
      <c r="F70" s="540" t="s">
        <v>1227</v>
      </c>
      <c r="G70" s="6"/>
    </row>
    <row r="71" spans="2:15" x14ac:dyDescent="0.35">
      <c r="B71" s="212" t="s">
        <v>603</v>
      </c>
      <c r="C71" s="32">
        <f>IFERROR(Kjøretøykm_Buss_År1*LOOKUP(FørsteBeregningsår,SerieÅR,SerieCO2Utslipp_Buss)/1000,0)</f>
        <v>0</v>
      </c>
      <c r="D71" s="32">
        <f>IFERROR(Kjøretøykm_Buss_År2*LOOKUP(AndreBeregningsår,SerieÅR,SerieCO2Utslipp_Buss)/1000,0)</f>
        <v>0</v>
      </c>
      <c r="E71" s="32">
        <f>IFERROR(Kjøretøykm_Buss_År3*LOOKUP(TredjeBeregningsår,SerieÅR,SerieCO2Utslipp_Buss)/1000,0)</f>
        <v>0</v>
      </c>
      <c r="F71" s="540" t="s">
        <v>1227</v>
      </c>
      <c r="G71" s="6"/>
    </row>
    <row r="72" spans="2:15" x14ac:dyDescent="0.35">
      <c r="B72" s="212" t="s">
        <v>1572</v>
      </c>
      <c r="C72" s="32">
        <f>IFERROR(Flykm_År1*LOOKUP(FørsteBeregningsår,SerieÅR,SerieCO2Utslipp_Fly)/1000,0)</f>
        <v>0</v>
      </c>
      <c r="D72" s="32">
        <f>IFERROR(Flykm_År2*LOOKUP(AndreBeregningsår,SerieÅR,SerieCO2Utslipp_Fly)/1000,0)</f>
        <v>0</v>
      </c>
      <c r="E72" s="32">
        <f>IFERROR(Flykm_År3*LOOKUP(TredjeBeregningsår,SerieÅR,SerieCO2Utslipp_Fly)/1000,0)</f>
        <v>0</v>
      </c>
      <c r="F72" s="540" t="s">
        <v>1227</v>
      </c>
      <c r="G72" s="6"/>
    </row>
    <row r="73" spans="2:15" x14ac:dyDescent="0.35">
      <c r="B73" s="212" t="s">
        <v>678</v>
      </c>
      <c r="C73" s="32">
        <f>IFERROR((KjøretøyMkm_Lettlastebil_År1+KjøretøyMkm_Tunglastebil_År1+KjøretøyMkm_Modulvogntog_År1)*LOOKUP(FørsteBeregningsår,SerieÅR,SerieCO2Utslipp_Lastebil)*1000,0)</f>
        <v>0</v>
      </c>
      <c r="D73" s="32">
        <f>IFERROR((KjøretøyMkm_Lettlastebil_År2+KjøretøyMkm_Tunglastebil_År2+KjøretøyMkm_Modulvogntog_År2)*LOOKUP(AndreBeregningsår,SerieÅR,SerieCO2Utslipp_Lastebil)*1000,0)</f>
        <v>0</v>
      </c>
      <c r="E73" s="32">
        <f>IFERROR((KjøretøyMkm_Lettlastebil_År3+KjøretøyMkm_Tunglastebil_År3+KjøretøyMkm_Modulvogntog_År3)*LOOKUP(TredjeBeregningsår,SerieÅR,SerieCO2Utslipp_Lastebil)*1000,0)</f>
        <v>0</v>
      </c>
      <c r="F73" s="540" t="s">
        <v>1227</v>
      </c>
      <c r="G73" s="6"/>
      <c r="K73" s="150"/>
    </row>
    <row r="74" spans="2:15" x14ac:dyDescent="0.35">
      <c r="B74" s="212" t="s">
        <v>604</v>
      </c>
      <c r="C74" s="32">
        <f>IFERROR(FartøyMkm_Skip_År1*LOOKUP(FørsteBeregningsår,SerieÅR,SerieCO2Utslipp_Skip)*1000,0)</f>
        <v>0</v>
      </c>
      <c r="D74" s="32">
        <f>IFERROR(FartøyMkm_Skip_År2*LOOKUP(AndreBeregningsår,SerieÅR,SerieCO2Utslipp_Skip)*1000,0)</f>
        <v>0</v>
      </c>
      <c r="E74" s="32">
        <f>IFERROR(FartøyMkm_Skip_År3*LOOKUP(TredjeBeregningsår,SerieÅR,SerieCO2Utslipp_Skip)*1000,0)</f>
        <v>0</v>
      </c>
      <c r="F74" s="540" t="s">
        <v>1227</v>
      </c>
      <c r="G74" s="6"/>
    </row>
    <row r="75" spans="2:15" x14ac:dyDescent="0.35">
      <c r="B75" s="212" t="s">
        <v>1578</v>
      </c>
      <c r="C75" s="32">
        <f>IFERROR(GodsflyMkm_År1*LOOKUP(FørsteBeregningsår,SerieÅR,SerieCO2Utslipp_Fly)*1000,0)</f>
        <v>0</v>
      </c>
      <c r="D75" s="32">
        <f>IFERROR(GodsflyMkm_År2*LOOKUP(AndreBeregningsår,SerieÅR,SerieCO2Utslipp_Fly)*1000,0)</f>
        <v>0</v>
      </c>
      <c r="E75" s="32">
        <f>IFERROR(GodsflyMkm_År3*LOOKUP(TredjeBeregningsår,SerieÅR,SerieCO2Utslipp_Fly)*1000,0)</f>
        <v>0</v>
      </c>
      <c r="F75" s="540" t="s">
        <v>1227</v>
      </c>
      <c r="G75" s="6"/>
      <c r="K75" s="525"/>
    </row>
    <row r="76" spans="2:15" ht="15" thickBot="1" x14ac:dyDescent="0.4">
      <c r="B76" s="427" t="s">
        <v>1580</v>
      </c>
      <c r="C76" s="731">
        <f>SUM(C70:C75)</f>
        <v>0</v>
      </c>
      <c r="D76" s="731">
        <f>SUM(D70:D75)</f>
        <v>0</v>
      </c>
      <c r="E76" s="731">
        <f>SUM(E70:E75)</f>
        <v>0</v>
      </c>
      <c r="F76" s="541" t="s">
        <v>1227</v>
      </c>
      <c r="G76" s="6"/>
      <c r="K76" s="525"/>
    </row>
    <row r="80" spans="2:15" x14ac:dyDescent="0.35">
      <c r="M80" s="45"/>
      <c r="O80" s="46"/>
    </row>
    <row r="81" spans="16:18" x14ac:dyDescent="0.35">
      <c r="P81" s="45"/>
      <c r="R81" s="46"/>
    </row>
  </sheetData>
  <conditionalFormatting sqref="E13:E14 E25:E26 E35:E36 E56:E57 E62:E65 E59:E60 E38:E39 E67:E76 E16:E21 E28:E31 E41:E52">
    <cfRule type="expression" dxfId="598" priority="11">
      <formula>TredjeBeregningsår=""</formula>
    </cfRule>
  </conditionalFormatting>
  <conditionalFormatting sqref="D13:D14 D25:D26 D35:D36 D56:D57 D62:D64 D67:D76 D59:D60 D38:D39 D16:D21 D28:D31 D41:D52">
    <cfRule type="expression" dxfId="597" priority="10">
      <formula>AndreBeregningsår=""</formula>
    </cfRule>
  </conditionalFormatting>
  <conditionalFormatting sqref="C12:C14 C24:C26 C34:C39 C55:C60 C62:C76 D65:D66 D34:E34 D37:E37 D55:E55 D58:E58 E66 C16:C21 C28:C31 C41:C52">
    <cfRule type="expression" dxfId="596" priority="9">
      <formula>Åpningsår=""</formula>
    </cfRule>
  </conditionalFormatting>
  <conditionalFormatting sqref="D12">
    <cfRule type="expression" dxfId="595" priority="4">
      <formula>AndreBeregningsår=""</formula>
    </cfRule>
  </conditionalFormatting>
  <conditionalFormatting sqref="E12">
    <cfRule type="expression" dxfId="594" priority="3">
      <formula>TredjeBeregningsår=""</formula>
    </cfRule>
  </conditionalFormatting>
  <conditionalFormatting sqref="D24">
    <cfRule type="expression" dxfId="593" priority="2">
      <formula>AndreBeregningsår=""</formula>
    </cfRule>
  </conditionalFormatting>
  <conditionalFormatting sqref="E24">
    <cfRule type="expression" dxfId="592" priority="1">
      <formula>TredjeBeregningsår=""</formula>
    </cfRule>
  </conditionalFormatting>
  <pageMargins left="0.7" right="0.7" top="0.75" bottom="0.75" header="0.3" footer="0.3"/>
  <pageSetup paperSize="9" orientation="landscape"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Ark5">
    <tabColor theme="4" tint="0.39997558519241921"/>
  </sheetPr>
  <dimension ref="A1:M160"/>
  <sheetViews>
    <sheetView zoomScaleNormal="100" workbookViewId="0"/>
  </sheetViews>
  <sheetFormatPr baseColWidth="10" defaultColWidth="11.453125" defaultRowHeight="14.5" x14ac:dyDescent="0.35"/>
  <cols>
    <col min="1" max="1" width="40.81640625" bestFit="1" customWidth="1"/>
    <col min="2" max="2" width="26.81640625" customWidth="1"/>
    <col min="3" max="3" width="20" customWidth="1"/>
    <col min="4" max="4" width="26" customWidth="1"/>
    <col min="6" max="8" width="30.81640625" customWidth="1"/>
    <col min="9" max="9" width="33.453125" customWidth="1"/>
    <col min="10" max="10" width="13.453125" bestFit="1" customWidth="1"/>
    <col min="11" max="11" width="15.453125" customWidth="1"/>
    <col min="12" max="12" width="21.453125" style="59" customWidth="1"/>
    <col min="13" max="13" width="24.453125" customWidth="1"/>
    <col min="15" max="15" width="15.1796875" customWidth="1"/>
    <col min="16" max="16" width="14.26953125" customWidth="1"/>
    <col min="19" max="19" width="13.453125" customWidth="1"/>
  </cols>
  <sheetData>
    <row r="1" spans="1:13" x14ac:dyDescent="0.35">
      <c r="C1" s="206"/>
      <c r="D1" s="206"/>
    </row>
    <row r="2" spans="1:13" x14ac:dyDescent="0.35">
      <c r="C2" s="206"/>
      <c r="D2" s="206"/>
      <c r="L2"/>
    </row>
    <row r="3" spans="1:13" ht="15" thickBot="1" x14ac:dyDescent="0.4">
      <c r="C3" s="206"/>
      <c r="D3" s="206"/>
      <c r="I3" s="5"/>
      <c r="J3" s="5"/>
      <c r="L3" s="5"/>
    </row>
    <row r="4" spans="1:13" ht="18.5" x14ac:dyDescent="0.45">
      <c r="A4" s="290" t="s">
        <v>717</v>
      </c>
      <c r="B4" s="209"/>
      <c r="C4" s="206"/>
      <c r="D4" s="206"/>
      <c r="I4" s="5"/>
      <c r="J4" s="202"/>
      <c r="L4" s="5"/>
    </row>
    <row r="5" spans="1:13" ht="15" thickBot="1" x14ac:dyDescent="0.4">
      <c r="A5" s="292" t="s">
        <v>720</v>
      </c>
      <c r="B5" s="711" t="s">
        <v>721</v>
      </c>
    </row>
    <row r="6" spans="1:13" x14ac:dyDescent="0.35">
      <c r="I6" s="6"/>
    </row>
    <row r="7" spans="1:13" x14ac:dyDescent="0.35">
      <c r="H7" s="73"/>
    </row>
    <row r="9" spans="1:13" x14ac:dyDescent="0.35">
      <c r="G9" s="153"/>
    </row>
    <row r="10" spans="1:13" ht="15" thickBot="1" x14ac:dyDescent="0.4">
      <c r="F10" s="6"/>
      <c r="G10" s="6"/>
      <c r="H10" s="6"/>
      <c r="K10" s="6"/>
      <c r="M10" s="6"/>
    </row>
    <row r="11" spans="1:13" ht="21" x14ac:dyDescent="0.5">
      <c r="B11" s="207" t="str">
        <f>CONCATENATE("Investeringskostnader (mill. "&amp;Investering_Kroneår&amp;"-kr per år, ekskl. mva.)")</f>
        <v>Investeringskostnader (mill. -kr per år, ekskl. mva.)</v>
      </c>
      <c r="C11" s="257"/>
      <c r="D11" s="270"/>
      <c r="E11" s="6"/>
      <c r="F11" s="207" t="str">
        <f>CONCATENATE("Vedlikeholdskostnader (mill. "&amp;SisteStatistikkÅr&amp;"-kr per år, ekskl. mva.)")</f>
        <v>Vedlikeholdskostnader (mill. 2025-kr per år, ekskl. mva.)</v>
      </c>
      <c r="G11" s="257"/>
      <c r="H11" s="257"/>
      <c r="I11" s="209"/>
      <c r="K11" s="207" t="str">
        <f>CONCATENATE("Reinvestering (mill. "&amp;Investering_Kroneår&amp;"-kr per år, ekskl. mva.)")</f>
        <v>Reinvestering (mill. -kr per år, ekskl. mva.)</v>
      </c>
      <c r="L11" s="306"/>
      <c r="M11" s="209"/>
    </row>
    <row r="12" spans="1:13" ht="18.5" x14ac:dyDescent="0.45">
      <c r="A12" s="7"/>
      <c r="B12" s="367" t="s">
        <v>927</v>
      </c>
      <c r="C12" s="93" t="s">
        <v>1036</v>
      </c>
      <c r="D12" s="336" t="s">
        <v>1037</v>
      </c>
      <c r="F12" s="368" t="s">
        <v>927</v>
      </c>
      <c r="G12" s="93" t="s">
        <v>1036</v>
      </c>
      <c r="H12" s="93" t="s">
        <v>1037</v>
      </c>
      <c r="I12" s="369" t="s">
        <v>1038</v>
      </c>
      <c r="K12" s="367" t="s">
        <v>927</v>
      </c>
      <c r="L12" s="94" t="s">
        <v>1036</v>
      </c>
      <c r="M12" s="336" t="s">
        <v>1037</v>
      </c>
    </row>
    <row r="13" spans="1:13" x14ac:dyDescent="0.35">
      <c r="B13" s="212">
        <f t="shared" ref="B13:B22" si="0">B14-1</f>
        <v>-10</v>
      </c>
      <c r="C13" s="784">
        <f t="shared" ref="C13:C44" si="1">IF(AND($B13&gt;=Oppstartsår_FørsteÅrMedInvestering,B13&lt;Oppstartsår_FørsteÅrMedInvestering+Investering_AntallÅr),Investering_Referanse/Investering_AntallÅr,0)</f>
        <v>0</v>
      </c>
      <c r="D13" s="785">
        <f t="shared" ref="D13:D44" si="2">IF(AND($B13&gt;=Oppstartsår_FørsteÅrMedInvestering,B13&lt;Oppstartsår_FørsteÅrMedInvestering+Investering_AntallÅr),Investering_Tiltak/Investering_AntallÅr,0)</f>
        <v>0</v>
      </c>
      <c r="F13" s="212">
        <f t="shared" ref="F13:F21" si="3">F14-1</f>
        <v>-10</v>
      </c>
      <c r="G13" s="733">
        <f t="shared" ref="G13:G44" si="4">IF(F13&lt;Åpningsår,0,IF(F13&gt;=Åpningsår+ProsjektetsLevetid,0,(((Sporveksel_Ref*Vedlikehold_Sporveksel)+(Stasjon_Ref*Vedlikehold_Stasjon)+(Daglinje_Ref*Vedlikehold_Daglinje)+(Tunnelkm_Ref*Vedlikehold_Tunnel)+(Brukm_Ref*Vedlikehold_bru)+(KLkm_Ref*Vedlikehold_KL)+(Slitasje_Persontog*(TogkmBiEl_RefÅr1+TogkmBiDi_RefÅr1+TogkmEL_RefÅr1+TogkmD_RefÅr1+TogkmBiEl_RefÅr1_Togtype_2+TogkmBiDi_RefÅr1_Togtype_2+TogkmEL_RefÅr1_Togtype_2+TogkmD_RefÅr1_Togtype_2))))/1000000))</f>
        <v>0</v>
      </c>
      <c r="H13" s="733">
        <f t="shared" ref="H13:H44" si="5">IF(F13&lt;Åpningsår,0,IF(F13&gt;=Åpningsår+ProsjektetsLevetid,0,(((Sporveksel_Tiltak*Vedlikehold_Sporveksel)+(Stasjon_Tiltak*Vedlikehold_Stasjon)+(Daglinje_Tiltak*Vedlikehold_Daglinje)+(Tunnelkm_Tiltak*Vedlikehold_Tunnel)+(Brukm_Tiltak*Vedlikehold_bru)+(KLkm_Tiltak*Vedlikehold_KL))*(1+Hastighet_Endring*Vedlikehold_HastighetPåslag)/1000000)+(Slitasje_Persontog*(TogkmBiEl_TiltakÅr1+TogkmBiDi_TiltakÅr1+TogkmEL_TiltakÅr1+TogkmD_TiltakÅr1+TogkmBiEl_TiltakÅr1_Togtype_2+TogkmBiDi_TiltakÅr1_Togtype_2+TogkmEL_TiltakÅr1_Togtype_2+TogkmD_TiltakÅr1_Togtype_2))/1000000))</f>
        <v>0</v>
      </c>
      <c r="I13" s="786" cm="1">
        <f t="array" ref="I13">H13-G13+IF(F13&lt;Åpningsår,0,IF(F13&gt;=Åpningsår+ProsjektetsLevetid,0,
(Slitasje_Godstog*_xlfn.SWITCH(Antall_Beregningsår,
1,(GodstogMkmD_År1+GodstogMkmEL_År1),
2,IF(F13&lt;AndreBeregningsår,(GodstogMkmD_År1+GodstogMkmEL_År1),(GodstogMkmD_År2+GodstogMkmEL_År2)),
3,IF(F13&lt;AndreBeregningsår,(GodstogMkmD_År1+GodstogMkmEL_År1),IF(F13&lt;TredjeBeregningsår,(GodstogMkmD_År2+GodstogMkmEL_År2),(GodstogMkmD_År3+GodstogMkmEL_År3)))))))</f>
        <v>0</v>
      </c>
      <c r="K13" s="212">
        <f t="shared" ref="K13:K21" si="6">K14-1</f>
        <v>-10</v>
      </c>
      <c r="L13" s="787">
        <f t="shared" ref="L13:L44" si="7">IF(K13+1&gt;=Åpningsår+ProsjektetsLevetid,0,IF(OR(Åpningsår+Levetid_Signalanlegg=K13+1,Åpningsår+Levetid_Signalanlegg*2=K13+1,Åpningsår+Levetid_Signalanlegg*3=K13+1),((AndelAvInvestering_Signalanlegg)*Investering_Referanse),0)+IF(K13+1=(Åpningsår+Levetid_Overbygning),((AndelAvInvestering_Overbygning)*Investering_Referanse),0)+IF(K13+1=(Åpningsår+Levetid_Lavspenning),((AndelAvInvestering_Lavspenning)*Investering_Referanse),0)+IF(K13+1=(Åpningsår+Levetid_KLanlegg),(AndelAvinvestering_KLAnlegg*Investering_Referanse),0)+IF(OR(Åpningsår+Levetid_Annen=K13+1,Åpningsår+Levetid_Annen*2=K13+1,Åpningsår+Levetid_Annen*3=K13+1,Åpningsår+Levetid_Annen*4=K13+1,Åpningsår+Levetid_Annen*5=K13+1,Åpningsår+Levetid_Annen*6=K13+1,Åpningsår+Levetid_Annen*7=K13+1,Åpningsår+Levetid_Annen*8=K13+1,Åpningsår+Levetid_Annen*9=K13+1,Åpningsår+Levetid_Annen*10=K13+1,Åpningsår+Levetid_Annen*11=K13+1,Åpningsår+Levetid_Annen*12=K13+1,Åpningsår+Levetid_Annen*13=K13+1,Åpningsår+Levetid_Annen*14=K13+1,Åpningsår+Levetid_Annen*15=K13+1),(AndelAvInvestering_Annen*Investering_Referanse),0))</f>
        <v>0</v>
      </c>
      <c r="M13" s="788">
        <f t="shared" ref="M13:M44" si="8">IF(K13+1&gt;=Åpningsår+ProsjektetsLevetid,0,IF(OR(Åpningsår+Levetid_Signalanlegg=K13+1,Åpningsår+Levetid_Signalanlegg*2=K13+1,Åpningsår+Levetid_Signalanlegg*3=K13+1),((AndelAvInvestering_Signalanlegg)*Investering_Tiltak),0)+IF(K13+1=(Åpningsår+Levetid_Overbygning),((AndelAvInvestering_Overbygning)*Investering_Tiltak),0)+IF(K13+1=(Åpningsår+Levetid_Lavspenning),(AndelAvInvestering_Lavspenning*Investering_Tiltak),0)+IF(K13+1=(Åpningsår+Levetid_KLanlegg),(AndelAvinvestering_KLAnlegg*Investering_Tiltak),0)+IF(OR(Åpningsår+Levetid_Annen=K13+1,Åpningsår+Levetid_Annen*2=K13+1,Åpningsår+Levetid_Annen*3=K13+1,Åpningsår+Levetid_Annen*4=K13+1,Åpningsår+Levetid_Annen*5=K13+1,Åpningsår+Levetid_Annen*6=K13+1,Åpningsår+Levetid_Annen*7=K13+1,Åpningsår+Levetid_Annen*8=K13+1,Åpningsår+Levetid_Annen*9=K13+1,Åpningsår+Levetid_Annen*10=K13+1,Åpningsår+Levetid_Annen*11=K13+1,Åpningsår+Levetid_Annen*12=K13+1,Åpningsår+Levetid_Annen*13=K13+1,Åpningsår+Levetid_Annen*14=K13+1,Åpningsår+Levetid_Annen*15=K13+1),(AndelAvInvestering_Annen*Investering_Tiltak),0))</f>
        <v>0</v>
      </c>
    </row>
    <row r="14" spans="1:13" x14ac:dyDescent="0.35">
      <c r="B14" s="212">
        <f t="shared" si="0"/>
        <v>-9</v>
      </c>
      <c r="C14" s="784">
        <f t="shared" si="1"/>
        <v>0</v>
      </c>
      <c r="D14" s="785">
        <f t="shared" si="2"/>
        <v>0</v>
      </c>
      <c r="F14" s="212">
        <f t="shared" si="3"/>
        <v>-9</v>
      </c>
      <c r="G14" s="733">
        <f t="shared" si="4"/>
        <v>0</v>
      </c>
      <c r="H14" s="733">
        <f t="shared" si="5"/>
        <v>0</v>
      </c>
      <c r="I14" s="786" cm="1">
        <f t="array" ref="I14">H14-G14+IF(F14&lt;Åpningsår,0,IF(F14&gt;=Åpningsår+ProsjektetsLevetid,0,
(Slitasje_Godstog*_xlfn.SWITCH(Antall_Beregningsår,
1,(GodstogMkmD_År1+GodstogMkmEL_År1),
2,IF(F14&lt;AndreBeregningsår,(GodstogMkmD_År1+GodstogMkmEL_År1),(GodstogMkmD_År2+GodstogMkmEL_År2)),
3,IF(F14&lt;AndreBeregningsår,(GodstogMkmD_År1+GodstogMkmEL_År1),IF(F14&lt;TredjeBeregningsår,(GodstogMkmD_År2+GodstogMkmEL_År2),(GodstogMkmD_År3+GodstogMkmEL_År3)))))))</f>
        <v>0</v>
      </c>
      <c r="K14" s="212">
        <f t="shared" si="6"/>
        <v>-9</v>
      </c>
      <c r="L14" s="787">
        <f t="shared" si="7"/>
        <v>0</v>
      </c>
      <c r="M14" s="788">
        <f t="shared" si="8"/>
        <v>0</v>
      </c>
    </row>
    <row r="15" spans="1:13" x14ac:dyDescent="0.35">
      <c r="B15" s="212">
        <f t="shared" si="0"/>
        <v>-8</v>
      </c>
      <c r="C15" s="784">
        <f t="shared" si="1"/>
        <v>0</v>
      </c>
      <c r="D15" s="785">
        <f t="shared" si="2"/>
        <v>0</v>
      </c>
      <c r="F15" s="212">
        <f t="shared" si="3"/>
        <v>-8</v>
      </c>
      <c r="G15" s="733">
        <f t="shared" si="4"/>
        <v>0</v>
      </c>
      <c r="H15" s="733">
        <f t="shared" si="5"/>
        <v>0</v>
      </c>
      <c r="I15" s="786" cm="1">
        <f t="array" ref="I15">H15-G15+IF(F15&lt;Åpningsår,0,IF(F15&gt;=Åpningsår+ProsjektetsLevetid,0,
(Slitasje_Godstog*_xlfn.SWITCH(Antall_Beregningsår,
1,(GodstogMkmD_År1+GodstogMkmEL_År1),
2,IF(F15&lt;AndreBeregningsår,(GodstogMkmD_År1+GodstogMkmEL_År1),(GodstogMkmD_År2+GodstogMkmEL_År2)),
3,IF(F15&lt;AndreBeregningsår,(GodstogMkmD_År1+GodstogMkmEL_År1),IF(F15&lt;TredjeBeregningsår,(GodstogMkmD_År2+GodstogMkmEL_År2),(GodstogMkmD_År3+GodstogMkmEL_År3)))))))</f>
        <v>0</v>
      </c>
      <c r="K15" s="212">
        <f t="shared" si="6"/>
        <v>-8</v>
      </c>
      <c r="L15" s="787">
        <f t="shared" si="7"/>
        <v>0</v>
      </c>
      <c r="M15" s="788">
        <f t="shared" si="8"/>
        <v>0</v>
      </c>
    </row>
    <row r="16" spans="1:13" x14ac:dyDescent="0.35">
      <c r="B16" s="212">
        <f t="shared" si="0"/>
        <v>-7</v>
      </c>
      <c r="C16" s="784">
        <f t="shared" si="1"/>
        <v>0</v>
      </c>
      <c r="D16" s="785">
        <f t="shared" si="2"/>
        <v>0</v>
      </c>
      <c r="F16" s="212">
        <f t="shared" si="3"/>
        <v>-7</v>
      </c>
      <c r="G16" s="733">
        <f t="shared" si="4"/>
        <v>0</v>
      </c>
      <c r="H16" s="733">
        <f t="shared" si="5"/>
        <v>0</v>
      </c>
      <c r="I16" s="786" cm="1">
        <f t="array" ref="I16">H16-G16+IF(F16&lt;Åpningsår,0,IF(F16&gt;=Åpningsår+ProsjektetsLevetid,0,
(Slitasje_Godstog*_xlfn.SWITCH(Antall_Beregningsår,
1,(GodstogMkmD_År1+GodstogMkmEL_År1),
2,IF(F16&lt;AndreBeregningsår,(GodstogMkmD_År1+GodstogMkmEL_År1),(GodstogMkmD_År2+GodstogMkmEL_År2)),
3,IF(F16&lt;AndreBeregningsår,(GodstogMkmD_År1+GodstogMkmEL_År1),IF(F16&lt;TredjeBeregningsår,(GodstogMkmD_År2+GodstogMkmEL_År2),(GodstogMkmD_År3+GodstogMkmEL_År3)))))))</f>
        <v>0</v>
      </c>
      <c r="K16" s="212">
        <f t="shared" si="6"/>
        <v>-7</v>
      </c>
      <c r="L16" s="787">
        <f t="shared" si="7"/>
        <v>0</v>
      </c>
      <c r="M16" s="788">
        <f t="shared" si="8"/>
        <v>0</v>
      </c>
    </row>
    <row r="17" spans="1:13" x14ac:dyDescent="0.35">
      <c r="B17" s="212">
        <f t="shared" si="0"/>
        <v>-6</v>
      </c>
      <c r="C17" s="784">
        <f t="shared" si="1"/>
        <v>0</v>
      </c>
      <c r="D17" s="785">
        <f t="shared" si="2"/>
        <v>0</v>
      </c>
      <c r="F17" s="212">
        <f t="shared" si="3"/>
        <v>-6</v>
      </c>
      <c r="G17" s="733">
        <f t="shared" si="4"/>
        <v>0</v>
      </c>
      <c r="H17" s="733">
        <f t="shared" si="5"/>
        <v>0</v>
      </c>
      <c r="I17" s="786" cm="1">
        <f t="array" ref="I17">H17-G17+IF(F17&lt;Åpningsår,0,IF(F17&gt;=Åpningsår+ProsjektetsLevetid,0,
(Slitasje_Godstog*_xlfn.SWITCH(Antall_Beregningsår,
1,(GodstogMkmD_År1+GodstogMkmEL_År1),
2,IF(F17&lt;AndreBeregningsår,(GodstogMkmD_År1+GodstogMkmEL_År1),(GodstogMkmD_År2+GodstogMkmEL_År2)),
3,IF(F17&lt;AndreBeregningsår,(GodstogMkmD_År1+GodstogMkmEL_År1),IF(F17&lt;TredjeBeregningsår,(GodstogMkmD_År2+GodstogMkmEL_År2),(GodstogMkmD_År3+GodstogMkmEL_År3)))))))</f>
        <v>0</v>
      </c>
      <c r="K17" s="212">
        <f t="shared" si="6"/>
        <v>-6</v>
      </c>
      <c r="L17" s="787">
        <f t="shared" si="7"/>
        <v>0</v>
      </c>
      <c r="M17" s="788">
        <f t="shared" si="8"/>
        <v>0</v>
      </c>
    </row>
    <row r="18" spans="1:13" x14ac:dyDescent="0.35">
      <c r="B18" s="212">
        <f t="shared" si="0"/>
        <v>-5</v>
      </c>
      <c r="C18" s="784">
        <f t="shared" si="1"/>
        <v>0</v>
      </c>
      <c r="D18" s="785">
        <f t="shared" si="2"/>
        <v>0</v>
      </c>
      <c r="F18" s="212">
        <f t="shared" si="3"/>
        <v>-5</v>
      </c>
      <c r="G18" s="733">
        <f t="shared" si="4"/>
        <v>0</v>
      </c>
      <c r="H18" s="733">
        <f t="shared" si="5"/>
        <v>0</v>
      </c>
      <c r="I18" s="786" cm="1">
        <f t="array" ref="I18">H18-G18+IF(F18&lt;Åpningsår,0,IF(F18&gt;=Åpningsår+ProsjektetsLevetid,0,
(Slitasje_Godstog*_xlfn.SWITCH(Antall_Beregningsår,
1,(GodstogMkmD_År1+GodstogMkmEL_År1),
2,IF(F18&lt;AndreBeregningsår,(GodstogMkmD_År1+GodstogMkmEL_År1),(GodstogMkmD_År2+GodstogMkmEL_År2)),
3,IF(F18&lt;AndreBeregningsår,(GodstogMkmD_År1+GodstogMkmEL_År1),IF(F18&lt;TredjeBeregningsår,(GodstogMkmD_År2+GodstogMkmEL_År2),(GodstogMkmD_År3+GodstogMkmEL_År3)))))))</f>
        <v>0</v>
      </c>
      <c r="K18" s="212">
        <f t="shared" si="6"/>
        <v>-5</v>
      </c>
      <c r="L18" s="787">
        <f t="shared" si="7"/>
        <v>0</v>
      </c>
      <c r="M18" s="788">
        <f t="shared" si="8"/>
        <v>0</v>
      </c>
    </row>
    <row r="19" spans="1:13" ht="18.5" x14ac:dyDescent="0.45">
      <c r="A19" s="7"/>
      <c r="B19" s="212">
        <f t="shared" si="0"/>
        <v>-4</v>
      </c>
      <c r="C19" s="784">
        <f t="shared" si="1"/>
        <v>0</v>
      </c>
      <c r="D19" s="785">
        <f t="shared" si="2"/>
        <v>0</v>
      </c>
      <c r="F19" s="212">
        <f t="shared" si="3"/>
        <v>-4</v>
      </c>
      <c r="G19" s="733">
        <f t="shared" si="4"/>
        <v>0</v>
      </c>
      <c r="H19" s="733">
        <f t="shared" si="5"/>
        <v>0</v>
      </c>
      <c r="I19" s="786" cm="1">
        <f t="array" ref="I19">H19-G19+IF(F19&lt;Åpningsår,0,IF(F19&gt;=Åpningsår+ProsjektetsLevetid,0,
(Slitasje_Godstog*_xlfn.SWITCH(Antall_Beregningsår,
1,(GodstogMkmD_År1+GodstogMkmEL_År1),
2,IF(F19&lt;AndreBeregningsår,(GodstogMkmD_År1+GodstogMkmEL_År1),(GodstogMkmD_År2+GodstogMkmEL_År2)),
3,IF(F19&lt;AndreBeregningsår,(GodstogMkmD_År1+GodstogMkmEL_År1),IF(F19&lt;TredjeBeregningsår,(GodstogMkmD_År2+GodstogMkmEL_År2),(GodstogMkmD_År3+GodstogMkmEL_År3)))))))</f>
        <v>0</v>
      </c>
      <c r="K19" s="212">
        <f t="shared" si="6"/>
        <v>-4</v>
      </c>
      <c r="L19" s="787">
        <f t="shared" si="7"/>
        <v>0</v>
      </c>
      <c r="M19" s="788">
        <f t="shared" si="8"/>
        <v>0</v>
      </c>
    </row>
    <row r="20" spans="1:13" x14ac:dyDescent="0.35">
      <c r="B20" s="212">
        <f t="shared" si="0"/>
        <v>-3</v>
      </c>
      <c r="C20" s="784">
        <f t="shared" si="1"/>
        <v>0</v>
      </c>
      <c r="D20" s="785">
        <f t="shared" si="2"/>
        <v>0</v>
      </c>
      <c r="F20" s="212">
        <f t="shared" si="3"/>
        <v>-3</v>
      </c>
      <c r="G20" s="733">
        <f t="shared" si="4"/>
        <v>0</v>
      </c>
      <c r="H20" s="733">
        <f t="shared" si="5"/>
        <v>0</v>
      </c>
      <c r="I20" s="786" cm="1">
        <f t="array" ref="I20">H20-G20+IF(F20&lt;Åpningsår,0,IF(F20&gt;=Åpningsår+ProsjektetsLevetid,0,
(Slitasje_Godstog*_xlfn.SWITCH(Antall_Beregningsår,
1,(GodstogMkmD_År1+GodstogMkmEL_År1),
2,IF(F20&lt;AndreBeregningsår,(GodstogMkmD_År1+GodstogMkmEL_År1),(GodstogMkmD_År2+GodstogMkmEL_År2)),
3,IF(F20&lt;AndreBeregningsår,(GodstogMkmD_År1+GodstogMkmEL_År1),IF(F20&lt;TredjeBeregningsår,(GodstogMkmD_År2+GodstogMkmEL_År2),(GodstogMkmD_År3+GodstogMkmEL_År3)))))))</f>
        <v>0</v>
      </c>
      <c r="K20" s="212">
        <f t="shared" si="6"/>
        <v>-3</v>
      </c>
      <c r="L20" s="787">
        <f t="shared" si="7"/>
        <v>0</v>
      </c>
      <c r="M20" s="788">
        <f t="shared" si="8"/>
        <v>0</v>
      </c>
    </row>
    <row r="21" spans="1:13" x14ac:dyDescent="0.35">
      <c r="B21" s="212">
        <f t="shared" si="0"/>
        <v>-2</v>
      </c>
      <c r="C21" s="784">
        <f t="shared" si="1"/>
        <v>0</v>
      </c>
      <c r="D21" s="785">
        <f t="shared" si="2"/>
        <v>0</v>
      </c>
      <c r="F21" s="212">
        <f t="shared" si="3"/>
        <v>-2</v>
      </c>
      <c r="G21" s="733">
        <f t="shared" si="4"/>
        <v>0</v>
      </c>
      <c r="H21" s="733">
        <f t="shared" si="5"/>
        <v>0</v>
      </c>
      <c r="I21" s="786" cm="1">
        <f t="array" ref="I21">H21-G21+IF(F21&lt;Åpningsår,0,IF(F21&gt;=Åpningsår+ProsjektetsLevetid,0,
(Slitasje_Godstog*_xlfn.SWITCH(Antall_Beregningsår,
1,(GodstogMkmD_År1+GodstogMkmEL_År1),
2,IF(F21&lt;AndreBeregningsår,(GodstogMkmD_År1+GodstogMkmEL_År1),(GodstogMkmD_År2+GodstogMkmEL_År2)),
3,IF(F21&lt;AndreBeregningsår,(GodstogMkmD_År1+GodstogMkmEL_År1),IF(F21&lt;TredjeBeregningsår,(GodstogMkmD_År2+GodstogMkmEL_År2),(GodstogMkmD_År3+GodstogMkmEL_År3)))))))</f>
        <v>0</v>
      </c>
      <c r="K21" s="212">
        <f t="shared" si="6"/>
        <v>-2</v>
      </c>
      <c r="L21" s="787">
        <f t="shared" si="7"/>
        <v>0</v>
      </c>
      <c r="M21" s="788">
        <f t="shared" si="8"/>
        <v>0</v>
      </c>
    </row>
    <row r="22" spans="1:13" x14ac:dyDescent="0.35">
      <c r="B22" s="212">
        <f t="shared" si="0"/>
        <v>-1</v>
      </c>
      <c r="C22" s="784">
        <f t="shared" si="1"/>
        <v>0</v>
      </c>
      <c r="D22" s="785">
        <f t="shared" si="2"/>
        <v>0</v>
      </c>
      <c r="F22" s="212">
        <f>F23-1</f>
        <v>-1</v>
      </c>
      <c r="G22" s="733">
        <f t="shared" si="4"/>
        <v>0</v>
      </c>
      <c r="H22" s="733">
        <f t="shared" si="5"/>
        <v>0</v>
      </c>
      <c r="I22" s="786" cm="1">
        <f t="array" ref="I22">H22-G22+IF(F22&lt;Åpningsår,0,IF(F22&gt;=Åpningsår+ProsjektetsLevetid,0,
(Slitasje_Godstog*_xlfn.SWITCH(Antall_Beregningsår,
1,(GodstogMkmD_År1+GodstogMkmEL_År1),
2,IF(F22&lt;AndreBeregningsår,(GodstogMkmD_År1+GodstogMkmEL_År1),(GodstogMkmD_År2+GodstogMkmEL_År2)),
3,IF(F22&lt;AndreBeregningsår,(GodstogMkmD_År1+GodstogMkmEL_År1),IF(F22&lt;TredjeBeregningsår,(GodstogMkmD_År2+GodstogMkmEL_År2),(GodstogMkmD_År3+GodstogMkmEL_År3)))))))</f>
        <v>0</v>
      </c>
      <c r="K22" s="212">
        <f>K23-1</f>
        <v>-1</v>
      </c>
      <c r="L22" s="787">
        <f t="shared" si="7"/>
        <v>0</v>
      </c>
      <c r="M22" s="788">
        <f t="shared" si="8"/>
        <v>0</v>
      </c>
    </row>
    <row r="23" spans="1:13" x14ac:dyDescent="0.35">
      <c r="B23" s="313">
        <f>Åpningsår</f>
        <v>0</v>
      </c>
      <c r="C23" s="784">
        <f t="shared" si="1"/>
        <v>0</v>
      </c>
      <c r="D23" s="785">
        <f t="shared" si="2"/>
        <v>0</v>
      </c>
      <c r="E23" s="6"/>
      <c r="F23" s="313">
        <f>Åpningsår</f>
        <v>0</v>
      </c>
      <c r="G23" s="733">
        <f t="shared" si="4"/>
        <v>0</v>
      </c>
      <c r="H23" s="733">
        <f t="shared" si="5"/>
        <v>0</v>
      </c>
      <c r="I23" s="786" cm="1">
        <f t="array" ref="I23">H23-G23+IF(F23&lt;Åpningsår,0,IF(F23&gt;=Åpningsår+ProsjektetsLevetid,0,
(Slitasje_Godstog*_xlfn.SWITCH(Antall_Beregningsår,
1,(GodstogMkmD_År1+GodstogMkmEL_År1),
2,IF(F23&lt;AndreBeregningsår,(GodstogMkmD_År1+GodstogMkmEL_År1),(GodstogMkmD_År2+GodstogMkmEL_År2)),
3,IF(F23&lt;AndreBeregningsår,(GodstogMkmD_År1+GodstogMkmEL_År1),IF(F23&lt;TredjeBeregningsår,(GodstogMkmD_År2+GodstogMkmEL_År2),(GodstogMkmD_År3+GodstogMkmEL_År3)))))))</f>
        <v>0</v>
      </c>
      <c r="K23" s="313">
        <f>Åpningsår</f>
        <v>0</v>
      </c>
      <c r="L23" s="787">
        <f t="shared" si="7"/>
        <v>0</v>
      </c>
      <c r="M23" s="788">
        <f t="shared" si="8"/>
        <v>0</v>
      </c>
    </row>
    <row r="24" spans="1:13" x14ac:dyDescent="0.35">
      <c r="B24" s="212">
        <f t="shared" ref="B24:B55" si="9">B23+1</f>
        <v>1</v>
      </c>
      <c r="C24" s="784">
        <f t="shared" si="1"/>
        <v>0</v>
      </c>
      <c r="D24" s="785">
        <f t="shared" si="2"/>
        <v>0</v>
      </c>
      <c r="F24" s="212">
        <f>F23+1</f>
        <v>1</v>
      </c>
      <c r="G24" s="733">
        <f t="shared" si="4"/>
        <v>0</v>
      </c>
      <c r="H24" s="733">
        <f t="shared" si="5"/>
        <v>0</v>
      </c>
      <c r="I24" s="786" cm="1">
        <f t="array" ref="I24">H24-G24+IF(F24&lt;Åpningsår,0,IF(F24&gt;=Åpningsår+ProsjektetsLevetid,0,
(Slitasje_Godstog*_xlfn.SWITCH(Antall_Beregningsår,
1,(GodstogMkmD_År1+GodstogMkmEL_År1),
2,IF(F24&lt;AndreBeregningsår,(GodstogMkmD_År1+GodstogMkmEL_År1),(GodstogMkmD_År2+GodstogMkmEL_År2)),
3,IF(F24&lt;AndreBeregningsår,(GodstogMkmD_År1+GodstogMkmEL_År1),IF(F24&lt;TredjeBeregningsår,(GodstogMkmD_År2+GodstogMkmEL_År2),(GodstogMkmD_År3+GodstogMkmEL_År3)))))))</f>
        <v>0</v>
      </c>
      <c r="K24" s="212">
        <f>K23+1</f>
        <v>1</v>
      </c>
      <c r="L24" s="787">
        <f t="shared" si="7"/>
        <v>0</v>
      </c>
      <c r="M24" s="788">
        <f t="shared" si="8"/>
        <v>0</v>
      </c>
    </row>
    <row r="25" spans="1:13" x14ac:dyDescent="0.35">
      <c r="B25" s="212">
        <f t="shared" si="9"/>
        <v>2</v>
      </c>
      <c r="C25" s="784">
        <f t="shared" si="1"/>
        <v>0</v>
      </c>
      <c r="D25" s="785">
        <f t="shared" si="2"/>
        <v>0</v>
      </c>
      <c r="F25" s="212">
        <f t="shared" ref="F25:F88" si="10">F24+1</f>
        <v>2</v>
      </c>
      <c r="G25" s="733">
        <f t="shared" si="4"/>
        <v>0</v>
      </c>
      <c r="H25" s="733">
        <f t="shared" si="5"/>
        <v>0</v>
      </c>
      <c r="I25" s="786" cm="1">
        <f t="array" ref="I25">H25-G25+IF(F25&lt;Åpningsår,0,IF(F25&gt;=Åpningsår+ProsjektetsLevetid,0,
(Slitasje_Godstog*_xlfn.SWITCH(Antall_Beregningsår,
1,(GodstogMkmD_År1+GodstogMkmEL_År1),
2,IF(F25&lt;AndreBeregningsår,(GodstogMkmD_År1+GodstogMkmEL_År1),(GodstogMkmD_År2+GodstogMkmEL_År2)),
3,IF(F25&lt;AndreBeregningsår,(GodstogMkmD_År1+GodstogMkmEL_År1),IF(F25&lt;TredjeBeregningsår,(GodstogMkmD_År2+GodstogMkmEL_År2),(GodstogMkmD_År3+GodstogMkmEL_År3)))))))</f>
        <v>0</v>
      </c>
      <c r="K25" s="212">
        <f t="shared" ref="K25:K88" si="11">K24+1</f>
        <v>2</v>
      </c>
      <c r="L25" s="787">
        <f t="shared" si="7"/>
        <v>0</v>
      </c>
      <c r="M25" s="788">
        <f t="shared" si="8"/>
        <v>0</v>
      </c>
    </row>
    <row r="26" spans="1:13" x14ac:dyDescent="0.35">
      <c r="B26" s="212">
        <f t="shared" si="9"/>
        <v>3</v>
      </c>
      <c r="C26" s="784">
        <f t="shared" si="1"/>
        <v>0</v>
      </c>
      <c r="D26" s="785">
        <f t="shared" si="2"/>
        <v>0</v>
      </c>
      <c r="F26" s="212">
        <f t="shared" si="10"/>
        <v>3</v>
      </c>
      <c r="G26" s="733">
        <f t="shared" si="4"/>
        <v>0</v>
      </c>
      <c r="H26" s="733">
        <f t="shared" si="5"/>
        <v>0</v>
      </c>
      <c r="I26" s="786" cm="1">
        <f t="array" ref="I26">H26-G26+IF(F26&lt;Åpningsår,0,IF(F26&gt;=Åpningsår+ProsjektetsLevetid,0,
(Slitasje_Godstog*_xlfn.SWITCH(Antall_Beregningsår,
1,(GodstogMkmD_År1+GodstogMkmEL_År1),
2,IF(F26&lt;AndreBeregningsår,(GodstogMkmD_År1+GodstogMkmEL_År1),(GodstogMkmD_År2+GodstogMkmEL_År2)),
3,IF(F26&lt;AndreBeregningsår,(GodstogMkmD_År1+GodstogMkmEL_År1),IF(F26&lt;TredjeBeregningsår,(GodstogMkmD_År2+GodstogMkmEL_År2),(GodstogMkmD_År3+GodstogMkmEL_År3)))))))</f>
        <v>0</v>
      </c>
      <c r="K26" s="212">
        <f t="shared" si="11"/>
        <v>3</v>
      </c>
      <c r="L26" s="787">
        <f t="shared" si="7"/>
        <v>0</v>
      </c>
      <c r="M26" s="788">
        <f t="shared" si="8"/>
        <v>0</v>
      </c>
    </row>
    <row r="27" spans="1:13" x14ac:dyDescent="0.35">
      <c r="B27" s="212">
        <f t="shared" si="9"/>
        <v>4</v>
      </c>
      <c r="C27" s="784">
        <f t="shared" si="1"/>
        <v>0</v>
      </c>
      <c r="D27" s="785">
        <f t="shared" si="2"/>
        <v>0</v>
      </c>
      <c r="F27" s="212">
        <f t="shared" si="10"/>
        <v>4</v>
      </c>
      <c r="G27" s="733">
        <f t="shared" si="4"/>
        <v>0</v>
      </c>
      <c r="H27" s="733">
        <f t="shared" si="5"/>
        <v>0</v>
      </c>
      <c r="I27" s="786" cm="1">
        <f t="array" ref="I27">H27-G27+IF(F27&lt;Åpningsår,0,IF(F27&gt;=Åpningsår+ProsjektetsLevetid,0,
(Slitasje_Godstog*_xlfn.SWITCH(Antall_Beregningsår,
1,(GodstogMkmD_År1+GodstogMkmEL_År1),
2,IF(F27&lt;AndreBeregningsår,(GodstogMkmD_År1+GodstogMkmEL_År1),(GodstogMkmD_År2+GodstogMkmEL_År2)),
3,IF(F27&lt;AndreBeregningsår,(GodstogMkmD_År1+GodstogMkmEL_År1),IF(F27&lt;TredjeBeregningsår,(GodstogMkmD_År2+GodstogMkmEL_År2),(GodstogMkmD_År3+GodstogMkmEL_År3)))))))</f>
        <v>0</v>
      </c>
      <c r="K27" s="212">
        <f t="shared" si="11"/>
        <v>4</v>
      </c>
      <c r="L27" s="787">
        <f t="shared" si="7"/>
        <v>0</v>
      </c>
      <c r="M27" s="788">
        <f t="shared" si="8"/>
        <v>0</v>
      </c>
    </row>
    <row r="28" spans="1:13" x14ac:dyDescent="0.35">
      <c r="B28" s="212">
        <f t="shared" si="9"/>
        <v>5</v>
      </c>
      <c r="C28" s="784">
        <f t="shared" si="1"/>
        <v>0</v>
      </c>
      <c r="D28" s="785">
        <f t="shared" si="2"/>
        <v>0</v>
      </c>
      <c r="F28" s="212">
        <f t="shared" si="10"/>
        <v>5</v>
      </c>
      <c r="G28" s="733">
        <f t="shared" si="4"/>
        <v>0</v>
      </c>
      <c r="H28" s="733">
        <f t="shared" si="5"/>
        <v>0</v>
      </c>
      <c r="I28" s="786" cm="1">
        <f t="array" ref="I28">H28-G28+IF(F28&lt;Åpningsår,0,IF(F28&gt;=Åpningsår+ProsjektetsLevetid,0,
(Slitasje_Godstog*_xlfn.SWITCH(Antall_Beregningsår,
1,(GodstogMkmD_År1+GodstogMkmEL_År1),
2,IF(F28&lt;AndreBeregningsår,(GodstogMkmD_År1+GodstogMkmEL_År1),(GodstogMkmD_År2+GodstogMkmEL_År2)),
3,IF(F28&lt;AndreBeregningsår,(GodstogMkmD_År1+GodstogMkmEL_År1),IF(F28&lt;TredjeBeregningsår,(GodstogMkmD_År2+GodstogMkmEL_År2),(GodstogMkmD_År3+GodstogMkmEL_År3)))))))</f>
        <v>0</v>
      </c>
      <c r="K28" s="212">
        <f t="shared" si="11"/>
        <v>5</v>
      </c>
      <c r="L28" s="787">
        <f t="shared" si="7"/>
        <v>0</v>
      </c>
      <c r="M28" s="788">
        <f t="shared" si="8"/>
        <v>0</v>
      </c>
    </row>
    <row r="29" spans="1:13" x14ac:dyDescent="0.35">
      <c r="B29" s="212">
        <f t="shared" si="9"/>
        <v>6</v>
      </c>
      <c r="C29" s="784">
        <f t="shared" si="1"/>
        <v>0</v>
      </c>
      <c r="D29" s="785">
        <f t="shared" si="2"/>
        <v>0</v>
      </c>
      <c r="F29" s="212">
        <f t="shared" si="10"/>
        <v>6</v>
      </c>
      <c r="G29" s="733">
        <f t="shared" si="4"/>
        <v>0</v>
      </c>
      <c r="H29" s="733">
        <f t="shared" si="5"/>
        <v>0</v>
      </c>
      <c r="I29" s="786" cm="1">
        <f t="array" ref="I29">H29-G29+IF(F29&lt;Åpningsår,0,IF(F29&gt;=Åpningsår+ProsjektetsLevetid,0,
(Slitasje_Godstog*_xlfn.SWITCH(Antall_Beregningsår,
1,(GodstogMkmD_År1+GodstogMkmEL_År1),
2,IF(F29&lt;AndreBeregningsår,(GodstogMkmD_År1+GodstogMkmEL_År1),(GodstogMkmD_År2+GodstogMkmEL_År2)),
3,IF(F29&lt;AndreBeregningsår,(GodstogMkmD_År1+GodstogMkmEL_År1),IF(F29&lt;TredjeBeregningsår,(GodstogMkmD_År2+GodstogMkmEL_År2),(GodstogMkmD_År3+GodstogMkmEL_År3)))))))</f>
        <v>0</v>
      </c>
      <c r="K29" s="212">
        <f t="shared" si="11"/>
        <v>6</v>
      </c>
      <c r="L29" s="787">
        <f t="shared" si="7"/>
        <v>0</v>
      </c>
      <c r="M29" s="788">
        <f t="shared" si="8"/>
        <v>0</v>
      </c>
    </row>
    <row r="30" spans="1:13" x14ac:dyDescent="0.35">
      <c r="B30" s="212">
        <f t="shared" si="9"/>
        <v>7</v>
      </c>
      <c r="C30" s="784">
        <f t="shared" si="1"/>
        <v>0</v>
      </c>
      <c r="D30" s="785">
        <f t="shared" si="2"/>
        <v>0</v>
      </c>
      <c r="F30" s="212">
        <f t="shared" si="10"/>
        <v>7</v>
      </c>
      <c r="G30" s="733">
        <f t="shared" si="4"/>
        <v>0</v>
      </c>
      <c r="H30" s="733">
        <f t="shared" si="5"/>
        <v>0</v>
      </c>
      <c r="I30" s="786" cm="1">
        <f t="array" ref="I30">H30-G30+IF(F30&lt;Åpningsår,0,IF(F30&gt;=Åpningsår+ProsjektetsLevetid,0,
(Slitasje_Godstog*_xlfn.SWITCH(Antall_Beregningsår,
1,(GodstogMkmD_År1+GodstogMkmEL_År1),
2,IF(F30&lt;AndreBeregningsår,(GodstogMkmD_År1+GodstogMkmEL_År1),(GodstogMkmD_År2+GodstogMkmEL_År2)),
3,IF(F30&lt;AndreBeregningsår,(GodstogMkmD_År1+GodstogMkmEL_År1),IF(F30&lt;TredjeBeregningsår,(GodstogMkmD_År2+GodstogMkmEL_År2),(GodstogMkmD_År3+GodstogMkmEL_År3)))))))</f>
        <v>0</v>
      </c>
      <c r="K30" s="212">
        <f t="shared" si="11"/>
        <v>7</v>
      </c>
      <c r="L30" s="787">
        <f t="shared" si="7"/>
        <v>0</v>
      </c>
      <c r="M30" s="788">
        <f t="shared" si="8"/>
        <v>0</v>
      </c>
    </row>
    <row r="31" spans="1:13" x14ac:dyDescent="0.35">
      <c r="B31" s="212">
        <f t="shared" si="9"/>
        <v>8</v>
      </c>
      <c r="C31" s="784">
        <f t="shared" si="1"/>
        <v>0</v>
      </c>
      <c r="D31" s="785">
        <f t="shared" si="2"/>
        <v>0</v>
      </c>
      <c r="F31" s="212">
        <f t="shared" si="10"/>
        <v>8</v>
      </c>
      <c r="G31" s="733">
        <f t="shared" si="4"/>
        <v>0</v>
      </c>
      <c r="H31" s="733">
        <f t="shared" si="5"/>
        <v>0</v>
      </c>
      <c r="I31" s="786" cm="1">
        <f t="array" ref="I31">H31-G31+IF(F31&lt;Åpningsår,0,IF(F31&gt;=Åpningsår+ProsjektetsLevetid,0,
(Slitasje_Godstog*_xlfn.SWITCH(Antall_Beregningsår,
1,(GodstogMkmD_År1+GodstogMkmEL_År1),
2,IF(F31&lt;AndreBeregningsår,(GodstogMkmD_År1+GodstogMkmEL_År1),(GodstogMkmD_År2+GodstogMkmEL_År2)),
3,IF(F31&lt;AndreBeregningsår,(GodstogMkmD_År1+GodstogMkmEL_År1),IF(F31&lt;TredjeBeregningsår,(GodstogMkmD_År2+GodstogMkmEL_År2),(GodstogMkmD_År3+GodstogMkmEL_År3)))))))</f>
        <v>0</v>
      </c>
      <c r="K31" s="212">
        <f t="shared" si="11"/>
        <v>8</v>
      </c>
      <c r="L31" s="787">
        <f t="shared" si="7"/>
        <v>0</v>
      </c>
      <c r="M31" s="788">
        <f t="shared" si="8"/>
        <v>0</v>
      </c>
    </row>
    <row r="32" spans="1:13" x14ac:dyDescent="0.35">
      <c r="B32" s="212">
        <f t="shared" si="9"/>
        <v>9</v>
      </c>
      <c r="C32" s="784">
        <f t="shared" si="1"/>
        <v>0</v>
      </c>
      <c r="D32" s="785">
        <f t="shared" si="2"/>
        <v>0</v>
      </c>
      <c r="F32" s="212">
        <f t="shared" si="10"/>
        <v>9</v>
      </c>
      <c r="G32" s="733">
        <f t="shared" si="4"/>
        <v>0</v>
      </c>
      <c r="H32" s="733">
        <f t="shared" si="5"/>
        <v>0</v>
      </c>
      <c r="I32" s="786" cm="1">
        <f t="array" ref="I32">H32-G32+IF(F32&lt;Åpningsår,0,IF(F32&gt;=Åpningsår+ProsjektetsLevetid,0,
(Slitasje_Godstog*_xlfn.SWITCH(Antall_Beregningsår,
1,(GodstogMkmD_År1+GodstogMkmEL_År1),
2,IF(F32&lt;AndreBeregningsår,(GodstogMkmD_År1+GodstogMkmEL_År1),(GodstogMkmD_År2+GodstogMkmEL_År2)),
3,IF(F32&lt;AndreBeregningsår,(GodstogMkmD_År1+GodstogMkmEL_År1),IF(F32&lt;TredjeBeregningsår,(GodstogMkmD_År2+GodstogMkmEL_År2),(GodstogMkmD_År3+GodstogMkmEL_År3)))))))</f>
        <v>0</v>
      </c>
      <c r="K32" s="212">
        <f t="shared" si="11"/>
        <v>9</v>
      </c>
      <c r="L32" s="787">
        <f t="shared" si="7"/>
        <v>0</v>
      </c>
      <c r="M32" s="788">
        <f t="shared" si="8"/>
        <v>0</v>
      </c>
    </row>
    <row r="33" spans="1:13" x14ac:dyDescent="0.35">
      <c r="B33" s="212">
        <f t="shared" si="9"/>
        <v>10</v>
      </c>
      <c r="C33" s="784">
        <f t="shared" si="1"/>
        <v>0</v>
      </c>
      <c r="D33" s="785">
        <f t="shared" si="2"/>
        <v>0</v>
      </c>
      <c r="F33" s="212">
        <f t="shared" si="10"/>
        <v>10</v>
      </c>
      <c r="G33" s="733">
        <f t="shared" si="4"/>
        <v>0</v>
      </c>
      <c r="H33" s="733">
        <f t="shared" si="5"/>
        <v>0</v>
      </c>
      <c r="I33" s="786" cm="1">
        <f t="array" ref="I33">H33-G33+IF(F33&lt;Åpningsår,0,IF(F33&gt;=Åpningsår+ProsjektetsLevetid,0,
(Slitasje_Godstog*_xlfn.SWITCH(Antall_Beregningsår,
1,(GodstogMkmD_År1+GodstogMkmEL_År1),
2,IF(F33&lt;AndreBeregningsår,(GodstogMkmD_År1+GodstogMkmEL_År1),(GodstogMkmD_År2+GodstogMkmEL_År2)),
3,IF(F33&lt;AndreBeregningsår,(GodstogMkmD_År1+GodstogMkmEL_År1),IF(F33&lt;TredjeBeregningsår,(GodstogMkmD_År2+GodstogMkmEL_År2),(GodstogMkmD_År3+GodstogMkmEL_År3)))))))</f>
        <v>0</v>
      </c>
      <c r="K33" s="212">
        <f t="shared" si="11"/>
        <v>10</v>
      </c>
      <c r="L33" s="787">
        <f t="shared" si="7"/>
        <v>0</v>
      </c>
      <c r="M33" s="788">
        <f t="shared" si="8"/>
        <v>0</v>
      </c>
    </row>
    <row r="34" spans="1:13" x14ac:dyDescent="0.35">
      <c r="B34" s="212">
        <f t="shared" si="9"/>
        <v>11</v>
      </c>
      <c r="C34" s="784">
        <f t="shared" si="1"/>
        <v>0</v>
      </c>
      <c r="D34" s="785">
        <f t="shared" si="2"/>
        <v>0</v>
      </c>
      <c r="F34" s="212">
        <f t="shared" si="10"/>
        <v>11</v>
      </c>
      <c r="G34" s="733">
        <f t="shared" si="4"/>
        <v>0</v>
      </c>
      <c r="H34" s="733">
        <f t="shared" si="5"/>
        <v>0</v>
      </c>
      <c r="I34" s="786" cm="1">
        <f t="array" ref="I34">H34-G34+IF(F34&lt;Åpningsår,0,IF(F34&gt;=Åpningsår+ProsjektetsLevetid,0,
(Slitasje_Godstog*_xlfn.SWITCH(Antall_Beregningsår,
1,(GodstogMkmD_År1+GodstogMkmEL_År1),
2,IF(F34&lt;AndreBeregningsår,(GodstogMkmD_År1+GodstogMkmEL_År1),(GodstogMkmD_År2+GodstogMkmEL_År2)),
3,IF(F34&lt;AndreBeregningsår,(GodstogMkmD_År1+GodstogMkmEL_År1),IF(F34&lt;TredjeBeregningsår,(GodstogMkmD_År2+GodstogMkmEL_År2),(GodstogMkmD_År3+GodstogMkmEL_År3)))))))</f>
        <v>0</v>
      </c>
      <c r="K34" s="212">
        <f t="shared" si="11"/>
        <v>11</v>
      </c>
      <c r="L34" s="787">
        <f t="shared" si="7"/>
        <v>0</v>
      </c>
      <c r="M34" s="788">
        <f t="shared" si="8"/>
        <v>0</v>
      </c>
    </row>
    <row r="35" spans="1:13" x14ac:dyDescent="0.35">
      <c r="B35" s="212">
        <f t="shared" si="9"/>
        <v>12</v>
      </c>
      <c r="C35" s="784">
        <f t="shared" si="1"/>
        <v>0</v>
      </c>
      <c r="D35" s="785">
        <f t="shared" si="2"/>
        <v>0</v>
      </c>
      <c r="F35" s="212">
        <f t="shared" si="10"/>
        <v>12</v>
      </c>
      <c r="G35" s="733">
        <f t="shared" si="4"/>
        <v>0</v>
      </c>
      <c r="H35" s="733">
        <f t="shared" si="5"/>
        <v>0</v>
      </c>
      <c r="I35" s="786" cm="1">
        <f t="array" ref="I35">H35-G35+IF(F35&lt;Åpningsår,0,IF(F35&gt;=Åpningsår+ProsjektetsLevetid,0,
(Slitasje_Godstog*_xlfn.SWITCH(Antall_Beregningsår,
1,(GodstogMkmD_År1+GodstogMkmEL_År1),
2,IF(F35&lt;AndreBeregningsår,(GodstogMkmD_År1+GodstogMkmEL_År1),(GodstogMkmD_År2+GodstogMkmEL_År2)),
3,IF(F35&lt;AndreBeregningsår,(GodstogMkmD_År1+GodstogMkmEL_År1),IF(F35&lt;TredjeBeregningsår,(GodstogMkmD_År2+GodstogMkmEL_År2),(GodstogMkmD_År3+GodstogMkmEL_År3)))))))</f>
        <v>0</v>
      </c>
      <c r="K35" s="212">
        <f t="shared" si="11"/>
        <v>12</v>
      </c>
      <c r="L35" s="787">
        <f t="shared" si="7"/>
        <v>0</v>
      </c>
      <c r="M35" s="788">
        <f t="shared" si="8"/>
        <v>0</v>
      </c>
    </row>
    <row r="36" spans="1:13" x14ac:dyDescent="0.35">
      <c r="B36" s="212">
        <f t="shared" si="9"/>
        <v>13</v>
      </c>
      <c r="C36" s="784">
        <f t="shared" si="1"/>
        <v>0</v>
      </c>
      <c r="D36" s="785">
        <f t="shared" si="2"/>
        <v>0</v>
      </c>
      <c r="F36" s="212">
        <f t="shared" si="10"/>
        <v>13</v>
      </c>
      <c r="G36" s="733">
        <f t="shared" si="4"/>
        <v>0</v>
      </c>
      <c r="H36" s="733">
        <f t="shared" si="5"/>
        <v>0</v>
      </c>
      <c r="I36" s="786" cm="1">
        <f t="array" ref="I36">H36-G36+IF(F36&lt;Åpningsår,0,IF(F36&gt;=Åpningsår+ProsjektetsLevetid,0,
(Slitasje_Godstog*_xlfn.SWITCH(Antall_Beregningsår,
1,(GodstogMkmD_År1+GodstogMkmEL_År1),
2,IF(F36&lt;AndreBeregningsår,(GodstogMkmD_År1+GodstogMkmEL_År1),(GodstogMkmD_År2+GodstogMkmEL_År2)),
3,IF(F36&lt;AndreBeregningsår,(GodstogMkmD_År1+GodstogMkmEL_År1),IF(F36&lt;TredjeBeregningsår,(GodstogMkmD_År2+GodstogMkmEL_År2),(GodstogMkmD_År3+GodstogMkmEL_År3)))))))</f>
        <v>0</v>
      </c>
      <c r="K36" s="212">
        <f t="shared" si="11"/>
        <v>13</v>
      </c>
      <c r="L36" s="787">
        <f t="shared" si="7"/>
        <v>0</v>
      </c>
      <c r="M36" s="788">
        <f t="shared" si="8"/>
        <v>0</v>
      </c>
    </row>
    <row r="37" spans="1:13" x14ac:dyDescent="0.35">
      <c r="B37" s="212">
        <f t="shared" si="9"/>
        <v>14</v>
      </c>
      <c r="C37" s="784">
        <f t="shared" si="1"/>
        <v>0</v>
      </c>
      <c r="D37" s="785">
        <f t="shared" si="2"/>
        <v>0</v>
      </c>
      <c r="F37" s="212">
        <f t="shared" si="10"/>
        <v>14</v>
      </c>
      <c r="G37" s="733">
        <f t="shared" si="4"/>
        <v>0</v>
      </c>
      <c r="H37" s="733">
        <f t="shared" si="5"/>
        <v>0</v>
      </c>
      <c r="I37" s="786" cm="1">
        <f t="array" ref="I37">H37-G37+IF(F37&lt;Åpningsår,0,IF(F37&gt;=Åpningsår+ProsjektetsLevetid,0,
(Slitasje_Godstog*_xlfn.SWITCH(Antall_Beregningsår,
1,(GodstogMkmD_År1+GodstogMkmEL_År1),
2,IF(F37&lt;AndreBeregningsår,(GodstogMkmD_År1+GodstogMkmEL_År1),(GodstogMkmD_År2+GodstogMkmEL_År2)),
3,IF(F37&lt;AndreBeregningsår,(GodstogMkmD_År1+GodstogMkmEL_År1),IF(F37&lt;TredjeBeregningsår,(GodstogMkmD_År2+GodstogMkmEL_År2),(GodstogMkmD_År3+GodstogMkmEL_År3)))))))</f>
        <v>0</v>
      </c>
      <c r="K37" s="212">
        <f t="shared" si="11"/>
        <v>14</v>
      </c>
      <c r="L37" s="787">
        <f t="shared" si="7"/>
        <v>0</v>
      </c>
      <c r="M37" s="788">
        <f t="shared" si="8"/>
        <v>0</v>
      </c>
    </row>
    <row r="38" spans="1:13" x14ac:dyDescent="0.35">
      <c r="B38" s="212">
        <f t="shared" si="9"/>
        <v>15</v>
      </c>
      <c r="C38" s="784">
        <f t="shared" si="1"/>
        <v>0</v>
      </c>
      <c r="D38" s="785">
        <f t="shared" si="2"/>
        <v>0</v>
      </c>
      <c r="F38" s="212">
        <f t="shared" si="10"/>
        <v>15</v>
      </c>
      <c r="G38" s="733">
        <f t="shared" si="4"/>
        <v>0</v>
      </c>
      <c r="H38" s="733">
        <f t="shared" si="5"/>
        <v>0</v>
      </c>
      <c r="I38" s="786" cm="1">
        <f t="array" ref="I38">H38-G38+IF(F38&lt;Åpningsår,0,IF(F38&gt;=Åpningsår+ProsjektetsLevetid,0,
(Slitasje_Godstog*_xlfn.SWITCH(Antall_Beregningsår,
1,(GodstogMkmD_År1+GodstogMkmEL_År1),
2,IF(F38&lt;AndreBeregningsår,(GodstogMkmD_År1+GodstogMkmEL_År1),(GodstogMkmD_År2+GodstogMkmEL_År2)),
3,IF(F38&lt;AndreBeregningsår,(GodstogMkmD_År1+GodstogMkmEL_År1),IF(F38&lt;TredjeBeregningsår,(GodstogMkmD_År2+GodstogMkmEL_År2),(GodstogMkmD_År3+GodstogMkmEL_År3)))))))</f>
        <v>0</v>
      </c>
      <c r="K38" s="212">
        <f t="shared" si="11"/>
        <v>15</v>
      </c>
      <c r="L38" s="787">
        <f t="shared" si="7"/>
        <v>0</v>
      </c>
      <c r="M38" s="788">
        <f t="shared" si="8"/>
        <v>0</v>
      </c>
    </row>
    <row r="39" spans="1:13" x14ac:dyDescent="0.35">
      <c r="B39" s="212">
        <f t="shared" si="9"/>
        <v>16</v>
      </c>
      <c r="C39" s="784">
        <f t="shared" si="1"/>
        <v>0</v>
      </c>
      <c r="D39" s="785">
        <f t="shared" si="2"/>
        <v>0</v>
      </c>
      <c r="F39" s="212">
        <f t="shared" si="10"/>
        <v>16</v>
      </c>
      <c r="G39" s="733">
        <f t="shared" si="4"/>
        <v>0</v>
      </c>
      <c r="H39" s="733">
        <f t="shared" si="5"/>
        <v>0</v>
      </c>
      <c r="I39" s="786" cm="1">
        <f t="array" ref="I39">H39-G39+IF(F39&lt;Åpningsår,0,IF(F39&gt;=Åpningsår+ProsjektetsLevetid,0,
(Slitasje_Godstog*_xlfn.SWITCH(Antall_Beregningsår,
1,(GodstogMkmD_År1+GodstogMkmEL_År1),
2,IF(F39&lt;AndreBeregningsår,(GodstogMkmD_År1+GodstogMkmEL_År1),(GodstogMkmD_År2+GodstogMkmEL_År2)),
3,IF(F39&lt;AndreBeregningsår,(GodstogMkmD_År1+GodstogMkmEL_År1),IF(F39&lt;TredjeBeregningsår,(GodstogMkmD_År2+GodstogMkmEL_År2),(GodstogMkmD_År3+GodstogMkmEL_År3)))))))</f>
        <v>0</v>
      </c>
      <c r="K39" s="212">
        <f t="shared" si="11"/>
        <v>16</v>
      </c>
      <c r="L39" s="787">
        <f t="shared" si="7"/>
        <v>0</v>
      </c>
      <c r="M39" s="788">
        <f t="shared" si="8"/>
        <v>0</v>
      </c>
    </row>
    <row r="40" spans="1:13" x14ac:dyDescent="0.35">
      <c r="B40" s="212">
        <f t="shared" si="9"/>
        <v>17</v>
      </c>
      <c r="C40" s="784">
        <f t="shared" si="1"/>
        <v>0</v>
      </c>
      <c r="D40" s="785">
        <f t="shared" si="2"/>
        <v>0</v>
      </c>
      <c r="F40" s="212">
        <f t="shared" si="10"/>
        <v>17</v>
      </c>
      <c r="G40" s="733">
        <f t="shared" si="4"/>
        <v>0</v>
      </c>
      <c r="H40" s="733">
        <f t="shared" si="5"/>
        <v>0</v>
      </c>
      <c r="I40" s="786" cm="1">
        <f t="array" ref="I40">H40-G40+IF(F40&lt;Åpningsår,0,IF(F40&gt;=Åpningsår+ProsjektetsLevetid,0,
(Slitasje_Godstog*_xlfn.SWITCH(Antall_Beregningsår,
1,(GodstogMkmD_År1+GodstogMkmEL_År1),
2,IF(F40&lt;AndreBeregningsår,(GodstogMkmD_År1+GodstogMkmEL_År1),(GodstogMkmD_År2+GodstogMkmEL_År2)),
3,IF(F40&lt;AndreBeregningsår,(GodstogMkmD_År1+GodstogMkmEL_År1),IF(F40&lt;TredjeBeregningsår,(GodstogMkmD_År2+GodstogMkmEL_År2),(GodstogMkmD_År3+GodstogMkmEL_År3)))))))</f>
        <v>0</v>
      </c>
      <c r="K40" s="212">
        <f t="shared" si="11"/>
        <v>17</v>
      </c>
      <c r="L40" s="787">
        <f t="shared" si="7"/>
        <v>0</v>
      </c>
      <c r="M40" s="788">
        <f t="shared" si="8"/>
        <v>0</v>
      </c>
    </row>
    <row r="41" spans="1:13" x14ac:dyDescent="0.35">
      <c r="B41" s="212">
        <f t="shared" si="9"/>
        <v>18</v>
      </c>
      <c r="C41" s="784">
        <f t="shared" si="1"/>
        <v>0</v>
      </c>
      <c r="D41" s="785">
        <f t="shared" si="2"/>
        <v>0</v>
      </c>
      <c r="F41" s="212">
        <f t="shared" si="10"/>
        <v>18</v>
      </c>
      <c r="G41" s="733">
        <f t="shared" si="4"/>
        <v>0</v>
      </c>
      <c r="H41" s="733">
        <f t="shared" si="5"/>
        <v>0</v>
      </c>
      <c r="I41" s="786" cm="1">
        <f t="array" ref="I41">H41-G41+IF(F41&lt;Åpningsår,0,IF(F41&gt;=Åpningsår+ProsjektetsLevetid,0,
(Slitasje_Godstog*_xlfn.SWITCH(Antall_Beregningsår,
1,(GodstogMkmD_År1+GodstogMkmEL_År1),
2,IF(F41&lt;AndreBeregningsår,(GodstogMkmD_År1+GodstogMkmEL_År1),(GodstogMkmD_År2+GodstogMkmEL_År2)),
3,IF(F41&lt;AndreBeregningsår,(GodstogMkmD_År1+GodstogMkmEL_År1),IF(F41&lt;TredjeBeregningsår,(GodstogMkmD_År2+GodstogMkmEL_År2),(GodstogMkmD_År3+GodstogMkmEL_År3)))))))</f>
        <v>0</v>
      </c>
      <c r="K41" s="212">
        <f t="shared" si="11"/>
        <v>18</v>
      </c>
      <c r="L41" s="787">
        <f t="shared" si="7"/>
        <v>0</v>
      </c>
      <c r="M41" s="788">
        <f t="shared" si="8"/>
        <v>0</v>
      </c>
    </row>
    <row r="42" spans="1:13" x14ac:dyDescent="0.35">
      <c r="B42" s="212">
        <f t="shared" si="9"/>
        <v>19</v>
      </c>
      <c r="C42" s="784">
        <f t="shared" si="1"/>
        <v>0</v>
      </c>
      <c r="D42" s="785">
        <f t="shared" si="2"/>
        <v>0</v>
      </c>
      <c r="F42" s="212">
        <f t="shared" si="10"/>
        <v>19</v>
      </c>
      <c r="G42" s="733">
        <f t="shared" si="4"/>
        <v>0</v>
      </c>
      <c r="H42" s="733">
        <f t="shared" si="5"/>
        <v>0</v>
      </c>
      <c r="I42" s="786" cm="1">
        <f t="array" ref="I42">H42-G42+IF(F42&lt;Åpningsår,0,IF(F42&gt;=Åpningsår+ProsjektetsLevetid,0,
(Slitasje_Godstog*_xlfn.SWITCH(Antall_Beregningsår,
1,(GodstogMkmD_År1+GodstogMkmEL_År1),
2,IF(F42&lt;AndreBeregningsår,(GodstogMkmD_År1+GodstogMkmEL_År1),(GodstogMkmD_År2+GodstogMkmEL_År2)),
3,IF(F42&lt;AndreBeregningsår,(GodstogMkmD_År1+GodstogMkmEL_År1),IF(F42&lt;TredjeBeregningsår,(GodstogMkmD_År2+GodstogMkmEL_År2),(GodstogMkmD_År3+GodstogMkmEL_År3)))))))</f>
        <v>0</v>
      </c>
      <c r="K42" s="212">
        <f t="shared" si="11"/>
        <v>19</v>
      </c>
      <c r="L42" s="787">
        <f t="shared" si="7"/>
        <v>0</v>
      </c>
      <c r="M42" s="788">
        <f t="shared" si="8"/>
        <v>0</v>
      </c>
    </row>
    <row r="43" spans="1:13" x14ac:dyDescent="0.35">
      <c r="B43" s="212">
        <f t="shared" si="9"/>
        <v>20</v>
      </c>
      <c r="C43" s="784">
        <f t="shared" si="1"/>
        <v>0</v>
      </c>
      <c r="D43" s="785">
        <f t="shared" si="2"/>
        <v>0</v>
      </c>
      <c r="F43" s="212">
        <f t="shared" si="10"/>
        <v>20</v>
      </c>
      <c r="G43" s="733">
        <f t="shared" si="4"/>
        <v>0</v>
      </c>
      <c r="H43" s="733">
        <f t="shared" si="5"/>
        <v>0</v>
      </c>
      <c r="I43" s="786" cm="1">
        <f t="array" ref="I43">H43-G43+IF(F43&lt;Åpningsår,0,IF(F43&gt;=Åpningsår+ProsjektetsLevetid,0,
(Slitasje_Godstog*_xlfn.SWITCH(Antall_Beregningsår,
1,(GodstogMkmD_År1+GodstogMkmEL_År1),
2,IF(F43&lt;AndreBeregningsår,(GodstogMkmD_År1+GodstogMkmEL_År1),(GodstogMkmD_År2+GodstogMkmEL_År2)),
3,IF(F43&lt;AndreBeregningsår,(GodstogMkmD_År1+GodstogMkmEL_År1),IF(F43&lt;TredjeBeregningsår,(GodstogMkmD_År2+GodstogMkmEL_År2),(GodstogMkmD_År3+GodstogMkmEL_År3)))))))</f>
        <v>0</v>
      </c>
      <c r="K43" s="212">
        <f t="shared" si="11"/>
        <v>20</v>
      </c>
      <c r="L43" s="787">
        <f t="shared" si="7"/>
        <v>0</v>
      </c>
      <c r="M43" s="788">
        <f t="shared" si="8"/>
        <v>0</v>
      </c>
    </row>
    <row r="44" spans="1:13" x14ac:dyDescent="0.35">
      <c r="B44" s="212">
        <f t="shared" si="9"/>
        <v>21</v>
      </c>
      <c r="C44" s="784">
        <f t="shared" si="1"/>
        <v>0</v>
      </c>
      <c r="D44" s="785">
        <f t="shared" si="2"/>
        <v>0</v>
      </c>
      <c r="F44" s="212">
        <f t="shared" si="10"/>
        <v>21</v>
      </c>
      <c r="G44" s="733">
        <f t="shared" si="4"/>
        <v>0</v>
      </c>
      <c r="H44" s="733">
        <f t="shared" si="5"/>
        <v>0</v>
      </c>
      <c r="I44" s="786" cm="1">
        <f t="array" ref="I44">H44-G44+IF(F44&lt;Åpningsår,0,IF(F44&gt;=Åpningsår+ProsjektetsLevetid,0,
(Slitasje_Godstog*_xlfn.SWITCH(Antall_Beregningsår,
1,(GodstogMkmD_År1+GodstogMkmEL_År1),
2,IF(F44&lt;AndreBeregningsår,(GodstogMkmD_År1+GodstogMkmEL_År1),(GodstogMkmD_År2+GodstogMkmEL_År2)),
3,IF(F44&lt;AndreBeregningsår,(GodstogMkmD_År1+GodstogMkmEL_År1),IF(F44&lt;TredjeBeregningsår,(GodstogMkmD_År2+GodstogMkmEL_År2),(GodstogMkmD_År3+GodstogMkmEL_År3)))))))</f>
        <v>0</v>
      </c>
      <c r="K44" s="212">
        <f t="shared" si="11"/>
        <v>21</v>
      </c>
      <c r="L44" s="787">
        <f t="shared" si="7"/>
        <v>0</v>
      </c>
      <c r="M44" s="788">
        <f t="shared" si="8"/>
        <v>0</v>
      </c>
    </row>
    <row r="45" spans="1:13" x14ac:dyDescent="0.35">
      <c r="B45" s="212">
        <f t="shared" si="9"/>
        <v>22</v>
      </c>
      <c r="C45" s="784">
        <f t="shared" ref="C45:C76" si="12">IF(AND($B45&gt;=Oppstartsår_FørsteÅrMedInvestering,B45&lt;Oppstartsår_FørsteÅrMedInvestering+Investering_AntallÅr),Investering_Referanse/Investering_AntallÅr,0)</f>
        <v>0</v>
      </c>
      <c r="D45" s="785">
        <f t="shared" ref="D45:D76" si="13">IF(AND($B45&gt;=Oppstartsår_FørsteÅrMedInvestering,B45&lt;Oppstartsår_FørsteÅrMedInvestering+Investering_AntallÅr),Investering_Tiltak/Investering_AntallÅr,0)</f>
        <v>0</v>
      </c>
      <c r="F45" s="212">
        <f t="shared" si="10"/>
        <v>22</v>
      </c>
      <c r="G45" s="733">
        <f t="shared" ref="G45:G76" si="14">IF(F45&lt;Åpningsår,0,IF(F45&gt;=Åpningsår+ProsjektetsLevetid,0,(((Sporveksel_Ref*Vedlikehold_Sporveksel)+(Stasjon_Ref*Vedlikehold_Stasjon)+(Daglinje_Ref*Vedlikehold_Daglinje)+(Tunnelkm_Ref*Vedlikehold_Tunnel)+(Brukm_Ref*Vedlikehold_bru)+(KLkm_Ref*Vedlikehold_KL)+(Slitasje_Persontog*(TogkmBiEl_RefÅr1+TogkmBiDi_RefÅr1+TogkmEL_RefÅr1+TogkmD_RefÅr1+TogkmBiEl_RefÅr1_Togtype_2+TogkmBiDi_RefÅr1_Togtype_2+TogkmEL_RefÅr1_Togtype_2+TogkmD_RefÅr1_Togtype_2))))/1000000))</f>
        <v>0</v>
      </c>
      <c r="H45" s="733">
        <f t="shared" ref="H45:H76" si="15">IF(F45&lt;Åpningsår,0,IF(F45&gt;=Åpningsår+ProsjektetsLevetid,0,(((Sporveksel_Tiltak*Vedlikehold_Sporveksel)+(Stasjon_Tiltak*Vedlikehold_Stasjon)+(Daglinje_Tiltak*Vedlikehold_Daglinje)+(Tunnelkm_Tiltak*Vedlikehold_Tunnel)+(Brukm_Tiltak*Vedlikehold_bru)+(KLkm_Tiltak*Vedlikehold_KL))*(1+Hastighet_Endring*Vedlikehold_HastighetPåslag)/1000000)+(Slitasje_Persontog*(TogkmBiEl_TiltakÅr1+TogkmBiDi_TiltakÅr1+TogkmEL_TiltakÅr1+TogkmD_TiltakÅr1+TogkmBiEl_TiltakÅr1_Togtype_2+TogkmBiDi_TiltakÅr1_Togtype_2+TogkmEL_TiltakÅr1_Togtype_2+TogkmD_TiltakÅr1_Togtype_2))/1000000))</f>
        <v>0</v>
      </c>
      <c r="I45" s="786" cm="1">
        <f t="array" ref="I45">H45-G45+IF(F45&lt;Åpningsår,0,IF(F45&gt;=Åpningsår+ProsjektetsLevetid,0,
(Slitasje_Godstog*_xlfn.SWITCH(Antall_Beregningsår,
1,(GodstogMkmD_År1+GodstogMkmEL_År1),
2,IF(F45&lt;AndreBeregningsår,(GodstogMkmD_År1+GodstogMkmEL_År1),(GodstogMkmD_År2+GodstogMkmEL_År2)),
3,IF(F45&lt;AndreBeregningsår,(GodstogMkmD_År1+GodstogMkmEL_År1),IF(F45&lt;TredjeBeregningsår,(GodstogMkmD_År2+GodstogMkmEL_År2),(GodstogMkmD_År3+GodstogMkmEL_År3)))))))</f>
        <v>0</v>
      </c>
      <c r="K45" s="212">
        <f t="shared" si="11"/>
        <v>22</v>
      </c>
      <c r="L45" s="787">
        <f t="shared" ref="L45:L76" si="16">IF(K45+1&gt;=Åpningsår+ProsjektetsLevetid,0,IF(OR(Åpningsår+Levetid_Signalanlegg=K45+1,Åpningsår+Levetid_Signalanlegg*2=K45+1,Åpningsår+Levetid_Signalanlegg*3=K45+1),((AndelAvInvestering_Signalanlegg)*Investering_Referanse),0)+IF(K45+1=(Åpningsår+Levetid_Overbygning),((AndelAvInvestering_Overbygning)*Investering_Referanse),0)+IF(K45+1=(Åpningsår+Levetid_Lavspenning),((AndelAvInvestering_Lavspenning)*Investering_Referanse),0)+IF(K45+1=(Åpningsår+Levetid_KLanlegg),(AndelAvinvestering_KLAnlegg*Investering_Referanse),0)+IF(OR(Åpningsår+Levetid_Annen=K45+1,Åpningsår+Levetid_Annen*2=K45+1,Åpningsår+Levetid_Annen*3=K45+1,Åpningsår+Levetid_Annen*4=K45+1,Åpningsår+Levetid_Annen*5=K45+1,Åpningsår+Levetid_Annen*6=K45+1,Åpningsår+Levetid_Annen*7=K45+1,Åpningsår+Levetid_Annen*8=K45+1,Åpningsår+Levetid_Annen*9=K45+1,Åpningsår+Levetid_Annen*10=K45+1,Åpningsår+Levetid_Annen*11=K45+1,Åpningsår+Levetid_Annen*12=K45+1,Åpningsår+Levetid_Annen*13=K45+1,Åpningsår+Levetid_Annen*14=K45+1,Åpningsår+Levetid_Annen*15=K45+1),(AndelAvInvestering_Annen*Investering_Referanse),0))</f>
        <v>0</v>
      </c>
      <c r="M45" s="788">
        <f t="shared" ref="M45:M76" si="17">IF(K45+1&gt;=Åpningsår+ProsjektetsLevetid,0,IF(OR(Åpningsår+Levetid_Signalanlegg=K45+1,Åpningsår+Levetid_Signalanlegg*2=K45+1,Åpningsår+Levetid_Signalanlegg*3=K45+1),((AndelAvInvestering_Signalanlegg)*Investering_Tiltak),0)+IF(K45+1=(Åpningsår+Levetid_Overbygning),((AndelAvInvestering_Overbygning)*Investering_Tiltak),0)+IF(K45+1=(Åpningsår+Levetid_Lavspenning),(AndelAvInvestering_Lavspenning*Investering_Tiltak),0)+IF(K45+1=(Åpningsår+Levetid_KLanlegg),(AndelAvinvestering_KLAnlegg*Investering_Tiltak),0)+IF(OR(Åpningsår+Levetid_Annen=K45+1,Åpningsår+Levetid_Annen*2=K45+1,Åpningsår+Levetid_Annen*3=K45+1,Åpningsår+Levetid_Annen*4=K45+1,Åpningsår+Levetid_Annen*5=K45+1,Åpningsår+Levetid_Annen*6=K45+1,Åpningsår+Levetid_Annen*7=K45+1,Åpningsår+Levetid_Annen*8=K45+1,Åpningsår+Levetid_Annen*9=K45+1,Åpningsår+Levetid_Annen*10=K45+1,Åpningsår+Levetid_Annen*11=K45+1,Åpningsår+Levetid_Annen*12=K45+1,Åpningsår+Levetid_Annen*13=K45+1,Åpningsår+Levetid_Annen*14=K45+1,Åpningsår+Levetid_Annen*15=K45+1),(AndelAvInvestering_Annen*Investering_Tiltak),0))</f>
        <v>0</v>
      </c>
    </row>
    <row r="46" spans="1:13" x14ac:dyDescent="0.35">
      <c r="B46" s="212">
        <f t="shared" si="9"/>
        <v>23</v>
      </c>
      <c r="C46" s="784">
        <f t="shared" si="12"/>
        <v>0</v>
      </c>
      <c r="D46" s="785">
        <f t="shared" si="13"/>
        <v>0</v>
      </c>
      <c r="F46" s="212">
        <f t="shared" si="10"/>
        <v>23</v>
      </c>
      <c r="G46" s="733">
        <f t="shared" si="14"/>
        <v>0</v>
      </c>
      <c r="H46" s="733">
        <f t="shared" si="15"/>
        <v>0</v>
      </c>
      <c r="I46" s="786" cm="1">
        <f t="array" ref="I46">H46-G46+IF(F46&lt;Åpningsår,0,IF(F46&gt;=Åpningsår+ProsjektetsLevetid,0,
(Slitasje_Godstog*_xlfn.SWITCH(Antall_Beregningsår,
1,(GodstogMkmD_År1+GodstogMkmEL_År1),
2,IF(F46&lt;AndreBeregningsår,(GodstogMkmD_År1+GodstogMkmEL_År1),(GodstogMkmD_År2+GodstogMkmEL_År2)),
3,IF(F46&lt;AndreBeregningsår,(GodstogMkmD_År1+GodstogMkmEL_År1),IF(F46&lt;TredjeBeregningsår,(GodstogMkmD_År2+GodstogMkmEL_År2),(GodstogMkmD_År3+GodstogMkmEL_År3)))))))</f>
        <v>0</v>
      </c>
      <c r="K46" s="212">
        <f t="shared" si="11"/>
        <v>23</v>
      </c>
      <c r="L46" s="787">
        <f t="shared" si="16"/>
        <v>0</v>
      </c>
      <c r="M46" s="788">
        <f t="shared" si="17"/>
        <v>0</v>
      </c>
    </row>
    <row r="47" spans="1:13" x14ac:dyDescent="0.35">
      <c r="B47" s="212">
        <f t="shared" si="9"/>
        <v>24</v>
      </c>
      <c r="C47" s="784">
        <f t="shared" si="12"/>
        <v>0</v>
      </c>
      <c r="D47" s="785">
        <f t="shared" si="13"/>
        <v>0</v>
      </c>
      <c r="F47" s="212">
        <f t="shared" si="10"/>
        <v>24</v>
      </c>
      <c r="G47" s="733">
        <f t="shared" si="14"/>
        <v>0</v>
      </c>
      <c r="H47" s="733">
        <f t="shared" si="15"/>
        <v>0</v>
      </c>
      <c r="I47" s="786" cm="1">
        <f t="array" ref="I47">H47-G47+IF(F47&lt;Åpningsår,0,IF(F47&gt;=Åpningsår+ProsjektetsLevetid,0,
(Slitasje_Godstog*_xlfn.SWITCH(Antall_Beregningsår,
1,(GodstogMkmD_År1+GodstogMkmEL_År1),
2,IF(F47&lt;AndreBeregningsår,(GodstogMkmD_År1+GodstogMkmEL_År1),(GodstogMkmD_År2+GodstogMkmEL_År2)),
3,IF(F47&lt;AndreBeregningsår,(GodstogMkmD_År1+GodstogMkmEL_År1),IF(F47&lt;TredjeBeregningsår,(GodstogMkmD_År2+GodstogMkmEL_År2),(GodstogMkmD_År3+GodstogMkmEL_År3)))))))</f>
        <v>0</v>
      </c>
      <c r="K47" s="212">
        <f t="shared" si="11"/>
        <v>24</v>
      </c>
      <c r="L47" s="787">
        <f t="shared" si="16"/>
        <v>0</v>
      </c>
      <c r="M47" s="788">
        <f t="shared" si="17"/>
        <v>0</v>
      </c>
    </row>
    <row r="48" spans="1:13" ht="18.5" x14ac:dyDescent="0.45">
      <c r="A48" s="7"/>
      <c r="B48" s="212">
        <f t="shared" si="9"/>
        <v>25</v>
      </c>
      <c r="C48" s="784">
        <f t="shared" si="12"/>
        <v>0</v>
      </c>
      <c r="D48" s="785">
        <f t="shared" si="13"/>
        <v>0</v>
      </c>
      <c r="F48" s="212">
        <f t="shared" si="10"/>
        <v>25</v>
      </c>
      <c r="G48" s="733">
        <f t="shared" si="14"/>
        <v>0</v>
      </c>
      <c r="H48" s="733">
        <f t="shared" si="15"/>
        <v>0</v>
      </c>
      <c r="I48" s="786" cm="1">
        <f t="array" ref="I48">H48-G48+IF(F48&lt;Åpningsår,0,IF(F48&gt;=Åpningsår+ProsjektetsLevetid,0,
(Slitasje_Godstog*_xlfn.SWITCH(Antall_Beregningsår,
1,(GodstogMkmD_År1+GodstogMkmEL_År1),
2,IF(F48&lt;AndreBeregningsår,(GodstogMkmD_År1+GodstogMkmEL_År1),(GodstogMkmD_År2+GodstogMkmEL_År2)),
3,IF(F48&lt;AndreBeregningsår,(GodstogMkmD_År1+GodstogMkmEL_År1),IF(F48&lt;TredjeBeregningsår,(GodstogMkmD_År2+GodstogMkmEL_År2),(GodstogMkmD_År3+GodstogMkmEL_År3)))))))</f>
        <v>0</v>
      </c>
      <c r="K48" s="212">
        <f t="shared" si="11"/>
        <v>25</v>
      </c>
      <c r="L48" s="787">
        <f t="shared" si="16"/>
        <v>0</v>
      </c>
      <c r="M48" s="788">
        <f t="shared" si="17"/>
        <v>0</v>
      </c>
    </row>
    <row r="49" spans="2:13" x14ac:dyDescent="0.35">
      <c r="B49" s="212">
        <f t="shared" si="9"/>
        <v>26</v>
      </c>
      <c r="C49" s="784">
        <f t="shared" si="12"/>
        <v>0</v>
      </c>
      <c r="D49" s="785">
        <f t="shared" si="13"/>
        <v>0</v>
      </c>
      <c r="F49" s="212">
        <f t="shared" si="10"/>
        <v>26</v>
      </c>
      <c r="G49" s="733">
        <f t="shared" si="14"/>
        <v>0</v>
      </c>
      <c r="H49" s="733">
        <f t="shared" si="15"/>
        <v>0</v>
      </c>
      <c r="I49" s="786" cm="1">
        <f t="array" ref="I49">H49-G49+IF(F49&lt;Åpningsår,0,IF(F49&gt;=Åpningsår+ProsjektetsLevetid,0,
(Slitasje_Godstog*_xlfn.SWITCH(Antall_Beregningsår,
1,(GodstogMkmD_År1+GodstogMkmEL_År1),
2,IF(F49&lt;AndreBeregningsår,(GodstogMkmD_År1+GodstogMkmEL_År1),(GodstogMkmD_År2+GodstogMkmEL_År2)),
3,IF(F49&lt;AndreBeregningsår,(GodstogMkmD_År1+GodstogMkmEL_År1),IF(F49&lt;TredjeBeregningsår,(GodstogMkmD_År2+GodstogMkmEL_År2),(GodstogMkmD_År3+GodstogMkmEL_År3)))))))</f>
        <v>0</v>
      </c>
      <c r="K49" s="212">
        <f t="shared" si="11"/>
        <v>26</v>
      </c>
      <c r="L49" s="787">
        <f t="shared" si="16"/>
        <v>0</v>
      </c>
      <c r="M49" s="788">
        <f t="shared" si="17"/>
        <v>0</v>
      </c>
    </row>
    <row r="50" spans="2:13" x14ac:dyDescent="0.35">
      <c r="B50" s="212">
        <f t="shared" si="9"/>
        <v>27</v>
      </c>
      <c r="C50" s="784">
        <f t="shared" si="12"/>
        <v>0</v>
      </c>
      <c r="D50" s="785">
        <f t="shared" si="13"/>
        <v>0</v>
      </c>
      <c r="F50" s="212">
        <f t="shared" si="10"/>
        <v>27</v>
      </c>
      <c r="G50" s="733">
        <f t="shared" si="14"/>
        <v>0</v>
      </c>
      <c r="H50" s="733">
        <f t="shared" si="15"/>
        <v>0</v>
      </c>
      <c r="I50" s="786" cm="1">
        <f t="array" ref="I50">H50-G50+IF(F50&lt;Åpningsår,0,IF(F50&gt;=Åpningsår+ProsjektetsLevetid,0,
(Slitasje_Godstog*_xlfn.SWITCH(Antall_Beregningsår,
1,(GodstogMkmD_År1+GodstogMkmEL_År1),
2,IF(F50&lt;AndreBeregningsår,(GodstogMkmD_År1+GodstogMkmEL_År1),(GodstogMkmD_År2+GodstogMkmEL_År2)),
3,IF(F50&lt;AndreBeregningsår,(GodstogMkmD_År1+GodstogMkmEL_År1),IF(F50&lt;TredjeBeregningsår,(GodstogMkmD_År2+GodstogMkmEL_År2),(GodstogMkmD_År3+GodstogMkmEL_År3)))))))</f>
        <v>0</v>
      </c>
      <c r="K50" s="212">
        <f t="shared" si="11"/>
        <v>27</v>
      </c>
      <c r="L50" s="787">
        <f t="shared" si="16"/>
        <v>0</v>
      </c>
      <c r="M50" s="788">
        <f t="shared" si="17"/>
        <v>0</v>
      </c>
    </row>
    <row r="51" spans="2:13" x14ac:dyDescent="0.35">
      <c r="B51" s="212">
        <f t="shared" si="9"/>
        <v>28</v>
      </c>
      <c r="C51" s="784">
        <f t="shared" si="12"/>
        <v>0</v>
      </c>
      <c r="D51" s="785">
        <f t="shared" si="13"/>
        <v>0</v>
      </c>
      <c r="F51" s="212">
        <f t="shared" si="10"/>
        <v>28</v>
      </c>
      <c r="G51" s="733">
        <f t="shared" si="14"/>
        <v>0</v>
      </c>
      <c r="H51" s="733">
        <f t="shared" si="15"/>
        <v>0</v>
      </c>
      <c r="I51" s="786" cm="1">
        <f t="array" ref="I51">H51-G51+IF(F51&lt;Åpningsår,0,IF(F51&gt;=Åpningsår+ProsjektetsLevetid,0,
(Slitasje_Godstog*_xlfn.SWITCH(Antall_Beregningsår,
1,(GodstogMkmD_År1+GodstogMkmEL_År1),
2,IF(F51&lt;AndreBeregningsår,(GodstogMkmD_År1+GodstogMkmEL_År1),(GodstogMkmD_År2+GodstogMkmEL_År2)),
3,IF(F51&lt;AndreBeregningsår,(GodstogMkmD_År1+GodstogMkmEL_År1),IF(F51&lt;TredjeBeregningsår,(GodstogMkmD_År2+GodstogMkmEL_År2),(GodstogMkmD_År3+GodstogMkmEL_År3)))))))</f>
        <v>0</v>
      </c>
      <c r="K51" s="212">
        <f t="shared" si="11"/>
        <v>28</v>
      </c>
      <c r="L51" s="787">
        <f t="shared" si="16"/>
        <v>0</v>
      </c>
      <c r="M51" s="788">
        <f t="shared" si="17"/>
        <v>0</v>
      </c>
    </row>
    <row r="52" spans="2:13" x14ac:dyDescent="0.35">
      <c r="B52" s="212">
        <f t="shared" si="9"/>
        <v>29</v>
      </c>
      <c r="C52" s="784">
        <f t="shared" si="12"/>
        <v>0</v>
      </c>
      <c r="D52" s="785">
        <f t="shared" si="13"/>
        <v>0</v>
      </c>
      <c r="F52" s="212">
        <f t="shared" si="10"/>
        <v>29</v>
      </c>
      <c r="G52" s="733">
        <f t="shared" si="14"/>
        <v>0</v>
      </c>
      <c r="H52" s="733">
        <f t="shared" si="15"/>
        <v>0</v>
      </c>
      <c r="I52" s="786" cm="1">
        <f t="array" ref="I52">H52-G52+IF(F52&lt;Åpningsår,0,IF(F52&gt;=Åpningsår+ProsjektetsLevetid,0,
(Slitasje_Godstog*_xlfn.SWITCH(Antall_Beregningsår,
1,(GodstogMkmD_År1+GodstogMkmEL_År1),
2,IF(F52&lt;AndreBeregningsår,(GodstogMkmD_År1+GodstogMkmEL_År1),(GodstogMkmD_År2+GodstogMkmEL_År2)),
3,IF(F52&lt;AndreBeregningsår,(GodstogMkmD_År1+GodstogMkmEL_År1),IF(F52&lt;TredjeBeregningsår,(GodstogMkmD_År2+GodstogMkmEL_År2),(GodstogMkmD_År3+GodstogMkmEL_År3)))))))</f>
        <v>0</v>
      </c>
      <c r="K52" s="212">
        <f t="shared" si="11"/>
        <v>29</v>
      </c>
      <c r="L52" s="787">
        <f t="shared" si="16"/>
        <v>0</v>
      </c>
      <c r="M52" s="788">
        <f t="shared" si="17"/>
        <v>0</v>
      </c>
    </row>
    <row r="53" spans="2:13" x14ac:dyDescent="0.35">
      <c r="B53" s="212">
        <f t="shared" si="9"/>
        <v>30</v>
      </c>
      <c r="C53" s="784">
        <f t="shared" si="12"/>
        <v>0</v>
      </c>
      <c r="D53" s="785">
        <f t="shared" si="13"/>
        <v>0</v>
      </c>
      <c r="F53" s="212">
        <f t="shared" si="10"/>
        <v>30</v>
      </c>
      <c r="G53" s="733">
        <f t="shared" si="14"/>
        <v>0</v>
      </c>
      <c r="H53" s="733">
        <f t="shared" si="15"/>
        <v>0</v>
      </c>
      <c r="I53" s="786" cm="1">
        <f t="array" ref="I53">H53-G53+IF(F53&lt;Åpningsår,0,IF(F53&gt;=Åpningsår+ProsjektetsLevetid,0,
(Slitasje_Godstog*_xlfn.SWITCH(Antall_Beregningsår,
1,(GodstogMkmD_År1+GodstogMkmEL_År1),
2,IF(F53&lt;AndreBeregningsår,(GodstogMkmD_År1+GodstogMkmEL_År1),(GodstogMkmD_År2+GodstogMkmEL_År2)),
3,IF(F53&lt;AndreBeregningsår,(GodstogMkmD_År1+GodstogMkmEL_År1),IF(F53&lt;TredjeBeregningsår,(GodstogMkmD_År2+GodstogMkmEL_År2),(GodstogMkmD_År3+GodstogMkmEL_År3)))))))</f>
        <v>0</v>
      </c>
      <c r="K53" s="212">
        <f t="shared" si="11"/>
        <v>30</v>
      </c>
      <c r="L53" s="787">
        <f t="shared" si="16"/>
        <v>0</v>
      </c>
      <c r="M53" s="788">
        <f t="shared" si="17"/>
        <v>0</v>
      </c>
    </row>
    <row r="54" spans="2:13" x14ac:dyDescent="0.35">
      <c r="B54" s="212">
        <f t="shared" si="9"/>
        <v>31</v>
      </c>
      <c r="C54" s="784">
        <f t="shared" si="12"/>
        <v>0</v>
      </c>
      <c r="D54" s="785">
        <f t="shared" si="13"/>
        <v>0</v>
      </c>
      <c r="F54" s="212">
        <f t="shared" si="10"/>
        <v>31</v>
      </c>
      <c r="G54" s="733">
        <f t="shared" si="14"/>
        <v>0</v>
      </c>
      <c r="H54" s="733">
        <f t="shared" si="15"/>
        <v>0</v>
      </c>
      <c r="I54" s="786" cm="1">
        <f t="array" ref="I54">H54-G54+IF(F54&lt;Åpningsår,0,IF(F54&gt;=Åpningsår+ProsjektetsLevetid,0,
(Slitasje_Godstog*_xlfn.SWITCH(Antall_Beregningsår,
1,(GodstogMkmD_År1+GodstogMkmEL_År1),
2,IF(F54&lt;AndreBeregningsår,(GodstogMkmD_År1+GodstogMkmEL_År1),(GodstogMkmD_År2+GodstogMkmEL_År2)),
3,IF(F54&lt;AndreBeregningsår,(GodstogMkmD_År1+GodstogMkmEL_År1),IF(F54&lt;TredjeBeregningsår,(GodstogMkmD_År2+GodstogMkmEL_År2),(GodstogMkmD_År3+GodstogMkmEL_År3)))))))</f>
        <v>0</v>
      </c>
      <c r="K54" s="212">
        <f t="shared" si="11"/>
        <v>31</v>
      </c>
      <c r="L54" s="787">
        <f t="shared" si="16"/>
        <v>0</v>
      </c>
      <c r="M54" s="788">
        <f t="shared" si="17"/>
        <v>0</v>
      </c>
    </row>
    <row r="55" spans="2:13" x14ac:dyDescent="0.35">
      <c r="B55" s="212">
        <f t="shared" si="9"/>
        <v>32</v>
      </c>
      <c r="C55" s="784">
        <f t="shared" si="12"/>
        <v>0</v>
      </c>
      <c r="D55" s="785">
        <f t="shared" si="13"/>
        <v>0</v>
      </c>
      <c r="F55" s="212">
        <f t="shared" si="10"/>
        <v>32</v>
      </c>
      <c r="G55" s="733">
        <f t="shared" si="14"/>
        <v>0</v>
      </c>
      <c r="H55" s="733">
        <f t="shared" si="15"/>
        <v>0</v>
      </c>
      <c r="I55" s="786" cm="1">
        <f t="array" ref="I55">H55-G55+IF(F55&lt;Åpningsår,0,IF(F55&gt;=Åpningsår+ProsjektetsLevetid,0,
(Slitasje_Godstog*_xlfn.SWITCH(Antall_Beregningsår,
1,(GodstogMkmD_År1+GodstogMkmEL_År1),
2,IF(F55&lt;AndreBeregningsår,(GodstogMkmD_År1+GodstogMkmEL_År1),(GodstogMkmD_År2+GodstogMkmEL_År2)),
3,IF(F55&lt;AndreBeregningsår,(GodstogMkmD_År1+GodstogMkmEL_År1),IF(F55&lt;TredjeBeregningsår,(GodstogMkmD_År2+GodstogMkmEL_År2),(GodstogMkmD_År3+GodstogMkmEL_År3)))))))</f>
        <v>0</v>
      </c>
      <c r="K55" s="212">
        <f t="shared" si="11"/>
        <v>32</v>
      </c>
      <c r="L55" s="787">
        <f t="shared" si="16"/>
        <v>0</v>
      </c>
      <c r="M55" s="788">
        <f t="shared" si="17"/>
        <v>0</v>
      </c>
    </row>
    <row r="56" spans="2:13" x14ac:dyDescent="0.35">
      <c r="B56" s="212">
        <f t="shared" ref="B56:B87" si="18">B55+1</f>
        <v>33</v>
      </c>
      <c r="C56" s="784">
        <f t="shared" si="12"/>
        <v>0</v>
      </c>
      <c r="D56" s="785">
        <f t="shared" si="13"/>
        <v>0</v>
      </c>
      <c r="F56" s="212">
        <f t="shared" si="10"/>
        <v>33</v>
      </c>
      <c r="G56" s="733">
        <f t="shared" si="14"/>
        <v>0</v>
      </c>
      <c r="H56" s="733">
        <f t="shared" si="15"/>
        <v>0</v>
      </c>
      <c r="I56" s="786" cm="1">
        <f t="array" ref="I56">H56-G56+IF(F56&lt;Åpningsår,0,IF(F56&gt;=Åpningsår+ProsjektetsLevetid,0,
(Slitasje_Godstog*_xlfn.SWITCH(Antall_Beregningsår,
1,(GodstogMkmD_År1+GodstogMkmEL_År1),
2,IF(F56&lt;AndreBeregningsår,(GodstogMkmD_År1+GodstogMkmEL_År1),(GodstogMkmD_År2+GodstogMkmEL_År2)),
3,IF(F56&lt;AndreBeregningsår,(GodstogMkmD_År1+GodstogMkmEL_År1),IF(F56&lt;TredjeBeregningsår,(GodstogMkmD_År2+GodstogMkmEL_År2),(GodstogMkmD_År3+GodstogMkmEL_År3)))))))</f>
        <v>0</v>
      </c>
      <c r="K56" s="212">
        <f t="shared" si="11"/>
        <v>33</v>
      </c>
      <c r="L56" s="787">
        <f t="shared" si="16"/>
        <v>0</v>
      </c>
      <c r="M56" s="788">
        <f t="shared" si="17"/>
        <v>0</v>
      </c>
    </row>
    <row r="57" spans="2:13" x14ac:dyDescent="0.35">
      <c r="B57" s="212">
        <f t="shared" si="18"/>
        <v>34</v>
      </c>
      <c r="C57" s="784">
        <f t="shared" si="12"/>
        <v>0</v>
      </c>
      <c r="D57" s="785">
        <f t="shared" si="13"/>
        <v>0</v>
      </c>
      <c r="F57" s="212">
        <f t="shared" si="10"/>
        <v>34</v>
      </c>
      <c r="G57" s="733">
        <f t="shared" si="14"/>
        <v>0</v>
      </c>
      <c r="H57" s="733">
        <f t="shared" si="15"/>
        <v>0</v>
      </c>
      <c r="I57" s="786" cm="1">
        <f t="array" ref="I57">H57-G57+IF(F57&lt;Åpningsår,0,IF(F57&gt;=Åpningsår+ProsjektetsLevetid,0,
(Slitasje_Godstog*_xlfn.SWITCH(Antall_Beregningsår,
1,(GodstogMkmD_År1+GodstogMkmEL_År1),
2,IF(F57&lt;AndreBeregningsår,(GodstogMkmD_År1+GodstogMkmEL_År1),(GodstogMkmD_År2+GodstogMkmEL_År2)),
3,IF(F57&lt;AndreBeregningsår,(GodstogMkmD_År1+GodstogMkmEL_År1),IF(F57&lt;TredjeBeregningsår,(GodstogMkmD_År2+GodstogMkmEL_År2),(GodstogMkmD_År3+GodstogMkmEL_År3)))))))</f>
        <v>0</v>
      </c>
      <c r="K57" s="212">
        <f t="shared" si="11"/>
        <v>34</v>
      </c>
      <c r="L57" s="787">
        <f t="shared" si="16"/>
        <v>0</v>
      </c>
      <c r="M57" s="788">
        <f t="shared" si="17"/>
        <v>0</v>
      </c>
    </row>
    <row r="58" spans="2:13" x14ac:dyDescent="0.35">
      <c r="B58" s="212">
        <f t="shared" si="18"/>
        <v>35</v>
      </c>
      <c r="C58" s="784">
        <f t="shared" si="12"/>
        <v>0</v>
      </c>
      <c r="D58" s="785">
        <f t="shared" si="13"/>
        <v>0</v>
      </c>
      <c r="F58" s="212">
        <f t="shared" si="10"/>
        <v>35</v>
      </c>
      <c r="G58" s="733">
        <f t="shared" si="14"/>
        <v>0</v>
      </c>
      <c r="H58" s="733">
        <f t="shared" si="15"/>
        <v>0</v>
      </c>
      <c r="I58" s="786" cm="1">
        <f t="array" ref="I58">H58-G58+IF(F58&lt;Åpningsår,0,IF(F58&gt;=Åpningsår+ProsjektetsLevetid,0,
(Slitasje_Godstog*_xlfn.SWITCH(Antall_Beregningsår,
1,(GodstogMkmD_År1+GodstogMkmEL_År1),
2,IF(F58&lt;AndreBeregningsår,(GodstogMkmD_År1+GodstogMkmEL_År1),(GodstogMkmD_År2+GodstogMkmEL_År2)),
3,IF(F58&lt;AndreBeregningsår,(GodstogMkmD_År1+GodstogMkmEL_År1),IF(F58&lt;TredjeBeregningsår,(GodstogMkmD_År2+GodstogMkmEL_År2),(GodstogMkmD_År3+GodstogMkmEL_År3)))))))</f>
        <v>0</v>
      </c>
      <c r="K58" s="212">
        <f t="shared" si="11"/>
        <v>35</v>
      </c>
      <c r="L58" s="787">
        <f t="shared" si="16"/>
        <v>0</v>
      </c>
      <c r="M58" s="788">
        <f t="shared" si="17"/>
        <v>0</v>
      </c>
    </row>
    <row r="59" spans="2:13" x14ac:dyDescent="0.35">
      <c r="B59" s="212">
        <f t="shared" si="18"/>
        <v>36</v>
      </c>
      <c r="C59" s="784">
        <f t="shared" si="12"/>
        <v>0</v>
      </c>
      <c r="D59" s="785">
        <f t="shared" si="13"/>
        <v>0</v>
      </c>
      <c r="F59" s="212">
        <f t="shared" si="10"/>
        <v>36</v>
      </c>
      <c r="G59" s="733">
        <f t="shared" si="14"/>
        <v>0</v>
      </c>
      <c r="H59" s="733">
        <f t="shared" si="15"/>
        <v>0</v>
      </c>
      <c r="I59" s="786" cm="1">
        <f t="array" ref="I59">H59-G59+IF(F59&lt;Åpningsår,0,IF(F59&gt;=Åpningsår+ProsjektetsLevetid,0,
(Slitasje_Godstog*_xlfn.SWITCH(Antall_Beregningsår,
1,(GodstogMkmD_År1+GodstogMkmEL_År1),
2,IF(F59&lt;AndreBeregningsår,(GodstogMkmD_År1+GodstogMkmEL_År1),(GodstogMkmD_År2+GodstogMkmEL_År2)),
3,IF(F59&lt;AndreBeregningsår,(GodstogMkmD_År1+GodstogMkmEL_År1),IF(F59&lt;TredjeBeregningsår,(GodstogMkmD_År2+GodstogMkmEL_År2),(GodstogMkmD_År3+GodstogMkmEL_År3)))))))</f>
        <v>0</v>
      </c>
      <c r="K59" s="212">
        <f t="shared" si="11"/>
        <v>36</v>
      </c>
      <c r="L59" s="787">
        <f t="shared" si="16"/>
        <v>0</v>
      </c>
      <c r="M59" s="788">
        <f t="shared" si="17"/>
        <v>0</v>
      </c>
    </row>
    <row r="60" spans="2:13" x14ac:dyDescent="0.35">
      <c r="B60" s="212">
        <f t="shared" si="18"/>
        <v>37</v>
      </c>
      <c r="C60" s="784">
        <f t="shared" si="12"/>
        <v>0</v>
      </c>
      <c r="D60" s="785">
        <f t="shared" si="13"/>
        <v>0</v>
      </c>
      <c r="F60" s="212">
        <f>F59+1</f>
        <v>37</v>
      </c>
      <c r="G60" s="733">
        <f t="shared" si="14"/>
        <v>0</v>
      </c>
      <c r="H60" s="733">
        <f t="shared" si="15"/>
        <v>0</v>
      </c>
      <c r="I60" s="786" cm="1">
        <f t="array" ref="I60">H60-G60+IF(F60&lt;Åpningsår,0,IF(F60&gt;=Åpningsår+ProsjektetsLevetid,0,
(Slitasje_Godstog*_xlfn.SWITCH(Antall_Beregningsår,
1,(GodstogMkmD_År1+GodstogMkmEL_År1),
2,IF(F60&lt;AndreBeregningsår,(GodstogMkmD_År1+GodstogMkmEL_År1),(GodstogMkmD_År2+GodstogMkmEL_År2)),
3,IF(F60&lt;AndreBeregningsår,(GodstogMkmD_År1+GodstogMkmEL_År1),IF(F60&lt;TredjeBeregningsår,(GodstogMkmD_År2+GodstogMkmEL_År2),(GodstogMkmD_År3+GodstogMkmEL_År3)))))))</f>
        <v>0</v>
      </c>
      <c r="K60" s="212">
        <f>K59+1</f>
        <v>37</v>
      </c>
      <c r="L60" s="787">
        <f t="shared" si="16"/>
        <v>0</v>
      </c>
      <c r="M60" s="788">
        <f t="shared" si="17"/>
        <v>0</v>
      </c>
    </row>
    <row r="61" spans="2:13" x14ac:dyDescent="0.35">
      <c r="B61" s="212">
        <f t="shared" si="18"/>
        <v>38</v>
      </c>
      <c r="C61" s="784">
        <f t="shared" si="12"/>
        <v>0</v>
      </c>
      <c r="D61" s="785">
        <f t="shared" si="13"/>
        <v>0</v>
      </c>
      <c r="F61" s="212">
        <f t="shared" si="10"/>
        <v>38</v>
      </c>
      <c r="G61" s="733">
        <f t="shared" si="14"/>
        <v>0</v>
      </c>
      <c r="H61" s="733">
        <f t="shared" si="15"/>
        <v>0</v>
      </c>
      <c r="I61" s="786" cm="1">
        <f t="array" ref="I61">H61-G61+IF(F61&lt;Åpningsår,0,IF(F61&gt;=Åpningsår+ProsjektetsLevetid,0,
(Slitasje_Godstog*_xlfn.SWITCH(Antall_Beregningsår,
1,(GodstogMkmD_År1+GodstogMkmEL_År1),
2,IF(F61&lt;AndreBeregningsår,(GodstogMkmD_År1+GodstogMkmEL_År1),(GodstogMkmD_År2+GodstogMkmEL_År2)),
3,IF(F61&lt;AndreBeregningsår,(GodstogMkmD_År1+GodstogMkmEL_År1),IF(F61&lt;TredjeBeregningsår,(GodstogMkmD_År2+GodstogMkmEL_År2),(GodstogMkmD_År3+GodstogMkmEL_År3)))))))</f>
        <v>0</v>
      </c>
      <c r="K61" s="212">
        <f t="shared" si="11"/>
        <v>38</v>
      </c>
      <c r="L61" s="787">
        <f t="shared" si="16"/>
        <v>0</v>
      </c>
      <c r="M61" s="788">
        <f t="shared" si="17"/>
        <v>0</v>
      </c>
    </row>
    <row r="62" spans="2:13" x14ac:dyDescent="0.35">
      <c r="B62" s="212">
        <f t="shared" si="18"/>
        <v>39</v>
      </c>
      <c r="C62" s="784">
        <f t="shared" si="12"/>
        <v>0</v>
      </c>
      <c r="D62" s="785">
        <f t="shared" si="13"/>
        <v>0</v>
      </c>
      <c r="F62" s="212">
        <f t="shared" si="10"/>
        <v>39</v>
      </c>
      <c r="G62" s="733">
        <f t="shared" si="14"/>
        <v>0</v>
      </c>
      <c r="H62" s="733">
        <f t="shared" si="15"/>
        <v>0</v>
      </c>
      <c r="I62" s="786" cm="1">
        <f t="array" ref="I62">H62-G62+IF(F62&lt;Åpningsår,0,IF(F62&gt;=Åpningsår+ProsjektetsLevetid,0,
(Slitasje_Godstog*_xlfn.SWITCH(Antall_Beregningsår,
1,(GodstogMkmD_År1+GodstogMkmEL_År1),
2,IF(F62&lt;AndreBeregningsår,(GodstogMkmD_År1+GodstogMkmEL_År1),(GodstogMkmD_År2+GodstogMkmEL_År2)),
3,IF(F62&lt;AndreBeregningsår,(GodstogMkmD_År1+GodstogMkmEL_År1),IF(F62&lt;TredjeBeregningsår,(GodstogMkmD_År2+GodstogMkmEL_År2),(GodstogMkmD_År3+GodstogMkmEL_År3)))))))</f>
        <v>0</v>
      </c>
      <c r="K62" s="212">
        <f t="shared" si="11"/>
        <v>39</v>
      </c>
      <c r="L62" s="787">
        <f t="shared" si="16"/>
        <v>0</v>
      </c>
      <c r="M62" s="788">
        <f t="shared" si="17"/>
        <v>0</v>
      </c>
    </row>
    <row r="63" spans="2:13" x14ac:dyDescent="0.35">
      <c r="B63" s="212">
        <f t="shared" si="18"/>
        <v>40</v>
      </c>
      <c r="C63" s="784">
        <f t="shared" si="12"/>
        <v>0</v>
      </c>
      <c r="D63" s="785">
        <f t="shared" si="13"/>
        <v>0</v>
      </c>
      <c r="F63" s="212">
        <f t="shared" si="10"/>
        <v>40</v>
      </c>
      <c r="G63" s="733">
        <f t="shared" si="14"/>
        <v>0</v>
      </c>
      <c r="H63" s="733">
        <f t="shared" si="15"/>
        <v>0</v>
      </c>
      <c r="I63" s="786" cm="1">
        <f t="array" ref="I63">H63-G63+IF(F63&lt;Åpningsår,0,IF(F63&gt;=Åpningsår+ProsjektetsLevetid,0,
(Slitasje_Godstog*_xlfn.SWITCH(Antall_Beregningsår,
1,(GodstogMkmD_År1+GodstogMkmEL_År1),
2,IF(F63&lt;AndreBeregningsår,(GodstogMkmD_År1+GodstogMkmEL_År1),(GodstogMkmD_År2+GodstogMkmEL_År2)),
3,IF(F63&lt;AndreBeregningsår,(GodstogMkmD_År1+GodstogMkmEL_År1),IF(F63&lt;TredjeBeregningsår,(GodstogMkmD_År2+GodstogMkmEL_År2),(GodstogMkmD_År3+GodstogMkmEL_År3)))))))</f>
        <v>0</v>
      </c>
      <c r="K63" s="212">
        <f t="shared" si="11"/>
        <v>40</v>
      </c>
      <c r="L63" s="787">
        <f t="shared" si="16"/>
        <v>0</v>
      </c>
      <c r="M63" s="788">
        <f t="shared" si="17"/>
        <v>0</v>
      </c>
    </row>
    <row r="64" spans="2:13" x14ac:dyDescent="0.35">
      <c r="B64" s="212">
        <f t="shared" si="18"/>
        <v>41</v>
      </c>
      <c r="C64" s="784">
        <f t="shared" si="12"/>
        <v>0</v>
      </c>
      <c r="D64" s="785">
        <f t="shared" si="13"/>
        <v>0</v>
      </c>
      <c r="F64" s="212">
        <f t="shared" si="10"/>
        <v>41</v>
      </c>
      <c r="G64" s="733">
        <f t="shared" si="14"/>
        <v>0</v>
      </c>
      <c r="H64" s="733">
        <f t="shared" si="15"/>
        <v>0</v>
      </c>
      <c r="I64" s="786" cm="1">
        <f t="array" ref="I64">H64-G64+IF(F64&lt;Åpningsår,0,IF(F64&gt;=Åpningsår+ProsjektetsLevetid,0,
(Slitasje_Godstog*_xlfn.SWITCH(Antall_Beregningsår,
1,(GodstogMkmD_År1+GodstogMkmEL_År1),
2,IF(F64&lt;AndreBeregningsår,(GodstogMkmD_År1+GodstogMkmEL_År1),(GodstogMkmD_År2+GodstogMkmEL_År2)),
3,IF(F64&lt;AndreBeregningsår,(GodstogMkmD_År1+GodstogMkmEL_År1),IF(F64&lt;TredjeBeregningsår,(GodstogMkmD_År2+GodstogMkmEL_År2),(GodstogMkmD_År3+GodstogMkmEL_År3)))))))</f>
        <v>0</v>
      </c>
      <c r="K64" s="212">
        <f t="shared" si="11"/>
        <v>41</v>
      </c>
      <c r="L64" s="787">
        <f t="shared" si="16"/>
        <v>0</v>
      </c>
      <c r="M64" s="788">
        <f t="shared" si="17"/>
        <v>0</v>
      </c>
    </row>
    <row r="65" spans="2:13" x14ac:dyDescent="0.35">
      <c r="B65" s="212">
        <f t="shared" si="18"/>
        <v>42</v>
      </c>
      <c r="C65" s="784">
        <f t="shared" si="12"/>
        <v>0</v>
      </c>
      <c r="D65" s="785">
        <f t="shared" si="13"/>
        <v>0</v>
      </c>
      <c r="F65" s="212">
        <f t="shared" si="10"/>
        <v>42</v>
      </c>
      <c r="G65" s="733">
        <f t="shared" si="14"/>
        <v>0</v>
      </c>
      <c r="H65" s="733">
        <f t="shared" si="15"/>
        <v>0</v>
      </c>
      <c r="I65" s="786" cm="1">
        <f t="array" ref="I65">H65-G65+IF(F65&lt;Åpningsår,0,IF(F65&gt;=Åpningsår+ProsjektetsLevetid,0,
(Slitasje_Godstog*_xlfn.SWITCH(Antall_Beregningsår,
1,(GodstogMkmD_År1+GodstogMkmEL_År1),
2,IF(F65&lt;AndreBeregningsår,(GodstogMkmD_År1+GodstogMkmEL_År1),(GodstogMkmD_År2+GodstogMkmEL_År2)),
3,IF(F65&lt;AndreBeregningsår,(GodstogMkmD_År1+GodstogMkmEL_År1),IF(F65&lt;TredjeBeregningsår,(GodstogMkmD_År2+GodstogMkmEL_År2),(GodstogMkmD_År3+GodstogMkmEL_År3)))))))</f>
        <v>0</v>
      </c>
      <c r="K65" s="212">
        <f t="shared" si="11"/>
        <v>42</v>
      </c>
      <c r="L65" s="787">
        <f t="shared" si="16"/>
        <v>0</v>
      </c>
      <c r="M65" s="788">
        <f t="shared" si="17"/>
        <v>0</v>
      </c>
    </row>
    <row r="66" spans="2:13" x14ac:dyDescent="0.35">
      <c r="B66" s="212">
        <f t="shared" si="18"/>
        <v>43</v>
      </c>
      <c r="C66" s="784">
        <f t="shared" si="12"/>
        <v>0</v>
      </c>
      <c r="D66" s="785">
        <f t="shared" si="13"/>
        <v>0</v>
      </c>
      <c r="F66" s="212">
        <f t="shared" si="10"/>
        <v>43</v>
      </c>
      <c r="G66" s="733">
        <f t="shared" si="14"/>
        <v>0</v>
      </c>
      <c r="H66" s="733">
        <f t="shared" si="15"/>
        <v>0</v>
      </c>
      <c r="I66" s="786" cm="1">
        <f t="array" ref="I66">H66-G66+IF(F66&lt;Åpningsår,0,IF(F66&gt;=Åpningsår+ProsjektetsLevetid,0,
(Slitasje_Godstog*_xlfn.SWITCH(Antall_Beregningsår,
1,(GodstogMkmD_År1+GodstogMkmEL_År1),
2,IF(F66&lt;AndreBeregningsår,(GodstogMkmD_År1+GodstogMkmEL_År1),(GodstogMkmD_År2+GodstogMkmEL_År2)),
3,IF(F66&lt;AndreBeregningsår,(GodstogMkmD_År1+GodstogMkmEL_År1),IF(F66&lt;TredjeBeregningsår,(GodstogMkmD_År2+GodstogMkmEL_År2),(GodstogMkmD_År3+GodstogMkmEL_År3)))))))</f>
        <v>0</v>
      </c>
      <c r="K66" s="212">
        <f t="shared" si="11"/>
        <v>43</v>
      </c>
      <c r="L66" s="787">
        <f t="shared" si="16"/>
        <v>0</v>
      </c>
      <c r="M66" s="788">
        <f t="shared" si="17"/>
        <v>0</v>
      </c>
    </row>
    <row r="67" spans="2:13" x14ac:dyDescent="0.35">
      <c r="B67" s="212">
        <f t="shared" si="18"/>
        <v>44</v>
      </c>
      <c r="C67" s="784">
        <f t="shared" si="12"/>
        <v>0</v>
      </c>
      <c r="D67" s="785">
        <f t="shared" si="13"/>
        <v>0</v>
      </c>
      <c r="F67" s="212">
        <f t="shared" si="10"/>
        <v>44</v>
      </c>
      <c r="G67" s="733">
        <f t="shared" si="14"/>
        <v>0</v>
      </c>
      <c r="H67" s="733">
        <f t="shared" si="15"/>
        <v>0</v>
      </c>
      <c r="I67" s="786" cm="1">
        <f t="array" ref="I67">H67-G67+IF(F67&lt;Åpningsår,0,IF(F67&gt;=Åpningsår+ProsjektetsLevetid,0,
(Slitasje_Godstog*_xlfn.SWITCH(Antall_Beregningsår,
1,(GodstogMkmD_År1+GodstogMkmEL_År1),
2,IF(F67&lt;AndreBeregningsår,(GodstogMkmD_År1+GodstogMkmEL_År1),(GodstogMkmD_År2+GodstogMkmEL_År2)),
3,IF(F67&lt;AndreBeregningsår,(GodstogMkmD_År1+GodstogMkmEL_År1),IF(F67&lt;TredjeBeregningsår,(GodstogMkmD_År2+GodstogMkmEL_År2),(GodstogMkmD_År3+GodstogMkmEL_År3)))))))</f>
        <v>0</v>
      </c>
      <c r="K67" s="212">
        <f t="shared" si="11"/>
        <v>44</v>
      </c>
      <c r="L67" s="787">
        <f t="shared" si="16"/>
        <v>0</v>
      </c>
      <c r="M67" s="788">
        <f t="shared" si="17"/>
        <v>0</v>
      </c>
    </row>
    <row r="68" spans="2:13" x14ac:dyDescent="0.35">
      <c r="B68" s="212">
        <f t="shared" si="18"/>
        <v>45</v>
      </c>
      <c r="C68" s="784">
        <f t="shared" si="12"/>
        <v>0</v>
      </c>
      <c r="D68" s="785">
        <f t="shared" si="13"/>
        <v>0</v>
      </c>
      <c r="F68" s="218">
        <f t="shared" si="10"/>
        <v>45</v>
      </c>
      <c r="G68" s="733">
        <f t="shared" si="14"/>
        <v>0</v>
      </c>
      <c r="H68" s="733">
        <f t="shared" si="15"/>
        <v>0</v>
      </c>
      <c r="I68" s="786" cm="1">
        <f t="array" ref="I68">H68-G68+IF(F68&lt;Åpningsår,0,IF(F68&gt;=Åpningsår+ProsjektetsLevetid,0,
(Slitasje_Godstog*_xlfn.SWITCH(Antall_Beregningsår,
1,(GodstogMkmD_År1+GodstogMkmEL_År1),
2,IF(F68&lt;AndreBeregningsår,(GodstogMkmD_År1+GodstogMkmEL_År1),(GodstogMkmD_År2+GodstogMkmEL_År2)),
3,IF(F68&lt;AndreBeregningsår,(GodstogMkmD_År1+GodstogMkmEL_År1),IF(F68&lt;TredjeBeregningsår,(GodstogMkmD_År2+GodstogMkmEL_År2),(GodstogMkmD_År3+GodstogMkmEL_År3)))))))</f>
        <v>0</v>
      </c>
      <c r="K68" s="212">
        <f t="shared" si="11"/>
        <v>45</v>
      </c>
      <c r="L68" s="787">
        <f t="shared" si="16"/>
        <v>0</v>
      </c>
      <c r="M68" s="788">
        <f t="shared" si="17"/>
        <v>0</v>
      </c>
    </row>
    <row r="69" spans="2:13" x14ac:dyDescent="0.35">
      <c r="B69" s="212">
        <f t="shared" si="18"/>
        <v>46</v>
      </c>
      <c r="C69" s="784">
        <f t="shared" si="12"/>
        <v>0</v>
      </c>
      <c r="D69" s="785">
        <f t="shared" si="13"/>
        <v>0</v>
      </c>
      <c r="F69" s="212">
        <f>F68+1</f>
        <v>46</v>
      </c>
      <c r="G69" s="733">
        <f t="shared" si="14"/>
        <v>0</v>
      </c>
      <c r="H69" s="733">
        <f t="shared" si="15"/>
        <v>0</v>
      </c>
      <c r="I69" s="786" cm="1">
        <f t="array" ref="I69">H69-G69+IF(F69&lt;Åpningsår,0,IF(F69&gt;=Åpningsår+ProsjektetsLevetid,0,
(Slitasje_Godstog*_xlfn.SWITCH(Antall_Beregningsår,
1,(GodstogMkmD_År1+GodstogMkmEL_År1),
2,IF(F69&lt;AndreBeregningsår,(GodstogMkmD_År1+GodstogMkmEL_År1),(GodstogMkmD_År2+GodstogMkmEL_År2)),
3,IF(F69&lt;AndreBeregningsår,(GodstogMkmD_År1+GodstogMkmEL_År1),IF(F69&lt;TredjeBeregningsår,(GodstogMkmD_År2+GodstogMkmEL_År2),(GodstogMkmD_År3+GodstogMkmEL_År3)))))))</f>
        <v>0</v>
      </c>
      <c r="K69" s="212">
        <f>K68+1</f>
        <v>46</v>
      </c>
      <c r="L69" s="787">
        <f t="shared" si="16"/>
        <v>0</v>
      </c>
      <c r="M69" s="788">
        <f t="shared" si="17"/>
        <v>0</v>
      </c>
    </row>
    <row r="70" spans="2:13" x14ac:dyDescent="0.35">
      <c r="B70" s="212">
        <f t="shared" si="18"/>
        <v>47</v>
      </c>
      <c r="C70" s="784">
        <f t="shared" si="12"/>
        <v>0</v>
      </c>
      <c r="D70" s="785">
        <f t="shared" si="13"/>
        <v>0</v>
      </c>
      <c r="F70" s="212">
        <f t="shared" si="10"/>
        <v>47</v>
      </c>
      <c r="G70" s="733">
        <f t="shared" si="14"/>
        <v>0</v>
      </c>
      <c r="H70" s="733">
        <f t="shared" si="15"/>
        <v>0</v>
      </c>
      <c r="I70" s="786" cm="1">
        <f t="array" ref="I70">H70-G70+IF(F70&lt;Åpningsår,0,IF(F70&gt;=Åpningsår+ProsjektetsLevetid,0,
(Slitasje_Godstog*_xlfn.SWITCH(Antall_Beregningsår,
1,(GodstogMkmD_År1+GodstogMkmEL_År1),
2,IF(F70&lt;AndreBeregningsår,(GodstogMkmD_År1+GodstogMkmEL_År1),(GodstogMkmD_År2+GodstogMkmEL_År2)),
3,IF(F70&lt;AndreBeregningsår,(GodstogMkmD_År1+GodstogMkmEL_År1),IF(F70&lt;TredjeBeregningsår,(GodstogMkmD_År2+GodstogMkmEL_År2),(GodstogMkmD_År3+GodstogMkmEL_År3)))))))</f>
        <v>0</v>
      </c>
      <c r="K70" s="212">
        <f t="shared" si="11"/>
        <v>47</v>
      </c>
      <c r="L70" s="787">
        <f t="shared" si="16"/>
        <v>0</v>
      </c>
      <c r="M70" s="788">
        <f t="shared" si="17"/>
        <v>0</v>
      </c>
    </row>
    <row r="71" spans="2:13" x14ac:dyDescent="0.35">
      <c r="B71" s="212">
        <f t="shared" si="18"/>
        <v>48</v>
      </c>
      <c r="C71" s="784">
        <f t="shared" si="12"/>
        <v>0</v>
      </c>
      <c r="D71" s="785">
        <f t="shared" si="13"/>
        <v>0</v>
      </c>
      <c r="F71" s="212">
        <f t="shared" si="10"/>
        <v>48</v>
      </c>
      <c r="G71" s="733">
        <f t="shared" si="14"/>
        <v>0</v>
      </c>
      <c r="H71" s="733">
        <f t="shared" si="15"/>
        <v>0</v>
      </c>
      <c r="I71" s="786" cm="1">
        <f t="array" ref="I71">H71-G71+IF(F71&lt;Åpningsår,0,IF(F71&gt;=Åpningsår+ProsjektetsLevetid,0,
(Slitasje_Godstog*_xlfn.SWITCH(Antall_Beregningsår,
1,(GodstogMkmD_År1+GodstogMkmEL_År1),
2,IF(F71&lt;AndreBeregningsår,(GodstogMkmD_År1+GodstogMkmEL_År1),(GodstogMkmD_År2+GodstogMkmEL_År2)),
3,IF(F71&lt;AndreBeregningsår,(GodstogMkmD_År1+GodstogMkmEL_År1),IF(F71&lt;TredjeBeregningsår,(GodstogMkmD_År2+GodstogMkmEL_År2),(GodstogMkmD_År3+GodstogMkmEL_År3)))))))</f>
        <v>0</v>
      </c>
      <c r="K71" s="212">
        <f t="shared" si="11"/>
        <v>48</v>
      </c>
      <c r="L71" s="787">
        <f t="shared" si="16"/>
        <v>0</v>
      </c>
      <c r="M71" s="788">
        <f t="shared" si="17"/>
        <v>0</v>
      </c>
    </row>
    <row r="72" spans="2:13" x14ac:dyDescent="0.35">
      <c r="B72" s="212">
        <f t="shared" si="18"/>
        <v>49</v>
      </c>
      <c r="C72" s="784">
        <f t="shared" si="12"/>
        <v>0</v>
      </c>
      <c r="D72" s="785">
        <f t="shared" si="13"/>
        <v>0</v>
      </c>
      <c r="F72" s="212">
        <f t="shared" si="10"/>
        <v>49</v>
      </c>
      <c r="G72" s="733">
        <f t="shared" si="14"/>
        <v>0</v>
      </c>
      <c r="H72" s="733">
        <f t="shared" si="15"/>
        <v>0</v>
      </c>
      <c r="I72" s="786" cm="1">
        <f t="array" ref="I72">H72-G72+IF(F72&lt;Åpningsår,0,IF(F72&gt;=Åpningsår+ProsjektetsLevetid,0,
(Slitasje_Godstog*_xlfn.SWITCH(Antall_Beregningsår,
1,(GodstogMkmD_År1+GodstogMkmEL_År1),
2,IF(F72&lt;AndreBeregningsår,(GodstogMkmD_År1+GodstogMkmEL_År1),(GodstogMkmD_År2+GodstogMkmEL_År2)),
3,IF(F72&lt;AndreBeregningsår,(GodstogMkmD_År1+GodstogMkmEL_År1),IF(F72&lt;TredjeBeregningsår,(GodstogMkmD_År2+GodstogMkmEL_År2),(GodstogMkmD_År3+GodstogMkmEL_År3)))))))</f>
        <v>0</v>
      </c>
      <c r="K72" s="212">
        <f t="shared" si="11"/>
        <v>49</v>
      </c>
      <c r="L72" s="787">
        <f t="shared" si="16"/>
        <v>0</v>
      </c>
      <c r="M72" s="788">
        <f t="shared" si="17"/>
        <v>0</v>
      </c>
    </row>
    <row r="73" spans="2:13" x14ac:dyDescent="0.35">
      <c r="B73" s="212">
        <f t="shared" si="18"/>
        <v>50</v>
      </c>
      <c r="C73" s="784">
        <f t="shared" si="12"/>
        <v>0</v>
      </c>
      <c r="D73" s="785">
        <f t="shared" si="13"/>
        <v>0</v>
      </c>
      <c r="F73" s="212">
        <f t="shared" si="10"/>
        <v>50</v>
      </c>
      <c r="G73" s="733">
        <f t="shared" si="14"/>
        <v>0</v>
      </c>
      <c r="H73" s="733">
        <f t="shared" si="15"/>
        <v>0</v>
      </c>
      <c r="I73" s="786" cm="1">
        <f t="array" ref="I73">H73-G73+IF(F73&lt;Åpningsår,0,IF(F73&gt;=Åpningsår+ProsjektetsLevetid,0,
(Slitasje_Godstog*_xlfn.SWITCH(Antall_Beregningsår,
1,(GodstogMkmD_År1+GodstogMkmEL_År1),
2,IF(F73&lt;AndreBeregningsår,(GodstogMkmD_År1+GodstogMkmEL_År1),(GodstogMkmD_År2+GodstogMkmEL_År2)),
3,IF(F73&lt;AndreBeregningsår,(GodstogMkmD_År1+GodstogMkmEL_År1),IF(F73&lt;TredjeBeregningsår,(GodstogMkmD_År2+GodstogMkmEL_År2),(GodstogMkmD_År3+GodstogMkmEL_År3)))))))</f>
        <v>0</v>
      </c>
      <c r="K73" s="212">
        <f t="shared" si="11"/>
        <v>50</v>
      </c>
      <c r="L73" s="787">
        <f t="shared" si="16"/>
        <v>0</v>
      </c>
      <c r="M73" s="788">
        <f t="shared" si="17"/>
        <v>0</v>
      </c>
    </row>
    <row r="74" spans="2:13" x14ac:dyDescent="0.35">
      <c r="B74" s="212">
        <f t="shared" si="18"/>
        <v>51</v>
      </c>
      <c r="C74" s="784">
        <f t="shared" si="12"/>
        <v>0</v>
      </c>
      <c r="D74" s="785">
        <f t="shared" si="13"/>
        <v>0</v>
      </c>
      <c r="F74" s="212">
        <f t="shared" si="10"/>
        <v>51</v>
      </c>
      <c r="G74" s="733">
        <f t="shared" si="14"/>
        <v>0</v>
      </c>
      <c r="H74" s="733">
        <f t="shared" si="15"/>
        <v>0</v>
      </c>
      <c r="I74" s="786" cm="1">
        <f t="array" ref="I74">H74-G74+IF(F74&lt;Åpningsår,0,IF(F74&gt;=Åpningsår+ProsjektetsLevetid,0,
(Slitasje_Godstog*_xlfn.SWITCH(Antall_Beregningsår,
1,(GodstogMkmD_År1+GodstogMkmEL_År1),
2,IF(F74&lt;AndreBeregningsår,(GodstogMkmD_År1+GodstogMkmEL_År1),(GodstogMkmD_År2+GodstogMkmEL_År2)),
3,IF(F74&lt;AndreBeregningsår,(GodstogMkmD_År1+GodstogMkmEL_År1),IF(F74&lt;TredjeBeregningsår,(GodstogMkmD_År2+GodstogMkmEL_År2),(GodstogMkmD_År3+GodstogMkmEL_År3)))))))</f>
        <v>0</v>
      </c>
      <c r="K74" s="212">
        <f t="shared" si="11"/>
        <v>51</v>
      </c>
      <c r="L74" s="787">
        <f t="shared" si="16"/>
        <v>0</v>
      </c>
      <c r="M74" s="788">
        <f t="shared" si="17"/>
        <v>0</v>
      </c>
    </row>
    <row r="75" spans="2:13" x14ac:dyDescent="0.35">
      <c r="B75" s="212">
        <f t="shared" si="18"/>
        <v>52</v>
      </c>
      <c r="C75" s="784">
        <f t="shared" si="12"/>
        <v>0</v>
      </c>
      <c r="D75" s="785">
        <f t="shared" si="13"/>
        <v>0</v>
      </c>
      <c r="F75" s="212">
        <f t="shared" si="10"/>
        <v>52</v>
      </c>
      <c r="G75" s="733">
        <f t="shared" si="14"/>
        <v>0</v>
      </c>
      <c r="H75" s="733">
        <f t="shared" si="15"/>
        <v>0</v>
      </c>
      <c r="I75" s="786" cm="1">
        <f t="array" ref="I75">H75-G75+IF(F75&lt;Åpningsår,0,IF(F75&gt;=Åpningsår+ProsjektetsLevetid,0,
(Slitasje_Godstog*_xlfn.SWITCH(Antall_Beregningsår,
1,(GodstogMkmD_År1+GodstogMkmEL_År1),
2,IF(F75&lt;AndreBeregningsår,(GodstogMkmD_År1+GodstogMkmEL_År1),(GodstogMkmD_År2+GodstogMkmEL_År2)),
3,IF(F75&lt;AndreBeregningsår,(GodstogMkmD_År1+GodstogMkmEL_År1),IF(F75&lt;TredjeBeregningsår,(GodstogMkmD_År2+GodstogMkmEL_År2),(GodstogMkmD_År3+GodstogMkmEL_År3)))))))</f>
        <v>0</v>
      </c>
      <c r="K75" s="212">
        <f t="shared" si="11"/>
        <v>52</v>
      </c>
      <c r="L75" s="787">
        <f t="shared" si="16"/>
        <v>0</v>
      </c>
      <c r="M75" s="788">
        <f t="shared" si="17"/>
        <v>0</v>
      </c>
    </row>
    <row r="76" spans="2:13" x14ac:dyDescent="0.35">
      <c r="B76" s="212">
        <f t="shared" si="18"/>
        <v>53</v>
      </c>
      <c r="C76" s="784">
        <f t="shared" si="12"/>
        <v>0</v>
      </c>
      <c r="D76" s="785">
        <f t="shared" si="13"/>
        <v>0</v>
      </c>
      <c r="F76" s="212">
        <f t="shared" si="10"/>
        <v>53</v>
      </c>
      <c r="G76" s="733">
        <f t="shared" si="14"/>
        <v>0</v>
      </c>
      <c r="H76" s="733">
        <f t="shared" si="15"/>
        <v>0</v>
      </c>
      <c r="I76" s="786" cm="1">
        <f t="array" ref="I76">H76-G76+IF(F76&lt;Åpningsår,0,IF(F76&gt;=Åpningsår+ProsjektetsLevetid,0,
(Slitasje_Godstog*_xlfn.SWITCH(Antall_Beregningsår,
1,(GodstogMkmD_År1+GodstogMkmEL_År1),
2,IF(F76&lt;AndreBeregningsår,(GodstogMkmD_År1+GodstogMkmEL_År1),(GodstogMkmD_År2+GodstogMkmEL_År2)),
3,IF(F76&lt;AndreBeregningsår,(GodstogMkmD_År1+GodstogMkmEL_År1),IF(F76&lt;TredjeBeregningsår,(GodstogMkmD_År2+GodstogMkmEL_År2),(GodstogMkmD_År3+GodstogMkmEL_År3)))))))</f>
        <v>0</v>
      </c>
      <c r="K76" s="212">
        <f t="shared" si="11"/>
        <v>53</v>
      </c>
      <c r="L76" s="787">
        <f t="shared" si="16"/>
        <v>0</v>
      </c>
      <c r="M76" s="788">
        <f t="shared" si="17"/>
        <v>0</v>
      </c>
    </row>
    <row r="77" spans="2:13" x14ac:dyDescent="0.35">
      <c r="B77" s="212">
        <f t="shared" si="18"/>
        <v>54</v>
      </c>
      <c r="C77" s="784">
        <f t="shared" ref="C77:C108" si="19">IF(AND($B77&gt;=Oppstartsår_FørsteÅrMedInvestering,B77&lt;Oppstartsår_FørsteÅrMedInvestering+Investering_AntallÅr),Investering_Referanse/Investering_AntallÅr,0)</f>
        <v>0</v>
      </c>
      <c r="D77" s="785">
        <f t="shared" ref="D77:D108" si="20">IF(AND($B77&gt;=Oppstartsår_FørsteÅrMedInvestering,B77&lt;Oppstartsår_FørsteÅrMedInvestering+Investering_AntallÅr),Investering_Tiltak/Investering_AntallÅr,0)</f>
        <v>0</v>
      </c>
      <c r="F77" s="212">
        <f t="shared" si="10"/>
        <v>54</v>
      </c>
      <c r="G77" s="733">
        <f t="shared" ref="G77:G108" si="21">IF(F77&lt;Åpningsår,0,IF(F77&gt;=Åpningsår+ProsjektetsLevetid,0,(((Sporveksel_Ref*Vedlikehold_Sporveksel)+(Stasjon_Ref*Vedlikehold_Stasjon)+(Daglinje_Ref*Vedlikehold_Daglinje)+(Tunnelkm_Ref*Vedlikehold_Tunnel)+(Brukm_Ref*Vedlikehold_bru)+(KLkm_Ref*Vedlikehold_KL)+(Slitasje_Persontog*(TogkmBiEl_RefÅr1+TogkmBiDi_RefÅr1+TogkmEL_RefÅr1+TogkmD_RefÅr1+TogkmBiEl_RefÅr1_Togtype_2+TogkmBiDi_RefÅr1_Togtype_2+TogkmEL_RefÅr1_Togtype_2+TogkmD_RefÅr1_Togtype_2))))/1000000))</f>
        <v>0</v>
      </c>
      <c r="H77" s="733">
        <f t="shared" ref="H77:H108" si="22">IF(F77&lt;Åpningsår,0,IF(F77&gt;=Åpningsår+ProsjektetsLevetid,0,(((Sporveksel_Tiltak*Vedlikehold_Sporveksel)+(Stasjon_Tiltak*Vedlikehold_Stasjon)+(Daglinje_Tiltak*Vedlikehold_Daglinje)+(Tunnelkm_Tiltak*Vedlikehold_Tunnel)+(Brukm_Tiltak*Vedlikehold_bru)+(KLkm_Tiltak*Vedlikehold_KL))*(1+Hastighet_Endring*Vedlikehold_HastighetPåslag)/1000000)+(Slitasje_Persontog*(TogkmBiEl_TiltakÅr1+TogkmBiDi_TiltakÅr1+TogkmEL_TiltakÅr1+TogkmD_TiltakÅr1+TogkmBiEl_TiltakÅr1_Togtype_2+TogkmBiDi_TiltakÅr1_Togtype_2+TogkmEL_TiltakÅr1_Togtype_2+TogkmD_TiltakÅr1_Togtype_2))/1000000))</f>
        <v>0</v>
      </c>
      <c r="I77" s="786" cm="1">
        <f t="array" ref="I77">H77-G77+IF(F77&lt;Åpningsår,0,IF(F77&gt;=Åpningsår+ProsjektetsLevetid,0,
(Slitasje_Godstog*_xlfn.SWITCH(Antall_Beregningsår,
1,(GodstogMkmD_År1+GodstogMkmEL_År1),
2,IF(F77&lt;AndreBeregningsår,(GodstogMkmD_År1+GodstogMkmEL_År1),(GodstogMkmD_År2+GodstogMkmEL_År2)),
3,IF(F77&lt;AndreBeregningsår,(GodstogMkmD_År1+GodstogMkmEL_År1),IF(F77&lt;TredjeBeregningsår,(GodstogMkmD_År2+GodstogMkmEL_År2),(GodstogMkmD_År3+GodstogMkmEL_År3)))))))</f>
        <v>0</v>
      </c>
      <c r="K77" s="212">
        <f t="shared" si="11"/>
        <v>54</v>
      </c>
      <c r="L77" s="787">
        <f t="shared" ref="L77:L97" si="23">IF(K77+1&gt;=Åpningsår+ProsjektetsLevetid,0,IF(OR(Åpningsår+Levetid_Signalanlegg=K77+1,Åpningsår+Levetid_Signalanlegg*2=K77+1,Åpningsår+Levetid_Signalanlegg*3=K77+1),((AndelAvInvestering_Signalanlegg)*Investering_Referanse),0)+IF(K77+1=(Åpningsår+Levetid_Overbygning),((AndelAvInvestering_Overbygning)*Investering_Referanse),0)+IF(K77+1=(Åpningsår+Levetid_Lavspenning),((AndelAvInvestering_Lavspenning)*Investering_Referanse),0)+IF(K77+1=(Åpningsår+Levetid_KLanlegg),(AndelAvinvestering_KLAnlegg*Investering_Referanse),0)+IF(OR(Åpningsår+Levetid_Annen=K77+1,Åpningsår+Levetid_Annen*2=K77+1,Åpningsår+Levetid_Annen*3=K77+1,Åpningsår+Levetid_Annen*4=K77+1,Åpningsår+Levetid_Annen*5=K77+1,Åpningsår+Levetid_Annen*6=K77+1,Åpningsår+Levetid_Annen*7=K77+1,Åpningsår+Levetid_Annen*8=K77+1,Åpningsår+Levetid_Annen*9=K77+1,Åpningsår+Levetid_Annen*10=K77+1,Åpningsår+Levetid_Annen*11=K77+1,Åpningsår+Levetid_Annen*12=K77+1,Åpningsår+Levetid_Annen*13=K77+1,Åpningsår+Levetid_Annen*14=K77+1,Åpningsår+Levetid_Annen*15=K77+1),(AndelAvInvestering_Annen*Investering_Referanse),0))</f>
        <v>0</v>
      </c>
      <c r="M77" s="788">
        <f t="shared" ref="M77:M97" si="24">IF(K77+1&gt;=Åpningsår+ProsjektetsLevetid,0,IF(OR(Åpningsår+Levetid_Signalanlegg=K77+1,Åpningsår+Levetid_Signalanlegg*2=K77+1,Åpningsår+Levetid_Signalanlegg*3=K77+1),((AndelAvInvestering_Signalanlegg)*Investering_Tiltak),0)+IF(K77+1=(Åpningsår+Levetid_Overbygning),((AndelAvInvestering_Overbygning)*Investering_Tiltak),0)+IF(K77+1=(Åpningsår+Levetid_Lavspenning),(AndelAvInvestering_Lavspenning*Investering_Tiltak),0)+IF(K77+1=(Åpningsår+Levetid_KLanlegg),(AndelAvinvestering_KLAnlegg*Investering_Tiltak),0)+IF(OR(Åpningsår+Levetid_Annen=K77+1,Åpningsår+Levetid_Annen*2=K77+1,Åpningsår+Levetid_Annen*3=K77+1,Åpningsår+Levetid_Annen*4=K77+1,Åpningsår+Levetid_Annen*5=K77+1,Åpningsår+Levetid_Annen*6=K77+1,Åpningsår+Levetid_Annen*7=K77+1,Åpningsår+Levetid_Annen*8=K77+1,Åpningsår+Levetid_Annen*9=K77+1,Åpningsår+Levetid_Annen*10=K77+1,Åpningsår+Levetid_Annen*11=K77+1,Åpningsår+Levetid_Annen*12=K77+1,Åpningsår+Levetid_Annen*13=K77+1,Åpningsår+Levetid_Annen*14=K77+1,Åpningsår+Levetid_Annen*15=K77+1),(AndelAvInvestering_Annen*Investering_Tiltak),0))</f>
        <v>0</v>
      </c>
    </row>
    <row r="78" spans="2:13" x14ac:dyDescent="0.35">
      <c r="B78" s="212">
        <f t="shared" si="18"/>
        <v>55</v>
      </c>
      <c r="C78" s="784">
        <f t="shared" si="19"/>
        <v>0</v>
      </c>
      <c r="D78" s="785">
        <f t="shared" si="20"/>
        <v>0</v>
      </c>
      <c r="F78" s="212">
        <f t="shared" si="10"/>
        <v>55</v>
      </c>
      <c r="G78" s="733">
        <f t="shared" si="21"/>
        <v>0</v>
      </c>
      <c r="H78" s="733">
        <f t="shared" si="22"/>
        <v>0</v>
      </c>
      <c r="I78" s="786" cm="1">
        <f t="array" ref="I78">H78-G78+IF(F78&lt;Åpningsår,0,IF(F78&gt;=Åpningsår+ProsjektetsLevetid,0,
(Slitasje_Godstog*_xlfn.SWITCH(Antall_Beregningsår,
1,(GodstogMkmD_År1+GodstogMkmEL_År1),
2,IF(F78&lt;AndreBeregningsår,(GodstogMkmD_År1+GodstogMkmEL_År1),(GodstogMkmD_År2+GodstogMkmEL_År2)),
3,IF(F78&lt;AndreBeregningsår,(GodstogMkmD_År1+GodstogMkmEL_År1),IF(F78&lt;TredjeBeregningsår,(GodstogMkmD_År2+GodstogMkmEL_År2),(GodstogMkmD_År3+GodstogMkmEL_År3)))))))</f>
        <v>0</v>
      </c>
      <c r="K78" s="212">
        <f t="shared" si="11"/>
        <v>55</v>
      </c>
      <c r="L78" s="787">
        <f t="shared" si="23"/>
        <v>0</v>
      </c>
      <c r="M78" s="788">
        <f t="shared" si="24"/>
        <v>0</v>
      </c>
    </row>
    <row r="79" spans="2:13" x14ac:dyDescent="0.35">
      <c r="B79" s="212">
        <f t="shared" si="18"/>
        <v>56</v>
      </c>
      <c r="C79" s="784">
        <f t="shared" si="19"/>
        <v>0</v>
      </c>
      <c r="D79" s="785">
        <f t="shared" si="20"/>
        <v>0</v>
      </c>
      <c r="F79" s="212">
        <f t="shared" si="10"/>
        <v>56</v>
      </c>
      <c r="G79" s="733">
        <f t="shared" si="21"/>
        <v>0</v>
      </c>
      <c r="H79" s="733">
        <f t="shared" si="22"/>
        <v>0</v>
      </c>
      <c r="I79" s="786" cm="1">
        <f t="array" ref="I79">H79-G79+IF(F79&lt;Åpningsår,0,IF(F79&gt;=Åpningsår+ProsjektetsLevetid,0,
(Slitasje_Godstog*_xlfn.SWITCH(Antall_Beregningsår,
1,(GodstogMkmD_År1+GodstogMkmEL_År1),
2,IF(F79&lt;AndreBeregningsår,(GodstogMkmD_År1+GodstogMkmEL_År1),(GodstogMkmD_År2+GodstogMkmEL_År2)),
3,IF(F79&lt;AndreBeregningsår,(GodstogMkmD_År1+GodstogMkmEL_År1),IF(F79&lt;TredjeBeregningsår,(GodstogMkmD_År2+GodstogMkmEL_År2),(GodstogMkmD_År3+GodstogMkmEL_År3)))))))</f>
        <v>0</v>
      </c>
      <c r="K79" s="212">
        <f t="shared" si="11"/>
        <v>56</v>
      </c>
      <c r="L79" s="787">
        <f t="shared" si="23"/>
        <v>0</v>
      </c>
      <c r="M79" s="788">
        <f t="shared" si="24"/>
        <v>0</v>
      </c>
    </row>
    <row r="80" spans="2:13" x14ac:dyDescent="0.35">
      <c r="B80" s="212">
        <f t="shared" si="18"/>
        <v>57</v>
      </c>
      <c r="C80" s="784">
        <f t="shared" si="19"/>
        <v>0</v>
      </c>
      <c r="D80" s="785">
        <f t="shared" si="20"/>
        <v>0</v>
      </c>
      <c r="F80" s="212">
        <f t="shared" si="10"/>
        <v>57</v>
      </c>
      <c r="G80" s="733">
        <f t="shared" si="21"/>
        <v>0</v>
      </c>
      <c r="H80" s="733">
        <f t="shared" si="22"/>
        <v>0</v>
      </c>
      <c r="I80" s="786" cm="1">
        <f t="array" ref="I80">H80-G80+IF(F80&lt;Åpningsår,0,IF(F80&gt;=Åpningsår+ProsjektetsLevetid,0,
(Slitasje_Godstog*_xlfn.SWITCH(Antall_Beregningsår,
1,(GodstogMkmD_År1+GodstogMkmEL_År1),
2,IF(F80&lt;AndreBeregningsår,(GodstogMkmD_År1+GodstogMkmEL_År1),(GodstogMkmD_År2+GodstogMkmEL_År2)),
3,IF(F80&lt;AndreBeregningsår,(GodstogMkmD_År1+GodstogMkmEL_År1),IF(F80&lt;TredjeBeregningsår,(GodstogMkmD_År2+GodstogMkmEL_År2),(GodstogMkmD_År3+GodstogMkmEL_År3)))))))</f>
        <v>0</v>
      </c>
      <c r="K80" s="212">
        <f t="shared" si="11"/>
        <v>57</v>
      </c>
      <c r="L80" s="787">
        <f t="shared" si="23"/>
        <v>0</v>
      </c>
      <c r="M80" s="788">
        <f t="shared" si="24"/>
        <v>0</v>
      </c>
    </row>
    <row r="81" spans="2:13" x14ac:dyDescent="0.35">
      <c r="B81" s="212">
        <f t="shared" si="18"/>
        <v>58</v>
      </c>
      <c r="C81" s="784">
        <f t="shared" si="19"/>
        <v>0</v>
      </c>
      <c r="D81" s="785">
        <f t="shared" si="20"/>
        <v>0</v>
      </c>
      <c r="F81" s="212">
        <f t="shared" si="10"/>
        <v>58</v>
      </c>
      <c r="G81" s="733">
        <f t="shared" si="21"/>
        <v>0</v>
      </c>
      <c r="H81" s="733">
        <f t="shared" si="22"/>
        <v>0</v>
      </c>
      <c r="I81" s="786" cm="1">
        <f t="array" ref="I81">H81-G81+IF(F81&lt;Åpningsår,0,IF(F81&gt;=Åpningsår+ProsjektetsLevetid,0,
(Slitasje_Godstog*_xlfn.SWITCH(Antall_Beregningsår,
1,(GodstogMkmD_År1+GodstogMkmEL_År1),
2,IF(F81&lt;AndreBeregningsår,(GodstogMkmD_År1+GodstogMkmEL_År1),(GodstogMkmD_År2+GodstogMkmEL_År2)),
3,IF(F81&lt;AndreBeregningsår,(GodstogMkmD_År1+GodstogMkmEL_År1),IF(F81&lt;TredjeBeregningsår,(GodstogMkmD_År2+GodstogMkmEL_År2),(GodstogMkmD_År3+GodstogMkmEL_År3)))))))</f>
        <v>0</v>
      </c>
      <c r="K81" s="212">
        <f t="shared" si="11"/>
        <v>58</v>
      </c>
      <c r="L81" s="787">
        <f t="shared" si="23"/>
        <v>0</v>
      </c>
      <c r="M81" s="788">
        <f t="shared" si="24"/>
        <v>0</v>
      </c>
    </row>
    <row r="82" spans="2:13" x14ac:dyDescent="0.35">
      <c r="B82" s="212">
        <f t="shared" si="18"/>
        <v>59</v>
      </c>
      <c r="C82" s="784">
        <f t="shared" si="19"/>
        <v>0</v>
      </c>
      <c r="D82" s="785">
        <f t="shared" si="20"/>
        <v>0</v>
      </c>
      <c r="F82" s="212">
        <f t="shared" si="10"/>
        <v>59</v>
      </c>
      <c r="G82" s="733">
        <f t="shared" si="21"/>
        <v>0</v>
      </c>
      <c r="H82" s="733">
        <f t="shared" si="22"/>
        <v>0</v>
      </c>
      <c r="I82" s="786" cm="1">
        <f t="array" ref="I82">H82-G82+IF(F82&lt;Åpningsår,0,IF(F82&gt;=Åpningsår+ProsjektetsLevetid,0,
(Slitasje_Godstog*_xlfn.SWITCH(Antall_Beregningsår,
1,(GodstogMkmD_År1+GodstogMkmEL_År1),
2,IF(F82&lt;AndreBeregningsår,(GodstogMkmD_År1+GodstogMkmEL_År1),(GodstogMkmD_År2+GodstogMkmEL_År2)),
3,IF(F82&lt;AndreBeregningsår,(GodstogMkmD_År1+GodstogMkmEL_År1),IF(F82&lt;TredjeBeregningsår,(GodstogMkmD_År2+GodstogMkmEL_År2),(GodstogMkmD_År3+GodstogMkmEL_År3)))))))</f>
        <v>0</v>
      </c>
      <c r="K82" s="212">
        <f t="shared" si="11"/>
        <v>59</v>
      </c>
      <c r="L82" s="787">
        <f t="shared" si="23"/>
        <v>0</v>
      </c>
      <c r="M82" s="788">
        <f t="shared" si="24"/>
        <v>0</v>
      </c>
    </row>
    <row r="83" spans="2:13" x14ac:dyDescent="0.35">
      <c r="B83" s="212">
        <f t="shared" si="18"/>
        <v>60</v>
      </c>
      <c r="C83" s="784">
        <f t="shared" si="19"/>
        <v>0</v>
      </c>
      <c r="D83" s="785">
        <f t="shared" si="20"/>
        <v>0</v>
      </c>
      <c r="F83" s="212">
        <f t="shared" si="10"/>
        <v>60</v>
      </c>
      <c r="G83" s="733">
        <f t="shared" si="21"/>
        <v>0</v>
      </c>
      <c r="H83" s="733">
        <f t="shared" si="22"/>
        <v>0</v>
      </c>
      <c r="I83" s="786" cm="1">
        <f t="array" ref="I83">H83-G83+IF(F83&lt;Åpningsår,0,IF(F83&gt;=Åpningsår+ProsjektetsLevetid,0,
(Slitasje_Godstog*_xlfn.SWITCH(Antall_Beregningsår,
1,(GodstogMkmD_År1+GodstogMkmEL_År1),
2,IF(F83&lt;AndreBeregningsår,(GodstogMkmD_År1+GodstogMkmEL_År1),(GodstogMkmD_År2+GodstogMkmEL_År2)),
3,IF(F83&lt;AndreBeregningsår,(GodstogMkmD_År1+GodstogMkmEL_År1),IF(F83&lt;TredjeBeregningsår,(GodstogMkmD_År2+GodstogMkmEL_År2),(GodstogMkmD_År3+GodstogMkmEL_År3)))))))</f>
        <v>0</v>
      </c>
      <c r="K83" s="212">
        <f t="shared" si="11"/>
        <v>60</v>
      </c>
      <c r="L83" s="787">
        <f t="shared" si="23"/>
        <v>0</v>
      </c>
      <c r="M83" s="788">
        <f t="shared" si="24"/>
        <v>0</v>
      </c>
    </row>
    <row r="84" spans="2:13" x14ac:dyDescent="0.35">
      <c r="B84" s="212">
        <f t="shared" si="18"/>
        <v>61</v>
      </c>
      <c r="C84" s="784">
        <f t="shared" si="19"/>
        <v>0</v>
      </c>
      <c r="D84" s="785">
        <f t="shared" si="20"/>
        <v>0</v>
      </c>
      <c r="F84" s="212">
        <f t="shared" si="10"/>
        <v>61</v>
      </c>
      <c r="G84" s="733">
        <f t="shared" si="21"/>
        <v>0</v>
      </c>
      <c r="H84" s="733">
        <f t="shared" si="22"/>
        <v>0</v>
      </c>
      <c r="I84" s="786" cm="1">
        <f t="array" ref="I84">H84-G84+IF(F84&lt;Åpningsår,0,IF(F84&gt;=Åpningsår+ProsjektetsLevetid,0,
(Slitasje_Godstog*_xlfn.SWITCH(Antall_Beregningsår,
1,(GodstogMkmD_År1+GodstogMkmEL_År1),
2,IF(F84&lt;AndreBeregningsår,(GodstogMkmD_År1+GodstogMkmEL_År1),(GodstogMkmD_År2+GodstogMkmEL_År2)),
3,IF(F84&lt;AndreBeregningsår,(GodstogMkmD_År1+GodstogMkmEL_År1),IF(F84&lt;TredjeBeregningsår,(GodstogMkmD_År2+GodstogMkmEL_År2),(GodstogMkmD_År3+GodstogMkmEL_År3)))))))</f>
        <v>0</v>
      </c>
      <c r="K84" s="212">
        <f t="shared" si="11"/>
        <v>61</v>
      </c>
      <c r="L84" s="787">
        <f t="shared" si="23"/>
        <v>0</v>
      </c>
      <c r="M84" s="788">
        <f t="shared" si="24"/>
        <v>0</v>
      </c>
    </row>
    <row r="85" spans="2:13" x14ac:dyDescent="0.35">
      <c r="B85" s="212">
        <f t="shared" si="18"/>
        <v>62</v>
      </c>
      <c r="C85" s="784">
        <f t="shared" si="19"/>
        <v>0</v>
      </c>
      <c r="D85" s="785">
        <f t="shared" si="20"/>
        <v>0</v>
      </c>
      <c r="F85" s="212">
        <f t="shared" si="10"/>
        <v>62</v>
      </c>
      <c r="G85" s="733">
        <f t="shared" si="21"/>
        <v>0</v>
      </c>
      <c r="H85" s="733">
        <f t="shared" si="22"/>
        <v>0</v>
      </c>
      <c r="I85" s="786" cm="1">
        <f t="array" ref="I85">H85-G85+IF(F85&lt;Åpningsår,0,IF(F85&gt;=Åpningsår+ProsjektetsLevetid,0,
(Slitasje_Godstog*_xlfn.SWITCH(Antall_Beregningsår,
1,(GodstogMkmD_År1+GodstogMkmEL_År1),
2,IF(F85&lt;AndreBeregningsår,(GodstogMkmD_År1+GodstogMkmEL_År1),(GodstogMkmD_År2+GodstogMkmEL_År2)),
3,IF(F85&lt;AndreBeregningsår,(GodstogMkmD_År1+GodstogMkmEL_År1),IF(F85&lt;TredjeBeregningsår,(GodstogMkmD_År2+GodstogMkmEL_År2),(GodstogMkmD_År3+GodstogMkmEL_År3)))))))</f>
        <v>0</v>
      </c>
      <c r="K85" s="212">
        <f t="shared" si="11"/>
        <v>62</v>
      </c>
      <c r="L85" s="787">
        <f t="shared" si="23"/>
        <v>0</v>
      </c>
      <c r="M85" s="788">
        <f t="shared" si="24"/>
        <v>0</v>
      </c>
    </row>
    <row r="86" spans="2:13" x14ac:dyDescent="0.35">
      <c r="B86" s="212">
        <f t="shared" si="18"/>
        <v>63</v>
      </c>
      <c r="C86" s="784">
        <f t="shared" si="19"/>
        <v>0</v>
      </c>
      <c r="D86" s="785">
        <f t="shared" si="20"/>
        <v>0</v>
      </c>
      <c r="F86" s="212">
        <f t="shared" si="10"/>
        <v>63</v>
      </c>
      <c r="G86" s="733">
        <f t="shared" si="21"/>
        <v>0</v>
      </c>
      <c r="H86" s="733">
        <f t="shared" si="22"/>
        <v>0</v>
      </c>
      <c r="I86" s="786" cm="1">
        <f t="array" ref="I86">H86-G86+IF(F86&lt;Åpningsår,0,IF(F86&gt;=Åpningsår+ProsjektetsLevetid,0,
(Slitasje_Godstog*_xlfn.SWITCH(Antall_Beregningsår,
1,(GodstogMkmD_År1+GodstogMkmEL_År1),
2,IF(F86&lt;AndreBeregningsår,(GodstogMkmD_År1+GodstogMkmEL_År1),(GodstogMkmD_År2+GodstogMkmEL_År2)),
3,IF(F86&lt;AndreBeregningsår,(GodstogMkmD_År1+GodstogMkmEL_År1),IF(F86&lt;TredjeBeregningsår,(GodstogMkmD_År2+GodstogMkmEL_År2),(GodstogMkmD_År3+GodstogMkmEL_År3)))))))</f>
        <v>0</v>
      </c>
      <c r="K86" s="212">
        <f t="shared" si="11"/>
        <v>63</v>
      </c>
      <c r="L86" s="787">
        <f t="shared" si="23"/>
        <v>0</v>
      </c>
      <c r="M86" s="788">
        <f t="shared" si="24"/>
        <v>0</v>
      </c>
    </row>
    <row r="87" spans="2:13" x14ac:dyDescent="0.35">
      <c r="B87" s="212">
        <f t="shared" si="18"/>
        <v>64</v>
      </c>
      <c r="C87" s="784">
        <f t="shared" si="19"/>
        <v>0</v>
      </c>
      <c r="D87" s="785">
        <f t="shared" si="20"/>
        <v>0</v>
      </c>
      <c r="F87" s="212">
        <f t="shared" si="10"/>
        <v>64</v>
      </c>
      <c r="G87" s="733">
        <f t="shared" si="21"/>
        <v>0</v>
      </c>
      <c r="H87" s="733">
        <f t="shared" si="22"/>
        <v>0</v>
      </c>
      <c r="I87" s="786" cm="1">
        <f t="array" ref="I87">H87-G87+IF(F87&lt;Åpningsår,0,IF(F87&gt;=Åpningsår+ProsjektetsLevetid,0,
(Slitasje_Godstog*_xlfn.SWITCH(Antall_Beregningsår,
1,(GodstogMkmD_År1+GodstogMkmEL_År1),
2,IF(F87&lt;AndreBeregningsår,(GodstogMkmD_År1+GodstogMkmEL_År1),(GodstogMkmD_År2+GodstogMkmEL_År2)),
3,IF(F87&lt;AndreBeregningsår,(GodstogMkmD_År1+GodstogMkmEL_År1),IF(F87&lt;TredjeBeregningsår,(GodstogMkmD_År2+GodstogMkmEL_År2),(GodstogMkmD_År3+GodstogMkmEL_År3)))))))</f>
        <v>0</v>
      </c>
      <c r="K87" s="212">
        <f t="shared" si="11"/>
        <v>64</v>
      </c>
      <c r="L87" s="787">
        <f t="shared" si="23"/>
        <v>0</v>
      </c>
      <c r="M87" s="788">
        <f t="shared" si="24"/>
        <v>0</v>
      </c>
    </row>
    <row r="88" spans="2:13" x14ac:dyDescent="0.35">
      <c r="B88" s="212">
        <f t="shared" ref="B88:B132" si="25">B87+1</f>
        <v>65</v>
      </c>
      <c r="C88" s="784">
        <f t="shared" si="19"/>
        <v>0</v>
      </c>
      <c r="D88" s="785">
        <f t="shared" si="20"/>
        <v>0</v>
      </c>
      <c r="F88" s="212">
        <f t="shared" si="10"/>
        <v>65</v>
      </c>
      <c r="G88" s="733">
        <f t="shared" si="21"/>
        <v>0</v>
      </c>
      <c r="H88" s="733">
        <f t="shared" si="22"/>
        <v>0</v>
      </c>
      <c r="I88" s="786" cm="1">
        <f t="array" ref="I88">H88-G88+IF(F88&lt;Åpningsår,0,IF(F88&gt;=Åpningsår+ProsjektetsLevetid,0,
(Slitasje_Godstog*_xlfn.SWITCH(Antall_Beregningsår,
1,(GodstogMkmD_År1+GodstogMkmEL_År1),
2,IF(F88&lt;AndreBeregningsår,(GodstogMkmD_År1+GodstogMkmEL_År1),(GodstogMkmD_År2+GodstogMkmEL_År2)),
3,IF(F88&lt;AndreBeregningsår,(GodstogMkmD_År1+GodstogMkmEL_År1),IF(F88&lt;TredjeBeregningsår,(GodstogMkmD_År2+GodstogMkmEL_År2),(GodstogMkmD_År3+GodstogMkmEL_År3)))))))</f>
        <v>0</v>
      </c>
      <c r="K88" s="212">
        <f t="shared" si="11"/>
        <v>65</v>
      </c>
      <c r="L88" s="787">
        <f t="shared" si="23"/>
        <v>0</v>
      </c>
      <c r="M88" s="788">
        <f t="shared" si="24"/>
        <v>0</v>
      </c>
    </row>
    <row r="89" spans="2:13" x14ac:dyDescent="0.35">
      <c r="B89" s="212">
        <f t="shared" si="25"/>
        <v>66</v>
      </c>
      <c r="C89" s="784">
        <f t="shared" si="19"/>
        <v>0</v>
      </c>
      <c r="D89" s="785">
        <f t="shared" si="20"/>
        <v>0</v>
      </c>
      <c r="F89" s="212">
        <f t="shared" ref="F89:F132" si="26">F88+1</f>
        <v>66</v>
      </c>
      <c r="G89" s="733">
        <f t="shared" si="21"/>
        <v>0</v>
      </c>
      <c r="H89" s="733">
        <f t="shared" si="22"/>
        <v>0</v>
      </c>
      <c r="I89" s="786" cm="1">
        <f t="array" ref="I89">H89-G89+IF(F89&lt;Åpningsår,0,IF(F89&gt;=Åpningsår+ProsjektetsLevetid,0,
(Slitasje_Godstog*_xlfn.SWITCH(Antall_Beregningsår,
1,(GodstogMkmD_År1+GodstogMkmEL_År1),
2,IF(F89&lt;AndreBeregningsår,(GodstogMkmD_År1+GodstogMkmEL_År1),(GodstogMkmD_År2+GodstogMkmEL_År2)),
3,IF(F89&lt;AndreBeregningsår,(GodstogMkmD_År1+GodstogMkmEL_År1),IF(F89&lt;TredjeBeregningsår,(GodstogMkmD_År2+GodstogMkmEL_År2),(GodstogMkmD_År3+GodstogMkmEL_År3)))))))</f>
        <v>0</v>
      </c>
      <c r="K89" s="212">
        <f t="shared" ref="K89:K132" si="27">K88+1</f>
        <v>66</v>
      </c>
      <c r="L89" s="787">
        <f t="shared" si="23"/>
        <v>0</v>
      </c>
      <c r="M89" s="788">
        <f t="shared" si="24"/>
        <v>0</v>
      </c>
    </row>
    <row r="90" spans="2:13" x14ac:dyDescent="0.35">
      <c r="B90" s="212">
        <f t="shared" si="25"/>
        <v>67</v>
      </c>
      <c r="C90" s="784">
        <f t="shared" si="19"/>
        <v>0</v>
      </c>
      <c r="D90" s="785">
        <f t="shared" si="20"/>
        <v>0</v>
      </c>
      <c r="F90" s="212">
        <f t="shared" si="26"/>
        <v>67</v>
      </c>
      <c r="G90" s="733">
        <f t="shared" si="21"/>
        <v>0</v>
      </c>
      <c r="H90" s="733">
        <f t="shared" si="22"/>
        <v>0</v>
      </c>
      <c r="I90" s="786" cm="1">
        <f t="array" ref="I90">H90-G90+IF(F90&lt;Åpningsår,0,IF(F90&gt;=Åpningsår+ProsjektetsLevetid,0,
(Slitasje_Godstog*_xlfn.SWITCH(Antall_Beregningsår,
1,(GodstogMkmD_År1+GodstogMkmEL_År1),
2,IF(F90&lt;AndreBeregningsår,(GodstogMkmD_År1+GodstogMkmEL_År1),(GodstogMkmD_År2+GodstogMkmEL_År2)),
3,IF(F90&lt;AndreBeregningsår,(GodstogMkmD_År1+GodstogMkmEL_År1),IF(F90&lt;TredjeBeregningsår,(GodstogMkmD_År2+GodstogMkmEL_År2),(GodstogMkmD_År3+GodstogMkmEL_År3)))))))</f>
        <v>0</v>
      </c>
      <c r="K90" s="212">
        <f t="shared" si="27"/>
        <v>67</v>
      </c>
      <c r="L90" s="787">
        <f t="shared" si="23"/>
        <v>0</v>
      </c>
      <c r="M90" s="788">
        <f t="shared" si="24"/>
        <v>0</v>
      </c>
    </row>
    <row r="91" spans="2:13" x14ac:dyDescent="0.35">
      <c r="B91" s="212">
        <f t="shared" si="25"/>
        <v>68</v>
      </c>
      <c r="C91" s="784">
        <f t="shared" si="19"/>
        <v>0</v>
      </c>
      <c r="D91" s="785">
        <f t="shared" si="20"/>
        <v>0</v>
      </c>
      <c r="F91" s="212">
        <f t="shared" si="26"/>
        <v>68</v>
      </c>
      <c r="G91" s="733">
        <f t="shared" si="21"/>
        <v>0</v>
      </c>
      <c r="H91" s="733">
        <f t="shared" si="22"/>
        <v>0</v>
      </c>
      <c r="I91" s="786" cm="1">
        <f t="array" ref="I91">H91-G91+IF(F91&lt;Åpningsår,0,IF(F91&gt;=Åpningsår+ProsjektetsLevetid,0,
(Slitasje_Godstog*_xlfn.SWITCH(Antall_Beregningsår,
1,(GodstogMkmD_År1+GodstogMkmEL_År1),
2,IF(F91&lt;AndreBeregningsår,(GodstogMkmD_År1+GodstogMkmEL_År1),(GodstogMkmD_År2+GodstogMkmEL_År2)),
3,IF(F91&lt;AndreBeregningsår,(GodstogMkmD_År1+GodstogMkmEL_År1),IF(F91&lt;TredjeBeregningsår,(GodstogMkmD_År2+GodstogMkmEL_År2),(GodstogMkmD_År3+GodstogMkmEL_År3)))))))</f>
        <v>0</v>
      </c>
      <c r="K91" s="212">
        <f t="shared" si="27"/>
        <v>68</v>
      </c>
      <c r="L91" s="787">
        <f t="shared" si="23"/>
        <v>0</v>
      </c>
      <c r="M91" s="788">
        <f t="shared" si="24"/>
        <v>0</v>
      </c>
    </row>
    <row r="92" spans="2:13" x14ac:dyDescent="0.35">
      <c r="B92" s="212">
        <f t="shared" si="25"/>
        <v>69</v>
      </c>
      <c r="C92" s="784">
        <f t="shared" si="19"/>
        <v>0</v>
      </c>
      <c r="D92" s="785">
        <f t="shared" si="20"/>
        <v>0</v>
      </c>
      <c r="F92" s="212">
        <f t="shared" si="26"/>
        <v>69</v>
      </c>
      <c r="G92" s="733">
        <f t="shared" si="21"/>
        <v>0</v>
      </c>
      <c r="H92" s="733">
        <f t="shared" si="22"/>
        <v>0</v>
      </c>
      <c r="I92" s="786" cm="1">
        <f t="array" ref="I92">H92-G92+IF(F92&lt;Åpningsår,0,IF(F92&gt;=Åpningsår+ProsjektetsLevetid,0,
(Slitasje_Godstog*_xlfn.SWITCH(Antall_Beregningsår,
1,(GodstogMkmD_År1+GodstogMkmEL_År1),
2,IF(F92&lt;AndreBeregningsår,(GodstogMkmD_År1+GodstogMkmEL_År1),(GodstogMkmD_År2+GodstogMkmEL_År2)),
3,IF(F92&lt;AndreBeregningsår,(GodstogMkmD_År1+GodstogMkmEL_År1),IF(F92&lt;TredjeBeregningsår,(GodstogMkmD_År2+GodstogMkmEL_År2),(GodstogMkmD_År3+GodstogMkmEL_År3)))))))</f>
        <v>0</v>
      </c>
      <c r="K92" s="212">
        <f t="shared" si="27"/>
        <v>69</v>
      </c>
      <c r="L92" s="787">
        <f t="shared" si="23"/>
        <v>0</v>
      </c>
      <c r="M92" s="788">
        <f t="shared" si="24"/>
        <v>0</v>
      </c>
    </row>
    <row r="93" spans="2:13" x14ac:dyDescent="0.35">
      <c r="B93" s="212">
        <f t="shared" si="25"/>
        <v>70</v>
      </c>
      <c r="C93" s="784">
        <f t="shared" si="19"/>
        <v>0</v>
      </c>
      <c r="D93" s="785">
        <f t="shared" si="20"/>
        <v>0</v>
      </c>
      <c r="F93" s="212">
        <f t="shared" si="26"/>
        <v>70</v>
      </c>
      <c r="G93" s="733">
        <f t="shared" si="21"/>
        <v>0</v>
      </c>
      <c r="H93" s="733">
        <f t="shared" si="22"/>
        <v>0</v>
      </c>
      <c r="I93" s="786" cm="1">
        <f t="array" ref="I93">H93-G93+IF(F93&lt;Åpningsår,0,IF(F93&gt;=Åpningsår+ProsjektetsLevetid,0,
(Slitasje_Godstog*_xlfn.SWITCH(Antall_Beregningsår,
1,(GodstogMkmD_År1+GodstogMkmEL_År1),
2,IF(F93&lt;AndreBeregningsår,(GodstogMkmD_År1+GodstogMkmEL_År1),(GodstogMkmD_År2+GodstogMkmEL_År2)),
3,IF(F93&lt;AndreBeregningsår,(GodstogMkmD_År1+GodstogMkmEL_År1),IF(F93&lt;TredjeBeregningsår,(GodstogMkmD_År2+GodstogMkmEL_År2),(GodstogMkmD_År3+GodstogMkmEL_År3)))))))</f>
        <v>0</v>
      </c>
      <c r="K93" s="212">
        <f t="shared" si="27"/>
        <v>70</v>
      </c>
      <c r="L93" s="787">
        <f t="shared" si="23"/>
        <v>0</v>
      </c>
      <c r="M93" s="788">
        <f t="shared" si="24"/>
        <v>0</v>
      </c>
    </row>
    <row r="94" spans="2:13" x14ac:dyDescent="0.35">
      <c r="B94" s="212">
        <f t="shared" si="25"/>
        <v>71</v>
      </c>
      <c r="C94" s="784">
        <f t="shared" si="19"/>
        <v>0</v>
      </c>
      <c r="D94" s="785">
        <f t="shared" si="20"/>
        <v>0</v>
      </c>
      <c r="F94" s="212">
        <f t="shared" si="26"/>
        <v>71</v>
      </c>
      <c r="G94" s="733">
        <f t="shared" si="21"/>
        <v>0</v>
      </c>
      <c r="H94" s="733">
        <f t="shared" si="22"/>
        <v>0</v>
      </c>
      <c r="I94" s="786" cm="1">
        <f t="array" ref="I94">H94-G94+IF(F94&lt;Åpningsår,0,IF(F94&gt;=Åpningsår+ProsjektetsLevetid,0,
(Slitasje_Godstog*_xlfn.SWITCH(Antall_Beregningsår,
1,(GodstogMkmD_År1+GodstogMkmEL_År1),
2,IF(F94&lt;AndreBeregningsår,(GodstogMkmD_År1+GodstogMkmEL_År1),(GodstogMkmD_År2+GodstogMkmEL_År2)),
3,IF(F94&lt;AndreBeregningsår,(GodstogMkmD_År1+GodstogMkmEL_År1),IF(F94&lt;TredjeBeregningsår,(GodstogMkmD_År2+GodstogMkmEL_År2),(GodstogMkmD_År3+GodstogMkmEL_År3)))))))</f>
        <v>0</v>
      </c>
      <c r="K94" s="212">
        <f t="shared" si="27"/>
        <v>71</v>
      </c>
      <c r="L94" s="787">
        <f t="shared" si="23"/>
        <v>0</v>
      </c>
      <c r="M94" s="788">
        <f t="shared" si="24"/>
        <v>0</v>
      </c>
    </row>
    <row r="95" spans="2:13" x14ac:dyDescent="0.35">
      <c r="B95" s="212">
        <f t="shared" si="25"/>
        <v>72</v>
      </c>
      <c r="C95" s="784">
        <f t="shared" si="19"/>
        <v>0</v>
      </c>
      <c r="D95" s="785">
        <f t="shared" si="20"/>
        <v>0</v>
      </c>
      <c r="F95" s="212">
        <f t="shared" si="26"/>
        <v>72</v>
      </c>
      <c r="G95" s="733">
        <f t="shared" si="21"/>
        <v>0</v>
      </c>
      <c r="H95" s="733">
        <f t="shared" si="22"/>
        <v>0</v>
      </c>
      <c r="I95" s="786" cm="1">
        <f t="array" ref="I95">H95-G95+IF(F95&lt;Åpningsår,0,IF(F95&gt;=Åpningsår+ProsjektetsLevetid,0,
(Slitasje_Godstog*_xlfn.SWITCH(Antall_Beregningsår,
1,(GodstogMkmD_År1+GodstogMkmEL_År1),
2,IF(F95&lt;AndreBeregningsår,(GodstogMkmD_År1+GodstogMkmEL_År1),(GodstogMkmD_År2+GodstogMkmEL_År2)),
3,IF(F95&lt;AndreBeregningsår,(GodstogMkmD_År1+GodstogMkmEL_År1),IF(F95&lt;TredjeBeregningsår,(GodstogMkmD_År2+GodstogMkmEL_År2),(GodstogMkmD_År3+GodstogMkmEL_År3)))))))</f>
        <v>0</v>
      </c>
      <c r="K95" s="212">
        <f t="shared" si="27"/>
        <v>72</v>
      </c>
      <c r="L95" s="787">
        <f t="shared" si="23"/>
        <v>0</v>
      </c>
      <c r="M95" s="788">
        <f t="shared" si="24"/>
        <v>0</v>
      </c>
    </row>
    <row r="96" spans="2:13" x14ac:dyDescent="0.35">
      <c r="B96" s="212">
        <f t="shared" si="25"/>
        <v>73</v>
      </c>
      <c r="C96" s="784">
        <f t="shared" si="19"/>
        <v>0</v>
      </c>
      <c r="D96" s="785">
        <f t="shared" si="20"/>
        <v>0</v>
      </c>
      <c r="F96" s="212">
        <f t="shared" si="26"/>
        <v>73</v>
      </c>
      <c r="G96" s="733">
        <f t="shared" si="21"/>
        <v>0</v>
      </c>
      <c r="H96" s="733">
        <f t="shared" si="22"/>
        <v>0</v>
      </c>
      <c r="I96" s="786" cm="1">
        <f t="array" ref="I96">H96-G96+IF(F96&lt;Åpningsår,0,IF(F96&gt;=Åpningsår+ProsjektetsLevetid,0,
(Slitasje_Godstog*_xlfn.SWITCH(Antall_Beregningsår,
1,(GodstogMkmD_År1+GodstogMkmEL_År1),
2,IF(F96&lt;AndreBeregningsår,(GodstogMkmD_År1+GodstogMkmEL_År1),(GodstogMkmD_År2+GodstogMkmEL_År2)),
3,IF(F96&lt;AndreBeregningsår,(GodstogMkmD_År1+GodstogMkmEL_År1),IF(F96&lt;TredjeBeregningsår,(GodstogMkmD_År2+GodstogMkmEL_År2),(GodstogMkmD_År3+GodstogMkmEL_År3)))))))</f>
        <v>0</v>
      </c>
      <c r="K96" s="212">
        <f t="shared" si="27"/>
        <v>73</v>
      </c>
      <c r="L96" s="787">
        <f t="shared" si="23"/>
        <v>0</v>
      </c>
      <c r="M96" s="788">
        <f t="shared" si="24"/>
        <v>0</v>
      </c>
    </row>
    <row r="97" spans="2:13" x14ac:dyDescent="0.35">
      <c r="B97" s="212">
        <f t="shared" si="25"/>
        <v>74</v>
      </c>
      <c r="C97" s="784">
        <f t="shared" si="19"/>
        <v>0</v>
      </c>
      <c r="D97" s="785">
        <f t="shared" si="20"/>
        <v>0</v>
      </c>
      <c r="F97" s="212">
        <f t="shared" si="26"/>
        <v>74</v>
      </c>
      <c r="G97" s="733">
        <f t="shared" si="21"/>
        <v>0</v>
      </c>
      <c r="H97" s="733">
        <f t="shared" si="22"/>
        <v>0</v>
      </c>
      <c r="I97" s="786" cm="1">
        <f t="array" ref="I97">H97-G97+IF(F97&lt;Åpningsår,0,IF(F97&gt;=Åpningsår+ProsjektetsLevetid,0,
(Slitasje_Godstog*_xlfn.SWITCH(Antall_Beregningsår,
1,(GodstogMkmD_År1+GodstogMkmEL_År1),
2,IF(F97&lt;AndreBeregningsår,(GodstogMkmD_År1+GodstogMkmEL_År1),(GodstogMkmD_År2+GodstogMkmEL_År2)),
3,IF(F97&lt;AndreBeregningsår,(GodstogMkmD_År1+GodstogMkmEL_År1),IF(F97&lt;TredjeBeregningsår,(GodstogMkmD_År2+GodstogMkmEL_År2),(GodstogMkmD_År3+GodstogMkmEL_År3)))))))</f>
        <v>0</v>
      </c>
      <c r="K97" s="212">
        <f t="shared" si="27"/>
        <v>74</v>
      </c>
      <c r="L97" s="1150">
        <f t="shared" si="23"/>
        <v>0</v>
      </c>
      <c r="M97" s="1151">
        <f t="shared" si="24"/>
        <v>0</v>
      </c>
    </row>
    <row r="98" spans="2:13" x14ac:dyDescent="0.35">
      <c r="B98" s="212">
        <f t="shared" si="25"/>
        <v>75</v>
      </c>
      <c r="C98" s="784">
        <f t="shared" si="19"/>
        <v>0</v>
      </c>
      <c r="D98" s="785">
        <f t="shared" si="20"/>
        <v>0</v>
      </c>
      <c r="F98" s="212">
        <f t="shared" si="26"/>
        <v>75</v>
      </c>
      <c r="G98" s="733">
        <f t="shared" si="21"/>
        <v>0</v>
      </c>
      <c r="H98" s="733">
        <f t="shared" si="22"/>
        <v>0</v>
      </c>
      <c r="I98" s="786" cm="1">
        <f t="array" ref="I98">H98-G98+IF(F98&lt;Åpningsår,0,IF(F98&gt;=Åpningsår+ProsjektetsLevetid,0,
(Slitasje_Godstog*_xlfn.SWITCH(Antall_Beregningsår,
1,(GodstogMkmD_År1+GodstogMkmEL_År1),
2,IF(F98&lt;AndreBeregningsår,(GodstogMkmD_År1+GodstogMkmEL_År1),(GodstogMkmD_År2+GodstogMkmEL_År2)),
3,IF(F98&lt;AndreBeregningsår,(GodstogMkmD_År1+GodstogMkmEL_År1),IF(F98&lt;TredjeBeregningsår,(GodstogMkmD_År2+GodstogMkmEL_År2),(GodstogMkmD_År3+GodstogMkmEL_År3)))))))</f>
        <v>0</v>
      </c>
      <c r="K98" s="212">
        <f t="shared" si="27"/>
        <v>75</v>
      </c>
      <c r="L98" s="718">
        <f t="shared" ref="L98:L132" si="28">IF(K98+1&gt;=Åpningsår+ProsjektetsLevetid,0,IF(OR(Åpningsår+Levetid_Signalanlegg=K98+1,Åpningsår+Levetid_Signalanlegg*2=K98+1,Åpningsår+Levetid_Signalanlegg*3=K98+1),((AndelAvInvestering_Signalanlegg)*Investering_Referanse),0)+IF(K98+1=(Åpningsår+Levetid_Overbygning),((AndelAvInvestering_Overbygning)*Investering_Referanse),0)+IF(K98+1=(Åpningsår+Levetid_Lavspenning),((AndelAvInvestering_Lavspenning)*Investering_Referanse),0)+IF(K98+1=(Åpningsår+Levetid_KLanlegg),(AndelAvinvestering_KLAnlegg*Investering_Referanse),0)+IF(OR(Åpningsår+Levetid_Annen=K98+1,Åpningsår+Levetid_Annen*2=K98+1,Åpningsår+Levetid_Annen*3=K98+1,Åpningsår+Levetid_Annen*4=K98+1,Åpningsår+Levetid_Annen*5=K98+1,Åpningsår+Levetid_Annen*6=K98+1,Åpningsår+Levetid_Annen*7=K98+1,Åpningsår+Levetid_Annen*8=K98+1,Åpningsår+Levetid_Annen*9=K98+1,Åpningsår+Levetid_Annen*10=K98+1,Åpningsår+Levetid_Annen*11=K98+1,Åpningsår+Levetid_Annen*12=K98+1,Åpningsår+Levetid_Annen*13=K98+1,Åpningsår+Levetid_Annen*14=K98+1,Åpningsår+Levetid_Annen*15=K98+1),(AndelAvInvestering_Annen*Investering_Referanse),0))</f>
        <v>0</v>
      </c>
      <c r="M98" s="789">
        <f t="shared" ref="M98:M132" si="29">IF(K98+1&gt;=Åpningsår+ProsjektetsLevetid,0,IF(OR(Åpningsår+Levetid_Signalanlegg=K98+1,Åpningsår+Levetid_Signalanlegg*2=K98+1,Åpningsår+Levetid_Signalanlegg*3=K98+1),((AndelAvInvestering_Signalanlegg)*Investering_Tiltak),0)+IF(K98+1=(Åpningsår+Levetid_Overbygning),((AndelAvInvestering_Overbygning)*Investering_Tiltak),0)+IF(K98+1=(Åpningsår+Levetid_Lavspenning),(AndelAvInvestering_Lavspenning*Investering_Tiltak),0)+IF(K98+1=(Åpningsår+Levetid_KLanlegg),(AndelAvinvestering_KLAnlegg*Investering_Tiltak),0)+IF(OR(Åpningsår+Levetid_Annen=K98+1,Åpningsår+Levetid_Annen*2=K98+1,Åpningsår+Levetid_Annen*3=K98+1,Åpningsår+Levetid_Annen*4=K98+1,Åpningsår+Levetid_Annen*5=K98+1,Åpningsår+Levetid_Annen*6=K98+1,Åpningsår+Levetid_Annen*7=K98+1,Åpningsår+Levetid_Annen*8=K98+1,Åpningsår+Levetid_Annen*9=K98+1,Åpningsår+Levetid_Annen*10=K98+1,Åpningsår+Levetid_Annen*11=K98+1,Åpningsår+Levetid_Annen*12=K98+1,Åpningsår+Levetid_Annen*13=K98+1,Åpningsår+Levetid_Annen*14=K98+1,Åpningsår+Levetid_Annen*15=K98+1),(AndelAvInvestering_Annen*Investering_Tiltak),0))</f>
        <v>0</v>
      </c>
    </row>
    <row r="99" spans="2:13" x14ac:dyDescent="0.35">
      <c r="B99" s="212">
        <f t="shared" si="25"/>
        <v>76</v>
      </c>
      <c r="C99" s="784">
        <f t="shared" si="19"/>
        <v>0</v>
      </c>
      <c r="D99" s="785">
        <f t="shared" si="20"/>
        <v>0</v>
      </c>
      <c r="F99" s="212">
        <f t="shared" si="26"/>
        <v>76</v>
      </c>
      <c r="G99" s="733">
        <f t="shared" si="21"/>
        <v>0</v>
      </c>
      <c r="H99" s="733">
        <f t="shared" si="22"/>
        <v>0</v>
      </c>
      <c r="I99" s="786" cm="1">
        <f t="array" ref="I99">H99-G99+IF(F99&lt;Åpningsår,0,IF(F99&gt;=Åpningsår+ProsjektetsLevetid,0,
(Slitasje_Godstog*_xlfn.SWITCH(Antall_Beregningsår,
1,(GodstogMkmD_År1+GodstogMkmEL_År1),
2,IF(F99&lt;AndreBeregningsår,(GodstogMkmD_År1+GodstogMkmEL_År1),(GodstogMkmD_År2+GodstogMkmEL_År2)),
3,IF(F99&lt;AndreBeregningsår,(GodstogMkmD_År1+GodstogMkmEL_År1),IF(F99&lt;TredjeBeregningsår,(GodstogMkmD_År2+GodstogMkmEL_År2),(GodstogMkmD_År3+GodstogMkmEL_År3)))))))</f>
        <v>0</v>
      </c>
      <c r="K99" s="212">
        <f t="shared" si="27"/>
        <v>76</v>
      </c>
      <c r="L99" s="718">
        <f t="shared" si="28"/>
        <v>0</v>
      </c>
      <c r="M99" s="789">
        <f t="shared" si="29"/>
        <v>0</v>
      </c>
    </row>
    <row r="100" spans="2:13" x14ac:dyDescent="0.35">
      <c r="B100" s="212">
        <f t="shared" si="25"/>
        <v>77</v>
      </c>
      <c r="C100" s="784">
        <f t="shared" si="19"/>
        <v>0</v>
      </c>
      <c r="D100" s="785">
        <f t="shared" si="20"/>
        <v>0</v>
      </c>
      <c r="F100" s="212">
        <f t="shared" si="26"/>
        <v>77</v>
      </c>
      <c r="G100" s="733">
        <f t="shared" si="21"/>
        <v>0</v>
      </c>
      <c r="H100" s="733">
        <f t="shared" si="22"/>
        <v>0</v>
      </c>
      <c r="I100" s="786" cm="1">
        <f t="array" ref="I100">H100-G100+IF(F100&lt;Åpningsår,0,IF(F100&gt;=Åpningsår+ProsjektetsLevetid,0,
(Slitasje_Godstog*_xlfn.SWITCH(Antall_Beregningsår,
1,(GodstogMkmD_År1+GodstogMkmEL_År1),
2,IF(F100&lt;AndreBeregningsår,(GodstogMkmD_År1+GodstogMkmEL_År1),(GodstogMkmD_År2+GodstogMkmEL_År2)),
3,IF(F100&lt;AndreBeregningsår,(GodstogMkmD_År1+GodstogMkmEL_År1),IF(F100&lt;TredjeBeregningsår,(GodstogMkmD_År2+GodstogMkmEL_År2),(GodstogMkmD_År3+GodstogMkmEL_År3)))))))</f>
        <v>0</v>
      </c>
      <c r="K100" s="212">
        <f t="shared" si="27"/>
        <v>77</v>
      </c>
      <c r="L100" s="718">
        <f t="shared" si="28"/>
        <v>0</v>
      </c>
      <c r="M100" s="789">
        <f t="shared" si="29"/>
        <v>0</v>
      </c>
    </row>
    <row r="101" spans="2:13" x14ac:dyDescent="0.35">
      <c r="B101" s="212">
        <f t="shared" si="25"/>
        <v>78</v>
      </c>
      <c r="C101" s="784">
        <f t="shared" si="19"/>
        <v>0</v>
      </c>
      <c r="D101" s="785">
        <f t="shared" si="20"/>
        <v>0</v>
      </c>
      <c r="F101" s="212">
        <f t="shared" si="26"/>
        <v>78</v>
      </c>
      <c r="G101" s="733">
        <f t="shared" si="21"/>
        <v>0</v>
      </c>
      <c r="H101" s="733">
        <f t="shared" si="22"/>
        <v>0</v>
      </c>
      <c r="I101" s="786" cm="1">
        <f t="array" ref="I101">H101-G101+IF(F101&lt;Åpningsår,0,IF(F101&gt;=Åpningsår+ProsjektetsLevetid,0,
(Slitasje_Godstog*_xlfn.SWITCH(Antall_Beregningsår,
1,(GodstogMkmD_År1+GodstogMkmEL_År1),
2,IF(F101&lt;AndreBeregningsår,(GodstogMkmD_År1+GodstogMkmEL_År1),(GodstogMkmD_År2+GodstogMkmEL_År2)),
3,IF(F101&lt;AndreBeregningsår,(GodstogMkmD_År1+GodstogMkmEL_År1),IF(F101&lt;TredjeBeregningsår,(GodstogMkmD_År2+GodstogMkmEL_År2),(GodstogMkmD_År3+GodstogMkmEL_År3)))))))</f>
        <v>0</v>
      </c>
      <c r="K101" s="212">
        <f t="shared" si="27"/>
        <v>78</v>
      </c>
      <c r="L101" s="718">
        <f t="shared" si="28"/>
        <v>0</v>
      </c>
      <c r="M101" s="789">
        <f t="shared" si="29"/>
        <v>0</v>
      </c>
    </row>
    <row r="102" spans="2:13" x14ac:dyDescent="0.35">
      <c r="B102" s="212">
        <f t="shared" si="25"/>
        <v>79</v>
      </c>
      <c r="C102" s="784">
        <f t="shared" si="19"/>
        <v>0</v>
      </c>
      <c r="D102" s="785">
        <f t="shared" si="20"/>
        <v>0</v>
      </c>
      <c r="F102" s="212">
        <f t="shared" si="26"/>
        <v>79</v>
      </c>
      <c r="G102" s="733">
        <f t="shared" si="21"/>
        <v>0</v>
      </c>
      <c r="H102" s="733">
        <f t="shared" si="22"/>
        <v>0</v>
      </c>
      <c r="I102" s="786" cm="1">
        <f t="array" ref="I102">H102-G102+IF(F102&lt;Åpningsår,0,IF(F102&gt;=Åpningsår+ProsjektetsLevetid,0,
(Slitasje_Godstog*_xlfn.SWITCH(Antall_Beregningsår,
1,(GodstogMkmD_År1+GodstogMkmEL_År1),
2,IF(F102&lt;AndreBeregningsår,(GodstogMkmD_År1+GodstogMkmEL_År1),(GodstogMkmD_År2+GodstogMkmEL_År2)),
3,IF(F102&lt;AndreBeregningsår,(GodstogMkmD_År1+GodstogMkmEL_År1),IF(F102&lt;TredjeBeregningsår,(GodstogMkmD_År2+GodstogMkmEL_År2),(GodstogMkmD_År3+GodstogMkmEL_År3)))))))</f>
        <v>0</v>
      </c>
      <c r="K102" s="212">
        <f t="shared" si="27"/>
        <v>79</v>
      </c>
      <c r="L102" s="718">
        <f t="shared" si="28"/>
        <v>0</v>
      </c>
      <c r="M102" s="789">
        <f t="shared" si="29"/>
        <v>0</v>
      </c>
    </row>
    <row r="103" spans="2:13" x14ac:dyDescent="0.35">
      <c r="B103" s="212">
        <f t="shared" si="25"/>
        <v>80</v>
      </c>
      <c r="C103" s="784">
        <f t="shared" si="19"/>
        <v>0</v>
      </c>
      <c r="D103" s="785">
        <f t="shared" si="20"/>
        <v>0</v>
      </c>
      <c r="F103" s="212">
        <f t="shared" si="26"/>
        <v>80</v>
      </c>
      <c r="G103" s="733">
        <f t="shared" si="21"/>
        <v>0</v>
      </c>
      <c r="H103" s="733">
        <f t="shared" si="22"/>
        <v>0</v>
      </c>
      <c r="I103" s="786" cm="1">
        <f t="array" ref="I103">H103-G103+IF(F103&lt;Åpningsår,0,IF(F103&gt;=Åpningsår+ProsjektetsLevetid,0,
(Slitasje_Godstog*_xlfn.SWITCH(Antall_Beregningsår,
1,(GodstogMkmD_År1+GodstogMkmEL_År1),
2,IF(F103&lt;AndreBeregningsår,(GodstogMkmD_År1+GodstogMkmEL_År1),(GodstogMkmD_År2+GodstogMkmEL_År2)),
3,IF(F103&lt;AndreBeregningsår,(GodstogMkmD_År1+GodstogMkmEL_År1),IF(F103&lt;TredjeBeregningsår,(GodstogMkmD_År2+GodstogMkmEL_År2),(GodstogMkmD_År3+GodstogMkmEL_År3)))))))</f>
        <v>0</v>
      </c>
      <c r="K103" s="212">
        <f t="shared" si="27"/>
        <v>80</v>
      </c>
      <c r="L103" s="718">
        <f t="shared" si="28"/>
        <v>0</v>
      </c>
      <c r="M103" s="789">
        <f t="shared" si="29"/>
        <v>0</v>
      </c>
    </row>
    <row r="104" spans="2:13" x14ac:dyDescent="0.35">
      <c r="B104" s="212">
        <f t="shared" si="25"/>
        <v>81</v>
      </c>
      <c r="C104" s="784">
        <f t="shared" si="19"/>
        <v>0</v>
      </c>
      <c r="D104" s="785">
        <f t="shared" si="20"/>
        <v>0</v>
      </c>
      <c r="F104" s="212">
        <f t="shared" si="26"/>
        <v>81</v>
      </c>
      <c r="G104" s="733">
        <f t="shared" si="21"/>
        <v>0</v>
      </c>
      <c r="H104" s="733">
        <f t="shared" si="22"/>
        <v>0</v>
      </c>
      <c r="I104" s="786" cm="1">
        <f t="array" ref="I104">H104-G104+IF(F104&lt;Åpningsår,0,IF(F104&gt;=Åpningsår+ProsjektetsLevetid,0,
(Slitasje_Godstog*_xlfn.SWITCH(Antall_Beregningsår,
1,(GodstogMkmD_År1+GodstogMkmEL_År1),
2,IF(F104&lt;AndreBeregningsår,(GodstogMkmD_År1+GodstogMkmEL_År1),(GodstogMkmD_År2+GodstogMkmEL_År2)),
3,IF(F104&lt;AndreBeregningsår,(GodstogMkmD_År1+GodstogMkmEL_År1),IF(F104&lt;TredjeBeregningsår,(GodstogMkmD_År2+GodstogMkmEL_År2),(GodstogMkmD_År3+GodstogMkmEL_År3)))))))</f>
        <v>0</v>
      </c>
      <c r="K104" s="212">
        <f t="shared" si="27"/>
        <v>81</v>
      </c>
      <c r="L104" s="718">
        <f t="shared" si="28"/>
        <v>0</v>
      </c>
      <c r="M104" s="789">
        <f t="shared" si="29"/>
        <v>0</v>
      </c>
    </row>
    <row r="105" spans="2:13" x14ac:dyDescent="0.35">
      <c r="B105" s="212">
        <f t="shared" si="25"/>
        <v>82</v>
      </c>
      <c r="C105" s="784">
        <f t="shared" si="19"/>
        <v>0</v>
      </c>
      <c r="D105" s="785">
        <f t="shared" si="20"/>
        <v>0</v>
      </c>
      <c r="F105" s="212">
        <f t="shared" si="26"/>
        <v>82</v>
      </c>
      <c r="G105" s="733">
        <f t="shared" si="21"/>
        <v>0</v>
      </c>
      <c r="H105" s="733">
        <f t="shared" si="22"/>
        <v>0</v>
      </c>
      <c r="I105" s="786" cm="1">
        <f t="array" ref="I105">H105-G105+IF(F105&lt;Åpningsår,0,IF(F105&gt;=Åpningsår+ProsjektetsLevetid,0,
(Slitasje_Godstog*_xlfn.SWITCH(Antall_Beregningsår,
1,(GodstogMkmD_År1+GodstogMkmEL_År1),
2,IF(F105&lt;AndreBeregningsår,(GodstogMkmD_År1+GodstogMkmEL_År1),(GodstogMkmD_År2+GodstogMkmEL_År2)),
3,IF(F105&lt;AndreBeregningsår,(GodstogMkmD_År1+GodstogMkmEL_År1),IF(F105&lt;TredjeBeregningsår,(GodstogMkmD_År2+GodstogMkmEL_År2),(GodstogMkmD_År3+GodstogMkmEL_År3)))))))</f>
        <v>0</v>
      </c>
      <c r="K105" s="212">
        <f t="shared" si="27"/>
        <v>82</v>
      </c>
      <c r="L105" s="718">
        <f t="shared" si="28"/>
        <v>0</v>
      </c>
      <c r="M105" s="789">
        <f t="shared" si="29"/>
        <v>0</v>
      </c>
    </row>
    <row r="106" spans="2:13" x14ac:dyDescent="0.35">
      <c r="B106" s="212">
        <f t="shared" si="25"/>
        <v>83</v>
      </c>
      <c r="C106" s="784">
        <f t="shared" si="19"/>
        <v>0</v>
      </c>
      <c r="D106" s="785">
        <f t="shared" si="20"/>
        <v>0</v>
      </c>
      <c r="F106" s="212">
        <f t="shared" si="26"/>
        <v>83</v>
      </c>
      <c r="G106" s="733">
        <f t="shared" si="21"/>
        <v>0</v>
      </c>
      <c r="H106" s="733">
        <f t="shared" si="22"/>
        <v>0</v>
      </c>
      <c r="I106" s="786" cm="1">
        <f t="array" ref="I106">H106-G106+IF(F106&lt;Åpningsår,0,IF(F106&gt;=Åpningsår+ProsjektetsLevetid,0,
(Slitasje_Godstog*_xlfn.SWITCH(Antall_Beregningsår,
1,(GodstogMkmD_År1+GodstogMkmEL_År1),
2,IF(F106&lt;AndreBeregningsår,(GodstogMkmD_År1+GodstogMkmEL_År1),(GodstogMkmD_År2+GodstogMkmEL_År2)),
3,IF(F106&lt;AndreBeregningsår,(GodstogMkmD_År1+GodstogMkmEL_År1),IF(F106&lt;TredjeBeregningsår,(GodstogMkmD_År2+GodstogMkmEL_År2),(GodstogMkmD_År3+GodstogMkmEL_År3)))))))</f>
        <v>0</v>
      </c>
      <c r="K106" s="212">
        <f t="shared" si="27"/>
        <v>83</v>
      </c>
      <c r="L106" s="718">
        <f t="shared" si="28"/>
        <v>0</v>
      </c>
      <c r="M106" s="789">
        <f t="shared" si="29"/>
        <v>0</v>
      </c>
    </row>
    <row r="107" spans="2:13" x14ac:dyDescent="0.35">
      <c r="B107" s="212">
        <f t="shared" si="25"/>
        <v>84</v>
      </c>
      <c r="C107" s="784">
        <f t="shared" si="19"/>
        <v>0</v>
      </c>
      <c r="D107" s="785">
        <f t="shared" si="20"/>
        <v>0</v>
      </c>
      <c r="F107" s="212">
        <f t="shared" si="26"/>
        <v>84</v>
      </c>
      <c r="G107" s="733">
        <f t="shared" si="21"/>
        <v>0</v>
      </c>
      <c r="H107" s="733">
        <f t="shared" si="22"/>
        <v>0</v>
      </c>
      <c r="I107" s="786" cm="1">
        <f t="array" ref="I107">H107-G107+IF(F107&lt;Åpningsår,0,IF(F107&gt;=Åpningsår+ProsjektetsLevetid,0,
(Slitasje_Godstog*_xlfn.SWITCH(Antall_Beregningsår,
1,(GodstogMkmD_År1+GodstogMkmEL_År1),
2,IF(F107&lt;AndreBeregningsår,(GodstogMkmD_År1+GodstogMkmEL_År1),(GodstogMkmD_År2+GodstogMkmEL_År2)),
3,IF(F107&lt;AndreBeregningsår,(GodstogMkmD_År1+GodstogMkmEL_År1),IF(F107&lt;TredjeBeregningsår,(GodstogMkmD_År2+GodstogMkmEL_År2),(GodstogMkmD_År3+GodstogMkmEL_År3)))))))</f>
        <v>0</v>
      </c>
      <c r="K107" s="212">
        <f t="shared" si="27"/>
        <v>84</v>
      </c>
      <c r="L107" s="718">
        <f t="shared" si="28"/>
        <v>0</v>
      </c>
      <c r="M107" s="789">
        <f t="shared" si="29"/>
        <v>0</v>
      </c>
    </row>
    <row r="108" spans="2:13" x14ac:dyDescent="0.35">
      <c r="B108" s="212">
        <f t="shared" si="25"/>
        <v>85</v>
      </c>
      <c r="C108" s="784">
        <f t="shared" si="19"/>
        <v>0</v>
      </c>
      <c r="D108" s="785">
        <f t="shared" si="20"/>
        <v>0</v>
      </c>
      <c r="F108" s="212">
        <f t="shared" si="26"/>
        <v>85</v>
      </c>
      <c r="G108" s="733">
        <f t="shared" si="21"/>
        <v>0</v>
      </c>
      <c r="H108" s="733">
        <f t="shared" si="22"/>
        <v>0</v>
      </c>
      <c r="I108" s="786" cm="1">
        <f t="array" ref="I108">H108-G108+IF(F108&lt;Åpningsår,0,IF(F108&gt;=Åpningsår+ProsjektetsLevetid,0,
(Slitasje_Godstog*_xlfn.SWITCH(Antall_Beregningsår,
1,(GodstogMkmD_År1+GodstogMkmEL_År1),
2,IF(F108&lt;AndreBeregningsår,(GodstogMkmD_År1+GodstogMkmEL_År1),(GodstogMkmD_År2+GodstogMkmEL_År2)),
3,IF(F108&lt;AndreBeregningsår,(GodstogMkmD_År1+GodstogMkmEL_År1),IF(F108&lt;TredjeBeregningsår,(GodstogMkmD_År2+GodstogMkmEL_År2),(GodstogMkmD_År3+GodstogMkmEL_År3)))))))</f>
        <v>0</v>
      </c>
      <c r="K108" s="212">
        <f t="shared" si="27"/>
        <v>85</v>
      </c>
      <c r="L108" s="718">
        <f t="shared" si="28"/>
        <v>0</v>
      </c>
      <c r="M108" s="789">
        <f t="shared" si="29"/>
        <v>0</v>
      </c>
    </row>
    <row r="109" spans="2:13" x14ac:dyDescent="0.35">
      <c r="B109" s="212">
        <f t="shared" si="25"/>
        <v>86</v>
      </c>
      <c r="C109" s="784">
        <f t="shared" ref="C109:C132" si="30">IF(AND($B109&gt;=Oppstartsår_FørsteÅrMedInvestering,B109&lt;Oppstartsår_FørsteÅrMedInvestering+Investering_AntallÅr),Investering_Referanse/Investering_AntallÅr,0)</f>
        <v>0</v>
      </c>
      <c r="D109" s="785">
        <f t="shared" ref="D109:D132" si="31">IF(AND($B109&gt;=Oppstartsår_FørsteÅrMedInvestering,B109&lt;Oppstartsår_FørsteÅrMedInvestering+Investering_AntallÅr),Investering_Tiltak/Investering_AntallÅr,0)</f>
        <v>0</v>
      </c>
      <c r="F109" s="212">
        <f t="shared" si="26"/>
        <v>86</v>
      </c>
      <c r="G109" s="733">
        <f t="shared" ref="G109:G132" si="32">IF(F109&lt;Åpningsår,0,IF(F109&gt;=Åpningsår+ProsjektetsLevetid,0,(((Sporveksel_Ref*Vedlikehold_Sporveksel)+(Stasjon_Ref*Vedlikehold_Stasjon)+(Daglinje_Ref*Vedlikehold_Daglinje)+(Tunnelkm_Ref*Vedlikehold_Tunnel)+(Brukm_Ref*Vedlikehold_bru)+(KLkm_Ref*Vedlikehold_KL)+(Slitasje_Persontog*(TogkmBiEl_RefÅr1+TogkmBiDi_RefÅr1+TogkmEL_RefÅr1+TogkmD_RefÅr1+TogkmBiEl_RefÅr1_Togtype_2+TogkmBiDi_RefÅr1_Togtype_2+TogkmEL_RefÅr1_Togtype_2+TogkmD_RefÅr1_Togtype_2))))/1000000))</f>
        <v>0</v>
      </c>
      <c r="H109" s="733">
        <f t="shared" ref="H109:H132" si="33">IF(F109&lt;Åpningsår,0,IF(F109&gt;=Åpningsår+ProsjektetsLevetid,0,(((Sporveksel_Tiltak*Vedlikehold_Sporveksel)+(Stasjon_Tiltak*Vedlikehold_Stasjon)+(Daglinje_Tiltak*Vedlikehold_Daglinje)+(Tunnelkm_Tiltak*Vedlikehold_Tunnel)+(Brukm_Tiltak*Vedlikehold_bru)+(KLkm_Tiltak*Vedlikehold_KL))*(1+Hastighet_Endring*Vedlikehold_HastighetPåslag)/1000000)+(Slitasje_Persontog*(TogkmBiEl_TiltakÅr1+TogkmBiDi_TiltakÅr1+TogkmEL_TiltakÅr1+TogkmD_TiltakÅr1+TogkmBiEl_TiltakÅr1_Togtype_2+TogkmBiDi_TiltakÅr1_Togtype_2+TogkmEL_TiltakÅr1_Togtype_2+TogkmD_TiltakÅr1_Togtype_2))/1000000))</f>
        <v>0</v>
      </c>
      <c r="I109" s="786" cm="1">
        <f t="array" ref="I109">H109-G109+IF(F109&lt;Åpningsår,0,IF(F109&gt;=Åpningsår+ProsjektetsLevetid,0,
(Slitasje_Godstog*_xlfn.SWITCH(Antall_Beregningsår,
1,(GodstogMkmD_År1+GodstogMkmEL_År1),
2,IF(F109&lt;AndreBeregningsår,(GodstogMkmD_År1+GodstogMkmEL_År1),(GodstogMkmD_År2+GodstogMkmEL_År2)),
3,IF(F109&lt;AndreBeregningsår,(GodstogMkmD_År1+GodstogMkmEL_År1),IF(F109&lt;TredjeBeregningsår,(GodstogMkmD_År2+GodstogMkmEL_År2),(GodstogMkmD_År3+GodstogMkmEL_År3)))))))</f>
        <v>0</v>
      </c>
      <c r="K109" s="212">
        <f t="shared" si="27"/>
        <v>86</v>
      </c>
      <c r="L109" s="718">
        <f t="shared" si="28"/>
        <v>0</v>
      </c>
      <c r="M109" s="789">
        <f t="shared" si="29"/>
        <v>0</v>
      </c>
    </row>
    <row r="110" spans="2:13" x14ac:dyDescent="0.35">
      <c r="B110" s="212">
        <f t="shared" si="25"/>
        <v>87</v>
      </c>
      <c r="C110" s="784">
        <f t="shared" si="30"/>
        <v>0</v>
      </c>
      <c r="D110" s="785">
        <f t="shared" si="31"/>
        <v>0</v>
      </c>
      <c r="F110" s="212">
        <f t="shared" si="26"/>
        <v>87</v>
      </c>
      <c r="G110" s="733">
        <f t="shared" si="32"/>
        <v>0</v>
      </c>
      <c r="H110" s="733">
        <f t="shared" si="33"/>
        <v>0</v>
      </c>
      <c r="I110" s="786" cm="1">
        <f t="array" ref="I110">H110-G110+IF(F110&lt;Åpningsår,0,IF(F110&gt;=Åpningsår+ProsjektetsLevetid,0,
(Slitasje_Godstog*_xlfn.SWITCH(Antall_Beregningsår,
1,(GodstogMkmD_År1+GodstogMkmEL_År1),
2,IF(F110&lt;AndreBeregningsår,(GodstogMkmD_År1+GodstogMkmEL_År1),(GodstogMkmD_År2+GodstogMkmEL_År2)),
3,IF(F110&lt;AndreBeregningsår,(GodstogMkmD_År1+GodstogMkmEL_År1),IF(F110&lt;TredjeBeregningsår,(GodstogMkmD_År2+GodstogMkmEL_År2),(GodstogMkmD_År3+GodstogMkmEL_År3)))))))</f>
        <v>0</v>
      </c>
      <c r="K110" s="212">
        <f t="shared" si="27"/>
        <v>87</v>
      </c>
      <c r="L110" s="718">
        <f t="shared" si="28"/>
        <v>0</v>
      </c>
      <c r="M110" s="789">
        <f t="shared" si="29"/>
        <v>0</v>
      </c>
    </row>
    <row r="111" spans="2:13" x14ac:dyDescent="0.35">
      <c r="B111" s="212">
        <f t="shared" si="25"/>
        <v>88</v>
      </c>
      <c r="C111" s="784">
        <f t="shared" si="30"/>
        <v>0</v>
      </c>
      <c r="D111" s="785">
        <f t="shared" si="31"/>
        <v>0</v>
      </c>
      <c r="F111" s="212">
        <f t="shared" si="26"/>
        <v>88</v>
      </c>
      <c r="G111" s="733">
        <f t="shared" si="32"/>
        <v>0</v>
      </c>
      <c r="H111" s="733">
        <f t="shared" si="33"/>
        <v>0</v>
      </c>
      <c r="I111" s="786" cm="1">
        <f t="array" ref="I111">H111-G111+IF(F111&lt;Åpningsår,0,IF(F111&gt;=Åpningsår+ProsjektetsLevetid,0,
(Slitasje_Godstog*_xlfn.SWITCH(Antall_Beregningsår,
1,(GodstogMkmD_År1+GodstogMkmEL_År1),
2,IF(F111&lt;AndreBeregningsår,(GodstogMkmD_År1+GodstogMkmEL_År1),(GodstogMkmD_År2+GodstogMkmEL_År2)),
3,IF(F111&lt;AndreBeregningsår,(GodstogMkmD_År1+GodstogMkmEL_År1),IF(F111&lt;TredjeBeregningsår,(GodstogMkmD_År2+GodstogMkmEL_År2),(GodstogMkmD_År3+GodstogMkmEL_År3)))))))</f>
        <v>0</v>
      </c>
      <c r="K111" s="212">
        <f t="shared" si="27"/>
        <v>88</v>
      </c>
      <c r="L111" s="718">
        <f t="shared" si="28"/>
        <v>0</v>
      </c>
      <c r="M111" s="789">
        <f t="shared" si="29"/>
        <v>0</v>
      </c>
    </row>
    <row r="112" spans="2:13" x14ac:dyDescent="0.35">
      <c r="B112" s="212">
        <f t="shared" si="25"/>
        <v>89</v>
      </c>
      <c r="C112" s="784">
        <f t="shared" si="30"/>
        <v>0</v>
      </c>
      <c r="D112" s="785">
        <f t="shared" si="31"/>
        <v>0</v>
      </c>
      <c r="F112" s="212">
        <f t="shared" si="26"/>
        <v>89</v>
      </c>
      <c r="G112" s="733">
        <f t="shared" si="32"/>
        <v>0</v>
      </c>
      <c r="H112" s="733">
        <f t="shared" si="33"/>
        <v>0</v>
      </c>
      <c r="I112" s="786" cm="1">
        <f t="array" ref="I112">H112-G112+IF(F112&lt;Åpningsår,0,IF(F112&gt;=Åpningsår+ProsjektetsLevetid,0,
(Slitasje_Godstog*_xlfn.SWITCH(Antall_Beregningsår,
1,(GodstogMkmD_År1+GodstogMkmEL_År1),
2,IF(F112&lt;AndreBeregningsår,(GodstogMkmD_År1+GodstogMkmEL_År1),(GodstogMkmD_År2+GodstogMkmEL_År2)),
3,IF(F112&lt;AndreBeregningsår,(GodstogMkmD_År1+GodstogMkmEL_År1),IF(F112&lt;TredjeBeregningsår,(GodstogMkmD_År2+GodstogMkmEL_År2),(GodstogMkmD_År3+GodstogMkmEL_År3)))))))</f>
        <v>0</v>
      </c>
      <c r="K112" s="212">
        <f t="shared" si="27"/>
        <v>89</v>
      </c>
      <c r="L112" s="718">
        <f t="shared" si="28"/>
        <v>0</v>
      </c>
      <c r="M112" s="789">
        <f t="shared" si="29"/>
        <v>0</v>
      </c>
    </row>
    <row r="113" spans="2:13" x14ac:dyDescent="0.35">
      <c r="B113" s="212">
        <f t="shared" si="25"/>
        <v>90</v>
      </c>
      <c r="C113" s="784">
        <f t="shared" si="30"/>
        <v>0</v>
      </c>
      <c r="D113" s="785">
        <f t="shared" si="31"/>
        <v>0</v>
      </c>
      <c r="F113" s="212">
        <f t="shared" si="26"/>
        <v>90</v>
      </c>
      <c r="G113" s="733">
        <f t="shared" si="32"/>
        <v>0</v>
      </c>
      <c r="H113" s="733">
        <f t="shared" si="33"/>
        <v>0</v>
      </c>
      <c r="I113" s="786" cm="1">
        <f t="array" ref="I113">H113-G113+IF(F113&lt;Åpningsår,0,IF(F113&gt;=Åpningsår+ProsjektetsLevetid,0,
(Slitasje_Godstog*_xlfn.SWITCH(Antall_Beregningsår,
1,(GodstogMkmD_År1+GodstogMkmEL_År1),
2,IF(F113&lt;AndreBeregningsår,(GodstogMkmD_År1+GodstogMkmEL_År1),(GodstogMkmD_År2+GodstogMkmEL_År2)),
3,IF(F113&lt;AndreBeregningsår,(GodstogMkmD_År1+GodstogMkmEL_År1),IF(F113&lt;TredjeBeregningsår,(GodstogMkmD_År2+GodstogMkmEL_År2),(GodstogMkmD_År3+GodstogMkmEL_År3)))))))</f>
        <v>0</v>
      </c>
      <c r="K113" s="212">
        <f t="shared" si="27"/>
        <v>90</v>
      </c>
      <c r="L113" s="718">
        <f t="shared" si="28"/>
        <v>0</v>
      </c>
      <c r="M113" s="789">
        <f t="shared" si="29"/>
        <v>0</v>
      </c>
    </row>
    <row r="114" spans="2:13" x14ac:dyDescent="0.35">
      <c r="B114" s="212">
        <f t="shared" si="25"/>
        <v>91</v>
      </c>
      <c r="C114" s="784">
        <f t="shared" si="30"/>
        <v>0</v>
      </c>
      <c r="D114" s="785">
        <f t="shared" si="31"/>
        <v>0</v>
      </c>
      <c r="F114" s="212">
        <f t="shared" si="26"/>
        <v>91</v>
      </c>
      <c r="G114" s="733">
        <f t="shared" si="32"/>
        <v>0</v>
      </c>
      <c r="H114" s="733">
        <f t="shared" si="33"/>
        <v>0</v>
      </c>
      <c r="I114" s="786" cm="1">
        <f t="array" ref="I114">H114-G114+IF(F114&lt;Åpningsår,0,IF(F114&gt;=Åpningsår+ProsjektetsLevetid,0,
(Slitasje_Godstog*_xlfn.SWITCH(Antall_Beregningsår,
1,(GodstogMkmD_År1+GodstogMkmEL_År1),
2,IF(F114&lt;AndreBeregningsår,(GodstogMkmD_År1+GodstogMkmEL_År1),(GodstogMkmD_År2+GodstogMkmEL_År2)),
3,IF(F114&lt;AndreBeregningsår,(GodstogMkmD_År1+GodstogMkmEL_År1),IF(F114&lt;TredjeBeregningsår,(GodstogMkmD_År2+GodstogMkmEL_År2),(GodstogMkmD_År3+GodstogMkmEL_År3)))))))</f>
        <v>0</v>
      </c>
      <c r="K114" s="212">
        <f t="shared" si="27"/>
        <v>91</v>
      </c>
      <c r="L114" s="718">
        <f t="shared" si="28"/>
        <v>0</v>
      </c>
      <c r="M114" s="789">
        <f t="shared" si="29"/>
        <v>0</v>
      </c>
    </row>
    <row r="115" spans="2:13" x14ac:dyDescent="0.35">
      <c r="B115" s="212">
        <f t="shared" si="25"/>
        <v>92</v>
      </c>
      <c r="C115" s="784">
        <f t="shared" si="30"/>
        <v>0</v>
      </c>
      <c r="D115" s="785">
        <f t="shared" si="31"/>
        <v>0</v>
      </c>
      <c r="F115" s="212">
        <f t="shared" si="26"/>
        <v>92</v>
      </c>
      <c r="G115" s="733">
        <f t="shared" si="32"/>
        <v>0</v>
      </c>
      <c r="H115" s="733">
        <f t="shared" si="33"/>
        <v>0</v>
      </c>
      <c r="I115" s="786" cm="1">
        <f t="array" ref="I115">H115-G115+IF(F115&lt;Åpningsår,0,IF(F115&gt;=Åpningsår+ProsjektetsLevetid,0,
(Slitasje_Godstog*_xlfn.SWITCH(Antall_Beregningsår,
1,(GodstogMkmD_År1+GodstogMkmEL_År1),
2,IF(F115&lt;AndreBeregningsår,(GodstogMkmD_År1+GodstogMkmEL_År1),(GodstogMkmD_År2+GodstogMkmEL_År2)),
3,IF(F115&lt;AndreBeregningsår,(GodstogMkmD_År1+GodstogMkmEL_År1),IF(F115&lt;TredjeBeregningsår,(GodstogMkmD_År2+GodstogMkmEL_År2),(GodstogMkmD_År3+GodstogMkmEL_År3)))))))</f>
        <v>0</v>
      </c>
      <c r="K115" s="212">
        <f t="shared" si="27"/>
        <v>92</v>
      </c>
      <c r="L115" s="718">
        <f t="shared" si="28"/>
        <v>0</v>
      </c>
      <c r="M115" s="789">
        <f t="shared" si="29"/>
        <v>0</v>
      </c>
    </row>
    <row r="116" spans="2:13" x14ac:dyDescent="0.35">
      <c r="B116" s="212">
        <f t="shared" si="25"/>
        <v>93</v>
      </c>
      <c r="C116" s="784">
        <f t="shared" si="30"/>
        <v>0</v>
      </c>
      <c r="D116" s="785">
        <f t="shared" si="31"/>
        <v>0</v>
      </c>
      <c r="F116" s="212">
        <f t="shared" si="26"/>
        <v>93</v>
      </c>
      <c r="G116" s="733">
        <f t="shared" si="32"/>
        <v>0</v>
      </c>
      <c r="H116" s="733">
        <f t="shared" si="33"/>
        <v>0</v>
      </c>
      <c r="I116" s="786" cm="1">
        <f t="array" ref="I116">H116-G116+IF(F116&lt;Åpningsår,0,IF(F116&gt;=Åpningsår+ProsjektetsLevetid,0,
(Slitasje_Godstog*_xlfn.SWITCH(Antall_Beregningsår,
1,(GodstogMkmD_År1+GodstogMkmEL_År1),
2,IF(F116&lt;AndreBeregningsår,(GodstogMkmD_År1+GodstogMkmEL_År1),(GodstogMkmD_År2+GodstogMkmEL_År2)),
3,IF(F116&lt;AndreBeregningsår,(GodstogMkmD_År1+GodstogMkmEL_År1),IF(F116&lt;TredjeBeregningsår,(GodstogMkmD_År2+GodstogMkmEL_År2),(GodstogMkmD_År3+GodstogMkmEL_År3)))))))</f>
        <v>0</v>
      </c>
      <c r="K116" s="212">
        <f t="shared" si="27"/>
        <v>93</v>
      </c>
      <c r="L116" s="718">
        <f t="shared" si="28"/>
        <v>0</v>
      </c>
      <c r="M116" s="789">
        <f t="shared" si="29"/>
        <v>0</v>
      </c>
    </row>
    <row r="117" spans="2:13" x14ac:dyDescent="0.35">
      <c r="B117" s="212">
        <f t="shared" si="25"/>
        <v>94</v>
      </c>
      <c r="C117" s="784">
        <f t="shared" si="30"/>
        <v>0</v>
      </c>
      <c r="D117" s="785">
        <f t="shared" si="31"/>
        <v>0</v>
      </c>
      <c r="F117" s="212">
        <f t="shared" si="26"/>
        <v>94</v>
      </c>
      <c r="G117" s="733">
        <f t="shared" si="32"/>
        <v>0</v>
      </c>
      <c r="H117" s="733">
        <f t="shared" si="33"/>
        <v>0</v>
      </c>
      <c r="I117" s="786" cm="1">
        <f t="array" ref="I117">H117-G117+IF(F117&lt;Åpningsår,0,IF(F117&gt;=Åpningsår+ProsjektetsLevetid,0,
(Slitasje_Godstog*_xlfn.SWITCH(Antall_Beregningsår,
1,(GodstogMkmD_År1+GodstogMkmEL_År1),
2,IF(F117&lt;AndreBeregningsår,(GodstogMkmD_År1+GodstogMkmEL_År1),(GodstogMkmD_År2+GodstogMkmEL_År2)),
3,IF(F117&lt;AndreBeregningsår,(GodstogMkmD_År1+GodstogMkmEL_År1),IF(F117&lt;TredjeBeregningsår,(GodstogMkmD_År2+GodstogMkmEL_År2),(GodstogMkmD_År3+GodstogMkmEL_År3)))))))</f>
        <v>0</v>
      </c>
      <c r="K117" s="212">
        <f t="shared" si="27"/>
        <v>94</v>
      </c>
      <c r="L117" s="718">
        <f t="shared" si="28"/>
        <v>0</v>
      </c>
      <c r="M117" s="789">
        <f t="shared" si="29"/>
        <v>0</v>
      </c>
    </row>
    <row r="118" spans="2:13" x14ac:dyDescent="0.35">
      <c r="B118" s="212">
        <f t="shared" si="25"/>
        <v>95</v>
      </c>
      <c r="C118" s="784">
        <f t="shared" si="30"/>
        <v>0</v>
      </c>
      <c r="D118" s="785">
        <f t="shared" si="31"/>
        <v>0</v>
      </c>
      <c r="F118" s="212">
        <f t="shared" si="26"/>
        <v>95</v>
      </c>
      <c r="G118" s="733">
        <f t="shared" si="32"/>
        <v>0</v>
      </c>
      <c r="H118" s="733">
        <f t="shared" si="33"/>
        <v>0</v>
      </c>
      <c r="I118" s="786" cm="1">
        <f t="array" ref="I118">H118-G118+IF(F118&lt;Åpningsår,0,IF(F118&gt;=Åpningsår+ProsjektetsLevetid,0,
(Slitasje_Godstog*_xlfn.SWITCH(Antall_Beregningsår,
1,(GodstogMkmD_År1+GodstogMkmEL_År1),
2,IF(F118&lt;AndreBeregningsår,(GodstogMkmD_År1+GodstogMkmEL_År1),(GodstogMkmD_År2+GodstogMkmEL_År2)),
3,IF(F118&lt;AndreBeregningsår,(GodstogMkmD_År1+GodstogMkmEL_År1),IF(F118&lt;TredjeBeregningsår,(GodstogMkmD_År2+GodstogMkmEL_År2),(GodstogMkmD_År3+GodstogMkmEL_År3)))))))</f>
        <v>0</v>
      </c>
      <c r="K118" s="212">
        <f t="shared" si="27"/>
        <v>95</v>
      </c>
      <c r="L118" s="718">
        <f t="shared" si="28"/>
        <v>0</v>
      </c>
      <c r="M118" s="789">
        <f t="shared" si="29"/>
        <v>0</v>
      </c>
    </row>
    <row r="119" spans="2:13" x14ac:dyDescent="0.35">
      <c r="B119" s="212">
        <f t="shared" si="25"/>
        <v>96</v>
      </c>
      <c r="C119" s="784">
        <f t="shared" si="30"/>
        <v>0</v>
      </c>
      <c r="D119" s="785">
        <f t="shared" si="31"/>
        <v>0</v>
      </c>
      <c r="F119" s="212">
        <f t="shared" si="26"/>
        <v>96</v>
      </c>
      <c r="G119" s="733">
        <f t="shared" si="32"/>
        <v>0</v>
      </c>
      <c r="H119" s="733">
        <f t="shared" si="33"/>
        <v>0</v>
      </c>
      <c r="I119" s="786" cm="1">
        <f t="array" ref="I119">H119-G119+IF(F119&lt;Åpningsår,0,IF(F119&gt;=Åpningsår+ProsjektetsLevetid,0,
(Slitasje_Godstog*_xlfn.SWITCH(Antall_Beregningsår,
1,(GodstogMkmD_År1+GodstogMkmEL_År1),
2,IF(F119&lt;AndreBeregningsår,(GodstogMkmD_År1+GodstogMkmEL_År1),(GodstogMkmD_År2+GodstogMkmEL_År2)),
3,IF(F119&lt;AndreBeregningsår,(GodstogMkmD_År1+GodstogMkmEL_År1),IF(F119&lt;TredjeBeregningsår,(GodstogMkmD_År2+GodstogMkmEL_År2),(GodstogMkmD_År3+GodstogMkmEL_År3)))))))</f>
        <v>0</v>
      </c>
      <c r="K119" s="212">
        <f t="shared" si="27"/>
        <v>96</v>
      </c>
      <c r="L119" s="718">
        <f t="shared" si="28"/>
        <v>0</v>
      </c>
      <c r="M119" s="789">
        <f t="shared" si="29"/>
        <v>0</v>
      </c>
    </row>
    <row r="120" spans="2:13" x14ac:dyDescent="0.35">
      <c r="B120" s="212">
        <f t="shared" si="25"/>
        <v>97</v>
      </c>
      <c r="C120" s="784">
        <f t="shared" si="30"/>
        <v>0</v>
      </c>
      <c r="D120" s="785">
        <f t="shared" si="31"/>
        <v>0</v>
      </c>
      <c r="F120" s="212">
        <f t="shared" si="26"/>
        <v>97</v>
      </c>
      <c r="G120" s="733">
        <f t="shared" si="32"/>
        <v>0</v>
      </c>
      <c r="H120" s="733">
        <f t="shared" si="33"/>
        <v>0</v>
      </c>
      <c r="I120" s="786" cm="1">
        <f t="array" ref="I120">H120-G120+IF(F120&lt;Åpningsår,0,IF(F120&gt;=Åpningsår+ProsjektetsLevetid,0,
(Slitasje_Godstog*_xlfn.SWITCH(Antall_Beregningsår,
1,(GodstogMkmD_År1+GodstogMkmEL_År1),
2,IF(F120&lt;AndreBeregningsår,(GodstogMkmD_År1+GodstogMkmEL_År1),(GodstogMkmD_År2+GodstogMkmEL_År2)),
3,IF(F120&lt;AndreBeregningsår,(GodstogMkmD_År1+GodstogMkmEL_År1),IF(F120&lt;TredjeBeregningsår,(GodstogMkmD_År2+GodstogMkmEL_År2),(GodstogMkmD_År3+GodstogMkmEL_År3)))))))</f>
        <v>0</v>
      </c>
      <c r="K120" s="212">
        <f t="shared" si="27"/>
        <v>97</v>
      </c>
      <c r="L120" s="718">
        <f t="shared" si="28"/>
        <v>0</v>
      </c>
      <c r="M120" s="789">
        <f t="shared" si="29"/>
        <v>0</v>
      </c>
    </row>
    <row r="121" spans="2:13" x14ac:dyDescent="0.35">
      <c r="B121" s="212">
        <f t="shared" si="25"/>
        <v>98</v>
      </c>
      <c r="C121" s="784">
        <f t="shared" si="30"/>
        <v>0</v>
      </c>
      <c r="D121" s="785">
        <f t="shared" si="31"/>
        <v>0</v>
      </c>
      <c r="F121" s="212">
        <f t="shared" si="26"/>
        <v>98</v>
      </c>
      <c r="G121" s="733">
        <f t="shared" si="32"/>
        <v>0</v>
      </c>
      <c r="H121" s="733">
        <f t="shared" si="33"/>
        <v>0</v>
      </c>
      <c r="I121" s="786" cm="1">
        <f t="array" ref="I121">H121-G121+IF(F121&lt;Åpningsår,0,IF(F121&gt;=Åpningsår+ProsjektetsLevetid,0,
(Slitasje_Godstog*_xlfn.SWITCH(Antall_Beregningsår,
1,(GodstogMkmD_År1+GodstogMkmEL_År1),
2,IF(F121&lt;AndreBeregningsår,(GodstogMkmD_År1+GodstogMkmEL_År1),(GodstogMkmD_År2+GodstogMkmEL_År2)),
3,IF(F121&lt;AndreBeregningsår,(GodstogMkmD_År1+GodstogMkmEL_År1),IF(F121&lt;TredjeBeregningsår,(GodstogMkmD_År2+GodstogMkmEL_År2),(GodstogMkmD_År3+GodstogMkmEL_År3)))))))</f>
        <v>0</v>
      </c>
      <c r="K121" s="212">
        <f t="shared" si="27"/>
        <v>98</v>
      </c>
      <c r="L121" s="718">
        <f t="shared" si="28"/>
        <v>0</v>
      </c>
      <c r="M121" s="789">
        <f t="shared" si="29"/>
        <v>0</v>
      </c>
    </row>
    <row r="122" spans="2:13" x14ac:dyDescent="0.35">
      <c r="B122" s="212">
        <f t="shared" si="25"/>
        <v>99</v>
      </c>
      <c r="C122" s="784">
        <f t="shared" si="30"/>
        <v>0</v>
      </c>
      <c r="D122" s="785">
        <f t="shared" si="31"/>
        <v>0</v>
      </c>
      <c r="F122" s="212">
        <f t="shared" si="26"/>
        <v>99</v>
      </c>
      <c r="G122" s="733">
        <f t="shared" si="32"/>
        <v>0</v>
      </c>
      <c r="H122" s="733">
        <f t="shared" si="33"/>
        <v>0</v>
      </c>
      <c r="I122" s="786" cm="1">
        <f t="array" ref="I122">H122-G122+IF(F122&lt;Åpningsår,0,IF(F122&gt;=Åpningsår+ProsjektetsLevetid,0,
(Slitasje_Godstog*_xlfn.SWITCH(Antall_Beregningsår,
1,(GodstogMkmD_År1+GodstogMkmEL_År1),
2,IF(F122&lt;AndreBeregningsår,(GodstogMkmD_År1+GodstogMkmEL_År1),(GodstogMkmD_År2+GodstogMkmEL_År2)),
3,IF(F122&lt;AndreBeregningsår,(GodstogMkmD_År1+GodstogMkmEL_År1),IF(F122&lt;TredjeBeregningsår,(GodstogMkmD_År2+GodstogMkmEL_År2),(GodstogMkmD_År3+GodstogMkmEL_År3)))))))</f>
        <v>0</v>
      </c>
      <c r="K122" s="212">
        <f t="shared" si="27"/>
        <v>99</v>
      </c>
      <c r="L122" s="718">
        <f t="shared" si="28"/>
        <v>0</v>
      </c>
      <c r="M122" s="789">
        <f t="shared" si="29"/>
        <v>0</v>
      </c>
    </row>
    <row r="123" spans="2:13" x14ac:dyDescent="0.35">
      <c r="B123" s="212">
        <f t="shared" si="25"/>
        <v>100</v>
      </c>
      <c r="C123" s="784">
        <f t="shared" si="30"/>
        <v>0</v>
      </c>
      <c r="D123" s="785">
        <f t="shared" si="31"/>
        <v>0</v>
      </c>
      <c r="F123" s="212">
        <f t="shared" si="26"/>
        <v>100</v>
      </c>
      <c r="G123" s="733">
        <f t="shared" si="32"/>
        <v>0</v>
      </c>
      <c r="H123" s="733">
        <f t="shared" si="33"/>
        <v>0</v>
      </c>
      <c r="I123" s="786" cm="1">
        <f t="array" ref="I123">H123-G123+IF(F123&lt;Åpningsår,0,IF(F123&gt;=Åpningsår+ProsjektetsLevetid,0,
(Slitasje_Godstog*_xlfn.SWITCH(Antall_Beregningsår,
1,(GodstogMkmD_År1+GodstogMkmEL_År1),
2,IF(F123&lt;AndreBeregningsår,(GodstogMkmD_År1+GodstogMkmEL_År1),(GodstogMkmD_År2+GodstogMkmEL_År2)),
3,IF(F123&lt;AndreBeregningsår,(GodstogMkmD_År1+GodstogMkmEL_År1),IF(F123&lt;TredjeBeregningsår,(GodstogMkmD_År2+GodstogMkmEL_År2),(GodstogMkmD_År3+GodstogMkmEL_År3)))))))</f>
        <v>0</v>
      </c>
      <c r="K123" s="212">
        <f t="shared" si="27"/>
        <v>100</v>
      </c>
      <c r="L123" s="718">
        <f t="shared" si="28"/>
        <v>0</v>
      </c>
      <c r="M123" s="789">
        <f t="shared" si="29"/>
        <v>0</v>
      </c>
    </row>
    <row r="124" spans="2:13" x14ac:dyDescent="0.35">
      <c r="B124" s="212">
        <f t="shared" si="25"/>
        <v>101</v>
      </c>
      <c r="C124" s="784">
        <f t="shared" si="30"/>
        <v>0</v>
      </c>
      <c r="D124" s="785">
        <f t="shared" si="31"/>
        <v>0</v>
      </c>
      <c r="F124" s="212">
        <f t="shared" si="26"/>
        <v>101</v>
      </c>
      <c r="G124" s="733">
        <f t="shared" si="32"/>
        <v>0</v>
      </c>
      <c r="H124" s="733">
        <f t="shared" si="33"/>
        <v>0</v>
      </c>
      <c r="I124" s="786" cm="1">
        <f t="array" ref="I124">H124-G124+IF(F124&lt;Åpningsår,0,IF(F124&gt;=Åpningsår+ProsjektetsLevetid,0,
(Slitasje_Godstog*_xlfn.SWITCH(Antall_Beregningsår,
1,(GodstogMkmD_År1+GodstogMkmEL_År1),
2,IF(F124&lt;AndreBeregningsår,(GodstogMkmD_År1+GodstogMkmEL_År1),(GodstogMkmD_År2+GodstogMkmEL_År2)),
3,IF(F124&lt;AndreBeregningsår,(GodstogMkmD_År1+GodstogMkmEL_År1),IF(F124&lt;TredjeBeregningsår,(GodstogMkmD_År2+GodstogMkmEL_År2),(GodstogMkmD_År3+GodstogMkmEL_År3)))))))</f>
        <v>0</v>
      </c>
      <c r="K124" s="212">
        <f t="shared" si="27"/>
        <v>101</v>
      </c>
      <c r="L124" s="718">
        <f t="shared" si="28"/>
        <v>0</v>
      </c>
      <c r="M124" s="789">
        <f t="shared" si="29"/>
        <v>0</v>
      </c>
    </row>
    <row r="125" spans="2:13" x14ac:dyDescent="0.35">
      <c r="B125" s="212">
        <f t="shared" si="25"/>
        <v>102</v>
      </c>
      <c r="C125" s="784">
        <f t="shared" si="30"/>
        <v>0</v>
      </c>
      <c r="D125" s="785">
        <f t="shared" si="31"/>
        <v>0</v>
      </c>
      <c r="F125" s="212">
        <f t="shared" si="26"/>
        <v>102</v>
      </c>
      <c r="G125" s="733">
        <f t="shared" si="32"/>
        <v>0</v>
      </c>
      <c r="H125" s="733">
        <f t="shared" si="33"/>
        <v>0</v>
      </c>
      <c r="I125" s="786" cm="1">
        <f t="array" ref="I125">H125-G125+IF(F125&lt;Åpningsår,0,IF(F125&gt;=Åpningsår+ProsjektetsLevetid,0,
(Slitasje_Godstog*_xlfn.SWITCH(Antall_Beregningsår,
1,(GodstogMkmD_År1+GodstogMkmEL_År1),
2,IF(F125&lt;AndreBeregningsår,(GodstogMkmD_År1+GodstogMkmEL_År1),(GodstogMkmD_År2+GodstogMkmEL_År2)),
3,IF(F125&lt;AndreBeregningsår,(GodstogMkmD_År1+GodstogMkmEL_År1),IF(F125&lt;TredjeBeregningsår,(GodstogMkmD_År2+GodstogMkmEL_År2),(GodstogMkmD_År3+GodstogMkmEL_År3)))))))</f>
        <v>0</v>
      </c>
      <c r="K125" s="212">
        <f t="shared" si="27"/>
        <v>102</v>
      </c>
      <c r="L125" s="718">
        <f t="shared" si="28"/>
        <v>0</v>
      </c>
      <c r="M125" s="789">
        <f t="shared" si="29"/>
        <v>0</v>
      </c>
    </row>
    <row r="126" spans="2:13" x14ac:dyDescent="0.35">
      <c r="B126" s="212">
        <f t="shared" si="25"/>
        <v>103</v>
      </c>
      <c r="C126" s="784">
        <f t="shared" si="30"/>
        <v>0</v>
      </c>
      <c r="D126" s="785">
        <f t="shared" si="31"/>
        <v>0</v>
      </c>
      <c r="F126" s="212">
        <f t="shared" si="26"/>
        <v>103</v>
      </c>
      <c r="G126" s="733">
        <f t="shared" si="32"/>
        <v>0</v>
      </c>
      <c r="H126" s="733">
        <f t="shared" si="33"/>
        <v>0</v>
      </c>
      <c r="I126" s="786" cm="1">
        <f t="array" ref="I126">H126-G126+IF(F126&lt;Åpningsår,0,IF(F126&gt;=Åpningsår+ProsjektetsLevetid,0,
(Slitasje_Godstog*_xlfn.SWITCH(Antall_Beregningsår,
1,(GodstogMkmD_År1+GodstogMkmEL_År1),
2,IF(F126&lt;AndreBeregningsår,(GodstogMkmD_År1+GodstogMkmEL_År1),(GodstogMkmD_År2+GodstogMkmEL_År2)),
3,IF(F126&lt;AndreBeregningsår,(GodstogMkmD_År1+GodstogMkmEL_År1),IF(F126&lt;TredjeBeregningsår,(GodstogMkmD_År2+GodstogMkmEL_År2),(GodstogMkmD_År3+GodstogMkmEL_År3)))))))</f>
        <v>0</v>
      </c>
      <c r="K126" s="212">
        <f t="shared" si="27"/>
        <v>103</v>
      </c>
      <c r="L126" s="718">
        <f t="shared" si="28"/>
        <v>0</v>
      </c>
      <c r="M126" s="789">
        <f t="shared" si="29"/>
        <v>0</v>
      </c>
    </row>
    <row r="127" spans="2:13" x14ac:dyDescent="0.35">
      <c r="B127" s="212">
        <f t="shared" si="25"/>
        <v>104</v>
      </c>
      <c r="C127" s="784">
        <f t="shared" si="30"/>
        <v>0</v>
      </c>
      <c r="D127" s="785">
        <f t="shared" si="31"/>
        <v>0</v>
      </c>
      <c r="F127" s="212">
        <f t="shared" si="26"/>
        <v>104</v>
      </c>
      <c r="G127" s="733">
        <f t="shared" si="32"/>
        <v>0</v>
      </c>
      <c r="H127" s="733">
        <f t="shared" si="33"/>
        <v>0</v>
      </c>
      <c r="I127" s="786" cm="1">
        <f t="array" ref="I127">H127-G127+IF(F127&lt;Åpningsår,0,IF(F127&gt;=Åpningsår+ProsjektetsLevetid,0,
(Slitasje_Godstog*_xlfn.SWITCH(Antall_Beregningsår,
1,(GodstogMkmD_År1+GodstogMkmEL_År1),
2,IF(F127&lt;AndreBeregningsår,(GodstogMkmD_År1+GodstogMkmEL_År1),(GodstogMkmD_År2+GodstogMkmEL_År2)),
3,IF(F127&lt;AndreBeregningsår,(GodstogMkmD_År1+GodstogMkmEL_År1),IF(F127&lt;TredjeBeregningsår,(GodstogMkmD_År2+GodstogMkmEL_År2),(GodstogMkmD_År3+GodstogMkmEL_År3)))))))</f>
        <v>0</v>
      </c>
      <c r="K127" s="212">
        <f t="shared" si="27"/>
        <v>104</v>
      </c>
      <c r="L127" s="718">
        <f t="shared" si="28"/>
        <v>0</v>
      </c>
      <c r="M127" s="789">
        <f t="shared" si="29"/>
        <v>0</v>
      </c>
    </row>
    <row r="128" spans="2:13" x14ac:dyDescent="0.35">
      <c r="B128" s="212">
        <f t="shared" si="25"/>
        <v>105</v>
      </c>
      <c r="C128" s="784">
        <f t="shared" si="30"/>
        <v>0</v>
      </c>
      <c r="D128" s="785">
        <f t="shared" si="31"/>
        <v>0</v>
      </c>
      <c r="F128" s="212">
        <f t="shared" si="26"/>
        <v>105</v>
      </c>
      <c r="G128" s="733">
        <f t="shared" si="32"/>
        <v>0</v>
      </c>
      <c r="H128" s="733">
        <f t="shared" si="33"/>
        <v>0</v>
      </c>
      <c r="I128" s="786" cm="1">
        <f t="array" ref="I128">H128-G128+IF(F128&lt;Åpningsår,0,IF(F128&gt;=Åpningsår+ProsjektetsLevetid,0,
(Slitasje_Godstog*_xlfn.SWITCH(Antall_Beregningsår,
1,(GodstogMkmD_År1+GodstogMkmEL_År1),
2,IF(F128&lt;AndreBeregningsår,(GodstogMkmD_År1+GodstogMkmEL_År1),(GodstogMkmD_År2+GodstogMkmEL_År2)),
3,IF(F128&lt;AndreBeregningsår,(GodstogMkmD_År1+GodstogMkmEL_År1),IF(F128&lt;TredjeBeregningsår,(GodstogMkmD_År2+GodstogMkmEL_År2),(GodstogMkmD_År3+GodstogMkmEL_År3)))))))</f>
        <v>0</v>
      </c>
      <c r="K128" s="212">
        <f t="shared" si="27"/>
        <v>105</v>
      </c>
      <c r="L128" s="718">
        <f t="shared" si="28"/>
        <v>0</v>
      </c>
      <c r="M128" s="789">
        <f t="shared" si="29"/>
        <v>0</v>
      </c>
    </row>
    <row r="129" spans="2:13" x14ac:dyDescent="0.35">
      <c r="B129" s="212">
        <f t="shared" si="25"/>
        <v>106</v>
      </c>
      <c r="C129" s="784">
        <f t="shared" si="30"/>
        <v>0</v>
      </c>
      <c r="D129" s="785">
        <f t="shared" si="31"/>
        <v>0</v>
      </c>
      <c r="F129" s="212">
        <f t="shared" si="26"/>
        <v>106</v>
      </c>
      <c r="G129" s="733">
        <f t="shared" si="32"/>
        <v>0</v>
      </c>
      <c r="H129" s="733">
        <f t="shared" si="33"/>
        <v>0</v>
      </c>
      <c r="I129" s="786" cm="1">
        <f t="array" ref="I129">H129-G129+IF(F129&lt;Åpningsår,0,IF(F129&gt;=Åpningsår+ProsjektetsLevetid,0,
(Slitasje_Godstog*_xlfn.SWITCH(Antall_Beregningsår,
1,(GodstogMkmD_År1+GodstogMkmEL_År1),
2,IF(F129&lt;AndreBeregningsår,(GodstogMkmD_År1+GodstogMkmEL_År1),(GodstogMkmD_År2+GodstogMkmEL_År2)),
3,IF(F129&lt;AndreBeregningsår,(GodstogMkmD_År1+GodstogMkmEL_År1),IF(F129&lt;TredjeBeregningsår,(GodstogMkmD_År2+GodstogMkmEL_År2),(GodstogMkmD_År3+GodstogMkmEL_År3)))))))</f>
        <v>0</v>
      </c>
      <c r="K129" s="212">
        <f t="shared" si="27"/>
        <v>106</v>
      </c>
      <c r="L129" s="718">
        <f t="shared" si="28"/>
        <v>0</v>
      </c>
      <c r="M129" s="789">
        <f t="shared" si="29"/>
        <v>0</v>
      </c>
    </row>
    <row r="130" spans="2:13" x14ac:dyDescent="0.35">
      <c r="B130" s="212">
        <f t="shared" si="25"/>
        <v>107</v>
      </c>
      <c r="C130" s="784">
        <f t="shared" si="30"/>
        <v>0</v>
      </c>
      <c r="D130" s="785">
        <f t="shared" si="31"/>
        <v>0</v>
      </c>
      <c r="F130" s="212">
        <f t="shared" si="26"/>
        <v>107</v>
      </c>
      <c r="G130" s="733">
        <f t="shared" si="32"/>
        <v>0</v>
      </c>
      <c r="H130" s="733">
        <f t="shared" si="33"/>
        <v>0</v>
      </c>
      <c r="I130" s="786" cm="1">
        <f t="array" ref="I130">H130-G130+IF(F130&lt;Åpningsår,0,IF(F130&gt;=Åpningsår+ProsjektetsLevetid,0,
(Slitasje_Godstog*_xlfn.SWITCH(Antall_Beregningsår,
1,(GodstogMkmD_År1+GodstogMkmEL_År1),
2,IF(F130&lt;AndreBeregningsår,(GodstogMkmD_År1+GodstogMkmEL_År1),(GodstogMkmD_År2+GodstogMkmEL_År2)),
3,IF(F130&lt;AndreBeregningsår,(GodstogMkmD_År1+GodstogMkmEL_År1),IF(F130&lt;TredjeBeregningsår,(GodstogMkmD_År2+GodstogMkmEL_År2),(GodstogMkmD_År3+GodstogMkmEL_År3)))))))</f>
        <v>0</v>
      </c>
      <c r="K130" s="212">
        <f t="shared" si="27"/>
        <v>107</v>
      </c>
      <c r="L130" s="718">
        <f t="shared" si="28"/>
        <v>0</v>
      </c>
      <c r="M130" s="789">
        <f t="shared" si="29"/>
        <v>0</v>
      </c>
    </row>
    <row r="131" spans="2:13" x14ac:dyDescent="0.35">
      <c r="B131" s="212">
        <f t="shared" si="25"/>
        <v>108</v>
      </c>
      <c r="C131" s="784">
        <f t="shared" si="30"/>
        <v>0</v>
      </c>
      <c r="D131" s="785">
        <f t="shared" si="31"/>
        <v>0</v>
      </c>
      <c r="F131" s="212">
        <f t="shared" si="26"/>
        <v>108</v>
      </c>
      <c r="G131" s="733">
        <f t="shared" si="32"/>
        <v>0</v>
      </c>
      <c r="H131" s="733">
        <f t="shared" si="33"/>
        <v>0</v>
      </c>
      <c r="I131" s="786" cm="1">
        <f t="array" ref="I131">H131-G131+IF(F131&lt;Åpningsår,0,IF(F131&gt;=Åpningsår+ProsjektetsLevetid,0,
(Slitasje_Godstog*_xlfn.SWITCH(Antall_Beregningsår,
1,(GodstogMkmD_År1+GodstogMkmEL_År1),
2,IF(F131&lt;AndreBeregningsår,(GodstogMkmD_År1+GodstogMkmEL_År1),(GodstogMkmD_År2+GodstogMkmEL_År2)),
3,IF(F131&lt;AndreBeregningsår,(GodstogMkmD_År1+GodstogMkmEL_År1),IF(F131&lt;TredjeBeregningsår,(GodstogMkmD_År2+GodstogMkmEL_År2),(GodstogMkmD_År3+GodstogMkmEL_År3)))))))</f>
        <v>0</v>
      </c>
      <c r="K131" s="212">
        <f t="shared" si="27"/>
        <v>108</v>
      </c>
      <c r="L131" s="718">
        <f t="shared" si="28"/>
        <v>0</v>
      </c>
      <c r="M131" s="789">
        <f t="shared" si="29"/>
        <v>0</v>
      </c>
    </row>
    <row r="132" spans="2:13" ht="15" thickBot="1" x14ac:dyDescent="0.4">
      <c r="B132" s="252">
        <f t="shared" si="25"/>
        <v>109</v>
      </c>
      <c r="C132" s="1188">
        <f t="shared" si="30"/>
        <v>0</v>
      </c>
      <c r="D132" s="1189">
        <f t="shared" si="31"/>
        <v>0</v>
      </c>
      <c r="F132" s="252">
        <f t="shared" si="26"/>
        <v>109</v>
      </c>
      <c r="G132" s="744">
        <f t="shared" si="32"/>
        <v>0</v>
      </c>
      <c r="H132" s="744">
        <f t="shared" si="33"/>
        <v>0</v>
      </c>
      <c r="I132" s="1211" cm="1">
        <f t="array" ref="I132">H132-G132+IF(F132&lt;Åpningsår,0,IF(F132&gt;=Åpningsår+ProsjektetsLevetid,0,
(Slitasje_Godstog*_xlfn.SWITCH(Antall_Beregningsår,
1,(GodstogMkmD_År1+GodstogMkmEL_År1),
2,IF(F132&lt;AndreBeregningsår,(GodstogMkmD_År1+GodstogMkmEL_År1),(GodstogMkmD_År2+GodstogMkmEL_År2)),
3,IF(F132&lt;AndreBeregningsår,(GodstogMkmD_År1+GodstogMkmEL_År1),IF(F132&lt;TredjeBeregningsår,(GodstogMkmD_År2+GodstogMkmEL_År2),(GodstogMkmD_År3+GodstogMkmEL_År3)))))))</f>
        <v>0</v>
      </c>
      <c r="K132" s="252">
        <f t="shared" si="27"/>
        <v>109</v>
      </c>
      <c r="L132" s="1152">
        <f t="shared" si="28"/>
        <v>0</v>
      </c>
      <c r="M132" s="711">
        <f t="shared" si="29"/>
        <v>0</v>
      </c>
    </row>
    <row r="133" spans="2:13" x14ac:dyDescent="0.35">
      <c r="L133"/>
    </row>
    <row r="134" spans="2:13" x14ac:dyDescent="0.35">
      <c r="L134"/>
    </row>
    <row r="135" spans="2:13" x14ac:dyDescent="0.35">
      <c r="L135"/>
    </row>
    <row r="136" spans="2:13" x14ac:dyDescent="0.35">
      <c r="L136"/>
    </row>
    <row r="137" spans="2:13" x14ac:dyDescent="0.35">
      <c r="L137"/>
    </row>
    <row r="138" spans="2:13" x14ac:dyDescent="0.35">
      <c r="L138"/>
    </row>
    <row r="139" spans="2:13" x14ac:dyDescent="0.35">
      <c r="L139"/>
    </row>
    <row r="140" spans="2:13" x14ac:dyDescent="0.35">
      <c r="L140"/>
    </row>
    <row r="141" spans="2:13" x14ac:dyDescent="0.35">
      <c r="L141"/>
    </row>
    <row r="142" spans="2:13" x14ac:dyDescent="0.35">
      <c r="L142"/>
    </row>
    <row r="143" spans="2:13" x14ac:dyDescent="0.35">
      <c r="L143"/>
    </row>
    <row r="144" spans="2:13" x14ac:dyDescent="0.35">
      <c r="L144"/>
    </row>
    <row r="145" spans="12:12" x14ac:dyDescent="0.35">
      <c r="L145"/>
    </row>
    <row r="146" spans="12:12" x14ac:dyDescent="0.35">
      <c r="L146"/>
    </row>
    <row r="147" spans="12:12" x14ac:dyDescent="0.35">
      <c r="L147"/>
    </row>
    <row r="148" spans="12:12" x14ac:dyDescent="0.35">
      <c r="L148"/>
    </row>
    <row r="149" spans="12:12" x14ac:dyDescent="0.35">
      <c r="L149"/>
    </row>
    <row r="150" spans="12:12" x14ac:dyDescent="0.35">
      <c r="L150"/>
    </row>
    <row r="151" spans="12:12" x14ac:dyDescent="0.35">
      <c r="L151"/>
    </row>
    <row r="152" spans="12:12" x14ac:dyDescent="0.35">
      <c r="L152"/>
    </row>
    <row r="153" spans="12:12" x14ac:dyDescent="0.35">
      <c r="L153"/>
    </row>
    <row r="154" spans="12:12" x14ac:dyDescent="0.35">
      <c r="L154"/>
    </row>
    <row r="155" spans="12:12" x14ac:dyDescent="0.35">
      <c r="L155"/>
    </row>
    <row r="156" spans="12:12" x14ac:dyDescent="0.35">
      <c r="L156"/>
    </row>
    <row r="157" spans="12:12" x14ac:dyDescent="0.35">
      <c r="L157"/>
    </row>
    <row r="158" spans="12:12" x14ac:dyDescent="0.35">
      <c r="L158"/>
    </row>
    <row r="159" spans="12:12" x14ac:dyDescent="0.35">
      <c r="L159"/>
    </row>
    <row r="160" spans="12:12" x14ac:dyDescent="0.35">
      <c r="L160"/>
    </row>
  </sheetData>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Ark21">
    <tabColor theme="4"/>
  </sheetPr>
  <dimension ref="A3:DT104"/>
  <sheetViews>
    <sheetView zoomScaleNormal="100" workbookViewId="0"/>
  </sheetViews>
  <sheetFormatPr baseColWidth="10" defaultColWidth="11.453125" defaultRowHeight="14.5" x14ac:dyDescent="0.35"/>
  <cols>
    <col min="1" max="1" width="11.81640625" customWidth="1"/>
    <col min="2" max="2" width="26.453125" customWidth="1"/>
    <col min="3" max="3" width="51.453125" customWidth="1"/>
    <col min="4" max="4" width="16.453125" customWidth="1"/>
    <col min="5" max="6" width="18.453125" customWidth="1"/>
    <col min="7" max="7" width="17.7265625" customWidth="1"/>
    <col min="8" max="9" width="18.453125" customWidth="1"/>
    <col min="10" max="10" width="20" style="4" customWidth="1"/>
    <col min="11" max="11" width="16.453125" style="4" customWidth="1"/>
    <col min="12" max="12" width="15.453125" style="102" bestFit="1" customWidth="1"/>
    <col min="13" max="13" width="16.453125" customWidth="1"/>
    <col min="14" max="14" width="17.453125" customWidth="1"/>
    <col min="15" max="15" width="17.1796875" customWidth="1"/>
    <col min="16" max="16" width="13.453125" customWidth="1"/>
    <col min="17" max="17" width="13.81640625" customWidth="1"/>
    <col min="18" max="19" width="11.453125" customWidth="1"/>
    <col min="20" max="22" width="18.453125" customWidth="1"/>
    <col min="23" max="23" width="11.453125" customWidth="1"/>
    <col min="24" max="46" width="14.26953125" bestFit="1" customWidth="1"/>
    <col min="47" max="47" width="15.26953125" bestFit="1" customWidth="1"/>
    <col min="48" max="55" width="14.26953125" bestFit="1" customWidth="1"/>
    <col min="56" max="61" width="13.1796875" bestFit="1" customWidth="1"/>
    <col min="62" max="62" width="15.26953125" bestFit="1" customWidth="1"/>
    <col min="63" max="63" width="13.1796875" bestFit="1" customWidth="1"/>
    <col min="64" max="71" width="12.453125" bestFit="1" customWidth="1"/>
    <col min="72" max="72" width="15.26953125" bestFit="1" customWidth="1"/>
    <col min="73" max="75" width="12.453125" bestFit="1" customWidth="1"/>
    <col min="76" max="97" width="13.54296875" bestFit="1" customWidth="1"/>
    <col min="98" max="98" width="12.453125" bestFit="1" customWidth="1"/>
  </cols>
  <sheetData>
    <row r="3" spans="2:124" ht="15" thickBot="1" x14ac:dyDescent="0.4"/>
    <row r="4" spans="2:124" ht="18.5" x14ac:dyDescent="0.45">
      <c r="B4" s="290" t="s">
        <v>717</v>
      </c>
      <c r="C4" s="209"/>
    </row>
    <row r="5" spans="2:124" x14ac:dyDescent="0.35">
      <c r="B5" s="212" t="s">
        <v>720</v>
      </c>
      <c r="C5" s="789" t="s">
        <v>721</v>
      </c>
    </row>
    <row r="6" spans="2:124" ht="15" thickBot="1" x14ac:dyDescent="0.4">
      <c r="B6" s="252" t="s">
        <v>1581</v>
      </c>
      <c r="C6" s="800" t="s">
        <v>1582</v>
      </c>
      <c r="W6" s="5"/>
    </row>
    <row r="8" spans="2:124" x14ac:dyDescent="0.35">
      <c r="W8" s="5"/>
    </row>
    <row r="9" spans="2:124" ht="15" thickBot="1" x14ac:dyDescent="0.4">
      <c r="DS9" s="769">
        <f>Åpningsår+MIN(ProsjektetsLevetid,AnalyseperiodensLengde)-1-'1.5 Prognoser og indekser'!$R$10</f>
        <v>9</v>
      </c>
      <c r="DT9" s="769">
        <f>Åpningsår+ProsjektetsLevetid-1-'1.5 Prognoser og indekser'!$R$10-DS9</f>
        <v>0</v>
      </c>
    </row>
    <row r="10" spans="2:124" ht="21" x14ac:dyDescent="0.5">
      <c r="C10" s="207" t="str">
        <f>'2.1 Trafikanter'!B8</f>
        <v>Trafikanter</v>
      </c>
      <c r="D10" s="1259" t="s">
        <v>1583</v>
      </c>
      <c r="E10" s="1259"/>
      <c r="F10" s="1259"/>
      <c r="G10" s="1259" t="s">
        <v>1584</v>
      </c>
      <c r="H10" s="1259"/>
      <c r="I10" s="1259"/>
      <c r="J10" s="1259" t="s">
        <v>1585</v>
      </c>
      <c r="K10" s="1259"/>
      <c r="L10" s="388" t="s">
        <v>1586</v>
      </c>
      <c r="M10" s="298" cm="1">
        <f t="array" ref="M10:DR10">SerieÅR</f>
        <v>-10</v>
      </c>
      <c r="N10" s="298">
        <v>-9</v>
      </c>
      <c r="O10" s="298">
        <v>-8</v>
      </c>
      <c r="P10" s="298">
        <v>-7</v>
      </c>
      <c r="Q10" s="298">
        <v>-6</v>
      </c>
      <c r="R10" s="298">
        <v>-5</v>
      </c>
      <c r="S10" s="298">
        <v>-4</v>
      </c>
      <c r="T10" s="298">
        <v>-3</v>
      </c>
      <c r="U10" s="298">
        <v>-2</v>
      </c>
      <c r="V10" s="298">
        <v>-1</v>
      </c>
      <c r="W10" s="298">
        <v>0</v>
      </c>
      <c r="X10" s="298">
        <v>1</v>
      </c>
      <c r="Y10" s="298">
        <v>2</v>
      </c>
      <c r="Z10" s="298">
        <v>3</v>
      </c>
      <c r="AA10" s="298">
        <v>4</v>
      </c>
      <c r="AB10" s="298">
        <v>5</v>
      </c>
      <c r="AC10" s="298">
        <v>6</v>
      </c>
      <c r="AD10" s="298">
        <v>7</v>
      </c>
      <c r="AE10" s="298">
        <v>8</v>
      </c>
      <c r="AF10" s="298">
        <v>9</v>
      </c>
      <c r="AG10" s="298">
        <v>10</v>
      </c>
      <c r="AH10" s="298">
        <v>11</v>
      </c>
      <c r="AI10" s="298">
        <v>12</v>
      </c>
      <c r="AJ10" s="298">
        <v>13</v>
      </c>
      <c r="AK10" s="298">
        <v>14</v>
      </c>
      <c r="AL10" s="298">
        <v>15</v>
      </c>
      <c r="AM10" s="298">
        <v>16</v>
      </c>
      <c r="AN10" s="298">
        <v>17</v>
      </c>
      <c r="AO10" s="298">
        <v>18</v>
      </c>
      <c r="AP10" s="298">
        <v>19</v>
      </c>
      <c r="AQ10" s="298">
        <v>20</v>
      </c>
      <c r="AR10" s="298">
        <v>21</v>
      </c>
      <c r="AS10" s="298">
        <v>22</v>
      </c>
      <c r="AT10" s="298">
        <v>23</v>
      </c>
      <c r="AU10" s="298">
        <v>24</v>
      </c>
      <c r="AV10" s="298">
        <v>25</v>
      </c>
      <c r="AW10" s="298">
        <v>26</v>
      </c>
      <c r="AX10" s="298">
        <v>27</v>
      </c>
      <c r="AY10" s="298">
        <v>28</v>
      </c>
      <c r="AZ10" s="298">
        <v>29</v>
      </c>
      <c r="BA10" s="298">
        <v>30</v>
      </c>
      <c r="BB10" s="298">
        <v>31</v>
      </c>
      <c r="BC10" s="298">
        <v>32</v>
      </c>
      <c r="BD10" s="298">
        <v>33</v>
      </c>
      <c r="BE10" s="298">
        <v>34</v>
      </c>
      <c r="BF10" s="298">
        <v>35</v>
      </c>
      <c r="BG10" s="298">
        <v>36</v>
      </c>
      <c r="BH10" s="298">
        <v>37</v>
      </c>
      <c r="BI10" s="298">
        <v>38</v>
      </c>
      <c r="BJ10" s="298">
        <v>39</v>
      </c>
      <c r="BK10" s="298">
        <v>40</v>
      </c>
      <c r="BL10" s="298">
        <v>41</v>
      </c>
      <c r="BM10" s="298">
        <v>42</v>
      </c>
      <c r="BN10" s="298">
        <v>43</v>
      </c>
      <c r="BO10" s="298">
        <v>44</v>
      </c>
      <c r="BP10" s="298">
        <v>45</v>
      </c>
      <c r="BQ10" s="298">
        <v>46</v>
      </c>
      <c r="BR10" s="298">
        <v>47</v>
      </c>
      <c r="BS10" s="298">
        <v>48</v>
      </c>
      <c r="BT10" s="298">
        <v>49</v>
      </c>
      <c r="BU10" s="298">
        <v>50</v>
      </c>
      <c r="BV10" s="298">
        <v>51</v>
      </c>
      <c r="BW10" s="298">
        <v>52</v>
      </c>
      <c r="BX10" s="298">
        <v>53</v>
      </c>
      <c r="BY10" s="298">
        <v>54</v>
      </c>
      <c r="BZ10" s="298">
        <v>55</v>
      </c>
      <c r="CA10" s="298">
        <v>56</v>
      </c>
      <c r="CB10" s="298">
        <v>57</v>
      </c>
      <c r="CC10" s="298">
        <v>58</v>
      </c>
      <c r="CD10" s="298">
        <v>59</v>
      </c>
      <c r="CE10" s="298">
        <v>60</v>
      </c>
      <c r="CF10" s="298">
        <v>61</v>
      </c>
      <c r="CG10" s="298">
        <v>62</v>
      </c>
      <c r="CH10" s="298">
        <v>63</v>
      </c>
      <c r="CI10" s="298">
        <v>64</v>
      </c>
      <c r="CJ10" s="298">
        <v>65</v>
      </c>
      <c r="CK10" s="298">
        <v>66</v>
      </c>
      <c r="CL10" s="298">
        <v>67</v>
      </c>
      <c r="CM10" s="298">
        <v>68</v>
      </c>
      <c r="CN10" s="298">
        <v>69</v>
      </c>
      <c r="CO10" s="298">
        <v>70</v>
      </c>
      <c r="CP10" s="298">
        <v>71</v>
      </c>
      <c r="CQ10" s="298">
        <v>72</v>
      </c>
      <c r="CR10" s="298">
        <v>73</v>
      </c>
      <c r="CS10" s="298">
        <v>74</v>
      </c>
      <c r="CT10" s="298">
        <v>75</v>
      </c>
      <c r="CU10" s="298">
        <v>76</v>
      </c>
      <c r="CV10" s="298">
        <v>77</v>
      </c>
      <c r="CW10" s="298">
        <v>78</v>
      </c>
      <c r="CX10" s="298">
        <v>79</v>
      </c>
      <c r="CY10" s="298">
        <v>80</v>
      </c>
      <c r="CZ10" s="298">
        <v>81</v>
      </c>
      <c r="DA10" s="298">
        <v>82</v>
      </c>
      <c r="DB10" s="298">
        <v>83</v>
      </c>
      <c r="DC10" s="298">
        <v>84</v>
      </c>
      <c r="DD10" s="298">
        <v>85</v>
      </c>
      <c r="DE10" s="298">
        <v>86</v>
      </c>
      <c r="DF10" s="298">
        <v>87</v>
      </c>
      <c r="DG10" s="298">
        <v>88</v>
      </c>
      <c r="DH10" s="298">
        <v>89</v>
      </c>
      <c r="DI10" s="298">
        <v>90</v>
      </c>
      <c r="DJ10" s="298">
        <v>91</v>
      </c>
      <c r="DK10" s="298">
        <v>92</v>
      </c>
      <c r="DL10" s="298">
        <v>93</v>
      </c>
      <c r="DM10" s="298">
        <v>94</v>
      </c>
      <c r="DN10" s="298">
        <v>95</v>
      </c>
      <c r="DO10" s="298">
        <v>96</v>
      </c>
      <c r="DP10" s="298">
        <v>97</v>
      </c>
      <c r="DQ10" s="298">
        <v>98</v>
      </c>
      <c r="DR10" s="298">
        <v>99</v>
      </c>
      <c r="DS10" s="298" t="s">
        <v>1587</v>
      </c>
      <c r="DT10" s="332" t="s">
        <v>1588</v>
      </c>
    </row>
    <row r="11" spans="2:124" x14ac:dyDescent="0.35">
      <c r="B11" s="6"/>
      <c r="C11" s="215" t="str">
        <f>'2.1 Trafikanter'!B9</f>
        <v>Togreisende</v>
      </c>
      <c r="D11" s="418">
        <f>FørsteBeregningsår</f>
        <v>0</v>
      </c>
      <c r="E11" s="1017">
        <f>IF(Antall_Beregningsår&gt;1,AndreBeregningsår," - ")</f>
        <v>0</v>
      </c>
      <c r="F11" s="1017">
        <f>IF(Antall_Beregningsår&gt;2,TredjeBeregningsår," - ")</f>
        <v>0</v>
      </c>
      <c r="G11" s="418">
        <f>FørsteBeregningsår</f>
        <v>0</v>
      </c>
      <c r="H11" s="1017">
        <f>IF(Antall_Beregningsår&gt;1,AndreBeregningsår," - ")</f>
        <v>0</v>
      </c>
      <c r="I11" s="1017">
        <f>IF(Antall_Beregningsår&gt;2,TredjeBeregningsår," - ")</f>
        <v>0</v>
      </c>
      <c r="J11" s="1017" t="str">
        <f>IF(Antall_Beregningsår&gt;1,FørsteBeregningsår&amp;" - "&amp;AndreBeregningsår," - ")</f>
        <v xml:space="preserve"> - </v>
      </c>
      <c r="K11" s="1017" t="str">
        <f>IF(Antall_Beregningsår&gt;2,AndreBeregningsår&amp;" - "&amp;TredjeBeregningsår," - ")</f>
        <v xml:space="preserve"> - </v>
      </c>
      <c r="L11" s="1018" t="str">
        <f>IF(Antall_Beregningsår&gt;2,TredjeBeregningsår&amp;" -&gt;"&amp;Åpningsår+ProsjektetsLevetid-1,IF(Antall_Beregningsår&gt;1,AndreBeregningsår&amp;" -&gt; "&amp;Åpningsår+ProsjektetsLevetid-1, "-"))</f>
        <v xml:space="preserve"> -&gt;-1</v>
      </c>
      <c r="M11" s="8"/>
      <c r="N11" s="8"/>
      <c r="O11" s="8"/>
      <c r="P11" s="8"/>
      <c r="Q11" s="8"/>
      <c r="R11" s="8"/>
      <c r="S11" s="8"/>
      <c r="T11" s="8"/>
      <c r="U11" s="8"/>
      <c r="V11" s="8"/>
      <c r="W11" s="8"/>
      <c r="X11" s="8"/>
      <c r="Y11" s="8"/>
      <c r="Z11" s="8"/>
      <c r="AA11" s="8"/>
      <c r="AB11" s="8"/>
      <c r="AC11" s="8"/>
      <c r="AD11" s="8"/>
      <c r="AE11" s="8"/>
      <c r="AF11" s="8"/>
      <c r="AG11" s="8"/>
      <c r="AH11" s="8"/>
      <c r="AI11" s="8"/>
      <c r="AJ11" s="8"/>
      <c r="AK11" s="8"/>
      <c r="AL11" s="8"/>
      <c r="AM11" s="8"/>
      <c r="AN11" s="8"/>
      <c r="AO11" s="8"/>
      <c r="AP11" s="8"/>
      <c r="AQ11" s="8"/>
      <c r="AR11" s="8"/>
      <c r="AS11" s="8"/>
      <c r="AT11" s="8"/>
      <c r="AU11" s="8"/>
      <c r="AV11" s="8"/>
      <c r="AW11" s="8"/>
      <c r="AX11" s="8"/>
      <c r="AY11" s="8"/>
      <c r="AZ11" s="8"/>
      <c r="BA11" s="8"/>
      <c r="BB11" s="8"/>
      <c r="BC11" s="8"/>
      <c r="BD11" s="8"/>
      <c r="BE11" s="8"/>
      <c r="BF11" s="8"/>
      <c r="BG11" s="8"/>
      <c r="BH11" s="8"/>
      <c r="BI11" s="8"/>
      <c r="BJ11" s="8"/>
      <c r="BK11" s="8"/>
      <c r="BL11" s="8"/>
      <c r="BM11" s="8"/>
      <c r="BN11" s="8"/>
      <c r="BO11" s="8"/>
      <c r="BP11" s="8"/>
      <c r="BQ11" s="8"/>
      <c r="BR11" s="8"/>
      <c r="BS11" s="8"/>
      <c r="BT11" s="8"/>
      <c r="BU11" s="8"/>
      <c r="BV11" s="8"/>
      <c r="BW11" s="8"/>
      <c r="BX11" s="8"/>
      <c r="BY11" s="8"/>
      <c r="BZ11" s="8"/>
      <c r="CA11" s="8"/>
      <c r="CB11" s="8"/>
      <c r="CC11" s="8"/>
      <c r="CD11" s="8"/>
      <c r="CE11" s="8"/>
      <c r="CF11" s="8"/>
      <c r="CG11" s="8"/>
      <c r="CH11" s="8"/>
      <c r="CI11" s="8"/>
      <c r="CJ11" s="8"/>
      <c r="CK11" s="8"/>
      <c r="CL11" s="8"/>
      <c r="CM11" s="8"/>
      <c r="CN11" s="8"/>
      <c r="CO11" s="8"/>
      <c r="CP11" s="8"/>
      <c r="CQ11" s="8"/>
      <c r="CR11" s="8"/>
      <c r="CS11" s="8"/>
      <c r="CT11" s="8"/>
      <c r="CU11" s="8"/>
      <c r="CV11" s="8"/>
      <c r="CW11" s="8"/>
      <c r="CX11" s="8"/>
      <c r="CY11" s="8"/>
      <c r="CZ11" s="8"/>
      <c r="DA11" s="8"/>
      <c r="DB11" s="8"/>
      <c r="DC11" s="8"/>
      <c r="DD11" s="8"/>
      <c r="DE11" s="8"/>
      <c r="DF11" s="8"/>
      <c r="DG11" s="8"/>
      <c r="DH11" s="8"/>
      <c r="DI11" s="8"/>
      <c r="DJ11" s="8"/>
      <c r="DK11" s="8"/>
      <c r="DL11" s="8"/>
      <c r="DM11" s="8"/>
      <c r="DN11" s="8"/>
      <c r="DO11" s="8"/>
      <c r="DP11" s="8"/>
      <c r="DQ11" s="8"/>
      <c r="DR11" s="8"/>
      <c r="DS11" s="8"/>
      <c r="DT11" s="259"/>
    </row>
    <row r="12" spans="2:124" x14ac:dyDescent="0.35">
      <c r="B12" s="6"/>
      <c r="C12" s="218" t="str">
        <f>'2.1 Trafikanter'!B10</f>
        <v>Trafikantnytte, referanse</v>
      </c>
      <c r="D12" s="463">
        <f>'2.1 Trafikanter'!C$11</f>
        <v>0</v>
      </c>
      <c r="E12" s="463">
        <f>'2.1 Trafikanter'!D$11</f>
        <v>0</v>
      </c>
      <c r="F12" s="463">
        <f>'2.1 Trafikanter'!E$11</f>
        <v>0</v>
      </c>
      <c r="G12" s="463"/>
      <c r="H12" s="463"/>
      <c r="I12" s="463"/>
      <c r="J12" s="790">
        <f>IF(Antall_Beregningsår&lt;2,1,IF(AND(D12=0,E12=0),1,IF(SIGN(D12)=SIGN(E12),(E12/D12)^(1/(AndreBeregningsår-FørsteBeregningsår)),((E12+1.1*ABS(D12-E12))/(D12+1.1*ABS(D12-E12)))^(1/(AndreBeregningsår-FørsteBeregningsår)))))</f>
        <v>1</v>
      </c>
      <c r="K12" s="790">
        <f>IF(Antall_Beregningsår&lt;3,1,IF(AND(E12=0,F12=0),1,IF(SIGN(E12)=SIGN(F12),(F12/E12)^(1/(TredjeBeregningsår-AndreBeregningsår)),((F12+1.1*ABS(E12-F12))/(E12+1.1*ABS(E12-F12)))^(1/(TredjeBeregningsår-AndreBeregningsår)))))</f>
        <v>1</v>
      </c>
      <c r="L12" s="752">
        <f>IF(Framskrivning="Lineær trend",IF(Antall_Beregningsår&gt;2,(F12-E12)/(TredjeBeregningsår-AndreBeregningsår),IF(Antall_Beregningsår&gt;1,(E12-D12)/(AndreBeregningsår-FørsteBeregningsår),0)),0)</f>
        <v>0</v>
      </c>
      <c r="M12" s="712"/>
      <c r="N12" s="712"/>
      <c r="O12" s="712"/>
      <c r="P12" s="712"/>
      <c r="Q12" s="712"/>
      <c r="R12" s="712"/>
      <c r="S12" s="712"/>
      <c r="T12" s="712"/>
      <c r="U12" s="712"/>
      <c r="V12" s="712"/>
      <c r="W12" s="463" t="str">
        <f t="shared" ref="W12:BB12" ca="1" si="0">IF(W$10&lt;=(Åpningsår+ProsjektetsLevetid-1),IF(W10&lt;=AndreBeregningsår,IF(SIGN($D12)=SIGN($E12),$D12*$J12^(W10-FørsteBeregningsår),($D12+1.1*ABS($D12-$E12))*$J12^(W10-FørsteBeregningsår)-1.1*ABS($D12-$E12)),IF(W10&lt;=TredjeBeregningsår,IF(SIGN($E12)=SIGN($F12),$E12*$K12^(W10-AndreBeregningsår),($E12+1.1*ABS($E12-$F12))*$K12^(W10-AndreBeregningsår)-1.1*ABS($E12-$F12)),OFFSET($D12,0,Antall_Beregningsår-1)*LOOKUP(W10,SerieÅR,SerieVolumvekstperson)+$L12*(W10-IF(Antall_Beregningsår&gt;2,TredjeBeregningsår,AndreBeregningsår))))*KPIJustering_Tid*LOOKUP(W10,SerieÅR,SerieRealprisjustering_Tid),"")</f>
        <v/>
      </c>
      <c r="X12" s="463" t="str">
        <f t="shared" ca="1" si="0"/>
        <v/>
      </c>
      <c r="Y12" s="463" t="str">
        <f t="shared" ca="1" si="0"/>
        <v/>
      </c>
      <c r="Z12" s="463" t="str">
        <f t="shared" ca="1" si="0"/>
        <v/>
      </c>
      <c r="AA12" s="463" t="str">
        <f t="shared" ca="1" si="0"/>
        <v/>
      </c>
      <c r="AB12" s="463" t="str">
        <f t="shared" ca="1" si="0"/>
        <v/>
      </c>
      <c r="AC12" s="463" t="str">
        <f t="shared" ca="1" si="0"/>
        <v/>
      </c>
      <c r="AD12" s="463" t="str">
        <f t="shared" ca="1" si="0"/>
        <v/>
      </c>
      <c r="AE12" s="463" t="str">
        <f t="shared" ca="1" si="0"/>
        <v/>
      </c>
      <c r="AF12" s="463" t="str">
        <f t="shared" ca="1" si="0"/>
        <v/>
      </c>
      <c r="AG12" s="463" t="str">
        <f t="shared" ca="1" si="0"/>
        <v/>
      </c>
      <c r="AH12" s="463" t="str">
        <f t="shared" ca="1" si="0"/>
        <v/>
      </c>
      <c r="AI12" s="463" t="str">
        <f t="shared" ca="1" si="0"/>
        <v/>
      </c>
      <c r="AJ12" s="463" t="str">
        <f t="shared" ca="1" si="0"/>
        <v/>
      </c>
      <c r="AK12" s="463" t="str">
        <f t="shared" ca="1" si="0"/>
        <v/>
      </c>
      <c r="AL12" s="463" t="str">
        <f t="shared" ca="1" si="0"/>
        <v/>
      </c>
      <c r="AM12" s="463" t="str">
        <f t="shared" ca="1" si="0"/>
        <v/>
      </c>
      <c r="AN12" s="463" t="str">
        <f t="shared" ca="1" si="0"/>
        <v/>
      </c>
      <c r="AO12" s="463" t="str">
        <f t="shared" ca="1" si="0"/>
        <v/>
      </c>
      <c r="AP12" s="463" t="str">
        <f t="shared" ca="1" si="0"/>
        <v/>
      </c>
      <c r="AQ12" s="463" t="str">
        <f t="shared" ca="1" si="0"/>
        <v/>
      </c>
      <c r="AR12" s="463" t="str">
        <f t="shared" ca="1" si="0"/>
        <v/>
      </c>
      <c r="AS12" s="463" t="str">
        <f t="shared" ca="1" si="0"/>
        <v/>
      </c>
      <c r="AT12" s="463" t="str">
        <f t="shared" ca="1" si="0"/>
        <v/>
      </c>
      <c r="AU12" s="463" t="str">
        <f t="shared" ca="1" si="0"/>
        <v/>
      </c>
      <c r="AV12" s="463" t="str">
        <f t="shared" ca="1" si="0"/>
        <v/>
      </c>
      <c r="AW12" s="463" t="str">
        <f t="shared" ca="1" si="0"/>
        <v/>
      </c>
      <c r="AX12" s="463" t="str">
        <f t="shared" ca="1" si="0"/>
        <v/>
      </c>
      <c r="AY12" s="463" t="str">
        <f t="shared" ca="1" si="0"/>
        <v/>
      </c>
      <c r="AZ12" s="463" t="str">
        <f t="shared" ca="1" si="0"/>
        <v/>
      </c>
      <c r="BA12" s="463" t="str">
        <f t="shared" ca="1" si="0"/>
        <v/>
      </c>
      <c r="BB12" s="463" t="str">
        <f t="shared" ca="1" si="0"/>
        <v/>
      </c>
      <c r="BC12" s="463" t="str">
        <f t="shared" ref="BC12:CH12" ca="1" si="1">IF(BC$10&lt;=(Åpningsår+ProsjektetsLevetid-1),IF(BC10&lt;=AndreBeregningsår,IF(SIGN($D12)=SIGN($E12),$D12*$J12^(BC10-FørsteBeregningsår),($D12+1.1*ABS($D12-$E12))*$J12^(BC10-FørsteBeregningsår)-1.1*ABS($D12-$E12)),IF(BC10&lt;=TredjeBeregningsår,IF(SIGN($E12)=SIGN($F12),$E12*$K12^(BC10-AndreBeregningsår),($E12+1.1*ABS($E12-$F12))*$K12^(BC10-AndreBeregningsår)-1.1*ABS($E12-$F12)),OFFSET($D12,0,Antall_Beregningsår-1)*LOOKUP(BC10,SerieÅR,SerieVolumvekstperson)+$L12*(BC10-IF(Antall_Beregningsår&gt;2,TredjeBeregningsår,AndreBeregningsår))))*KPIJustering_Tid*LOOKUP(BC10,SerieÅR,SerieRealprisjustering_Tid),"")</f>
        <v/>
      </c>
      <c r="BD12" s="463" t="str">
        <f t="shared" ca="1" si="1"/>
        <v/>
      </c>
      <c r="BE12" s="463" t="str">
        <f t="shared" ca="1" si="1"/>
        <v/>
      </c>
      <c r="BF12" s="463" t="str">
        <f t="shared" ca="1" si="1"/>
        <v/>
      </c>
      <c r="BG12" s="463" t="str">
        <f t="shared" ca="1" si="1"/>
        <v/>
      </c>
      <c r="BH12" s="463" t="str">
        <f t="shared" ca="1" si="1"/>
        <v/>
      </c>
      <c r="BI12" s="463" t="str">
        <f t="shared" ca="1" si="1"/>
        <v/>
      </c>
      <c r="BJ12" s="463" t="str">
        <f t="shared" ca="1" si="1"/>
        <v/>
      </c>
      <c r="BK12" s="463" t="str">
        <f t="shared" ca="1" si="1"/>
        <v/>
      </c>
      <c r="BL12" s="463" t="str">
        <f t="shared" ca="1" si="1"/>
        <v/>
      </c>
      <c r="BM12" s="463" t="str">
        <f t="shared" ca="1" si="1"/>
        <v/>
      </c>
      <c r="BN12" s="463" t="str">
        <f t="shared" ca="1" si="1"/>
        <v/>
      </c>
      <c r="BO12" s="463" t="str">
        <f t="shared" ca="1" si="1"/>
        <v/>
      </c>
      <c r="BP12" s="463" t="str">
        <f t="shared" ca="1" si="1"/>
        <v/>
      </c>
      <c r="BQ12" s="463" t="str">
        <f t="shared" ca="1" si="1"/>
        <v/>
      </c>
      <c r="BR12" s="463" t="str">
        <f t="shared" ca="1" si="1"/>
        <v/>
      </c>
      <c r="BS12" s="463" t="str">
        <f t="shared" ca="1" si="1"/>
        <v/>
      </c>
      <c r="BT12" s="463" t="str">
        <f t="shared" ca="1" si="1"/>
        <v/>
      </c>
      <c r="BU12" s="463" t="str">
        <f t="shared" ca="1" si="1"/>
        <v/>
      </c>
      <c r="BV12" s="463" t="str">
        <f t="shared" ca="1" si="1"/>
        <v/>
      </c>
      <c r="BW12" s="463" t="str">
        <f t="shared" ca="1" si="1"/>
        <v/>
      </c>
      <c r="BX12" s="463" t="str">
        <f t="shared" ca="1" si="1"/>
        <v/>
      </c>
      <c r="BY12" s="463" t="str">
        <f t="shared" ca="1" si="1"/>
        <v/>
      </c>
      <c r="BZ12" s="463" t="str">
        <f t="shared" ca="1" si="1"/>
        <v/>
      </c>
      <c r="CA12" s="463" t="str">
        <f t="shared" ca="1" si="1"/>
        <v/>
      </c>
      <c r="CB12" s="463" t="str">
        <f t="shared" ca="1" si="1"/>
        <v/>
      </c>
      <c r="CC12" s="463" t="str">
        <f t="shared" ca="1" si="1"/>
        <v/>
      </c>
      <c r="CD12" s="463" t="str">
        <f t="shared" ca="1" si="1"/>
        <v/>
      </c>
      <c r="CE12" s="463" t="str">
        <f t="shared" ca="1" si="1"/>
        <v/>
      </c>
      <c r="CF12" s="463" t="str">
        <f t="shared" ca="1" si="1"/>
        <v/>
      </c>
      <c r="CG12" s="463" t="str">
        <f t="shared" ca="1" si="1"/>
        <v/>
      </c>
      <c r="CH12" s="463" t="str">
        <f t="shared" ca="1" si="1"/>
        <v/>
      </c>
      <c r="CI12" s="463" t="str">
        <f t="shared" ref="CI12:DR12" ca="1" si="2">IF(CI$10&lt;=(Åpningsår+ProsjektetsLevetid-1),IF(CI10&lt;=AndreBeregningsår,IF(SIGN($D12)=SIGN($E12),$D12*$J12^(CI10-FørsteBeregningsår),($D12+1.1*ABS($D12-$E12))*$J12^(CI10-FørsteBeregningsår)-1.1*ABS($D12-$E12)),IF(CI10&lt;=TredjeBeregningsår,IF(SIGN($E12)=SIGN($F12),$E12*$K12^(CI10-AndreBeregningsår),($E12+1.1*ABS($E12-$F12))*$K12^(CI10-AndreBeregningsår)-1.1*ABS($E12-$F12)),OFFSET($D12,0,Antall_Beregningsår-1)*LOOKUP(CI10,SerieÅR,SerieVolumvekstperson)+$L12*(CI10-IF(Antall_Beregningsår&gt;2,TredjeBeregningsår,AndreBeregningsår))))*KPIJustering_Tid*LOOKUP(CI10,SerieÅR,SerieRealprisjustering_Tid),"")</f>
        <v/>
      </c>
      <c r="CJ12" s="463" t="str">
        <f t="shared" ca="1" si="2"/>
        <v/>
      </c>
      <c r="CK12" s="463" t="str">
        <f t="shared" ca="1" si="2"/>
        <v/>
      </c>
      <c r="CL12" s="463" t="str">
        <f t="shared" ca="1" si="2"/>
        <v/>
      </c>
      <c r="CM12" s="463" t="str">
        <f t="shared" ca="1" si="2"/>
        <v/>
      </c>
      <c r="CN12" s="463" t="str">
        <f t="shared" ca="1" si="2"/>
        <v/>
      </c>
      <c r="CO12" s="463" t="str">
        <f t="shared" ca="1" si="2"/>
        <v/>
      </c>
      <c r="CP12" s="463" t="str">
        <f t="shared" ca="1" si="2"/>
        <v/>
      </c>
      <c r="CQ12" s="463" t="str">
        <f t="shared" ca="1" si="2"/>
        <v/>
      </c>
      <c r="CR12" s="463" t="str">
        <f t="shared" ca="1" si="2"/>
        <v/>
      </c>
      <c r="CS12" s="463" t="str">
        <f t="shared" ca="1" si="2"/>
        <v/>
      </c>
      <c r="CT12" s="463" t="str">
        <f t="shared" ca="1" si="2"/>
        <v/>
      </c>
      <c r="CU12" s="463" t="str">
        <f t="shared" ca="1" si="2"/>
        <v/>
      </c>
      <c r="CV12" s="463" t="str">
        <f t="shared" ca="1" si="2"/>
        <v/>
      </c>
      <c r="CW12" s="463" t="str">
        <f t="shared" ca="1" si="2"/>
        <v/>
      </c>
      <c r="CX12" s="463" t="str">
        <f t="shared" ca="1" si="2"/>
        <v/>
      </c>
      <c r="CY12" s="463" t="str">
        <f t="shared" ca="1" si="2"/>
        <v/>
      </c>
      <c r="CZ12" s="463" t="str">
        <f t="shared" ca="1" si="2"/>
        <v/>
      </c>
      <c r="DA12" s="463" t="str">
        <f t="shared" ca="1" si="2"/>
        <v/>
      </c>
      <c r="DB12" s="463" t="str">
        <f t="shared" ca="1" si="2"/>
        <v/>
      </c>
      <c r="DC12" s="463" t="str">
        <f t="shared" ca="1" si="2"/>
        <v/>
      </c>
      <c r="DD12" s="463" t="str">
        <f t="shared" ca="1" si="2"/>
        <v/>
      </c>
      <c r="DE12" s="463" t="str">
        <f t="shared" ca="1" si="2"/>
        <v/>
      </c>
      <c r="DF12" s="463" t="str">
        <f t="shared" ca="1" si="2"/>
        <v/>
      </c>
      <c r="DG12" s="463" t="str">
        <f t="shared" ca="1" si="2"/>
        <v/>
      </c>
      <c r="DH12" s="463" t="str">
        <f t="shared" ca="1" si="2"/>
        <v/>
      </c>
      <c r="DI12" s="463" t="str">
        <f t="shared" ca="1" si="2"/>
        <v/>
      </c>
      <c r="DJ12" s="463" t="str">
        <f t="shared" ca="1" si="2"/>
        <v/>
      </c>
      <c r="DK12" s="463" t="str">
        <f t="shared" ca="1" si="2"/>
        <v/>
      </c>
      <c r="DL12" s="463" t="str">
        <f t="shared" ca="1" si="2"/>
        <v/>
      </c>
      <c r="DM12" s="463" t="str">
        <f t="shared" ca="1" si="2"/>
        <v/>
      </c>
      <c r="DN12" s="463" t="str">
        <f t="shared" ca="1" si="2"/>
        <v/>
      </c>
      <c r="DO12" s="463" t="str">
        <f t="shared" ca="1" si="2"/>
        <v/>
      </c>
      <c r="DP12" s="463" t="str">
        <f t="shared" ca="1" si="2"/>
        <v/>
      </c>
      <c r="DQ12" s="463" t="str">
        <f t="shared" ca="1" si="2"/>
        <v/>
      </c>
      <c r="DR12" s="463" t="str">
        <f t="shared" ca="1" si="2"/>
        <v/>
      </c>
      <c r="DS12" s="801">
        <f ca="1">SUMPRODUCT(('1.5 Prognoser og indekser'!$R$12:OFFSET('1.5 Prognoser og indekser'!$R$12,0,$DS$9)),($M12:OFFSET($M12,0,$DS$9)))</f>
        <v>0</v>
      </c>
      <c r="DT12" s="802">
        <f ca="1">IF($DT$9&lt;1,0,SUMPRODUCT(OFFSET('1.5 Prognoser og indekser'!$R$12,0,$DS$9+1,1,$DT$9),OFFSET($M12,0,$DS$9+1,1,$DT$9)))</f>
        <v>0</v>
      </c>
    </row>
    <row r="13" spans="2:124" x14ac:dyDescent="0.35">
      <c r="B13" s="6"/>
      <c r="C13" s="218" t="str">
        <f>CONCATENATE("Trafikantnytte, overført"," ",'2.1 Trafikanter'!B13)</f>
        <v>Trafikantnytte, overført Personbil</v>
      </c>
      <c r="D13" s="463">
        <f>'2.1 Trafikanter'!C$13</f>
        <v>0</v>
      </c>
      <c r="E13" s="770">
        <f>'2.1 Trafikanter'!D$13</f>
        <v>0</v>
      </c>
      <c r="F13" s="770">
        <f>'2.1 Trafikanter'!E$13</f>
        <v>0</v>
      </c>
      <c r="G13" s="770"/>
      <c r="H13" s="770"/>
      <c r="I13" s="770"/>
      <c r="J13" s="790">
        <f>IF(Antall_Beregningsår&lt;2,1,IF(AND(D13=0,E13=0),1,IF(SIGN(D13)=SIGN(E13),(E13/D13)^(1/(AndreBeregningsår-FørsteBeregningsår)),((E13+1.1*ABS(D13-E13))/(D13+1.1*ABS(D13-E13)))^(1/(AndreBeregningsår-FørsteBeregningsår)))))</f>
        <v>1</v>
      </c>
      <c r="K13" s="790">
        <f>IF(Antall_Beregningsår&lt;3,1,IF(AND(E13=0,F13=0),1,IF(SIGN(E13)=SIGN(F13),(F13/E13)^(1/(TredjeBeregningsår-AndreBeregningsår)),((F13+1.1*ABS(E13-F13))/(E13+1.1*ABS(E13-F13)))^(1/(TredjeBeregningsår-AndreBeregningsår)))))</f>
        <v>1</v>
      </c>
      <c r="L13" s="752">
        <f>IF(Framskrivning="Lineær trend",IF(Antall_Beregningsår&gt;2,(F13-E13)/(TredjeBeregningsår-AndreBeregningsår),IF(Antall_Beregningsår&gt;1,(E13-D13)/(AndreBeregningsår-FørsteBeregningsår),0)),0)</f>
        <v>0</v>
      </c>
      <c r="M13" s="712"/>
      <c r="N13" s="712"/>
      <c r="O13" s="712"/>
      <c r="P13" s="712"/>
      <c r="Q13" s="712"/>
      <c r="R13" s="712"/>
      <c r="S13" s="712"/>
      <c r="T13" s="712"/>
      <c r="U13" s="712"/>
      <c r="V13" s="712"/>
      <c r="W13" s="463" t="str">
        <f t="shared" ref="W13:BB13" ca="1" si="3">IF(W$10&lt;=(Åpningsår+ProsjektetsLevetid-1),IF(W10&lt;=AndreBeregningsår,IF(SIGN($D13)=SIGN($E13),$D13*$J13^(W10-FørsteBeregningsår),($D13+1.1*ABS($D13-$E13))*$J13^(W10-FørsteBeregningsår)-1.1*ABS($D13-$E13)),IF(W10&lt;=TredjeBeregningsår,IF(SIGN($E13)=SIGN($F13),$E13*$K13^(W10-AndreBeregningsår),($E13+1.1*ABS($E13-$F13))*$K13^(W10-AndreBeregningsår)-1.1*ABS($E13-$F13)),OFFSET($D13,0,Antall_Beregningsår-1)*LOOKUP(W10,SerieÅR,SerieVolumvekstperson)+$L13*(W10-IF(Antall_Beregningsår&gt;2,TredjeBeregningsår,AndreBeregningsår))))*KPIJustering_Tid*LOOKUP(W10,SerieÅR,SerieRealprisjustering_Tid),"")</f>
        <v/>
      </c>
      <c r="X13" s="463" t="str">
        <f t="shared" ca="1" si="3"/>
        <v/>
      </c>
      <c r="Y13" s="463" t="str">
        <f t="shared" ca="1" si="3"/>
        <v/>
      </c>
      <c r="Z13" s="463" t="str">
        <f t="shared" ca="1" si="3"/>
        <v/>
      </c>
      <c r="AA13" s="463" t="str">
        <f t="shared" ca="1" si="3"/>
        <v/>
      </c>
      <c r="AB13" s="463" t="str">
        <f t="shared" ca="1" si="3"/>
        <v/>
      </c>
      <c r="AC13" s="463" t="str">
        <f t="shared" ca="1" si="3"/>
        <v/>
      </c>
      <c r="AD13" s="463" t="str">
        <f t="shared" ca="1" si="3"/>
        <v/>
      </c>
      <c r="AE13" s="463" t="str">
        <f t="shared" ca="1" si="3"/>
        <v/>
      </c>
      <c r="AF13" s="463" t="str">
        <f t="shared" ca="1" si="3"/>
        <v/>
      </c>
      <c r="AG13" s="463" t="str">
        <f t="shared" ca="1" si="3"/>
        <v/>
      </c>
      <c r="AH13" s="463" t="str">
        <f t="shared" ca="1" si="3"/>
        <v/>
      </c>
      <c r="AI13" s="463" t="str">
        <f t="shared" ca="1" si="3"/>
        <v/>
      </c>
      <c r="AJ13" s="463" t="str">
        <f t="shared" ca="1" si="3"/>
        <v/>
      </c>
      <c r="AK13" s="463" t="str">
        <f t="shared" ca="1" si="3"/>
        <v/>
      </c>
      <c r="AL13" s="463" t="str">
        <f t="shared" ca="1" si="3"/>
        <v/>
      </c>
      <c r="AM13" s="463" t="str">
        <f t="shared" ca="1" si="3"/>
        <v/>
      </c>
      <c r="AN13" s="463" t="str">
        <f t="shared" ca="1" si="3"/>
        <v/>
      </c>
      <c r="AO13" s="463" t="str">
        <f t="shared" ca="1" si="3"/>
        <v/>
      </c>
      <c r="AP13" s="463" t="str">
        <f t="shared" ca="1" si="3"/>
        <v/>
      </c>
      <c r="AQ13" s="463" t="str">
        <f t="shared" ca="1" si="3"/>
        <v/>
      </c>
      <c r="AR13" s="463" t="str">
        <f t="shared" ca="1" si="3"/>
        <v/>
      </c>
      <c r="AS13" s="463" t="str">
        <f t="shared" ca="1" si="3"/>
        <v/>
      </c>
      <c r="AT13" s="463" t="str">
        <f t="shared" ca="1" si="3"/>
        <v/>
      </c>
      <c r="AU13" s="463" t="str">
        <f t="shared" ca="1" si="3"/>
        <v/>
      </c>
      <c r="AV13" s="463" t="str">
        <f t="shared" ca="1" si="3"/>
        <v/>
      </c>
      <c r="AW13" s="463" t="str">
        <f t="shared" ca="1" si="3"/>
        <v/>
      </c>
      <c r="AX13" s="463" t="str">
        <f t="shared" ca="1" si="3"/>
        <v/>
      </c>
      <c r="AY13" s="463" t="str">
        <f t="shared" ca="1" si="3"/>
        <v/>
      </c>
      <c r="AZ13" s="463" t="str">
        <f t="shared" ca="1" si="3"/>
        <v/>
      </c>
      <c r="BA13" s="463" t="str">
        <f t="shared" ca="1" si="3"/>
        <v/>
      </c>
      <c r="BB13" s="463" t="str">
        <f t="shared" ca="1" si="3"/>
        <v/>
      </c>
      <c r="BC13" s="463" t="str">
        <f t="shared" ref="BC13:CH13" ca="1" si="4">IF(BC$10&lt;=(Åpningsår+ProsjektetsLevetid-1),IF(BC10&lt;=AndreBeregningsår,IF(SIGN($D13)=SIGN($E13),$D13*$J13^(BC10-FørsteBeregningsår),($D13+1.1*ABS($D13-$E13))*$J13^(BC10-FørsteBeregningsår)-1.1*ABS($D13-$E13)),IF(BC10&lt;=TredjeBeregningsår,IF(SIGN($E13)=SIGN($F13),$E13*$K13^(BC10-AndreBeregningsår),($E13+1.1*ABS($E13-$F13))*$K13^(BC10-AndreBeregningsår)-1.1*ABS($E13-$F13)),OFFSET($D13,0,Antall_Beregningsår-1)*LOOKUP(BC10,SerieÅR,SerieVolumvekstperson)+$L13*(BC10-IF(Antall_Beregningsår&gt;2,TredjeBeregningsår,AndreBeregningsår))))*KPIJustering_Tid*LOOKUP(BC10,SerieÅR,SerieRealprisjustering_Tid),"")</f>
        <v/>
      </c>
      <c r="BD13" s="463" t="str">
        <f t="shared" ca="1" si="4"/>
        <v/>
      </c>
      <c r="BE13" s="463" t="str">
        <f t="shared" ca="1" si="4"/>
        <v/>
      </c>
      <c r="BF13" s="463" t="str">
        <f t="shared" ca="1" si="4"/>
        <v/>
      </c>
      <c r="BG13" s="463" t="str">
        <f t="shared" ca="1" si="4"/>
        <v/>
      </c>
      <c r="BH13" s="463" t="str">
        <f t="shared" ca="1" si="4"/>
        <v/>
      </c>
      <c r="BI13" s="463" t="str">
        <f t="shared" ca="1" si="4"/>
        <v/>
      </c>
      <c r="BJ13" s="463" t="str">
        <f t="shared" ca="1" si="4"/>
        <v/>
      </c>
      <c r="BK13" s="463" t="str">
        <f t="shared" ca="1" si="4"/>
        <v/>
      </c>
      <c r="BL13" s="463" t="str">
        <f t="shared" ca="1" si="4"/>
        <v/>
      </c>
      <c r="BM13" s="463" t="str">
        <f t="shared" ca="1" si="4"/>
        <v/>
      </c>
      <c r="BN13" s="463" t="str">
        <f t="shared" ca="1" si="4"/>
        <v/>
      </c>
      <c r="BO13" s="463" t="str">
        <f t="shared" ca="1" si="4"/>
        <v/>
      </c>
      <c r="BP13" s="463" t="str">
        <f t="shared" ca="1" si="4"/>
        <v/>
      </c>
      <c r="BQ13" s="463" t="str">
        <f t="shared" ca="1" si="4"/>
        <v/>
      </c>
      <c r="BR13" s="463" t="str">
        <f t="shared" ca="1" si="4"/>
        <v/>
      </c>
      <c r="BS13" s="463" t="str">
        <f t="shared" ca="1" si="4"/>
        <v/>
      </c>
      <c r="BT13" s="463" t="str">
        <f t="shared" ca="1" si="4"/>
        <v/>
      </c>
      <c r="BU13" s="463" t="str">
        <f t="shared" ca="1" si="4"/>
        <v/>
      </c>
      <c r="BV13" s="463" t="str">
        <f t="shared" ca="1" si="4"/>
        <v/>
      </c>
      <c r="BW13" s="463" t="str">
        <f t="shared" ca="1" si="4"/>
        <v/>
      </c>
      <c r="BX13" s="463" t="str">
        <f t="shared" ca="1" si="4"/>
        <v/>
      </c>
      <c r="BY13" s="463" t="str">
        <f t="shared" ca="1" si="4"/>
        <v/>
      </c>
      <c r="BZ13" s="463" t="str">
        <f t="shared" ca="1" si="4"/>
        <v/>
      </c>
      <c r="CA13" s="463" t="str">
        <f t="shared" ca="1" si="4"/>
        <v/>
      </c>
      <c r="CB13" s="463" t="str">
        <f t="shared" ca="1" si="4"/>
        <v/>
      </c>
      <c r="CC13" s="463" t="str">
        <f t="shared" ca="1" si="4"/>
        <v/>
      </c>
      <c r="CD13" s="463" t="str">
        <f t="shared" ca="1" si="4"/>
        <v/>
      </c>
      <c r="CE13" s="463" t="str">
        <f t="shared" ca="1" si="4"/>
        <v/>
      </c>
      <c r="CF13" s="463" t="str">
        <f t="shared" ca="1" si="4"/>
        <v/>
      </c>
      <c r="CG13" s="463" t="str">
        <f t="shared" ca="1" si="4"/>
        <v/>
      </c>
      <c r="CH13" s="463" t="str">
        <f t="shared" ca="1" si="4"/>
        <v/>
      </c>
      <c r="CI13" s="463" t="str">
        <f t="shared" ref="CI13:DR13" ca="1" si="5">IF(CI$10&lt;=(Åpningsår+ProsjektetsLevetid-1),IF(CI10&lt;=AndreBeregningsår,IF(SIGN($D13)=SIGN($E13),$D13*$J13^(CI10-FørsteBeregningsår),($D13+1.1*ABS($D13-$E13))*$J13^(CI10-FørsteBeregningsår)-1.1*ABS($D13-$E13)),IF(CI10&lt;=TredjeBeregningsår,IF(SIGN($E13)=SIGN($F13),$E13*$K13^(CI10-AndreBeregningsår),($E13+1.1*ABS($E13-$F13))*$K13^(CI10-AndreBeregningsår)-1.1*ABS($E13-$F13)),OFFSET($D13,0,Antall_Beregningsår-1)*LOOKUP(CI10,SerieÅR,SerieVolumvekstperson)+$L13*(CI10-IF(Antall_Beregningsår&gt;2,TredjeBeregningsår,AndreBeregningsår))))*KPIJustering_Tid*LOOKUP(CI10,SerieÅR,SerieRealprisjustering_Tid),"")</f>
        <v/>
      </c>
      <c r="CJ13" s="463" t="str">
        <f t="shared" ca="1" si="5"/>
        <v/>
      </c>
      <c r="CK13" s="463" t="str">
        <f t="shared" ca="1" si="5"/>
        <v/>
      </c>
      <c r="CL13" s="463" t="str">
        <f t="shared" ca="1" si="5"/>
        <v/>
      </c>
      <c r="CM13" s="463" t="str">
        <f t="shared" ca="1" si="5"/>
        <v/>
      </c>
      <c r="CN13" s="463" t="str">
        <f t="shared" ca="1" si="5"/>
        <v/>
      </c>
      <c r="CO13" s="463" t="str">
        <f t="shared" ca="1" si="5"/>
        <v/>
      </c>
      <c r="CP13" s="463" t="str">
        <f t="shared" ca="1" si="5"/>
        <v/>
      </c>
      <c r="CQ13" s="463" t="str">
        <f t="shared" ca="1" si="5"/>
        <v/>
      </c>
      <c r="CR13" s="463" t="str">
        <f t="shared" ca="1" si="5"/>
        <v/>
      </c>
      <c r="CS13" s="463" t="str">
        <f t="shared" ca="1" si="5"/>
        <v/>
      </c>
      <c r="CT13" s="463" t="str">
        <f t="shared" ca="1" si="5"/>
        <v/>
      </c>
      <c r="CU13" s="463" t="str">
        <f t="shared" ca="1" si="5"/>
        <v/>
      </c>
      <c r="CV13" s="463" t="str">
        <f t="shared" ca="1" si="5"/>
        <v/>
      </c>
      <c r="CW13" s="463" t="str">
        <f t="shared" ca="1" si="5"/>
        <v/>
      </c>
      <c r="CX13" s="463" t="str">
        <f t="shared" ca="1" si="5"/>
        <v/>
      </c>
      <c r="CY13" s="463" t="str">
        <f t="shared" ca="1" si="5"/>
        <v/>
      </c>
      <c r="CZ13" s="463" t="str">
        <f t="shared" ca="1" si="5"/>
        <v/>
      </c>
      <c r="DA13" s="463" t="str">
        <f t="shared" ca="1" si="5"/>
        <v/>
      </c>
      <c r="DB13" s="463" t="str">
        <f t="shared" ca="1" si="5"/>
        <v/>
      </c>
      <c r="DC13" s="463" t="str">
        <f t="shared" ca="1" si="5"/>
        <v/>
      </c>
      <c r="DD13" s="463" t="str">
        <f t="shared" ca="1" si="5"/>
        <v/>
      </c>
      <c r="DE13" s="463" t="str">
        <f t="shared" ca="1" si="5"/>
        <v/>
      </c>
      <c r="DF13" s="463" t="str">
        <f t="shared" ca="1" si="5"/>
        <v/>
      </c>
      <c r="DG13" s="463" t="str">
        <f t="shared" ca="1" si="5"/>
        <v/>
      </c>
      <c r="DH13" s="463" t="str">
        <f t="shared" ca="1" si="5"/>
        <v/>
      </c>
      <c r="DI13" s="463" t="str">
        <f t="shared" ca="1" si="5"/>
        <v/>
      </c>
      <c r="DJ13" s="463" t="str">
        <f t="shared" ca="1" si="5"/>
        <v/>
      </c>
      <c r="DK13" s="463" t="str">
        <f t="shared" ca="1" si="5"/>
        <v/>
      </c>
      <c r="DL13" s="463" t="str">
        <f t="shared" ca="1" si="5"/>
        <v/>
      </c>
      <c r="DM13" s="463" t="str">
        <f t="shared" ca="1" si="5"/>
        <v/>
      </c>
      <c r="DN13" s="463" t="str">
        <f t="shared" ca="1" si="5"/>
        <v/>
      </c>
      <c r="DO13" s="463" t="str">
        <f t="shared" ca="1" si="5"/>
        <v/>
      </c>
      <c r="DP13" s="463" t="str">
        <f t="shared" ca="1" si="5"/>
        <v/>
      </c>
      <c r="DQ13" s="463" t="str">
        <f t="shared" ca="1" si="5"/>
        <v/>
      </c>
      <c r="DR13" s="463" t="str">
        <f t="shared" ca="1" si="5"/>
        <v/>
      </c>
      <c r="DS13" s="801">
        <f ca="1">SUMPRODUCT(('1.5 Prognoser og indekser'!$R$12:OFFSET('1.5 Prognoser og indekser'!$R$12,0,$DS$9)),($M13:OFFSET($M13,0,$DS$9)))</f>
        <v>0</v>
      </c>
      <c r="DT13" s="802">
        <f ca="1">IF($DT$9&lt;1,0,SUMPRODUCT(OFFSET('1.5 Prognoser og indekser'!$R$12,0,$DS$9+1,1,$DT$9),OFFSET($M13,0,$DS$9+1,1,$DT$9)))</f>
        <v>0</v>
      </c>
    </row>
    <row r="14" spans="2:124" x14ac:dyDescent="0.35">
      <c r="B14" s="6"/>
      <c r="C14" s="218" t="str">
        <f>CONCATENATE("Trafikantnytte, overført"," ",'2.1 Trafikanter'!B14)</f>
        <v>Trafikantnytte, overført Buss</v>
      </c>
      <c r="D14" s="463">
        <f>'2.1 Trafikanter'!C$14</f>
        <v>0</v>
      </c>
      <c r="E14" s="463">
        <f>'2.1 Trafikanter'!D$14</f>
        <v>0</v>
      </c>
      <c r="F14" s="463">
        <f>'2.1 Trafikanter'!E$14</f>
        <v>0</v>
      </c>
      <c r="G14" s="463"/>
      <c r="H14" s="463"/>
      <c r="I14" s="463"/>
      <c r="J14" s="790">
        <f>IF(Antall_Beregningsår&lt;2,1,IF(AND(D14=0,E14=0),1,IF(SIGN(D14)=SIGN(E14),(E14/D14)^(1/(AndreBeregningsår-FørsteBeregningsår)),((E14+1.1*ABS(D14-E14))/(D14+1.1*ABS(D14-E14)))^(1/(AndreBeregningsår-FørsteBeregningsår)))))</f>
        <v>1</v>
      </c>
      <c r="K14" s="790">
        <f>IF(Antall_Beregningsår&lt;3,1,IF(AND(E14=0,F14=0),1,IF(SIGN(E14)=SIGN(F14),(F14/E14)^(1/(TredjeBeregningsår-AndreBeregningsår)),((F14+1.1*ABS(E14-F14))/(E14+1.1*ABS(E14-F14)))^(1/(TredjeBeregningsår-AndreBeregningsår)))))</f>
        <v>1</v>
      </c>
      <c r="L14" s="752">
        <f>IF(Framskrivning="Lineær trend",IF(Antall_Beregningsår&gt;2,(F14-E14)/(TredjeBeregningsår-AndreBeregningsår),IF(Antall_Beregningsår&gt;1,(E14-D14)/(AndreBeregningsår-FørsteBeregningsår),0)),0)</f>
        <v>0</v>
      </c>
      <c r="M14" s="712"/>
      <c r="N14" s="712"/>
      <c r="O14" s="712"/>
      <c r="P14" s="712"/>
      <c r="Q14" s="712"/>
      <c r="R14" s="712"/>
      <c r="S14" s="712"/>
      <c r="T14" s="712"/>
      <c r="U14" s="712"/>
      <c r="V14" s="712"/>
      <c r="W14" s="463" t="str">
        <f t="shared" ref="W14:BB14" ca="1" si="6">IF(W$10&lt;=(Åpningsår+ProsjektetsLevetid-1),IF(W10&lt;=AndreBeregningsår,IF(SIGN($D14)=SIGN($E14),$D14*$J14^(W10-FørsteBeregningsår),($D14+1.1*ABS($D14-$E14))*$J14^(W10-FørsteBeregningsår)-1.1*ABS($D14-$E14)),IF(W10&lt;=TredjeBeregningsår,IF(SIGN($E14)=SIGN($F14),$E14*$K14^(W10-AndreBeregningsår),($E14+1.1*ABS($E14-$F14))*$K14^(W10-AndreBeregningsår)-1.1*ABS($E14-$F14)),OFFSET($D14,0,Antall_Beregningsår-1)*LOOKUP(W10,SerieÅR,SerieVolumvekstperson)+$L14*(W10-IF(Antall_Beregningsår&gt;2,TredjeBeregningsår,AndreBeregningsår))))*KPIJustering_Tid*LOOKUP(W10,SerieÅR,SerieRealprisjustering_Tid),"")</f>
        <v/>
      </c>
      <c r="X14" s="463" t="str">
        <f t="shared" ca="1" si="6"/>
        <v/>
      </c>
      <c r="Y14" s="463" t="str">
        <f t="shared" ca="1" si="6"/>
        <v/>
      </c>
      <c r="Z14" s="463" t="str">
        <f t="shared" ca="1" si="6"/>
        <v/>
      </c>
      <c r="AA14" s="463" t="str">
        <f t="shared" ca="1" si="6"/>
        <v/>
      </c>
      <c r="AB14" s="463" t="str">
        <f t="shared" ca="1" si="6"/>
        <v/>
      </c>
      <c r="AC14" s="463" t="str">
        <f t="shared" ca="1" si="6"/>
        <v/>
      </c>
      <c r="AD14" s="463" t="str">
        <f t="shared" ca="1" si="6"/>
        <v/>
      </c>
      <c r="AE14" s="463" t="str">
        <f t="shared" ca="1" si="6"/>
        <v/>
      </c>
      <c r="AF14" s="463" t="str">
        <f t="shared" ca="1" si="6"/>
        <v/>
      </c>
      <c r="AG14" s="463" t="str">
        <f t="shared" ca="1" si="6"/>
        <v/>
      </c>
      <c r="AH14" s="463" t="str">
        <f t="shared" ca="1" si="6"/>
        <v/>
      </c>
      <c r="AI14" s="463" t="str">
        <f t="shared" ca="1" si="6"/>
        <v/>
      </c>
      <c r="AJ14" s="463" t="str">
        <f t="shared" ca="1" si="6"/>
        <v/>
      </c>
      <c r="AK14" s="463" t="str">
        <f t="shared" ca="1" si="6"/>
        <v/>
      </c>
      <c r="AL14" s="463" t="str">
        <f t="shared" ca="1" si="6"/>
        <v/>
      </c>
      <c r="AM14" s="463" t="str">
        <f t="shared" ca="1" si="6"/>
        <v/>
      </c>
      <c r="AN14" s="463" t="str">
        <f t="shared" ca="1" si="6"/>
        <v/>
      </c>
      <c r="AO14" s="463" t="str">
        <f t="shared" ca="1" si="6"/>
        <v/>
      </c>
      <c r="AP14" s="463" t="str">
        <f t="shared" ca="1" si="6"/>
        <v/>
      </c>
      <c r="AQ14" s="463" t="str">
        <f t="shared" ca="1" si="6"/>
        <v/>
      </c>
      <c r="AR14" s="463" t="str">
        <f t="shared" ca="1" si="6"/>
        <v/>
      </c>
      <c r="AS14" s="463" t="str">
        <f t="shared" ca="1" si="6"/>
        <v/>
      </c>
      <c r="AT14" s="463" t="str">
        <f t="shared" ca="1" si="6"/>
        <v/>
      </c>
      <c r="AU14" s="463" t="str">
        <f t="shared" ca="1" si="6"/>
        <v/>
      </c>
      <c r="AV14" s="463" t="str">
        <f t="shared" ca="1" si="6"/>
        <v/>
      </c>
      <c r="AW14" s="463" t="str">
        <f t="shared" ca="1" si="6"/>
        <v/>
      </c>
      <c r="AX14" s="463" t="str">
        <f t="shared" ca="1" si="6"/>
        <v/>
      </c>
      <c r="AY14" s="463" t="str">
        <f t="shared" ca="1" si="6"/>
        <v/>
      </c>
      <c r="AZ14" s="463" t="str">
        <f t="shared" ca="1" si="6"/>
        <v/>
      </c>
      <c r="BA14" s="463" t="str">
        <f t="shared" ca="1" si="6"/>
        <v/>
      </c>
      <c r="BB14" s="463" t="str">
        <f t="shared" ca="1" si="6"/>
        <v/>
      </c>
      <c r="BC14" s="463" t="str">
        <f t="shared" ref="BC14:CH14" ca="1" si="7">IF(BC$10&lt;=(Åpningsår+ProsjektetsLevetid-1),IF(BC10&lt;=AndreBeregningsår,IF(SIGN($D14)=SIGN($E14),$D14*$J14^(BC10-FørsteBeregningsår),($D14+1.1*ABS($D14-$E14))*$J14^(BC10-FørsteBeregningsår)-1.1*ABS($D14-$E14)),IF(BC10&lt;=TredjeBeregningsår,IF(SIGN($E14)=SIGN($F14),$E14*$K14^(BC10-AndreBeregningsår),($E14+1.1*ABS($E14-$F14))*$K14^(BC10-AndreBeregningsår)-1.1*ABS($E14-$F14)),OFFSET($D14,0,Antall_Beregningsår-1)*LOOKUP(BC10,SerieÅR,SerieVolumvekstperson)+$L14*(BC10-IF(Antall_Beregningsår&gt;2,TredjeBeregningsår,AndreBeregningsår))))*KPIJustering_Tid*LOOKUP(BC10,SerieÅR,SerieRealprisjustering_Tid),"")</f>
        <v/>
      </c>
      <c r="BD14" s="463" t="str">
        <f t="shared" ca="1" si="7"/>
        <v/>
      </c>
      <c r="BE14" s="463" t="str">
        <f t="shared" ca="1" si="7"/>
        <v/>
      </c>
      <c r="BF14" s="463" t="str">
        <f t="shared" ca="1" si="7"/>
        <v/>
      </c>
      <c r="BG14" s="463" t="str">
        <f t="shared" ca="1" si="7"/>
        <v/>
      </c>
      <c r="BH14" s="463" t="str">
        <f t="shared" ca="1" si="7"/>
        <v/>
      </c>
      <c r="BI14" s="463" t="str">
        <f t="shared" ca="1" si="7"/>
        <v/>
      </c>
      <c r="BJ14" s="463" t="str">
        <f t="shared" ca="1" si="7"/>
        <v/>
      </c>
      <c r="BK14" s="463" t="str">
        <f t="shared" ca="1" si="7"/>
        <v/>
      </c>
      <c r="BL14" s="463" t="str">
        <f t="shared" ca="1" si="7"/>
        <v/>
      </c>
      <c r="BM14" s="463" t="str">
        <f t="shared" ca="1" si="7"/>
        <v/>
      </c>
      <c r="BN14" s="463" t="str">
        <f t="shared" ca="1" si="7"/>
        <v/>
      </c>
      <c r="BO14" s="463" t="str">
        <f t="shared" ca="1" si="7"/>
        <v/>
      </c>
      <c r="BP14" s="463" t="str">
        <f t="shared" ca="1" si="7"/>
        <v/>
      </c>
      <c r="BQ14" s="463" t="str">
        <f t="shared" ca="1" si="7"/>
        <v/>
      </c>
      <c r="BR14" s="463" t="str">
        <f t="shared" ca="1" si="7"/>
        <v/>
      </c>
      <c r="BS14" s="463" t="str">
        <f t="shared" ca="1" si="7"/>
        <v/>
      </c>
      <c r="BT14" s="463" t="str">
        <f t="shared" ca="1" si="7"/>
        <v/>
      </c>
      <c r="BU14" s="463" t="str">
        <f t="shared" ca="1" si="7"/>
        <v/>
      </c>
      <c r="BV14" s="463" t="str">
        <f t="shared" ca="1" si="7"/>
        <v/>
      </c>
      <c r="BW14" s="463" t="str">
        <f t="shared" ca="1" si="7"/>
        <v/>
      </c>
      <c r="BX14" s="463" t="str">
        <f t="shared" ca="1" si="7"/>
        <v/>
      </c>
      <c r="BY14" s="463" t="str">
        <f t="shared" ca="1" si="7"/>
        <v/>
      </c>
      <c r="BZ14" s="463" t="str">
        <f t="shared" ca="1" si="7"/>
        <v/>
      </c>
      <c r="CA14" s="463" t="str">
        <f t="shared" ca="1" si="7"/>
        <v/>
      </c>
      <c r="CB14" s="463" t="str">
        <f t="shared" ca="1" si="7"/>
        <v/>
      </c>
      <c r="CC14" s="463" t="str">
        <f t="shared" ca="1" si="7"/>
        <v/>
      </c>
      <c r="CD14" s="463" t="str">
        <f t="shared" ca="1" si="7"/>
        <v/>
      </c>
      <c r="CE14" s="463" t="str">
        <f t="shared" ca="1" si="7"/>
        <v/>
      </c>
      <c r="CF14" s="463" t="str">
        <f t="shared" ca="1" si="7"/>
        <v/>
      </c>
      <c r="CG14" s="463" t="str">
        <f t="shared" ca="1" si="7"/>
        <v/>
      </c>
      <c r="CH14" s="463" t="str">
        <f t="shared" ca="1" si="7"/>
        <v/>
      </c>
      <c r="CI14" s="463" t="str">
        <f t="shared" ref="CI14:DR14" ca="1" si="8">IF(CI$10&lt;=(Åpningsår+ProsjektetsLevetid-1),IF(CI10&lt;=AndreBeregningsår,IF(SIGN($D14)=SIGN($E14),$D14*$J14^(CI10-FørsteBeregningsår),($D14+1.1*ABS($D14-$E14))*$J14^(CI10-FørsteBeregningsår)-1.1*ABS($D14-$E14)),IF(CI10&lt;=TredjeBeregningsår,IF(SIGN($E14)=SIGN($F14),$E14*$K14^(CI10-AndreBeregningsår),($E14+1.1*ABS($E14-$F14))*$K14^(CI10-AndreBeregningsår)-1.1*ABS($E14-$F14)),OFFSET($D14,0,Antall_Beregningsår-1)*LOOKUP(CI10,SerieÅR,SerieVolumvekstperson)+$L14*(CI10-IF(Antall_Beregningsår&gt;2,TredjeBeregningsår,AndreBeregningsår))))*KPIJustering_Tid*LOOKUP(CI10,SerieÅR,SerieRealprisjustering_Tid),"")</f>
        <v/>
      </c>
      <c r="CJ14" s="463" t="str">
        <f t="shared" ca="1" si="8"/>
        <v/>
      </c>
      <c r="CK14" s="463" t="str">
        <f t="shared" ca="1" si="8"/>
        <v/>
      </c>
      <c r="CL14" s="463" t="str">
        <f t="shared" ca="1" si="8"/>
        <v/>
      </c>
      <c r="CM14" s="463" t="str">
        <f t="shared" ca="1" si="8"/>
        <v/>
      </c>
      <c r="CN14" s="463" t="str">
        <f t="shared" ca="1" si="8"/>
        <v/>
      </c>
      <c r="CO14" s="463" t="str">
        <f t="shared" ca="1" si="8"/>
        <v/>
      </c>
      <c r="CP14" s="463" t="str">
        <f t="shared" ca="1" si="8"/>
        <v/>
      </c>
      <c r="CQ14" s="463" t="str">
        <f t="shared" ca="1" si="8"/>
        <v/>
      </c>
      <c r="CR14" s="463" t="str">
        <f t="shared" ca="1" si="8"/>
        <v/>
      </c>
      <c r="CS14" s="463" t="str">
        <f t="shared" ca="1" si="8"/>
        <v/>
      </c>
      <c r="CT14" s="463" t="str">
        <f t="shared" ca="1" si="8"/>
        <v/>
      </c>
      <c r="CU14" s="463" t="str">
        <f t="shared" ca="1" si="8"/>
        <v/>
      </c>
      <c r="CV14" s="463" t="str">
        <f t="shared" ca="1" si="8"/>
        <v/>
      </c>
      <c r="CW14" s="463" t="str">
        <f t="shared" ca="1" si="8"/>
        <v/>
      </c>
      <c r="CX14" s="463" t="str">
        <f t="shared" ca="1" si="8"/>
        <v/>
      </c>
      <c r="CY14" s="463" t="str">
        <f t="shared" ca="1" si="8"/>
        <v/>
      </c>
      <c r="CZ14" s="463" t="str">
        <f t="shared" ca="1" si="8"/>
        <v/>
      </c>
      <c r="DA14" s="463" t="str">
        <f t="shared" ca="1" si="8"/>
        <v/>
      </c>
      <c r="DB14" s="463" t="str">
        <f t="shared" ca="1" si="8"/>
        <v/>
      </c>
      <c r="DC14" s="463" t="str">
        <f t="shared" ca="1" si="8"/>
        <v/>
      </c>
      <c r="DD14" s="463" t="str">
        <f t="shared" ca="1" si="8"/>
        <v/>
      </c>
      <c r="DE14" s="463" t="str">
        <f t="shared" ca="1" si="8"/>
        <v/>
      </c>
      <c r="DF14" s="463" t="str">
        <f t="shared" ca="1" si="8"/>
        <v/>
      </c>
      <c r="DG14" s="463" t="str">
        <f t="shared" ca="1" si="8"/>
        <v/>
      </c>
      <c r="DH14" s="463" t="str">
        <f t="shared" ca="1" si="8"/>
        <v/>
      </c>
      <c r="DI14" s="463" t="str">
        <f t="shared" ca="1" si="8"/>
        <v/>
      </c>
      <c r="DJ14" s="463" t="str">
        <f t="shared" ca="1" si="8"/>
        <v/>
      </c>
      <c r="DK14" s="463" t="str">
        <f t="shared" ca="1" si="8"/>
        <v/>
      </c>
      <c r="DL14" s="463" t="str">
        <f t="shared" ca="1" si="8"/>
        <v/>
      </c>
      <c r="DM14" s="463" t="str">
        <f t="shared" ca="1" si="8"/>
        <v/>
      </c>
      <c r="DN14" s="463" t="str">
        <f t="shared" ca="1" si="8"/>
        <v/>
      </c>
      <c r="DO14" s="463" t="str">
        <f t="shared" ca="1" si="8"/>
        <v/>
      </c>
      <c r="DP14" s="463" t="str">
        <f t="shared" ca="1" si="8"/>
        <v/>
      </c>
      <c r="DQ14" s="463" t="str">
        <f t="shared" ca="1" si="8"/>
        <v/>
      </c>
      <c r="DR14" s="463" t="str">
        <f t="shared" ca="1" si="8"/>
        <v/>
      </c>
      <c r="DS14" s="801">
        <f ca="1">SUMPRODUCT(('1.5 Prognoser og indekser'!$R$12:OFFSET('1.5 Prognoser og indekser'!$R$12,0,$DS$9)),($M14:OFFSET($M14,0,$DS$9)))</f>
        <v>0</v>
      </c>
      <c r="DT14" s="802">
        <f ca="1">IF($DT$9&lt;1,0,SUMPRODUCT(OFFSET('1.5 Prognoser og indekser'!$R$12,0,$DS$9+1,1,$DT$9),OFFSET($M14,0,$DS$9+1,1,$DT$9)))</f>
        <v>0</v>
      </c>
    </row>
    <row r="15" spans="2:124" x14ac:dyDescent="0.35">
      <c r="B15" s="6"/>
      <c r="C15" s="218" t="str">
        <f>CONCATENATE("Trafikantnytte, overført"," ",'2.1 Trafikanter'!B15)</f>
        <v>Trafikantnytte, overført Fly</v>
      </c>
      <c r="D15" s="463">
        <f>'2.1 Trafikanter'!C$15</f>
        <v>0</v>
      </c>
      <c r="E15" s="463">
        <f>'2.1 Trafikanter'!D$15</f>
        <v>0</v>
      </c>
      <c r="F15" s="463">
        <f>'2.1 Trafikanter'!E$15</f>
        <v>0</v>
      </c>
      <c r="G15" s="463"/>
      <c r="H15" s="463"/>
      <c r="I15" s="463"/>
      <c r="J15" s="790">
        <f>IF(Antall_Beregningsår&lt;2,1,IF(AND(D15=0,E15=0),1,IF(SIGN(D15)=SIGN(E15),(E15/D15)^(1/(AndreBeregningsår-FørsteBeregningsår)),((E15+1.1*ABS(D15-E15))/(D15+1.1*ABS(D15-E15)))^(1/(AndreBeregningsår-FørsteBeregningsår)))))</f>
        <v>1</v>
      </c>
      <c r="K15" s="790">
        <f>IF(Antall_Beregningsår&lt;3,1,IF(AND(E15=0,F15=0),1,IF(SIGN(E15)=SIGN(F15),(F15/E15)^(1/(TredjeBeregningsår-AndreBeregningsår)),((F15+1.1*ABS(E15-F15))/(E15+1.1*ABS(E15-F15)))^(1/(TredjeBeregningsår-AndreBeregningsår)))))</f>
        <v>1</v>
      </c>
      <c r="L15" s="752">
        <f>IF(Framskrivning="Lineær trend",IF(Antall_Beregningsår&gt;2,(F15-E15)/(TredjeBeregningsår-AndreBeregningsår),IF(Antall_Beregningsår&gt;1,(E15-D15)/(AndreBeregningsår-FørsteBeregningsår),0)),0)</f>
        <v>0</v>
      </c>
      <c r="M15" s="712"/>
      <c r="N15" s="712"/>
      <c r="O15" s="712"/>
      <c r="P15" s="712"/>
      <c r="Q15" s="712"/>
      <c r="R15" s="712"/>
      <c r="S15" s="712"/>
      <c r="T15" s="712"/>
      <c r="U15" s="712"/>
      <c r="V15" s="712"/>
      <c r="W15" s="463" t="str">
        <f t="shared" ref="W15:BB15" ca="1" si="9">IF(W$10&lt;=(Åpningsår+ProsjektetsLevetid-1),IF(W10&lt;=AndreBeregningsår,IF(SIGN($D15)=SIGN($E15),$D15*$J15^(W10-FørsteBeregningsår),($D15+1.1*ABS($D15-$E15))*$J15^(W10-FørsteBeregningsår)-1.1*ABS($D15-$E15)),IF(W10&lt;=TredjeBeregningsår,IF(SIGN($E15)=SIGN($F15),$E15*$K15^(W10-AndreBeregningsår),($E15+1.1*ABS($E15-$F15))*$K15^(W10-AndreBeregningsår)-1.1*ABS($E15-$F15)),OFFSET($D15,0,Antall_Beregningsår-1)*LOOKUP(W10,SerieÅR,SerieVolumvekstperson)+$L15*(W10-IF(Antall_Beregningsår&gt;2,TredjeBeregningsår,AndreBeregningsår))))*KPIJustering_Tid*LOOKUP(W10,SerieÅR,SerieRealprisjustering_Tid),"")</f>
        <v/>
      </c>
      <c r="X15" s="463" t="str">
        <f t="shared" ca="1" si="9"/>
        <v/>
      </c>
      <c r="Y15" s="463" t="str">
        <f t="shared" ca="1" si="9"/>
        <v/>
      </c>
      <c r="Z15" s="463" t="str">
        <f t="shared" ca="1" si="9"/>
        <v/>
      </c>
      <c r="AA15" s="463" t="str">
        <f t="shared" ca="1" si="9"/>
        <v/>
      </c>
      <c r="AB15" s="463" t="str">
        <f t="shared" ca="1" si="9"/>
        <v/>
      </c>
      <c r="AC15" s="463" t="str">
        <f t="shared" ca="1" si="9"/>
        <v/>
      </c>
      <c r="AD15" s="463" t="str">
        <f t="shared" ca="1" si="9"/>
        <v/>
      </c>
      <c r="AE15" s="463" t="str">
        <f t="shared" ca="1" si="9"/>
        <v/>
      </c>
      <c r="AF15" s="463" t="str">
        <f t="shared" ca="1" si="9"/>
        <v/>
      </c>
      <c r="AG15" s="463" t="str">
        <f t="shared" ca="1" si="9"/>
        <v/>
      </c>
      <c r="AH15" s="463" t="str">
        <f t="shared" ca="1" si="9"/>
        <v/>
      </c>
      <c r="AI15" s="463" t="str">
        <f t="shared" ca="1" si="9"/>
        <v/>
      </c>
      <c r="AJ15" s="463" t="str">
        <f t="shared" ca="1" si="9"/>
        <v/>
      </c>
      <c r="AK15" s="463" t="str">
        <f t="shared" ca="1" si="9"/>
        <v/>
      </c>
      <c r="AL15" s="463" t="str">
        <f t="shared" ca="1" si="9"/>
        <v/>
      </c>
      <c r="AM15" s="463" t="str">
        <f t="shared" ca="1" si="9"/>
        <v/>
      </c>
      <c r="AN15" s="463" t="str">
        <f t="shared" ca="1" si="9"/>
        <v/>
      </c>
      <c r="AO15" s="463" t="str">
        <f t="shared" ca="1" si="9"/>
        <v/>
      </c>
      <c r="AP15" s="463" t="str">
        <f t="shared" ca="1" si="9"/>
        <v/>
      </c>
      <c r="AQ15" s="463" t="str">
        <f t="shared" ca="1" si="9"/>
        <v/>
      </c>
      <c r="AR15" s="463" t="str">
        <f t="shared" ca="1" si="9"/>
        <v/>
      </c>
      <c r="AS15" s="463" t="str">
        <f t="shared" ca="1" si="9"/>
        <v/>
      </c>
      <c r="AT15" s="463" t="str">
        <f t="shared" ca="1" si="9"/>
        <v/>
      </c>
      <c r="AU15" s="463" t="str">
        <f t="shared" ca="1" si="9"/>
        <v/>
      </c>
      <c r="AV15" s="463" t="str">
        <f t="shared" ca="1" si="9"/>
        <v/>
      </c>
      <c r="AW15" s="463" t="str">
        <f t="shared" ca="1" si="9"/>
        <v/>
      </c>
      <c r="AX15" s="463" t="str">
        <f t="shared" ca="1" si="9"/>
        <v/>
      </c>
      <c r="AY15" s="463" t="str">
        <f t="shared" ca="1" si="9"/>
        <v/>
      </c>
      <c r="AZ15" s="463" t="str">
        <f t="shared" ca="1" si="9"/>
        <v/>
      </c>
      <c r="BA15" s="463" t="str">
        <f t="shared" ca="1" si="9"/>
        <v/>
      </c>
      <c r="BB15" s="463" t="str">
        <f t="shared" ca="1" si="9"/>
        <v/>
      </c>
      <c r="BC15" s="463" t="str">
        <f t="shared" ref="BC15:CH15" ca="1" si="10">IF(BC$10&lt;=(Åpningsår+ProsjektetsLevetid-1),IF(BC10&lt;=AndreBeregningsår,IF(SIGN($D15)=SIGN($E15),$D15*$J15^(BC10-FørsteBeregningsår),($D15+1.1*ABS($D15-$E15))*$J15^(BC10-FørsteBeregningsår)-1.1*ABS($D15-$E15)),IF(BC10&lt;=TredjeBeregningsår,IF(SIGN($E15)=SIGN($F15),$E15*$K15^(BC10-AndreBeregningsår),($E15+1.1*ABS($E15-$F15))*$K15^(BC10-AndreBeregningsår)-1.1*ABS($E15-$F15)),OFFSET($D15,0,Antall_Beregningsår-1)*LOOKUP(BC10,SerieÅR,SerieVolumvekstperson)+$L15*(BC10-IF(Antall_Beregningsår&gt;2,TredjeBeregningsår,AndreBeregningsår))))*KPIJustering_Tid*LOOKUP(BC10,SerieÅR,SerieRealprisjustering_Tid),"")</f>
        <v/>
      </c>
      <c r="BD15" s="463" t="str">
        <f t="shared" ca="1" si="10"/>
        <v/>
      </c>
      <c r="BE15" s="463" t="str">
        <f t="shared" ca="1" si="10"/>
        <v/>
      </c>
      <c r="BF15" s="463" t="str">
        <f t="shared" ca="1" si="10"/>
        <v/>
      </c>
      <c r="BG15" s="463" t="str">
        <f t="shared" ca="1" si="10"/>
        <v/>
      </c>
      <c r="BH15" s="463" t="str">
        <f t="shared" ca="1" si="10"/>
        <v/>
      </c>
      <c r="BI15" s="463" t="str">
        <f t="shared" ca="1" si="10"/>
        <v/>
      </c>
      <c r="BJ15" s="463" t="str">
        <f t="shared" ca="1" si="10"/>
        <v/>
      </c>
      <c r="BK15" s="463" t="str">
        <f t="shared" ca="1" si="10"/>
        <v/>
      </c>
      <c r="BL15" s="463" t="str">
        <f t="shared" ca="1" si="10"/>
        <v/>
      </c>
      <c r="BM15" s="463" t="str">
        <f t="shared" ca="1" si="10"/>
        <v/>
      </c>
      <c r="BN15" s="463" t="str">
        <f t="shared" ca="1" si="10"/>
        <v/>
      </c>
      <c r="BO15" s="463" t="str">
        <f t="shared" ca="1" si="10"/>
        <v/>
      </c>
      <c r="BP15" s="463" t="str">
        <f t="shared" ca="1" si="10"/>
        <v/>
      </c>
      <c r="BQ15" s="463" t="str">
        <f t="shared" ca="1" si="10"/>
        <v/>
      </c>
      <c r="BR15" s="463" t="str">
        <f t="shared" ca="1" si="10"/>
        <v/>
      </c>
      <c r="BS15" s="463" t="str">
        <f t="shared" ca="1" si="10"/>
        <v/>
      </c>
      <c r="BT15" s="463" t="str">
        <f t="shared" ca="1" si="10"/>
        <v/>
      </c>
      <c r="BU15" s="463" t="str">
        <f t="shared" ca="1" si="10"/>
        <v/>
      </c>
      <c r="BV15" s="463" t="str">
        <f t="shared" ca="1" si="10"/>
        <v/>
      </c>
      <c r="BW15" s="463" t="str">
        <f t="shared" ca="1" si="10"/>
        <v/>
      </c>
      <c r="BX15" s="463" t="str">
        <f t="shared" ca="1" si="10"/>
        <v/>
      </c>
      <c r="BY15" s="463" t="str">
        <f t="shared" ca="1" si="10"/>
        <v/>
      </c>
      <c r="BZ15" s="463" t="str">
        <f t="shared" ca="1" si="10"/>
        <v/>
      </c>
      <c r="CA15" s="463" t="str">
        <f t="shared" ca="1" si="10"/>
        <v/>
      </c>
      <c r="CB15" s="463" t="str">
        <f t="shared" ca="1" si="10"/>
        <v/>
      </c>
      <c r="CC15" s="463" t="str">
        <f t="shared" ca="1" si="10"/>
        <v/>
      </c>
      <c r="CD15" s="463" t="str">
        <f t="shared" ca="1" si="10"/>
        <v/>
      </c>
      <c r="CE15" s="463" t="str">
        <f t="shared" ca="1" si="10"/>
        <v/>
      </c>
      <c r="CF15" s="463" t="str">
        <f t="shared" ca="1" si="10"/>
        <v/>
      </c>
      <c r="CG15" s="463" t="str">
        <f t="shared" ca="1" si="10"/>
        <v/>
      </c>
      <c r="CH15" s="463" t="str">
        <f t="shared" ca="1" si="10"/>
        <v/>
      </c>
      <c r="CI15" s="463" t="str">
        <f t="shared" ref="CI15:DR15" ca="1" si="11">IF(CI$10&lt;=(Åpningsår+ProsjektetsLevetid-1),IF(CI10&lt;=AndreBeregningsår,IF(SIGN($D15)=SIGN($E15),$D15*$J15^(CI10-FørsteBeregningsår),($D15+1.1*ABS($D15-$E15))*$J15^(CI10-FørsteBeregningsår)-1.1*ABS($D15-$E15)),IF(CI10&lt;=TredjeBeregningsår,IF(SIGN($E15)=SIGN($F15),$E15*$K15^(CI10-AndreBeregningsår),($E15+1.1*ABS($E15-$F15))*$K15^(CI10-AndreBeregningsår)-1.1*ABS($E15-$F15)),OFFSET($D15,0,Antall_Beregningsår-1)*LOOKUP(CI10,SerieÅR,SerieVolumvekstperson)+$L15*(CI10-IF(Antall_Beregningsår&gt;2,TredjeBeregningsår,AndreBeregningsår))))*KPIJustering_Tid*LOOKUP(CI10,SerieÅR,SerieRealprisjustering_Tid),"")</f>
        <v/>
      </c>
      <c r="CJ15" s="463" t="str">
        <f t="shared" ca="1" si="11"/>
        <v/>
      </c>
      <c r="CK15" s="463" t="str">
        <f t="shared" ca="1" si="11"/>
        <v/>
      </c>
      <c r="CL15" s="463" t="str">
        <f t="shared" ca="1" si="11"/>
        <v/>
      </c>
      <c r="CM15" s="463" t="str">
        <f t="shared" ca="1" si="11"/>
        <v/>
      </c>
      <c r="CN15" s="463" t="str">
        <f t="shared" ca="1" si="11"/>
        <v/>
      </c>
      <c r="CO15" s="463" t="str">
        <f t="shared" ca="1" si="11"/>
        <v/>
      </c>
      <c r="CP15" s="463" t="str">
        <f t="shared" ca="1" si="11"/>
        <v/>
      </c>
      <c r="CQ15" s="463" t="str">
        <f t="shared" ca="1" si="11"/>
        <v/>
      </c>
      <c r="CR15" s="463" t="str">
        <f t="shared" ca="1" si="11"/>
        <v/>
      </c>
      <c r="CS15" s="463" t="str">
        <f t="shared" ca="1" si="11"/>
        <v/>
      </c>
      <c r="CT15" s="463" t="str">
        <f t="shared" ca="1" si="11"/>
        <v/>
      </c>
      <c r="CU15" s="463" t="str">
        <f t="shared" ca="1" si="11"/>
        <v/>
      </c>
      <c r="CV15" s="463" t="str">
        <f t="shared" ca="1" si="11"/>
        <v/>
      </c>
      <c r="CW15" s="463" t="str">
        <f t="shared" ca="1" si="11"/>
        <v/>
      </c>
      <c r="CX15" s="463" t="str">
        <f t="shared" ca="1" si="11"/>
        <v/>
      </c>
      <c r="CY15" s="463" t="str">
        <f t="shared" ca="1" si="11"/>
        <v/>
      </c>
      <c r="CZ15" s="463" t="str">
        <f t="shared" ca="1" si="11"/>
        <v/>
      </c>
      <c r="DA15" s="463" t="str">
        <f t="shared" ca="1" si="11"/>
        <v/>
      </c>
      <c r="DB15" s="463" t="str">
        <f t="shared" ca="1" si="11"/>
        <v/>
      </c>
      <c r="DC15" s="463" t="str">
        <f t="shared" ca="1" si="11"/>
        <v/>
      </c>
      <c r="DD15" s="463" t="str">
        <f t="shared" ca="1" si="11"/>
        <v/>
      </c>
      <c r="DE15" s="463" t="str">
        <f t="shared" ca="1" si="11"/>
        <v/>
      </c>
      <c r="DF15" s="463" t="str">
        <f t="shared" ca="1" si="11"/>
        <v/>
      </c>
      <c r="DG15" s="463" t="str">
        <f t="shared" ca="1" si="11"/>
        <v/>
      </c>
      <c r="DH15" s="463" t="str">
        <f t="shared" ca="1" si="11"/>
        <v/>
      </c>
      <c r="DI15" s="463" t="str">
        <f t="shared" ca="1" si="11"/>
        <v/>
      </c>
      <c r="DJ15" s="463" t="str">
        <f t="shared" ca="1" si="11"/>
        <v/>
      </c>
      <c r="DK15" s="463" t="str">
        <f t="shared" ca="1" si="11"/>
        <v/>
      </c>
      <c r="DL15" s="463" t="str">
        <f t="shared" ca="1" si="11"/>
        <v/>
      </c>
      <c r="DM15" s="463" t="str">
        <f t="shared" ca="1" si="11"/>
        <v/>
      </c>
      <c r="DN15" s="463" t="str">
        <f t="shared" ca="1" si="11"/>
        <v/>
      </c>
      <c r="DO15" s="463" t="str">
        <f t="shared" ca="1" si="11"/>
        <v/>
      </c>
      <c r="DP15" s="463" t="str">
        <f t="shared" ca="1" si="11"/>
        <v/>
      </c>
      <c r="DQ15" s="463" t="str">
        <f t="shared" ca="1" si="11"/>
        <v/>
      </c>
      <c r="DR15" s="463" t="str">
        <f t="shared" ca="1" si="11"/>
        <v/>
      </c>
      <c r="DS15" s="801">
        <f ca="1">SUMPRODUCT(('1.5 Prognoser og indekser'!$R$12:OFFSET('1.5 Prognoser og indekser'!$R$12,0,$DS$9)),($M15:OFFSET($M15,0,$DS$9)))</f>
        <v>0</v>
      </c>
      <c r="DT15" s="802">
        <f ca="1">IF($DT$9&lt;1,0,SUMPRODUCT(OFFSET('1.5 Prognoser og indekser'!$R$12,0,$DS$9+1,1,$DT$9),OFFSET($M15,0,$DS$9+1,1,$DT$9)))</f>
        <v>0</v>
      </c>
    </row>
    <row r="16" spans="2:124" x14ac:dyDescent="0.35">
      <c r="B16" s="6"/>
      <c r="C16" s="218" t="str">
        <f>CONCATENATE("Trafikantnytte,"," ",'2.1 Trafikanter'!B16)</f>
        <v xml:space="preserve">Trafikantnytte, Nyskapt trafikk </v>
      </c>
      <c r="D16" s="463">
        <f>'2.1 Trafikanter'!C$16</f>
        <v>0</v>
      </c>
      <c r="E16" s="463">
        <f>'2.1 Trafikanter'!D$16</f>
        <v>0</v>
      </c>
      <c r="F16" s="463">
        <f>'2.1 Trafikanter'!E$16</f>
        <v>0</v>
      </c>
      <c r="G16" s="463"/>
      <c r="H16" s="463"/>
      <c r="I16" s="463"/>
      <c r="J16" s="790">
        <f>IF(Antall_Beregningsår&lt;2,1,IF(AND(D16=0,E16=0),1,IF(SIGN(D16)=SIGN(E16),(E16/D16)^(1/(AndreBeregningsår-FørsteBeregningsår)),((E16+1.1*ABS(D16-E16))/(D16+1.1*ABS(D16-E16)))^(1/(AndreBeregningsår-FørsteBeregningsår)))))</f>
        <v>1</v>
      </c>
      <c r="K16" s="790">
        <f>IF(Antall_Beregningsår&lt;3,1,IF(AND(E16=0,F16=0),1,IF(SIGN(E16)=SIGN(F16),(F16/E16)^(1/(TredjeBeregningsår-AndreBeregningsår)),((F16+1.1*ABS(E16-F16))/(E16+1.1*ABS(E16-F16)))^(1/(TredjeBeregningsår-AndreBeregningsår)))))</f>
        <v>1</v>
      </c>
      <c r="L16" s="752">
        <f>IF(Framskrivning="Lineær trend",IF(Antall_Beregningsår&gt;2,(F16-E16)/(TredjeBeregningsår-AndreBeregningsår),IF(Antall_Beregningsår&gt;1,(E16-D16)/(AndreBeregningsår-FørsteBeregningsår),0)),0)</f>
        <v>0</v>
      </c>
      <c r="M16" s="712"/>
      <c r="N16" s="712"/>
      <c r="O16" s="712"/>
      <c r="P16" s="712"/>
      <c r="Q16" s="712"/>
      <c r="R16" s="712"/>
      <c r="S16" s="712"/>
      <c r="T16" s="712"/>
      <c r="U16" s="712"/>
      <c r="V16" s="712"/>
      <c r="W16" s="463" t="str">
        <f t="shared" ref="W16:BB16" ca="1" si="12">IF(W$10&lt;=(Åpningsår+ProsjektetsLevetid-1),IF(W10&lt;=AndreBeregningsår,IF(SIGN($D16)=SIGN($E16),$D16*$J16^(W10-FørsteBeregningsår),($D16+1.1*ABS($D16-$E16))*$J16^(W10-FørsteBeregningsår)-1.1*ABS($D16-$E16)),IF(W10&lt;=TredjeBeregningsår,IF(SIGN($E16)=SIGN($F16),$E16*$K16^(W10-AndreBeregningsår),($E16+1.1*ABS($E16-$F16))*$K16^(W10-AndreBeregningsår)-1.1*ABS($E16-$F16)),OFFSET($D16,0,Antall_Beregningsår-1)*LOOKUP(W10,SerieÅR,SerieVolumvekstperson)+$L16*(W10-IF(Antall_Beregningsår&gt;2,TredjeBeregningsår,AndreBeregningsår))))*KPIJustering_Tid*LOOKUP(W10,SerieÅR,SerieRealprisjustering_Tid),"")</f>
        <v/>
      </c>
      <c r="X16" s="463" t="str">
        <f t="shared" ca="1" si="12"/>
        <v/>
      </c>
      <c r="Y16" s="463" t="str">
        <f t="shared" ca="1" si="12"/>
        <v/>
      </c>
      <c r="Z16" s="463" t="str">
        <f t="shared" ca="1" si="12"/>
        <v/>
      </c>
      <c r="AA16" s="463" t="str">
        <f t="shared" ca="1" si="12"/>
        <v/>
      </c>
      <c r="AB16" s="463" t="str">
        <f t="shared" ca="1" si="12"/>
        <v/>
      </c>
      <c r="AC16" s="463" t="str">
        <f t="shared" ca="1" si="12"/>
        <v/>
      </c>
      <c r="AD16" s="463" t="str">
        <f t="shared" ca="1" si="12"/>
        <v/>
      </c>
      <c r="AE16" s="463" t="str">
        <f t="shared" ca="1" si="12"/>
        <v/>
      </c>
      <c r="AF16" s="463" t="str">
        <f t="shared" ca="1" si="12"/>
        <v/>
      </c>
      <c r="AG16" s="463" t="str">
        <f t="shared" ca="1" si="12"/>
        <v/>
      </c>
      <c r="AH16" s="463" t="str">
        <f t="shared" ca="1" si="12"/>
        <v/>
      </c>
      <c r="AI16" s="463" t="str">
        <f t="shared" ca="1" si="12"/>
        <v/>
      </c>
      <c r="AJ16" s="463" t="str">
        <f t="shared" ca="1" si="12"/>
        <v/>
      </c>
      <c r="AK16" s="463" t="str">
        <f t="shared" ca="1" si="12"/>
        <v/>
      </c>
      <c r="AL16" s="463" t="str">
        <f t="shared" ca="1" si="12"/>
        <v/>
      </c>
      <c r="AM16" s="463" t="str">
        <f t="shared" ca="1" si="12"/>
        <v/>
      </c>
      <c r="AN16" s="463" t="str">
        <f t="shared" ca="1" si="12"/>
        <v/>
      </c>
      <c r="AO16" s="463" t="str">
        <f t="shared" ca="1" si="12"/>
        <v/>
      </c>
      <c r="AP16" s="463" t="str">
        <f t="shared" ca="1" si="12"/>
        <v/>
      </c>
      <c r="AQ16" s="463" t="str">
        <f t="shared" ca="1" si="12"/>
        <v/>
      </c>
      <c r="AR16" s="463" t="str">
        <f t="shared" ca="1" si="12"/>
        <v/>
      </c>
      <c r="AS16" s="463" t="str">
        <f t="shared" ca="1" si="12"/>
        <v/>
      </c>
      <c r="AT16" s="463" t="str">
        <f t="shared" ca="1" si="12"/>
        <v/>
      </c>
      <c r="AU16" s="463" t="str">
        <f t="shared" ca="1" si="12"/>
        <v/>
      </c>
      <c r="AV16" s="463" t="str">
        <f t="shared" ca="1" si="12"/>
        <v/>
      </c>
      <c r="AW16" s="463" t="str">
        <f t="shared" ca="1" si="12"/>
        <v/>
      </c>
      <c r="AX16" s="463" t="str">
        <f t="shared" ca="1" si="12"/>
        <v/>
      </c>
      <c r="AY16" s="463" t="str">
        <f t="shared" ca="1" si="12"/>
        <v/>
      </c>
      <c r="AZ16" s="463" t="str">
        <f t="shared" ca="1" si="12"/>
        <v/>
      </c>
      <c r="BA16" s="463" t="str">
        <f t="shared" ca="1" si="12"/>
        <v/>
      </c>
      <c r="BB16" s="463" t="str">
        <f t="shared" ca="1" si="12"/>
        <v/>
      </c>
      <c r="BC16" s="463" t="str">
        <f t="shared" ref="BC16:CH16" ca="1" si="13">IF(BC$10&lt;=(Åpningsår+ProsjektetsLevetid-1),IF(BC10&lt;=AndreBeregningsår,IF(SIGN($D16)=SIGN($E16),$D16*$J16^(BC10-FørsteBeregningsår),($D16+1.1*ABS($D16-$E16))*$J16^(BC10-FørsteBeregningsår)-1.1*ABS($D16-$E16)),IF(BC10&lt;=TredjeBeregningsår,IF(SIGN($E16)=SIGN($F16),$E16*$K16^(BC10-AndreBeregningsår),($E16+1.1*ABS($E16-$F16))*$K16^(BC10-AndreBeregningsår)-1.1*ABS($E16-$F16)),OFFSET($D16,0,Antall_Beregningsår-1)*LOOKUP(BC10,SerieÅR,SerieVolumvekstperson)+$L16*(BC10-IF(Antall_Beregningsår&gt;2,TredjeBeregningsår,AndreBeregningsår))))*KPIJustering_Tid*LOOKUP(BC10,SerieÅR,SerieRealprisjustering_Tid),"")</f>
        <v/>
      </c>
      <c r="BD16" s="463" t="str">
        <f t="shared" ca="1" si="13"/>
        <v/>
      </c>
      <c r="BE16" s="463" t="str">
        <f t="shared" ca="1" si="13"/>
        <v/>
      </c>
      <c r="BF16" s="463" t="str">
        <f t="shared" ca="1" si="13"/>
        <v/>
      </c>
      <c r="BG16" s="463" t="str">
        <f t="shared" ca="1" si="13"/>
        <v/>
      </c>
      <c r="BH16" s="463" t="str">
        <f t="shared" ca="1" si="13"/>
        <v/>
      </c>
      <c r="BI16" s="463" t="str">
        <f t="shared" ca="1" si="13"/>
        <v/>
      </c>
      <c r="BJ16" s="463" t="str">
        <f t="shared" ca="1" si="13"/>
        <v/>
      </c>
      <c r="BK16" s="463" t="str">
        <f t="shared" ca="1" si="13"/>
        <v/>
      </c>
      <c r="BL16" s="463" t="str">
        <f t="shared" ca="1" si="13"/>
        <v/>
      </c>
      <c r="BM16" s="463" t="str">
        <f t="shared" ca="1" si="13"/>
        <v/>
      </c>
      <c r="BN16" s="463" t="str">
        <f t="shared" ca="1" si="13"/>
        <v/>
      </c>
      <c r="BO16" s="463" t="str">
        <f t="shared" ca="1" si="13"/>
        <v/>
      </c>
      <c r="BP16" s="463" t="str">
        <f t="shared" ca="1" si="13"/>
        <v/>
      </c>
      <c r="BQ16" s="463" t="str">
        <f t="shared" ca="1" si="13"/>
        <v/>
      </c>
      <c r="BR16" s="463" t="str">
        <f t="shared" ca="1" si="13"/>
        <v/>
      </c>
      <c r="BS16" s="463" t="str">
        <f t="shared" ca="1" si="13"/>
        <v/>
      </c>
      <c r="BT16" s="463" t="str">
        <f t="shared" ca="1" si="13"/>
        <v/>
      </c>
      <c r="BU16" s="463" t="str">
        <f t="shared" ca="1" si="13"/>
        <v/>
      </c>
      <c r="BV16" s="463" t="str">
        <f t="shared" ca="1" si="13"/>
        <v/>
      </c>
      <c r="BW16" s="463" t="str">
        <f t="shared" ca="1" si="13"/>
        <v/>
      </c>
      <c r="BX16" s="463" t="str">
        <f t="shared" ca="1" si="13"/>
        <v/>
      </c>
      <c r="BY16" s="463" t="str">
        <f t="shared" ca="1" si="13"/>
        <v/>
      </c>
      <c r="BZ16" s="463" t="str">
        <f t="shared" ca="1" si="13"/>
        <v/>
      </c>
      <c r="CA16" s="463" t="str">
        <f t="shared" ca="1" si="13"/>
        <v/>
      </c>
      <c r="CB16" s="463" t="str">
        <f t="shared" ca="1" si="13"/>
        <v/>
      </c>
      <c r="CC16" s="463" t="str">
        <f t="shared" ca="1" si="13"/>
        <v/>
      </c>
      <c r="CD16" s="463" t="str">
        <f t="shared" ca="1" si="13"/>
        <v/>
      </c>
      <c r="CE16" s="463" t="str">
        <f t="shared" ca="1" si="13"/>
        <v/>
      </c>
      <c r="CF16" s="463" t="str">
        <f t="shared" ca="1" si="13"/>
        <v/>
      </c>
      <c r="CG16" s="463" t="str">
        <f t="shared" ca="1" si="13"/>
        <v/>
      </c>
      <c r="CH16" s="463" t="str">
        <f t="shared" ca="1" si="13"/>
        <v/>
      </c>
      <c r="CI16" s="463" t="str">
        <f t="shared" ref="CI16:DR16" ca="1" si="14">IF(CI$10&lt;=(Åpningsår+ProsjektetsLevetid-1),IF(CI10&lt;=AndreBeregningsår,IF(SIGN($D16)=SIGN($E16),$D16*$J16^(CI10-FørsteBeregningsår),($D16+1.1*ABS($D16-$E16))*$J16^(CI10-FørsteBeregningsår)-1.1*ABS($D16-$E16)),IF(CI10&lt;=TredjeBeregningsår,IF(SIGN($E16)=SIGN($F16),$E16*$K16^(CI10-AndreBeregningsår),($E16+1.1*ABS($E16-$F16))*$K16^(CI10-AndreBeregningsår)-1.1*ABS($E16-$F16)),OFFSET($D16,0,Antall_Beregningsår-1)*LOOKUP(CI10,SerieÅR,SerieVolumvekstperson)+$L16*(CI10-IF(Antall_Beregningsår&gt;2,TredjeBeregningsår,AndreBeregningsår))))*KPIJustering_Tid*LOOKUP(CI10,SerieÅR,SerieRealprisjustering_Tid),"")</f>
        <v/>
      </c>
      <c r="CJ16" s="463" t="str">
        <f t="shared" ca="1" si="14"/>
        <v/>
      </c>
      <c r="CK16" s="463" t="str">
        <f t="shared" ca="1" si="14"/>
        <v/>
      </c>
      <c r="CL16" s="463" t="str">
        <f t="shared" ca="1" si="14"/>
        <v/>
      </c>
      <c r="CM16" s="463" t="str">
        <f t="shared" ca="1" si="14"/>
        <v/>
      </c>
      <c r="CN16" s="463" t="str">
        <f t="shared" ca="1" si="14"/>
        <v/>
      </c>
      <c r="CO16" s="463" t="str">
        <f t="shared" ca="1" si="14"/>
        <v/>
      </c>
      <c r="CP16" s="463" t="str">
        <f t="shared" ca="1" si="14"/>
        <v/>
      </c>
      <c r="CQ16" s="463" t="str">
        <f t="shared" ca="1" si="14"/>
        <v/>
      </c>
      <c r="CR16" s="463" t="str">
        <f t="shared" ca="1" si="14"/>
        <v/>
      </c>
      <c r="CS16" s="463" t="str">
        <f t="shared" ca="1" si="14"/>
        <v/>
      </c>
      <c r="CT16" s="463" t="str">
        <f t="shared" ca="1" si="14"/>
        <v/>
      </c>
      <c r="CU16" s="463" t="str">
        <f t="shared" ca="1" si="14"/>
        <v/>
      </c>
      <c r="CV16" s="463" t="str">
        <f t="shared" ca="1" si="14"/>
        <v/>
      </c>
      <c r="CW16" s="463" t="str">
        <f t="shared" ca="1" si="14"/>
        <v/>
      </c>
      <c r="CX16" s="463" t="str">
        <f t="shared" ca="1" si="14"/>
        <v/>
      </c>
      <c r="CY16" s="463" t="str">
        <f t="shared" ca="1" si="14"/>
        <v/>
      </c>
      <c r="CZ16" s="463" t="str">
        <f t="shared" ca="1" si="14"/>
        <v/>
      </c>
      <c r="DA16" s="463" t="str">
        <f t="shared" ca="1" si="14"/>
        <v/>
      </c>
      <c r="DB16" s="463" t="str">
        <f t="shared" ca="1" si="14"/>
        <v/>
      </c>
      <c r="DC16" s="463" t="str">
        <f t="shared" ca="1" si="14"/>
        <v/>
      </c>
      <c r="DD16" s="463" t="str">
        <f t="shared" ca="1" si="14"/>
        <v/>
      </c>
      <c r="DE16" s="463" t="str">
        <f t="shared" ca="1" si="14"/>
        <v/>
      </c>
      <c r="DF16" s="463" t="str">
        <f t="shared" ca="1" si="14"/>
        <v/>
      </c>
      <c r="DG16" s="463" t="str">
        <f t="shared" ca="1" si="14"/>
        <v/>
      </c>
      <c r="DH16" s="463" t="str">
        <f t="shared" ca="1" si="14"/>
        <v/>
      </c>
      <c r="DI16" s="463" t="str">
        <f t="shared" ca="1" si="14"/>
        <v/>
      </c>
      <c r="DJ16" s="463" t="str">
        <f t="shared" ca="1" si="14"/>
        <v/>
      </c>
      <c r="DK16" s="463" t="str">
        <f t="shared" ca="1" si="14"/>
        <v/>
      </c>
      <c r="DL16" s="463" t="str">
        <f t="shared" ca="1" si="14"/>
        <v/>
      </c>
      <c r="DM16" s="463" t="str">
        <f t="shared" ca="1" si="14"/>
        <v/>
      </c>
      <c r="DN16" s="463" t="str">
        <f t="shared" ca="1" si="14"/>
        <v/>
      </c>
      <c r="DO16" s="463" t="str">
        <f t="shared" ca="1" si="14"/>
        <v/>
      </c>
      <c r="DP16" s="463" t="str">
        <f t="shared" ca="1" si="14"/>
        <v/>
      </c>
      <c r="DQ16" s="463" t="str">
        <f t="shared" ca="1" si="14"/>
        <v/>
      </c>
      <c r="DR16" s="463" t="str">
        <f t="shared" ca="1" si="14"/>
        <v/>
      </c>
      <c r="DS16" s="801">
        <f ca="1">SUMPRODUCT(('1.5 Prognoser og indekser'!$R$12:OFFSET('1.5 Prognoser og indekser'!$R$12,0,$DS$9)),($M16:OFFSET($M16,0,$DS$9)))</f>
        <v>0</v>
      </c>
      <c r="DT16" s="802">
        <f ca="1">IF($DT$9&lt;1,0,SUMPRODUCT(OFFSET('1.5 Prognoser og indekser'!$R$12,0,$DS$9+1,1,$DT$9),OFFSET($M16,0,$DS$9+1,1,$DT$9)))</f>
        <v>0</v>
      </c>
    </row>
    <row r="17" spans="2:124" x14ac:dyDescent="0.35">
      <c r="B17" s="6"/>
      <c r="C17" s="1007" t="s">
        <v>790</v>
      </c>
      <c r="D17" s="1012"/>
      <c r="E17" s="1012"/>
      <c r="F17" s="1012"/>
      <c r="G17" s="1012"/>
      <c r="H17" s="1012"/>
      <c r="I17" s="1012"/>
      <c r="J17" s="1013"/>
      <c r="K17" s="1013"/>
      <c r="L17" s="1014"/>
      <c r="M17" s="1008"/>
      <c r="N17" s="1008"/>
      <c r="O17" s="1008"/>
      <c r="P17" s="1008"/>
      <c r="Q17" s="1008"/>
      <c r="R17" s="1008"/>
      <c r="S17" s="1008"/>
      <c r="T17" s="1008"/>
      <c r="U17" s="1008"/>
      <c r="V17" s="1008"/>
      <c r="W17" s="1012"/>
      <c r="X17" s="1012"/>
      <c r="Y17" s="1012"/>
      <c r="Z17" s="1012"/>
      <c r="AA17" s="1012"/>
      <c r="AB17" s="1012"/>
      <c r="AC17" s="1012"/>
      <c r="AD17" s="1012"/>
      <c r="AE17" s="1012"/>
      <c r="AF17" s="1012"/>
      <c r="AG17" s="1012"/>
      <c r="AH17" s="1012"/>
      <c r="AI17" s="1012"/>
      <c r="AJ17" s="1012"/>
      <c r="AK17" s="1012"/>
      <c r="AL17" s="1012"/>
      <c r="AM17" s="1012"/>
      <c r="AN17" s="1012"/>
      <c r="AO17" s="1012"/>
      <c r="AP17" s="1012"/>
      <c r="AQ17" s="1012"/>
      <c r="AR17" s="1012"/>
      <c r="AS17" s="1012"/>
      <c r="AT17" s="1012"/>
      <c r="AU17" s="1012"/>
      <c r="AV17" s="1012"/>
      <c r="AW17" s="1012"/>
      <c r="AX17" s="1012"/>
      <c r="AY17" s="1012"/>
      <c r="AZ17" s="1012"/>
      <c r="BA17" s="1012"/>
      <c r="BB17" s="1012"/>
      <c r="BC17" s="1012"/>
      <c r="BD17" s="1012"/>
      <c r="BE17" s="1012"/>
      <c r="BF17" s="1012"/>
      <c r="BG17" s="1012"/>
      <c r="BH17" s="1012"/>
      <c r="BI17" s="1012"/>
      <c r="BJ17" s="1012"/>
      <c r="BK17" s="1012"/>
      <c r="BL17" s="1012"/>
      <c r="BM17" s="1012"/>
      <c r="BN17" s="1012"/>
      <c r="BO17" s="1012"/>
      <c r="BP17" s="1012"/>
      <c r="BQ17" s="1012"/>
      <c r="BR17" s="1012"/>
      <c r="BS17" s="1012"/>
      <c r="BT17" s="1012"/>
      <c r="BU17" s="1012"/>
      <c r="BV17" s="1012"/>
      <c r="BW17" s="1012"/>
      <c r="BX17" s="1012"/>
      <c r="BY17" s="1012"/>
      <c r="BZ17" s="1012"/>
      <c r="CA17" s="1012"/>
      <c r="CB17" s="1012"/>
      <c r="CC17" s="1012"/>
      <c r="CD17" s="1012"/>
      <c r="CE17" s="1012"/>
      <c r="CF17" s="1012"/>
      <c r="CG17" s="1012"/>
      <c r="CH17" s="1012"/>
      <c r="CI17" s="1012"/>
      <c r="CJ17" s="1012"/>
      <c r="CK17" s="1012"/>
      <c r="CL17" s="1012"/>
      <c r="CM17" s="1012"/>
      <c r="CN17" s="1012"/>
      <c r="CO17" s="1012"/>
      <c r="CP17" s="1012"/>
      <c r="CQ17" s="1012"/>
      <c r="CR17" s="1012"/>
      <c r="CS17" s="1012"/>
      <c r="CT17" s="1012"/>
      <c r="CU17" s="1012"/>
      <c r="CV17" s="1012"/>
      <c r="CW17" s="1012"/>
      <c r="CX17" s="1012"/>
      <c r="CY17" s="1012"/>
      <c r="CZ17" s="1012"/>
      <c r="DA17" s="1012"/>
      <c r="DB17" s="1012"/>
      <c r="DC17" s="1012"/>
      <c r="DD17" s="1012"/>
      <c r="DE17" s="1012"/>
      <c r="DF17" s="1012"/>
      <c r="DG17" s="1012"/>
      <c r="DH17" s="1012"/>
      <c r="DI17" s="1012"/>
      <c r="DJ17" s="1012"/>
      <c r="DK17" s="1012"/>
      <c r="DL17" s="1012"/>
      <c r="DM17" s="1012"/>
      <c r="DN17" s="1012"/>
      <c r="DO17" s="1012"/>
      <c r="DP17" s="1012"/>
      <c r="DQ17" s="1012"/>
      <c r="DR17" s="1012"/>
      <c r="DS17" s="1015"/>
      <c r="DT17" s="1016"/>
    </row>
    <row r="18" spans="2:124" x14ac:dyDescent="0.35">
      <c r="B18" s="6"/>
      <c r="C18" s="218" t="s">
        <v>1503</v>
      </c>
      <c r="D18" s="463">
        <f>-'2.1 Trafikanter'!C23</f>
        <v>0</v>
      </c>
      <c r="E18" s="463">
        <f>-'2.1 Trafikanter'!D23</f>
        <v>0</v>
      </c>
      <c r="F18" s="463">
        <f>-'2.1 Trafikanter'!E23</f>
        <v>0</v>
      </c>
      <c r="G18" s="463"/>
      <c r="H18" s="463"/>
      <c r="I18" s="463"/>
      <c r="J18" s="790">
        <f>IF(Antall_Beregningsår&lt;2,1,IF(AND(D18=0,E18=0),1,IF(SIGN(D18)=SIGN(E18),(E18/D18)^(1/(AndreBeregningsår-FørsteBeregningsår)),((E18+1.1*ABS(D18-E18))/(D18+1.1*ABS(D18-E18)))^(1/(AndreBeregningsår-FørsteBeregningsår)))))</f>
        <v>1</v>
      </c>
      <c r="K18" s="790">
        <f>IF(Antall_Beregningsår&lt;3,1,IF(AND(E18=0,F18=0),1,IF(SIGN(E18)=SIGN(F18),(F18/E18)^(1/(TredjeBeregningsår-AndreBeregningsår)),((F18+1.1*ABS(E18-F18))/(E18+1.1*ABS(E18-F18)))^(1/(TredjeBeregningsår-AndreBeregningsår)))))</f>
        <v>1</v>
      </c>
      <c r="L18" s="752">
        <f>IF(Framskrivning="Lineær trend",IF(Antall_Beregningsår&gt;2,(F18-E18)/(TredjeBeregningsår-AndreBeregningsår),IF(Antall_Beregningsår&gt;1,(E18-D18)/(AndreBeregningsår-FørsteBeregningsår),0)),0)</f>
        <v>0</v>
      </c>
      <c r="M18" s="712"/>
      <c r="N18" s="712"/>
      <c r="O18" s="712"/>
      <c r="P18" s="712"/>
      <c r="Q18" s="712"/>
      <c r="R18" s="712"/>
      <c r="S18" s="712"/>
      <c r="T18" s="712"/>
      <c r="U18" s="712"/>
      <c r="V18" s="712"/>
      <c r="W18" s="463" t="str">
        <f t="shared" ref="W18:BB18" ca="1" si="15">IF(W$10&lt;=(Åpningsår+ProsjektetsLevetid-1),IF(W10&lt;=AndreBeregningsår,IF(SIGN($D18)=SIGN($E18),$D18*$J18^(W10-FørsteBeregningsår),($D18+1.1*ABS($D18-$E18))*$J18^(W10-FørsteBeregningsår)-1.1*ABS($D18-$E18)),IF(W10&lt;=TredjeBeregningsår,IF(SIGN($E18)=SIGN($F18),$E18*$K18^(W10-AndreBeregningsår),($E18+1.1*ABS($E18-$F18))*$K18^(W10-AndreBeregningsår)-1.1*ABS($E18-$F18)),OFFSET($D18,0,Antall_Beregningsår-1)*LOOKUP(W10,SerieÅR,SerieVolumvekstperson)+$L18*(W10-IF(Antall_Beregningsår&gt;2,TredjeBeregningsår,AndreBeregningsår))))*KPIJustering*LOOKUP(W10,SerieÅR,SerieRealprisjustering),"")</f>
        <v/>
      </c>
      <c r="X18" s="463" t="str">
        <f t="shared" ca="1" si="15"/>
        <v/>
      </c>
      <c r="Y18" s="463" t="str">
        <f t="shared" ca="1" si="15"/>
        <v/>
      </c>
      <c r="Z18" s="463" t="str">
        <f t="shared" ca="1" si="15"/>
        <v/>
      </c>
      <c r="AA18" s="463" t="str">
        <f t="shared" ca="1" si="15"/>
        <v/>
      </c>
      <c r="AB18" s="463" t="str">
        <f t="shared" ca="1" si="15"/>
        <v/>
      </c>
      <c r="AC18" s="463" t="str">
        <f t="shared" ca="1" si="15"/>
        <v/>
      </c>
      <c r="AD18" s="463" t="str">
        <f t="shared" ca="1" si="15"/>
        <v/>
      </c>
      <c r="AE18" s="463" t="str">
        <f t="shared" ca="1" si="15"/>
        <v/>
      </c>
      <c r="AF18" s="463" t="str">
        <f t="shared" ca="1" si="15"/>
        <v/>
      </c>
      <c r="AG18" s="463" t="str">
        <f t="shared" ca="1" si="15"/>
        <v/>
      </c>
      <c r="AH18" s="463" t="str">
        <f t="shared" ca="1" si="15"/>
        <v/>
      </c>
      <c r="AI18" s="463" t="str">
        <f t="shared" ca="1" si="15"/>
        <v/>
      </c>
      <c r="AJ18" s="463" t="str">
        <f t="shared" ca="1" si="15"/>
        <v/>
      </c>
      <c r="AK18" s="463" t="str">
        <f t="shared" ca="1" si="15"/>
        <v/>
      </c>
      <c r="AL18" s="463" t="str">
        <f t="shared" ca="1" si="15"/>
        <v/>
      </c>
      <c r="AM18" s="463" t="str">
        <f t="shared" ca="1" si="15"/>
        <v/>
      </c>
      <c r="AN18" s="463" t="str">
        <f t="shared" ca="1" si="15"/>
        <v/>
      </c>
      <c r="AO18" s="463" t="str">
        <f t="shared" ca="1" si="15"/>
        <v/>
      </c>
      <c r="AP18" s="463" t="str">
        <f t="shared" ca="1" si="15"/>
        <v/>
      </c>
      <c r="AQ18" s="463" t="str">
        <f t="shared" ca="1" si="15"/>
        <v/>
      </c>
      <c r="AR18" s="463" t="str">
        <f t="shared" ca="1" si="15"/>
        <v/>
      </c>
      <c r="AS18" s="463" t="str">
        <f t="shared" ca="1" si="15"/>
        <v/>
      </c>
      <c r="AT18" s="463" t="str">
        <f t="shared" ca="1" si="15"/>
        <v/>
      </c>
      <c r="AU18" s="463" t="str">
        <f t="shared" ca="1" si="15"/>
        <v/>
      </c>
      <c r="AV18" s="463" t="str">
        <f t="shared" ca="1" si="15"/>
        <v/>
      </c>
      <c r="AW18" s="463" t="str">
        <f t="shared" ca="1" si="15"/>
        <v/>
      </c>
      <c r="AX18" s="463" t="str">
        <f t="shared" ca="1" si="15"/>
        <v/>
      </c>
      <c r="AY18" s="463" t="str">
        <f t="shared" ca="1" si="15"/>
        <v/>
      </c>
      <c r="AZ18" s="463" t="str">
        <f t="shared" ca="1" si="15"/>
        <v/>
      </c>
      <c r="BA18" s="463" t="str">
        <f t="shared" ca="1" si="15"/>
        <v/>
      </c>
      <c r="BB18" s="463" t="str">
        <f t="shared" ca="1" si="15"/>
        <v/>
      </c>
      <c r="BC18" s="463" t="str">
        <f t="shared" ref="BC18:CH18" ca="1" si="16">IF(BC$10&lt;=(Åpningsår+ProsjektetsLevetid-1),IF(BC10&lt;=AndreBeregningsår,IF(SIGN($D18)=SIGN($E18),$D18*$J18^(BC10-FørsteBeregningsår),($D18+1.1*ABS($D18-$E18))*$J18^(BC10-FørsteBeregningsår)-1.1*ABS($D18-$E18)),IF(BC10&lt;=TredjeBeregningsår,IF(SIGN($E18)=SIGN($F18),$E18*$K18^(BC10-AndreBeregningsår),($E18+1.1*ABS($E18-$F18))*$K18^(BC10-AndreBeregningsår)-1.1*ABS($E18-$F18)),OFFSET($D18,0,Antall_Beregningsår-1)*LOOKUP(BC10,SerieÅR,SerieVolumvekstperson)+$L18*(BC10-IF(Antall_Beregningsår&gt;2,TredjeBeregningsår,AndreBeregningsår))))*KPIJustering*LOOKUP(BC10,SerieÅR,SerieRealprisjustering),"")</f>
        <v/>
      </c>
      <c r="BD18" s="463" t="str">
        <f t="shared" ca="1" si="16"/>
        <v/>
      </c>
      <c r="BE18" s="463" t="str">
        <f t="shared" ca="1" si="16"/>
        <v/>
      </c>
      <c r="BF18" s="463" t="str">
        <f t="shared" ca="1" si="16"/>
        <v/>
      </c>
      <c r="BG18" s="463" t="str">
        <f t="shared" ca="1" si="16"/>
        <v/>
      </c>
      <c r="BH18" s="463" t="str">
        <f t="shared" ca="1" si="16"/>
        <v/>
      </c>
      <c r="BI18" s="463" t="str">
        <f t="shared" ca="1" si="16"/>
        <v/>
      </c>
      <c r="BJ18" s="463" t="str">
        <f t="shared" ca="1" si="16"/>
        <v/>
      </c>
      <c r="BK18" s="463" t="str">
        <f t="shared" ca="1" si="16"/>
        <v/>
      </c>
      <c r="BL18" s="463" t="str">
        <f t="shared" ca="1" si="16"/>
        <v/>
      </c>
      <c r="BM18" s="463" t="str">
        <f t="shared" ca="1" si="16"/>
        <v/>
      </c>
      <c r="BN18" s="463" t="str">
        <f t="shared" ca="1" si="16"/>
        <v/>
      </c>
      <c r="BO18" s="463" t="str">
        <f t="shared" ca="1" si="16"/>
        <v/>
      </c>
      <c r="BP18" s="463" t="str">
        <f t="shared" ca="1" si="16"/>
        <v/>
      </c>
      <c r="BQ18" s="463" t="str">
        <f t="shared" ca="1" si="16"/>
        <v/>
      </c>
      <c r="BR18" s="463" t="str">
        <f t="shared" ca="1" si="16"/>
        <v/>
      </c>
      <c r="BS18" s="463" t="str">
        <f t="shared" ca="1" si="16"/>
        <v/>
      </c>
      <c r="BT18" s="463" t="str">
        <f t="shared" ca="1" si="16"/>
        <v/>
      </c>
      <c r="BU18" s="463" t="str">
        <f t="shared" ca="1" si="16"/>
        <v/>
      </c>
      <c r="BV18" s="463" t="str">
        <f t="shared" ca="1" si="16"/>
        <v/>
      </c>
      <c r="BW18" s="463" t="str">
        <f t="shared" ca="1" si="16"/>
        <v/>
      </c>
      <c r="BX18" s="463" t="str">
        <f t="shared" ca="1" si="16"/>
        <v/>
      </c>
      <c r="BY18" s="463" t="str">
        <f t="shared" ca="1" si="16"/>
        <v/>
      </c>
      <c r="BZ18" s="463" t="str">
        <f t="shared" ca="1" si="16"/>
        <v/>
      </c>
      <c r="CA18" s="463" t="str">
        <f t="shared" ca="1" si="16"/>
        <v/>
      </c>
      <c r="CB18" s="463" t="str">
        <f t="shared" ca="1" si="16"/>
        <v/>
      </c>
      <c r="CC18" s="463" t="str">
        <f t="shared" ca="1" si="16"/>
        <v/>
      </c>
      <c r="CD18" s="463" t="str">
        <f t="shared" ca="1" si="16"/>
        <v/>
      </c>
      <c r="CE18" s="463" t="str">
        <f t="shared" ca="1" si="16"/>
        <v/>
      </c>
      <c r="CF18" s="463" t="str">
        <f t="shared" ca="1" si="16"/>
        <v/>
      </c>
      <c r="CG18" s="463" t="str">
        <f t="shared" ca="1" si="16"/>
        <v/>
      </c>
      <c r="CH18" s="463" t="str">
        <f t="shared" ca="1" si="16"/>
        <v/>
      </c>
      <c r="CI18" s="463" t="str">
        <f t="shared" ref="CI18:DR18" ca="1" si="17">IF(CI$10&lt;=(Åpningsår+ProsjektetsLevetid-1),IF(CI10&lt;=AndreBeregningsår,IF(SIGN($D18)=SIGN($E18),$D18*$J18^(CI10-FørsteBeregningsår),($D18+1.1*ABS($D18-$E18))*$J18^(CI10-FørsteBeregningsår)-1.1*ABS($D18-$E18)),IF(CI10&lt;=TredjeBeregningsår,IF(SIGN($E18)=SIGN($F18),$E18*$K18^(CI10-AndreBeregningsår),($E18+1.1*ABS($E18-$F18))*$K18^(CI10-AndreBeregningsår)-1.1*ABS($E18-$F18)),OFFSET($D18,0,Antall_Beregningsår-1)*LOOKUP(CI10,SerieÅR,SerieVolumvekstperson)+$L18*(CI10-IF(Antall_Beregningsår&gt;2,TredjeBeregningsår,AndreBeregningsår))))*KPIJustering*LOOKUP(CI10,SerieÅR,SerieRealprisjustering),"")</f>
        <v/>
      </c>
      <c r="CJ18" s="463" t="str">
        <f t="shared" ca="1" si="17"/>
        <v/>
      </c>
      <c r="CK18" s="463" t="str">
        <f t="shared" ca="1" si="17"/>
        <v/>
      </c>
      <c r="CL18" s="463" t="str">
        <f t="shared" ca="1" si="17"/>
        <v/>
      </c>
      <c r="CM18" s="463" t="str">
        <f t="shared" ca="1" si="17"/>
        <v/>
      </c>
      <c r="CN18" s="463" t="str">
        <f t="shared" ca="1" si="17"/>
        <v/>
      </c>
      <c r="CO18" s="463" t="str">
        <f t="shared" ca="1" si="17"/>
        <v/>
      </c>
      <c r="CP18" s="463" t="str">
        <f t="shared" ca="1" si="17"/>
        <v/>
      </c>
      <c r="CQ18" s="463" t="str">
        <f t="shared" ca="1" si="17"/>
        <v/>
      </c>
      <c r="CR18" s="463" t="str">
        <f t="shared" ca="1" si="17"/>
        <v/>
      </c>
      <c r="CS18" s="463" t="str">
        <f t="shared" ca="1" si="17"/>
        <v/>
      </c>
      <c r="CT18" s="463" t="str">
        <f t="shared" ca="1" si="17"/>
        <v/>
      </c>
      <c r="CU18" s="463" t="str">
        <f t="shared" ca="1" si="17"/>
        <v/>
      </c>
      <c r="CV18" s="463" t="str">
        <f t="shared" ca="1" si="17"/>
        <v/>
      </c>
      <c r="CW18" s="463" t="str">
        <f t="shared" ca="1" si="17"/>
        <v/>
      </c>
      <c r="CX18" s="463" t="str">
        <f t="shared" ca="1" si="17"/>
        <v/>
      </c>
      <c r="CY18" s="463" t="str">
        <f t="shared" ca="1" si="17"/>
        <v/>
      </c>
      <c r="CZ18" s="463" t="str">
        <f t="shared" ca="1" si="17"/>
        <v/>
      </c>
      <c r="DA18" s="463" t="str">
        <f t="shared" ca="1" si="17"/>
        <v/>
      </c>
      <c r="DB18" s="463" t="str">
        <f t="shared" ca="1" si="17"/>
        <v/>
      </c>
      <c r="DC18" s="463" t="str">
        <f t="shared" ca="1" si="17"/>
        <v/>
      </c>
      <c r="DD18" s="463" t="str">
        <f t="shared" ca="1" si="17"/>
        <v/>
      </c>
      <c r="DE18" s="463" t="str">
        <f t="shared" ca="1" si="17"/>
        <v/>
      </c>
      <c r="DF18" s="463" t="str">
        <f t="shared" ca="1" si="17"/>
        <v/>
      </c>
      <c r="DG18" s="463" t="str">
        <f t="shared" ca="1" si="17"/>
        <v/>
      </c>
      <c r="DH18" s="463" t="str">
        <f t="shared" ca="1" si="17"/>
        <v/>
      </c>
      <c r="DI18" s="463" t="str">
        <f t="shared" ca="1" si="17"/>
        <v/>
      </c>
      <c r="DJ18" s="463" t="str">
        <f t="shared" ca="1" si="17"/>
        <v/>
      </c>
      <c r="DK18" s="463" t="str">
        <f t="shared" ca="1" si="17"/>
        <v/>
      </c>
      <c r="DL18" s="463" t="str">
        <f t="shared" ca="1" si="17"/>
        <v/>
      </c>
      <c r="DM18" s="463" t="str">
        <f t="shared" ca="1" si="17"/>
        <v/>
      </c>
      <c r="DN18" s="463" t="str">
        <f t="shared" ca="1" si="17"/>
        <v/>
      </c>
      <c r="DO18" s="463" t="str">
        <f t="shared" ca="1" si="17"/>
        <v/>
      </c>
      <c r="DP18" s="463" t="str">
        <f t="shared" ca="1" si="17"/>
        <v/>
      </c>
      <c r="DQ18" s="463" t="str">
        <f t="shared" ca="1" si="17"/>
        <v/>
      </c>
      <c r="DR18" s="463" t="str">
        <f t="shared" ca="1" si="17"/>
        <v/>
      </c>
      <c r="DS18" s="801">
        <f ca="1">SUMPRODUCT(('1.5 Prognoser og indekser'!$R$12:OFFSET('1.5 Prognoser og indekser'!$R$12,0,$DS$9)),($M18:OFFSET($M18,0,$DS$9)))</f>
        <v>0</v>
      </c>
      <c r="DT18" s="802">
        <f ca="1">IF($DT$9&lt;1,0,SUMPRODUCT(OFFSET('1.5 Prognoser og indekser'!$R$12,0,$DS$9+1,1,$DT$9),OFFSET($M18,0,$DS$9+1,1,$DT$9)))</f>
        <v>0</v>
      </c>
    </row>
    <row r="19" spans="2:124" x14ac:dyDescent="0.35">
      <c r="B19" s="6"/>
      <c r="C19" s="504" t="s">
        <v>1504</v>
      </c>
      <c r="D19" s="463">
        <f>-'2.1 Trafikanter'!C24</f>
        <v>0</v>
      </c>
      <c r="E19" s="463">
        <f>-'2.1 Trafikanter'!D24</f>
        <v>0</v>
      </c>
      <c r="F19" s="463">
        <f>-'2.1 Trafikanter'!E24</f>
        <v>0</v>
      </c>
      <c r="G19" s="463"/>
      <c r="H19" s="463"/>
      <c r="I19" s="463"/>
      <c r="J19" s="790">
        <f>IF(Antall_Beregningsår&lt;2,1,IF(AND(D19=0,E19=0),1,IF(SIGN(D19)=SIGN(E19),(E19/D19)^(1/(AndreBeregningsår-FørsteBeregningsår)),((E19+1.1*ABS(D19-E19))/(D19+1.1*ABS(D19-E19)))^(1/(AndreBeregningsår-FørsteBeregningsår)))))</f>
        <v>1</v>
      </c>
      <c r="K19" s="790">
        <f>IF(Antall_Beregningsår&lt;3,1,IF(AND(E19=0,F19=0),1,IF(SIGN(E19)=SIGN(F19),(F19/E19)^(1/(TredjeBeregningsår-AndreBeregningsår)),((F19+1.1*ABS(E19-F19))/(E19+1.1*ABS(E19-F19)))^(1/(TredjeBeregningsår-AndreBeregningsår)))))</f>
        <v>1</v>
      </c>
      <c r="L19" s="752">
        <f>IF(Framskrivning="Lineær trend",IF(Antall_Beregningsår&gt;2,(F19-E19)/(TredjeBeregningsår-AndreBeregningsår),IF(Antall_Beregningsår&gt;1,(E19-D19)/(AndreBeregningsår-FørsteBeregningsår),0)),0)</f>
        <v>0</v>
      </c>
      <c r="M19" s="712"/>
      <c r="N19" s="712"/>
      <c r="O19" s="712"/>
      <c r="P19" s="712"/>
      <c r="Q19" s="712"/>
      <c r="R19" s="712"/>
      <c r="S19" s="712"/>
      <c r="T19" s="712"/>
      <c r="U19" s="712"/>
      <c r="V19" s="712"/>
      <c r="W19" s="463" t="str">
        <f t="shared" ref="W19:BB19" ca="1" si="18">IF(W$10&lt;=(Åpningsår+ProsjektetsLevetid-1),IF(W10&lt;=AndreBeregningsår,IF(SIGN($D19)=SIGN($E19),$D19*$J19^(W10-FørsteBeregningsår),($D19+1.1*ABS($D19-$E19))*$J19^(W10-FørsteBeregningsår)-1.1*ABS($D19-$E19)),IF(W10&lt;=TredjeBeregningsår,IF(SIGN($E19)=SIGN($F19),$E19*$K19^(W10-AndreBeregningsår),($E19+1.1*ABS($E19-$F19))*$K19^(W10-AndreBeregningsår)-1.1*ABS($E19-$F19)),OFFSET($D19,0,Antall_Beregningsår-1)*LOOKUP(W10,SerieÅR,SerieVolumvekstGods)+$L19*(W10-IF(Antall_Beregningsår&gt;2,TredjeBeregningsår,AndreBeregningsår))))*KPIJustering*LOOKUP(W10,SerieÅR,SerieRealprisjustering),"")</f>
        <v/>
      </c>
      <c r="X19" s="463" t="str">
        <f t="shared" ca="1" si="18"/>
        <v/>
      </c>
      <c r="Y19" s="463" t="str">
        <f t="shared" ca="1" si="18"/>
        <v/>
      </c>
      <c r="Z19" s="463" t="str">
        <f t="shared" ca="1" si="18"/>
        <v/>
      </c>
      <c r="AA19" s="463" t="str">
        <f t="shared" ca="1" si="18"/>
        <v/>
      </c>
      <c r="AB19" s="463" t="str">
        <f t="shared" ca="1" si="18"/>
        <v/>
      </c>
      <c r="AC19" s="463" t="str">
        <f t="shared" ca="1" si="18"/>
        <v/>
      </c>
      <c r="AD19" s="463" t="str">
        <f t="shared" ca="1" si="18"/>
        <v/>
      </c>
      <c r="AE19" s="463" t="str">
        <f t="shared" ca="1" si="18"/>
        <v/>
      </c>
      <c r="AF19" s="463" t="str">
        <f t="shared" ca="1" si="18"/>
        <v/>
      </c>
      <c r="AG19" s="463" t="str">
        <f t="shared" ca="1" si="18"/>
        <v/>
      </c>
      <c r="AH19" s="463" t="str">
        <f t="shared" ca="1" si="18"/>
        <v/>
      </c>
      <c r="AI19" s="463" t="str">
        <f t="shared" ca="1" si="18"/>
        <v/>
      </c>
      <c r="AJ19" s="463" t="str">
        <f t="shared" ca="1" si="18"/>
        <v/>
      </c>
      <c r="AK19" s="463" t="str">
        <f t="shared" ca="1" si="18"/>
        <v/>
      </c>
      <c r="AL19" s="463" t="str">
        <f t="shared" ca="1" si="18"/>
        <v/>
      </c>
      <c r="AM19" s="463" t="str">
        <f t="shared" ca="1" si="18"/>
        <v/>
      </c>
      <c r="AN19" s="463" t="str">
        <f t="shared" ca="1" si="18"/>
        <v/>
      </c>
      <c r="AO19" s="463" t="str">
        <f t="shared" ca="1" si="18"/>
        <v/>
      </c>
      <c r="AP19" s="463" t="str">
        <f t="shared" ca="1" si="18"/>
        <v/>
      </c>
      <c r="AQ19" s="463" t="str">
        <f t="shared" ca="1" si="18"/>
        <v/>
      </c>
      <c r="AR19" s="463" t="str">
        <f t="shared" ca="1" si="18"/>
        <v/>
      </c>
      <c r="AS19" s="463" t="str">
        <f t="shared" ca="1" si="18"/>
        <v/>
      </c>
      <c r="AT19" s="463" t="str">
        <f t="shared" ca="1" si="18"/>
        <v/>
      </c>
      <c r="AU19" s="463" t="str">
        <f t="shared" ca="1" si="18"/>
        <v/>
      </c>
      <c r="AV19" s="463" t="str">
        <f t="shared" ca="1" si="18"/>
        <v/>
      </c>
      <c r="AW19" s="463" t="str">
        <f t="shared" ca="1" si="18"/>
        <v/>
      </c>
      <c r="AX19" s="463" t="str">
        <f t="shared" ca="1" si="18"/>
        <v/>
      </c>
      <c r="AY19" s="463" t="str">
        <f t="shared" ca="1" si="18"/>
        <v/>
      </c>
      <c r="AZ19" s="463" t="str">
        <f t="shared" ca="1" si="18"/>
        <v/>
      </c>
      <c r="BA19" s="463" t="str">
        <f t="shared" ca="1" si="18"/>
        <v/>
      </c>
      <c r="BB19" s="463" t="str">
        <f t="shared" ca="1" si="18"/>
        <v/>
      </c>
      <c r="BC19" s="463" t="str">
        <f t="shared" ref="BC19:CH19" ca="1" si="19">IF(BC$10&lt;=(Åpningsår+ProsjektetsLevetid-1),IF(BC10&lt;=AndreBeregningsår,IF(SIGN($D19)=SIGN($E19),$D19*$J19^(BC10-FørsteBeregningsår),($D19+1.1*ABS($D19-$E19))*$J19^(BC10-FørsteBeregningsår)-1.1*ABS($D19-$E19)),IF(BC10&lt;=TredjeBeregningsår,IF(SIGN($E19)=SIGN($F19),$E19*$K19^(BC10-AndreBeregningsår),($E19+1.1*ABS($E19-$F19))*$K19^(BC10-AndreBeregningsår)-1.1*ABS($E19-$F19)),OFFSET($D19,0,Antall_Beregningsår-1)*LOOKUP(BC10,SerieÅR,SerieVolumvekstGods)+$L19*(BC10-IF(Antall_Beregningsår&gt;2,TredjeBeregningsår,AndreBeregningsår))))*KPIJustering*LOOKUP(BC10,SerieÅR,SerieRealprisjustering),"")</f>
        <v/>
      </c>
      <c r="BD19" s="463" t="str">
        <f t="shared" ca="1" si="19"/>
        <v/>
      </c>
      <c r="BE19" s="463" t="str">
        <f t="shared" ca="1" si="19"/>
        <v/>
      </c>
      <c r="BF19" s="463" t="str">
        <f t="shared" ca="1" si="19"/>
        <v/>
      </c>
      <c r="BG19" s="463" t="str">
        <f t="shared" ca="1" si="19"/>
        <v/>
      </c>
      <c r="BH19" s="463" t="str">
        <f t="shared" ca="1" si="19"/>
        <v/>
      </c>
      <c r="BI19" s="463" t="str">
        <f t="shared" ca="1" si="19"/>
        <v/>
      </c>
      <c r="BJ19" s="463" t="str">
        <f t="shared" ca="1" si="19"/>
        <v/>
      </c>
      <c r="BK19" s="463" t="str">
        <f t="shared" ca="1" si="19"/>
        <v/>
      </c>
      <c r="BL19" s="463" t="str">
        <f t="shared" ca="1" si="19"/>
        <v/>
      </c>
      <c r="BM19" s="463" t="str">
        <f t="shared" ca="1" si="19"/>
        <v/>
      </c>
      <c r="BN19" s="463" t="str">
        <f t="shared" ca="1" si="19"/>
        <v/>
      </c>
      <c r="BO19" s="463" t="str">
        <f t="shared" ca="1" si="19"/>
        <v/>
      </c>
      <c r="BP19" s="463" t="str">
        <f t="shared" ca="1" si="19"/>
        <v/>
      </c>
      <c r="BQ19" s="463" t="str">
        <f t="shared" ca="1" si="19"/>
        <v/>
      </c>
      <c r="BR19" s="463" t="str">
        <f t="shared" ca="1" si="19"/>
        <v/>
      </c>
      <c r="BS19" s="463" t="str">
        <f t="shared" ca="1" si="19"/>
        <v/>
      </c>
      <c r="BT19" s="463" t="str">
        <f t="shared" ca="1" si="19"/>
        <v/>
      </c>
      <c r="BU19" s="463" t="str">
        <f t="shared" ca="1" si="19"/>
        <v/>
      </c>
      <c r="BV19" s="463" t="str">
        <f t="shared" ca="1" si="19"/>
        <v/>
      </c>
      <c r="BW19" s="463" t="str">
        <f t="shared" ca="1" si="19"/>
        <v/>
      </c>
      <c r="BX19" s="463" t="str">
        <f t="shared" ca="1" si="19"/>
        <v/>
      </c>
      <c r="BY19" s="463" t="str">
        <f t="shared" ca="1" si="19"/>
        <v/>
      </c>
      <c r="BZ19" s="463" t="str">
        <f t="shared" ca="1" si="19"/>
        <v/>
      </c>
      <c r="CA19" s="463" t="str">
        <f t="shared" ca="1" si="19"/>
        <v/>
      </c>
      <c r="CB19" s="463" t="str">
        <f t="shared" ca="1" si="19"/>
        <v/>
      </c>
      <c r="CC19" s="463" t="str">
        <f t="shared" ca="1" si="19"/>
        <v/>
      </c>
      <c r="CD19" s="463" t="str">
        <f t="shared" ca="1" si="19"/>
        <v/>
      </c>
      <c r="CE19" s="463" t="str">
        <f t="shared" ca="1" si="19"/>
        <v/>
      </c>
      <c r="CF19" s="463" t="str">
        <f t="shared" ca="1" si="19"/>
        <v/>
      </c>
      <c r="CG19" s="463" t="str">
        <f t="shared" ca="1" si="19"/>
        <v/>
      </c>
      <c r="CH19" s="463" t="str">
        <f t="shared" ca="1" si="19"/>
        <v/>
      </c>
      <c r="CI19" s="463" t="str">
        <f t="shared" ref="CI19:DR19" ca="1" si="20">IF(CI$10&lt;=(Åpningsår+ProsjektetsLevetid-1),IF(CI10&lt;=AndreBeregningsår,IF(SIGN($D19)=SIGN($E19),$D19*$J19^(CI10-FørsteBeregningsår),($D19+1.1*ABS($D19-$E19))*$J19^(CI10-FørsteBeregningsår)-1.1*ABS($D19-$E19)),IF(CI10&lt;=TredjeBeregningsår,IF(SIGN($E19)=SIGN($F19),$E19*$K19^(CI10-AndreBeregningsår),($E19+1.1*ABS($E19-$F19))*$K19^(CI10-AndreBeregningsår)-1.1*ABS($E19-$F19)),OFFSET($D19,0,Antall_Beregningsår-1)*LOOKUP(CI10,SerieÅR,SerieVolumvekstGods)+$L19*(CI10-IF(Antall_Beregningsår&gt;2,TredjeBeregningsår,AndreBeregningsår))))*KPIJustering*LOOKUP(CI10,SerieÅR,SerieRealprisjustering),"")</f>
        <v/>
      </c>
      <c r="CJ19" s="463" t="str">
        <f t="shared" ca="1" si="20"/>
        <v/>
      </c>
      <c r="CK19" s="463" t="str">
        <f t="shared" ca="1" si="20"/>
        <v/>
      </c>
      <c r="CL19" s="463" t="str">
        <f t="shared" ca="1" si="20"/>
        <v/>
      </c>
      <c r="CM19" s="463" t="str">
        <f t="shared" ca="1" si="20"/>
        <v/>
      </c>
      <c r="CN19" s="463" t="str">
        <f t="shared" ca="1" si="20"/>
        <v/>
      </c>
      <c r="CO19" s="463" t="str">
        <f t="shared" ca="1" si="20"/>
        <v/>
      </c>
      <c r="CP19" s="463" t="str">
        <f t="shared" ca="1" si="20"/>
        <v/>
      </c>
      <c r="CQ19" s="463" t="str">
        <f t="shared" ca="1" si="20"/>
        <v/>
      </c>
      <c r="CR19" s="463" t="str">
        <f t="shared" ca="1" si="20"/>
        <v/>
      </c>
      <c r="CS19" s="463" t="str">
        <f t="shared" ca="1" si="20"/>
        <v/>
      </c>
      <c r="CT19" s="463" t="str">
        <f t="shared" ca="1" si="20"/>
        <v/>
      </c>
      <c r="CU19" s="463" t="str">
        <f t="shared" ca="1" si="20"/>
        <v/>
      </c>
      <c r="CV19" s="463" t="str">
        <f t="shared" ca="1" si="20"/>
        <v/>
      </c>
      <c r="CW19" s="463" t="str">
        <f t="shared" ca="1" si="20"/>
        <v/>
      </c>
      <c r="CX19" s="463" t="str">
        <f t="shared" ca="1" si="20"/>
        <v/>
      </c>
      <c r="CY19" s="463" t="str">
        <f t="shared" ca="1" si="20"/>
        <v/>
      </c>
      <c r="CZ19" s="463" t="str">
        <f t="shared" ca="1" si="20"/>
        <v/>
      </c>
      <c r="DA19" s="463" t="str">
        <f t="shared" ca="1" si="20"/>
        <v/>
      </c>
      <c r="DB19" s="463" t="str">
        <f t="shared" ca="1" si="20"/>
        <v/>
      </c>
      <c r="DC19" s="463" t="str">
        <f t="shared" ca="1" si="20"/>
        <v/>
      </c>
      <c r="DD19" s="463" t="str">
        <f t="shared" ca="1" si="20"/>
        <v/>
      </c>
      <c r="DE19" s="463" t="str">
        <f t="shared" ca="1" si="20"/>
        <v/>
      </c>
      <c r="DF19" s="463" t="str">
        <f t="shared" ca="1" si="20"/>
        <v/>
      </c>
      <c r="DG19" s="463" t="str">
        <f t="shared" ca="1" si="20"/>
        <v/>
      </c>
      <c r="DH19" s="463" t="str">
        <f t="shared" ca="1" si="20"/>
        <v/>
      </c>
      <c r="DI19" s="463" t="str">
        <f t="shared" ca="1" si="20"/>
        <v/>
      </c>
      <c r="DJ19" s="463" t="str">
        <f t="shared" ca="1" si="20"/>
        <v/>
      </c>
      <c r="DK19" s="463" t="str">
        <f t="shared" ca="1" si="20"/>
        <v/>
      </c>
      <c r="DL19" s="463" t="str">
        <f t="shared" ca="1" si="20"/>
        <v/>
      </c>
      <c r="DM19" s="463" t="str">
        <f t="shared" ca="1" si="20"/>
        <v/>
      </c>
      <c r="DN19" s="463" t="str">
        <f t="shared" ca="1" si="20"/>
        <v/>
      </c>
      <c r="DO19" s="463" t="str">
        <f t="shared" ca="1" si="20"/>
        <v/>
      </c>
      <c r="DP19" s="463" t="str">
        <f t="shared" ca="1" si="20"/>
        <v/>
      </c>
      <c r="DQ19" s="463" t="str">
        <f t="shared" ca="1" si="20"/>
        <v/>
      </c>
      <c r="DR19" s="463" t="str">
        <f t="shared" ca="1" si="20"/>
        <v/>
      </c>
      <c r="DS19" s="801">
        <f ca="1">SUMPRODUCT(('1.5 Prognoser og indekser'!$R$12:OFFSET('1.5 Prognoser og indekser'!$R$12,0,$DS$9)),($M19:OFFSET($M19,0,$DS$9)))</f>
        <v>0</v>
      </c>
      <c r="DT19" s="802">
        <f ca="1">IF($DT$9&lt;1,0,SUMPRODUCT(OFFSET('1.5 Prognoser og indekser'!$R$12,0,$DS$9+1,1,$DT$9),OFFSET($M19,0,$DS$9+1,1,$DT$9)))</f>
        <v>0</v>
      </c>
    </row>
    <row r="20" spans="2:124" x14ac:dyDescent="0.35">
      <c r="B20" s="6"/>
      <c r="C20" s="504" t="s">
        <v>603</v>
      </c>
      <c r="D20" s="463">
        <f>-'2.1 Trafikanter'!C25</f>
        <v>0</v>
      </c>
      <c r="E20" s="463">
        <f>-'2.1 Trafikanter'!D25</f>
        <v>0</v>
      </c>
      <c r="F20" s="463">
        <f>-'2.1 Trafikanter'!E25</f>
        <v>0</v>
      </c>
      <c r="G20" s="463"/>
      <c r="H20" s="463"/>
      <c r="I20" s="463"/>
      <c r="J20" s="790">
        <f>IF(Antall_Beregningsår&lt;2,1,IF(AND(D20=0,E20=0),1,IF(SIGN(D20)=SIGN(E20),(E20/D20)^(1/(AndreBeregningsår-FørsteBeregningsår)),((E20+1.1*ABS(D20-E20))/(D20+1.1*ABS(D20-E20)))^(1/(AndreBeregningsår-FørsteBeregningsår)))))</f>
        <v>1</v>
      </c>
      <c r="K20" s="790">
        <f>IF(Antall_Beregningsår&lt;3,1,IF(AND(E20=0,F20=0),1,IF(SIGN(E20)=SIGN(F20),(F20/E20)^(1/(TredjeBeregningsår-AndreBeregningsår)),((F20+1.1*ABS(E20-F20))/(E20+1.1*ABS(E20-F20)))^(1/(TredjeBeregningsår-AndreBeregningsår)))))</f>
        <v>1</v>
      </c>
      <c r="L20" s="752">
        <f>IF(Framskrivning="Lineær trend",IF(Antall_Beregningsår&gt;2,(F20-E20)/(TredjeBeregningsår-AndreBeregningsår),IF(Antall_Beregningsår&gt;1,(E20-D20)/(AndreBeregningsår-FørsteBeregningsår),0)),0)</f>
        <v>0</v>
      </c>
      <c r="M20" s="712"/>
      <c r="N20" s="712"/>
      <c r="O20" s="712"/>
      <c r="P20" s="712"/>
      <c r="Q20" s="712"/>
      <c r="R20" s="712"/>
      <c r="S20" s="712"/>
      <c r="T20" s="712"/>
      <c r="U20" s="712"/>
      <c r="V20" s="712"/>
      <c r="W20" s="463" t="str">
        <f t="shared" ref="W20:BB20" ca="1" si="21">IF(W$10&lt;=(Åpningsår+ProsjektetsLevetid-1),IF(W10&lt;=AndreBeregningsår,IF(SIGN($D20)=SIGN($E20),$D20*$J20^(W10-FørsteBeregningsår),($D20+1.1*ABS($D20-$E20))*$J20^(W10-FørsteBeregningsår)-1.1*ABS($D20-$E20)),IF(W10&lt;=TredjeBeregningsår,IF(SIGN($E20)=SIGN($F20),$E20*$K20^(W10-AndreBeregningsår),($E20+1.1*ABS($E20-$F20))*$K20^(W10-AndreBeregningsår)-1.1*ABS($E20-$F20)),OFFSET($D20,0,Antall_Beregningsår-1)*LOOKUP(W10,SerieÅR,SerieVolumvekstperson)+$L20*(W10-IF(Antall_Beregningsår&gt;2,TredjeBeregningsår,AndreBeregningsår))))*KPIJustering*LOOKUP(W10,SerieÅR,SerieRealprisjustering),"")</f>
        <v/>
      </c>
      <c r="X20" s="463" t="str">
        <f t="shared" ca="1" si="21"/>
        <v/>
      </c>
      <c r="Y20" s="463" t="str">
        <f t="shared" ca="1" si="21"/>
        <v/>
      </c>
      <c r="Z20" s="463" t="str">
        <f t="shared" ca="1" si="21"/>
        <v/>
      </c>
      <c r="AA20" s="463" t="str">
        <f t="shared" ca="1" si="21"/>
        <v/>
      </c>
      <c r="AB20" s="463" t="str">
        <f t="shared" ca="1" si="21"/>
        <v/>
      </c>
      <c r="AC20" s="463" t="str">
        <f t="shared" ca="1" si="21"/>
        <v/>
      </c>
      <c r="AD20" s="463" t="str">
        <f t="shared" ca="1" si="21"/>
        <v/>
      </c>
      <c r="AE20" s="463" t="str">
        <f t="shared" ca="1" si="21"/>
        <v/>
      </c>
      <c r="AF20" s="463" t="str">
        <f t="shared" ca="1" si="21"/>
        <v/>
      </c>
      <c r="AG20" s="463" t="str">
        <f t="shared" ca="1" si="21"/>
        <v/>
      </c>
      <c r="AH20" s="463" t="str">
        <f t="shared" ca="1" si="21"/>
        <v/>
      </c>
      <c r="AI20" s="463" t="str">
        <f t="shared" ca="1" si="21"/>
        <v/>
      </c>
      <c r="AJ20" s="463" t="str">
        <f t="shared" ca="1" si="21"/>
        <v/>
      </c>
      <c r="AK20" s="463" t="str">
        <f t="shared" ca="1" si="21"/>
        <v/>
      </c>
      <c r="AL20" s="463" t="str">
        <f t="shared" ca="1" si="21"/>
        <v/>
      </c>
      <c r="AM20" s="463" t="str">
        <f t="shared" ca="1" si="21"/>
        <v/>
      </c>
      <c r="AN20" s="463" t="str">
        <f t="shared" ca="1" si="21"/>
        <v/>
      </c>
      <c r="AO20" s="463" t="str">
        <f t="shared" ca="1" si="21"/>
        <v/>
      </c>
      <c r="AP20" s="463" t="str">
        <f t="shared" ca="1" si="21"/>
        <v/>
      </c>
      <c r="AQ20" s="463" t="str">
        <f t="shared" ca="1" si="21"/>
        <v/>
      </c>
      <c r="AR20" s="463" t="str">
        <f t="shared" ca="1" si="21"/>
        <v/>
      </c>
      <c r="AS20" s="463" t="str">
        <f t="shared" ca="1" si="21"/>
        <v/>
      </c>
      <c r="AT20" s="463" t="str">
        <f t="shared" ca="1" si="21"/>
        <v/>
      </c>
      <c r="AU20" s="463" t="str">
        <f t="shared" ca="1" si="21"/>
        <v/>
      </c>
      <c r="AV20" s="463" t="str">
        <f t="shared" ca="1" si="21"/>
        <v/>
      </c>
      <c r="AW20" s="463" t="str">
        <f t="shared" ca="1" si="21"/>
        <v/>
      </c>
      <c r="AX20" s="463" t="str">
        <f t="shared" ca="1" si="21"/>
        <v/>
      </c>
      <c r="AY20" s="463" t="str">
        <f t="shared" ca="1" si="21"/>
        <v/>
      </c>
      <c r="AZ20" s="463" t="str">
        <f t="shared" ca="1" si="21"/>
        <v/>
      </c>
      <c r="BA20" s="463" t="str">
        <f t="shared" ca="1" si="21"/>
        <v/>
      </c>
      <c r="BB20" s="463" t="str">
        <f t="shared" ca="1" si="21"/>
        <v/>
      </c>
      <c r="BC20" s="463" t="str">
        <f t="shared" ref="BC20:CH20" ca="1" si="22">IF(BC$10&lt;=(Åpningsår+ProsjektetsLevetid-1),IF(BC10&lt;=AndreBeregningsår,IF(SIGN($D20)=SIGN($E20),$D20*$J20^(BC10-FørsteBeregningsår),($D20+1.1*ABS($D20-$E20))*$J20^(BC10-FørsteBeregningsår)-1.1*ABS($D20-$E20)),IF(BC10&lt;=TredjeBeregningsår,IF(SIGN($E20)=SIGN($F20),$E20*$K20^(BC10-AndreBeregningsår),($E20+1.1*ABS($E20-$F20))*$K20^(BC10-AndreBeregningsår)-1.1*ABS($E20-$F20)),OFFSET($D20,0,Antall_Beregningsår-1)*LOOKUP(BC10,SerieÅR,SerieVolumvekstperson)+$L20*(BC10-IF(Antall_Beregningsår&gt;2,TredjeBeregningsår,AndreBeregningsår))))*KPIJustering*LOOKUP(BC10,SerieÅR,SerieRealprisjustering),"")</f>
        <v/>
      </c>
      <c r="BD20" s="463" t="str">
        <f t="shared" ca="1" si="22"/>
        <v/>
      </c>
      <c r="BE20" s="463" t="str">
        <f t="shared" ca="1" si="22"/>
        <v/>
      </c>
      <c r="BF20" s="463" t="str">
        <f t="shared" ca="1" si="22"/>
        <v/>
      </c>
      <c r="BG20" s="463" t="str">
        <f t="shared" ca="1" si="22"/>
        <v/>
      </c>
      <c r="BH20" s="463" t="str">
        <f t="shared" ca="1" si="22"/>
        <v/>
      </c>
      <c r="BI20" s="463" t="str">
        <f t="shared" ca="1" si="22"/>
        <v/>
      </c>
      <c r="BJ20" s="463" t="str">
        <f t="shared" ca="1" si="22"/>
        <v/>
      </c>
      <c r="BK20" s="463" t="str">
        <f t="shared" ca="1" si="22"/>
        <v/>
      </c>
      <c r="BL20" s="463" t="str">
        <f t="shared" ca="1" si="22"/>
        <v/>
      </c>
      <c r="BM20" s="463" t="str">
        <f t="shared" ca="1" si="22"/>
        <v/>
      </c>
      <c r="BN20" s="463" t="str">
        <f t="shared" ca="1" si="22"/>
        <v/>
      </c>
      <c r="BO20" s="463" t="str">
        <f t="shared" ca="1" si="22"/>
        <v/>
      </c>
      <c r="BP20" s="463" t="str">
        <f t="shared" ca="1" si="22"/>
        <v/>
      </c>
      <c r="BQ20" s="463" t="str">
        <f t="shared" ca="1" si="22"/>
        <v/>
      </c>
      <c r="BR20" s="463" t="str">
        <f t="shared" ca="1" si="22"/>
        <v/>
      </c>
      <c r="BS20" s="463" t="str">
        <f t="shared" ca="1" si="22"/>
        <v/>
      </c>
      <c r="BT20" s="463" t="str">
        <f t="shared" ca="1" si="22"/>
        <v/>
      </c>
      <c r="BU20" s="463" t="str">
        <f t="shared" ca="1" si="22"/>
        <v/>
      </c>
      <c r="BV20" s="463" t="str">
        <f t="shared" ca="1" si="22"/>
        <v/>
      </c>
      <c r="BW20" s="463" t="str">
        <f t="shared" ca="1" si="22"/>
        <v/>
      </c>
      <c r="BX20" s="463" t="str">
        <f t="shared" ca="1" si="22"/>
        <v/>
      </c>
      <c r="BY20" s="463" t="str">
        <f t="shared" ca="1" si="22"/>
        <v/>
      </c>
      <c r="BZ20" s="463" t="str">
        <f t="shared" ca="1" si="22"/>
        <v/>
      </c>
      <c r="CA20" s="463" t="str">
        <f t="shared" ca="1" si="22"/>
        <v/>
      </c>
      <c r="CB20" s="463" t="str">
        <f t="shared" ca="1" si="22"/>
        <v/>
      </c>
      <c r="CC20" s="463" t="str">
        <f t="shared" ca="1" si="22"/>
        <v/>
      </c>
      <c r="CD20" s="463" t="str">
        <f t="shared" ca="1" si="22"/>
        <v/>
      </c>
      <c r="CE20" s="463" t="str">
        <f t="shared" ca="1" si="22"/>
        <v/>
      </c>
      <c r="CF20" s="463" t="str">
        <f t="shared" ca="1" si="22"/>
        <v/>
      </c>
      <c r="CG20" s="463" t="str">
        <f t="shared" ca="1" si="22"/>
        <v/>
      </c>
      <c r="CH20" s="463" t="str">
        <f t="shared" ca="1" si="22"/>
        <v/>
      </c>
      <c r="CI20" s="463" t="str">
        <f t="shared" ref="CI20:DR20" ca="1" si="23">IF(CI$10&lt;=(Åpningsår+ProsjektetsLevetid-1),IF(CI10&lt;=AndreBeregningsår,IF(SIGN($D20)=SIGN($E20),$D20*$J20^(CI10-FørsteBeregningsår),($D20+1.1*ABS($D20-$E20))*$J20^(CI10-FørsteBeregningsår)-1.1*ABS($D20-$E20)),IF(CI10&lt;=TredjeBeregningsår,IF(SIGN($E20)=SIGN($F20),$E20*$K20^(CI10-AndreBeregningsår),($E20+1.1*ABS($E20-$F20))*$K20^(CI10-AndreBeregningsår)-1.1*ABS($E20-$F20)),OFFSET($D20,0,Antall_Beregningsår-1)*LOOKUP(CI10,SerieÅR,SerieVolumvekstperson)+$L20*(CI10-IF(Antall_Beregningsår&gt;2,TredjeBeregningsår,AndreBeregningsår))))*KPIJustering*LOOKUP(CI10,SerieÅR,SerieRealprisjustering),"")</f>
        <v/>
      </c>
      <c r="CJ20" s="463" t="str">
        <f t="shared" ca="1" si="23"/>
        <v/>
      </c>
      <c r="CK20" s="463" t="str">
        <f t="shared" ca="1" si="23"/>
        <v/>
      </c>
      <c r="CL20" s="463" t="str">
        <f t="shared" ca="1" si="23"/>
        <v/>
      </c>
      <c r="CM20" s="463" t="str">
        <f t="shared" ca="1" si="23"/>
        <v/>
      </c>
      <c r="CN20" s="463" t="str">
        <f t="shared" ca="1" si="23"/>
        <v/>
      </c>
      <c r="CO20" s="463" t="str">
        <f t="shared" ca="1" si="23"/>
        <v/>
      </c>
      <c r="CP20" s="463" t="str">
        <f t="shared" ca="1" si="23"/>
        <v/>
      </c>
      <c r="CQ20" s="463" t="str">
        <f t="shared" ca="1" si="23"/>
        <v/>
      </c>
      <c r="CR20" s="463" t="str">
        <f t="shared" ca="1" si="23"/>
        <v/>
      </c>
      <c r="CS20" s="463" t="str">
        <f t="shared" ca="1" si="23"/>
        <v/>
      </c>
      <c r="CT20" s="463" t="str">
        <f t="shared" ca="1" si="23"/>
        <v/>
      </c>
      <c r="CU20" s="463" t="str">
        <f t="shared" ca="1" si="23"/>
        <v/>
      </c>
      <c r="CV20" s="463" t="str">
        <f t="shared" ca="1" si="23"/>
        <v/>
      </c>
      <c r="CW20" s="463" t="str">
        <f t="shared" ca="1" si="23"/>
        <v/>
      </c>
      <c r="CX20" s="463" t="str">
        <f t="shared" ca="1" si="23"/>
        <v/>
      </c>
      <c r="CY20" s="463" t="str">
        <f t="shared" ca="1" si="23"/>
        <v/>
      </c>
      <c r="CZ20" s="463" t="str">
        <f t="shared" ca="1" si="23"/>
        <v/>
      </c>
      <c r="DA20" s="463" t="str">
        <f t="shared" ca="1" si="23"/>
        <v/>
      </c>
      <c r="DB20" s="463" t="str">
        <f t="shared" ca="1" si="23"/>
        <v/>
      </c>
      <c r="DC20" s="463" t="str">
        <f t="shared" ca="1" si="23"/>
        <v/>
      </c>
      <c r="DD20" s="463" t="str">
        <f t="shared" ca="1" si="23"/>
        <v/>
      </c>
      <c r="DE20" s="463" t="str">
        <f t="shared" ca="1" si="23"/>
        <v/>
      </c>
      <c r="DF20" s="463" t="str">
        <f t="shared" ca="1" si="23"/>
        <v/>
      </c>
      <c r="DG20" s="463" t="str">
        <f t="shared" ca="1" si="23"/>
        <v/>
      </c>
      <c r="DH20" s="463" t="str">
        <f t="shared" ca="1" si="23"/>
        <v/>
      </c>
      <c r="DI20" s="463" t="str">
        <f t="shared" ca="1" si="23"/>
        <v/>
      </c>
      <c r="DJ20" s="463" t="str">
        <f t="shared" ca="1" si="23"/>
        <v/>
      </c>
      <c r="DK20" s="463" t="str">
        <f t="shared" ca="1" si="23"/>
        <v/>
      </c>
      <c r="DL20" s="463" t="str">
        <f t="shared" ca="1" si="23"/>
        <v/>
      </c>
      <c r="DM20" s="463" t="str">
        <f t="shared" ca="1" si="23"/>
        <v/>
      </c>
      <c r="DN20" s="463" t="str">
        <f t="shared" ca="1" si="23"/>
        <v/>
      </c>
      <c r="DO20" s="463" t="str">
        <f t="shared" ca="1" si="23"/>
        <v/>
      </c>
      <c r="DP20" s="463" t="str">
        <f t="shared" ca="1" si="23"/>
        <v/>
      </c>
      <c r="DQ20" s="463" t="str">
        <f t="shared" ca="1" si="23"/>
        <v/>
      </c>
      <c r="DR20" s="463" t="str">
        <f t="shared" ca="1" si="23"/>
        <v/>
      </c>
      <c r="DS20" s="801">
        <f ca="1">SUMPRODUCT(('1.5 Prognoser og indekser'!$R$12:OFFSET('1.5 Prognoser og indekser'!$R$12,0,$DS$9)),($M20:OFFSET($M20,0,$DS$9)))</f>
        <v>0</v>
      </c>
      <c r="DT20" s="802">
        <f ca="1">IF($DT$9&lt;1,0,SUMPRODUCT(OFFSET('1.5 Prognoser og indekser'!$R$12,0,$DS$9+1,1,$DT$9),OFFSET($M20,0,$DS$9+1,1,$DT$9)))</f>
        <v>0</v>
      </c>
    </row>
    <row r="21" spans="2:124" x14ac:dyDescent="0.35">
      <c r="B21" s="6"/>
      <c r="C21" s="220" t="str">
        <f>'2.1 Trafikanter'!B21</f>
        <v>Andre transportmidler (bil, buss, fly)</v>
      </c>
      <c r="D21" s="47"/>
      <c r="E21" s="20"/>
      <c r="F21" s="8"/>
      <c r="G21" s="47"/>
      <c r="H21" s="20"/>
      <c r="I21" s="8"/>
      <c r="J21" s="1019"/>
      <c r="K21" s="1019"/>
      <c r="L21" s="41"/>
      <c r="M21" s="8"/>
      <c r="N21" s="8"/>
      <c r="O21" s="8"/>
      <c r="P21" s="8"/>
      <c r="Q21" s="8"/>
      <c r="R21" s="8"/>
      <c r="S21" s="8"/>
      <c r="T21" s="8"/>
      <c r="U21" s="8"/>
      <c r="V21" s="8"/>
      <c r="W21" s="20"/>
      <c r="X21" s="20"/>
      <c r="Y21" s="20"/>
      <c r="Z21" s="20"/>
      <c r="AA21" s="20"/>
      <c r="AB21" s="20"/>
      <c r="AC21" s="20"/>
      <c r="AD21" s="20"/>
      <c r="AE21" s="20"/>
      <c r="AF21" s="20"/>
      <c r="AG21" s="20"/>
      <c r="AH21" s="20"/>
      <c r="AI21" s="20"/>
      <c r="AJ21" s="20"/>
      <c r="AK21" s="20"/>
      <c r="AL21" s="20"/>
      <c r="AM21" s="20"/>
      <c r="AN21" s="20"/>
      <c r="AO21" s="20"/>
      <c r="AP21" s="20"/>
      <c r="AQ21" s="20"/>
      <c r="AR21" s="20"/>
      <c r="AS21" s="20"/>
      <c r="AT21" s="20"/>
      <c r="AU21" s="20"/>
      <c r="AV21" s="20"/>
      <c r="AW21" s="20"/>
      <c r="AX21" s="20"/>
      <c r="AY21" s="20"/>
      <c r="AZ21" s="20"/>
      <c r="BA21" s="20"/>
      <c r="BB21" s="20"/>
      <c r="BC21" s="20"/>
      <c r="BD21" s="20"/>
      <c r="BE21" s="20"/>
      <c r="BF21" s="20"/>
      <c r="BG21" s="20"/>
      <c r="BH21" s="20"/>
      <c r="BI21" s="20"/>
      <c r="BJ21" s="20"/>
      <c r="BK21" s="20"/>
      <c r="BL21" s="20"/>
      <c r="BM21" s="20"/>
      <c r="BN21" s="20"/>
      <c r="BO21" s="20"/>
      <c r="BP21" s="20"/>
      <c r="BQ21" s="20"/>
      <c r="BR21" s="20"/>
      <c r="BS21" s="20"/>
      <c r="BT21" s="20"/>
      <c r="BU21" s="20"/>
      <c r="BV21" s="20"/>
      <c r="BW21" s="20"/>
      <c r="BX21" s="20"/>
      <c r="BY21" s="20"/>
      <c r="BZ21" s="20"/>
      <c r="CA21" s="20"/>
      <c r="CB21" s="20"/>
      <c r="CC21" s="20"/>
      <c r="CD21" s="20"/>
      <c r="CE21" s="20"/>
      <c r="CF21" s="20"/>
      <c r="CG21" s="20"/>
      <c r="CH21" s="20"/>
      <c r="CI21" s="20"/>
      <c r="CJ21" s="20"/>
      <c r="CK21" s="20"/>
      <c r="CL21" s="20"/>
      <c r="CM21" s="20"/>
      <c r="CN21" s="20"/>
      <c r="CO21" s="20"/>
      <c r="CP21" s="20"/>
      <c r="CQ21" s="20"/>
      <c r="CR21" s="20"/>
      <c r="CS21" s="20"/>
      <c r="CT21" s="20"/>
      <c r="CU21" s="20"/>
      <c r="CV21" s="20"/>
      <c r="CW21" s="20"/>
      <c r="CX21" s="20"/>
      <c r="CY21" s="20"/>
      <c r="CZ21" s="20"/>
      <c r="DA21" s="20"/>
      <c r="DB21" s="20"/>
      <c r="DC21" s="20"/>
      <c r="DD21" s="20"/>
      <c r="DE21" s="20"/>
      <c r="DF21" s="20"/>
      <c r="DG21" s="20"/>
      <c r="DH21" s="20"/>
      <c r="DI21" s="20"/>
      <c r="DJ21" s="20"/>
      <c r="DK21" s="20"/>
      <c r="DL21" s="20"/>
      <c r="DM21" s="20"/>
      <c r="DN21" s="20"/>
      <c r="DO21" s="20"/>
      <c r="DP21" s="20"/>
      <c r="DQ21" s="20"/>
      <c r="DR21" s="20"/>
      <c r="DS21" s="979"/>
      <c r="DT21" s="216"/>
    </row>
    <row r="22" spans="2:124" x14ac:dyDescent="0.35">
      <c r="B22" s="6"/>
      <c r="C22" s="504" t="str">
        <f>CONCATENATE("Nytte for"," ",'2.1 Trafikanter'!B27)</f>
        <v>Nytte for Personbil</v>
      </c>
      <c r="D22" s="1099">
        <f>'2.1 Trafikanter'!C27</f>
        <v>0</v>
      </c>
      <c r="E22" s="463">
        <f>'2.1 Trafikanter'!D27</f>
        <v>0</v>
      </c>
      <c r="F22" s="463">
        <f>'2.1 Trafikanter'!E27</f>
        <v>0</v>
      </c>
      <c r="G22" s="463"/>
      <c r="H22" s="463"/>
      <c r="I22" s="463"/>
      <c r="J22" s="790">
        <f>IF(Antall_Beregningsår&lt;2,1,IF(AND(D22=0,E22=0),1,IF(SIGN(D22)=SIGN(E22),(E22/D22)^(1/(AndreBeregningsår-FørsteBeregningsår)),((E22+1.1*ABS(D22-E22))/(D22+1.1*ABS(D22-E22)))^(1/(AndreBeregningsår-FørsteBeregningsår)))))</f>
        <v>1</v>
      </c>
      <c r="K22" s="790">
        <f>IF(Antall_Beregningsår&lt;3,1,IF(AND(E22=0,F22=0),1,IF(SIGN(E22)=SIGN(F22),(F22/E22)^(1/(TredjeBeregningsår-AndreBeregningsår)),((F22+1.1*ABS(E22-F22))/(E22+1.1*ABS(E22-F22)))^(1/(TredjeBeregningsår-AndreBeregningsår)))))</f>
        <v>1</v>
      </c>
      <c r="L22" s="752">
        <f>IF(Framskrivning="Lineær trend",IF(Antall_Beregningsår&gt;2,(F22-E22)/(TredjeBeregningsår-AndreBeregningsår),IF(Antall_Beregningsår&gt;1,(E22-D22)/(AndreBeregningsår-FørsteBeregningsår),0)),0)</f>
        <v>0</v>
      </c>
      <c r="M22" s="712"/>
      <c r="N22" s="712"/>
      <c r="O22" s="712"/>
      <c r="P22" s="712"/>
      <c r="Q22" s="712"/>
      <c r="R22" s="712"/>
      <c r="S22" s="712"/>
      <c r="T22" s="712"/>
      <c r="U22" s="712"/>
      <c r="V22" s="712"/>
      <c r="W22" s="463" t="str">
        <f t="shared" ref="W22:BB22" ca="1" si="24">IF(W$10&lt;=(Åpningsår+ProsjektetsLevetid-1),IF(W10&lt;=AndreBeregningsår,IF(SIGN($D22)=SIGN($E22),$D22*$J22^(W10-FørsteBeregningsår),($D22+1.1*ABS($D22-$E22))*$J22^(W10-FørsteBeregningsår)-1.1*ABS($D22-$E22)),IF(W10&lt;=TredjeBeregningsår,IF(SIGN($E22)=SIGN($F22),$E22*$K22^(W10-AndreBeregningsår),($E22+1.1*ABS($E22-$F22))*$K22^(W10-AndreBeregningsår)-1.1*ABS($E22-$F22)),OFFSET($D22,0,Antall_Beregningsår-1)*LOOKUP(W10,SerieÅR,SerieVolumvekstperson)+$L22*(W10-IF(Antall_Beregningsår&gt;2,TredjeBeregningsår,AndreBeregningsår))))*KPIJustering_Tid*LOOKUP(W10,SerieÅR,SerieRealprisjustering_Tid),"")</f>
        <v/>
      </c>
      <c r="X22" s="463" t="str">
        <f t="shared" ca="1" si="24"/>
        <v/>
      </c>
      <c r="Y22" s="463" t="str">
        <f t="shared" ca="1" si="24"/>
        <v/>
      </c>
      <c r="Z22" s="463" t="str">
        <f t="shared" ca="1" si="24"/>
        <v/>
      </c>
      <c r="AA22" s="463" t="str">
        <f t="shared" ca="1" si="24"/>
        <v/>
      </c>
      <c r="AB22" s="463" t="str">
        <f t="shared" ca="1" si="24"/>
        <v/>
      </c>
      <c r="AC22" s="463" t="str">
        <f t="shared" ca="1" si="24"/>
        <v/>
      </c>
      <c r="AD22" s="463" t="str">
        <f t="shared" ca="1" si="24"/>
        <v/>
      </c>
      <c r="AE22" s="463" t="str">
        <f t="shared" ca="1" si="24"/>
        <v/>
      </c>
      <c r="AF22" s="463" t="str">
        <f t="shared" ca="1" si="24"/>
        <v/>
      </c>
      <c r="AG22" s="463" t="str">
        <f t="shared" ca="1" si="24"/>
        <v/>
      </c>
      <c r="AH22" s="463" t="str">
        <f t="shared" ca="1" si="24"/>
        <v/>
      </c>
      <c r="AI22" s="463" t="str">
        <f t="shared" ca="1" si="24"/>
        <v/>
      </c>
      <c r="AJ22" s="463" t="str">
        <f t="shared" ca="1" si="24"/>
        <v/>
      </c>
      <c r="AK22" s="463" t="str">
        <f t="shared" ca="1" si="24"/>
        <v/>
      </c>
      <c r="AL22" s="463" t="str">
        <f t="shared" ca="1" si="24"/>
        <v/>
      </c>
      <c r="AM22" s="463" t="str">
        <f t="shared" ca="1" si="24"/>
        <v/>
      </c>
      <c r="AN22" s="463" t="str">
        <f t="shared" ca="1" si="24"/>
        <v/>
      </c>
      <c r="AO22" s="463" t="str">
        <f t="shared" ca="1" si="24"/>
        <v/>
      </c>
      <c r="AP22" s="463" t="str">
        <f t="shared" ca="1" si="24"/>
        <v/>
      </c>
      <c r="AQ22" s="463" t="str">
        <f t="shared" ca="1" si="24"/>
        <v/>
      </c>
      <c r="AR22" s="463" t="str">
        <f t="shared" ca="1" si="24"/>
        <v/>
      </c>
      <c r="AS22" s="463" t="str">
        <f t="shared" ca="1" si="24"/>
        <v/>
      </c>
      <c r="AT22" s="463" t="str">
        <f t="shared" ca="1" si="24"/>
        <v/>
      </c>
      <c r="AU22" s="463" t="str">
        <f t="shared" ca="1" si="24"/>
        <v/>
      </c>
      <c r="AV22" s="463" t="str">
        <f t="shared" ca="1" si="24"/>
        <v/>
      </c>
      <c r="AW22" s="463" t="str">
        <f t="shared" ca="1" si="24"/>
        <v/>
      </c>
      <c r="AX22" s="463" t="str">
        <f t="shared" ca="1" si="24"/>
        <v/>
      </c>
      <c r="AY22" s="463" t="str">
        <f t="shared" ca="1" si="24"/>
        <v/>
      </c>
      <c r="AZ22" s="463" t="str">
        <f t="shared" ca="1" si="24"/>
        <v/>
      </c>
      <c r="BA22" s="463" t="str">
        <f t="shared" ca="1" si="24"/>
        <v/>
      </c>
      <c r="BB22" s="463" t="str">
        <f t="shared" ca="1" si="24"/>
        <v/>
      </c>
      <c r="BC22" s="463" t="str">
        <f t="shared" ref="BC22:CH22" ca="1" si="25">IF(BC$10&lt;=(Åpningsår+ProsjektetsLevetid-1),IF(BC10&lt;=AndreBeregningsår,IF(SIGN($D22)=SIGN($E22),$D22*$J22^(BC10-FørsteBeregningsår),($D22+1.1*ABS($D22-$E22))*$J22^(BC10-FørsteBeregningsår)-1.1*ABS($D22-$E22)),IF(BC10&lt;=TredjeBeregningsår,IF(SIGN($E22)=SIGN($F22),$E22*$K22^(BC10-AndreBeregningsår),($E22+1.1*ABS($E22-$F22))*$K22^(BC10-AndreBeregningsår)-1.1*ABS($E22-$F22)),OFFSET($D22,0,Antall_Beregningsår-1)*LOOKUP(BC10,SerieÅR,SerieVolumvekstperson)+$L22*(BC10-IF(Antall_Beregningsår&gt;2,TredjeBeregningsår,AndreBeregningsår))))*KPIJustering_Tid*LOOKUP(BC10,SerieÅR,SerieRealprisjustering_Tid),"")</f>
        <v/>
      </c>
      <c r="BD22" s="463" t="str">
        <f t="shared" ca="1" si="25"/>
        <v/>
      </c>
      <c r="BE22" s="463" t="str">
        <f t="shared" ca="1" si="25"/>
        <v/>
      </c>
      <c r="BF22" s="463" t="str">
        <f t="shared" ca="1" si="25"/>
        <v/>
      </c>
      <c r="BG22" s="463" t="str">
        <f t="shared" ca="1" si="25"/>
        <v/>
      </c>
      <c r="BH22" s="463" t="str">
        <f t="shared" ca="1" si="25"/>
        <v/>
      </c>
      <c r="BI22" s="463" t="str">
        <f t="shared" ca="1" si="25"/>
        <v/>
      </c>
      <c r="BJ22" s="463" t="str">
        <f t="shared" ca="1" si="25"/>
        <v/>
      </c>
      <c r="BK22" s="463" t="str">
        <f t="shared" ca="1" si="25"/>
        <v/>
      </c>
      <c r="BL22" s="463" t="str">
        <f t="shared" ca="1" si="25"/>
        <v/>
      </c>
      <c r="BM22" s="463" t="str">
        <f t="shared" ca="1" si="25"/>
        <v/>
      </c>
      <c r="BN22" s="463" t="str">
        <f t="shared" ca="1" si="25"/>
        <v/>
      </c>
      <c r="BO22" s="463" t="str">
        <f t="shared" ca="1" si="25"/>
        <v/>
      </c>
      <c r="BP22" s="463" t="str">
        <f t="shared" ca="1" si="25"/>
        <v/>
      </c>
      <c r="BQ22" s="463" t="str">
        <f t="shared" ca="1" si="25"/>
        <v/>
      </c>
      <c r="BR22" s="463" t="str">
        <f t="shared" ca="1" si="25"/>
        <v/>
      </c>
      <c r="BS22" s="463" t="str">
        <f t="shared" ca="1" si="25"/>
        <v/>
      </c>
      <c r="BT22" s="463" t="str">
        <f t="shared" ca="1" si="25"/>
        <v/>
      </c>
      <c r="BU22" s="463" t="str">
        <f t="shared" ca="1" si="25"/>
        <v/>
      </c>
      <c r="BV22" s="463" t="str">
        <f t="shared" ca="1" si="25"/>
        <v/>
      </c>
      <c r="BW22" s="463" t="str">
        <f t="shared" ca="1" si="25"/>
        <v/>
      </c>
      <c r="BX22" s="463" t="str">
        <f t="shared" ca="1" si="25"/>
        <v/>
      </c>
      <c r="BY22" s="463" t="str">
        <f t="shared" ca="1" si="25"/>
        <v/>
      </c>
      <c r="BZ22" s="463" t="str">
        <f t="shared" ca="1" si="25"/>
        <v/>
      </c>
      <c r="CA22" s="463" t="str">
        <f t="shared" ca="1" si="25"/>
        <v/>
      </c>
      <c r="CB22" s="463" t="str">
        <f t="shared" ca="1" si="25"/>
        <v/>
      </c>
      <c r="CC22" s="463" t="str">
        <f t="shared" ca="1" si="25"/>
        <v/>
      </c>
      <c r="CD22" s="463" t="str">
        <f t="shared" ca="1" si="25"/>
        <v/>
      </c>
      <c r="CE22" s="463" t="str">
        <f t="shared" ca="1" si="25"/>
        <v/>
      </c>
      <c r="CF22" s="463" t="str">
        <f t="shared" ca="1" si="25"/>
        <v/>
      </c>
      <c r="CG22" s="463" t="str">
        <f t="shared" ca="1" si="25"/>
        <v/>
      </c>
      <c r="CH22" s="463" t="str">
        <f t="shared" ca="1" si="25"/>
        <v/>
      </c>
      <c r="CI22" s="463" t="str">
        <f t="shared" ref="CI22:DR22" ca="1" si="26">IF(CI$10&lt;=(Åpningsår+ProsjektetsLevetid-1),IF(CI10&lt;=AndreBeregningsår,IF(SIGN($D22)=SIGN($E22),$D22*$J22^(CI10-FørsteBeregningsår),($D22+1.1*ABS($D22-$E22))*$J22^(CI10-FørsteBeregningsår)-1.1*ABS($D22-$E22)),IF(CI10&lt;=TredjeBeregningsår,IF(SIGN($E22)=SIGN($F22),$E22*$K22^(CI10-AndreBeregningsår),($E22+1.1*ABS($E22-$F22))*$K22^(CI10-AndreBeregningsår)-1.1*ABS($E22-$F22)),OFFSET($D22,0,Antall_Beregningsår-1)*LOOKUP(CI10,SerieÅR,SerieVolumvekstperson)+$L22*(CI10-IF(Antall_Beregningsår&gt;2,TredjeBeregningsår,AndreBeregningsår))))*KPIJustering_Tid*LOOKUP(CI10,SerieÅR,SerieRealprisjustering_Tid),"")</f>
        <v/>
      </c>
      <c r="CJ22" s="463" t="str">
        <f t="shared" ca="1" si="26"/>
        <v/>
      </c>
      <c r="CK22" s="463" t="str">
        <f t="shared" ca="1" si="26"/>
        <v/>
      </c>
      <c r="CL22" s="463" t="str">
        <f t="shared" ca="1" si="26"/>
        <v/>
      </c>
      <c r="CM22" s="463" t="str">
        <f t="shared" ca="1" si="26"/>
        <v/>
      </c>
      <c r="CN22" s="463" t="str">
        <f t="shared" ca="1" si="26"/>
        <v/>
      </c>
      <c r="CO22" s="463" t="str">
        <f t="shared" ca="1" si="26"/>
        <v/>
      </c>
      <c r="CP22" s="463" t="str">
        <f t="shared" ca="1" si="26"/>
        <v/>
      </c>
      <c r="CQ22" s="463" t="str">
        <f t="shared" ca="1" si="26"/>
        <v/>
      </c>
      <c r="CR22" s="463" t="str">
        <f t="shared" ca="1" si="26"/>
        <v/>
      </c>
      <c r="CS22" s="463" t="str">
        <f t="shared" ca="1" si="26"/>
        <v/>
      </c>
      <c r="CT22" s="463" t="str">
        <f t="shared" ca="1" si="26"/>
        <v/>
      </c>
      <c r="CU22" s="463" t="str">
        <f t="shared" ca="1" si="26"/>
        <v/>
      </c>
      <c r="CV22" s="463" t="str">
        <f t="shared" ca="1" si="26"/>
        <v/>
      </c>
      <c r="CW22" s="463" t="str">
        <f t="shared" ca="1" si="26"/>
        <v/>
      </c>
      <c r="CX22" s="463" t="str">
        <f t="shared" ca="1" si="26"/>
        <v/>
      </c>
      <c r="CY22" s="463" t="str">
        <f t="shared" ca="1" si="26"/>
        <v/>
      </c>
      <c r="CZ22" s="463" t="str">
        <f t="shared" ca="1" si="26"/>
        <v/>
      </c>
      <c r="DA22" s="463" t="str">
        <f t="shared" ca="1" si="26"/>
        <v/>
      </c>
      <c r="DB22" s="463" t="str">
        <f t="shared" ca="1" si="26"/>
        <v/>
      </c>
      <c r="DC22" s="463" t="str">
        <f t="shared" ca="1" si="26"/>
        <v/>
      </c>
      <c r="DD22" s="463" t="str">
        <f t="shared" ca="1" si="26"/>
        <v/>
      </c>
      <c r="DE22" s="463" t="str">
        <f t="shared" ca="1" si="26"/>
        <v/>
      </c>
      <c r="DF22" s="463" t="str">
        <f t="shared" ca="1" si="26"/>
        <v/>
      </c>
      <c r="DG22" s="463" t="str">
        <f t="shared" ca="1" si="26"/>
        <v/>
      </c>
      <c r="DH22" s="463" t="str">
        <f t="shared" ca="1" si="26"/>
        <v/>
      </c>
      <c r="DI22" s="463" t="str">
        <f t="shared" ca="1" si="26"/>
        <v/>
      </c>
      <c r="DJ22" s="463" t="str">
        <f t="shared" ca="1" si="26"/>
        <v/>
      </c>
      <c r="DK22" s="463" t="str">
        <f t="shared" ca="1" si="26"/>
        <v/>
      </c>
      <c r="DL22" s="463" t="str">
        <f t="shared" ca="1" si="26"/>
        <v/>
      </c>
      <c r="DM22" s="463" t="str">
        <f t="shared" ca="1" si="26"/>
        <v/>
      </c>
      <c r="DN22" s="463" t="str">
        <f t="shared" ca="1" si="26"/>
        <v/>
      </c>
      <c r="DO22" s="463" t="str">
        <f t="shared" ca="1" si="26"/>
        <v/>
      </c>
      <c r="DP22" s="463" t="str">
        <f t="shared" ca="1" si="26"/>
        <v/>
      </c>
      <c r="DQ22" s="463" t="str">
        <f t="shared" ca="1" si="26"/>
        <v/>
      </c>
      <c r="DR22" s="463" t="str">
        <f t="shared" ca="1" si="26"/>
        <v/>
      </c>
      <c r="DS22" s="801">
        <f ca="1">SUMPRODUCT(('1.5 Prognoser og indekser'!$R$12:OFFSET('1.5 Prognoser og indekser'!$R$12,0,$DS$9)),($M22:OFFSET($M22,0,$DS$9)))</f>
        <v>0</v>
      </c>
      <c r="DT22" s="802">
        <f ca="1">IF($DT$9&lt;1,0,SUMPRODUCT(OFFSET('1.5 Prognoser og indekser'!$R$12,0,$DS$9+1,1,$DT$9),OFFSET($M22,0,$DS$9+1,1,$DT$9)))</f>
        <v>0</v>
      </c>
    </row>
    <row r="23" spans="2:124" x14ac:dyDescent="0.35">
      <c r="B23" s="6"/>
      <c r="C23" s="504" t="str">
        <f>CONCATENATE("Nytte for"," ",'2.1 Trafikanter'!B28)</f>
        <v>Nytte for Buss</v>
      </c>
      <c r="D23" s="1099">
        <f>'2.1 Trafikanter'!C28</f>
        <v>0</v>
      </c>
      <c r="E23" s="463">
        <f>'2.1 Trafikanter'!D28</f>
        <v>0</v>
      </c>
      <c r="F23" s="463">
        <f>'2.1 Trafikanter'!E28</f>
        <v>0</v>
      </c>
      <c r="G23" s="463"/>
      <c r="H23" s="463"/>
      <c r="I23" s="463"/>
      <c r="J23" s="790">
        <f>IF(Antall_Beregningsår&lt;2,1,IF(AND(D23=0,E23=0),1,IF(SIGN(D23)=SIGN(E23),(E23/D23)^(1/(AndreBeregningsår-FørsteBeregningsår)),((E23+1.1*ABS(D23-E23))/(D23+1.1*ABS(D23-E23)))^(1/(AndreBeregningsår-FørsteBeregningsår)))))</f>
        <v>1</v>
      </c>
      <c r="K23" s="790">
        <f>IF(Antall_Beregningsår&lt;3,1,IF(AND(E23=0,F23=0),1,IF(SIGN(E23)=SIGN(F23),(F23/E23)^(1/(TredjeBeregningsår-AndreBeregningsår)),((F23+1.1*ABS(E23-F23))/(E23+1.1*ABS(E23-F23)))^(1/(TredjeBeregningsår-AndreBeregningsår)))))</f>
        <v>1</v>
      </c>
      <c r="L23" s="752">
        <f>IF(Framskrivning="Lineær trend",IF(Antall_Beregningsår&gt;2,(F23-E23)/(TredjeBeregningsår-AndreBeregningsår),IF(Antall_Beregningsår&gt;1,(E23-D23)/(AndreBeregningsår-FørsteBeregningsår),0)),0)</f>
        <v>0</v>
      </c>
      <c r="M23" s="712"/>
      <c r="N23" s="712"/>
      <c r="O23" s="712"/>
      <c r="P23" s="712"/>
      <c r="Q23" s="712"/>
      <c r="R23" s="712"/>
      <c r="S23" s="712"/>
      <c r="T23" s="712"/>
      <c r="U23" s="712"/>
      <c r="V23" s="712"/>
      <c r="W23" s="463" t="str">
        <f t="shared" ref="W23:BB23" ca="1" si="27">IF(W$10&lt;=(Åpningsår+ProsjektetsLevetid-1),IF(W10&lt;=AndreBeregningsår,IF(SIGN($D23)=SIGN($E23),$D23*$J23^(W10-FørsteBeregningsår),($D23+1.1*ABS($D23-$E23))*$J23^(W10-FørsteBeregningsår)-1.1*ABS($D23-$E23)),IF(W10&lt;=TredjeBeregningsår,IF(SIGN($E23)=SIGN($F23),$E23*$K23^(W10-AndreBeregningsår),($E23+1.1*ABS($E23-$F23))*$K23^(W10-AndreBeregningsår)-1.1*ABS($E23-$F23)),OFFSET($D23,0,Antall_Beregningsår-1)*LOOKUP(W10,SerieÅR,SerieVolumvekstperson)+$L23*(W10-IF(Antall_Beregningsår&gt;2,TredjeBeregningsår,AndreBeregningsår))))*KPIJustering_Tid*LOOKUP(W10,SerieÅR,SerieRealprisjustering_Tid),"")</f>
        <v/>
      </c>
      <c r="X23" s="463" t="str">
        <f t="shared" ca="1" si="27"/>
        <v/>
      </c>
      <c r="Y23" s="463" t="str">
        <f t="shared" ca="1" si="27"/>
        <v/>
      </c>
      <c r="Z23" s="463" t="str">
        <f t="shared" ca="1" si="27"/>
        <v/>
      </c>
      <c r="AA23" s="463" t="str">
        <f t="shared" ca="1" si="27"/>
        <v/>
      </c>
      <c r="AB23" s="463" t="str">
        <f t="shared" ca="1" si="27"/>
        <v/>
      </c>
      <c r="AC23" s="463" t="str">
        <f t="shared" ca="1" si="27"/>
        <v/>
      </c>
      <c r="AD23" s="463" t="str">
        <f t="shared" ca="1" si="27"/>
        <v/>
      </c>
      <c r="AE23" s="463" t="str">
        <f t="shared" ca="1" si="27"/>
        <v/>
      </c>
      <c r="AF23" s="463" t="str">
        <f t="shared" ca="1" si="27"/>
        <v/>
      </c>
      <c r="AG23" s="463" t="str">
        <f t="shared" ca="1" si="27"/>
        <v/>
      </c>
      <c r="AH23" s="463" t="str">
        <f t="shared" ca="1" si="27"/>
        <v/>
      </c>
      <c r="AI23" s="463" t="str">
        <f t="shared" ca="1" si="27"/>
        <v/>
      </c>
      <c r="AJ23" s="463" t="str">
        <f t="shared" ca="1" si="27"/>
        <v/>
      </c>
      <c r="AK23" s="463" t="str">
        <f t="shared" ca="1" si="27"/>
        <v/>
      </c>
      <c r="AL23" s="463" t="str">
        <f t="shared" ca="1" si="27"/>
        <v/>
      </c>
      <c r="AM23" s="463" t="str">
        <f t="shared" ca="1" si="27"/>
        <v/>
      </c>
      <c r="AN23" s="463" t="str">
        <f t="shared" ca="1" si="27"/>
        <v/>
      </c>
      <c r="AO23" s="463" t="str">
        <f t="shared" ca="1" si="27"/>
        <v/>
      </c>
      <c r="AP23" s="463" t="str">
        <f t="shared" ca="1" si="27"/>
        <v/>
      </c>
      <c r="AQ23" s="463" t="str">
        <f t="shared" ca="1" si="27"/>
        <v/>
      </c>
      <c r="AR23" s="463" t="str">
        <f t="shared" ca="1" si="27"/>
        <v/>
      </c>
      <c r="AS23" s="463" t="str">
        <f t="shared" ca="1" si="27"/>
        <v/>
      </c>
      <c r="AT23" s="463" t="str">
        <f t="shared" ca="1" si="27"/>
        <v/>
      </c>
      <c r="AU23" s="463" t="str">
        <f t="shared" ca="1" si="27"/>
        <v/>
      </c>
      <c r="AV23" s="463" t="str">
        <f t="shared" ca="1" si="27"/>
        <v/>
      </c>
      <c r="AW23" s="463" t="str">
        <f t="shared" ca="1" si="27"/>
        <v/>
      </c>
      <c r="AX23" s="463" t="str">
        <f t="shared" ca="1" si="27"/>
        <v/>
      </c>
      <c r="AY23" s="463" t="str">
        <f t="shared" ca="1" si="27"/>
        <v/>
      </c>
      <c r="AZ23" s="463" t="str">
        <f t="shared" ca="1" si="27"/>
        <v/>
      </c>
      <c r="BA23" s="463" t="str">
        <f t="shared" ca="1" si="27"/>
        <v/>
      </c>
      <c r="BB23" s="463" t="str">
        <f t="shared" ca="1" si="27"/>
        <v/>
      </c>
      <c r="BC23" s="463" t="str">
        <f t="shared" ref="BC23:CH23" ca="1" si="28">IF(BC$10&lt;=(Åpningsår+ProsjektetsLevetid-1),IF(BC10&lt;=AndreBeregningsår,IF(SIGN($D23)=SIGN($E23),$D23*$J23^(BC10-FørsteBeregningsår),($D23+1.1*ABS($D23-$E23))*$J23^(BC10-FørsteBeregningsår)-1.1*ABS($D23-$E23)),IF(BC10&lt;=TredjeBeregningsår,IF(SIGN($E23)=SIGN($F23),$E23*$K23^(BC10-AndreBeregningsår),($E23+1.1*ABS($E23-$F23))*$K23^(BC10-AndreBeregningsår)-1.1*ABS($E23-$F23)),OFFSET($D23,0,Antall_Beregningsår-1)*LOOKUP(BC10,SerieÅR,SerieVolumvekstperson)+$L23*(BC10-IF(Antall_Beregningsår&gt;2,TredjeBeregningsår,AndreBeregningsår))))*KPIJustering_Tid*LOOKUP(BC10,SerieÅR,SerieRealprisjustering_Tid),"")</f>
        <v/>
      </c>
      <c r="BD23" s="463" t="str">
        <f t="shared" ca="1" si="28"/>
        <v/>
      </c>
      <c r="BE23" s="463" t="str">
        <f t="shared" ca="1" si="28"/>
        <v/>
      </c>
      <c r="BF23" s="463" t="str">
        <f t="shared" ca="1" si="28"/>
        <v/>
      </c>
      <c r="BG23" s="463" t="str">
        <f t="shared" ca="1" si="28"/>
        <v/>
      </c>
      <c r="BH23" s="463" t="str">
        <f t="shared" ca="1" si="28"/>
        <v/>
      </c>
      <c r="BI23" s="463" t="str">
        <f t="shared" ca="1" si="28"/>
        <v/>
      </c>
      <c r="BJ23" s="463" t="str">
        <f t="shared" ca="1" si="28"/>
        <v/>
      </c>
      <c r="BK23" s="463" t="str">
        <f t="shared" ca="1" si="28"/>
        <v/>
      </c>
      <c r="BL23" s="463" t="str">
        <f t="shared" ca="1" si="28"/>
        <v/>
      </c>
      <c r="BM23" s="463" t="str">
        <f t="shared" ca="1" si="28"/>
        <v/>
      </c>
      <c r="BN23" s="463" t="str">
        <f t="shared" ca="1" si="28"/>
        <v/>
      </c>
      <c r="BO23" s="463" t="str">
        <f t="shared" ca="1" si="28"/>
        <v/>
      </c>
      <c r="BP23" s="463" t="str">
        <f t="shared" ca="1" si="28"/>
        <v/>
      </c>
      <c r="BQ23" s="463" t="str">
        <f t="shared" ca="1" si="28"/>
        <v/>
      </c>
      <c r="BR23" s="463" t="str">
        <f t="shared" ca="1" si="28"/>
        <v/>
      </c>
      <c r="BS23" s="463" t="str">
        <f t="shared" ca="1" si="28"/>
        <v/>
      </c>
      <c r="BT23" s="463" t="str">
        <f t="shared" ca="1" si="28"/>
        <v/>
      </c>
      <c r="BU23" s="463" t="str">
        <f t="shared" ca="1" si="28"/>
        <v/>
      </c>
      <c r="BV23" s="463" t="str">
        <f t="shared" ca="1" si="28"/>
        <v/>
      </c>
      <c r="BW23" s="463" t="str">
        <f t="shared" ca="1" si="28"/>
        <v/>
      </c>
      <c r="BX23" s="463" t="str">
        <f t="shared" ca="1" si="28"/>
        <v/>
      </c>
      <c r="BY23" s="463" t="str">
        <f t="shared" ca="1" si="28"/>
        <v/>
      </c>
      <c r="BZ23" s="463" t="str">
        <f t="shared" ca="1" si="28"/>
        <v/>
      </c>
      <c r="CA23" s="463" t="str">
        <f t="shared" ca="1" si="28"/>
        <v/>
      </c>
      <c r="CB23" s="463" t="str">
        <f t="shared" ca="1" si="28"/>
        <v/>
      </c>
      <c r="CC23" s="463" t="str">
        <f t="shared" ca="1" si="28"/>
        <v/>
      </c>
      <c r="CD23" s="463" t="str">
        <f t="shared" ca="1" si="28"/>
        <v/>
      </c>
      <c r="CE23" s="463" t="str">
        <f t="shared" ca="1" si="28"/>
        <v/>
      </c>
      <c r="CF23" s="463" t="str">
        <f t="shared" ca="1" si="28"/>
        <v/>
      </c>
      <c r="CG23" s="463" t="str">
        <f t="shared" ca="1" si="28"/>
        <v/>
      </c>
      <c r="CH23" s="463" t="str">
        <f t="shared" ca="1" si="28"/>
        <v/>
      </c>
      <c r="CI23" s="463" t="str">
        <f t="shared" ref="CI23:DR23" ca="1" si="29">IF(CI$10&lt;=(Åpningsår+ProsjektetsLevetid-1),IF(CI10&lt;=AndreBeregningsår,IF(SIGN($D23)=SIGN($E23),$D23*$J23^(CI10-FørsteBeregningsår),($D23+1.1*ABS($D23-$E23))*$J23^(CI10-FørsteBeregningsår)-1.1*ABS($D23-$E23)),IF(CI10&lt;=TredjeBeregningsår,IF(SIGN($E23)=SIGN($F23),$E23*$K23^(CI10-AndreBeregningsår),($E23+1.1*ABS($E23-$F23))*$K23^(CI10-AndreBeregningsår)-1.1*ABS($E23-$F23)),OFFSET($D23,0,Antall_Beregningsår-1)*LOOKUP(CI10,SerieÅR,SerieVolumvekstperson)+$L23*(CI10-IF(Antall_Beregningsår&gt;2,TredjeBeregningsår,AndreBeregningsår))))*KPIJustering_Tid*LOOKUP(CI10,SerieÅR,SerieRealprisjustering_Tid),"")</f>
        <v/>
      </c>
      <c r="CJ23" s="463" t="str">
        <f t="shared" ca="1" si="29"/>
        <v/>
      </c>
      <c r="CK23" s="463" t="str">
        <f t="shared" ca="1" si="29"/>
        <v/>
      </c>
      <c r="CL23" s="463" t="str">
        <f t="shared" ca="1" si="29"/>
        <v/>
      </c>
      <c r="CM23" s="463" t="str">
        <f t="shared" ca="1" si="29"/>
        <v/>
      </c>
      <c r="CN23" s="463" t="str">
        <f t="shared" ca="1" si="29"/>
        <v/>
      </c>
      <c r="CO23" s="463" t="str">
        <f t="shared" ca="1" si="29"/>
        <v/>
      </c>
      <c r="CP23" s="463" t="str">
        <f t="shared" ca="1" si="29"/>
        <v/>
      </c>
      <c r="CQ23" s="463" t="str">
        <f t="shared" ca="1" si="29"/>
        <v/>
      </c>
      <c r="CR23" s="463" t="str">
        <f t="shared" ca="1" si="29"/>
        <v/>
      </c>
      <c r="CS23" s="463" t="str">
        <f t="shared" ca="1" si="29"/>
        <v/>
      </c>
      <c r="CT23" s="463" t="str">
        <f t="shared" ca="1" si="29"/>
        <v/>
      </c>
      <c r="CU23" s="463" t="str">
        <f t="shared" ca="1" si="29"/>
        <v/>
      </c>
      <c r="CV23" s="463" t="str">
        <f t="shared" ca="1" si="29"/>
        <v/>
      </c>
      <c r="CW23" s="463" t="str">
        <f t="shared" ca="1" si="29"/>
        <v/>
      </c>
      <c r="CX23" s="463" t="str">
        <f t="shared" ca="1" si="29"/>
        <v/>
      </c>
      <c r="CY23" s="463" t="str">
        <f t="shared" ca="1" si="29"/>
        <v/>
      </c>
      <c r="CZ23" s="463" t="str">
        <f t="shared" ca="1" si="29"/>
        <v/>
      </c>
      <c r="DA23" s="463" t="str">
        <f t="shared" ca="1" si="29"/>
        <v/>
      </c>
      <c r="DB23" s="463" t="str">
        <f t="shared" ca="1" si="29"/>
        <v/>
      </c>
      <c r="DC23" s="463" t="str">
        <f t="shared" ca="1" si="29"/>
        <v/>
      </c>
      <c r="DD23" s="463" t="str">
        <f t="shared" ca="1" si="29"/>
        <v/>
      </c>
      <c r="DE23" s="463" t="str">
        <f t="shared" ca="1" si="29"/>
        <v/>
      </c>
      <c r="DF23" s="463" t="str">
        <f t="shared" ca="1" si="29"/>
        <v/>
      </c>
      <c r="DG23" s="463" t="str">
        <f t="shared" ca="1" si="29"/>
        <v/>
      </c>
      <c r="DH23" s="463" t="str">
        <f t="shared" ca="1" si="29"/>
        <v/>
      </c>
      <c r="DI23" s="463" t="str">
        <f t="shared" ca="1" si="29"/>
        <v/>
      </c>
      <c r="DJ23" s="463" t="str">
        <f t="shared" ca="1" si="29"/>
        <v/>
      </c>
      <c r="DK23" s="463" t="str">
        <f t="shared" ca="1" si="29"/>
        <v/>
      </c>
      <c r="DL23" s="463" t="str">
        <f t="shared" ca="1" si="29"/>
        <v/>
      </c>
      <c r="DM23" s="463" t="str">
        <f t="shared" ca="1" si="29"/>
        <v/>
      </c>
      <c r="DN23" s="463" t="str">
        <f t="shared" ca="1" si="29"/>
        <v/>
      </c>
      <c r="DO23" s="463" t="str">
        <f t="shared" ca="1" si="29"/>
        <v/>
      </c>
      <c r="DP23" s="463" t="str">
        <f t="shared" ca="1" si="29"/>
        <v/>
      </c>
      <c r="DQ23" s="463" t="str">
        <f t="shared" ca="1" si="29"/>
        <v/>
      </c>
      <c r="DR23" s="463" t="str">
        <f t="shared" ca="1" si="29"/>
        <v/>
      </c>
      <c r="DS23" s="801">
        <f ca="1">SUMPRODUCT(('1.5 Prognoser og indekser'!$R$12:OFFSET('1.5 Prognoser og indekser'!$R$12,0,$DS$9)),($M23:OFFSET($M23,0,$DS$9)))</f>
        <v>0</v>
      </c>
      <c r="DT23" s="802">
        <f ca="1">IF($DT$9&lt;1,0,SUMPRODUCT(OFFSET('1.5 Prognoser og indekser'!$R$12,0,$DS$9+1,1,$DT$9),OFFSET($M23,0,$DS$9+1,1,$DT$9)))</f>
        <v>0</v>
      </c>
    </row>
    <row r="24" spans="2:124" x14ac:dyDescent="0.35">
      <c r="B24" s="6"/>
      <c r="C24" s="504" t="str">
        <f>CONCATENATE("Nytte for"," ",'2.1 Trafikanter'!B29)</f>
        <v>Nytte for Fly</v>
      </c>
      <c r="D24" s="1099">
        <f>'2.1 Trafikanter'!C29</f>
        <v>0</v>
      </c>
      <c r="E24" s="463">
        <f>'2.1 Trafikanter'!D29</f>
        <v>0</v>
      </c>
      <c r="F24" s="463">
        <f>'2.1 Trafikanter'!E29</f>
        <v>0</v>
      </c>
      <c r="G24" s="463"/>
      <c r="H24" s="463"/>
      <c r="I24" s="463"/>
      <c r="J24" s="790">
        <f>IF(Antall_Beregningsår&lt;2,1,IF(AND(D24=0,E24=0),1,IF(SIGN(D24)=SIGN(E24),(E24/D24)^(1/(AndreBeregningsår-FørsteBeregningsår)),((E24+1.1*ABS(D24-E24))/(D24+1.1*ABS(D24-E24)))^(1/(AndreBeregningsår-FørsteBeregningsår)))))</f>
        <v>1</v>
      </c>
      <c r="K24" s="790">
        <f>IF(Antall_Beregningsår&lt;3,1,IF(AND(E24=0,F24=0),1,IF(SIGN(E24)=SIGN(F24),(F24/E24)^(1/(TredjeBeregningsår-AndreBeregningsår)),((F24+1.1*ABS(E24-F24))/(E24+1.1*ABS(E24-F24)))^(1/(TredjeBeregningsår-AndreBeregningsår)))))</f>
        <v>1</v>
      </c>
      <c r="L24" s="752">
        <f>IF(Framskrivning="Lineær trend",IF(Antall_Beregningsår&gt;2,(F24-E24)/(TredjeBeregningsår-AndreBeregningsår),IF(Antall_Beregningsår&gt;1,(E24-D24)/(AndreBeregningsår-FørsteBeregningsår),0)),0)</f>
        <v>0</v>
      </c>
      <c r="M24" s="712"/>
      <c r="N24" s="712"/>
      <c r="O24" s="712"/>
      <c r="P24" s="712"/>
      <c r="Q24" s="712"/>
      <c r="R24" s="712"/>
      <c r="S24" s="712"/>
      <c r="T24" s="712"/>
      <c r="U24" s="712"/>
      <c r="V24" s="712"/>
      <c r="W24" s="463" t="str">
        <f t="shared" ref="W24:BB24" ca="1" si="30">IF(W$10&lt;=(Åpningsår+ProsjektetsLevetid-1),IF(W10&lt;=AndreBeregningsår,IF(SIGN($D24)=SIGN($E24),$D24*$J24^(W10-FørsteBeregningsår),($D24+1.1*ABS($D24-$E24))*$J24^(W10-FørsteBeregningsår)-1.1*ABS($D24-$E24)),IF(W10&lt;=TredjeBeregningsår,IF(SIGN($E24)=SIGN($F24),$E24*$K24^(W10-AndreBeregningsår),($E24+1.1*ABS($E24-$F24))*$K24^(W10-AndreBeregningsår)-1.1*ABS($E24-$F24)),OFFSET($D24,0,Antall_Beregningsår-1)*LOOKUP(W10,SerieÅR,SerieVolumvekstperson)+$L24*(W10-IF(Antall_Beregningsår&gt;2,TredjeBeregningsår,AndreBeregningsår))))*KPIJustering_Tid*LOOKUP(W10,SerieÅR,SerieRealprisjustering_Tid),"")</f>
        <v/>
      </c>
      <c r="X24" s="463" t="str">
        <f t="shared" ca="1" si="30"/>
        <v/>
      </c>
      <c r="Y24" s="463" t="str">
        <f t="shared" ca="1" si="30"/>
        <v/>
      </c>
      <c r="Z24" s="463" t="str">
        <f t="shared" ca="1" si="30"/>
        <v/>
      </c>
      <c r="AA24" s="463" t="str">
        <f t="shared" ca="1" si="30"/>
        <v/>
      </c>
      <c r="AB24" s="463" t="str">
        <f t="shared" ca="1" si="30"/>
        <v/>
      </c>
      <c r="AC24" s="463" t="str">
        <f t="shared" ca="1" si="30"/>
        <v/>
      </c>
      <c r="AD24" s="463" t="str">
        <f t="shared" ca="1" si="30"/>
        <v/>
      </c>
      <c r="AE24" s="463" t="str">
        <f t="shared" ca="1" si="30"/>
        <v/>
      </c>
      <c r="AF24" s="463" t="str">
        <f t="shared" ca="1" si="30"/>
        <v/>
      </c>
      <c r="AG24" s="463" t="str">
        <f t="shared" ca="1" si="30"/>
        <v/>
      </c>
      <c r="AH24" s="463" t="str">
        <f t="shared" ca="1" si="30"/>
        <v/>
      </c>
      <c r="AI24" s="463" t="str">
        <f t="shared" ca="1" si="30"/>
        <v/>
      </c>
      <c r="AJ24" s="463" t="str">
        <f t="shared" ca="1" si="30"/>
        <v/>
      </c>
      <c r="AK24" s="463" t="str">
        <f t="shared" ca="1" si="30"/>
        <v/>
      </c>
      <c r="AL24" s="463" t="str">
        <f t="shared" ca="1" si="30"/>
        <v/>
      </c>
      <c r="AM24" s="463" t="str">
        <f t="shared" ca="1" si="30"/>
        <v/>
      </c>
      <c r="AN24" s="463" t="str">
        <f t="shared" ca="1" si="30"/>
        <v/>
      </c>
      <c r="AO24" s="463" t="str">
        <f t="shared" ca="1" si="30"/>
        <v/>
      </c>
      <c r="AP24" s="463" t="str">
        <f t="shared" ca="1" si="30"/>
        <v/>
      </c>
      <c r="AQ24" s="463" t="str">
        <f t="shared" ca="1" si="30"/>
        <v/>
      </c>
      <c r="AR24" s="463" t="str">
        <f t="shared" ca="1" si="30"/>
        <v/>
      </c>
      <c r="AS24" s="463" t="str">
        <f t="shared" ca="1" si="30"/>
        <v/>
      </c>
      <c r="AT24" s="463" t="str">
        <f t="shared" ca="1" si="30"/>
        <v/>
      </c>
      <c r="AU24" s="463" t="str">
        <f t="shared" ca="1" si="30"/>
        <v/>
      </c>
      <c r="AV24" s="463" t="str">
        <f t="shared" ca="1" si="30"/>
        <v/>
      </c>
      <c r="AW24" s="463" t="str">
        <f t="shared" ca="1" si="30"/>
        <v/>
      </c>
      <c r="AX24" s="463" t="str">
        <f t="shared" ca="1" si="30"/>
        <v/>
      </c>
      <c r="AY24" s="463" t="str">
        <f t="shared" ca="1" si="30"/>
        <v/>
      </c>
      <c r="AZ24" s="463" t="str">
        <f t="shared" ca="1" si="30"/>
        <v/>
      </c>
      <c r="BA24" s="463" t="str">
        <f t="shared" ca="1" si="30"/>
        <v/>
      </c>
      <c r="BB24" s="463" t="str">
        <f t="shared" ca="1" si="30"/>
        <v/>
      </c>
      <c r="BC24" s="463" t="str">
        <f t="shared" ref="BC24:CH24" ca="1" si="31">IF(BC$10&lt;=(Åpningsår+ProsjektetsLevetid-1),IF(BC10&lt;=AndreBeregningsår,IF(SIGN($D24)=SIGN($E24),$D24*$J24^(BC10-FørsteBeregningsår),($D24+1.1*ABS($D24-$E24))*$J24^(BC10-FørsteBeregningsår)-1.1*ABS($D24-$E24)),IF(BC10&lt;=TredjeBeregningsår,IF(SIGN($E24)=SIGN($F24),$E24*$K24^(BC10-AndreBeregningsår),($E24+1.1*ABS($E24-$F24))*$K24^(BC10-AndreBeregningsår)-1.1*ABS($E24-$F24)),OFFSET($D24,0,Antall_Beregningsår-1)*LOOKUP(BC10,SerieÅR,SerieVolumvekstperson)+$L24*(BC10-IF(Antall_Beregningsår&gt;2,TredjeBeregningsår,AndreBeregningsår))))*KPIJustering_Tid*LOOKUP(BC10,SerieÅR,SerieRealprisjustering_Tid),"")</f>
        <v/>
      </c>
      <c r="BD24" s="463" t="str">
        <f t="shared" ca="1" si="31"/>
        <v/>
      </c>
      <c r="BE24" s="463" t="str">
        <f t="shared" ca="1" si="31"/>
        <v/>
      </c>
      <c r="BF24" s="463" t="str">
        <f t="shared" ca="1" si="31"/>
        <v/>
      </c>
      <c r="BG24" s="463" t="str">
        <f t="shared" ca="1" si="31"/>
        <v/>
      </c>
      <c r="BH24" s="463" t="str">
        <f t="shared" ca="1" si="31"/>
        <v/>
      </c>
      <c r="BI24" s="463" t="str">
        <f t="shared" ca="1" si="31"/>
        <v/>
      </c>
      <c r="BJ24" s="463" t="str">
        <f t="shared" ca="1" si="31"/>
        <v/>
      </c>
      <c r="BK24" s="463" t="str">
        <f t="shared" ca="1" si="31"/>
        <v/>
      </c>
      <c r="BL24" s="463" t="str">
        <f t="shared" ca="1" si="31"/>
        <v/>
      </c>
      <c r="BM24" s="463" t="str">
        <f t="shared" ca="1" si="31"/>
        <v/>
      </c>
      <c r="BN24" s="463" t="str">
        <f t="shared" ca="1" si="31"/>
        <v/>
      </c>
      <c r="BO24" s="463" t="str">
        <f t="shared" ca="1" si="31"/>
        <v/>
      </c>
      <c r="BP24" s="463" t="str">
        <f t="shared" ca="1" si="31"/>
        <v/>
      </c>
      <c r="BQ24" s="463" t="str">
        <f t="shared" ca="1" si="31"/>
        <v/>
      </c>
      <c r="BR24" s="463" t="str">
        <f t="shared" ca="1" si="31"/>
        <v/>
      </c>
      <c r="BS24" s="463" t="str">
        <f t="shared" ca="1" si="31"/>
        <v/>
      </c>
      <c r="BT24" s="463" t="str">
        <f t="shared" ca="1" si="31"/>
        <v/>
      </c>
      <c r="BU24" s="463" t="str">
        <f t="shared" ca="1" si="31"/>
        <v/>
      </c>
      <c r="BV24" s="463" t="str">
        <f t="shared" ca="1" si="31"/>
        <v/>
      </c>
      <c r="BW24" s="463" t="str">
        <f t="shared" ca="1" si="31"/>
        <v/>
      </c>
      <c r="BX24" s="463" t="str">
        <f t="shared" ca="1" si="31"/>
        <v/>
      </c>
      <c r="BY24" s="463" t="str">
        <f t="shared" ca="1" si="31"/>
        <v/>
      </c>
      <c r="BZ24" s="463" t="str">
        <f t="shared" ca="1" si="31"/>
        <v/>
      </c>
      <c r="CA24" s="463" t="str">
        <f t="shared" ca="1" si="31"/>
        <v/>
      </c>
      <c r="CB24" s="463" t="str">
        <f t="shared" ca="1" si="31"/>
        <v/>
      </c>
      <c r="CC24" s="463" t="str">
        <f t="shared" ca="1" si="31"/>
        <v/>
      </c>
      <c r="CD24" s="463" t="str">
        <f t="shared" ca="1" si="31"/>
        <v/>
      </c>
      <c r="CE24" s="463" t="str">
        <f t="shared" ca="1" si="31"/>
        <v/>
      </c>
      <c r="CF24" s="463" t="str">
        <f t="shared" ca="1" si="31"/>
        <v/>
      </c>
      <c r="CG24" s="463" t="str">
        <f t="shared" ca="1" si="31"/>
        <v/>
      </c>
      <c r="CH24" s="463" t="str">
        <f t="shared" ca="1" si="31"/>
        <v/>
      </c>
      <c r="CI24" s="463" t="str">
        <f t="shared" ref="CI24:DR24" ca="1" si="32">IF(CI$10&lt;=(Åpningsår+ProsjektetsLevetid-1),IF(CI10&lt;=AndreBeregningsår,IF(SIGN($D24)=SIGN($E24),$D24*$J24^(CI10-FørsteBeregningsår),($D24+1.1*ABS($D24-$E24))*$J24^(CI10-FørsteBeregningsår)-1.1*ABS($D24-$E24)),IF(CI10&lt;=TredjeBeregningsår,IF(SIGN($E24)=SIGN($F24),$E24*$K24^(CI10-AndreBeregningsår),($E24+1.1*ABS($E24-$F24))*$K24^(CI10-AndreBeregningsår)-1.1*ABS($E24-$F24)),OFFSET($D24,0,Antall_Beregningsår-1)*LOOKUP(CI10,SerieÅR,SerieVolumvekstperson)+$L24*(CI10-IF(Antall_Beregningsår&gt;2,TredjeBeregningsår,AndreBeregningsår))))*KPIJustering_Tid*LOOKUP(CI10,SerieÅR,SerieRealprisjustering_Tid),"")</f>
        <v/>
      </c>
      <c r="CJ24" s="463" t="str">
        <f t="shared" ca="1" si="32"/>
        <v/>
      </c>
      <c r="CK24" s="463" t="str">
        <f t="shared" ca="1" si="32"/>
        <v/>
      </c>
      <c r="CL24" s="463" t="str">
        <f t="shared" ca="1" si="32"/>
        <v/>
      </c>
      <c r="CM24" s="463" t="str">
        <f t="shared" ca="1" si="32"/>
        <v/>
      </c>
      <c r="CN24" s="463" t="str">
        <f t="shared" ca="1" si="32"/>
        <v/>
      </c>
      <c r="CO24" s="463" t="str">
        <f t="shared" ca="1" si="32"/>
        <v/>
      </c>
      <c r="CP24" s="463" t="str">
        <f t="shared" ca="1" si="32"/>
        <v/>
      </c>
      <c r="CQ24" s="463" t="str">
        <f t="shared" ca="1" si="32"/>
        <v/>
      </c>
      <c r="CR24" s="463" t="str">
        <f t="shared" ca="1" si="32"/>
        <v/>
      </c>
      <c r="CS24" s="463" t="str">
        <f t="shared" ca="1" si="32"/>
        <v/>
      </c>
      <c r="CT24" s="463" t="str">
        <f t="shared" ca="1" si="32"/>
        <v/>
      </c>
      <c r="CU24" s="463" t="str">
        <f t="shared" ca="1" si="32"/>
        <v/>
      </c>
      <c r="CV24" s="463" t="str">
        <f t="shared" ca="1" si="32"/>
        <v/>
      </c>
      <c r="CW24" s="463" t="str">
        <f t="shared" ca="1" si="32"/>
        <v/>
      </c>
      <c r="CX24" s="463" t="str">
        <f t="shared" ca="1" si="32"/>
        <v/>
      </c>
      <c r="CY24" s="463" t="str">
        <f t="shared" ca="1" si="32"/>
        <v/>
      </c>
      <c r="CZ24" s="463" t="str">
        <f t="shared" ca="1" si="32"/>
        <v/>
      </c>
      <c r="DA24" s="463" t="str">
        <f t="shared" ca="1" si="32"/>
        <v/>
      </c>
      <c r="DB24" s="463" t="str">
        <f t="shared" ca="1" si="32"/>
        <v/>
      </c>
      <c r="DC24" s="463" t="str">
        <f t="shared" ca="1" si="32"/>
        <v/>
      </c>
      <c r="DD24" s="463" t="str">
        <f t="shared" ca="1" si="32"/>
        <v/>
      </c>
      <c r="DE24" s="463" t="str">
        <f t="shared" ca="1" si="32"/>
        <v/>
      </c>
      <c r="DF24" s="463" t="str">
        <f t="shared" ca="1" si="32"/>
        <v/>
      </c>
      <c r="DG24" s="463" t="str">
        <f t="shared" ca="1" si="32"/>
        <v/>
      </c>
      <c r="DH24" s="463" t="str">
        <f t="shared" ca="1" si="32"/>
        <v/>
      </c>
      <c r="DI24" s="463" t="str">
        <f t="shared" ca="1" si="32"/>
        <v/>
      </c>
      <c r="DJ24" s="463" t="str">
        <f t="shared" ca="1" si="32"/>
        <v/>
      </c>
      <c r="DK24" s="463" t="str">
        <f t="shared" ca="1" si="32"/>
        <v/>
      </c>
      <c r="DL24" s="463" t="str">
        <f t="shared" ca="1" si="32"/>
        <v/>
      </c>
      <c r="DM24" s="463" t="str">
        <f t="shared" ca="1" si="32"/>
        <v/>
      </c>
      <c r="DN24" s="463" t="str">
        <f t="shared" ca="1" si="32"/>
        <v/>
      </c>
      <c r="DO24" s="463" t="str">
        <f t="shared" ca="1" si="32"/>
        <v/>
      </c>
      <c r="DP24" s="463" t="str">
        <f t="shared" ca="1" si="32"/>
        <v/>
      </c>
      <c r="DQ24" s="463" t="str">
        <f t="shared" ca="1" si="32"/>
        <v/>
      </c>
      <c r="DR24" s="463" t="str">
        <f t="shared" ca="1" si="32"/>
        <v/>
      </c>
      <c r="DS24" s="801">
        <f ca="1">SUMPRODUCT(('1.5 Prognoser og indekser'!$R$12:OFFSET('1.5 Prognoser og indekser'!$R$12,0,$DS$9)),($M24:OFFSET($M24,0,$DS$9)))</f>
        <v>0</v>
      </c>
      <c r="DT24" s="802">
        <f ca="1">IF($DT$9&lt;1,0,SUMPRODUCT(OFFSET('1.5 Prognoser og indekser'!$R$12,0,$DS$9+1,1,$DT$9),OFFSET($M24,0,$DS$9+1,1,$DT$9)))</f>
        <v>0</v>
      </c>
    </row>
    <row r="25" spans="2:124" x14ac:dyDescent="0.35">
      <c r="B25" s="419"/>
      <c r="C25" s="220" t="str">
        <f>'2.1 Trafikanter'!B30</f>
        <v>Godskunder</v>
      </c>
      <c r="D25" s="47"/>
      <c r="E25" s="8"/>
      <c r="F25" s="8"/>
      <c r="G25" s="47"/>
      <c r="H25" s="8"/>
      <c r="I25" s="8"/>
      <c r="J25" s="1019"/>
      <c r="K25" s="1019"/>
      <c r="L25" s="41"/>
      <c r="M25" s="8"/>
      <c r="N25" s="8"/>
      <c r="O25" s="8"/>
      <c r="P25" s="8"/>
      <c r="Q25" s="8"/>
      <c r="R25" s="8"/>
      <c r="S25" s="8"/>
      <c r="T25" s="8"/>
      <c r="U25" s="8"/>
      <c r="V25" s="8"/>
      <c r="W25" s="20"/>
      <c r="X25" s="20"/>
      <c r="Y25" s="20"/>
      <c r="Z25" s="20"/>
      <c r="AA25" s="20"/>
      <c r="AB25" s="20"/>
      <c r="AC25" s="20"/>
      <c r="AD25" s="20"/>
      <c r="AE25" s="20"/>
      <c r="AF25" s="20"/>
      <c r="AG25" s="20"/>
      <c r="AH25" s="20"/>
      <c r="AI25" s="20"/>
      <c r="AJ25" s="20"/>
      <c r="AK25" s="20"/>
      <c r="AL25" s="20"/>
      <c r="AM25" s="20"/>
      <c r="AN25" s="20"/>
      <c r="AO25" s="20"/>
      <c r="AP25" s="20"/>
      <c r="AQ25" s="20"/>
      <c r="AR25" s="20"/>
      <c r="AS25" s="20"/>
      <c r="AT25" s="20"/>
      <c r="AU25" s="20"/>
      <c r="AV25" s="20"/>
      <c r="AW25" s="20"/>
      <c r="AX25" s="20"/>
      <c r="AY25" s="20"/>
      <c r="AZ25" s="20"/>
      <c r="BA25" s="20"/>
      <c r="BB25" s="20"/>
      <c r="BC25" s="20"/>
      <c r="BD25" s="20"/>
      <c r="BE25" s="20"/>
      <c r="BF25" s="20"/>
      <c r="BG25" s="20"/>
      <c r="BH25" s="20"/>
      <c r="BI25" s="20"/>
      <c r="BJ25" s="20"/>
      <c r="BK25" s="20"/>
      <c r="BL25" s="20"/>
      <c r="BM25" s="20"/>
      <c r="BN25" s="20"/>
      <c r="BO25" s="20"/>
      <c r="BP25" s="20"/>
      <c r="BQ25" s="20"/>
      <c r="BR25" s="20"/>
      <c r="BS25" s="20"/>
      <c r="BT25" s="20"/>
      <c r="BU25" s="20"/>
      <c r="BV25" s="20"/>
      <c r="BW25" s="20"/>
      <c r="BX25" s="20"/>
      <c r="BY25" s="20"/>
      <c r="BZ25" s="20"/>
      <c r="CA25" s="20"/>
      <c r="CB25" s="20"/>
      <c r="CC25" s="20"/>
      <c r="CD25" s="20"/>
      <c r="CE25" s="20"/>
      <c r="CF25" s="20"/>
      <c r="CG25" s="20"/>
      <c r="CH25" s="20"/>
      <c r="CI25" s="20"/>
      <c r="CJ25" s="20"/>
      <c r="CK25" s="20"/>
      <c r="CL25" s="20"/>
      <c r="CM25" s="20"/>
      <c r="CN25" s="20"/>
      <c r="CO25" s="20"/>
      <c r="CP25" s="20"/>
      <c r="CQ25" s="20"/>
      <c r="CR25" s="20"/>
      <c r="CS25" s="20"/>
      <c r="CT25" s="20"/>
      <c r="CU25" s="20"/>
      <c r="CV25" s="20"/>
      <c r="CW25" s="20"/>
      <c r="CX25" s="20"/>
      <c r="CY25" s="20"/>
      <c r="CZ25" s="20"/>
      <c r="DA25" s="20"/>
      <c r="DB25" s="20"/>
      <c r="DC25" s="20"/>
      <c r="DD25" s="20"/>
      <c r="DE25" s="20"/>
      <c r="DF25" s="20"/>
      <c r="DG25" s="20"/>
      <c r="DH25" s="20"/>
      <c r="DI25" s="20"/>
      <c r="DJ25" s="20"/>
      <c r="DK25" s="20"/>
      <c r="DL25" s="20"/>
      <c r="DM25" s="20"/>
      <c r="DN25" s="20"/>
      <c r="DO25" s="20"/>
      <c r="DP25" s="20"/>
      <c r="DQ25" s="20"/>
      <c r="DR25" s="20"/>
      <c r="DS25" s="979"/>
      <c r="DT25" s="216"/>
    </row>
    <row r="26" spans="2:124" x14ac:dyDescent="0.35">
      <c r="B26" s="6"/>
      <c r="C26" s="218" t="str">
        <f>'2.1 Trafikanter'!B32</f>
        <v>Sparte logistikkostnader</v>
      </c>
      <c r="D26" s="463">
        <f>'2.1 Trafikanter'!C$32</f>
        <v>0</v>
      </c>
      <c r="E26" s="463">
        <f>'2.1 Trafikanter'!D$32</f>
        <v>0</v>
      </c>
      <c r="F26" s="463">
        <f>'2.1 Trafikanter'!E$32</f>
        <v>0</v>
      </c>
      <c r="G26" s="463"/>
      <c r="H26" s="463"/>
      <c r="I26" s="463"/>
      <c r="J26" s="790">
        <f>IF(Antall_Beregningsår&lt;2,1,IF(AND(D26=0,E26=0),1,IF(SIGN(D26)=SIGN(E26),(E26/D26)^(1/(AndreBeregningsår-FørsteBeregningsår)),((E26+1.1*ABS(D26-E26))/(D26+1.1*ABS(D26-E26)))^(1/(AndreBeregningsår-FørsteBeregningsår)))))</f>
        <v>1</v>
      </c>
      <c r="K26" s="790">
        <f>IF(Antall_Beregningsår&lt;3,1,IF(AND(E26=0,F26=0),1,IF(SIGN(E26)=SIGN(F26),(F26/E26)^(1/(TredjeBeregningsår-AndreBeregningsår)),((F26+1.1*ABS(E26-F26))/(E26+1.1*ABS(E26-F26)))^(1/(TredjeBeregningsår-AndreBeregningsår)))))</f>
        <v>1</v>
      </c>
      <c r="L26" s="752">
        <f>IF(Framskrivning="Lineær trend",IF(Antall_Beregningsår&gt;2,(F26-E26)/(TredjeBeregningsår-AndreBeregningsår),IF(Antall_Beregningsår&gt;1,(E26-D26)/(AndreBeregningsår-FørsteBeregningsår),0)),0)</f>
        <v>0</v>
      </c>
      <c r="M26" s="712"/>
      <c r="N26" s="712"/>
      <c r="O26" s="712"/>
      <c r="P26" s="712"/>
      <c r="Q26" s="712"/>
      <c r="R26" s="712"/>
      <c r="S26" s="712"/>
      <c r="T26" s="712"/>
      <c r="U26" s="712"/>
      <c r="V26" s="712"/>
      <c r="W26" s="463" t="str">
        <f t="shared" ref="W26:BB26" ca="1" si="33">IF(W$10&lt;=(Åpningsår+ProsjektetsLevetid-1),IF(W10&lt;=AndreBeregningsår,IF(SIGN($D26)=SIGN($E26),$D26*$J26^(W10-FørsteBeregningsår),($D26+1.1*ABS($D26-$E26))*$J26^(W10-FørsteBeregningsår)-1.1*ABS($D26-$E26)),IF(W10&lt;=TredjeBeregningsår,IF(SIGN($E26)=SIGN($F26),$E26*$K26^(W10-AndreBeregningsår),($E26+1.1*ABS($E26-$F26))*$K26^(W10-AndreBeregningsår)-1.1*ABS($E26-$F26)),OFFSET($D26,0,Antall_Beregningsår-1)*LOOKUP(W10,SerieÅR,SerieVolumvekstGods)+$L26*(W10-IF(Antall_Beregningsår&gt;2,TredjeBeregningsår,AndreBeregningsår))))*KPIJustering_Gods,"")</f>
        <v/>
      </c>
      <c r="X26" s="463" t="str">
        <f t="shared" ca="1" si="33"/>
        <v/>
      </c>
      <c r="Y26" s="463" t="str">
        <f t="shared" ca="1" si="33"/>
        <v/>
      </c>
      <c r="Z26" s="463" t="str">
        <f t="shared" ca="1" si="33"/>
        <v/>
      </c>
      <c r="AA26" s="463" t="str">
        <f t="shared" ca="1" si="33"/>
        <v/>
      </c>
      <c r="AB26" s="463" t="str">
        <f t="shared" ca="1" si="33"/>
        <v/>
      </c>
      <c r="AC26" s="463" t="str">
        <f t="shared" ca="1" si="33"/>
        <v/>
      </c>
      <c r="AD26" s="463" t="str">
        <f t="shared" ca="1" si="33"/>
        <v/>
      </c>
      <c r="AE26" s="463" t="str">
        <f t="shared" ca="1" si="33"/>
        <v/>
      </c>
      <c r="AF26" s="463" t="str">
        <f t="shared" ca="1" si="33"/>
        <v/>
      </c>
      <c r="AG26" s="463" t="str">
        <f t="shared" ca="1" si="33"/>
        <v/>
      </c>
      <c r="AH26" s="463" t="str">
        <f t="shared" ca="1" si="33"/>
        <v/>
      </c>
      <c r="AI26" s="463" t="str">
        <f t="shared" ca="1" si="33"/>
        <v/>
      </c>
      <c r="AJ26" s="463" t="str">
        <f t="shared" ca="1" si="33"/>
        <v/>
      </c>
      <c r="AK26" s="463" t="str">
        <f t="shared" ca="1" si="33"/>
        <v/>
      </c>
      <c r="AL26" s="463" t="str">
        <f t="shared" ca="1" si="33"/>
        <v/>
      </c>
      <c r="AM26" s="463" t="str">
        <f t="shared" ca="1" si="33"/>
        <v/>
      </c>
      <c r="AN26" s="463" t="str">
        <f t="shared" ca="1" si="33"/>
        <v/>
      </c>
      <c r="AO26" s="463" t="str">
        <f t="shared" ca="1" si="33"/>
        <v/>
      </c>
      <c r="AP26" s="463" t="str">
        <f t="shared" ca="1" si="33"/>
        <v/>
      </c>
      <c r="AQ26" s="463" t="str">
        <f t="shared" ca="1" si="33"/>
        <v/>
      </c>
      <c r="AR26" s="463" t="str">
        <f t="shared" ca="1" si="33"/>
        <v/>
      </c>
      <c r="AS26" s="463" t="str">
        <f t="shared" ca="1" si="33"/>
        <v/>
      </c>
      <c r="AT26" s="463" t="str">
        <f t="shared" ca="1" si="33"/>
        <v/>
      </c>
      <c r="AU26" s="463" t="str">
        <f t="shared" ca="1" si="33"/>
        <v/>
      </c>
      <c r="AV26" s="463" t="str">
        <f t="shared" ca="1" si="33"/>
        <v/>
      </c>
      <c r="AW26" s="463" t="str">
        <f t="shared" ca="1" si="33"/>
        <v/>
      </c>
      <c r="AX26" s="463" t="str">
        <f t="shared" ca="1" si="33"/>
        <v/>
      </c>
      <c r="AY26" s="463" t="str">
        <f t="shared" ca="1" si="33"/>
        <v/>
      </c>
      <c r="AZ26" s="463" t="str">
        <f t="shared" ca="1" si="33"/>
        <v/>
      </c>
      <c r="BA26" s="463" t="str">
        <f t="shared" ca="1" si="33"/>
        <v/>
      </c>
      <c r="BB26" s="463" t="str">
        <f t="shared" ca="1" si="33"/>
        <v/>
      </c>
      <c r="BC26" s="463" t="str">
        <f t="shared" ref="BC26:CH26" ca="1" si="34">IF(BC$10&lt;=(Åpningsår+ProsjektetsLevetid-1),IF(BC10&lt;=AndreBeregningsår,IF(SIGN($D26)=SIGN($E26),$D26*$J26^(BC10-FørsteBeregningsår),($D26+1.1*ABS($D26-$E26))*$J26^(BC10-FørsteBeregningsår)-1.1*ABS($D26-$E26)),IF(BC10&lt;=TredjeBeregningsår,IF(SIGN($E26)=SIGN($F26),$E26*$K26^(BC10-AndreBeregningsår),($E26+1.1*ABS($E26-$F26))*$K26^(BC10-AndreBeregningsår)-1.1*ABS($E26-$F26)),OFFSET($D26,0,Antall_Beregningsår-1)*LOOKUP(BC10,SerieÅR,SerieVolumvekstGods)+$L26*(BC10-IF(Antall_Beregningsår&gt;2,TredjeBeregningsår,AndreBeregningsår))))*KPIJustering_Gods,"")</f>
        <v/>
      </c>
      <c r="BD26" s="463" t="str">
        <f t="shared" ca="1" si="34"/>
        <v/>
      </c>
      <c r="BE26" s="463" t="str">
        <f t="shared" ca="1" si="34"/>
        <v/>
      </c>
      <c r="BF26" s="463" t="str">
        <f t="shared" ca="1" si="34"/>
        <v/>
      </c>
      <c r="BG26" s="463" t="str">
        <f t="shared" ca="1" si="34"/>
        <v/>
      </c>
      <c r="BH26" s="463" t="str">
        <f t="shared" ca="1" si="34"/>
        <v/>
      </c>
      <c r="BI26" s="463" t="str">
        <f t="shared" ca="1" si="34"/>
        <v/>
      </c>
      <c r="BJ26" s="463" t="str">
        <f t="shared" ca="1" si="34"/>
        <v/>
      </c>
      <c r="BK26" s="463" t="str">
        <f t="shared" ca="1" si="34"/>
        <v/>
      </c>
      <c r="BL26" s="463" t="str">
        <f t="shared" ca="1" si="34"/>
        <v/>
      </c>
      <c r="BM26" s="463" t="str">
        <f t="shared" ca="1" si="34"/>
        <v/>
      </c>
      <c r="BN26" s="463" t="str">
        <f t="shared" ca="1" si="34"/>
        <v/>
      </c>
      <c r="BO26" s="463" t="str">
        <f t="shared" ca="1" si="34"/>
        <v/>
      </c>
      <c r="BP26" s="463" t="str">
        <f t="shared" ca="1" si="34"/>
        <v/>
      </c>
      <c r="BQ26" s="463" t="str">
        <f t="shared" ca="1" si="34"/>
        <v/>
      </c>
      <c r="BR26" s="463" t="str">
        <f t="shared" ca="1" si="34"/>
        <v/>
      </c>
      <c r="BS26" s="463" t="str">
        <f t="shared" ca="1" si="34"/>
        <v/>
      </c>
      <c r="BT26" s="463" t="str">
        <f t="shared" ca="1" si="34"/>
        <v/>
      </c>
      <c r="BU26" s="463" t="str">
        <f t="shared" ca="1" si="34"/>
        <v/>
      </c>
      <c r="BV26" s="463" t="str">
        <f t="shared" ca="1" si="34"/>
        <v/>
      </c>
      <c r="BW26" s="463" t="str">
        <f t="shared" ca="1" si="34"/>
        <v/>
      </c>
      <c r="BX26" s="463" t="str">
        <f t="shared" ca="1" si="34"/>
        <v/>
      </c>
      <c r="BY26" s="463" t="str">
        <f t="shared" ca="1" si="34"/>
        <v/>
      </c>
      <c r="BZ26" s="463" t="str">
        <f t="shared" ca="1" si="34"/>
        <v/>
      </c>
      <c r="CA26" s="463" t="str">
        <f t="shared" ca="1" si="34"/>
        <v/>
      </c>
      <c r="CB26" s="463" t="str">
        <f t="shared" ca="1" si="34"/>
        <v/>
      </c>
      <c r="CC26" s="463" t="str">
        <f t="shared" ca="1" si="34"/>
        <v/>
      </c>
      <c r="CD26" s="463" t="str">
        <f t="shared" ca="1" si="34"/>
        <v/>
      </c>
      <c r="CE26" s="463" t="str">
        <f t="shared" ca="1" si="34"/>
        <v/>
      </c>
      <c r="CF26" s="463" t="str">
        <f t="shared" ca="1" si="34"/>
        <v/>
      </c>
      <c r="CG26" s="463" t="str">
        <f t="shared" ca="1" si="34"/>
        <v/>
      </c>
      <c r="CH26" s="463" t="str">
        <f t="shared" ca="1" si="34"/>
        <v/>
      </c>
      <c r="CI26" s="463" t="str">
        <f t="shared" ref="CI26:DR26" ca="1" si="35">IF(CI$10&lt;=(Åpningsår+ProsjektetsLevetid-1),IF(CI10&lt;=AndreBeregningsår,IF(SIGN($D26)=SIGN($E26),$D26*$J26^(CI10-FørsteBeregningsår),($D26+1.1*ABS($D26-$E26))*$J26^(CI10-FørsteBeregningsår)-1.1*ABS($D26-$E26)),IF(CI10&lt;=TredjeBeregningsår,IF(SIGN($E26)=SIGN($F26),$E26*$K26^(CI10-AndreBeregningsår),($E26+1.1*ABS($E26-$F26))*$K26^(CI10-AndreBeregningsår)-1.1*ABS($E26-$F26)),OFFSET($D26,0,Antall_Beregningsår-1)*LOOKUP(CI10,SerieÅR,SerieVolumvekstGods)+$L26*(CI10-IF(Antall_Beregningsår&gt;2,TredjeBeregningsår,AndreBeregningsår))))*KPIJustering_Gods,"")</f>
        <v/>
      </c>
      <c r="CJ26" s="463" t="str">
        <f t="shared" ca="1" si="35"/>
        <v/>
      </c>
      <c r="CK26" s="463" t="str">
        <f t="shared" ca="1" si="35"/>
        <v/>
      </c>
      <c r="CL26" s="463" t="str">
        <f t="shared" ca="1" si="35"/>
        <v/>
      </c>
      <c r="CM26" s="463" t="str">
        <f t="shared" ca="1" si="35"/>
        <v/>
      </c>
      <c r="CN26" s="463" t="str">
        <f t="shared" ca="1" si="35"/>
        <v/>
      </c>
      <c r="CO26" s="463" t="str">
        <f t="shared" ca="1" si="35"/>
        <v/>
      </c>
      <c r="CP26" s="463" t="str">
        <f t="shared" ca="1" si="35"/>
        <v/>
      </c>
      <c r="CQ26" s="463" t="str">
        <f t="shared" ca="1" si="35"/>
        <v/>
      </c>
      <c r="CR26" s="463" t="str">
        <f t="shared" ca="1" si="35"/>
        <v/>
      </c>
      <c r="CS26" s="463" t="str">
        <f t="shared" ca="1" si="35"/>
        <v/>
      </c>
      <c r="CT26" s="463" t="str">
        <f t="shared" ca="1" si="35"/>
        <v/>
      </c>
      <c r="CU26" s="463" t="str">
        <f t="shared" ca="1" si="35"/>
        <v/>
      </c>
      <c r="CV26" s="463" t="str">
        <f t="shared" ca="1" si="35"/>
        <v/>
      </c>
      <c r="CW26" s="463" t="str">
        <f t="shared" ca="1" si="35"/>
        <v/>
      </c>
      <c r="CX26" s="463" t="str">
        <f t="shared" ca="1" si="35"/>
        <v/>
      </c>
      <c r="CY26" s="463" t="str">
        <f t="shared" ca="1" si="35"/>
        <v/>
      </c>
      <c r="CZ26" s="463" t="str">
        <f t="shared" ca="1" si="35"/>
        <v/>
      </c>
      <c r="DA26" s="463" t="str">
        <f t="shared" ca="1" si="35"/>
        <v/>
      </c>
      <c r="DB26" s="463" t="str">
        <f t="shared" ca="1" si="35"/>
        <v/>
      </c>
      <c r="DC26" s="463" t="str">
        <f t="shared" ca="1" si="35"/>
        <v/>
      </c>
      <c r="DD26" s="463" t="str">
        <f t="shared" ca="1" si="35"/>
        <v/>
      </c>
      <c r="DE26" s="463" t="str">
        <f t="shared" ca="1" si="35"/>
        <v/>
      </c>
      <c r="DF26" s="463" t="str">
        <f t="shared" ca="1" si="35"/>
        <v/>
      </c>
      <c r="DG26" s="463" t="str">
        <f t="shared" ca="1" si="35"/>
        <v/>
      </c>
      <c r="DH26" s="463" t="str">
        <f t="shared" ca="1" si="35"/>
        <v/>
      </c>
      <c r="DI26" s="463" t="str">
        <f t="shared" ca="1" si="35"/>
        <v/>
      </c>
      <c r="DJ26" s="463" t="str">
        <f t="shared" ca="1" si="35"/>
        <v/>
      </c>
      <c r="DK26" s="463" t="str">
        <f t="shared" ca="1" si="35"/>
        <v/>
      </c>
      <c r="DL26" s="463" t="str">
        <f t="shared" ca="1" si="35"/>
        <v/>
      </c>
      <c r="DM26" s="463" t="str">
        <f t="shared" ca="1" si="35"/>
        <v/>
      </c>
      <c r="DN26" s="463" t="str">
        <f t="shared" ca="1" si="35"/>
        <v/>
      </c>
      <c r="DO26" s="463" t="str">
        <f t="shared" ca="1" si="35"/>
        <v/>
      </c>
      <c r="DP26" s="463" t="str">
        <f t="shared" ca="1" si="35"/>
        <v/>
      </c>
      <c r="DQ26" s="463" t="str">
        <f t="shared" ca="1" si="35"/>
        <v/>
      </c>
      <c r="DR26" s="463" t="str">
        <f t="shared" ca="1" si="35"/>
        <v/>
      </c>
      <c r="DS26" s="801">
        <f ca="1">SUMPRODUCT(('1.5 Prognoser og indekser'!$R$12:OFFSET('1.5 Prognoser og indekser'!$R$12,0,$DS$9)),($M26:OFFSET($M26,0,$DS$9)))</f>
        <v>0</v>
      </c>
      <c r="DT26" s="802">
        <f ca="1">IF($DT$9&lt;1,0,SUMPRODUCT(OFFSET('1.5 Prognoser og indekser'!$R$12,0,$DS$9+1,1,$DT$9),OFFSET($M26,0,$DS$9+1,1,$DT$9)))</f>
        <v>0</v>
      </c>
    </row>
    <row r="27" spans="2:124" x14ac:dyDescent="0.35">
      <c r="C27" s="220" t="s">
        <v>1509</v>
      </c>
      <c r="D27" s="424"/>
      <c r="E27" s="424"/>
      <c r="F27" s="424"/>
      <c r="G27" s="424"/>
      <c r="H27" s="424"/>
      <c r="I27" s="424"/>
      <c r="J27" s="523"/>
      <c r="K27" s="523"/>
      <c r="L27" s="558"/>
      <c r="M27" s="120"/>
      <c r="N27" s="120"/>
      <c r="O27" s="120"/>
      <c r="P27" s="120"/>
      <c r="Q27" s="120"/>
      <c r="R27" s="120"/>
      <c r="S27" s="120"/>
      <c r="T27" s="120"/>
      <c r="U27" s="120"/>
      <c r="V27" s="120"/>
      <c r="W27" s="424"/>
      <c r="X27" s="424"/>
      <c r="Y27" s="424"/>
      <c r="Z27" s="424"/>
      <c r="AA27" s="424"/>
      <c r="AB27" s="424"/>
      <c r="AC27" s="424"/>
      <c r="AD27" s="424"/>
      <c r="AE27" s="424"/>
      <c r="AF27" s="424"/>
      <c r="AG27" s="424"/>
      <c r="AH27" s="424"/>
      <c r="AI27" s="424"/>
      <c r="AJ27" s="424"/>
      <c r="AK27" s="424"/>
      <c r="AL27" s="424"/>
      <c r="AM27" s="424"/>
      <c r="AN27" s="424"/>
      <c r="AO27" s="424"/>
      <c r="AP27" s="424"/>
      <c r="AQ27" s="424"/>
      <c r="AR27" s="424"/>
      <c r="AS27" s="424"/>
      <c r="AT27" s="424"/>
      <c r="AU27" s="424"/>
      <c r="AV27" s="424"/>
      <c r="AW27" s="424"/>
      <c r="AX27" s="424"/>
      <c r="AY27" s="424"/>
      <c r="AZ27" s="424"/>
      <c r="BA27" s="424"/>
      <c r="BB27" s="424"/>
      <c r="BC27" s="424"/>
      <c r="BD27" s="424"/>
      <c r="BE27" s="424"/>
      <c r="BF27" s="424"/>
      <c r="BG27" s="424"/>
      <c r="BH27" s="424"/>
      <c r="BI27" s="424"/>
      <c r="BJ27" s="424"/>
      <c r="BK27" s="424"/>
      <c r="BL27" s="424"/>
      <c r="BM27" s="424"/>
      <c r="BN27" s="424"/>
      <c r="BO27" s="424"/>
      <c r="BP27" s="424"/>
      <c r="BQ27" s="424"/>
      <c r="BR27" s="424"/>
      <c r="BS27" s="424"/>
      <c r="BT27" s="424"/>
      <c r="BU27" s="424"/>
      <c r="BV27" s="424"/>
      <c r="BW27" s="424"/>
      <c r="BX27" s="424"/>
      <c r="BY27" s="424"/>
      <c r="BZ27" s="424"/>
      <c r="CA27" s="424"/>
      <c r="CB27" s="424"/>
      <c r="CC27" s="424"/>
      <c r="CD27" s="424"/>
      <c r="CE27" s="424"/>
      <c r="CF27" s="424"/>
      <c r="CG27" s="424"/>
      <c r="CH27" s="424"/>
      <c r="CI27" s="424"/>
      <c r="CJ27" s="424"/>
      <c r="CK27" s="424"/>
      <c r="CL27" s="424"/>
      <c r="CM27" s="424"/>
      <c r="CN27" s="424"/>
      <c r="CO27" s="424"/>
      <c r="CP27" s="424"/>
      <c r="CQ27" s="424"/>
      <c r="CR27" s="424"/>
      <c r="CS27" s="424"/>
      <c r="CT27" s="424"/>
      <c r="CU27" s="424"/>
      <c r="CV27" s="424"/>
      <c r="CW27" s="424"/>
      <c r="CX27" s="424"/>
      <c r="CY27" s="424"/>
      <c r="CZ27" s="424"/>
      <c r="DA27" s="424"/>
      <c r="DB27" s="424"/>
      <c r="DC27" s="424"/>
      <c r="DD27" s="424"/>
      <c r="DE27" s="424"/>
      <c r="DF27" s="424"/>
      <c r="DG27" s="424"/>
      <c r="DH27" s="424"/>
      <c r="DI27" s="424"/>
      <c r="DJ27" s="424"/>
      <c r="DK27" s="424"/>
      <c r="DL27" s="424"/>
      <c r="DM27" s="424"/>
      <c r="DN27" s="424"/>
      <c r="DO27" s="424"/>
      <c r="DP27" s="424"/>
      <c r="DQ27" s="424"/>
      <c r="DR27" s="424"/>
      <c r="DS27" s="425"/>
      <c r="DT27" s="426"/>
    </row>
    <row r="28" spans="2:124" x14ac:dyDescent="0.35">
      <c r="C28" s="254" t="str">
        <f>'2.1 Trafikanter'!B33</f>
        <v>Helse</v>
      </c>
      <c r="D28" s="791">
        <f>'2.1 Trafikanter'!C$35</f>
        <v>0</v>
      </c>
      <c r="E28" s="791">
        <f>'2.1 Trafikanter'!D$35</f>
        <v>0</v>
      </c>
      <c r="F28" s="791">
        <f>'2.1 Trafikanter'!E$35</f>
        <v>0</v>
      </c>
      <c r="G28" s="791"/>
      <c r="H28" s="791"/>
      <c r="I28" s="791"/>
      <c r="J28" s="790">
        <f>IF(Antall_Beregningsår&lt;2,1,IF(AND(D28=0,E28=0),1,IF(SIGN(D28)=SIGN(E28),(E28/D28)^(1/(AndreBeregningsår-FørsteBeregningsår)),((E28+1.1*ABS(D28-E28))/(D28+1.1*ABS(D28-E28)))^(1/(AndreBeregningsår-FørsteBeregningsår)))))</f>
        <v>1</v>
      </c>
      <c r="K28" s="790">
        <f>IF(Antall_Beregningsår&lt;3,1,IF(AND(E28=0,F28=0),1,IF(SIGN(E28)=SIGN(F28),(F28/E28)^(1/(TredjeBeregningsår-AndreBeregningsår)),((F28+1.1*ABS(E28-F28))/(E28+1.1*ABS(E28-F28)))^(1/(TredjeBeregningsår-AndreBeregningsår)))))</f>
        <v>1</v>
      </c>
      <c r="L28" s="752">
        <f>IF(Framskrivning="Lineær trend",IF(Antall_Beregningsår&gt;2,(F28-E28)/(TredjeBeregningsår-AndreBeregningsår),IF(Antall_Beregningsår&gt;1,(E28-D28)/(AndreBeregningsår-FørsteBeregningsår),0)),0)</f>
        <v>0</v>
      </c>
      <c r="M28" s="712"/>
      <c r="N28" s="712"/>
      <c r="O28" s="712"/>
      <c r="P28" s="712"/>
      <c r="Q28" s="712"/>
      <c r="R28" s="712"/>
      <c r="S28" s="712"/>
      <c r="T28" s="712"/>
      <c r="U28" s="463"/>
      <c r="V28" s="463"/>
      <c r="W28" s="463" t="str">
        <f t="shared" ref="W28:BB28" ca="1" si="36">IF(W$10&lt;=(Åpningsår+ProsjektetsLevetid-1),IF(W10&lt;=AndreBeregningsår,IF(SIGN($D28)=SIGN($E28),$D28*$J28^(W10-FørsteBeregningsår),($D28+1.1*ABS($D28-$E28))*$J28^(W10-FørsteBeregningsår)-1.1*ABS($D28-$E28)),IF(W10&lt;=TredjeBeregningsår,IF(SIGN($E28)=SIGN($F28),$E28*$K28^(W10-AndreBeregningsår),($E28+1.1*ABS($E28-$F28))*$K28^(W10-AndreBeregningsår)-1.1*ABS($E28-$F28)),OFFSET($D28,0,Antall_Beregningsår-1)*LOOKUP(W10,SerieÅR,SerieVolumvekstperson)+$L28*(W10-IF(Antall_Beregningsår&gt;2,TredjeBeregningsår,AndreBeregningsår))))*KPIJustering*LOOKUP(W10,SerieÅR,SerieRealprisjustering),"")</f>
        <v/>
      </c>
      <c r="X28" s="463" t="str">
        <f t="shared" ca="1" si="36"/>
        <v/>
      </c>
      <c r="Y28" s="463" t="str">
        <f t="shared" ca="1" si="36"/>
        <v/>
      </c>
      <c r="Z28" s="463" t="str">
        <f t="shared" ca="1" si="36"/>
        <v/>
      </c>
      <c r="AA28" s="463" t="str">
        <f t="shared" ca="1" si="36"/>
        <v/>
      </c>
      <c r="AB28" s="463" t="str">
        <f t="shared" ca="1" si="36"/>
        <v/>
      </c>
      <c r="AC28" s="463" t="str">
        <f t="shared" ca="1" si="36"/>
        <v/>
      </c>
      <c r="AD28" s="463" t="str">
        <f t="shared" ca="1" si="36"/>
        <v/>
      </c>
      <c r="AE28" s="463" t="str">
        <f t="shared" ca="1" si="36"/>
        <v/>
      </c>
      <c r="AF28" s="463" t="str">
        <f t="shared" ca="1" si="36"/>
        <v/>
      </c>
      <c r="AG28" s="463" t="str">
        <f t="shared" ca="1" si="36"/>
        <v/>
      </c>
      <c r="AH28" s="463" t="str">
        <f t="shared" ca="1" si="36"/>
        <v/>
      </c>
      <c r="AI28" s="463" t="str">
        <f t="shared" ca="1" si="36"/>
        <v/>
      </c>
      <c r="AJ28" s="463" t="str">
        <f t="shared" ca="1" si="36"/>
        <v/>
      </c>
      <c r="AK28" s="463" t="str">
        <f t="shared" ca="1" si="36"/>
        <v/>
      </c>
      <c r="AL28" s="463" t="str">
        <f t="shared" ca="1" si="36"/>
        <v/>
      </c>
      <c r="AM28" s="463" t="str">
        <f t="shared" ca="1" si="36"/>
        <v/>
      </c>
      <c r="AN28" s="463" t="str">
        <f t="shared" ca="1" si="36"/>
        <v/>
      </c>
      <c r="AO28" s="463" t="str">
        <f t="shared" ca="1" si="36"/>
        <v/>
      </c>
      <c r="AP28" s="463" t="str">
        <f t="shared" ca="1" si="36"/>
        <v/>
      </c>
      <c r="AQ28" s="463" t="str">
        <f t="shared" ca="1" si="36"/>
        <v/>
      </c>
      <c r="AR28" s="463" t="str">
        <f t="shared" ca="1" si="36"/>
        <v/>
      </c>
      <c r="AS28" s="463" t="str">
        <f t="shared" ca="1" si="36"/>
        <v/>
      </c>
      <c r="AT28" s="463" t="str">
        <f t="shared" ca="1" si="36"/>
        <v/>
      </c>
      <c r="AU28" s="463" t="str">
        <f t="shared" ca="1" si="36"/>
        <v/>
      </c>
      <c r="AV28" s="463" t="str">
        <f t="shared" ca="1" si="36"/>
        <v/>
      </c>
      <c r="AW28" s="463" t="str">
        <f t="shared" ca="1" si="36"/>
        <v/>
      </c>
      <c r="AX28" s="463" t="str">
        <f t="shared" ca="1" si="36"/>
        <v/>
      </c>
      <c r="AY28" s="463" t="str">
        <f t="shared" ca="1" si="36"/>
        <v/>
      </c>
      <c r="AZ28" s="463" t="str">
        <f t="shared" ca="1" si="36"/>
        <v/>
      </c>
      <c r="BA28" s="463" t="str">
        <f t="shared" ca="1" si="36"/>
        <v/>
      </c>
      <c r="BB28" s="463" t="str">
        <f t="shared" ca="1" si="36"/>
        <v/>
      </c>
      <c r="BC28" s="463" t="str">
        <f t="shared" ref="BC28:CH28" ca="1" si="37">IF(BC$10&lt;=(Åpningsår+ProsjektetsLevetid-1),IF(BC10&lt;=AndreBeregningsår,IF(SIGN($D28)=SIGN($E28),$D28*$J28^(BC10-FørsteBeregningsår),($D28+1.1*ABS($D28-$E28))*$J28^(BC10-FørsteBeregningsår)-1.1*ABS($D28-$E28)),IF(BC10&lt;=TredjeBeregningsår,IF(SIGN($E28)=SIGN($F28),$E28*$K28^(BC10-AndreBeregningsår),($E28+1.1*ABS($E28-$F28))*$K28^(BC10-AndreBeregningsår)-1.1*ABS($E28-$F28)),OFFSET($D28,0,Antall_Beregningsår-1)*LOOKUP(BC10,SerieÅR,SerieVolumvekstperson)+$L28*(BC10-IF(Antall_Beregningsår&gt;2,TredjeBeregningsår,AndreBeregningsår))))*KPIJustering*LOOKUP(BC10,SerieÅR,SerieRealprisjustering),"")</f>
        <v/>
      </c>
      <c r="BD28" s="463" t="str">
        <f t="shared" ca="1" si="37"/>
        <v/>
      </c>
      <c r="BE28" s="463" t="str">
        <f t="shared" ca="1" si="37"/>
        <v/>
      </c>
      <c r="BF28" s="463" t="str">
        <f t="shared" ca="1" si="37"/>
        <v/>
      </c>
      <c r="BG28" s="463" t="str">
        <f t="shared" ca="1" si="37"/>
        <v/>
      </c>
      <c r="BH28" s="463" t="str">
        <f t="shared" ca="1" si="37"/>
        <v/>
      </c>
      <c r="BI28" s="463" t="str">
        <f t="shared" ca="1" si="37"/>
        <v/>
      </c>
      <c r="BJ28" s="463" t="str">
        <f t="shared" ca="1" si="37"/>
        <v/>
      </c>
      <c r="BK28" s="463" t="str">
        <f t="shared" ca="1" si="37"/>
        <v/>
      </c>
      <c r="BL28" s="463" t="str">
        <f t="shared" ca="1" si="37"/>
        <v/>
      </c>
      <c r="BM28" s="463" t="str">
        <f t="shared" ca="1" si="37"/>
        <v/>
      </c>
      <c r="BN28" s="463" t="str">
        <f t="shared" ca="1" si="37"/>
        <v/>
      </c>
      <c r="BO28" s="463" t="str">
        <f t="shared" ca="1" si="37"/>
        <v/>
      </c>
      <c r="BP28" s="463" t="str">
        <f t="shared" ca="1" si="37"/>
        <v/>
      </c>
      <c r="BQ28" s="463" t="str">
        <f t="shared" ca="1" si="37"/>
        <v/>
      </c>
      <c r="BR28" s="463" t="str">
        <f t="shared" ca="1" si="37"/>
        <v/>
      </c>
      <c r="BS28" s="463" t="str">
        <f t="shared" ca="1" si="37"/>
        <v/>
      </c>
      <c r="BT28" s="463" t="str">
        <f t="shared" ca="1" si="37"/>
        <v/>
      </c>
      <c r="BU28" s="463" t="str">
        <f t="shared" ca="1" si="37"/>
        <v/>
      </c>
      <c r="BV28" s="463" t="str">
        <f t="shared" ca="1" si="37"/>
        <v/>
      </c>
      <c r="BW28" s="463" t="str">
        <f t="shared" ca="1" si="37"/>
        <v/>
      </c>
      <c r="BX28" s="463" t="str">
        <f t="shared" ca="1" si="37"/>
        <v/>
      </c>
      <c r="BY28" s="463" t="str">
        <f t="shared" ca="1" si="37"/>
        <v/>
      </c>
      <c r="BZ28" s="463" t="str">
        <f t="shared" ca="1" si="37"/>
        <v/>
      </c>
      <c r="CA28" s="463" t="str">
        <f t="shared" ca="1" si="37"/>
        <v/>
      </c>
      <c r="CB28" s="463" t="str">
        <f t="shared" ca="1" si="37"/>
        <v/>
      </c>
      <c r="CC28" s="463" t="str">
        <f t="shared" ca="1" si="37"/>
        <v/>
      </c>
      <c r="CD28" s="463" t="str">
        <f t="shared" ca="1" si="37"/>
        <v/>
      </c>
      <c r="CE28" s="463" t="str">
        <f t="shared" ca="1" si="37"/>
        <v/>
      </c>
      <c r="CF28" s="463" t="str">
        <f t="shared" ca="1" si="37"/>
        <v/>
      </c>
      <c r="CG28" s="463" t="str">
        <f t="shared" ca="1" si="37"/>
        <v/>
      </c>
      <c r="CH28" s="463" t="str">
        <f t="shared" ca="1" si="37"/>
        <v/>
      </c>
      <c r="CI28" s="463" t="str">
        <f t="shared" ref="CI28:DR28" ca="1" si="38">IF(CI$10&lt;=(Åpningsår+ProsjektetsLevetid-1),IF(CI10&lt;=AndreBeregningsår,IF(SIGN($D28)=SIGN($E28),$D28*$J28^(CI10-FørsteBeregningsår),($D28+1.1*ABS($D28-$E28))*$J28^(CI10-FørsteBeregningsår)-1.1*ABS($D28-$E28)),IF(CI10&lt;=TredjeBeregningsår,IF(SIGN($E28)=SIGN($F28),$E28*$K28^(CI10-AndreBeregningsår),($E28+1.1*ABS($E28-$F28))*$K28^(CI10-AndreBeregningsår)-1.1*ABS($E28-$F28)),OFFSET($D28,0,Antall_Beregningsår-1)*LOOKUP(CI10,SerieÅR,SerieVolumvekstperson)+$L28*(CI10-IF(Antall_Beregningsår&gt;2,TredjeBeregningsår,AndreBeregningsår))))*KPIJustering*LOOKUP(CI10,SerieÅR,SerieRealprisjustering),"")</f>
        <v/>
      </c>
      <c r="CJ28" s="463" t="str">
        <f t="shared" ca="1" si="38"/>
        <v/>
      </c>
      <c r="CK28" s="463" t="str">
        <f t="shared" ca="1" si="38"/>
        <v/>
      </c>
      <c r="CL28" s="463" t="str">
        <f t="shared" ca="1" si="38"/>
        <v/>
      </c>
      <c r="CM28" s="463" t="str">
        <f t="shared" ca="1" si="38"/>
        <v/>
      </c>
      <c r="CN28" s="463" t="str">
        <f t="shared" ca="1" si="38"/>
        <v/>
      </c>
      <c r="CO28" s="463" t="str">
        <f t="shared" ca="1" si="38"/>
        <v/>
      </c>
      <c r="CP28" s="463" t="str">
        <f t="shared" ca="1" si="38"/>
        <v/>
      </c>
      <c r="CQ28" s="463" t="str">
        <f t="shared" ca="1" si="38"/>
        <v/>
      </c>
      <c r="CR28" s="463" t="str">
        <f t="shared" ca="1" si="38"/>
        <v/>
      </c>
      <c r="CS28" s="463" t="str">
        <f t="shared" ca="1" si="38"/>
        <v/>
      </c>
      <c r="CT28" s="463" t="str">
        <f t="shared" ca="1" si="38"/>
        <v/>
      </c>
      <c r="CU28" s="463" t="str">
        <f t="shared" ca="1" si="38"/>
        <v/>
      </c>
      <c r="CV28" s="463" t="str">
        <f t="shared" ca="1" si="38"/>
        <v/>
      </c>
      <c r="CW28" s="463" t="str">
        <f t="shared" ca="1" si="38"/>
        <v/>
      </c>
      <c r="CX28" s="463" t="str">
        <f t="shared" ca="1" si="38"/>
        <v/>
      </c>
      <c r="CY28" s="463" t="str">
        <f t="shared" ca="1" si="38"/>
        <v/>
      </c>
      <c r="CZ28" s="463" t="str">
        <f t="shared" ca="1" si="38"/>
        <v/>
      </c>
      <c r="DA28" s="463" t="str">
        <f t="shared" ca="1" si="38"/>
        <v/>
      </c>
      <c r="DB28" s="463" t="str">
        <f t="shared" ca="1" si="38"/>
        <v/>
      </c>
      <c r="DC28" s="463" t="str">
        <f t="shared" ca="1" si="38"/>
        <v/>
      </c>
      <c r="DD28" s="463" t="str">
        <f t="shared" ca="1" si="38"/>
        <v/>
      </c>
      <c r="DE28" s="463" t="str">
        <f t="shared" ca="1" si="38"/>
        <v/>
      </c>
      <c r="DF28" s="463" t="str">
        <f t="shared" ca="1" si="38"/>
        <v/>
      </c>
      <c r="DG28" s="463" t="str">
        <f t="shared" ca="1" si="38"/>
        <v/>
      </c>
      <c r="DH28" s="463" t="str">
        <f t="shared" ca="1" si="38"/>
        <v/>
      </c>
      <c r="DI28" s="463" t="str">
        <f t="shared" ca="1" si="38"/>
        <v/>
      </c>
      <c r="DJ28" s="463" t="str">
        <f t="shared" ca="1" si="38"/>
        <v/>
      </c>
      <c r="DK28" s="463" t="str">
        <f t="shared" ca="1" si="38"/>
        <v/>
      </c>
      <c r="DL28" s="463" t="str">
        <f t="shared" ca="1" si="38"/>
        <v/>
      </c>
      <c r="DM28" s="463" t="str">
        <f t="shared" ca="1" si="38"/>
        <v/>
      </c>
      <c r="DN28" s="463" t="str">
        <f t="shared" ca="1" si="38"/>
        <v/>
      </c>
      <c r="DO28" s="463" t="str">
        <f t="shared" ca="1" si="38"/>
        <v/>
      </c>
      <c r="DP28" s="463" t="str">
        <f t="shared" ca="1" si="38"/>
        <v/>
      </c>
      <c r="DQ28" s="463" t="str">
        <f t="shared" ca="1" si="38"/>
        <v/>
      </c>
      <c r="DR28" s="463" t="str">
        <f t="shared" ca="1" si="38"/>
        <v/>
      </c>
      <c r="DS28" s="801">
        <f ca="1">SUMPRODUCT(('1.5 Prognoser og indekser'!$R$12:OFFSET('1.5 Prognoser og indekser'!$R$12,0,$DS$9)),($M28:OFFSET($M28,0,$DS$9)))</f>
        <v>0</v>
      </c>
      <c r="DT28" s="802">
        <f ca="1">IF($DT$9&lt;1,0,SUMPRODUCT(OFFSET('1.5 Prognoser og indekser'!$R$12,0,$DS$9+1,1,$DT$9),OFFSET($M28,0,$DS$9+1,1,$DT$9)))</f>
        <v>0</v>
      </c>
    </row>
    <row r="29" spans="2:124" ht="21" x14ac:dyDescent="0.5">
      <c r="C29" s="505" t="str">
        <f>'2.2 Operatører'!B9</f>
        <v>Operatører</v>
      </c>
      <c r="D29" s="1260" t="str">
        <f>D10</f>
        <v>Resultater før prisjustering</v>
      </c>
      <c r="E29" s="1260"/>
      <c r="F29" s="1260"/>
      <c r="G29" s="1260" t="str">
        <f>G10</f>
        <v>Resultater volum</v>
      </c>
      <c r="H29" s="1260"/>
      <c r="I29" s="1260"/>
      <c r="J29" s="1260" t="str">
        <f>J10</f>
        <v>Relativ årsvekst</v>
      </c>
      <c r="K29" s="1260"/>
      <c r="L29" s="559" t="str">
        <f>L10</f>
        <v xml:space="preserve">Lineær vekst </v>
      </c>
      <c r="M29" s="24" cm="1">
        <f t="array" ref="M29:DR29">SerieÅR</f>
        <v>-10</v>
      </c>
      <c r="N29" s="24">
        <v>-9</v>
      </c>
      <c r="O29" s="24">
        <v>-8</v>
      </c>
      <c r="P29" s="24">
        <v>-7</v>
      </c>
      <c r="Q29" s="24">
        <v>-6</v>
      </c>
      <c r="R29" s="24">
        <v>-5</v>
      </c>
      <c r="S29" s="24">
        <v>-4</v>
      </c>
      <c r="T29" s="24">
        <v>-3</v>
      </c>
      <c r="U29" s="24">
        <v>-2</v>
      </c>
      <c r="V29" s="24">
        <v>-1</v>
      </c>
      <c r="W29" s="24">
        <v>0</v>
      </c>
      <c r="X29" s="24">
        <v>1</v>
      </c>
      <c r="Y29" s="24">
        <v>2</v>
      </c>
      <c r="Z29" s="24">
        <v>3</v>
      </c>
      <c r="AA29" s="24">
        <v>4</v>
      </c>
      <c r="AB29" s="24">
        <v>5</v>
      </c>
      <c r="AC29" s="24">
        <v>6</v>
      </c>
      <c r="AD29" s="24">
        <v>7</v>
      </c>
      <c r="AE29" s="24">
        <v>8</v>
      </c>
      <c r="AF29" s="24">
        <v>9</v>
      </c>
      <c r="AG29" s="24">
        <v>10</v>
      </c>
      <c r="AH29" s="24">
        <v>11</v>
      </c>
      <c r="AI29" s="24">
        <v>12</v>
      </c>
      <c r="AJ29" s="24">
        <v>13</v>
      </c>
      <c r="AK29" s="24">
        <v>14</v>
      </c>
      <c r="AL29" s="24">
        <v>15</v>
      </c>
      <c r="AM29" s="24">
        <v>16</v>
      </c>
      <c r="AN29" s="24">
        <v>17</v>
      </c>
      <c r="AO29" s="24">
        <v>18</v>
      </c>
      <c r="AP29" s="24">
        <v>19</v>
      </c>
      <c r="AQ29" s="24">
        <v>20</v>
      </c>
      <c r="AR29" s="24">
        <v>21</v>
      </c>
      <c r="AS29" s="24">
        <v>22</v>
      </c>
      <c r="AT29" s="24">
        <v>23</v>
      </c>
      <c r="AU29" s="24">
        <v>24</v>
      </c>
      <c r="AV29" s="24">
        <v>25</v>
      </c>
      <c r="AW29" s="24">
        <v>26</v>
      </c>
      <c r="AX29" s="24">
        <v>27</v>
      </c>
      <c r="AY29" s="24">
        <v>28</v>
      </c>
      <c r="AZ29" s="24">
        <v>29</v>
      </c>
      <c r="BA29" s="24">
        <v>30</v>
      </c>
      <c r="BB29" s="24">
        <v>31</v>
      </c>
      <c r="BC29" s="24">
        <v>32</v>
      </c>
      <c r="BD29" s="24">
        <v>33</v>
      </c>
      <c r="BE29" s="24">
        <v>34</v>
      </c>
      <c r="BF29" s="24">
        <v>35</v>
      </c>
      <c r="BG29" s="24">
        <v>36</v>
      </c>
      <c r="BH29" s="24">
        <v>37</v>
      </c>
      <c r="BI29" s="24">
        <v>38</v>
      </c>
      <c r="BJ29" s="24">
        <v>39</v>
      </c>
      <c r="BK29" s="24">
        <v>40</v>
      </c>
      <c r="BL29" s="24">
        <v>41</v>
      </c>
      <c r="BM29" s="24">
        <v>42</v>
      </c>
      <c r="BN29" s="24">
        <v>43</v>
      </c>
      <c r="BO29" s="24">
        <v>44</v>
      </c>
      <c r="BP29" s="24">
        <v>45</v>
      </c>
      <c r="BQ29" s="24">
        <v>46</v>
      </c>
      <c r="BR29" s="24">
        <v>47</v>
      </c>
      <c r="BS29" s="24">
        <v>48</v>
      </c>
      <c r="BT29" s="24">
        <v>49</v>
      </c>
      <c r="BU29" s="24">
        <v>50</v>
      </c>
      <c r="BV29" s="24">
        <v>51</v>
      </c>
      <c r="BW29" s="24">
        <v>52</v>
      </c>
      <c r="BX29" s="24">
        <v>53</v>
      </c>
      <c r="BY29" s="24">
        <v>54</v>
      </c>
      <c r="BZ29" s="24">
        <v>55</v>
      </c>
      <c r="CA29" s="24">
        <v>56</v>
      </c>
      <c r="CB29" s="24">
        <v>57</v>
      </c>
      <c r="CC29" s="24">
        <v>58</v>
      </c>
      <c r="CD29" s="24">
        <v>59</v>
      </c>
      <c r="CE29" s="24">
        <v>60</v>
      </c>
      <c r="CF29" s="24">
        <v>61</v>
      </c>
      <c r="CG29" s="24">
        <v>62</v>
      </c>
      <c r="CH29" s="24">
        <v>63</v>
      </c>
      <c r="CI29" s="24">
        <v>64</v>
      </c>
      <c r="CJ29" s="24">
        <v>65</v>
      </c>
      <c r="CK29" s="24">
        <v>66</v>
      </c>
      <c r="CL29" s="24">
        <v>67</v>
      </c>
      <c r="CM29" s="24">
        <v>68</v>
      </c>
      <c r="CN29" s="24">
        <v>69</v>
      </c>
      <c r="CO29" s="24">
        <v>70</v>
      </c>
      <c r="CP29" s="24">
        <v>71</v>
      </c>
      <c r="CQ29" s="24">
        <v>72</v>
      </c>
      <c r="CR29" s="24">
        <v>73</v>
      </c>
      <c r="CS29" s="24">
        <v>74</v>
      </c>
      <c r="CT29" s="24">
        <v>75</v>
      </c>
      <c r="CU29" s="24">
        <v>76</v>
      </c>
      <c r="CV29" s="24">
        <v>77</v>
      </c>
      <c r="CW29" s="24">
        <v>78</v>
      </c>
      <c r="CX29" s="24">
        <v>79</v>
      </c>
      <c r="CY29" s="24">
        <v>80</v>
      </c>
      <c r="CZ29" s="24">
        <v>81</v>
      </c>
      <c r="DA29" s="24">
        <v>82</v>
      </c>
      <c r="DB29" s="24">
        <v>83</v>
      </c>
      <c r="DC29" s="24">
        <v>84</v>
      </c>
      <c r="DD29" s="24">
        <v>85</v>
      </c>
      <c r="DE29" s="24">
        <v>86</v>
      </c>
      <c r="DF29" s="24">
        <v>87</v>
      </c>
      <c r="DG29" s="24">
        <v>88</v>
      </c>
      <c r="DH29" s="24">
        <v>89</v>
      </c>
      <c r="DI29" s="24">
        <v>90</v>
      </c>
      <c r="DJ29" s="24">
        <v>91</v>
      </c>
      <c r="DK29" s="24">
        <v>92</v>
      </c>
      <c r="DL29" s="24">
        <v>93</v>
      </c>
      <c r="DM29" s="24">
        <v>94</v>
      </c>
      <c r="DN29" s="24">
        <v>95</v>
      </c>
      <c r="DO29" s="24">
        <v>96</v>
      </c>
      <c r="DP29" s="24">
        <v>97</v>
      </c>
      <c r="DQ29" s="24">
        <v>98</v>
      </c>
      <c r="DR29" s="24">
        <v>99</v>
      </c>
      <c r="DS29" s="24" t="s">
        <v>1587</v>
      </c>
      <c r="DT29" s="371" t="s">
        <v>1588</v>
      </c>
    </row>
    <row r="30" spans="2:124" x14ac:dyDescent="0.35">
      <c r="C30" s="220" t="str">
        <f>'2.2 Operatører'!B11</f>
        <v>Jernbane</v>
      </c>
      <c r="D30" s="418">
        <f>D11</f>
        <v>0</v>
      </c>
      <c r="E30" s="418">
        <f>E11</f>
        <v>0</v>
      </c>
      <c r="F30" s="418">
        <f>F11</f>
        <v>0</v>
      </c>
      <c r="G30" s="418">
        <f>G11</f>
        <v>0</v>
      </c>
      <c r="H30" s="418">
        <f>H11</f>
        <v>0</v>
      </c>
      <c r="I30" s="418">
        <f>I11</f>
        <v>0</v>
      </c>
      <c r="J30" s="418" t="str">
        <f>J11</f>
        <v xml:space="preserve"> - </v>
      </c>
      <c r="K30" s="418" t="str">
        <f>K11</f>
        <v xml:space="preserve"> - </v>
      </c>
      <c r="L30" s="560" t="str">
        <f>L11</f>
        <v xml:space="preserve"> -&gt;-1</v>
      </c>
      <c r="M30" s="8"/>
      <c r="N30" s="8"/>
      <c r="O30" s="8"/>
      <c r="P30" s="8"/>
      <c r="Q30" s="8"/>
      <c r="R30" s="8"/>
      <c r="S30" s="8"/>
      <c r="T30" s="8"/>
      <c r="U30" s="8"/>
      <c r="V30" s="8"/>
      <c r="W30" s="8"/>
      <c r="X30" s="8"/>
      <c r="Y30" s="8"/>
      <c r="Z30" s="8"/>
      <c r="AA30" s="8"/>
      <c r="AB30" s="8"/>
      <c r="AC30" s="8"/>
      <c r="AD30" s="8"/>
      <c r="AE30" s="8"/>
      <c r="AF30" s="8"/>
      <c r="AG30" s="8"/>
      <c r="AH30" s="8"/>
      <c r="AI30" s="8"/>
      <c r="AJ30" s="8"/>
      <c r="AK30" s="8"/>
      <c r="AL30" s="8"/>
      <c r="AM30" s="8"/>
      <c r="AN30" s="8"/>
      <c r="AO30" s="8"/>
      <c r="AP30" s="8"/>
      <c r="AQ30" s="8"/>
      <c r="AR30" s="8"/>
      <c r="AS30" s="8"/>
      <c r="AT30" s="8"/>
      <c r="AU30" s="8"/>
      <c r="AV30" s="8"/>
      <c r="AW30" s="8"/>
      <c r="AX30" s="8"/>
      <c r="AY30" s="8"/>
      <c r="AZ30" s="8"/>
      <c r="BA30" s="8"/>
      <c r="BB30" s="8"/>
      <c r="BC30" s="8"/>
      <c r="BD30" s="8"/>
      <c r="BE30" s="8"/>
      <c r="BF30" s="8"/>
      <c r="BG30" s="8"/>
      <c r="BH30" s="8"/>
      <c r="BI30" s="8"/>
      <c r="BJ30" s="8"/>
      <c r="BK30" s="8"/>
      <c r="BL30" s="8"/>
      <c r="BM30" s="8"/>
      <c r="BN30" s="8"/>
      <c r="BO30" s="8"/>
      <c r="BP30" s="8"/>
      <c r="BQ30" s="8"/>
      <c r="BR30" s="8"/>
      <c r="BS30" s="8"/>
      <c r="BT30" s="8"/>
      <c r="BU30" s="8"/>
      <c r="BV30" s="8"/>
      <c r="BW30" s="8"/>
      <c r="BX30" s="8"/>
      <c r="BY30" s="8"/>
      <c r="BZ30" s="8"/>
      <c r="CA30" s="8"/>
      <c r="CB30" s="8"/>
      <c r="CC30" s="8"/>
      <c r="CD30" s="8"/>
      <c r="CE30" s="8"/>
      <c r="CF30" s="8"/>
      <c r="CG30" s="8"/>
      <c r="CH30" s="8"/>
      <c r="CI30" s="8"/>
      <c r="CJ30" s="8"/>
      <c r="CK30" s="8"/>
      <c r="CL30" s="8"/>
      <c r="CM30" s="8"/>
      <c r="CN30" s="8"/>
      <c r="CO30" s="8"/>
      <c r="CP30" s="8"/>
      <c r="CQ30" s="8"/>
      <c r="CR30" s="8"/>
      <c r="CS30" s="8"/>
      <c r="CT30" s="8"/>
      <c r="CU30" s="8"/>
      <c r="CV30" s="8"/>
      <c r="CW30" s="8"/>
      <c r="CX30" s="8"/>
      <c r="CY30" s="8"/>
      <c r="CZ30" s="8"/>
      <c r="DA30" s="8"/>
      <c r="DB30" s="8"/>
      <c r="DC30" s="8"/>
      <c r="DD30" s="8"/>
      <c r="DE30" s="8"/>
      <c r="DF30" s="8"/>
      <c r="DG30" s="8"/>
      <c r="DH30" s="8"/>
      <c r="DI30" s="8"/>
      <c r="DJ30" s="8"/>
      <c r="DK30" s="8"/>
      <c r="DL30" s="8"/>
      <c r="DM30" s="8"/>
      <c r="DN30" s="8"/>
      <c r="DO30" s="8"/>
      <c r="DP30" s="8"/>
      <c r="DQ30" s="8"/>
      <c r="DR30" s="8"/>
      <c r="DS30" s="8"/>
      <c r="DT30" s="259"/>
    </row>
    <row r="31" spans="2:124" x14ac:dyDescent="0.35">
      <c r="B31" s="6"/>
      <c r="C31" s="218" t="str">
        <f>'2.2 Operatører'!B16</f>
        <v>Inntekter</v>
      </c>
      <c r="D31" s="770">
        <f>'2.2 Operatører'!K$17</f>
        <v>0</v>
      </c>
      <c r="E31" s="463">
        <f>'2.2 Operatører'!L$17</f>
        <v>0</v>
      </c>
      <c r="F31" s="463">
        <f>'2.2 Operatører'!M$17</f>
        <v>0</v>
      </c>
      <c r="G31" s="463"/>
      <c r="H31" s="463"/>
      <c r="I31" s="463"/>
      <c r="J31" s="790">
        <f>IF(Antall_Beregningsår&lt;2,1,IF(AND(D31=0,E31=0),1,IF(SIGN(D31)=SIGN(E31),(E31/D31)^(1/(AndreBeregningsår-FørsteBeregningsår)),((E31+1.1*ABS(D31-E31))/(D31+1.1*ABS(D31-E31)))^(1/(AndreBeregningsår-FørsteBeregningsår)))))</f>
        <v>1</v>
      </c>
      <c r="K31" s="790">
        <f>IF(Antall_Beregningsår&lt;3,1,IF(AND(E31=0,F31=0),1,IF(SIGN(E31)=SIGN(F31),(F31/E31)^(1/(TredjeBeregningsår-AndreBeregningsår)),((F31+1.1*ABS(E31-F31))/(E31+1.1*ABS(E31-F31)))^(1/(TredjeBeregningsår-AndreBeregningsår)))))</f>
        <v>1</v>
      </c>
      <c r="L31" s="752">
        <f>IF(Framskrivning="Lineær trend",IF(Antall_Beregningsår&gt;2,(F31-E31)/(TredjeBeregningsår-AndreBeregningsår),IF(Antall_Beregningsår&gt;1,(E31-D31)/(AndreBeregningsår-FørsteBeregningsår),0)),0)</f>
        <v>0</v>
      </c>
      <c r="M31" s="712"/>
      <c r="N31" s="712"/>
      <c r="O31" s="712"/>
      <c r="P31" s="712"/>
      <c r="Q31" s="712"/>
      <c r="R31" s="712"/>
      <c r="S31" s="712"/>
      <c r="T31" s="712"/>
      <c r="U31" s="712"/>
      <c r="V31" s="712"/>
      <c r="W31" s="463" t="str">
        <f t="shared" ref="W31:BB31" ca="1" si="39">IF(W$10&lt;=(Åpningsår+ProsjektetsLevetid-1),IF(W29&lt;=AndreBeregningsår,IF(SIGN($D31)=SIGN($E31),$D31*$J31^(W29-FørsteBeregningsår),($D31+1.1*ABS($D31-$E31))*$J31^(W29-FørsteBeregningsår)-1.1*ABS($D31-$E31)),IF(W29&lt;=TredjeBeregningsår,IF(SIGN($E31)=SIGN($F31),$E31*$K31^(W29-AndreBeregningsår),($E31+1.1*ABS($E31-$F31))*$K31^(W29-AndreBeregningsår)-1.1*ABS($E31-$F31)),OFFSET($D31,0,Antall_Beregningsår-1)*LOOKUP(W29,SerieÅR,SerieVolumvekstperson)+$L31*(W29-IF(Antall_Beregningsår&gt;2,TredjeBeregningsår,AndreBeregningsår))))*KPIJustering_Takster,"")</f>
        <v/>
      </c>
      <c r="X31" s="463" t="str">
        <f t="shared" ca="1" si="39"/>
        <v/>
      </c>
      <c r="Y31" s="463" t="str">
        <f t="shared" ca="1" si="39"/>
        <v/>
      </c>
      <c r="Z31" s="463" t="str">
        <f t="shared" ca="1" si="39"/>
        <v/>
      </c>
      <c r="AA31" s="463" t="str">
        <f t="shared" ca="1" si="39"/>
        <v/>
      </c>
      <c r="AB31" s="463" t="str">
        <f t="shared" ca="1" si="39"/>
        <v/>
      </c>
      <c r="AC31" s="463" t="str">
        <f t="shared" ca="1" si="39"/>
        <v/>
      </c>
      <c r="AD31" s="463" t="str">
        <f t="shared" ca="1" si="39"/>
        <v/>
      </c>
      <c r="AE31" s="463" t="str">
        <f t="shared" ca="1" si="39"/>
        <v/>
      </c>
      <c r="AF31" s="463" t="str">
        <f t="shared" ca="1" si="39"/>
        <v/>
      </c>
      <c r="AG31" s="463" t="str">
        <f t="shared" ca="1" si="39"/>
        <v/>
      </c>
      <c r="AH31" s="463" t="str">
        <f t="shared" ca="1" si="39"/>
        <v/>
      </c>
      <c r="AI31" s="463" t="str">
        <f t="shared" ca="1" si="39"/>
        <v/>
      </c>
      <c r="AJ31" s="463" t="str">
        <f t="shared" ca="1" si="39"/>
        <v/>
      </c>
      <c r="AK31" s="463" t="str">
        <f t="shared" ca="1" si="39"/>
        <v/>
      </c>
      <c r="AL31" s="463" t="str">
        <f t="shared" ca="1" si="39"/>
        <v/>
      </c>
      <c r="AM31" s="463" t="str">
        <f t="shared" ca="1" si="39"/>
        <v/>
      </c>
      <c r="AN31" s="463" t="str">
        <f t="shared" ca="1" si="39"/>
        <v/>
      </c>
      <c r="AO31" s="463" t="str">
        <f t="shared" ca="1" si="39"/>
        <v/>
      </c>
      <c r="AP31" s="463" t="str">
        <f t="shared" ca="1" si="39"/>
        <v/>
      </c>
      <c r="AQ31" s="463" t="str">
        <f t="shared" ca="1" si="39"/>
        <v/>
      </c>
      <c r="AR31" s="463" t="str">
        <f t="shared" ca="1" si="39"/>
        <v/>
      </c>
      <c r="AS31" s="463" t="str">
        <f t="shared" ca="1" si="39"/>
        <v/>
      </c>
      <c r="AT31" s="463" t="str">
        <f t="shared" ca="1" si="39"/>
        <v/>
      </c>
      <c r="AU31" s="463" t="str">
        <f t="shared" ca="1" si="39"/>
        <v/>
      </c>
      <c r="AV31" s="463" t="str">
        <f t="shared" ca="1" si="39"/>
        <v/>
      </c>
      <c r="AW31" s="463" t="str">
        <f t="shared" ca="1" si="39"/>
        <v/>
      </c>
      <c r="AX31" s="463" t="str">
        <f t="shared" ca="1" si="39"/>
        <v/>
      </c>
      <c r="AY31" s="463" t="str">
        <f t="shared" ca="1" si="39"/>
        <v/>
      </c>
      <c r="AZ31" s="463" t="str">
        <f t="shared" ca="1" si="39"/>
        <v/>
      </c>
      <c r="BA31" s="463" t="str">
        <f t="shared" ca="1" si="39"/>
        <v/>
      </c>
      <c r="BB31" s="463" t="str">
        <f t="shared" ca="1" si="39"/>
        <v/>
      </c>
      <c r="BC31" s="463" t="str">
        <f t="shared" ref="BC31:CH31" ca="1" si="40">IF(BC$10&lt;=(Åpningsår+ProsjektetsLevetid-1),IF(BC29&lt;=AndreBeregningsår,IF(SIGN($D31)=SIGN($E31),$D31*$J31^(BC29-FørsteBeregningsår),($D31+1.1*ABS($D31-$E31))*$J31^(BC29-FørsteBeregningsår)-1.1*ABS($D31-$E31)),IF(BC29&lt;=TredjeBeregningsår,IF(SIGN($E31)=SIGN($F31),$E31*$K31^(BC29-AndreBeregningsår),($E31+1.1*ABS($E31-$F31))*$K31^(BC29-AndreBeregningsår)-1.1*ABS($E31-$F31)),OFFSET($D31,0,Antall_Beregningsår-1)*LOOKUP(BC29,SerieÅR,SerieVolumvekstperson)+$L31*(BC29-IF(Antall_Beregningsår&gt;2,TredjeBeregningsår,AndreBeregningsår))))*KPIJustering_Takster,"")</f>
        <v/>
      </c>
      <c r="BD31" s="463" t="str">
        <f t="shared" ca="1" si="40"/>
        <v/>
      </c>
      <c r="BE31" s="463" t="str">
        <f t="shared" ca="1" si="40"/>
        <v/>
      </c>
      <c r="BF31" s="463" t="str">
        <f t="shared" ca="1" si="40"/>
        <v/>
      </c>
      <c r="BG31" s="463" t="str">
        <f t="shared" ca="1" si="40"/>
        <v/>
      </c>
      <c r="BH31" s="463" t="str">
        <f t="shared" ca="1" si="40"/>
        <v/>
      </c>
      <c r="BI31" s="463" t="str">
        <f t="shared" ca="1" si="40"/>
        <v/>
      </c>
      <c r="BJ31" s="463" t="str">
        <f t="shared" ca="1" si="40"/>
        <v/>
      </c>
      <c r="BK31" s="463" t="str">
        <f t="shared" ca="1" si="40"/>
        <v/>
      </c>
      <c r="BL31" s="463" t="str">
        <f t="shared" ca="1" si="40"/>
        <v/>
      </c>
      <c r="BM31" s="463" t="str">
        <f t="shared" ca="1" si="40"/>
        <v/>
      </c>
      <c r="BN31" s="463" t="str">
        <f t="shared" ca="1" si="40"/>
        <v/>
      </c>
      <c r="BO31" s="463" t="str">
        <f t="shared" ca="1" si="40"/>
        <v/>
      </c>
      <c r="BP31" s="463" t="str">
        <f t="shared" ca="1" si="40"/>
        <v/>
      </c>
      <c r="BQ31" s="463" t="str">
        <f t="shared" ca="1" si="40"/>
        <v/>
      </c>
      <c r="BR31" s="463" t="str">
        <f t="shared" ca="1" si="40"/>
        <v/>
      </c>
      <c r="BS31" s="463" t="str">
        <f t="shared" ca="1" si="40"/>
        <v/>
      </c>
      <c r="BT31" s="463" t="str">
        <f t="shared" ca="1" si="40"/>
        <v/>
      </c>
      <c r="BU31" s="463" t="str">
        <f t="shared" ca="1" si="40"/>
        <v/>
      </c>
      <c r="BV31" s="463" t="str">
        <f t="shared" ca="1" si="40"/>
        <v/>
      </c>
      <c r="BW31" s="463" t="str">
        <f t="shared" ca="1" si="40"/>
        <v/>
      </c>
      <c r="BX31" s="463" t="str">
        <f t="shared" ca="1" si="40"/>
        <v/>
      </c>
      <c r="BY31" s="463" t="str">
        <f t="shared" ca="1" si="40"/>
        <v/>
      </c>
      <c r="BZ31" s="463" t="str">
        <f t="shared" ca="1" si="40"/>
        <v/>
      </c>
      <c r="CA31" s="463" t="str">
        <f t="shared" ca="1" si="40"/>
        <v/>
      </c>
      <c r="CB31" s="463" t="str">
        <f t="shared" ca="1" si="40"/>
        <v/>
      </c>
      <c r="CC31" s="463" t="str">
        <f t="shared" ca="1" si="40"/>
        <v/>
      </c>
      <c r="CD31" s="463" t="str">
        <f t="shared" ca="1" si="40"/>
        <v/>
      </c>
      <c r="CE31" s="463" t="str">
        <f t="shared" ca="1" si="40"/>
        <v/>
      </c>
      <c r="CF31" s="463" t="str">
        <f t="shared" ca="1" si="40"/>
        <v/>
      </c>
      <c r="CG31" s="463" t="str">
        <f t="shared" ca="1" si="40"/>
        <v/>
      </c>
      <c r="CH31" s="463" t="str">
        <f t="shared" ca="1" si="40"/>
        <v/>
      </c>
      <c r="CI31" s="463" t="str">
        <f t="shared" ref="CI31:DR31" ca="1" si="41">IF(CI$10&lt;=(Åpningsår+ProsjektetsLevetid-1),IF(CI29&lt;=AndreBeregningsår,IF(SIGN($D31)=SIGN($E31),$D31*$J31^(CI29-FørsteBeregningsår),($D31+1.1*ABS($D31-$E31))*$J31^(CI29-FørsteBeregningsår)-1.1*ABS($D31-$E31)),IF(CI29&lt;=TredjeBeregningsår,IF(SIGN($E31)=SIGN($F31),$E31*$K31^(CI29-AndreBeregningsår),($E31+1.1*ABS($E31-$F31))*$K31^(CI29-AndreBeregningsår)-1.1*ABS($E31-$F31)),OFFSET($D31,0,Antall_Beregningsår-1)*LOOKUP(CI29,SerieÅR,SerieVolumvekstperson)+$L31*(CI29-IF(Antall_Beregningsår&gt;2,TredjeBeregningsår,AndreBeregningsår))))*KPIJustering_Takster,"")</f>
        <v/>
      </c>
      <c r="CJ31" s="463" t="str">
        <f t="shared" ca="1" si="41"/>
        <v/>
      </c>
      <c r="CK31" s="463" t="str">
        <f t="shared" ca="1" si="41"/>
        <v/>
      </c>
      <c r="CL31" s="463" t="str">
        <f t="shared" ca="1" si="41"/>
        <v/>
      </c>
      <c r="CM31" s="463" t="str">
        <f t="shared" ca="1" si="41"/>
        <v/>
      </c>
      <c r="CN31" s="463" t="str">
        <f t="shared" ca="1" si="41"/>
        <v/>
      </c>
      <c r="CO31" s="463" t="str">
        <f t="shared" ca="1" si="41"/>
        <v/>
      </c>
      <c r="CP31" s="463" t="str">
        <f t="shared" ca="1" si="41"/>
        <v/>
      </c>
      <c r="CQ31" s="463" t="str">
        <f t="shared" ca="1" si="41"/>
        <v/>
      </c>
      <c r="CR31" s="463" t="str">
        <f t="shared" ca="1" si="41"/>
        <v/>
      </c>
      <c r="CS31" s="463" t="str">
        <f t="shared" ca="1" si="41"/>
        <v/>
      </c>
      <c r="CT31" s="463" t="str">
        <f t="shared" ca="1" si="41"/>
        <v/>
      </c>
      <c r="CU31" s="463" t="str">
        <f t="shared" ca="1" si="41"/>
        <v/>
      </c>
      <c r="CV31" s="463" t="str">
        <f t="shared" ca="1" si="41"/>
        <v/>
      </c>
      <c r="CW31" s="463" t="str">
        <f t="shared" ca="1" si="41"/>
        <v/>
      </c>
      <c r="CX31" s="463" t="str">
        <f t="shared" ca="1" si="41"/>
        <v/>
      </c>
      <c r="CY31" s="463" t="str">
        <f t="shared" ca="1" si="41"/>
        <v/>
      </c>
      <c r="CZ31" s="463" t="str">
        <f t="shared" ca="1" si="41"/>
        <v/>
      </c>
      <c r="DA31" s="463" t="str">
        <f t="shared" ca="1" si="41"/>
        <v/>
      </c>
      <c r="DB31" s="463" t="str">
        <f t="shared" ca="1" si="41"/>
        <v/>
      </c>
      <c r="DC31" s="463" t="str">
        <f t="shared" ca="1" si="41"/>
        <v/>
      </c>
      <c r="DD31" s="463" t="str">
        <f t="shared" ca="1" si="41"/>
        <v/>
      </c>
      <c r="DE31" s="463" t="str">
        <f t="shared" ca="1" si="41"/>
        <v/>
      </c>
      <c r="DF31" s="463" t="str">
        <f t="shared" ca="1" si="41"/>
        <v/>
      </c>
      <c r="DG31" s="463" t="str">
        <f t="shared" ca="1" si="41"/>
        <v/>
      </c>
      <c r="DH31" s="463" t="str">
        <f t="shared" ca="1" si="41"/>
        <v/>
      </c>
      <c r="DI31" s="463" t="str">
        <f t="shared" ca="1" si="41"/>
        <v/>
      </c>
      <c r="DJ31" s="463" t="str">
        <f t="shared" ca="1" si="41"/>
        <v/>
      </c>
      <c r="DK31" s="463" t="str">
        <f t="shared" ca="1" si="41"/>
        <v/>
      </c>
      <c r="DL31" s="463" t="str">
        <f t="shared" ca="1" si="41"/>
        <v/>
      </c>
      <c r="DM31" s="463" t="str">
        <f t="shared" ca="1" si="41"/>
        <v/>
      </c>
      <c r="DN31" s="463" t="str">
        <f t="shared" ca="1" si="41"/>
        <v/>
      </c>
      <c r="DO31" s="463" t="str">
        <f t="shared" ca="1" si="41"/>
        <v/>
      </c>
      <c r="DP31" s="463" t="str">
        <f t="shared" ca="1" si="41"/>
        <v/>
      </c>
      <c r="DQ31" s="463" t="str">
        <f t="shared" ca="1" si="41"/>
        <v/>
      </c>
      <c r="DR31" s="463" t="str">
        <f t="shared" ca="1" si="41"/>
        <v/>
      </c>
      <c r="DS31" s="801">
        <f ca="1">SUMPRODUCT(('1.5 Prognoser og indekser'!$R$12:OFFSET('1.5 Prognoser og indekser'!$R$12,0,$DS$9)),($M31:OFFSET($M31,0,$DS$9)))</f>
        <v>0</v>
      </c>
      <c r="DT31" s="802">
        <f ca="1">IF($DT$9&lt;1,0,SUMPRODUCT(OFFSET('1.5 Prognoser og indekser'!$R$12,0,$DS$9+1,1,$DT$9),OFFSET($M31,0,$DS$9+1,1,$DT$9)))</f>
        <v>0</v>
      </c>
    </row>
    <row r="32" spans="2:124" x14ac:dyDescent="0.35">
      <c r="C32" s="218" t="str">
        <f>'2.2 Operatører'!B18</f>
        <v>Offentlig kjøp</v>
      </c>
      <c r="D32" s="770">
        <f ca="1">'2.2 Operatører'!K$18</f>
        <v>0</v>
      </c>
      <c r="E32" s="770">
        <f ca="1">'2.2 Operatører'!L$18</f>
        <v>0</v>
      </c>
      <c r="F32" s="770">
        <f ca="1">'2.2 Operatører'!M$18</f>
        <v>0</v>
      </c>
      <c r="G32" s="770"/>
      <c r="H32" s="770"/>
      <c r="I32" s="770"/>
      <c r="J32" s="790"/>
      <c r="K32" s="790"/>
      <c r="L32" s="752"/>
      <c r="M32" s="712"/>
      <c r="N32" s="712"/>
      <c r="O32" s="712"/>
      <c r="P32" s="712"/>
      <c r="Q32" s="712"/>
      <c r="R32" s="712"/>
      <c r="S32" s="712"/>
      <c r="T32" s="712"/>
      <c r="U32" s="712"/>
      <c r="V32" s="712"/>
      <c r="W32" s="463" t="str">
        <f>IF(W29&lt;=(Åpningsår+ProsjektetsLevetid-1),-SUM(W33:W36)-W31,"")</f>
        <v/>
      </c>
      <c r="X32" s="463" t="str">
        <f t="shared" ref="X32:BB32" si="42">IF(X29&lt;=(Åpningsår+ProsjektetsLevetid-1),-SUM(X33:X36)-X31,"")</f>
        <v/>
      </c>
      <c r="Y32" s="463" t="str">
        <f t="shared" si="42"/>
        <v/>
      </c>
      <c r="Z32" s="463" t="str">
        <f t="shared" si="42"/>
        <v/>
      </c>
      <c r="AA32" s="463" t="str">
        <f t="shared" si="42"/>
        <v/>
      </c>
      <c r="AB32" s="463" t="str">
        <f t="shared" si="42"/>
        <v/>
      </c>
      <c r="AC32" s="463" t="str">
        <f t="shared" si="42"/>
        <v/>
      </c>
      <c r="AD32" s="463" t="str">
        <f t="shared" si="42"/>
        <v/>
      </c>
      <c r="AE32" s="463" t="str">
        <f t="shared" si="42"/>
        <v/>
      </c>
      <c r="AF32" s="463" t="str">
        <f t="shared" si="42"/>
        <v/>
      </c>
      <c r="AG32" s="463" t="str">
        <f t="shared" si="42"/>
        <v/>
      </c>
      <c r="AH32" s="463" t="str">
        <f t="shared" si="42"/>
        <v/>
      </c>
      <c r="AI32" s="463" t="str">
        <f t="shared" si="42"/>
        <v/>
      </c>
      <c r="AJ32" s="463" t="str">
        <f t="shared" si="42"/>
        <v/>
      </c>
      <c r="AK32" s="463" t="str">
        <f t="shared" si="42"/>
        <v/>
      </c>
      <c r="AL32" s="463" t="str">
        <f t="shared" si="42"/>
        <v/>
      </c>
      <c r="AM32" s="463" t="str">
        <f t="shared" si="42"/>
        <v/>
      </c>
      <c r="AN32" s="463" t="str">
        <f t="shared" si="42"/>
        <v/>
      </c>
      <c r="AO32" s="463" t="str">
        <f t="shared" si="42"/>
        <v/>
      </c>
      <c r="AP32" s="463" t="str">
        <f t="shared" si="42"/>
        <v/>
      </c>
      <c r="AQ32" s="463" t="str">
        <f>IF(AQ29&lt;=(Åpningsår+ProsjektetsLevetid-1),-SUM(AQ33:AQ36)-AQ31,"")</f>
        <v/>
      </c>
      <c r="AR32" s="463" t="str">
        <f>IF(AR29&lt;=(Åpningsår+ProsjektetsLevetid-1),-SUM(AR33:AR36)-AR31,"")</f>
        <v/>
      </c>
      <c r="AS32" s="463" t="str">
        <f t="shared" si="42"/>
        <v/>
      </c>
      <c r="AT32" s="463" t="str">
        <f t="shared" si="42"/>
        <v/>
      </c>
      <c r="AU32" s="463" t="str">
        <f t="shared" si="42"/>
        <v/>
      </c>
      <c r="AV32" s="463" t="str">
        <f t="shared" si="42"/>
        <v/>
      </c>
      <c r="AW32" s="463" t="str">
        <f t="shared" si="42"/>
        <v/>
      </c>
      <c r="AX32" s="463" t="str">
        <f t="shared" si="42"/>
        <v/>
      </c>
      <c r="AY32" s="463" t="str">
        <f t="shared" si="42"/>
        <v/>
      </c>
      <c r="AZ32" s="463" t="str">
        <f>IF(AZ29&lt;=(Åpningsår+ProsjektetsLevetid-1),-SUM(AZ33:AZ36)-AZ31,"")</f>
        <v/>
      </c>
      <c r="BA32" s="463" t="str">
        <f t="shared" si="42"/>
        <v/>
      </c>
      <c r="BB32" s="463" t="str">
        <f t="shared" si="42"/>
        <v/>
      </c>
      <c r="BC32" s="463" t="str">
        <f t="shared" ref="BC32:CH32" si="43">IF(BC29&lt;=(Åpningsår+ProsjektetsLevetid-1),-SUM(BC33:BC36)-BC31,"")</f>
        <v/>
      </c>
      <c r="BD32" s="463" t="str">
        <f t="shared" si="43"/>
        <v/>
      </c>
      <c r="BE32" s="463" t="str">
        <f t="shared" si="43"/>
        <v/>
      </c>
      <c r="BF32" s="463" t="str">
        <f t="shared" si="43"/>
        <v/>
      </c>
      <c r="BG32" s="463" t="str">
        <f t="shared" si="43"/>
        <v/>
      </c>
      <c r="BH32" s="463" t="str">
        <f t="shared" si="43"/>
        <v/>
      </c>
      <c r="BI32" s="463" t="str">
        <f t="shared" si="43"/>
        <v/>
      </c>
      <c r="BJ32" s="463" t="str">
        <f t="shared" si="43"/>
        <v/>
      </c>
      <c r="BK32" s="463" t="str">
        <f t="shared" si="43"/>
        <v/>
      </c>
      <c r="BL32" s="463" t="str">
        <f t="shared" si="43"/>
        <v/>
      </c>
      <c r="BM32" s="463" t="str">
        <f t="shared" si="43"/>
        <v/>
      </c>
      <c r="BN32" s="463" t="str">
        <f t="shared" si="43"/>
        <v/>
      </c>
      <c r="BO32" s="463" t="str">
        <f t="shared" si="43"/>
        <v/>
      </c>
      <c r="BP32" s="463" t="str">
        <f t="shared" si="43"/>
        <v/>
      </c>
      <c r="BQ32" s="463" t="str">
        <f t="shared" si="43"/>
        <v/>
      </c>
      <c r="BR32" s="463" t="str">
        <f t="shared" si="43"/>
        <v/>
      </c>
      <c r="BS32" s="463" t="str">
        <f t="shared" si="43"/>
        <v/>
      </c>
      <c r="BT32" s="463" t="str">
        <f t="shared" si="43"/>
        <v/>
      </c>
      <c r="BU32" s="463" t="str">
        <f t="shared" si="43"/>
        <v/>
      </c>
      <c r="BV32" s="463" t="str">
        <f t="shared" si="43"/>
        <v/>
      </c>
      <c r="BW32" s="463" t="str">
        <f t="shared" si="43"/>
        <v/>
      </c>
      <c r="BX32" s="463" t="str">
        <f t="shared" si="43"/>
        <v/>
      </c>
      <c r="BY32" s="463" t="str">
        <f t="shared" si="43"/>
        <v/>
      </c>
      <c r="BZ32" s="463" t="str">
        <f t="shared" si="43"/>
        <v/>
      </c>
      <c r="CA32" s="463" t="str">
        <f t="shared" si="43"/>
        <v/>
      </c>
      <c r="CB32" s="463" t="str">
        <f t="shared" si="43"/>
        <v/>
      </c>
      <c r="CC32" s="463" t="str">
        <f t="shared" si="43"/>
        <v/>
      </c>
      <c r="CD32" s="463" t="str">
        <f t="shared" si="43"/>
        <v/>
      </c>
      <c r="CE32" s="463" t="str">
        <f t="shared" si="43"/>
        <v/>
      </c>
      <c r="CF32" s="463" t="str">
        <f t="shared" si="43"/>
        <v/>
      </c>
      <c r="CG32" s="463" t="str">
        <f t="shared" si="43"/>
        <v/>
      </c>
      <c r="CH32" s="463" t="str">
        <f t="shared" si="43"/>
        <v/>
      </c>
      <c r="CI32" s="463" t="str">
        <f t="shared" ref="CI32:CS32" si="44">IF(CI29&lt;=(Åpningsår+ProsjektetsLevetid-1),-SUM(CI33:CI36)-CI31,"")</f>
        <v/>
      </c>
      <c r="CJ32" s="463" t="str">
        <f t="shared" si="44"/>
        <v/>
      </c>
      <c r="CK32" s="463" t="str">
        <f t="shared" si="44"/>
        <v/>
      </c>
      <c r="CL32" s="463" t="str">
        <f t="shared" si="44"/>
        <v/>
      </c>
      <c r="CM32" s="463" t="str">
        <f t="shared" si="44"/>
        <v/>
      </c>
      <c r="CN32" s="463" t="str">
        <f t="shared" si="44"/>
        <v/>
      </c>
      <c r="CO32" s="463" t="str">
        <f t="shared" si="44"/>
        <v/>
      </c>
      <c r="CP32" s="463" t="str">
        <f t="shared" si="44"/>
        <v/>
      </c>
      <c r="CQ32" s="463" t="str">
        <f t="shared" si="44"/>
        <v/>
      </c>
      <c r="CR32" s="463" t="str">
        <f t="shared" si="44"/>
        <v/>
      </c>
      <c r="CS32" s="463" t="str">
        <f t="shared" si="44"/>
        <v/>
      </c>
      <c r="CT32" s="463" t="str">
        <f t="shared" ref="CT32:DR32" si="45">IF(CT29&lt;=(Åpningsår+ProsjektetsLevetid-1),-SUM(CT33:CT36)-CT31,"")</f>
        <v/>
      </c>
      <c r="CU32" s="463" t="str">
        <f t="shared" si="45"/>
        <v/>
      </c>
      <c r="CV32" s="463" t="str">
        <f t="shared" si="45"/>
        <v/>
      </c>
      <c r="CW32" s="463" t="str">
        <f t="shared" si="45"/>
        <v/>
      </c>
      <c r="CX32" s="463" t="str">
        <f t="shared" si="45"/>
        <v/>
      </c>
      <c r="CY32" s="463" t="str">
        <f t="shared" si="45"/>
        <v/>
      </c>
      <c r="CZ32" s="463" t="str">
        <f t="shared" si="45"/>
        <v/>
      </c>
      <c r="DA32" s="463" t="str">
        <f t="shared" si="45"/>
        <v/>
      </c>
      <c r="DB32" s="463" t="str">
        <f t="shared" si="45"/>
        <v/>
      </c>
      <c r="DC32" s="463" t="str">
        <f t="shared" si="45"/>
        <v/>
      </c>
      <c r="DD32" s="463" t="str">
        <f t="shared" si="45"/>
        <v/>
      </c>
      <c r="DE32" s="463" t="str">
        <f t="shared" si="45"/>
        <v/>
      </c>
      <c r="DF32" s="463" t="str">
        <f t="shared" si="45"/>
        <v/>
      </c>
      <c r="DG32" s="463" t="str">
        <f t="shared" si="45"/>
        <v/>
      </c>
      <c r="DH32" s="463" t="str">
        <f t="shared" si="45"/>
        <v/>
      </c>
      <c r="DI32" s="463" t="str">
        <f t="shared" si="45"/>
        <v/>
      </c>
      <c r="DJ32" s="463" t="str">
        <f t="shared" si="45"/>
        <v/>
      </c>
      <c r="DK32" s="463" t="str">
        <f t="shared" si="45"/>
        <v/>
      </c>
      <c r="DL32" s="463" t="str">
        <f t="shared" si="45"/>
        <v/>
      </c>
      <c r="DM32" s="463" t="str">
        <f t="shared" si="45"/>
        <v/>
      </c>
      <c r="DN32" s="463" t="str">
        <f t="shared" si="45"/>
        <v/>
      </c>
      <c r="DO32" s="463" t="str">
        <f t="shared" si="45"/>
        <v/>
      </c>
      <c r="DP32" s="463" t="str">
        <f t="shared" si="45"/>
        <v/>
      </c>
      <c r="DQ32" s="463" t="str">
        <f t="shared" si="45"/>
        <v/>
      </c>
      <c r="DR32" s="463" t="str">
        <f t="shared" si="45"/>
        <v/>
      </c>
      <c r="DS32" s="801">
        <f ca="1">SUMPRODUCT(('1.5 Prognoser og indekser'!$R$12:OFFSET('1.5 Prognoser og indekser'!$R$12,0,$DS$9)),($M32:OFFSET($M32,0,$DS$9)))</f>
        <v>0</v>
      </c>
      <c r="DT32" s="802">
        <f ca="1">IF($DT$9&lt;1,0,SUMPRODUCT(OFFSET('1.5 Prognoser og indekser'!$R$12,0,$DS$9+1,1,$DT$9),OFFSET($M32,0,$DS$9+1,1,$DT$9)))</f>
        <v>0</v>
      </c>
    </row>
    <row r="33" spans="1:124" x14ac:dyDescent="0.35">
      <c r="C33" s="212" t="s">
        <v>1589</v>
      </c>
      <c r="D33" s="770">
        <f ca="1">-'2.2 Operatører'!K$40</f>
        <v>0</v>
      </c>
      <c r="E33" s="463">
        <f ca="1">-'2.2 Operatører'!L$40</f>
        <v>0</v>
      </c>
      <c r="F33" s="463">
        <f ca="1">-'2.2 Operatører'!M$40</f>
        <v>0</v>
      </c>
      <c r="G33" s="463"/>
      <c r="H33" s="463"/>
      <c r="I33" s="463"/>
      <c r="J33" s="790">
        <f ca="1">IF(Antall_Beregningsår&lt;2,1,IF(AND(D33=0,E33=0),1,IF(SIGN(D33)=SIGN(E33),(E33/D33)^(1/(AndreBeregningsår-FørsteBeregningsår)),((E33+1.1*ABS(D33-E33))/(D33+1.1*ABS(D33-E33)))^(1/(AndreBeregningsår-FørsteBeregningsår)))))</f>
        <v>1</v>
      </c>
      <c r="K33" s="790">
        <f ca="1">IF(Antall_Beregningsår&lt;3,1,IF(AND(E33=0,F33=0),1,IF(SIGN(E33)=SIGN(F33),(F33/E33)^(1/(TredjeBeregningsår-AndreBeregningsår)),((F33+1.1*ABS(E33-F33))/(E33+1.1*ABS(E33-F33)))^(1/(TredjeBeregningsår-AndreBeregningsår)))))</f>
        <v>1</v>
      </c>
      <c r="L33" s="752">
        <f>IF(Framskrivning="Lineær trend",IF(Antall_Beregningsår&gt;2,(F33-E33)/(TredjeBeregningsår-AndreBeregningsår),IF(Antall_Beregningsår&gt;1,(E33-D33)/(AndreBeregningsår-FørsteBeregningsår),0)),0)</f>
        <v>0</v>
      </c>
      <c r="M33" s="712"/>
      <c r="N33" s="712"/>
      <c r="O33" s="712"/>
      <c r="P33" s="712"/>
      <c r="Q33" s="712"/>
      <c r="R33" s="712"/>
      <c r="S33" s="712"/>
      <c r="T33" s="712"/>
      <c r="U33" s="712"/>
      <c r="V33" s="712"/>
      <c r="W33" s="463" t="str">
        <f t="shared" ref="W33:BB33" ca="1" si="46">IF(W$10&lt;=(Åpningsår+ProsjektetsLevetid-1),IF(W29&lt;=AndreBeregningsår,IF(SIGN($D33)=SIGN($E33),$D33*$J33^(W29-FørsteBeregningsår),($D33+1.1*ABS($D33-$E33))*$J33^(W29-FørsteBeregningsår)-1.1*ABS($D33-$E33)),IF(W29&lt;=TredjeBeregningsår,IF(SIGN($E33)=SIGN($F33),$E33*$K33^(W29-AndreBeregningsår),($E33+1.1*ABS($E33-$F33))*$K33^(W29-AndreBeregningsår)-1.1*ABS($E33-$F33)),OFFSET($D33,0,Antall_Beregningsår-1)*LOOKUP(W29,SerieÅR,SerieVolumvekstperson)+$L33*(W29-IF(Antall_Beregningsår&gt;2,TredjeBeregningsår,AndreBeregningsår))))*KPIJustering,"")</f>
        <v/>
      </c>
      <c r="X33" s="463" t="str">
        <f t="shared" ca="1" si="46"/>
        <v/>
      </c>
      <c r="Y33" s="463" t="str">
        <f t="shared" ca="1" si="46"/>
        <v/>
      </c>
      <c r="Z33" s="463" t="str">
        <f t="shared" ca="1" si="46"/>
        <v/>
      </c>
      <c r="AA33" s="463" t="str">
        <f t="shared" ca="1" si="46"/>
        <v/>
      </c>
      <c r="AB33" s="463" t="str">
        <f t="shared" ca="1" si="46"/>
        <v/>
      </c>
      <c r="AC33" s="463" t="str">
        <f t="shared" ca="1" si="46"/>
        <v/>
      </c>
      <c r="AD33" s="463" t="str">
        <f t="shared" ca="1" si="46"/>
        <v/>
      </c>
      <c r="AE33" s="463" t="str">
        <f t="shared" ca="1" si="46"/>
        <v/>
      </c>
      <c r="AF33" s="463" t="str">
        <f t="shared" ca="1" si="46"/>
        <v/>
      </c>
      <c r="AG33" s="463" t="str">
        <f t="shared" ca="1" si="46"/>
        <v/>
      </c>
      <c r="AH33" s="463" t="str">
        <f t="shared" ca="1" si="46"/>
        <v/>
      </c>
      <c r="AI33" s="463" t="str">
        <f t="shared" ca="1" si="46"/>
        <v/>
      </c>
      <c r="AJ33" s="463" t="str">
        <f t="shared" ca="1" si="46"/>
        <v/>
      </c>
      <c r="AK33" s="463" t="str">
        <f t="shared" ca="1" si="46"/>
        <v/>
      </c>
      <c r="AL33" s="463" t="str">
        <f t="shared" ca="1" si="46"/>
        <v/>
      </c>
      <c r="AM33" s="463" t="str">
        <f t="shared" ca="1" si="46"/>
        <v/>
      </c>
      <c r="AN33" s="463" t="str">
        <f t="shared" ca="1" si="46"/>
        <v/>
      </c>
      <c r="AO33" s="463" t="str">
        <f t="shared" ca="1" si="46"/>
        <v/>
      </c>
      <c r="AP33" s="463" t="str">
        <f t="shared" ca="1" si="46"/>
        <v/>
      </c>
      <c r="AQ33" s="463" t="str">
        <f t="shared" ca="1" si="46"/>
        <v/>
      </c>
      <c r="AR33" s="463" t="str">
        <f t="shared" ca="1" si="46"/>
        <v/>
      </c>
      <c r="AS33" s="463" t="str">
        <f t="shared" ca="1" si="46"/>
        <v/>
      </c>
      <c r="AT33" s="463" t="str">
        <f t="shared" ca="1" si="46"/>
        <v/>
      </c>
      <c r="AU33" s="463" t="str">
        <f t="shared" ca="1" si="46"/>
        <v/>
      </c>
      <c r="AV33" s="463" t="str">
        <f t="shared" ca="1" si="46"/>
        <v/>
      </c>
      <c r="AW33" s="463" t="str">
        <f t="shared" ca="1" si="46"/>
        <v/>
      </c>
      <c r="AX33" s="463" t="str">
        <f t="shared" ca="1" si="46"/>
        <v/>
      </c>
      <c r="AY33" s="463" t="str">
        <f t="shared" ca="1" si="46"/>
        <v/>
      </c>
      <c r="AZ33" s="463" t="str">
        <f t="shared" ca="1" si="46"/>
        <v/>
      </c>
      <c r="BA33" s="463" t="str">
        <f t="shared" ca="1" si="46"/>
        <v/>
      </c>
      <c r="BB33" s="463" t="str">
        <f t="shared" ca="1" si="46"/>
        <v/>
      </c>
      <c r="BC33" s="463" t="str">
        <f t="shared" ref="BC33:CH33" ca="1" si="47">IF(BC$10&lt;=(Åpningsår+ProsjektetsLevetid-1),IF(BC29&lt;=AndreBeregningsår,IF(SIGN($D33)=SIGN($E33),$D33*$J33^(BC29-FørsteBeregningsår),($D33+1.1*ABS($D33-$E33))*$J33^(BC29-FørsteBeregningsår)-1.1*ABS($D33-$E33)),IF(BC29&lt;=TredjeBeregningsår,IF(SIGN($E33)=SIGN($F33),$E33*$K33^(BC29-AndreBeregningsår),($E33+1.1*ABS($E33-$F33))*$K33^(BC29-AndreBeregningsår)-1.1*ABS($E33-$F33)),OFFSET($D33,0,Antall_Beregningsår-1)*LOOKUP(BC29,SerieÅR,SerieVolumvekstperson)+$L33*(BC29-IF(Antall_Beregningsår&gt;2,TredjeBeregningsår,AndreBeregningsår))))*KPIJustering,"")</f>
        <v/>
      </c>
      <c r="BD33" s="463" t="str">
        <f t="shared" ca="1" si="47"/>
        <v/>
      </c>
      <c r="BE33" s="463" t="str">
        <f t="shared" ca="1" si="47"/>
        <v/>
      </c>
      <c r="BF33" s="463" t="str">
        <f t="shared" ca="1" si="47"/>
        <v/>
      </c>
      <c r="BG33" s="463" t="str">
        <f t="shared" ca="1" si="47"/>
        <v/>
      </c>
      <c r="BH33" s="463" t="str">
        <f t="shared" ca="1" si="47"/>
        <v/>
      </c>
      <c r="BI33" s="463" t="str">
        <f t="shared" ca="1" si="47"/>
        <v/>
      </c>
      <c r="BJ33" s="463" t="str">
        <f t="shared" ca="1" si="47"/>
        <v/>
      </c>
      <c r="BK33" s="463" t="str">
        <f t="shared" ca="1" si="47"/>
        <v/>
      </c>
      <c r="BL33" s="463" t="str">
        <f t="shared" ca="1" si="47"/>
        <v/>
      </c>
      <c r="BM33" s="463" t="str">
        <f t="shared" ca="1" si="47"/>
        <v/>
      </c>
      <c r="BN33" s="463" t="str">
        <f t="shared" ca="1" si="47"/>
        <v/>
      </c>
      <c r="BO33" s="463" t="str">
        <f t="shared" ca="1" si="47"/>
        <v/>
      </c>
      <c r="BP33" s="463" t="str">
        <f t="shared" ca="1" si="47"/>
        <v/>
      </c>
      <c r="BQ33" s="463" t="str">
        <f t="shared" ca="1" si="47"/>
        <v/>
      </c>
      <c r="BR33" s="463" t="str">
        <f t="shared" ca="1" si="47"/>
        <v/>
      </c>
      <c r="BS33" s="463" t="str">
        <f t="shared" ca="1" si="47"/>
        <v/>
      </c>
      <c r="BT33" s="463" t="str">
        <f t="shared" ca="1" si="47"/>
        <v/>
      </c>
      <c r="BU33" s="463" t="str">
        <f t="shared" ca="1" si="47"/>
        <v/>
      </c>
      <c r="BV33" s="463" t="str">
        <f t="shared" ca="1" si="47"/>
        <v/>
      </c>
      <c r="BW33" s="463" t="str">
        <f t="shared" ca="1" si="47"/>
        <v/>
      </c>
      <c r="BX33" s="463" t="str">
        <f t="shared" ca="1" si="47"/>
        <v/>
      </c>
      <c r="BY33" s="463" t="str">
        <f t="shared" ca="1" si="47"/>
        <v/>
      </c>
      <c r="BZ33" s="463" t="str">
        <f t="shared" ca="1" si="47"/>
        <v/>
      </c>
      <c r="CA33" s="463" t="str">
        <f t="shared" ca="1" si="47"/>
        <v/>
      </c>
      <c r="CB33" s="463" t="str">
        <f t="shared" ca="1" si="47"/>
        <v/>
      </c>
      <c r="CC33" s="463" t="str">
        <f t="shared" ca="1" si="47"/>
        <v/>
      </c>
      <c r="CD33" s="463" t="str">
        <f t="shared" ca="1" si="47"/>
        <v/>
      </c>
      <c r="CE33" s="463" t="str">
        <f t="shared" ca="1" si="47"/>
        <v/>
      </c>
      <c r="CF33" s="463" t="str">
        <f t="shared" ca="1" si="47"/>
        <v/>
      </c>
      <c r="CG33" s="463" t="str">
        <f t="shared" ca="1" si="47"/>
        <v/>
      </c>
      <c r="CH33" s="463" t="str">
        <f t="shared" ca="1" si="47"/>
        <v/>
      </c>
      <c r="CI33" s="463" t="str">
        <f t="shared" ref="CI33:DR33" ca="1" si="48">IF(CI$10&lt;=(Åpningsår+ProsjektetsLevetid-1),IF(CI29&lt;=AndreBeregningsår,IF(SIGN($D33)=SIGN($E33),$D33*$J33^(CI29-FørsteBeregningsår),($D33+1.1*ABS($D33-$E33))*$J33^(CI29-FørsteBeregningsår)-1.1*ABS($D33-$E33)),IF(CI29&lt;=TredjeBeregningsår,IF(SIGN($E33)=SIGN($F33),$E33*$K33^(CI29-AndreBeregningsår),($E33+1.1*ABS($E33-$F33))*$K33^(CI29-AndreBeregningsår)-1.1*ABS($E33-$F33)),OFFSET($D33,0,Antall_Beregningsår-1)*LOOKUP(CI29,SerieÅR,SerieVolumvekstperson)+$L33*(CI29-IF(Antall_Beregningsår&gt;2,TredjeBeregningsår,AndreBeregningsår))))*KPIJustering,"")</f>
        <v/>
      </c>
      <c r="CJ33" s="463" t="str">
        <f t="shared" ca="1" si="48"/>
        <v/>
      </c>
      <c r="CK33" s="463" t="str">
        <f t="shared" ca="1" si="48"/>
        <v/>
      </c>
      <c r="CL33" s="463" t="str">
        <f t="shared" ca="1" si="48"/>
        <v/>
      </c>
      <c r="CM33" s="463" t="str">
        <f t="shared" ca="1" si="48"/>
        <v/>
      </c>
      <c r="CN33" s="463" t="str">
        <f t="shared" ca="1" si="48"/>
        <v/>
      </c>
      <c r="CO33" s="463" t="str">
        <f t="shared" ca="1" si="48"/>
        <v/>
      </c>
      <c r="CP33" s="463" t="str">
        <f t="shared" ca="1" si="48"/>
        <v/>
      </c>
      <c r="CQ33" s="463" t="str">
        <f t="shared" ca="1" si="48"/>
        <v/>
      </c>
      <c r="CR33" s="463" t="str">
        <f t="shared" ca="1" si="48"/>
        <v/>
      </c>
      <c r="CS33" s="463" t="str">
        <f t="shared" ca="1" si="48"/>
        <v/>
      </c>
      <c r="CT33" s="463" t="str">
        <f t="shared" ca="1" si="48"/>
        <v/>
      </c>
      <c r="CU33" s="463" t="str">
        <f t="shared" ca="1" si="48"/>
        <v/>
      </c>
      <c r="CV33" s="463" t="str">
        <f t="shared" ca="1" si="48"/>
        <v/>
      </c>
      <c r="CW33" s="463" t="str">
        <f t="shared" ca="1" si="48"/>
        <v/>
      </c>
      <c r="CX33" s="463" t="str">
        <f t="shared" ca="1" si="48"/>
        <v/>
      </c>
      <c r="CY33" s="463" t="str">
        <f t="shared" ca="1" si="48"/>
        <v/>
      </c>
      <c r="CZ33" s="463" t="str">
        <f t="shared" ca="1" si="48"/>
        <v/>
      </c>
      <c r="DA33" s="463" t="str">
        <f t="shared" ca="1" si="48"/>
        <v/>
      </c>
      <c r="DB33" s="463" t="str">
        <f t="shared" ca="1" si="48"/>
        <v/>
      </c>
      <c r="DC33" s="463" t="str">
        <f t="shared" ca="1" si="48"/>
        <v/>
      </c>
      <c r="DD33" s="463" t="str">
        <f t="shared" ca="1" si="48"/>
        <v/>
      </c>
      <c r="DE33" s="463" t="str">
        <f t="shared" ca="1" si="48"/>
        <v/>
      </c>
      <c r="DF33" s="463" t="str">
        <f t="shared" ca="1" si="48"/>
        <v/>
      </c>
      <c r="DG33" s="463" t="str">
        <f t="shared" ca="1" si="48"/>
        <v/>
      </c>
      <c r="DH33" s="463" t="str">
        <f t="shared" ca="1" si="48"/>
        <v/>
      </c>
      <c r="DI33" s="463" t="str">
        <f t="shared" ca="1" si="48"/>
        <v/>
      </c>
      <c r="DJ33" s="463" t="str">
        <f t="shared" ca="1" si="48"/>
        <v/>
      </c>
      <c r="DK33" s="463" t="str">
        <f t="shared" ca="1" si="48"/>
        <v/>
      </c>
      <c r="DL33" s="463" t="str">
        <f t="shared" ca="1" si="48"/>
        <v/>
      </c>
      <c r="DM33" s="463" t="str">
        <f t="shared" ca="1" si="48"/>
        <v/>
      </c>
      <c r="DN33" s="463" t="str">
        <f t="shared" ca="1" si="48"/>
        <v/>
      </c>
      <c r="DO33" s="463" t="str">
        <f t="shared" ca="1" si="48"/>
        <v/>
      </c>
      <c r="DP33" s="463" t="str">
        <f t="shared" ca="1" si="48"/>
        <v/>
      </c>
      <c r="DQ33" s="463" t="str">
        <f t="shared" ca="1" si="48"/>
        <v/>
      </c>
      <c r="DR33" s="463" t="str">
        <f t="shared" ca="1" si="48"/>
        <v/>
      </c>
      <c r="DS33" s="801">
        <f ca="1">SUMPRODUCT(('1.5 Prognoser og indekser'!$R$12:OFFSET('1.5 Prognoser og indekser'!$R$12,0,$DS$9)),($M33:OFFSET($M33,0,$DS$9)))</f>
        <v>0</v>
      </c>
      <c r="DT33" s="802">
        <f ca="1">IF($DT$9&lt;1,0,SUMPRODUCT(OFFSET('1.5 Prognoser og indekser'!$R$12,0,$DS$9+1,1,$DT$9),OFFSET($M33,0,$DS$9+1,1,$DT$9)))</f>
        <v>0</v>
      </c>
    </row>
    <row r="34" spans="1:124" x14ac:dyDescent="0.35">
      <c r="C34" s="677" t="s">
        <v>1554</v>
      </c>
      <c r="D34" s="770">
        <f>-SUM('2.2 Operatører'!K$41:K$42)</f>
        <v>0</v>
      </c>
      <c r="E34" s="463">
        <f>-SUM('2.2 Operatører'!L$41:L$42)</f>
        <v>0</v>
      </c>
      <c r="F34" s="463">
        <f>-SUM('2.2 Operatører'!M$41:M$42)</f>
        <v>0</v>
      </c>
      <c r="G34" s="463"/>
      <c r="H34" s="463"/>
      <c r="I34" s="463"/>
      <c r="J34" s="790">
        <f>IF(Antall_Beregningsår&lt;2,1,IF(AND(D34=0,E34=0),1,IF(SIGN(D34)=SIGN(E34),(E34/D34)^(1/(AndreBeregningsår-FørsteBeregningsår)),((E34+1.1*ABS(D34-E34))/(D34+1.1*ABS(D34-E34)))^(1/(AndreBeregningsår-FørsteBeregningsår)))))</f>
        <v>1</v>
      </c>
      <c r="K34" s="790">
        <f>IF(Antall_Beregningsår&lt;3,1,IF(AND(E34=0,F34=0),1,IF(SIGN(E34)=SIGN(F34),(F34/E34)^(1/(TredjeBeregningsår-AndreBeregningsår)),((F34+1.1*ABS(E34-F34))/(E34+1.1*ABS(E34-F34)))^(1/(TredjeBeregningsår-AndreBeregningsår)))))</f>
        <v>1</v>
      </c>
      <c r="L34" s="752">
        <f>IF(Framskrivning="Lineær trend",IF(Antall_Beregningsår&gt;2,(F34-E34)/(TredjeBeregningsår-AndreBeregningsår),IF(Antall_Beregningsår&gt;1,(E34-D34)/(AndreBeregningsår-FørsteBeregningsår),0)),0)</f>
        <v>0</v>
      </c>
      <c r="M34" s="712"/>
      <c r="N34" s="712"/>
      <c r="O34" s="712"/>
      <c r="P34" s="712"/>
      <c r="Q34" s="712"/>
      <c r="R34" s="712"/>
      <c r="S34" s="712"/>
      <c r="T34" s="712"/>
      <c r="U34" s="712"/>
      <c r="V34" s="712"/>
      <c r="W34" s="463" t="str">
        <f t="shared" ref="W34:BB34" ca="1" si="49">IF(W$10&lt;=(Åpningsår+ProsjektetsLevetid-1),IF(W29&lt;=AndreBeregningsår,IF(SIGN($D34)=SIGN($E34),$D34*$J34^(W29-FørsteBeregningsår),($D34+1.1*ABS($D34-$E34))*$J34^(W29-FørsteBeregningsår)-1.1*ABS($D34-$E34)),IF(W29&lt;=TredjeBeregningsår,IF(SIGN($E34)=SIGN($F34),$E34*$K34^(W29-AndreBeregningsår),($E34+1.1*ABS($E34-$F34))*$K34^(W29-AndreBeregningsår)-1.1*ABS($E34-$F34)),OFFSET($D34,0,Antall_Beregningsår-1)*LOOKUP(W29,SerieÅR,SerieVolumvekstperson)+$L34*(W29-IF(Antall_Beregningsår&gt;2,TredjeBeregningsår,AndreBeregningsår))))*KPIJustering,"")</f>
        <v/>
      </c>
      <c r="X34" s="463" t="str">
        <f t="shared" ca="1" si="49"/>
        <v/>
      </c>
      <c r="Y34" s="463" t="str">
        <f t="shared" ca="1" si="49"/>
        <v/>
      </c>
      <c r="Z34" s="463" t="str">
        <f t="shared" ca="1" si="49"/>
        <v/>
      </c>
      <c r="AA34" s="463" t="str">
        <f t="shared" ca="1" si="49"/>
        <v/>
      </c>
      <c r="AB34" s="463" t="str">
        <f t="shared" ca="1" si="49"/>
        <v/>
      </c>
      <c r="AC34" s="463" t="str">
        <f t="shared" ca="1" si="49"/>
        <v/>
      </c>
      <c r="AD34" s="463" t="str">
        <f t="shared" ca="1" si="49"/>
        <v/>
      </c>
      <c r="AE34" s="463" t="str">
        <f t="shared" ca="1" si="49"/>
        <v/>
      </c>
      <c r="AF34" s="463" t="str">
        <f t="shared" ca="1" si="49"/>
        <v/>
      </c>
      <c r="AG34" s="463" t="str">
        <f t="shared" ca="1" si="49"/>
        <v/>
      </c>
      <c r="AH34" s="463" t="str">
        <f t="shared" ca="1" si="49"/>
        <v/>
      </c>
      <c r="AI34" s="463" t="str">
        <f t="shared" ca="1" si="49"/>
        <v/>
      </c>
      <c r="AJ34" s="463" t="str">
        <f t="shared" ca="1" si="49"/>
        <v/>
      </c>
      <c r="AK34" s="463" t="str">
        <f t="shared" ca="1" si="49"/>
        <v/>
      </c>
      <c r="AL34" s="463" t="str">
        <f t="shared" ca="1" si="49"/>
        <v/>
      </c>
      <c r="AM34" s="463" t="str">
        <f t="shared" ca="1" si="49"/>
        <v/>
      </c>
      <c r="AN34" s="463" t="str">
        <f t="shared" ca="1" si="49"/>
        <v/>
      </c>
      <c r="AO34" s="463" t="str">
        <f t="shared" ca="1" si="49"/>
        <v/>
      </c>
      <c r="AP34" s="463" t="str">
        <f t="shared" ca="1" si="49"/>
        <v/>
      </c>
      <c r="AQ34" s="463" t="str">
        <f t="shared" ca="1" si="49"/>
        <v/>
      </c>
      <c r="AR34" s="463" t="str">
        <f t="shared" ca="1" si="49"/>
        <v/>
      </c>
      <c r="AS34" s="463" t="str">
        <f t="shared" ca="1" si="49"/>
        <v/>
      </c>
      <c r="AT34" s="463" t="str">
        <f t="shared" ca="1" si="49"/>
        <v/>
      </c>
      <c r="AU34" s="463" t="str">
        <f t="shared" ca="1" si="49"/>
        <v/>
      </c>
      <c r="AV34" s="463" t="str">
        <f t="shared" ca="1" si="49"/>
        <v/>
      </c>
      <c r="AW34" s="463" t="str">
        <f t="shared" ca="1" si="49"/>
        <v/>
      </c>
      <c r="AX34" s="463" t="str">
        <f t="shared" ca="1" si="49"/>
        <v/>
      </c>
      <c r="AY34" s="463" t="str">
        <f t="shared" ca="1" si="49"/>
        <v/>
      </c>
      <c r="AZ34" s="463" t="str">
        <f t="shared" ca="1" si="49"/>
        <v/>
      </c>
      <c r="BA34" s="463" t="str">
        <f t="shared" ca="1" si="49"/>
        <v/>
      </c>
      <c r="BB34" s="463" t="str">
        <f t="shared" ca="1" si="49"/>
        <v/>
      </c>
      <c r="BC34" s="463" t="str">
        <f t="shared" ref="BC34:CH34" ca="1" si="50">IF(BC$10&lt;=(Åpningsår+ProsjektetsLevetid-1),IF(BC29&lt;=AndreBeregningsår,IF(SIGN($D34)=SIGN($E34),$D34*$J34^(BC29-FørsteBeregningsår),($D34+1.1*ABS($D34-$E34))*$J34^(BC29-FørsteBeregningsår)-1.1*ABS($D34-$E34)),IF(BC29&lt;=TredjeBeregningsår,IF(SIGN($E34)=SIGN($F34),$E34*$K34^(BC29-AndreBeregningsår),($E34+1.1*ABS($E34-$F34))*$K34^(BC29-AndreBeregningsår)-1.1*ABS($E34-$F34)),OFFSET($D34,0,Antall_Beregningsår-1)*LOOKUP(BC29,SerieÅR,SerieVolumvekstperson)+$L34*(BC29-IF(Antall_Beregningsår&gt;2,TredjeBeregningsår,AndreBeregningsår))))*KPIJustering,"")</f>
        <v/>
      </c>
      <c r="BD34" s="463" t="str">
        <f t="shared" ca="1" si="50"/>
        <v/>
      </c>
      <c r="BE34" s="463" t="str">
        <f t="shared" ca="1" si="50"/>
        <v/>
      </c>
      <c r="BF34" s="463" t="str">
        <f t="shared" ca="1" si="50"/>
        <v/>
      </c>
      <c r="BG34" s="463" t="str">
        <f t="shared" ca="1" si="50"/>
        <v/>
      </c>
      <c r="BH34" s="463" t="str">
        <f t="shared" ca="1" si="50"/>
        <v/>
      </c>
      <c r="BI34" s="463" t="str">
        <f t="shared" ca="1" si="50"/>
        <v/>
      </c>
      <c r="BJ34" s="463" t="str">
        <f t="shared" ca="1" si="50"/>
        <v/>
      </c>
      <c r="BK34" s="463" t="str">
        <f t="shared" ca="1" si="50"/>
        <v/>
      </c>
      <c r="BL34" s="463" t="str">
        <f t="shared" ca="1" si="50"/>
        <v/>
      </c>
      <c r="BM34" s="463" t="str">
        <f t="shared" ca="1" si="50"/>
        <v/>
      </c>
      <c r="BN34" s="463" t="str">
        <f t="shared" ca="1" si="50"/>
        <v/>
      </c>
      <c r="BO34" s="463" t="str">
        <f t="shared" ca="1" si="50"/>
        <v/>
      </c>
      <c r="BP34" s="463" t="str">
        <f t="shared" ca="1" si="50"/>
        <v/>
      </c>
      <c r="BQ34" s="463" t="str">
        <f t="shared" ca="1" si="50"/>
        <v/>
      </c>
      <c r="BR34" s="463" t="str">
        <f t="shared" ca="1" si="50"/>
        <v/>
      </c>
      <c r="BS34" s="463" t="str">
        <f t="shared" ca="1" si="50"/>
        <v/>
      </c>
      <c r="BT34" s="463" t="str">
        <f t="shared" ca="1" si="50"/>
        <v/>
      </c>
      <c r="BU34" s="463" t="str">
        <f t="shared" ca="1" si="50"/>
        <v/>
      </c>
      <c r="BV34" s="463" t="str">
        <f t="shared" ca="1" si="50"/>
        <v/>
      </c>
      <c r="BW34" s="463" t="str">
        <f t="shared" ca="1" si="50"/>
        <v/>
      </c>
      <c r="BX34" s="463" t="str">
        <f t="shared" ca="1" si="50"/>
        <v/>
      </c>
      <c r="BY34" s="463" t="str">
        <f t="shared" ca="1" si="50"/>
        <v/>
      </c>
      <c r="BZ34" s="463" t="str">
        <f t="shared" ca="1" si="50"/>
        <v/>
      </c>
      <c r="CA34" s="463" t="str">
        <f t="shared" ca="1" si="50"/>
        <v/>
      </c>
      <c r="CB34" s="463" t="str">
        <f t="shared" ca="1" si="50"/>
        <v/>
      </c>
      <c r="CC34" s="463" t="str">
        <f t="shared" ca="1" si="50"/>
        <v/>
      </c>
      <c r="CD34" s="463" t="str">
        <f t="shared" ca="1" si="50"/>
        <v/>
      </c>
      <c r="CE34" s="463" t="str">
        <f t="shared" ca="1" si="50"/>
        <v/>
      </c>
      <c r="CF34" s="463" t="str">
        <f t="shared" ca="1" si="50"/>
        <v/>
      </c>
      <c r="CG34" s="463" t="str">
        <f t="shared" ca="1" si="50"/>
        <v/>
      </c>
      <c r="CH34" s="463" t="str">
        <f t="shared" ca="1" si="50"/>
        <v/>
      </c>
      <c r="CI34" s="463" t="str">
        <f t="shared" ref="CI34:DR34" ca="1" si="51">IF(CI$10&lt;=(Åpningsår+ProsjektetsLevetid-1),IF(CI29&lt;=AndreBeregningsår,IF(SIGN($D34)=SIGN($E34),$D34*$J34^(CI29-FørsteBeregningsår),($D34+1.1*ABS($D34-$E34))*$J34^(CI29-FørsteBeregningsår)-1.1*ABS($D34-$E34)),IF(CI29&lt;=TredjeBeregningsår,IF(SIGN($E34)=SIGN($F34),$E34*$K34^(CI29-AndreBeregningsår),($E34+1.1*ABS($E34-$F34))*$K34^(CI29-AndreBeregningsår)-1.1*ABS($E34-$F34)),OFFSET($D34,0,Antall_Beregningsår-1)*LOOKUP(CI29,SerieÅR,SerieVolumvekstperson)+$L34*(CI29-IF(Antall_Beregningsår&gt;2,TredjeBeregningsår,AndreBeregningsår))))*KPIJustering,"")</f>
        <v/>
      </c>
      <c r="CJ34" s="463" t="str">
        <f t="shared" ca="1" si="51"/>
        <v/>
      </c>
      <c r="CK34" s="463" t="str">
        <f t="shared" ca="1" si="51"/>
        <v/>
      </c>
      <c r="CL34" s="463" t="str">
        <f t="shared" ca="1" si="51"/>
        <v/>
      </c>
      <c r="CM34" s="463" t="str">
        <f t="shared" ca="1" si="51"/>
        <v/>
      </c>
      <c r="CN34" s="463" t="str">
        <f t="shared" ca="1" si="51"/>
        <v/>
      </c>
      <c r="CO34" s="463" t="str">
        <f t="shared" ca="1" si="51"/>
        <v/>
      </c>
      <c r="CP34" s="463" t="str">
        <f t="shared" ca="1" si="51"/>
        <v/>
      </c>
      <c r="CQ34" s="463" t="str">
        <f t="shared" ca="1" si="51"/>
        <v/>
      </c>
      <c r="CR34" s="463" t="str">
        <f t="shared" ca="1" si="51"/>
        <v/>
      </c>
      <c r="CS34" s="463" t="str">
        <f t="shared" ca="1" si="51"/>
        <v/>
      </c>
      <c r="CT34" s="463" t="str">
        <f t="shared" ca="1" si="51"/>
        <v/>
      </c>
      <c r="CU34" s="463" t="str">
        <f t="shared" ca="1" si="51"/>
        <v/>
      </c>
      <c r="CV34" s="463" t="str">
        <f t="shared" ca="1" si="51"/>
        <v/>
      </c>
      <c r="CW34" s="463" t="str">
        <f t="shared" ca="1" si="51"/>
        <v/>
      </c>
      <c r="CX34" s="463" t="str">
        <f t="shared" ca="1" si="51"/>
        <v/>
      </c>
      <c r="CY34" s="463" t="str">
        <f t="shared" ca="1" si="51"/>
        <v/>
      </c>
      <c r="CZ34" s="463" t="str">
        <f t="shared" ca="1" si="51"/>
        <v/>
      </c>
      <c r="DA34" s="463" t="str">
        <f t="shared" ca="1" si="51"/>
        <v/>
      </c>
      <c r="DB34" s="463" t="str">
        <f t="shared" ca="1" si="51"/>
        <v/>
      </c>
      <c r="DC34" s="463" t="str">
        <f t="shared" ca="1" si="51"/>
        <v/>
      </c>
      <c r="DD34" s="463" t="str">
        <f t="shared" ca="1" si="51"/>
        <v/>
      </c>
      <c r="DE34" s="463" t="str">
        <f t="shared" ca="1" si="51"/>
        <v/>
      </c>
      <c r="DF34" s="463" t="str">
        <f t="shared" ca="1" si="51"/>
        <v/>
      </c>
      <c r="DG34" s="463" t="str">
        <f t="shared" ca="1" si="51"/>
        <v/>
      </c>
      <c r="DH34" s="463" t="str">
        <f t="shared" ca="1" si="51"/>
        <v/>
      </c>
      <c r="DI34" s="463" t="str">
        <f t="shared" ca="1" si="51"/>
        <v/>
      </c>
      <c r="DJ34" s="463" t="str">
        <f t="shared" ca="1" si="51"/>
        <v/>
      </c>
      <c r="DK34" s="463" t="str">
        <f t="shared" ca="1" si="51"/>
        <v/>
      </c>
      <c r="DL34" s="463" t="str">
        <f t="shared" ca="1" si="51"/>
        <v/>
      </c>
      <c r="DM34" s="463" t="str">
        <f t="shared" ca="1" si="51"/>
        <v/>
      </c>
      <c r="DN34" s="463" t="str">
        <f t="shared" ca="1" si="51"/>
        <v/>
      </c>
      <c r="DO34" s="463" t="str">
        <f t="shared" ca="1" si="51"/>
        <v/>
      </c>
      <c r="DP34" s="463" t="str">
        <f t="shared" ca="1" si="51"/>
        <v/>
      </c>
      <c r="DQ34" s="463" t="str">
        <f t="shared" ca="1" si="51"/>
        <v/>
      </c>
      <c r="DR34" s="463" t="str">
        <f t="shared" ca="1" si="51"/>
        <v/>
      </c>
      <c r="DS34" s="801">
        <f ca="1">SUMPRODUCT(('1.5 Prognoser og indekser'!$R$12:OFFSET('1.5 Prognoser og indekser'!$R$12,0,$DS$9)),($M34:OFFSET($M34,0,$DS$9)))</f>
        <v>0</v>
      </c>
      <c r="DT34" s="802">
        <f ca="1">IF($DT$9&lt;1,0,SUMPRODUCT(OFFSET('1.5 Prognoser og indekser'!$R$12,0,$DS$9+1,1,$DT$9),OFFSET($M34,0,$DS$9+1,1,$DT$9)))</f>
        <v>0</v>
      </c>
    </row>
    <row r="35" spans="1:124" x14ac:dyDescent="0.35">
      <c r="C35" s="212" t="s">
        <v>1539</v>
      </c>
      <c r="D35" s="770">
        <f>-'2.2 Operatører'!K43</f>
        <v>0</v>
      </c>
      <c r="E35" s="463">
        <f>-'2.2 Operatører'!L43</f>
        <v>0</v>
      </c>
      <c r="F35" s="463">
        <f>-'2.2 Operatører'!M43</f>
        <v>0</v>
      </c>
      <c r="G35" s="463"/>
      <c r="H35" s="463"/>
      <c r="I35" s="463"/>
      <c r="J35" s="790"/>
      <c r="K35" s="790"/>
      <c r="L35" s="752"/>
      <c r="M35" s="712"/>
      <c r="N35" s="712"/>
      <c r="O35" s="712"/>
      <c r="P35" s="712"/>
      <c r="Q35" s="712"/>
      <c r="R35" s="712"/>
      <c r="S35" s="712"/>
      <c r="T35" s="712"/>
      <c r="U35" s="712"/>
      <c r="V35" s="712"/>
      <c r="W35" s="463" t="str">
        <f ca="1">IFERROR(-W51,"")</f>
        <v/>
      </c>
      <c r="X35" s="463" t="str">
        <f t="shared" ref="X35:CI35" ca="1" si="52">IFERROR(-X51,"")</f>
        <v/>
      </c>
      <c r="Y35" s="463" t="str">
        <f t="shared" ca="1" si="52"/>
        <v/>
      </c>
      <c r="Z35" s="463" t="str">
        <f t="shared" ca="1" si="52"/>
        <v/>
      </c>
      <c r="AA35" s="463" t="str">
        <f t="shared" ca="1" si="52"/>
        <v/>
      </c>
      <c r="AB35" s="463" t="str">
        <f t="shared" ca="1" si="52"/>
        <v/>
      </c>
      <c r="AC35" s="463" t="str">
        <f t="shared" ca="1" si="52"/>
        <v/>
      </c>
      <c r="AD35" s="463" t="str">
        <f t="shared" ca="1" si="52"/>
        <v/>
      </c>
      <c r="AE35" s="463" t="str">
        <f t="shared" ca="1" si="52"/>
        <v/>
      </c>
      <c r="AF35" s="463" t="str">
        <f t="shared" ca="1" si="52"/>
        <v/>
      </c>
      <c r="AG35" s="463" t="str">
        <f t="shared" ca="1" si="52"/>
        <v/>
      </c>
      <c r="AH35" s="463" t="str">
        <f t="shared" ca="1" si="52"/>
        <v/>
      </c>
      <c r="AI35" s="463" t="str">
        <f t="shared" ca="1" si="52"/>
        <v/>
      </c>
      <c r="AJ35" s="463" t="str">
        <f t="shared" ca="1" si="52"/>
        <v/>
      </c>
      <c r="AK35" s="463" t="str">
        <f t="shared" ca="1" si="52"/>
        <v/>
      </c>
      <c r="AL35" s="463" t="str">
        <f t="shared" ca="1" si="52"/>
        <v/>
      </c>
      <c r="AM35" s="463" t="str">
        <f t="shared" ca="1" si="52"/>
        <v/>
      </c>
      <c r="AN35" s="463" t="str">
        <f t="shared" ca="1" si="52"/>
        <v/>
      </c>
      <c r="AO35" s="463" t="str">
        <f t="shared" ca="1" si="52"/>
        <v/>
      </c>
      <c r="AP35" s="463" t="str">
        <f t="shared" ca="1" si="52"/>
        <v/>
      </c>
      <c r="AQ35" s="463" t="str">
        <f t="shared" ca="1" si="52"/>
        <v/>
      </c>
      <c r="AR35" s="463" t="str">
        <f t="shared" ca="1" si="52"/>
        <v/>
      </c>
      <c r="AS35" s="463" t="str">
        <f t="shared" ca="1" si="52"/>
        <v/>
      </c>
      <c r="AT35" s="463" t="str">
        <f t="shared" ca="1" si="52"/>
        <v/>
      </c>
      <c r="AU35" s="463" t="str">
        <f t="shared" ca="1" si="52"/>
        <v/>
      </c>
      <c r="AV35" s="463" t="str">
        <f t="shared" ca="1" si="52"/>
        <v/>
      </c>
      <c r="AW35" s="463" t="str">
        <f t="shared" ca="1" si="52"/>
        <v/>
      </c>
      <c r="AX35" s="463" t="str">
        <f t="shared" ca="1" si="52"/>
        <v/>
      </c>
      <c r="AY35" s="463" t="str">
        <f t="shared" ca="1" si="52"/>
        <v/>
      </c>
      <c r="AZ35" s="463" t="str">
        <f t="shared" ca="1" si="52"/>
        <v/>
      </c>
      <c r="BA35" s="463" t="str">
        <f t="shared" ca="1" si="52"/>
        <v/>
      </c>
      <c r="BB35" s="463" t="str">
        <f t="shared" ca="1" si="52"/>
        <v/>
      </c>
      <c r="BC35" s="463" t="str">
        <f t="shared" ca="1" si="52"/>
        <v/>
      </c>
      <c r="BD35" s="463" t="str">
        <f t="shared" ca="1" si="52"/>
        <v/>
      </c>
      <c r="BE35" s="463" t="str">
        <f t="shared" ca="1" si="52"/>
        <v/>
      </c>
      <c r="BF35" s="463" t="str">
        <f t="shared" ca="1" si="52"/>
        <v/>
      </c>
      <c r="BG35" s="463" t="str">
        <f t="shared" ca="1" si="52"/>
        <v/>
      </c>
      <c r="BH35" s="463" t="str">
        <f t="shared" ca="1" si="52"/>
        <v/>
      </c>
      <c r="BI35" s="463" t="str">
        <f t="shared" ca="1" si="52"/>
        <v/>
      </c>
      <c r="BJ35" s="463" t="str">
        <f t="shared" ca="1" si="52"/>
        <v/>
      </c>
      <c r="BK35" s="463" t="str">
        <f t="shared" ca="1" si="52"/>
        <v/>
      </c>
      <c r="BL35" s="463" t="str">
        <f t="shared" ca="1" si="52"/>
        <v/>
      </c>
      <c r="BM35" s="463" t="str">
        <f t="shared" ca="1" si="52"/>
        <v/>
      </c>
      <c r="BN35" s="463" t="str">
        <f t="shared" ca="1" si="52"/>
        <v/>
      </c>
      <c r="BO35" s="463" t="str">
        <f t="shared" ca="1" si="52"/>
        <v/>
      </c>
      <c r="BP35" s="463" t="str">
        <f t="shared" ca="1" si="52"/>
        <v/>
      </c>
      <c r="BQ35" s="463" t="str">
        <f t="shared" ca="1" si="52"/>
        <v/>
      </c>
      <c r="BR35" s="463" t="str">
        <f t="shared" ca="1" si="52"/>
        <v/>
      </c>
      <c r="BS35" s="463" t="str">
        <f t="shared" ca="1" si="52"/>
        <v/>
      </c>
      <c r="BT35" s="463" t="str">
        <f t="shared" ca="1" si="52"/>
        <v/>
      </c>
      <c r="BU35" s="463" t="str">
        <f t="shared" ca="1" si="52"/>
        <v/>
      </c>
      <c r="BV35" s="463" t="str">
        <f t="shared" ca="1" si="52"/>
        <v/>
      </c>
      <c r="BW35" s="463" t="str">
        <f t="shared" ca="1" si="52"/>
        <v/>
      </c>
      <c r="BX35" s="463" t="str">
        <f t="shared" ca="1" si="52"/>
        <v/>
      </c>
      <c r="BY35" s="463" t="str">
        <f t="shared" ca="1" si="52"/>
        <v/>
      </c>
      <c r="BZ35" s="463" t="str">
        <f t="shared" ca="1" si="52"/>
        <v/>
      </c>
      <c r="CA35" s="463" t="str">
        <f t="shared" ca="1" si="52"/>
        <v/>
      </c>
      <c r="CB35" s="463" t="str">
        <f t="shared" ca="1" si="52"/>
        <v/>
      </c>
      <c r="CC35" s="463" t="str">
        <f t="shared" ca="1" si="52"/>
        <v/>
      </c>
      <c r="CD35" s="463" t="str">
        <f t="shared" ca="1" si="52"/>
        <v/>
      </c>
      <c r="CE35" s="463" t="str">
        <f t="shared" ca="1" si="52"/>
        <v/>
      </c>
      <c r="CF35" s="463" t="str">
        <f t="shared" ca="1" si="52"/>
        <v/>
      </c>
      <c r="CG35" s="463" t="str">
        <f t="shared" ca="1" si="52"/>
        <v/>
      </c>
      <c r="CH35" s="463" t="str">
        <f t="shared" ca="1" si="52"/>
        <v/>
      </c>
      <c r="CI35" s="463" t="str">
        <f t="shared" ca="1" si="52"/>
        <v/>
      </c>
      <c r="CJ35" s="463" t="str">
        <f t="shared" ref="CJ35:CS35" ca="1" si="53">IFERROR(-CJ51,"")</f>
        <v/>
      </c>
      <c r="CK35" s="463" t="str">
        <f t="shared" ca="1" si="53"/>
        <v/>
      </c>
      <c r="CL35" s="463" t="str">
        <f t="shared" ca="1" si="53"/>
        <v/>
      </c>
      <c r="CM35" s="463" t="str">
        <f t="shared" ca="1" si="53"/>
        <v/>
      </c>
      <c r="CN35" s="463" t="str">
        <f t="shared" ca="1" si="53"/>
        <v/>
      </c>
      <c r="CO35" s="463" t="str">
        <f t="shared" ca="1" si="53"/>
        <v/>
      </c>
      <c r="CP35" s="463" t="str">
        <f t="shared" ca="1" si="53"/>
        <v/>
      </c>
      <c r="CQ35" s="463" t="str">
        <f t="shared" ca="1" si="53"/>
        <v/>
      </c>
      <c r="CR35" s="463" t="str">
        <f t="shared" ca="1" si="53"/>
        <v/>
      </c>
      <c r="CS35" s="463" t="str">
        <f t="shared" ca="1" si="53"/>
        <v/>
      </c>
      <c r="CT35" s="463" t="str">
        <f t="shared" ref="CT35:DR35" ca="1" si="54">IFERROR(-CT51,"")</f>
        <v/>
      </c>
      <c r="CU35" s="463" t="str">
        <f t="shared" ca="1" si="54"/>
        <v/>
      </c>
      <c r="CV35" s="463" t="str">
        <f t="shared" ca="1" si="54"/>
        <v/>
      </c>
      <c r="CW35" s="463" t="str">
        <f t="shared" ca="1" si="54"/>
        <v/>
      </c>
      <c r="CX35" s="463" t="str">
        <f t="shared" ca="1" si="54"/>
        <v/>
      </c>
      <c r="CY35" s="463" t="str">
        <f t="shared" ca="1" si="54"/>
        <v/>
      </c>
      <c r="CZ35" s="463" t="str">
        <f t="shared" ca="1" si="54"/>
        <v/>
      </c>
      <c r="DA35" s="463" t="str">
        <f t="shared" ca="1" si="54"/>
        <v/>
      </c>
      <c r="DB35" s="463" t="str">
        <f t="shared" ca="1" si="54"/>
        <v/>
      </c>
      <c r="DC35" s="463" t="str">
        <f t="shared" ca="1" si="54"/>
        <v/>
      </c>
      <c r="DD35" s="463" t="str">
        <f t="shared" ca="1" si="54"/>
        <v/>
      </c>
      <c r="DE35" s="463" t="str">
        <f t="shared" ca="1" si="54"/>
        <v/>
      </c>
      <c r="DF35" s="463" t="str">
        <f t="shared" ca="1" si="54"/>
        <v/>
      </c>
      <c r="DG35" s="463" t="str">
        <f t="shared" ca="1" si="54"/>
        <v/>
      </c>
      <c r="DH35" s="463" t="str">
        <f t="shared" ca="1" si="54"/>
        <v/>
      </c>
      <c r="DI35" s="463" t="str">
        <f t="shared" ca="1" si="54"/>
        <v/>
      </c>
      <c r="DJ35" s="463" t="str">
        <f t="shared" ca="1" si="54"/>
        <v/>
      </c>
      <c r="DK35" s="463" t="str">
        <f t="shared" ca="1" si="54"/>
        <v/>
      </c>
      <c r="DL35" s="463" t="str">
        <f t="shared" ca="1" si="54"/>
        <v/>
      </c>
      <c r="DM35" s="463" t="str">
        <f t="shared" ca="1" si="54"/>
        <v/>
      </c>
      <c r="DN35" s="463" t="str">
        <f t="shared" ca="1" si="54"/>
        <v/>
      </c>
      <c r="DO35" s="463" t="str">
        <f t="shared" ca="1" si="54"/>
        <v/>
      </c>
      <c r="DP35" s="463" t="str">
        <f t="shared" ca="1" si="54"/>
        <v/>
      </c>
      <c r="DQ35" s="463" t="str">
        <f t="shared" ca="1" si="54"/>
        <v/>
      </c>
      <c r="DR35" s="463" t="str">
        <f t="shared" ca="1" si="54"/>
        <v/>
      </c>
      <c r="DS35" s="801">
        <f ca="1">SUMPRODUCT(('1.5 Prognoser og indekser'!$R$12:OFFSET('1.5 Prognoser og indekser'!$R$12,0,$DS$9)),($M35:OFFSET($M35,0,$DS$9)))</f>
        <v>0</v>
      </c>
      <c r="DT35" s="802">
        <f ca="1">IF($DT$9&lt;1,0,SUMPRODUCT(OFFSET('1.5 Prognoser og indekser'!$R$12,0,$DS$9+1,1,$DT$9),OFFSET($M35,0,$DS$9+1,1,$DT$9)))</f>
        <v>0</v>
      </c>
    </row>
    <row r="36" spans="1:124" x14ac:dyDescent="0.35">
      <c r="C36" s="212" t="s">
        <v>1590</v>
      </c>
      <c r="D36" s="770">
        <f ca="1">-'2.2 Operatører'!K$46</f>
        <v>0</v>
      </c>
      <c r="E36" s="463">
        <f ca="1">-'2.2 Operatører'!L$46</f>
        <v>0</v>
      </c>
      <c r="F36" s="463">
        <f ca="1">-'2.2 Operatører'!M$46</f>
        <v>0</v>
      </c>
      <c r="G36" s="463"/>
      <c r="H36" s="463"/>
      <c r="I36" s="463"/>
      <c r="J36" s="790">
        <f ca="1">IF(Antall_Beregningsår&lt;2,1,IF(AND(D36=0,E36=0),1,IF(SIGN(D36)=SIGN(E36),(E36/D36)^(1/(AndreBeregningsår-FørsteBeregningsår)),((E36+1.1*ABS(D36-E36))/(D36+1.1*ABS(D36-E36)))^(1/(AndreBeregningsår-FørsteBeregningsår)))))</f>
        <v>1</v>
      </c>
      <c r="K36" s="790">
        <f ca="1">IF(Antall_Beregningsår&lt;3,1,IF(AND(E36=0,F36=0),1,IF(SIGN(E36)=SIGN(F36),(F36/E36)^(1/(TredjeBeregningsår-AndreBeregningsår)),((F36+1.1*ABS(E36-F36))/(E36+1.1*ABS(E36-F36)))^(1/(TredjeBeregningsår-AndreBeregningsår)))))</f>
        <v>1</v>
      </c>
      <c r="L36" s="752">
        <f>IF(Framskrivning="Lineær trend",IF(Antall_Beregningsår&gt;2,(F36-E36)/(TredjeBeregningsår-AndreBeregningsår),IF(Antall_Beregningsår&gt;1,(E36-D36)/(AndreBeregningsår-FørsteBeregningsår),0)),0)</f>
        <v>0</v>
      </c>
      <c r="M36" s="712"/>
      <c r="N36" s="712"/>
      <c r="O36" s="712"/>
      <c r="P36" s="712"/>
      <c r="Q36" s="712"/>
      <c r="R36" s="712"/>
      <c r="S36" s="712"/>
      <c r="T36" s="712"/>
      <c r="U36" s="712"/>
      <c r="V36" s="712"/>
      <c r="W36" s="463" t="str">
        <f t="shared" ref="W36:BB36" ca="1" si="55">IF(W$10&lt;=(Åpningsår+ProsjektetsLevetid-1),IF(W29&lt;=AndreBeregningsår,IF(SIGN($D36)=SIGN($E36),$D36*$J36^(W29-FørsteBeregningsår),($D36+1.1*ABS($D36-$E36))*$J36^(W29-FørsteBeregningsår)-1.1*ABS($D36-$E36)),IF(W29&lt;=TredjeBeregningsår,IF(SIGN($E36)=SIGN($F36),$E36*$K36^(W29-AndreBeregningsår),($E36+1.1*ABS($E36-$F36))*$K36^(W29-AndreBeregningsår)-1.1*ABS($E36-$F36)),OFFSET($D36,0,Antall_Beregningsår-1)*LOOKUP(W29,SerieÅR,SerieVolumvekstperson)+$L36*(W29-IF(Antall_Beregningsår&gt;2,TredjeBeregningsår,AndreBeregningsår))))*KPIJustering,"")</f>
        <v/>
      </c>
      <c r="X36" s="463" t="str">
        <f t="shared" ca="1" si="55"/>
        <v/>
      </c>
      <c r="Y36" s="463" t="str">
        <f t="shared" ca="1" si="55"/>
        <v/>
      </c>
      <c r="Z36" s="463" t="str">
        <f t="shared" ca="1" si="55"/>
        <v/>
      </c>
      <c r="AA36" s="463" t="str">
        <f t="shared" ca="1" si="55"/>
        <v/>
      </c>
      <c r="AB36" s="463" t="str">
        <f t="shared" ca="1" si="55"/>
        <v/>
      </c>
      <c r="AC36" s="463" t="str">
        <f t="shared" ca="1" si="55"/>
        <v/>
      </c>
      <c r="AD36" s="463" t="str">
        <f t="shared" ca="1" si="55"/>
        <v/>
      </c>
      <c r="AE36" s="463" t="str">
        <f t="shared" ca="1" si="55"/>
        <v/>
      </c>
      <c r="AF36" s="463" t="str">
        <f t="shared" ca="1" si="55"/>
        <v/>
      </c>
      <c r="AG36" s="463" t="str">
        <f t="shared" ca="1" si="55"/>
        <v/>
      </c>
      <c r="AH36" s="463" t="str">
        <f t="shared" ca="1" si="55"/>
        <v/>
      </c>
      <c r="AI36" s="463" t="str">
        <f t="shared" ca="1" si="55"/>
        <v/>
      </c>
      <c r="AJ36" s="463" t="str">
        <f t="shared" ca="1" si="55"/>
        <v/>
      </c>
      <c r="AK36" s="463" t="str">
        <f t="shared" ca="1" si="55"/>
        <v/>
      </c>
      <c r="AL36" s="463" t="str">
        <f t="shared" ca="1" si="55"/>
        <v/>
      </c>
      <c r="AM36" s="463" t="str">
        <f t="shared" ca="1" si="55"/>
        <v/>
      </c>
      <c r="AN36" s="463" t="str">
        <f t="shared" ca="1" si="55"/>
        <v/>
      </c>
      <c r="AO36" s="463" t="str">
        <f t="shared" ca="1" si="55"/>
        <v/>
      </c>
      <c r="AP36" s="463" t="str">
        <f t="shared" ca="1" si="55"/>
        <v/>
      </c>
      <c r="AQ36" s="463" t="str">
        <f t="shared" ca="1" si="55"/>
        <v/>
      </c>
      <c r="AR36" s="463" t="str">
        <f t="shared" ca="1" si="55"/>
        <v/>
      </c>
      <c r="AS36" s="463" t="str">
        <f t="shared" ca="1" si="55"/>
        <v/>
      </c>
      <c r="AT36" s="463" t="str">
        <f t="shared" ca="1" si="55"/>
        <v/>
      </c>
      <c r="AU36" s="463" t="str">
        <f t="shared" ca="1" si="55"/>
        <v/>
      </c>
      <c r="AV36" s="463" t="str">
        <f t="shared" ca="1" si="55"/>
        <v/>
      </c>
      <c r="AW36" s="463" t="str">
        <f t="shared" ca="1" si="55"/>
        <v/>
      </c>
      <c r="AX36" s="463" t="str">
        <f t="shared" ca="1" si="55"/>
        <v/>
      </c>
      <c r="AY36" s="463" t="str">
        <f t="shared" ca="1" si="55"/>
        <v/>
      </c>
      <c r="AZ36" s="463" t="str">
        <f t="shared" ca="1" si="55"/>
        <v/>
      </c>
      <c r="BA36" s="463" t="str">
        <f t="shared" ca="1" si="55"/>
        <v/>
      </c>
      <c r="BB36" s="463" t="str">
        <f t="shared" ca="1" si="55"/>
        <v/>
      </c>
      <c r="BC36" s="463" t="str">
        <f t="shared" ref="BC36:CH36" ca="1" si="56">IF(BC$10&lt;=(Åpningsår+ProsjektetsLevetid-1),IF(BC29&lt;=AndreBeregningsår,IF(SIGN($D36)=SIGN($E36),$D36*$J36^(BC29-FørsteBeregningsår),($D36+1.1*ABS($D36-$E36))*$J36^(BC29-FørsteBeregningsår)-1.1*ABS($D36-$E36)),IF(BC29&lt;=TredjeBeregningsår,IF(SIGN($E36)=SIGN($F36),$E36*$K36^(BC29-AndreBeregningsår),($E36+1.1*ABS($E36-$F36))*$K36^(BC29-AndreBeregningsår)-1.1*ABS($E36-$F36)),OFFSET($D36,0,Antall_Beregningsår-1)*LOOKUP(BC29,SerieÅR,SerieVolumvekstperson)+$L36*(BC29-IF(Antall_Beregningsår&gt;2,TredjeBeregningsår,AndreBeregningsår))))*KPIJustering,"")</f>
        <v/>
      </c>
      <c r="BD36" s="463" t="str">
        <f t="shared" ca="1" si="56"/>
        <v/>
      </c>
      <c r="BE36" s="463" t="str">
        <f t="shared" ca="1" si="56"/>
        <v/>
      </c>
      <c r="BF36" s="463" t="str">
        <f t="shared" ca="1" si="56"/>
        <v/>
      </c>
      <c r="BG36" s="463" t="str">
        <f t="shared" ca="1" si="56"/>
        <v/>
      </c>
      <c r="BH36" s="463" t="str">
        <f t="shared" ca="1" si="56"/>
        <v/>
      </c>
      <c r="BI36" s="463" t="str">
        <f t="shared" ca="1" si="56"/>
        <v/>
      </c>
      <c r="BJ36" s="463" t="str">
        <f t="shared" ca="1" si="56"/>
        <v/>
      </c>
      <c r="BK36" s="463" t="str">
        <f t="shared" ca="1" si="56"/>
        <v/>
      </c>
      <c r="BL36" s="463" t="str">
        <f t="shared" ca="1" si="56"/>
        <v/>
      </c>
      <c r="BM36" s="463" t="str">
        <f t="shared" ca="1" si="56"/>
        <v/>
      </c>
      <c r="BN36" s="463" t="str">
        <f t="shared" ca="1" si="56"/>
        <v/>
      </c>
      <c r="BO36" s="463" t="str">
        <f t="shared" ca="1" si="56"/>
        <v/>
      </c>
      <c r="BP36" s="463" t="str">
        <f t="shared" ca="1" si="56"/>
        <v/>
      </c>
      <c r="BQ36" s="463" t="str">
        <f t="shared" ca="1" si="56"/>
        <v/>
      </c>
      <c r="BR36" s="463" t="str">
        <f t="shared" ca="1" si="56"/>
        <v/>
      </c>
      <c r="BS36" s="463" t="str">
        <f t="shared" ca="1" si="56"/>
        <v/>
      </c>
      <c r="BT36" s="463" t="str">
        <f t="shared" ca="1" si="56"/>
        <v/>
      </c>
      <c r="BU36" s="463" t="str">
        <f t="shared" ca="1" si="56"/>
        <v/>
      </c>
      <c r="BV36" s="463" t="str">
        <f t="shared" ca="1" si="56"/>
        <v/>
      </c>
      <c r="BW36" s="463" t="str">
        <f t="shared" ca="1" si="56"/>
        <v/>
      </c>
      <c r="BX36" s="463" t="str">
        <f t="shared" ca="1" si="56"/>
        <v/>
      </c>
      <c r="BY36" s="463" t="str">
        <f t="shared" ca="1" si="56"/>
        <v/>
      </c>
      <c r="BZ36" s="463" t="str">
        <f t="shared" ca="1" si="56"/>
        <v/>
      </c>
      <c r="CA36" s="463" t="str">
        <f t="shared" ca="1" si="56"/>
        <v/>
      </c>
      <c r="CB36" s="463" t="str">
        <f t="shared" ca="1" si="56"/>
        <v/>
      </c>
      <c r="CC36" s="463" t="str">
        <f t="shared" ca="1" si="56"/>
        <v/>
      </c>
      <c r="CD36" s="463" t="str">
        <f t="shared" ca="1" si="56"/>
        <v/>
      </c>
      <c r="CE36" s="463" t="str">
        <f t="shared" ca="1" si="56"/>
        <v/>
      </c>
      <c r="CF36" s="463" t="str">
        <f t="shared" ca="1" si="56"/>
        <v/>
      </c>
      <c r="CG36" s="463" t="str">
        <f t="shared" ca="1" si="56"/>
        <v/>
      </c>
      <c r="CH36" s="463" t="str">
        <f t="shared" ca="1" si="56"/>
        <v/>
      </c>
      <c r="CI36" s="463" t="str">
        <f t="shared" ref="CI36:DR36" ca="1" si="57">IF(CI$10&lt;=(Åpningsår+ProsjektetsLevetid-1),IF(CI29&lt;=AndreBeregningsår,IF(SIGN($D36)=SIGN($E36),$D36*$J36^(CI29-FørsteBeregningsår),($D36+1.1*ABS($D36-$E36))*$J36^(CI29-FørsteBeregningsår)-1.1*ABS($D36-$E36)),IF(CI29&lt;=TredjeBeregningsår,IF(SIGN($E36)=SIGN($F36),$E36*$K36^(CI29-AndreBeregningsår),($E36+1.1*ABS($E36-$F36))*$K36^(CI29-AndreBeregningsår)-1.1*ABS($E36-$F36)),OFFSET($D36,0,Antall_Beregningsår-1)*LOOKUP(CI29,SerieÅR,SerieVolumvekstperson)+$L36*(CI29-IF(Antall_Beregningsår&gt;2,TredjeBeregningsår,AndreBeregningsår))))*KPIJustering,"")</f>
        <v/>
      </c>
      <c r="CJ36" s="463" t="str">
        <f t="shared" ca="1" si="57"/>
        <v/>
      </c>
      <c r="CK36" s="463" t="str">
        <f t="shared" ca="1" si="57"/>
        <v/>
      </c>
      <c r="CL36" s="463" t="str">
        <f t="shared" ca="1" si="57"/>
        <v/>
      </c>
      <c r="CM36" s="463" t="str">
        <f t="shared" ca="1" si="57"/>
        <v/>
      </c>
      <c r="CN36" s="463" t="str">
        <f t="shared" ca="1" si="57"/>
        <v/>
      </c>
      <c r="CO36" s="463" t="str">
        <f t="shared" ca="1" si="57"/>
        <v/>
      </c>
      <c r="CP36" s="463" t="str">
        <f t="shared" ca="1" si="57"/>
        <v/>
      </c>
      <c r="CQ36" s="463" t="str">
        <f t="shared" ca="1" si="57"/>
        <v/>
      </c>
      <c r="CR36" s="463" t="str">
        <f t="shared" ca="1" si="57"/>
        <v/>
      </c>
      <c r="CS36" s="463" t="str">
        <f t="shared" ca="1" si="57"/>
        <v/>
      </c>
      <c r="CT36" s="463" t="str">
        <f t="shared" ca="1" si="57"/>
        <v/>
      </c>
      <c r="CU36" s="463" t="str">
        <f t="shared" ca="1" si="57"/>
        <v/>
      </c>
      <c r="CV36" s="463" t="str">
        <f t="shared" ca="1" si="57"/>
        <v/>
      </c>
      <c r="CW36" s="463" t="str">
        <f t="shared" ca="1" si="57"/>
        <v/>
      </c>
      <c r="CX36" s="463" t="str">
        <f t="shared" ca="1" si="57"/>
        <v/>
      </c>
      <c r="CY36" s="463" t="str">
        <f t="shared" ca="1" si="57"/>
        <v/>
      </c>
      <c r="CZ36" s="463" t="str">
        <f t="shared" ca="1" si="57"/>
        <v/>
      </c>
      <c r="DA36" s="463" t="str">
        <f t="shared" ca="1" si="57"/>
        <v/>
      </c>
      <c r="DB36" s="463" t="str">
        <f t="shared" ca="1" si="57"/>
        <v/>
      </c>
      <c r="DC36" s="463" t="str">
        <f t="shared" ca="1" si="57"/>
        <v/>
      </c>
      <c r="DD36" s="463" t="str">
        <f t="shared" ca="1" si="57"/>
        <v/>
      </c>
      <c r="DE36" s="463" t="str">
        <f t="shared" ca="1" si="57"/>
        <v/>
      </c>
      <c r="DF36" s="463" t="str">
        <f t="shared" ca="1" si="57"/>
        <v/>
      </c>
      <c r="DG36" s="463" t="str">
        <f t="shared" ca="1" si="57"/>
        <v/>
      </c>
      <c r="DH36" s="463" t="str">
        <f t="shared" ca="1" si="57"/>
        <v/>
      </c>
      <c r="DI36" s="463" t="str">
        <f t="shared" ca="1" si="57"/>
        <v/>
      </c>
      <c r="DJ36" s="463" t="str">
        <f t="shared" ca="1" si="57"/>
        <v/>
      </c>
      <c r="DK36" s="463" t="str">
        <f t="shared" ca="1" si="57"/>
        <v/>
      </c>
      <c r="DL36" s="463" t="str">
        <f t="shared" ca="1" si="57"/>
        <v/>
      </c>
      <c r="DM36" s="463" t="str">
        <f t="shared" ca="1" si="57"/>
        <v/>
      </c>
      <c r="DN36" s="463" t="str">
        <f t="shared" ca="1" si="57"/>
        <v/>
      </c>
      <c r="DO36" s="463" t="str">
        <f t="shared" ca="1" si="57"/>
        <v/>
      </c>
      <c r="DP36" s="463" t="str">
        <f t="shared" ca="1" si="57"/>
        <v/>
      </c>
      <c r="DQ36" s="463" t="str">
        <f t="shared" ca="1" si="57"/>
        <v/>
      </c>
      <c r="DR36" s="463" t="str">
        <f t="shared" ca="1" si="57"/>
        <v/>
      </c>
      <c r="DS36" s="801">
        <f ca="1">SUMPRODUCT(('1.5 Prognoser og indekser'!$R$12:OFFSET('1.5 Prognoser og indekser'!$R$12,0,$DS$9)),($M36:OFFSET($M36,0,$DS$9)))</f>
        <v>0</v>
      </c>
      <c r="DT36" s="802">
        <f ca="1">IF($DT$9&lt;1,0,SUMPRODUCT(OFFSET('1.5 Prognoser og indekser'!$R$12,0,$DS$9+1,1,$DT$9),OFFSET($M36,0,$DS$9+1,1,$DT$9)))</f>
        <v>0</v>
      </c>
    </row>
    <row r="37" spans="1:124" x14ac:dyDescent="0.35">
      <c r="C37" s="215" t="str">
        <f>'2.2 Operatører'!B54</f>
        <v>Buss</v>
      </c>
      <c r="D37" s="8"/>
      <c r="E37" s="20"/>
      <c r="F37" s="8"/>
      <c r="G37" s="8"/>
      <c r="H37" s="8"/>
      <c r="I37" s="8"/>
      <c r="J37" s="1019"/>
      <c r="K37" s="1019"/>
      <c r="L37" s="41"/>
      <c r="M37" s="8"/>
      <c r="N37" s="8"/>
      <c r="O37" s="8"/>
      <c r="P37" s="8"/>
      <c r="Q37" s="8"/>
      <c r="R37" s="8"/>
      <c r="S37" s="8"/>
      <c r="T37" s="8"/>
      <c r="U37" s="8"/>
      <c r="V37" s="8"/>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979"/>
      <c r="DT37" s="216"/>
    </row>
    <row r="38" spans="1:124" x14ac:dyDescent="0.35">
      <c r="C38" s="212" t="s">
        <v>1554</v>
      </c>
      <c r="D38" s="770">
        <f>-'2.2 Operatører'!K$61</f>
        <v>0</v>
      </c>
      <c r="E38" s="463">
        <f>-'2.2 Operatører'!L$61</f>
        <v>0</v>
      </c>
      <c r="F38" s="463">
        <f>-'2.2 Operatører'!M$61</f>
        <v>0</v>
      </c>
      <c r="G38" s="463"/>
      <c r="H38" s="463"/>
      <c r="I38" s="463"/>
      <c r="J38" s="790">
        <f>IF(Antall_Beregningsår&lt;2,1,IF(AND(D38=0,E38=0),1,IF(SIGN(D38)=SIGN(E38),(E38/D38)^(1/(AndreBeregningsår-FørsteBeregningsår)),((E38+1.1*ABS(D38-E38))/(D38+1.1*ABS(D38-E38)))^(1/(AndreBeregningsår-FørsteBeregningsår)))))</f>
        <v>1</v>
      </c>
      <c r="K38" s="790">
        <f>IF(Antall_Beregningsår&lt;3,1,IF(AND(E38=0,F38=0),1,IF(SIGN(E38)=SIGN(F38),(F38/E38)^(1/(TredjeBeregningsår-AndreBeregningsår)),((F38+1.1*ABS(E38-F38))/(E38+1.1*ABS(E38-F38)))^(1/(TredjeBeregningsår-AndreBeregningsår)))))</f>
        <v>1</v>
      </c>
      <c r="L38" s="752">
        <f>IF(Framskrivning="Lineær trend",IF(Antall_Beregningsår&gt;2,(F38-E38)/(TredjeBeregningsår-AndreBeregningsår),IF(Antall_Beregningsår&gt;1,(E38-D38)/(AndreBeregningsår-FørsteBeregningsår),0)),0)</f>
        <v>0</v>
      </c>
      <c r="M38" s="712"/>
      <c r="N38" s="712"/>
      <c r="O38" s="712"/>
      <c r="P38" s="712"/>
      <c r="Q38" s="712"/>
      <c r="R38" s="712"/>
      <c r="S38" s="712"/>
      <c r="T38" s="712"/>
      <c r="U38" s="712"/>
      <c r="V38" s="712"/>
      <c r="W38" s="463" t="str">
        <f t="shared" ref="W38:BB38" ca="1" si="58">IF(W$10&lt;=(Åpningsår+ProsjektetsLevetid-1),IF(W29&lt;=AndreBeregningsår,IF(SIGN($D38)=SIGN($E38),$D38*$J38^(W29-FørsteBeregningsår),($D38+1.1*ABS($D38-$E38))*$J38^(W29-FørsteBeregningsår)-1.1*ABS($D38-$E38)),IF(W29&lt;=TredjeBeregningsår,IF(SIGN($E38)=SIGN($F38),$E38*$K38^(W29-AndreBeregningsår),($E38+1.1*ABS($E38-$F38))*$K38^(W29-AndreBeregningsår)-1.1*ABS($E38-$F38)),OFFSET($D38,0,Antall_Beregningsår-1)*LOOKUP(W29,SerieÅR,SerieVolumvekstperson)+$L38*(W29-IF(Antall_Beregningsår&gt;2,TredjeBeregningsår,AndreBeregningsår))))*KPIJustering,"")</f>
        <v/>
      </c>
      <c r="X38" s="463" t="str">
        <f t="shared" ca="1" si="58"/>
        <v/>
      </c>
      <c r="Y38" s="463" t="str">
        <f t="shared" ca="1" si="58"/>
        <v/>
      </c>
      <c r="Z38" s="463" t="str">
        <f t="shared" ca="1" si="58"/>
        <v/>
      </c>
      <c r="AA38" s="463" t="str">
        <f t="shared" ca="1" si="58"/>
        <v/>
      </c>
      <c r="AB38" s="463" t="str">
        <f t="shared" ca="1" si="58"/>
        <v/>
      </c>
      <c r="AC38" s="463" t="str">
        <f t="shared" ca="1" si="58"/>
        <v/>
      </c>
      <c r="AD38" s="463" t="str">
        <f t="shared" ca="1" si="58"/>
        <v/>
      </c>
      <c r="AE38" s="463" t="str">
        <f t="shared" ca="1" si="58"/>
        <v/>
      </c>
      <c r="AF38" s="463" t="str">
        <f t="shared" ca="1" si="58"/>
        <v/>
      </c>
      <c r="AG38" s="463" t="str">
        <f t="shared" ca="1" si="58"/>
        <v/>
      </c>
      <c r="AH38" s="463" t="str">
        <f t="shared" ca="1" si="58"/>
        <v/>
      </c>
      <c r="AI38" s="463" t="str">
        <f t="shared" ca="1" si="58"/>
        <v/>
      </c>
      <c r="AJ38" s="463" t="str">
        <f t="shared" ca="1" si="58"/>
        <v/>
      </c>
      <c r="AK38" s="463" t="str">
        <f t="shared" ca="1" si="58"/>
        <v/>
      </c>
      <c r="AL38" s="463" t="str">
        <f t="shared" ca="1" si="58"/>
        <v/>
      </c>
      <c r="AM38" s="463" t="str">
        <f t="shared" ca="1" si="58"/>
        <v/>
      </c>
      <c r="AN38" s="463" t="str">
        <f t="shared" ca="1" si="58"/>
        <v/>
      </c>
      <c r="AO38" s="463" t="str">
        <f t="shared" ca="1" si="58"/>
        <v/>
      </c>
      <c r="AP38" s="463" t="str">
        <f t="shared" ca="1" si="58"/>
        <v/>
      </c>
      <c r="AQ38" s="463" t="str">
        <f t="shared" ca="1" si="58"/>
        <v/>
      </c>
      <c r="AR38" s="463" t="str">
        <f t="shared" ca="1" si="58"/>
        <v/>
      </c>
      <c r="AS38" s="463" t="str">
        <f t="shared" ca="1" si="58"/>
        <v/>
      </c>
      <c r="AT38" s="463" t="str">
        <f t="shared" ca="1" si="58"/>
        <v/>
      </c>
      <c r="AU38" s="463" t="str">
        <f t="shared" ca="1" si="58"/>
        <v/>
      </c>
      <c r="AV38" s="463" t="str">
        <f t="shared" ca="1" si="58"/>
        <v/>
      </c>
      <c r="AW38" s="463" t="str">
        <f t="shared" ca="1" si="58"/>
        <v/>
      </c>
      <c r="AX38" s="463" t="str">
        <f t="shared" ca="1" si="58"/>
        <v/>
      </c>
      <c r="AY38" s="463" t="str">
        <f t="shared" ca="1" si="58"/>
        <v/>
      </c>
      <c r="AZ38" s="463" t="str">
        <f t="shared" ca="1" si="58"/>
        <v/>
      </c>
      <c r="BA38" s="463" t="str">
        <f t="shared" ca="1" si="58"/>
        <v/>
      </c>
      <c r="BB38" s="463" t="str">
        <f t="shared" ca="1" si="58"/>
        <v/>
      </c>
      <c r="BC38" s="463" t="str">
        <f t="shared" ref="BC38:CH38" ca="1" si="59">IF(BC$10&lt;=(Åpningsår+ProsjektetsLevetid-1),IF(BC29&lt;=AndreBeregningsår,IF(SIGN($D38)=SIGN($E38),$D38*$J38^(BC29-FørsteBeregningsår),($D38+1.1*ABS($D38-$E38))*$J38^(BC29-FørsteBeregningsår)-1.1*ABS($D38-$E38)),IF(BC29&lt;=TredjeBeregningsår,IF(SIGN($E38)=SIGN($F38),$E38*$K38^(BC29-AndreBeregningsår),($E38+1.1*ABS($E38-$F38))*$K38^(BC29-AndreBeregningsår)-1.1*ABS($E38-$F38)),OFFSET($D38,0,Antall_Beregningsår-1)*LOOKUP(BC29,SerieÅR,SerieVolumvekstperson)+$L38*(BC29-IF(Antall_Beregningsår&gt;2,TredjeBeregningsår,AndreBeregningsår))))*KPIJustering,"")</f>
        <v/>
      </c>
      <c r="BD38" s="463" t="str">
        <f t="shared" ca="1" si="59"/>
        <v/>
      </c>
      <c r="BE38" s="463" t="str">
        <f t="shared" ca="1" si="59"/>
        <v/>
      </c>
      <c r="BF38" s="463" t="str">
        <f t="shared" ca="1" si="59"/>
        <v/>
      </c>
      <c r="BG38" s="463" t="str">
        <f t="shared" ca="1" si="59"/>
        <v/>
      </c>
      <c r="BH38" s="463" t="str">
        <f t="shared" ca="1" si="59"/>
        <v/>
      </c>
      <c r="BI38" s="463" t="str">
        <f t="shared" ca="1" si="59"/>
        <v/>
      </c>
      <c r="BJ38" s="463" t="str">
        <f t="shared" ca="1" si="59"/>
        <v/>
      </c>
      <c r="BK38" s="463" t="str">
        <f t="shared" ca="1" si="59"/>
        <v/>
      </c>
      <c r="BL38" s="463" t="str">
        <f t="shared" ca="1" si="59"/>
        <v/>
      </c>
      <c r="BM38" s="463" t="str">
        <f t="shared" ca="1" si="59"/>
        <v/>
      </c>
      <c r="BN38" s="463" t="str">
        <f t="shared" ca="1" si="59"/>
        <v/>
      </c>
      <c r="BO38" s="463" t="str">
        <f t="shared" ca="1" si="59"/>
        <v/>
      </c>
      <c r="BP38" s="463" t="str">
        <f t="shared" ca="1" si="59"/>
        <v/>
      </c>
      <c r="BQ38" s="463" t="str">
        <f t="shared" ca="1" si="59"/>
        <v/>
      </c>
      <c r="BR38" s="463" t="str">
        <f t="shared" ca="1" si="59"/>
        <v/>
      </c>
      <c r="BS38" s="463" t="str">
        <f t="shared" ca="1" si="59"/>
        <v/>
      </c>
      <c r="BT38" s="463" t="str">
        <f t="shared" ca="1" si="59"/>
        <v/>
      </c>
      <c r="BU38" s="463" t="str">
        <f t="shared" ca="1" si="59"/>
        <v/>
      </c>
      <c r="BV38" s="463" t="str">
        <f t="shared" ca="1" si="59"/>
        <v/>
      </c>
      <c r="BW38" s="463" t="str">
        <f t="shared" ca="1" si="59"/>
        <v/>
      </c>
      <c r="BX38" s="463" t="str">
        <f t="shared" ca="1" si="59"/>
        <v/>
      </c>
      <c r="BY38" s="463" t="str">
        <f t="shared" ca="1" si="59"/>
        <v/>
      </c>
      <c r="BZ38" s="463" t="str">
        <f t="shared" ca="1" si="59"/>
        <v/>
      </c>
      <c r="CA38" s="463" t="str">
        <f t="shared" ca="1" si="59"/>
        <v/>
      </c>
      <c r="CB38" s="463" t="str">
        <f t="shared" ca="1" si="59"/>
        <v/>
      </c>
      <c r="CC38" s="463" t="str">
        <f t="shared" ca="1" si="59"/>
        <v/>
      </c>
      <c r="CD38" s="463" t="str">
        <f t="shared" ca="1" si="59"/>
        <v/>
      </c>
      <c r="CE38" s="463" t="str">
        <f t="shared" ca="1" si="59"/>
        <v/>
      </c>
      <c r="CF38" s="463" t="str">
        <f t="shared" ca="1" si="59"/>
        <v/>
      </c>
      <c r="CG38" s="463" t="str">
        <f t="shared" ca="1" si="59"/>
        <v/>
      </c>
      <c r="CH38" s="463" t="str">
        <f t="shared" ca="1" si="59"/>
        <v/>
      </c>
      <c r="CI38" s="463" t="str">
        <f t="shared" ref="CI38:DR38" ca="1" si="60">IF(CI$10&lt;=(Åpningsår+ProsjektetsLevetid-1),IF(CI29&lt;=AndreBeregningsår,IF(SIGN($D38)=SIGN($E38),$D38*$J38^(CI29-FørsteBeregningsår),($D38+1.1*ABS($D38-$E38))*$J38^(CI29-FørsteBeregningsår)-1.1*ABS($D38-$E38)),IF(CI29&lt;=TredjeBeregningsår,IF(SIGN($E38)=SIGN($F38),$E38*$K38^(CI29-AndreBeregningsår),($E38+1.1*ABS($E38-$F38))*$K38^(CI29-AndreBeregningsår)-1.1*ABS($E38-$F38)),OFFSET($D38,0,Antall_Beregningsår-1)*LOOKUP(CI29,SerieÅR,SerieVolumvekstperson)+$L38*(CI29-IF(Antall_Beregningsår&gt;2,TredjeBeregningsår,AndreBeregningsår))))*KPIJustering,"")</f>
        <v/>
      </c>
      <c r="CJ38" s="463" t="str">
        <f t="shared" ca="1" si="60"/>
        <v/>
      </c>
      <c r="CK38" s="463" t="str">
        <f t="shared" ca="1" si="60"/>
        <v/>
      </c>
      <c r="CL38" s="463" t="str">
        <f t="shared" ca="1" si="60"/>
        <v/>
      </c>
      <c r="CM38" s="463" t="str">
        <f t="shared" ca="1" si="60"/>
        <v/>
      </c>
      <c r="CN38" s="463" t="str">
        <f t="shared" ca="1" si="60"/>
        <v/>
      </c>
      <c r="CO38" s="463" t="str">
        <f t="shared" ca="1" si="60"/>
        <v/>
      </c>
      <c r="CP38" s="463" t="str">
        <f t="shared" ca="1" si="60"/>
        <v/>
      </c>
      <c r="CQ38" s="463" t="str">
        <f t="shared" ca="1" si="60"/>
        <v/>
      </c>
      <c r="CR38" s="463" t="str">
        <f t="shared" ca="1" si="60"/>
        <v/>
      </c>
      <c r="CS38" s="463" t="str">
        <f t="shared" ca="1" si="60"/>
        <v/>
      </c>
      <c r="CT38" s="463" t="str">
        <f t="shared" ca="1" si="60"/>
        <v/>
      </c>
      <c r="CU38" s="463" t="str">
        <f t="shared" ca="1" si="60"/>
        <v/>
      </c>
      <c r="CV38" s="463" t="str">
        <f t="shared" ca="1" si="60"/>
        <v/>
      </c>
      <c r="CW38" s="463" t="str">
        <f t="shared" ca="1" si="60"/>
        <v/>
      </c>
      <c r="CX38" s="463" t="str">
        <f t="shared" ca="1" si="60"/>
        <v/>
      </c>
      <c r="CY38" s="463" t="str">
        <f t="shared" ca="1" si="60"/>
        <v/>
      </c>
      <c r="CZ38" s="463" t="str">
        <f t="shared" ca="1" si="60"/>
        <v/>
      </c>
      <c r="DA38" s="463" t="str">
        <f t="shared" ca="1" si="60"/>
        <v/>
      </c>
      <c r="DB38" s="463" t="str">
        <f t="shared" ca="1" si="60"/>
        <v/>
      </c>
      <c r="DC38" s="463" t="str">
        <f t="shared" ca="1" si="60"/>
        <v/>
      </c>
      <c r="DD38" s="463" t="str">
        <f t="shared" ca="1" si="60"/>
        <v/>
      </c>
      <c r="DE38" s="463" t="str">
        <f t="shared" ca="1" si="60"/>
        <v/>
      </c>
      <c r="DF38" s="463" t="str">
        <f t="shared" ca="1" si="60"/>
        <v/>
      </c>
      <c r="DG38" s="463" t="str">
        <f t="shared" ca="1" si="60"/>
        <v/>
      </c>
      <c r="DH38" s="463" t="str">
        <f t="shared" ca="1" si="60"/>
        <v/>
      </c>
      <c r="DI38" s="463" t="str">
        <f t="shared" ca="1" si="60"/>
        <v/>
      </c>
      <c r="DJ38" s="463" t="str">
        <f t="shared" ca="1" si="60"/>
        <v/>
      </c>
      <c r="DK38" s="463" t="str">
        <f t="shared" ca="1" si="60"/>
        <v/>
      </c>
      <c r="DL38" s="463" t="str">
        <f t="shared" ca="1" si="60"/>
        <v/>
      </c>
      <c r="DM38" s="463" t="str">
        <f t="shared" ca="1" si="60"/>
        <v/>
      </c>
      <c r="DN38" s="463" t="str">
        <f t="shared" ca="1" si="60"/>
        <v/>
      </c>
      <c r="DO38" s="463" t="str">
        <f t="shared" ca="1" si="60"/>
        <v/>
      </c>
      <c r="DP38" s="463" t="str">
        <f t="shared" ca="1" si="60"/>
        <v/>
      </c>
      <c r="DQ38" s="463" t="str">
        <f t="shared" ca="1" si="60"/>
        <v/>
      </c>
      <c r="DR38" s="463" t="str">
        <f t="shared" ca="1" si="60"/>
        <v/>
      </c>
      <c r="DS38" s="801">
        <f ca="1">SUMPRODUCT(('1.5 Prognoser og indekser'!$R$12:OFFSET('1.5 Prognoser og indekser'!$R$12,0,$DS$9)),($M38:OFFSET($M38,0,$DS$9)))</f>
        <v>0</v>
      </c>
      <c r="DT38" s="802">
        <f ca="1">IF($DT$9&lt;1,0,SUMPRODUCT(OFFSET('1.5 Prognoser og indekser'!$R$12,0,$DS$9+1,1,$DT$9),OFFSET($M38,0,$DS$9+1,1,$DT$9)))</f>
        <v>0</v>
      </c>
    </row>
    <row r="39" spans="1:124" x14ac:dyDescent="0.35">
      <c r="C39" s="212" t="s">
        <v>1539</v>
      </c>
      <c r="D39" s="770">
        <f>-'2.2 Operatører'!K62</f>
        <v>0</v>
      </c>
      <c r="E39" s="463">
        <f>-'2.2 Operatører'!L62</f>
        <v>0</v>
      </c>
      <c r="F39" s="463">
        <f>-'2.2 Operatører'!M62</f>
        <v>0</v>
      </c>
      <c r="G39" s="463"/>
      <c r="H39" s="463"/>
      <c r="I39" s="463"/>
      <c r="J39" s="790"/>
      <c r="K39" s="790"/>
      <c r="L39" s="752"/>
      <c r="M39" s="712"/>
      <c r="N39" s="712"/>
      <c r="O39" s="712"/>
      <c r="P39" s="712"/>
      <c r="Q39" s="712"/>
      <c r="R39" s="712"/>
      <c r="S39" s="712"/>
      <c r="T39" s="712"/>
      <c r="U39" s="712"/>
      <c r="V39" s="712"/>
      <c r="W39" s="463" t="str">
        <f ca="1">IFERROR(-W54,"")</f>
        <v/>
      </c>
      <c r="X39" s="463" t="str">
        <f t="shared" ref="X39:CI39" ca="1" si="61">IFERROR(-X54,"")</f>
        <v/>
      </c>
      <c r="Y39" s="463" t="str">
        <f t="shared" ca="1" si="61"/>
        <v/>
      </c>
      <c r="Z39" s="463" t="str">
        <f t="shared" ca="1" si="61"/>
        <v/>
      </c>
      <c r="AA39" s="463" t="str">
        <f t="shared" ca="1" si="61"/>
        <v/>
      </c>
      <c r="AB39" s="463" t="str">
        <f t="shared" ca="1" si="61"/>
        <v/>
      </c>
      <c r="AC39" s="463" t="str">
        <f t="shared" ca="1" si="61"/>
        <v/>
      </c>
      <c r="AD39" s="463" t="str">
        <f t="shared" ca="1" si="61"/>
        <v/>
      </c>
      <c r="AE39" s="463" t="str">
        <f t="shared" ca="1" si="61"/>
        <v/>
      </c>
      <c r="AF39" s="463" t="str">
        <f t="shared" ca="1" si="61"/>
        <v/>
      </c>
      <c r="AG39" s="463" t="str">
        <f t="shared" ca="1" si="61"/>
        <v/>
      </c>
      <c r="AH39" s="463" t="str">
        <f t="shared" ca="1" si="61"/>
        <v/>
      </c>
      <c r="AI39" s="463" t="str">
        <f t="shared" ca="1" si="61"/>
        <v/>
      </c>
      <c r="AJ39" s="463" t="str">
        <f t="shared" ca="1" si="61"/>
        <v/>
      </c>
      <c r="AK39" s="463" t="str">
        <f t="shared" ca="1" si="61"/>
        <v/>
      </c>
      <c r="AL39" s="463" t="str">
        <f t="shared" ca="1" si="61"/>
        <v/>
      </c>
      <c r="AM39" s="463" t="str">
        <f t="shared" ca="1" si="61"/>
        <v/>
      </c>
      <c r="AN39" s="463" t="str">
        <f t="shared" ca="1" si="61"/>
        <v/>
      </c>
      <c r="AO39" s="463" t="str">
        <f t="shared" ca="1" si="61"/>
        <v/>
      </c>
      <c r="AP39" s="463" t="str">
        <f t="shared" ca="1" si="61"/>
        <v/>
      </c>
      <c r="AQ39" s="463" t="str">
        <f t="shared" ca="1" si="61"/>
        <v/>
      </c>
      <c r="AR39" s="463" t="str">
        <f t="shared" ca="1" si="61"/>
        <v/>
      </c>
      <c r="AS39" s="463" t="str">
        <f t="shared" ca="1" si="61"/>
        <v/>
      </c>
      <c r="AT39" s="463" t="str">
        <f t="shared" ca="1" si="61"/>
        <v/>
      </c>
      <c r="AU39" s="463" t="str">
        <f t="shared" ca="1" si="61"/>
        <v/>
      </c>
      <c r="AV39" s="463" t="str">
        <f t="shared" ca="1" si="61"/>
        <v/>
      </c>
      <c r="AW39" s="463" t="str">
        <f t="shared" ca="1" si="61"/>
        <v/>
      </c>
      <c r="AX39" s="463" t="str">
        <f t="shared" ca="1" si="61"/>
        <v/>
      </c>
      <c r="AY39" s="463" t="str">
        <f t="shared" ca="1" si="61"/>
        <v/>
      </c>
      <c r="AZ39" s="463" t="str">
        <f t="shared" ca="1" si="61"/>
        <v/>
      </c>
      <c r="BA39" s="463" t="str">
        <f t="shared" ca="1" si="61"/>
        <v/>
      </c>
      <c r="BB39" s="463" t="str">
        <f t="shared" ca="1" si="61"/>
        <v/>
      </c>
      <c r="BC39" s="463" t="str">
        <f t="shared" ca="1" si="61"/>
        <v/>
      </c>
      <c r="BD39" s="463" t="str">
        <f t="shared" ca="1" si="61"/>
        <v/>
      </c>
      <c r="BE39" s="463" t="str">
        <f t="shared" ca="1" si="61"/>
        <v/>
      </c>
      <c r="BF39" s="463" t="str">
        <f t="shared" ca="1" si="61"/>
        <v/>
      </c>
      <c r="BG39" s="463" t="str">
        <f t="shared" ca="1" si="61"/>
        <v/>
      </c>
      <c r="BH39" s="463" t="str">
        <f t="shared" ca="1" si="61"/>
        <v/>
      </c>
      <c r="BI39" s="463" t="str">
        <f t="shared" ca="1" si="61"/>
        <v/>
      </c>
      <c r="BJ39" s="463" t="str">
        <f t="shared" ca="1" si="61"/>
        <v/>
      </c>
      <c r="BK39" s="463" t="str">
        <f t="shared" ca="1" si="61"/>
        <v/>
      </c>
      <c r="BL39" s="463" t="str">
        <f t="shared" ca="1" si="61"/>
        <v/>
      </c>
      <c r="BM39" s="463" t="str">
        <f t="shared" ca="1" si="61"/>
        <v/>
      </c>
      <c r="BN39" s="463" t="str">
        <f t="shared" ca="1" si="61"/>
        <v/>
      </c>
      <c r="BO39" s="463" t="str">
        <f t="shared" ca="1" si="61"/>
        <v/>
      </c>
      <c r="BP39" s="463" t="str">
        <f t="shared" ca="1" si="61"/>
        <v/>
      </c>
      <c r="BQ39" s="463" t="str">
        <f t="shared" ca="1" si="61"/>
        <v/>
      </c>
      <c r="BR39" s="463" t="str">
        <f t="shared" ca="1" si="61"/>
        <v/>
      </c>
      <c r="BS39" s="463" t="str">
        <f t="shared" ca="1" si="61"/>
        <v/>
      </c>
      <c r="BT39" s="463" t="str">
        <f t="shared" ca="1" si="61"/>
        <v/>
      </c>
      <c r="BU39" s="463" t="str">
        <f t="shared" ca="1" si="61"/>
        <v/>
      </c>
      <c r="BV39" s="463" t="str">
        <f t="shared" ca="1" si="61"/>
        <v/>
      </c>
      <c r="BW39" s="463" t="str">
        <f t="shared" ca="1" si="61"/>
        <v/>
      </c>
      <c r="BX39" s="463" t="str">
        <f t="shared" ca="1" si="61"/>
        <v/>
      </c>
      <c r="BY39" s="463" t="str">
        <f t="shared" ca="1" si="61"/>
        <v/>
      </c>
      <c r="BZ39" s="463" t="str">
        <f t="shared" ca="1" si="61"/>
        <v/>
      </c>
      <c r="CA39" s="463" t="str">
        <f t="shared" ca="1" si="61"/>
        <v/>
      </c>
      <c r="CB39" s="463" t="str">
        <f t="shared" ca="1" si="61"/>
        <v/>
      </c>
      <c r="CC39" s="463" t="str">
        <f t="shared" ca="1" si="61"/>
        <v/>
      </c>
      <c r="CD39" s="463" t="str">
        <f t="shared" ca="1" si="61"/>
        <v/>
      </c>
      <c r="CE39" s="463" t="str">
        <f t="shared" ca="1" si="61"/>
        <v/>
      </c>
      <c r="CF39" s="463" t="str">
        <f t="shared" ca="1" si="61"/>
        <v/>
      </c>
      <c r="CG39" s="463" t="str">
        <f t="shared" ca="1" si="61"/>
        <v/>
      </c>
      <c r="CH39" s="463" t="str">
        <f t="shared" ca="1" si="61"/>
        <v/>
      </c>
      <c r="CI39" s="463" t="str">
        <f t="shared" ca="1" si="61"/>
        <v/>
      </c>
      <c r="CJ39" s="463" t="str">
        <f t="shared" ref="CJ39:CS39" ca="1" si="62">IFERROR(-CJ54,"")</f>
        <v/>
      </c>
      <c r="CK39" s="463" t="str">
        <f t="shared" ca="1" si="62"/>
        <v/>
      </c>
      <c r="CL39" s="463" t="str">
        <f t="shared" ca="1" si="62"/>
        <v/>
      </c>
      <c r="CM39" s="463" t="str">
        <f t="shared" ca="1" si="62"/>
        <v/>
      </c>
      <c r="CN39" s="463" t="str">
        <f t="shared" ca="1" si="62"/>
        <v/>
      </c>
      <c r="CO39" s="463" t="str">
        <f t="shared" ca="1" si="62"/>
        <v/>
      </c>
      <c r="CP39" s="463" t="str">
        <f t="shared" ca="1" si="62"/>
        <v/>
      </c>
      <c r="CQ39" s="463" t="str">
        <f t="shared" ca="1" si="62"/>
        <v/>
      </c>
      <c r="CR39" s="463" t="str">
        <f t="shared" ca="1" si="62"/>
        <v/>
      </c>
      <c r="CS39" s="463" t="str">
        <f t="shared" ca="1" si="62"/>
        <v/>
      </c>
      <c r="CT39" s="463" t="str">
        <f t="shared" ref="CT39:DR39" ca="1" si="63">IFERROR(-CT54,"")</f>
        <v/>
      </c>
      <c r="CU39" s="463" t="str">
        <f t="shared" ca="1" si="63"/>
        <v/>
      </c>
      <c r="CV39" s="463" t="str">
        <f t="shared" ca="1" si="63"/>
        <v/>
      </c>
      <c r="CW39" s="463" t="str">
        <f t="shared" ca="1" si="63"/>
        <v/>
      </c>
      <c r="CX39" s="463" t="str">
        <f t="shared" ca="1" si="63"/>
        <v/>
      </c>
      <c r="CY39" s="463" t="str">
        <f t="shared" ca="1" si="63"/>
        <v/>
      </c>
      <c r="CZ39" s="463" t="str">
        <f t="shared" ca="1" si="63"/>
        <v/>
      </c>
      <c r="DA39" s="463" t="str">
        <f t="shared" ca="1" si="63"/>
        <v/>
      </c>
      <c r="DB39" s="463" t="str">
        <f t="shared" ca="1" si="63"/>
        <v/>
      </c>
      <c r="DC39" s="463" t="str">
        <f t="shared" ca="1" si="63"/>
        <v/>
      </c>
      <c r="DD39" s="463" t="str">
        <f t="shared" ca="1" si="63"/>
        <v/>
      </c>
      <c r="DE39" s="463" t="str">
        <f t="shared" ca="1" si="63"/>
        <v/>
      </c>
      <c r="DF39" s="463" t="str">
        <f t="shared" ca="1" si="63"/>
        <v/>
      </c>
      <c r="DG39" s="463" t="str">
        <f t="shared" ca="1" si="63"/>
        <v/>
      </c>
      <c r="DH39" s="463" t="str">
        <f t="shared" ca="1" si="63"/>
        <v/>
      </c>
      <c r="DI39" s="463" t="str">
        <f t="shared" ca="1" si="63"/>
        <v/>
      </c>
      <c r="DJ39" s="463" t="str">
        <f t="shared" ca="1" si="63"/>
        <v/>
      </c>
      <c r="DK39" s="463" t="str">
        <f t="shared" ca="1" si="63"/>
        <v/>
      </c>
      <c r="DL39" s="463" t="str">
        <f t="shared" ca="1" si="63"/>
        <v/>
      </c>
      <c r="DM39" s="463" t="str">
        <f t="shared" ca="1" si="63"/>
        <v/>
      </c>
      <c r="DN39" s="463" t="str">
        <f t="shared" ca="1" si="63"/>
        <v/>
      </c>
      <c r="DO39" s="463" t="str">
        <f t="shared" ca="1" si="63"/>
        <v/>
      </c>
      <c r="DP39" s="463" t="str">
        <f t="shared" ca="1" si="63"/>
        <v/>
      </c>
      <c r="DQ39" s="463" t="str">
        <f t="shared" ca="1" si="63"/>
        <v/>
      </c>
      <c r="DR39" s="463" t="str">
        <f t="shared" ca="1" si="63"/>
        <v/>
      </c>
      <c r="DS39" s="801">
        <f ca="1">SUMPRODUCT(('1.5 Prognoser og indekser'!$R$12:OFFSET('1.5 Prognoser og indekser'!$R$12,0,$DS$9)),($M39:OFFSET($M39,0,$DS$9)))</f>
        <v>0</v>
      </c>
      <c r="DT39" s="802">
        <f ca="1">IF($DT$9&lt;1,0,SUMPRODUCT(OFFSET('1.5 Prognoser og indekser'!$R$12,0,$DS$9+1,1,$DT$9),OFFSET($M39,0,$DS$9+1,1,$DT$9)))</f>
        <v>0</v>
      </c>
    </row>
    <row r="40" spans="1:124" x14ac:dyDescent="0.35">
      <c r="C40" s="212" t="s">
        <v>1524</v>
      </c>
      <c r="D40" s="770">
        <f>OffentligkjøpBuss_År1</f>
        <v>0</v>
      </c>
      <c r="E40" s="463">
        <f>OffentligkjøpBuss_År2</f>
        <v>0</v>
      </c>
      <c r="F40" s="463">
        <f>OffentligkjøpBuss_År3</f>
        <v>0</v>
      </c>
      <c r="G40" s="463"/>
      <c r="H40" s="463"/>
      <c r="I40" s="463"/>
      <c r="J40" s="790"/>
      <c r="K40" s="790"/>
      <c r="L40" s="752"/>
      <c r="M40" s="712"/>
      <c r="N40" s="712"/>
      <c r="O40" s="712"/>
      <c r="P40" s="712"/>
      <c r="Q40" s="712"/>
      <c r="R40" s="712"/>
      <c r="S40" s="712"/>
      <c r="T40" s="712"/>
      <c r="U40" s="712"/>
      <c r="V40" s="712"/>
      <c r="W40" s="463" t="str">
        <f ca="1">IFERROR(-(W39+W38),"")</f>
        <v/>
      </c>
      <c r="X40" s="463" t="str">
        <f t="shared" ref="X40:CI40" ca="1" si="64">IFERROR(-(X39+X38),"")</f>
        <v/>
      </c>
      <c r="Y40" s="463" t="str">
        <f t="shared" ca="1" si="64"/>
        <v/>
      </c>
      <c r="Z40" s="463" t="str">
        <f t="shared" ca="1" si="64"/>
        <v/>
      </c>
      <c r="AA40" s="463" t="str">
        <f t="shared" ca="1" si="64"/>
        <v/>
      </c>
      <c r="AB40" s="463" t="str">
        <f t="shared" ca="1" si="64"/>
        <v/>
      </c>
      <c r="AC40" s="463" t="str">
        <f t="shared" ca="1" si="64"/>
        <v/>
      </c>
      <c r="AD40" s="463" t="str">
        <f t="shared" ca="1" si="64"/>
        <v/>
      </c>
      <c r="AE40" s="463" t="str">
        <f t="shared" ca="1" si="64"/>
        <v/>
      </c>
      <c r="AF40" s="463" t="str">
        <f t="shared" ca="1" si="64"/>
        <v/>
      </c>
      <c r="AG40" s="463" t="str">
        <f t="shared" ca="1" si="64"/>
        <v/>
      </c>
      <c r="AH40" s="463" t="str">
        <f t="shared" ca="1" si="64"/>
        <v/>
      </c>
      <c r="AI40" s="463" t="str">
        <f t="shared" ca="1" si="64"/>
        <v/>
      </c>
      <c r="AJ40" s="463" t="str">
        <f t="shared" ca="1" si="64"/>
        <v/>
      </c>
      <c r="AK40" s="463" t="str">
        <f t="shared" ca="1" si="64"/>
        <v/>
      </c>
      <c r="AL40" s="463" t="str">
        <f t="shared" ca="1" si="64"/>
        <v/>
      </c>
      <c r="AM40" s="463" t="str">
        <f t="shared" ca="1" si="64"/>
        <v/>
      </c>
      <c r="AN40" s="463" t="str">
        <f t="shared" ca="1" si="64"/>
        <v/>
      </c>
      <c r="AO40" s="463" t="str">
        <f t="shared" ca="1" si="64"/>
        <v/>
      </c>
      <c r="AP40" s="463" t="str">
        <f t="shared" ca="1" si="64"/>
        <v/>
      </c>
      <c r="AQ40" s="463" t="str">
        <f t="shared" ca="1" si="64"/>
        <v/>
      </c>
      <c r="AR40" s="463" t="str">
        <f t="shared" ca="1" si="64"/>
        <v/>
      </c>
      <c r="AS40" s="463" t="str">
        <f t="shared" ca="1" si="64"/>
        <v/>
      </c>
      <c r="AT40" s="463" t="str">
        <f t="shared" ca="1" si="64"/>
        <v/>
      </c>
      <c r="AU40" s="463" t="str">
        <f t="shared" ca="1" si="64"/>
        <v/>
      </c>
      <c r="AV40" s="463" t="str">
        <f t="shared" ca="1" si="64"/>
        <v/>
      </c>
      <c r="AW40" s="463" t="str">
        <f t="shared" ca="1" si="64"/>
        <v/>
      </c>
      <c r="AX40" s="463" t="str">
        <f t="shared" ca="1" si="64"/>
        <v/>
      </c>
      <c r="AY40" s="463" t="str">
        <f t="shared" ca="1" si="64"/>
        <v/>
      </c>
      <c r="AZ40" s="463" t="str">
        <f t="shared" ca="1" si="64"/>
        <v/>
      </c>
      <c r="BA40" s="463" t="str">
        <f t="shared" ca="1" si="64"/>
        <v/>
      </c>
      <c r="BB40" s="463" t="str">
        <f t="shared" ca="1" si="64"/>
        <v/>
      </c>
      <c r="BC40" s="463" t="str">
        <f t="shared" ca="1" si="64"/>
        <v/>
      </c>
      <c r="BD40" s="463" t="str">
        <f t="shared" ca="1" si="64"/>
        <v/>
      </c>
      <c r="BE40" s="463" t="str">
        <f t="shared" ca="1" si="64"/>
        <v/>
      </c>
      <c r="BF40" s="463" t="str">
        <f t="shared" ca="1" si="64"/>
        <v/>
      </c>
      <c r="BG40" s="463" t="str">
        <f t="shared" ca="1" si="64"/>
        <v/>
      </c>
      <c r="BH40" s="463" t="str">
        <f t="shared" ca="1" si="64"/>
        <v/>
      </c>
      <c r="BI40" s="463" t="str">
        <f t="shared" ca="1" si="64"/>
        <v/>
      </c>
      <c r="BJ40" s="463" t="str">
        <f t="shared" ca="1" si="64"/>
        <v/>
      </c>
      <c r="BK40" s="463" t="str">
        <f t="shared" ca="1" si="64"/>
        <v/>
      </c>
      <c r="BL40" s="463" t="str">
        <f t="shared" ca="1" si="64"/>
        <v/>
      </c>
      <c r="BM40" s="463" t="str">
        <f t="shared" ca="1" si="64"/>
        <v/>
      </c>
      <c r="BN40" s="463" t="str">
        <f t="shared" ca="1" si="64"/>
        <v/>
      </c>
      <c r="BO40" s="463" t="str">
        <f t="shared" ca="1" si="64"/>
        <v/>
      </c>
      <c r="BP40" s="463" t="str">
        <f t="shared" ca="1" si="64"/>
        <v/>
      </c>
      <c r="BQ40" s="463" t="str">
        <f t="shared" ca="1" si="64"/>
        <v/>
      </c>
      <c r="BR40" s="463" t="str">
        <f t="shared" ca="1" si="64"/>
        <v/>
      </c>
      <c r="BS40" s="463" t="str">
        <f t="shared" ca="1" si="64"/>
        <v/>
      </c>
      <c r="BT40" s="463" t="str">
        <f t="shared" ca="1" si="64"/>
        <v/>
      </c>
      <c r="BU40" s="463" t="str">
        <f t="shared" ca="1" si="64"/>
        <v/>
      </c>
      <c r="BV40" s="463" t="str">
        <f t="shared" ca="1" si="64"/>
        <v/>
      </c>
      <c r="BW40" s="463" t="str">
        <f t="shared" ca="1" si="64"/>
        <v/>
      </c>
      <c r="BX40" s="463" t="str">
        <f t="shared" ca="1" si="64"/>
        <v/>
      </c>
      <c r="BY40" s="463" t="str">
        <f t="shared" ca="1" si="64"/>
        <v/>
      </c>
      <c r="BZ40" s="463" t="str">
        <f t="shared" ca="1" si="64"/>
        <v/>
      </c>
      <c r="CA40" s="463" t="str">
        <f t="shared" ca="1" si="64"/>
        <v/>
      </c>
      <c r="CB40" s="463" t="str">
        <f t="shared" ca="1" si="64"/>
        <v/>
      </c>
      <c r="CC40" s="463" t="str">
        <f t="shared" ca="1" si="64"/>
        <v/>
      </c>
      <c r="CD40" s="463" t="str">
        <f t="shared" ca="1" si="64"/>
        <v/>
      </c>
      <c r="CE40" s="463" t="str">
        <f t="shared" ca="1" si="64"/>
        <v/>
      </c>
      <c r="CF40" s="463" t="str">
        <f t="shared" ca="1" si="64"/>
        <v/>
      </c>
      <c r="CG40" s="463" t="str">
        <f t="shared" ca="1" si="64"/>
        <v/>
      </c>
      <c r="CH40" s="463" t="str">
        <f t="shared" ca="1" si="64"/>
        <v/>
      </c>
      <c r="CI40" s="463" t="str">
        <f t="shared" ca="1" si="64"/>
        <v/>
      </c>
      <c r="CJ40" s="463" t="str">
        <f t="shared" ref="CJ40:CS40" ca="1" si="65">IFERROR(-(CJ39+CJ38),"")</f>
        <v/>
      </c>
      <c r="CK40" s="463" t="str">
        <f t="shared" ca="1" si="65"/>
        <v/>
      </c>
      <c r="CL40" s="463" t="str">
        <f t="shared" ca="1" si="65"/>
        <v/>
      </c>
      <c r="CM40" s="463" t="str">
        <f t="shared" ca="1" si="65"/>
        <v/>
      </c>
      <c r="CN40" s="463" t="str">
        <f t="shared" ca="1" si="65"/>
        <v/>
      </c>
      <c r="CO40" s="463" t="str">
        <f t="shared" ca="1" si="65"/>
        <v/>
      </c>
      <c r="CP40" s="463" t="str">
        <f t="shared" ca="1" si="65"/>
        <v/>
      </c>
      <c r="CQ40" s="463" t="str">
        <f t="shared" ca="1" si="65"/>
        <v/>
      </c>
      <c r="CR40" s="463" t="str">
        <f t="shared" ca="1" si="65"/>
        <v/>
      </c>
      <c r="CS40" s="463" t="str">
        <f t="shared" ca="1" si="65"/>
        <v/>
      </c>
      <c r="CT40" s="463" t="str">
        <f t="shared" ref="CT40:DR40" ca="1" si="66">IFERROR(-(CT39+CT38),"")</f>
        <v/>
      </c>
      <c r="CU40" s="463" t="str">
        <f t="shared" ca="1" si="66"/>
        <v/>
      </c>
      <c r="CV40" s="463" t="str">
        <f t="shared" ca="1" si="66"/>
        <v/>
      </c>
      <c r="CW40" s="463" t="str">
        <f t="shared" ca="1" si="66"/>
        <v/>
      </c>
      <c r="CX40" s="463" t="str">
        <f t="shared" ca="1" si="66"/>
        <v/>
      </c>
      <c r="CY40" s="463" t="str">
        <f t="shared" ca="1" si="66"/>
        <v/>
      </c>
      <c r="CZ40" s="463" t="str">
        <f t="shared" ca="1" si="66"/>
        <v/>
      </c>
      <c r="DA40" s="463" t="str">
        <f t="shared" ca="1" si="66"/>
        <v/>
      </c>
      <c r="DB40" s="463" t="str">
        <f t="shared" ca="1" si="66"/>
        <v/>
      </c>
      <c r="DC40" s="463" t="str">
        <f t="shared" ca="1" si="66"/>
        <v/>
      </c>
      <c r="DD40" s="463" t="str">
        <f t="shared" ca="1" si="66"/>
        <v/>
      </c>
      <c r="DE40" s="463" t="str">
        <f t="shared" ca="1" si="66"/>
        <v/>
      </c>
      <c r="DF40" s="463" t="str">
        <f t="shared" ca="1" si="66"/>
        <v/>
      </c>
      <c r="DG40" s="463" t="str">
        <f t="shared" ca="1" si="66"/>
        <v/>
      </c>
      <c r="DH40" s="463" t="str">
        <f t="shared" ca="1" si="66"/>
        <v/>
      </c>
      <c r="DI40" s="463" t="str">
        <f t="shared" ca="1" si="66"/>
        <v/>
      </c>
      <c r="DJ40" s="463" t="str">
        <f t="shared" ca="1" si="66"/>
        <v/>
      </c>
      <c r="DK40" s="463" t="str">
        <f t="shared" ca="1" si="66"/>
        <v/>
      </c>
      <c r="DL40" s="463" t="str">
        <f t="shared" ca="1" si="66"/>
        <v/>
      </c>
      <c r="DM40" s="463" t="str">
        <f t="shared" ca="1" si="66"/>
        <v/>
      </c>
      <c r="DN40" s="463" t="str">
        <f t="shared" ca="1" si="66"/>
        <v/>
      </c>
      <c r="DO40" s="463" t="str">
        <f t="shared" ca="1" si="66"/>
        <v/>
      </c>
      <c r="DP40" s="463" t="str">
        <f t="shared" ca="1" si="66"/>
        <v/>
      </c>
      <c r="DQ40" s="463" t="str">
        <f t="shared" ca="1" si="66"/>
        <v/>
      </c>
      <c r="DR40" s="463" t="str">
        <f t="shared" ca="1" si="66"/>
        <v/>
      </c>
      <c r="DS40" s="801">
        <f ca="1">SUMPRODUCT(('1.5 Prognoser og indekser'!$R$12:OFFSET('1.5 Prognoser og indekser'!$R$12,0,$DS$9)),($M40:OFFSET($M40,0,$DS$9)))</f>
        <v>0</v>
      </c>
      <c r="DT40" s="802">
        <f ca="1">IF($DT$9&lt;1,0,SUMPRODUCT(OFFSET('1.5 Prognoser og indekser'!$R$12,0,$DS$9+1,1,$DT$9),OFFSET($M40,0,$DS$9+1,1,$DT$9)))</f>
        <v>0</v>
      </c>
    </row>
    <row r="41" spans="1:124" x14ac:dyDescent="0.35">
      <c r="C41" s="215" t="str">
        <f>'2.2 Operatører'!B65</f>
        <v>Fly</v>
      </c>
      <c r="D41" s="420"/>
      <c r="E41" s="420"/>
      <c r="F41" s="420"/>
      <c r="G41" s="420"/>
      <c r="H41" s="420"/>
      <c r="I41" s="420"/>
      <c r="J41" s="524"/>
      <c r="K41" s="524"/>
      <c r="L41" s="42"/>
      <c r="M41" s="420"/>
      <c r="N41" s="420"/>
      <c r="O41" s="420"/>
      <c r="P41" s="420"/>
      <c r="Q41" s="420"/>
      <c r="R41" s="420"/>
      <c r="S41" s="420"/>
      <c r="T41" s="420"/>
      <c r="U41" s="420"/>
      <c r="V41" s="420"/>
      <c r="W41" s="119"/>
      <c r="X41" s="119"/>
      <c r="Y41" s="119"/>
      <c r="Z41" s="119"/>
      <c r="AA41" s="119"/>
      <c r="AB41" s="119"/>
      <c r="AC41" s="119"/>
      <c r="AD41" s="119"/>
      <c r="AE41" s="119"/>
      <c r="AF41" s="119"/>
      <c r="AG41" s="119"/>
      <c r="AH41" s="119"/>
      <c r="AI41" s="119"/>
      <c r="AJ41" s="119"/>
      <c r="AK41" s="119"/>
      <c r="AL41" s="119"/>
      <c r="AM41" s="119"/>
      <c r="AN41" s="119"/>
      <c r="AO41" s="119"/>
      <c r="AP41" s="119"/>
      <c r="AQ41" s="119"/>
      <c r="AR41" s="119"/>
      <c r="AS41" s="119"/>
      <c r="AT41" s="119"/>
      <c r="AU41" s="119"/>
      <c r="AV41" s="119"/>
      <c r="AW41" s="119"/>
      <c r="AX41" s="119"/>
      <c r="AY41" s="119"/>
      <c r="AZ41" s="119"/>
      <c r="BA41" s="119"/>
      <c r="BB41" s="119"/>
      <c r="BC41" s="119"/>
      <c r="BD41" s="119"/>
      <c r="BE41" s="119"/>
      <c r="BF41" s="119"/>
      <c r="BG41" s="119"/>
      <c r="BH41" s="119"/>
      <c r="BI41" s="119"/>
      <c r="BJ41" s="119"/>
      <c r="BK41" s="119"/>
      <c r="BL41" s="119"/>
      <c r="BM41" s="119"/>
      <c r="BN41" s="119"/>
      <c r="BO41" s="119"/>
      <c r="BP41" s="119"/>
      <c r="BQ41" s="119"/>
      <c r="BR41" s="119"/>
      <c r="BS41" s="119"/>
      <c r="BT41" s="119"/>
      <c r="BU41" s="119"/>
      <c r="BV41" s="119"/>
      <c r="BW41" s="119"/>
      <c r="BX41" s="119"/>
      <c r="BY41" s="119"/>
      <c r="BZ41" s="119"/>
      <c r="CA41" s="119"/>
      <c r="CB41" s="119"/>
      <c r="CC41" s="119"/>
      <c r="CD41" s="119"/>
      <c r="CE41" s="119"/>
      <c r="CF41" s="119"/>
      <c r="CG41" s="119"/>
      <c r="CH41" s="119"/>
      <c r="CI41" s="119"/>
      <c r="CJ41" s="119"/>
      <c r="CK41" s="119"/>
      <c r="CL41" s="119"/>
      <c r="CM41" s="119"/>
      <c r="CN41" s="119"/>
      <c r="CO41" s="119"/>
      <c r="CP41" s="119"/>
      <c r="CQ41" s="119"/>
      <c r="CR41" s="119"/>
      <c r="CS41" s="119"/>
      <c r="CT41" s="119"/>
      <c r="CU41" s="119"/>
      <c r="CV41" s="119"/>
      <c r="CW41" s="119"/>
      <c r="CX41" s="119"/>
      <c r="CY41" s="119"/>
      <c r="CZ41" s="119"/>
      <c r="DA41" s="119"/>
      <c r="DB41" s="119"/>
      <c r="DC41" s="119"/>
      <c r="DD41" s="119"/>
      <c r="DE41" s="119"/>
      <c r="DF41" s="119"/>
      <c r="DG41" s="119"/>
      <c r="DH41" s="119"/>
      <c r="DI41" s="119"/>
      <c r="DJ41" s="119"/>
      <c r="DK41" s="119"/>
      <c r="DL41" s="119"/>
      <c r="DM41" s="119"/>
      <c r="DN41" s="119"/>
      <c r="DO41" s="119"/>
      <c r="DP41" s="119"/>
      <c r="DQ41" s="119"/>
      <c r="DR41" s="119"/>
      <c r="DS41" s="43"/>
      <c r="DT41" s="372"/>
    </row>
    <row r="42" spans="1:124" x14ac:dyDescent="0.35">
      <c r="C42" s="212" t="s">
        <v>1539</v>
      </c>
      <c r="D42" s="770">
        <f>-'2.2 Operatører'!K$72</f>
        <v>0</v>
      </c>
      <c r="E42" s="770">
        <f>-'2.2 Operatører'!L$72</f>
        <v>0</v>
      </c>
      <c r="F42" s="770">
        <f>-'2.2 Operatører'!M$72</f>
        <v>0</v>
      </c>
      <c r="G42" s="733"/>
      <c r="H42" s="733"/>
      <c r="I42" s="733"/>
      <c r="J42" s="790"/>
      <c r="K42" s="790"/>
      <c r="L42" s="752"/>
      <c r="M42" s="712"/>
      <c r="N42" s="712"/>
      <c r="O42" s="712"/>
      <c r="P42" s="712"/>
      <c r="Q42" s="712"/>
      <c r="R42" s="712"/>
      <c r="S42" s="712"/>
      <c r="T42" s="712"/>
      <c r="U42" s="712"/>
      <c r="V42" s="712"/>
      <c r="W42" s="463" t="str">
        <f ca="1">IFERROR(-W55,"")</f>
        <v/>
      </c>
      <c r="X42" s="463" t="str">
        <f t="shared" ref="X42:CI42" ca="1" si="67">IFERROR(-X55,"")</f>
        <v/>
      </c>
      <c r="Y42" s="463" t="str">
        <f t="shared" ca="1" si="67"/>
        <v/>
      </c>
      <c r="Z42" s="463" t="str">
        <f t="shared" ca="1" si="67"/>
        <v/>
      </c>
      <c r="AA42" s="463" t="str">
        <f t="shared" ca="1" si="67"/>
        <v/>
      </c>
      <c r="AB42" s="463" t="str">
        <f t="shared" ca="1" si="67"/>
        <v/>
      </c>
      <c r="AC42" s="463" t="str">
        <f t="shared" ca="1" si="67"/>
        <v/>
      </c>
      <c r="AD42" s="463" t="str">
        <f t="shared" ca="1" si="67"/>
        <v/>
      </c>
      <c r="AE42" s="463" t="str">
        <f t="shared" ca="1" si="67"/>
        <v/>
      </c>
      <c r="AF42" s="463" t="str">
        <f t="shared" ca="1" si="67"/>
        <v/>
      </c>
      <c r="AG42" s="463" t="str">
        <f t="shared" ca="1" si="67"/>
        <v/>
      </c>
      <c r="AH42" s="463" t="str">
        <f t="shared" ca="1" si="67"/>
        <v/>
      </c>
      <c r="AI42" s="463" t="str">
        <f t="shared" ca="1" si="67"/>
        <v/>
      </c>
      <c r="AJ42" s="463" t="str">
        <f t="shared" ca="1" si="67"/>
        <v/>
      </c>
      <c r="AK42" s="463" t="str">
        <f t="shared" ca="1" si="67"/>
        <v/>
      </c>
      <c r="AL42" s="463" t="str">
        <f t="shared" ca="1" si="67"/>
        <v/>
      </c>
      <c r="AM42" s="463" t="str">
        <f t="shared" ca="1" si="67"/>
        <v/>
      </c>
      <c r="AN42" s="463" t="str">
        <f t="shared" ca="1" si="67"/>
        <v/>
      </c>
      <c r="AO42" s="463" t="str">
        <f t="shared" ca="1" si="67"/>
        <v/>
      </c>
      <c r="AP42" s="463" t="str">
        <f t="shared" ca="1" si="67"/>
        <v/>
      </c>
      <c r="AQ42" s="463" t="str">
        <f t="shared" ca="1" si="67"/>
        <v/>
      </c>
      <c r="AR42" s="463" t="str">
        <f t="shared" ca="1" si="67"/>
        <v/>
      </c>
      <c r="AS42" s="463" t="str">
        <f t="shared" ca="1" si="67"/>
        <v/>
      </c>
      <c r="AT42" s="463" t="str">
        <f t="shared" ca="1" si="67"/>
        <v/>
      </c>
      <c r="AU42" s="463" t="str">
        <f t="shared" ca="1" si="67"/>
        <v/>
      </c>
      <c r="AV42" s="463" t="str">
        <f t="shared" ca="1" si="67"/>
        <v/>
      </c>
      <c r="AW42" s="463" t="str">
        <f t="shared" ca="1" si="67"/>
        <v/>
      </c>
      <c r="AX42" s="463" t="str">
        <f t="shared" ca="1" si="67"/>
        <v/>
      </c>
      <c r="AY42" s="463" t="str">
        <f t="shared" ca="1" si="67"/>
        <v/>
      </c>
      <c r="AZ42" s="463" t="str">
        <f t="shared" ca="1" si="67"/>
        <v/>
      </c>
      <c r="BA42" s="463" t="str">
        <f t="shared" ca="1" si="67"/>
        <v/>
      </c>
      <c r="BB42" s="463" t="str">
        <f t="shared" ca="1" si="67"/>
        <v/>
      </c>
      <c r="BC42" s="463" t="str">
        <f t="shared" ca="1" si="67"/>
        <v/>
      </c>
      <c r="BD42" s="463" t="str">
        <f t="shared" ca="1" si="67"/>
        <v/>
      </c>
      <c r="BE42" s="463" t="str">
        <f t="shared" ca="1" si="67"/>
        <v/>
      </c>
      <c r="BF42" s="463" t="str">
        <f t="shared" ca="1" si="67"/>
        <v/>
      </c>
      <c r="BG42" s="463" t="str">
        <f t="shared" ca="1" si="67"/>
        <v/>
      </c>
      <c r="BH42" s="463" t="str">
        <f t="shared" ca="1" si="67"/>
        <v/>
      </c>
      <c r="BI42" s="463" t="str">
        <f t="shared" ca="1" si="67"/>
        <v/>
      </c>
      <c r="BJ42" s="463" t="str">
        <f t="shared" ca="1" si="67"/>
        <v/>
      </c>
      <c r="BK42" s="463" t="str">
        <f t="shared" ca="1" si="67"/>
        <v/>
      </c>
      <c r="BL42" s="463" t="str">
        <f t="shared" ca="1" si="67"/>
        <v/>
      </c>
      <c r="BM42" s="463" t="str">
        <f t="shared" ca="1" si="67"/>
        <v/>
      </c>
      <c r="BN42" s="463" t="str">
        <f t="shared" ca="1" si="67"/>
        <v/>
      </c>
      <c r="BO42" s="463" t="str">
        <f t="shared" ca="1" si="67"/>
        <v/>
      </c>
      <c r="BP42" s="463" t="str">
        <f t="shared" ca="1" si="67"/>
        <v/>
      </c>
      <c r="BQ42" s="463" t="str">
        <f t="shared" ca="1" si="67"/>
        <v/>
      </c>
      <c r="BR42" s="463" t="str">
        <f t="shared" ca="1" si="67"/>
        <v/>
      </c>
      <c r="BS42" s="463" t="str">
        <f t="shared" ca="1" si="67"/>
        <v/>
      </c>
      <c r="BT42" s="463" t="str">
        <f t="shared" ca="1" si="67"/>
        <v/>
      </c>
      <c r="BU42" s="463" t="str">
        <f t="shared" ca="1" si="67"/>
        <v/>
      </c>
      <c r="BV42" s="463" t="str">
        <f t="shared" ca="1" si="67"/>
        <v/>
      </c>
      <c r="BW42" s="463" t="str">
        <f t="shared" ca="1" si="67"/>
        <v/>
      </c>
      <c r="BX42" s="463" t="str">
        <f t="shared" ca="1" si="67"/>
        <v/>
      </c>
      <c r="BY42" s="463" t="str">
        <f t="shared" ca="1" si="67"/>
        <v/>
      </c>
      <c r="BZ42" s="463" t="str">
        <f t="shared" ca="1" si="67"/>
        <v/>
      </c>
      <c r="CA42" s="463" t="str">
        <f t="shared" ca="1" si="67"/>
        <v/>
      </c>
      <c r="CB42" s="463" t="str">
        <f t="shared" ca="1" si="67"/>
        <v/>
      </c>
      <c r="CC42" s="463" t="str">
        <f t="shared" ca="1" si="67"/>
        <v/>
      </c>
      <c r="CD42" s="463" t="str">
        <f t="shared" ca="1" si="67"/>
        <v/>
      </c>
      <c r="CE42" s="463" t="str">
        <f t="shared" ca="1" si="67"/>
        <v/>
      </c>
      <c r="CF42" s="463" t="str">
        <f t="shared" ca="1" si="67"/>
        <v/>
      </c>
      <c r="CG42" s="463" t="str">
        <f t="shared" ca="1" si="67"/>
        <v/>
      </c>
      <c r="CH42" s="463" t="str">
        <f t="shared" ca="1" si="67"/>
        <v/>
      </c>
      <c r="CI42" s="463" t="str">
        <f t="shared" ca="1" si="67"/>
        <v/>
      </c>
      <c r="CJ42" s="463" t="str">
        <f t="shared" ref="CJ42:CS42" ca="1" si="68">IFERROR(-CJ55,"")</f>
        <v/>
      </c>
      <c r="CK42" s="463" t="str">
        <f t="shared" ca="1" si="68"/>
        <v/>
      </c>
      <c r="CL42" s="463" t="str">
        <f t="shared" ca="1" si="68"/>
        <v/>
      </c>
      <c r="CM42" s="463" t="str">
        <f t="shared" ca="1" si="68"/>
        <v/>
      </c>
      <c r="CN42" s="463" t="str">
        <f t="shared" ca="1" si="68"/>
        <v/>
      </c>
      <c r="CO42" s="463" t="str">
        <f t="shared" ca="1" si="68"/>
        <v/>
      </c>
      <c r="CP42" s="463" t="str">
        <f t="shared" ca="1" si="68"/>
        <v/>
      </c>
      <c r="CQ42" s="463" t="str">
        <f t="shared" ca="1" si="68"/>
        <v/>
      </c>
      <c r="CR42" s="463" t="str">
        <f t="shared" ca="1" si="68"/>
        <v/>
      </c>
      <c r="CS42" s="463" t="str">
        <f t="shared" ca="1" si="68"/>
        <v/>
      </c>
      <c r="CT42" s="463" t="str">
        <f t="shared" ref="CT42:DR42" ca="1" si="69">IFERROR(-CT55,"")</f>
        <v/>
      </c>
      <c r="CU42" s="463" t="str">
        <f t="shared" ca="1" si="69"/>
        <v/>
      </c>
      <c r="CV42" s="463" t="str">
        <f t="shared" ca="1" si="69"/>
        <v/>
      </c>
      <c r="CW42" s="463" t="str">
        <f t="shared" ca="1" si="69"/>
        <v/>
      </c>
      <c r="CX42" s="463" t="str">
        <f t="shared" ca="1" si="69"/>
        <v/>
      </c>
      <c r="CY42" s="463" t="str">
        <f t="shared" ca="1" si="69"/>
        <v/>
      </c>
      <c r="CZ42" s="463" t="str">
        <f t="shared" ca="1" si="69"/>
        <v/>
      </c>
      <c r="DA42" s="463" t="str">
        <f t="shared" ca="1" si="69"/>
        <v/>
      </c>
      <c r="DB42" s="463" t="str">
        <f t="shared" ca="1" si="69"/>
        <v/>
      </c>
      <c r="DC42" s="463" t="str">
        <f t="shared" ca="1" si="69"/>
        <v/>
      </c>
      <c r="DD42" s="463" t="str">
        <f t="shared" ca="1" si="69"/>
        <v/>
      </c>
      <c r="DE42" s="463" t="str">
        <f t="shared" ca="1" si="69"/>
        <v/>
      </c>
      <c r="DF42" s="463" t="str">
        <f t="shared" ca="1" si="69"/>
        <v/>
      </c>
      <c r="DG42" s="463" t="str">
        <f t="shared" ca="1" si="69"/>
        <v/>
      </c>
      <c r="DH42" s="463" t="str">
        <f t="shared" ca="1" si="69"/>
        <v/>
      </c>
      <c r="DI42" s="463" t="str">
        <f t="shared" ca="1" si="69"/>
        <v/>
      </c>
      <c r="DJ42" s="463" t="str">
        <f t="shared" ca="1" si="69"/>
        <v/>
      </c>
      <c r="DK42" s="463" t="str">
        <f t="shared" ca="1" si="69"/>
        <v/>
      </c>
      <c r="DL42" s="463" t="str">
        <f t="shared" ca="1" si="69"/>
        <v/>
      </c>
      <c r="DM42" s="463" t="str">
        <f t="shared" ca="1" si="69"/>
        <v/>
      </c>
      <c r="DN42" s="463" t="str">
        <f t="shared" ca="1" si="69"/>
        <v/>
      </c>
      <c r="DO42" s="463" t="str">
        <f t="shared" ca="1" si="69"/>
        <v/>
      </c>
      <c r="DP42" s="463" t="str">
        <f t="shared" ca="1" si="69"/>
        <v/>
      </c>
      <c r="DQ42" s="463" t="str">
        <f t="shared" ca="1" si="69"/>
        <v/>
      </c>
      <c r="DR42" s="463" t="str">
        <f t="shared" ca="1" si="69"/>
        <v/>
      </c>
      <c r="DS42" s="801">
        <f ca="1">SUMPRODUCT(('1.5 Prognoser og indekser'!$R$12:OFFSET('1.5 Prognoser og indekser'!$R$12,0,$DS$9)),($M42:OFFSET($M42,0,$DS$9)))</f>
        <v>0</v>
      </c>
      <c r="DT42" s="802">
        <f ca="1">IF($DT$9&lt;1,0,SUMPRODUCT(OFFSET('1.5 Prognoser og indekser'!$R$12,0,$DS$9+1,1,$DT$9),OFFSET($M42,0,$DS$9+1,1,$DT$9)))</f>
        <v>0</v>
      </c>
    </row>
    <row r="43" spans="1:124" ht="21" x14ac:dyDescent="0.5">
      <c r="A43" s="535"/>
      <c r="C43" s="370" t="str">
        <f>'2.3 Det Offentlige'!B9</f>
        <v>Det offentlige</v>
      </c>
      <c r="D43" s="1260" t="str">
        <f>D10</f>
        <v>Resultater før prisjustering</v>
      </c>
      <c r="E43" s="1260"/>
      <c r="F43" s="1260"/>
      <c r="G43" s="1260" t="str">
        <f>G10</f>
        <v>Resultater volum</v>
      </c>
      <c r="H43" s="1260"/>
      <c r="I43" s="1260"/>
      <c r="J43" s="1260" t="str">
        <f>J10</f>
        <v>Relativ årsvekst</v>
      </c>
      <c r="K43" s="1260"/>
      <c r="L43" s="559" t="str">
        <f>L10</f>
        <v xml:space="preserve">Lineær vekst </v>
      </c>
      <c r="M43" s="24" cm="1">
        <f t="array" ref="M43:DR43">SerieÅR</f>
        <v>-10</v>
      </c>
      <c r="N43" s="24">
        <v>-9</v>
      </c>
      <c r="O43" s="24">
        <v>-8</v>
      </c>
      <c r="P43" s="24">
        <v>-7</v>
      </c>
      <c r="Q43" s="24">
        <v>-6</v>
      </c>
      <c r="R43" s="24">
        <v>-5</v>
      </c>
      <c r="S43" s="24">
        <v>-4</v>
      </c>
      <c r="T43" s="24">
        <v>-3</v>
      </c>
      <c r="U43" s="24">
        <v>-2</v>
      </c>
      <c r="V43" s="24">
        <v>-1</v>
      </c>
      <c r="W43" s="24">
        <v>0</v>
      </c>
      <c r="X43" s="24">
        <v>1</v>
      </c>
      <c r="Y43" s="24">
        <v>2</v>
      </c>
      <c r="Z43" s="24">
        <v>3</v>
      </c>
      <c r="AA43" s="24">
        <v>4</v>
      </c>
      <c r="AB43" s="24">
        <v>5</v>
      </c>
      <c r="AC43" s="24">
        <v>6</v>
      </c>
      <c r="AD43" s="24">
        <v>7</v>
      </c>
      <c r="AE43" s="24">
        <v>8</v>
      </c>
      <c r="AF43" s="24">
        <v>9</v>
      </c>
      <c r="AG43" s="24">
        <v>10</v>
      </c>
      <c r="AH43" s="24">
        <v>11</v>
      </c>
      <c r="AI43" s="24">
        <v>12</v>
      </c>
      <c r="AJ43" s="24">
        <v>13</v>
      </c>
      <c r="AK43" s="24">
        <v>14</v>
      </c>
      <c r="AL43" s="24">
        <v>15</v>
      </c>
      <c r="AM43" s="24">
        <v>16</v>
      </c>
      <c r="AN43" s="24">
        <v>17</v>
      </c>
      <c r="AO43" s="24">
        <v>18</v>
      </c>
      <c r="AP43" s="24">
        <v>19</v>
      </c>
      <c r="AQ43" s="24">
        <v>20</v>
      </c>
      <c r="AR43" s="24">
        <v>21</v>
      </c>
      <c r="AS43" s="24">
        <v>22</v>
      </c>
      <c r="AT43" s="24">
        <v>23</v>
      </c>
      <c r="AU43" s="24">
        <v>24</v>
      </c>
      <c r="AV43" s="24">
        <v>25</v>
      </c>
      <c r="AW43" s="24">
        <v>26</v>
      </c>
      <c r="AX43" s="24">
        <v>27</v>
      </c>
      <c r="AY43" s="24">
        <v>28</v>
      </c>
      <c r="AZ43" s="24">
        <v>29</v>
      </c>
      <c r="BA43" s="24">
        <v>30</v>
      </c>
      <c r="BB43" s="24">
        <v>31</v>
      </c>
      <c r="BC43" s="24">
        <v>32</v>
      </c>
      <c r="BD43" s="24">
        <v>33</v>
      </c>
      <c r="BE43" s="24">
        <v>34</v>
      </c>
      <c r="BF43" s="24">
        <v>35</v>
      </c>
      <c r="BG43" s="24">
        <v>36</v>
      </c>
      <c r="BH43" s="24">
        <v>37</v>
      </c>
      <c r="BI43" s="24">
        <v>38</v>
      </c>
      <c r="BJ43" s="24">
        <v>39</v>
      </c>
      <c r="BK43" s="24">
        <v>40</v>
      </c>
      <c r="BL43" s="24">
        <v>41</v>
      </c>
      <c r="BM43" s="24">
        <v>42</v>
      </c>
      <c r="BN43" s="24">
        <v>43</v>
      </c>
      <c r="BO43" s="24">
        <v>44</v>
      </c>
      <c r="BP43" s="24">
        <v>45</v>
      </c>
      <c r="BQ43" s="24">
        <v>46</v>
      </c>
      <c r="BR43" s="24">
        <v>47</v>
      </c>
      <c r="BS43" s="24">
        <v>48</v>
      </c>
      <c r="BT43" s="24">
        <v>49</v>
      </c>
      <c r="BU43" s="24">
        <v>50</v>
      </c>
      <c r="BV43" s="24">
        <v>51</v>
      </c>
      <c r="BW43" s="24">
        <v>52</v>
      </c>
      <c r="BX43" s="24">
        <v>53</v>
      </c>
      <c r="BY43" s="24">
        <v>54</v>
      </c>
      <c r="BZ43" s="24">
        <v>55</v>
      </c>
      <c r="CA43" s="24">
        <v>56</v>
      </c>
      <c r="CB43" s="24">
        <v>57</v>
      </c>
      <c r="CC43" s="24">
        <v>58</v>
      </c>
      <c r="CD43" s="24">
        <v>59</v>
      </c>
      <c r="CE43" s="24">
        <v>60</v>
      </c>
      <c r="CF43" s="24">
        <v>61</v>
      </c>
      <c r="CG43" s="24">
        <v>62</v>
      </c>
      <c r="CH43" s="24">
        <v>63</v>
      </c>
      <c r="CI43" s="24">
        <v>64</v>
      </c>
      <c r="CJ43" s="24">
        <v>65</v>
      </c>
      <c r="CK43" s="24">
        <v>66</v>
      </c>
      <c r="CL43" s="24">
        <v>67</v>
      </c>
      <c r="CM43" s="24">
        <v>68</v>
      </c>
      <c r="CN43" s="24">
        <v>69</v>
      </c>
      <c r="CO43" s="24">
        <v>70</v>
      </c>
      <c r="CP43" s="24">
        <v>71</v>
      </c>
      <c r="CQ43" s="24">
        <v>72</v>
      </c>
      <c r="CR43" s="24">
        <v>73</v>
      </c>
      <c r="CS43" s="24">
        <v>74</v>
      </c>
      <c r="CT43" s="24">
        <v>75</v>
      </c>
      <c r="CU43" s="24">
        <v>76</v>
      </c>
      <c r="CV43" s="24">
        <v>77</v>
      </c>
      <c r="CW43" s="24">
        <v>78</v>
      </c>
      <c r="CX43" s="24">
        <v>79</v>
      </c>
      <c r="CY43" s="24">
        <v>80</v>
      </c>
      <c r="CZ43" s="24">
        <v>81</v>
      </c>
      <c r="DA43" s="24">
        <v>82</v>
      </c>
      <c r="DB43" s="24">
        <v>83</v>
      </c>
      <c r="DC43" s="24">
        <v>84</v>
      </c>
      <c r="DD43" s="24">
        <v>85</v>
      </c>
      <c r="DE43" s="24">
        <v>86</v>
      </c>
      <c r="DF43" s="24">
        <v>87</v>
      </c>
      <c r="DG43" s="24">
        <v>88</v>
      </c>
      <c r="DH43" s="24">
        <v>89</v>
      </c>
      <c r="DI43" s="24">
        <v>90</v>
      </c>
      <c r="DJ43" s="24">
        <v>91</v>
      </c>
      <c r="DK43" s="24">
        <v>92</v>
      </c>
      <c r="DL43" s="24">
        <v>93</v>
      </c>
      <c r="DM43" s="24">
        <v>94</v>
      </c>
      <c r="DN43" s="24">
        <v>95</v>
      </c>
      <c r="DO43" s="24">
        <v>96</v>
      </c>
      <c r="DP43" s="24">
        <v>97</v>
      </c>
      <c r="DQ43" s="24">
        <v>98</v>
      </c>
      <c r="DR43" s="24">
        <v>99</v>
      </c>
      <c r="DS43" s="24" t="s">
        <v>1587</v>
      </c>
      <c r="DT43" s="371" t="s">
        <v>1588</v>
      </c>
    </row>
    <row r="44" spans="1:124" x14ac:dyDescent="0.35">
      <c r="C44" s="215" t="str">
        <f>'2.3 Det Offentlige'!B10</f>
        <v>Avgifter (ekskl. CO2-avgift)</v>
      </c>
      <c r="D44" s="418">
        <f>D11</f>
        <v>0</v>
      </c>
      <c r="E44" s="418">
        <f>E11</f>
        <v>0</v>
      </c>
      <c r="F44" s="418">
        <f>F11</f>
        <v>0</v>
      </c>
      <c r="G44" s="418">
        <f>G11</f>
        <v>0</v>
      </c>
      <c r="H44" s="418">
        <f>H11</f>
        <v>0</v>
      </c>
      <c r="I44" s="418">
        <f>I11</f>
        <v>0</v>
      </c>
      <c r="J44" s="418" t="str">
        <f>J11</f>
        <v xml:space="preserve"> - </v>
      </c>
      <c r="K44" s="418" t="str">
        <f>K11</f>
        <v xml:space="preserve"> - </v>
      </c>
      <c r="L44" s="560" t="str">
        <f>L11</f>
        <v xml:space="preserve"> -&gt;-1</v>
      </c>
      <c r="M44" s="8"/>
      <c r="N44" s="8"/>
      <c r="O44" s="8"/>
      <c r="P44" s="8"/>
      <c r="Q44" s="8"/>
      <c r="R44" s="8"/>
      <c r="S44" s="8"/>
      <c r="T44" s="8"/>
      <c r="U44" s="8"/>
      <c r="V44" s="8"/>
      <c r="W44" s="8"/>
      <c r="X44" s="8"/>
      <c r="Y44" s="8"/>
      <c r="Z44" s="8"/>
      <c r="AA44" s="8"/>
      <c r="AB44" s="8"/>
      <c r="AC44" s="8"/>
      <c r="AD44" s="8"/>
      <c r="AE44" s="8"/>
      <c r="AF44" s="8"/>
      <c r="AG44" s="8"/>
      <c r="AH44" s="8"/>
      <c r="AI44" s="8"/>
      <c r="AJ44" s="8"/>
      <c r="AK44" s="8"/>
      <c r="AL44" s="8"/>
      <c r="AM44" s="8"/>
      <c r="AN44" s="8"/>
      <c r="AO44" s="8"/>
      <c r="AP44" s="8"/>
      <c r="AQ44" s="8"/>
      <c r="AR44" s="8"/>
      <c r="AS44" s="8"/>
      <c r="AT44" s="8"/>
      <c r="AU44" s="8"/>
      <c r="AV44" s="8"/>
      <c r="AW44" s="8"/>
      <c r="AX44" s="8"/>
      <c r="AY44" s="8"/>
      <c r="AZ44" s="8"/>
      <c r="BA44" s="8"/>
      <c r="BB44" s="8"/>
      <c r="BC44" s="8"/>
      <c r="BD44" s="8"/>
      <c r="BE44" s="8"/>
      <c r="BF44" s="8"/>
      <c r="BG44" s="8"/>
      <c r="BH44" s="8"/>
      <c r="BI44" s="8"/>
      <c r="BJ44" s="8"/>
      <c r="BK44" s="8"/>
      <c r="BL44" s="8"/>
      <c r="BM44" s="8"/>
      <c r="BN44" s="8"/>
      <c r="BO44" s="8"/>
      <c r="BP44" s="8"/>
      <c r="BQ44" s="8"/>
      <c r="BR44" s="8"/>
      <c r="BS44" s="8"/>
      <c r="BT44" s="8"/>
      <c r="BU44" s="8"/>
      <c r="BV44" s="8"/>
      <c r="BW44" s="8"/>
      <c r="BX44" s="8"/>
      <c r="BY44" s="8"/>
      <c r="BZ44" s="8"/>
      <c r="CA44" s="8"/>
      <c r="CB44" s="8"/>
      <c r="CC44" s="8"/>
      <c r="CD44" s="8"/>
      <c r="CE44" s="8"/>
      <c r="CF44" s="8"/>
      <c r="CG44" s="8"/>
      <c r="CH44" s="8"/>
      <c r="CI44" s="8"/>
      <c r="CJ44" s="8"/>
      <c r="CK44" s="8"/>
      <c r="CL44" s="8"/>
      <c r="CM44" s="8"/>
      <c r="CN44" s="8"/>
      <c r="CO44" s="8"/>
      <c r="CP44" s="8"/>
      <c r="CQ44" s="8"/>
      <c r="CR44" s="8"/>
      <c r="CS44" s="8"/>
      <c r="CT44" s="8"/>
      <c r="CU44" s="8"/>
      <c r="CV44" s="8"/>
      <c r="CW44" s="8"/>
      <c r="CX44" s="8"/>
      <c r="CY44" s="8"/>
      <c r="CZ44" s="8"/>
      <c r="DA44" s="8"/>
      <c r="DB44" s="8"/>
      <c r="DC44" s="8"/>
      <c r="DD44" s="8"/>
      <c r="DE44" s="8"/>
      <c r="DF44" s="8"/>
      <c r="DG44" s="8"/>
      <c r="DH44" s="8"/>
      <c r="DI44" s="8"/>
      <c r="DJ44" s="8"/>
      <c r="DK44" s="8"/>
      <c r="DL44" s="8"/>
      <c r="DM44" s="8"/>
      <c r="DN44" s="8"/>
      <c r="DO44" s="8"/>
      <c r="DP44" s="8"/>
      <c r="DQ44" s="8"/>
      <c r="DR44" s="8"/>
      <c r="DS44" s="8"/>
      <c r="DT44" s="259"/>
    </row>
    <row r="45" spans="1:124" x14ac:dyDescent="0.35">
      <c r="C45" s="218" t="str">
        <f>'2.3 Det Offentlige'!B11</f>
        <v>Jernbane</v>
      </c>
      <c r="D45" s="463">
        <f>SUM('2.3 Det Offentlige'!C12:C15)</f>
        <v>0</v>
      </c>
      <c r="E45" s="463">
        <f>SUM('2.3 Det Offentlige'!D12:D15)</f>
        <v>0</v>
      </c>
      <c r="F45" s="463">
        <f>SUM('2.3 Det Offentlige'!E12:E15)</f>
        <v>0</v>
      </c>
      <c r="G45" s="463"/>
      <c r="H45" s="463"/>
      <c r="I45" s="463"/>
      <c r="J45" s="790">
        <f>IF(Antall_Beregningsår&lt;2,1,IF(AND(D45=0,E45=0),1,IF(SIGN(D45)=SIGN(E45),(E45/D45)^(1/(AndreBeregningsår-FørsteBeregningsår)),((E45+1.1*ABS(D45-E45))/(D45+1.1*ABS(D45-E45)))^(1/(AndreBeregningsår-FørsteBeregningsår)))))</f>
        <v>1</v>
      </c>
      <c r="K45" s="790">
        <f>IF(Antall_Beregningsår&lt;3,1,IF(AND(E45=0,F45=0),1,IF(SIGN(E45)=SIGN(F45),(F45/E45)^(1/(TredjeBeregningsår-AndreBeregningsår)),((F45+1.1*ABS(E45-F45))/(E45+1.1*ABS(E45-F45)))^(1/(TredjeBeregningsår-AndreBeregningsår)))))</f>
        <v>1</v>
      </c>
      <c r="L45" s="752">
        <f>IF(Framskrivning="Lineær trend",IF(Antall_Beregningsår&gt;2,(F45-E45)/(TredjeBeregningsår-AndreBeregningsår),IF(Antall_Beregningsår&gt;1,(E45-D45)/(AndreBeregningsår-FørsteBeregningsår),0)),0)</f>
        <v>0</v>
      </c>
      <c r="M45" s="712"/>
      <c r="N45" s="712"/>
      <c r="O45" s="712"/>
      <c r="P45" s="712"/>
      <c r="Q45" s="712"/>
      <c r="R45" s="712"/>
      <c r="S45" s="712"/>
      <c r="T45" s="712"/>
      <c r="U45" s="712"/>
      <c r="V45" s="712"/>
      <c r="W45" s="463" t="str">
        <f t="shared" ref="W45:BB45" ca="1" si="70">IF(W$10&lt;=(Åpningsår+ProsjektetsLevetid-1),IF(W43&lt;=AndreBeregningsår,IF(SIGN($D45)=SIGN($E45),$D45*$J45^(W43-FørsteBeregningsår),($D45+1.1*ABS($D45-$E45))*$J45^(W43-FørsteBeregningsår)-1.1*ABS($D45-$E45)),IF(W43&lt;=TredjeBeregningsår,IF(SIGN($E45)=SIGN($F45),$E45*$K45^(W43-AndreBeregningsår),($E45+1.1*ABS($E45-$F45))*$K45^(W43-AndreBeregningsår)-1.1*ABS($E45-$F45)),OFFSET($D45,0,Antall_Beregningsår-1)*LOOKUP(W43,SerieÅR,SerieVolumvekstperson)+$L45*(W43-IF(Antall_Beregningsår&gt;2,TredjeBeregningsår,AndreBeregningsår))))*KPIJustering,"")</f>
        <v/>
      </c>
      <c r="X45" s="463" t="str">
        <f t="shared" ca="1" si="70"/>
        <v/>
      </c>
      <c r="Y45" s="463" t="str">
        <f t="shared" ca="1" si="70"/>
        <v/>
      </c>
      <c r="Z45" s="463" t="str">
        <f t="shared" ca="1" si="70"/>
        <v/>
      </c>
      <c r="AA45" s="463" t="str">
        <f t="shared" ca="1" si="70"/>
        <v/>
      </c>
      <c r="AB45" s="463" t="str">
        <f t="shared" ca="1" si="70"/>
        <v/>
      </c>
      <c r="AC45" s="463" t="str">
        <f t="shared" ca="1" si="70"/>
        <v/>
      </c>
      <c r="AD45" s="463" t="str">
        <f t="shared" ca="1" si="70"/>
        <v/>
      </c>
      <c r="AE45" s="463" t="str">
        <f t="shared" ca="1" si="70"/>
        <v/>
      </c>
      <c r="AF45" s="463" t="str">
        <f t="shared" ca="1" si="70"/>
        <v/>
      </c>
      <c r="AG45" s="463" t="str">
        <f t="shared" ca="1" si="70"/>
        <v/>
      </c>
      <c r="AH45" s="463" t="str">
        <f t="shared" ca="1" si="70"/>
        <v/>
      </c>
      <c r="AI45" s="463" t="str">
        <f t="shared" ca="1" si="70"/>
        <v/>
      </c>
      <c r="AJ45" s="463" t="str">
        <f t="shared" ca="1" si="70"/>
        <v/>
      </c>
      <c r="AK45" s="463" t="str">
        <f t="shared" ca="1" si="70"/>
        <v/>
      </c>
      <c r="AL45" s="463" t="str">
        <f t="shared" ca="1" si="70"/>
        <v/>
      </c>
      <c r="AM45" s="463" t="str">
        <f t="shared" ca="1" si="70"/>
        <v/>
      </c>
      <c r="AN45" s="463" t="str">
        <f t="shared" ca="1" si="70"/>
        <v/>
      </c>
      <c r="AO45" s="463" t="str">
        <f t="shared" ca="1" si="70"/>
        <v/>
      </c>
      <c r="AP45" s="463" t="str">
        <f t="shared" ca="1" si="70"/>
        <v/>
      </c>
      <c r="AQ45" s="463" t="str">
        <f t="shared" ca="1" si="70"/>
        <v/>
      </c>
      <c r="AR45" s="463" t="str">
        <f t="shared" ca="1" si="70"/>
        <v/>
      </c>
      <c r="AS45" s="463" t="str">
        <f t="shared" ca="1" si="70"/>
        <v/>
      </c>
      <c r="AT45" s="463" t="str">
        <f t="shared" ca="1" si="70"/>
        <v/>
      </c>
      <c r="AU45" s="463" t="str">
        <f t="shared" ca="1" si="70"/>
        <v/>
      </c>
      <c r="AV45" s="463" t="str">
        <f t="shared" ca="1" si="70"/>
        <v/>
      </c>
      <c r="AW45" s="463" t="str">
        <f t="shared" ca="1" si="70"/>
        <v/>
      </c>
      <c r="AX45" s="463" t="str">
        <f t="shared" ca="1" si="70"/>
        <v/>
      </c>
      <c r="AY45" s="463" t="str">
        <f t="shared" ca="1" si="70"/>
        <v/>
      </c>
      <c r="AZ45" s="463" t="str">
        <f t="shared" ca="1" si="70"/>
        <v/>
      </c>
      <c r="BA45" s="463" t="str">
        <f t="shared" ca="1" si="70"/>
        <v/>
      </c>
      <c r="BB45" s="463" t="str">
        <f t="shared" ca="1" si="70"/>
        <v/>
      </c>
      <c r="BC45" s="463" t="str">
        <f t="shared" ref="BC45:CH45" ca="1" si="71">IF(BC$10&lt;=(Åpningsår+ProsjektetsLevetid-1),IF(BC43&lt;=AndreBeregningsår,IF(SIGN($D45)=SIGN($E45),$D45*$J45^(BC43-FørsteBeregningsår),($D45+1.1*ABS($D45-$E45))*$J45^(BC43-FørsteBeregningsår)-1.1*ABS($D45-$E45)),IF(BC43&lt;=TredjeBeregningsår,IF(SIGN($E45)=SIGN($F45),$E45*$K45^(BC43-AndreBeregningsår),($E45+1.1*ABS($E45-$F45))*$K45^(BC43-AndreBeregningsår)-1.1*ABS($E45-$F45)),OFFSET($D45,0,Antall_Beregningsår-1)*LOOKUP(BC43,SerieÅR,SerieVolumvekstperson)+$L45*(BC43-IF(Antall_Beregningsår&gt;2,TredjeBeregningsår,AndreBeregningsår))))*KPIJustering,"")</f>
        <v/>
      </c>
      <c r="BD45" s="463" t="str">
        <f t="shared" ca="1" si="71"/>
        <v/>
      </c>
      <c r="BE45" s="463" t="str">
        <f t="shared" ca="1" si="71"/>
        <v/>
      </c>
      <c r="BF45" s="463" t="str">
        <f t="shared" ca="1" si="71"/>
        <v/>
      </c>
      <c r="BG45" s="463" t="str">
        <f t="shared" ca="1" si="71"/>
        <v/>
      </c>
      <c r="BH45" s="463" t="str">
        <f t="shared" ca="1" si="71"/>
        <v/>
      </c>
      <c r="BI45" s="463" t="str">
        <f t="shared" ca="1" si="71"/>
        <v/>
      </c>
      <c r="BJ45" s="463" t="str">
        <f t="shared" ca="1" si="71"/>
        <v/>
      </c>
      <c r="BK45" s="463" t="str">
        <f t="shared" ca="1" si="71"/>
        <v/>
      </c>
      <c r="BL45" s="463" t="str">
        <f t="shared" ca="1" si="71"/>
        <v/>
      </c>
      <c r="BM45" s="463" t="str">
        <f t="shared" ca="1" si="71"/>
        <v/>
      </c>
      <c r="BN45" s="463" t="str">
        <f t="shared" ca="1" si="71"/>
        <v/>
      </c>
      <c r="BO45" s="463" t="str">
        <f t="shared" ca="1" si="71"/>
        <v/>
      </c>
      <c r="BP45" s="463" t="str">
        <f t="shared" ca="1" si="71"/>
        <v/>
      </c>
      <c r="BQ45" s="463" t="str">
        <f t="shared" ca="1" si="71"/>
        <v/>
      </c>
      <c r="BR45" s="463" t="str">
        <f t="shared" ca="1" si="71"/>
        <v/>
      </c>
      <c r="BS45" s="463" t="str">
        <f t="shared" ca="1" si="71"/>
        <v/>
      </c>
      <c r="BT45" s="463" t="str">
        <f t="shared" ca="1" si="71"/>
        <v/>
      </c>
      <c r="BU45" s="463" t="str">
        <f t="shared" ca="1" si="71"/>
        <v/>
      </c>
      <c r="BV45" s="463" t="str">
        <f t="shared" ca="1" si="71"/>
        <v/>
      </c>
      <c r="BW45" s="463" t="str">
        <f t="shared" ca="1" si="71"/>
        <v/>
      </c>
      <c r="BX45" s="463" t="str">
        <f t="shared" ca="1" si="71"/>
        <v/>
      </c>
      <c r="BY45" s="463" t="str">
        <f t="shared" ca="1" si="71"/>
        <v/>
      </c>
      <c r="BZ45" s="463" t="str">
        <f t="shared" ca="1" si="71"/>
        <v/>
      </c>
      <c r="CA45" s="463" t="str">
        <f t="shared" ca="1" si="71"/>
        <v/>
      </c>
      <c r="CB45" s="463" t="str">
        <f t="shared" ca="1" si="71"/>
        <v/>
      </c>
      <c r="CC45" s="463" t="str">
        <f t="shared" ca="1" si="71"/>
        <v/>
      </c>
      <c r="CD45" s="463" t="str">
        <f t="shared" ca="1" si="71"/>
        <v/>
      </c>
      <c r="CE45" s="463" t="str">
        <f t="shared" ca="1" si="71"/>
        <v/>
      </c>
      <c r="CF45" s="463" t="str">
        <f t="shared" ca="1" si="71"/>
        <v/>
      </c>
      <c r="CG45" s="463" t="str">
        <f t="shared" ca="1" si="71"/>
        <v/>
      </c>
      <c r="CH45" s="463" t="str">
        <f t="shared" ca="1" si="71"/>
        <v/>
      </c>
      <c r="CI45" s="463" t="str">
        <f t="shared" ref="CI45:DR45" ca="1" si="72">IF(CI$10&lt;=(Åpningsår+ProsjektetsLevetid-1),IF(CI43&lt;=AndreBeregningsår,IF(SIGN($D45)=SIGN($E45),$D45*$J45^(CI43-FørsteBeregningsår),($D45+1.1*ABS($D45-$E45))*$J45^(CI43-FørsteBeregningsår)-1.1*ABS($D45-$E45)),IF(CI43&lt;=TredjeBeregningsår,IF(SIGN($E45)=SIGN($F45),$E45*$K45^(CI43-AndreBeregningsår),($E45+1.1*ABS($E45-$F45))*$K45^(CI43-AndreBeregningsår)-1.1*ABS($E45-$F45)),OFFSET($D45,0,Antall_Beregningsår-1)*LOOKUP(CI43,SerieÅR,SerieVolumvekstperson)+$L45*(CI43-IF(Antall_Beregningsår&gt;2,TredjeBeregningsår,AndreBeregningsår))))*KPIJustering,"")</f>
        <v/>
      </c>
      <c r="CJ45" s="463" t="str">
        <f t="shared" ca="1" si="72"/>
        <v/>
      </c>
      <c r="CK45" s="463" t="str">
        <f t="shared" ca="1" si="72"/>
        <v/>
      </c>
      <c r="CL45" s="463" t="str">
        <f t="shared" ca="1" si="72"/>
        <v/>
      </c>
      <c r="CM45" s="463" t="str">
        <f t="shared" ca="1" si="72"/>
        <v/>
      </c>
      <c r="CN45" s="463" t="str">
        <f t="shared" ca="1" si="72"/>
        <v/>
      </c>
      <c r="CO45" s="463" t="str">
        <f t="shared" ca="1" si="72"/>
        <v/>
      </c>
      <c r="CP45" s="463" t="str">
        <f t="shared" ca="1" si="72"/>
        <v/>
      </c>
      <c r="CQ45" s="463" t="str">
        <f t="shared" ca="1" si="72"/>
        <v/>
      </c>
      <c r="CR45" s="463" t="str">
        <f t="shared" ca="1" si="72"/>
        <v/>
      </c>
      <c r="CS45" s="463" t="str">
        <f t="shared" ca="1" si="72"/>
        <v/>
      </c>
      <c r="CT45" s="463" t="str">
        <f t="shared" ca="1" si="72"/>
        <v/>
      </c>
      <c r="CU45" s="463" t="str">
        <f t="shared" ca="1" si="72"/>
        <v/>
      </c>
      <c r="CV45" s="463" t="str">
        <f t="shared" ca="1" si="72"/>
        <v/>
      </c>
      <c r="CW45" s="463" t="str">
        <f t="shared" ca="1" si="72"/>
        <v/>
      </c>
      <c r="CX45" s="463" t="str">
        <f t="shared" ca="1" si="72"/>
        <v/>
      </c>
      <c r="CY45" s="463" t="str">
        <f t="shared" ca="1" si="72"/>
        <v/>
      </c>
      <c r="CZ45" s="463" t="str">
        <f t="shared" ca="1" si="72"/>
        <v/>
      </c>
      <c r="DA45" s="463" t="str">
        <f t="shared" ca="1" si="72"/>
        <v/>
      </c>
      <c r="DB45" s="463" t="str">
        <f t="shared" ca="1" si="72"/>
        <v/>
      </c>
      <c r="DC45" s="463" t="str">
        <f t="shared" ca="1" si="72"/>
        <v/>
      </c>
      <c r="DD45" s="463" t="str">
        <f t="shared" ca="1" si="72"/>
        <v/>
      </c>
      <c r="DE45" s="463" t="str">
        <f t="shared" ca="1" si="72"/>
        <v/>
      </c>
      <c r="DF45" s="463" t="str">
        <f t="shared" ca="1" si="72"/>
        <v/>
      </c>
      <c r="DG45" s="463" t="str">
        <f t="shared" ca="1" si="72"/>
        <v/>
      </c>
      <c r="DH45" s="463" t="str">
        <f t="shared" ca="1" si="72"/>
        <v/>
      </c>
      <c r="DI45" s="463" t="str">
        <f t="shared" ca="1" si="72"/>
        <v/>
      </c>
      <c r="DJ45" s="463" t="str">
        <f t="shared" ca="1" si="72"/>
        <v/>
      </c>
      <c r="DK45" s="463" t="str">
        <f t="shared" ca="1" si="72"/>
        <v/>
      </c>
      <c r="DL45" s="463" t="str">
        <f t="shared" ca="1" si="72"/>
        <v/>
      </c>
      <c r="DM45" s="463" t="str">
        <f t="shared" ca="1" si="72"/>
        <v/>
      </c>
      <c r="DN45" s="463" t="str">
        <f t="shared" ca="1" si="72"/>
        <v/>
      </c>
      <c r="DO45" s="463" t="str">
        <f t="shared" ca="1" si="72"/>
        <v/>
      </c>
      <c r="DP45" s="463" t="str">
        <f t="shared" ca="1" si="72"/>
        <v/>
      </c>
      <c r="DQ45" s="463" t="str">
        <f t="shared" ca="1" si="72"/>
        <v/>
      </c>
      <c r="DR45" s="463" t="str">
        <f t="shared" ca="1" si="72"/>
        <v/>
      </c>
      <c r="DS45" s="801">
        <f ca="1">SUMPRODUCT(('1.5 Prognoser og indekser'!$R$12:OFFSET('1.5 Prognoser og indekser'!$R$12,0,$DS$9)),($M45:OFFSET($M45,0,$DS$9)))</f>
        <v>0</v>
      </c>
      <c r="DT45" s="802">
        <f ca="1">IF($DT$9&lt;1,0,SUMPRODUCT(OFFSET('1.5 Prognoser og indekser'!$R$12,0,$DS$9+1,1,$DT$9),OFFSET($M45,0,$DS$9+1,1,$DT$9)))</f>
        <v>0</v>
      </c>
    </row>
    <row r="46" spans="1:124" x14ac:dyDescent="0.35">
      <c r="C46" s="218" t="s">
        <v>1591</v>
      </c>
      <c r="D46" s="463">
        <f>SUM('2.3 Det Offentlige'!C18:C21)</f>
        <v>0</v>
      </c>
      <c r="E46" s="770">
        <f>SUM('2.3 Det Offentlige'!D18:D21)</f>
        <v>0</v>
      </c>
      <c r="F46" s="770">
        <f>SUM('2.3 Det Offentlige'!E18:E21)</f>
        <v>0</v>
      </c>
      <c r="G46" s="770"/>
      <c r="H46" s="770"/>
      <c r="I46" s="770"/>
      <c r="J46" s="790">
        <f>IF(Antall_Beregningsår&lt;2,1,IF(AND(D46=0,E46=0),1,IF(SIGN(D46)=SIGN(E46),(E46/D46)^(1/(AndreBeregningsår-FørsteBeregningsår)),((E46+1.1*ABS(D46-E46))/(D46+1.1*ABS(D46-E46)))^(1/(AndreBeregningsår-FørsteBeregningsår)))))</f>
        <v>1</v>
      </c>
      <c r="K46" s="790">
        <f>IF(Antall_Beregningsår&lt;3,1,IF(AND(E46=0,F46=0),1,IF(SIGN(E46)=SIGN(F46),(F46/E46)^(1/(TredjeBeregningsår-AndreBeregningsår)),((F46+1.1*ABS(E46-F46))/(E46+1.1*ABS(E46-F46)))^(1/(TredjeBeregningsår-AndreBeregningsår)))))</f>
        <v>1</v>
      </c>
      <c r="L46" s="752">
        <f>IF(Framskrivning="Lineær trend",IF(Antall_Beregningsår&gt;2,(F46-E46)/(TredjeBeregningsår-AndreBeregningsår),IF(Antall_Beregningsår&gt;1,(E46-D46)/(AndreBeregningsår-FørsteBeregningsår),0)),0)</f>
        <v>0</v>
      </c>
      <c r="M46" s="712"/>
      <c r="N46" s="712"/>
      <c r="O46" s="712"/>
      <c r="P46" s="712"/>
      <c r="Q46" s="712"/>
      <c r="R46" s="712"/>
      <c r="S46" s="712"/>
      <c r="T46" s="712"/>
      <c r="U46" s="712"/>
      <c r="V46" s="712"/>
      <c r="W46" s="463" t="str">
        <f t="shared" ref="W46:BB46" ca="1" si="73">IF(W$10&lt;=(Åpningsår+ProsjektetsLevetid-1),IF(W43&lt;=AndreBeregningsår,IF(SIGN($D46)=SIGN($E46),$D46*$J46^(W43-FørsteBeregningsår),($D46+1.1*ABS($D46-$E46))*$J46^(W43-FørsteBeregningsår)-1.1*ABS($D46-$E46)),IF(W43&lt;=TredjeBeregningsår,IF(SIGN($E46)=SIGN($F46),$E46*$K46^(W43-AndreBeregningsår),($E46+1.1*ABS($E46-$F46))*$K46^(W43-AndreBeregningsår)-1.1*ABS($E46-$F46)),OFFSET($D46,0,Antall_Beregningsår-1)*LOOKUP(W43,SerieÅR,SerieVolumvekstperson)+$L46*(W43-IF(Antall_Beregningsår&gt;2,TredjeBeregningsår,AndreBeregningsår))))*KPIJustering,"")</f>
        <v/>
      </c>
      <c r="X46" s="463" t="str">
        <f t="shared" ca="1" si="73"/>
        <v/>
      </c>
      <c r="Y46" s="463" t="str">
        <f t="shared" ca="1" si="73"/>
        <v/>
      </c>
      <c r="Z46" s="463" t="str">
        <f t="shared" ca="1" si="73"/>
        <v/>
      </c>
      <c r="AA46" s="463" t="str">
        <f t="shared" ca="1" si="73"/>
        <v/>
      </c>
      <c r="AB46" s="463" t="str">
        <f t="shared" ca="1" si="73"/>
        <v/>
      </c>
      <c r="AC46" s="463" t="str">
        <f t="shared" ca="1" si="73"/>
        <v/>
      </c>
      <c r="AD46" s="463" t="str">
        <f t="shared" ca="1" si="73"/>
        <v/>
      </c>
      <c r="AE46" s="463" t="str">
        <f t="shared" ca="1" si="73"/>
        <v/>
      </c>
      <c r="AF46" s="463" t="str">
        <f t="shared" ca="1" si="73"/>
        <v/>
      </c>
      <c r="AG46" s="463" t="str">
        <f t="shared" ca="1" si="73"/>
        <v/>
      </c>
      <c r="AH46" s="463" t="str">
        <f t="shared" ca="1" si="73"/>
        <v/>
      </c>
      <c r="AI46" s="463" t="str">
        <f t="shared" ca="1" si="73"/>
        <v/>
      </c>
      <c r="AJ46" s="463" t="str">
        <f t="shared" ca="1" si="73"/>
        <v/>
      </c>
      <c r="AK46" s="463" t="str">
        <f t="shared" ca="1" si="73"/>
        <v/>
      </c>
      <c r="AL46" s="463" t="str">
        <f t="shared" ca="1" si="73"/>
        <v/>
      </c>
      <c r="AM46" s="463" t="str">
        <f t="shared" ca="1" si="73"/>
        <v/>
      </c>
      <c r="AN46" s="463" t="str">
        <f t="shared" ca="1" si="73"/>
        <v/>
      </c>
      <c r="AO46" s="463" t="str">
        <f t="shared" ca="1" si="73"/>
        <v/>
      </c>
      <c r="AP46" s="463" t="str">
        <f t="shared" ca="1" si="73"/>
        <v/>
      </c>
      <c r="AQ46" s="463" t="str">
        <f t="shared" ca="1" si="73"/>
        <v/>
      </c>
      <c r="AR46" s="463" t="str">
        <f t="shared" ca="1" si="73"/>
        <v/>
      </c>
      <c r="AS46" s="463" t="str">
        <f t="shared" ca="1" si="73"/>
        <v/>
      </c>
      <c r="AT46" s="463" t="str">
        <f t="shared" ca="1" si="73"/>
        <v/>
      </c>
      <c r="AU46" s="463" t="str">
        <f t="shared" ca="1" si="73"/>
        <v/>
      </c>
      <c r="AV46" s="463" t="str">
        <f t="shared" ca="1" si="73"/>
        <v/>
      </c>
      <c r="AW46" s="463" t="str">
        <f t="shared" ca="1" si="73"/>
        <v/>
      </c>
      <c r="AX46" s="463" t="str">
        <f t="shared" ca="1" si="73"/>
        <v/>
      </c>
      <c r="AY46" s="463" t="str">
        <f t="shared" ca="1" si="73"/>
        <v/>
      </c>
      <c r="AZ46" s="463" t="str">
        <f t="shared" ca="1" si="73"/>
        <v/>
      </c>
      <c r="BA46" s="463" t="str">
        <f t="shared" ca="1" si="73"/>
        <v/>
      </c>
      <c r="BB46" s="463" t="str">
        <f t="shared" ca="1" si="73"/>
        <v/>
      </c>
      <c r="BC46" s="463" t="str">
        <f t="shared" ref="BC46:CH46" ca="1" si="74">IF(BC$10&lt;=(Åpningsår+ProsjektetsLevetid-1),IF(BC43&lt;=AndreBeregningsår,IF(SIGN($D46)=SIGN($E46),$D46*$J46^(BC43-FørsteBeregningsår),($D46+1.1*ABS($D46-$E46))*$J46^(BC43-FørsteBeregningsår)-1.1*ABS($D46-$E46)),IF(BC43&lt;=TredjeBeregningsår,IF(SIGN($E46)=SIGN($F46),$E46*$K46^(BC43-AndreBeregningsår),($E46+1.1*ABS($E46-$F46))*$K46^(BC43-AndreBeregningsår)-1.1*ABS($E46-$F46)),OFFSET($D46,0,Antall_Beregningsår-1)*LOOKUP(BC43,SerieÅR,SerieVolumvekstperson)+$L46*(BC43-IF(Antall_Beregningsår&gt;2,TredjeBeregningsår,AndreBeregningsår))))*KPIJustering,"")</f>
        <v/>
      </c>
      <c r="BD46" s="463" t="str">
        <f t="shared" ca="1" si="74"/>
        <v/>
      </c>
      <c r="BE46" s="463" t="str">
        <f t="shared" ca="1" si="74"/>
        <v/>
      </c>
      <c r="BF46" s="463" t="str">
        <f t="shared" ca="1" si="74"/>
        <v/>
      </c>
      <c r="BG46" s="463" t="str">
        <f t="shared" ca="1" si="74"/>
        <v/>
      </c>
      <c r="BH46" s="463" t="str">
        <f t="shared" ca="1" si="74"/>
        <v/>
      </c>
      <c r="BI46" s="463" t="str">
        <f t="shared" ca="1" si="74"/>
        <v/>
      </c>
      <c r="BJ46" s="463" t="str">
        <f t="shared" ca="1" si="74"/>
        <v/>
      </c>
      <c r="BK46" s="463" t="str">
        <f t="shared" ca="1" si="74"/>
        <v/>
      </c>
      <c r="BL46" s="463" t="str">
        <f t="shared" ca="1" si="74"/>
        <v/>
      </c>
      <c r="BM46" s="463" t="str">
        <f t="shared" ca="1" si="74"/>
        <v/>
      </c>
      <c r="BN46" s="463" t="str">
        <f t="shared" ca="1" si="74"/>
        <v/>
      </c>
      <c r="BO46" s="463" t="str">
        <f t="shared" ca="1" si="74"/>
        <v/>
      </c>
      <c r="BP46" s="463" t="str">
        <f t="shared" ca="1" si="74"/>
        <v/>
      </c>
      <c r="BQ46" s="463" t="str">
        <f t="shared" ca="1" si="74"/>
        <v/>
      </c>
      <c r="BR46" s="463" t="str">
        <f t="shared" ca="1" si="74"/>
        <v/>
      </c>
      <c r="BS46" s="463" t="str">
        <f t="shared" ca="1" si="74"/>
        <v/>
      </c>
      <c r="BT46" s="463" t="str">
        <f t="shared" ca="1" si="74"/>
        <v/>
      </c>
      <c r="BU46" s="463" t="str">
        <f t="shared" ca="1" si="74"/>
        <v/>
      </c>
      <c r="BV46" s="463" t="str">
        <f t="shared" ca="1" si="74"/>
        <v/>
      </c>
      <c r="BW46" s="463" t="str">
        <f t="shared" ca="1" si="74"/>
        <v/>
      </c>
      <c r="BX46" s="463" t="str">
        <f t="shared" ca="1" si="74"/>
        <v/>
      </c>
      <c r="BY46" s="463" t="str">
        <f t="shared" ca="1" si="74"/>
        <v/>
      </c>
      <c r="BZ46" s="463" t="str">
        <f t="shared" ca="1" si="74"/>
        <v/>
      </c>
      <c r="CA46" s="463" t="str">
        <f t="shared" ca="1" si="74"/>
        <v/>
      </c>
      <c r="CB46" s="463" t="str">
        <f t="shared" ca="1" si="74"/>
        <v/>
      </c>
      <c r="CC46" s="463" t="str">
        <f t="shared" ca="1" si="74"/>
        <v/>
      </c>
      <c r="CD46" s="463" t="str">
        <f t="shared" ca="1" si="74"/>
        <v/>
      </c>
      <c r="CE46" s="463" t="str">
        <f t="shared" ca="1" si="74"/>
        <v/>
      </c>
      <c r="CF46" s="463" t="str">
        <f t="shared" ca="1" si="74"/>
        <v/>
      </c>
      <c r="CG46" s="463" t="str">
        <f t="shared" ca="1" si="74"/>
        <v/>
      </c>
      <c r="CH46" s="463" t="str">
        <f t="shared" ca="1" si="74"/>
        <v/>
      </c>
      <c r="CI46" s="463" t="str">
        <f t="shared" ref="CI46:DR46" ca="1" si="75">IF(CI$10&lt;=(Åpningsår+ProsjektetsLevetid-1),IF(CI43&lt;=AndreBeregningsår,IF(SIGN($D46)=SIGN($E46),$D46*$J46^(CI43-FørsteBeregningsår),($D46+1.1*ABS($D46-$E46))*$J46^(CI43-FørsteBeregningsår)-1.1*ABS($D46-$E46)),IF(CI43&lt;=TredjeBeregningsår,IF(SIGN($E46)=SIGN($F46),$E46*$K46^(CI43-AndreBeregningsår),($E46+1.1*ABS($E46-$F46))*$K46^(CI43-AndreBeregningsår)-1.1*ABS($E46-$F46)),OFFSET($D46,0,Antall_Beregningsår-1)*LOOKUP(CI43,SerieÅR,SerieVolumvekstperson)+$L46*(CI43-IF(Antall_Beregningsår&gt;2,TredjeBeregningsår,AndreBeregningsår))))*KPIJustering,"")</f>
        <v/>
      </c>
      <c r="CJ46" s="463" t="str">
        <f t="shared" ca="1" si="75"/>
        <v/>
      </c>
      <c r="CK46" s="463" t="str">
        <f t="shared" ca="1" si="75"/>
        <v/>
      </c>
      <c r="CL46" s="463" t="str">
        <f t="shared" ca="1" si="75"/>
        <v/>
      </c>
      <c r="CM46" s="463" t="str">
        <f t="shared" ca="1" si="75"/>
        <v/>
      </c>
      <c r="CN46" s="463" t="str">
        <f t="shared" ca="1" si="75"/>
        <v/>
      </c>
      <c r="CO46" s="463" t="str">
        <f t="shared" ca="1" si="75"/>
        <v/>
      </c>
      <c r="CP46" s="463" t="str">
        <f t="shared" ca="1" si="75"/>
        <v/>
      </c>
      <c r="CQ46" s="463" t="str">
        <f t="shared" ca="1" si="75"/>
        <v/>
      </c>
      <c r="CR46" s="463" t="str">
        <f t="shared" ca="1" si="75"/>
        <v/>
      </c>
      <c r="CS46" s="463" t="str">
        <f t="shared" ca="1" si="75"/>
        <v/>
      </c>
      <c r="CT46" s="463" t="str">
        <f t="shared" ca="1" si="75"/>
        <v/>
      </c>
      <c r="CU46" s="463" t="str">
        <f t="shared" ca="1" si="75"/>
        <v/>
      </c>
      <c r="CV46" s="463" t="str">
        <f t="shared" ca="1" si="75"/>
        <v/>
      </c>
      <c r="CW46" s="463" t="str">
        <f t="shared" ca="1" si="75"/>
        <v/>
      </c>
      <c r="CX46" s="463" t="str">
        <f t="shared" ca="1" si="75"/>
        <v/>
      </c>
      <c r="CY46" s="463" t="str">
        <f t="shared" ca="1" si="75"/>
        <v/>
      </c>
      <c r="CZ46" s="463" t="str">
        <f t="shared" ca="1" si="75"/>
        <v/>
      </c>
      <c r="DA46" s="463" t="str">
        <f t="shared" ca="1" si="75"/>
        <v/>
      </c>
      <c r="DB46" s="463" t="str">
        <f t="shared" ca="1" si="75"/>
        <v/>
      </c>
      <c r="DC46" s="463" t="str">
        <f t="shared" ca="1" si="75"/>
        <v/>
      </c>
      <c r="DD46" s="463" t="str">
        <f t="shared" ca="1" si="75"/>
        <v/>
      </c>
      <c r="DE46" s="463" t="str">
        <f t="shared" ca="1" si="75"/>
        <v/>
      </c>
      <c r="DF46" s="463" t="str">
        <f t="shared" ca="1" si="75"/>
        <v/>
      </c>
      <c r="DG46" s="463" t="str">
        <f t="shared" ca="1" si="75"/>
        <v/>
      </c>
      <c r="DH46" s="463" t="str">
        <f t="shared" ca="1" si="75"/>
        <v/>
      </c>
      <c r="DI46" s="463" t="str">
        <f t="shared" ca="1" si="75"/>
        <v/>
      </c>
      <c r="DJ46" s="463" t="str">
        <f t="shared" ca="1" si="75"/>
        <v/>
      </c>
      <c r="DK46" s="463" t="str">
        <f t="shared" ca="1" si="75"/>
        <v/>
      </c>
      <c r="DL46" s="463" t="str">
        <f t="shared" ca="1" si="75"/>
        <v/>
      </c>
      <c r="DM46" s="463" t="str">
        <f t="shared" ca="1" si="75"/>
        <v/>
      </c>
      <c r="DN46" s="463" t="str">
        <f t="shared" ca="1" si="75"/>
        <v/>
      </c>
      <c r="DO46" s="463" t="str">
        <f t="shared" ca="1" si="75"/>
        <v/>
      </c>
      <c r="DP46" s="463" t="str">
        <f t="shared" ca="1" si="75"/>
        <v/>
      </c>
      <c r="DQ46" s="463" t="str">
        <f t="shared" ca="1" si="75"/>
        <v/>
      </c>
      <c r="DR46" s="463" t="str">
        <f t="shared" ca="1" si="75"/>
        <v/>
      </c>
      <c r="DS46" s="801">
        <f ca="1">SUMPRODUCT(('1.5 Prognoser og indekser'!$R$12:OFFSET('1.5 Prognoser og indekser'!$R$12,0,$DS$9)),($M46:OFFSET($M46,0,$DS$9)))</f>
        <v>0</v>
      </c>
      <c r="DT46" s="802">
        <f ca="1">IF($DT$9&lt;1,0,SUMPRODUCT(OFFSET('1.5 Prognoser og indekser'!$R$12,0,$DS$9+1,1,$DT$9),OFFSET($M46,0,$DS$9+1,1,$DT$9)))</f>
        <v>0</v>
      </c>
    </row>
    <row r="47" spans="1:124" x14ac:dyDescent="0.35">
      <c r="A47" s="1095"/>
      <c r="C47" s="212" t="str">
        <f>'2.3 Det Offentlige'!B22</f>
        <v>Skip</v>
      </c>
      <c r="D47" s="463">
        <f>'2.3 Det Offentlige'!C22</f>
        <v>0</v>
      </c>
      <c r="E47" s="463">
        <f>'2.3 Det Offentlige'!D22</f>
        <v>0</v>
      </c>
      <c r="F47" s="463">
        <f>'2.3 Det Offentlige'!E22</f>
        <v>0</v>
      </c>
      <c r="G47" s="463"/>
      <c r="H47" s="463"/>
      <c r="I47" s="463"/>
      <c r="J47" s="790">
        <f>IF(Antall_Beregningsår&lt;2,1,IF(AND(D47=0,E47=0),1,IF(SIGN(D47)=SIGN(E47),(E47/D47)^(1/(AndreBeregningsår-FørsteBeregningsår)),((E47+1.1*ABS(D47-E47))/(D47+1.1*ABS(D47-E47)))^(1/(AndreBeregningsår-FørsteBeregningsår)))))</f>
        <v>1</v>
      </c>
      <c r="K47" s="790">
        <f>IF(Antall_Beregningsår&lt;3,1,IF(AND(E47=0,F47=0),1,IF(SIGN(E47)=SIGN(F47),(F47/E47)^(1/(TredjeBeregningsår-AndreBeregningsår)),((F47+1.1*ABS(E47-F47))/(E47+1.1*ABS(E47-F47)))^(1/(TredjeBeregningsår-AndreBeregningsår)))))</f>
        <v>1</v>
      </c>
      <c r="L47" s="752">
        <f>IF(Framskrivning="Lineær trend",IF(Antall_Beregningsår&gt;2,(F47-E47)/(TredjeBeregningsår-AndreBeregningsår),IF(Antall_Beregningsår&gt;1,(E47-D47)/(AndreBeregningsår-FørsteBeregningsår),0)),0)</f>
        <v>0</v>
      </c>
      <c r="M47" s="712"/>
      <c r="N47" s="712"/>
      <c r="O47" s="712"/>
      <c r="P47" s="712"/>
      <c r="Q47" s="712"/>
      <c r="R47" s="712"/>
      <c r="S47" s="712"/>
      <c r="T47" s="712"/>
      <c r="U47" s="712"/>
      <c r="V47" s="712"/>
      <c r="W47" s="463" t="str">
        <f t="shared" ref="W47:BB47" ca="1" si="76">IF(W$10&lt;=(Åpningsår+ProsjektetsLevetid-1),IF(W43&lt;=AndreBeregningsår,IF(SIGN($D47)=SIGN($E47),$D47*$J47^(W43-FørsteBeregningsår),($D47+1.1*ABS($D47-$E47))*$J47^(W43-FørsteBeregningsår)-1.1*ABS($D47-$E47)),IF(W43&lt;=TredjeBeregningsår,IF(SIGN($E47)=SIGN($F47),$E47*$K47^(W43-AndreBeregningsår),($E47+1.1*ABS($E47-$F47))*$K47^(W43-AndreBeregningsår)-1.1*ABS($E47-$F47)),OFFSET($D47,0,Antall_Beregningsår-1)*LOOKUP(W43,SerieÅR,SerieVolumvekstGods)+$L47*(W43-IF(Antall_Beregningsår&gt;2,TredjeBeregningsår,AndreBeregningsår))))*KPIJustering,"")</f>
        <v/>
      </c>
      <c r="X47" s="463" t="str">
        <f t="shared" ca="1" si="76"/>
        <v/>
      </c>
      <c r="Y47" s="463" t="str">
        <f t="shared" ca="1" si="76"/>
        <v/>
      </c>
      <c r="Z47" s="463" t="str">
        <f t="shared" ca="1" si="76"/>
        <v/>
      </c>
      <c r="AA47" s="463" t="str">
        <f t="shared" ca="1" si="76"/>
        <v/>
      </c>
      <c r="AB47" s="463" t="str">
        <f t="shared" ca="1" si="76"/>
        <v/>
      </c>
      <c r="AC47" s="463" t="str">
        <f t="shared" ca="1" si="76"/>
        <v/>
      </c>
      <c r="AD47" s="463" t="str">
        <f t="shared" ca="1" si="76"/>
        <v/>
      </c>
      <c r="AE47" s="463" t="str">
        <f t="shared" ca="1" si="76"/>
        <v/>
      </c>
      <c r="AF47" s="463" t="str">
        <f t="shared" ca="1" si="76"/>
        <v/>
      </c>
      <c r="AG47" s="463" t="str">
        <f t="shared" ca="1" si="76"/>
        <v/>
      </c>
      <c r="AH47" s="463" t="str">
        <f t="shared" ca="1" si="76"/>
        <v/>
      </c>
      <c r="AI47" s="463" t="str">
        <f t="shared" ca="1" si="76"/>
        <v/>
      </c>
      <c r="AJ47" s="463" t="str">
        <f t="shared" ca="1" si="76"/>
        <v/>
      </c>
      <c r="AK47" s="463" t="str">
        <f t="shared" ca="1" si="76"/>
        <v/>
      </c>
      <c r="AL47" s="463" t="str">
        <f t="shared" ca="1" si="76"/>
        <v/>
      </c>
      <c r="AM47" s="463" t="str">
        <f t="shared" ca="1" si="76"/>
        <v/>
      </c>
      <c r="AN47" s="463" t="str">
        <f t="shared" ca="1" si="76"/>
        <v/>
      </c>
      <c r="AO47" s="463" t="str">
        <f t="shared" ca="1" si="76"/>
        <v/>
      </c>
      <c r="AP47" s="463" t="str">
        <f t="shared" ca="1" si="76"/>
        <v/>
      </c>
      <c r="AQ47" s="463" t="str">
        <f t="shared" ca="1" si="76"/>
        <v/>
      </c>
      <c r="AR47" s="463" t="str">
        <f t="shared" ca="1" si="76"/>
        <v/>
      </c>
      <c r="AS47" s="463" t="str">
        <f t="shared" ca="1" si="76"/>
        <v/>
      </c>
      <c r="AT47" s="463" t="str">
        <f t="shared" ca="1" si="76"/>
        <v/>
      </c>
      <c r="AU47" s="463" t="str">
        <f t="shared" ca="1" si="76"/>
        <v/>
      </c>
      <c r="AV47" s="463" t="str">
        <f t="shared" ca="1" si="76"/>
        <v/>
      </c>
      <c r="AW47" s="463" t="str">
        <f t="shared" ca="1" si="76"/>
        <v/>
      </c>
      <c r="AX47" s="463" t="str">
        <f t="shared" ca="1" si="76"/>
        <v/>
      </c>
      <c r="AY47" s="463" t="str">
        <f t="shared" ca="1" si="76"/>
        <v/>
      </c>
      <c r="AZ47" s="463" t="str">
        <f t="shared" ca="1" si="76"/>
        <v/>
      </c>
      <c r="BA47" s="463" t="str">
        <f t="shared" ca="1" si="76"/>
        <v/>
      </c>
      <c r="BB47" s="463" t="str">
        <f t="shared" ca="1" si="76"/>
        <v/>
      </c>
      <c r="BC47" s="463" t="str">
        <f t="shared" ref="BC47:CH47" ca="1" si="77">IF(BC$10&lt;=(Åpningsår+ProsjektetsLevetid-1),IF(BC43&lt;=AndreBeregningsår,IF(SIGN($D47)=SIGN($E47),$D47*$J47^(BC43-FørsteBeregningsår),($D47+1.1*ABS($D47-$E47))*$J47^(BC43-FørsteBeregningsår)-1.1*ABS($D47-$E47)),IF(BC43&lt;=TredjeBeregningsår,IF(SIGN($E47)=SIGN($F47),$E47*$K47^(BC43-AndreBeregningsår),($E47+1.1*ABS($E47-$F47))*$K47^(BC43-AndreBeregningsår)-1.1*ABS($E47-$F47)),OFFSET($D47,0,Antall_Beregningsår-1)*LOOKUP(BC43,SerieÅR,SerieVolumvekstGods)+$L47*(BC43-IF(Antall_Beregningsår&gt;2,TredjeBeregningsår,AndreBeregningsår))))*KPIJustering,"")</f>
        <v/>
      </c>
      <c r="BD47" s="463" t="str">
        <f t="shared" ca="1" si="77"/>
        <v/>
      </c>
      <c r="BE47" s="463" t="str">
        <f t="shared" ca="1" si="77"/>
        <v/>
      </c>
      <c r="BF47" s="463" t="str">
        <f t="shared" ca="1" si="77"/>
        <v/>
      </c>
      <c r="BG47" s="463" t="str">
        <f t="shared" ca="1" si="77"/>
        <v/>
      </c>
      <c r="BH47" s="463" t="str">
        <f t="shared" ca="1" si="77"/>
        <v/>
      </c>
      <c r="BI47" s="463" t="str">
        <f t="shared" ca="1" si="77"/>
        <v/>
      </c>
      <c r="BJ47" s="463" t="str">
        <f t="shared" ca="1" si="77"/>
        <v/>
      </c>
      <c r="BK47" s="463" t="str">
        <f t="shared" ca="1" si="77"/>
        <v/>
      </c>
      <c r="BL47" s="463" t="str">
        <f t="shared" ca="1" si="77"/>
        <v/>
      </c>
      <c r="BM47" s="463" t="str">
        <f t="shared" ca="1" si="77"/>
        <v/>
      </c>
      <c r="BN47" s="463" t="str">
        <f t="shared" ca="1" si="77"/>
        <v/>
      </c>
      <c r="BO47" s="463" t="str">
        <f t="shared" ca="1" si="77"/>
        <v/>
      </c>
      <c r="BP47" s="463" t="str">
        <f t="shared" ca="1" si="77"/>
        <v/>
      </c>
      <c r="BQ47" s="463" t="str">
        <f t="shared" ca="1" si="77"/>
        <v/>
      </c>
      <c r="BR47" s="463" t="str">
        <f t="shared" ca="1" si="77"/>
        <v/>
      </c>
      <c r="BS47" s="463" t="str">
        <f t="shared" ca="1" si="77"/>
        <v/>
      </c>
      <c r="BT47" s="463" t="str">
        <f t="shared" ca="1" si="77"/>
        <v/>
      </c>
      <c r="BU47" s="463" t="str">
        <f t="shared" ca="1" si="77"/>
        <v/>
      </c>
      <c r="BV47" s="463" t="str">
        <f t="shared" ca="1" si="77"/>
        <v/>
      </c>
      <c r="BW47" s="463" t="str">
        <f t="shared" ca="1" si="77"/>
        <v/>
      </c>
      <c r="BX47" s="463" t="str">
        <f t="shared" ca="1" si="77"/>
        <v/>
      </c>
      <c r="BY47" s="463" t="str">
        <f t="shared" ca="1" si="77"/>
        <v/>
      </c>
      <c r="BZ47" s="463" t="str">
        <f t="shared" ca="1" si="77"/>
        <v/>
      </c>
      <c r="CA47" s="463" t="str">
        <f t="shared" ca="1" si="77"/>
        <v/>
      </c>
      <c r="CB47" s="463" t="str">
        <f t="shared" ca="1" si="77"/>
        <v/>
      </c>
      <c r="CC47" s="463" t="str">
        <f t="shared" ca="1" si="77"/>
        <v/>
      </c>
      <c r="CD47" s="463" t="str">
        <f t="shared" ca="1" si="77"/>
        <v/>
      </c>
      <c r="CE47" s="463" t="str">
        <f t="shared" ca="1" si="77"/>
        <v/>
      </c>
      <c r="CF47" s="463" t="str">
        <f t="shared" ca="1" si="77"/>
        <v/>
      </c>
      <c r="CG47" s="463" t="str">
        <f t="shared" ca="1" si="77"/>
        <v/>
      </c>
      <c r="CH47" s="463" t="str">
        <f t="shared" ca="1" si="77"/>
        <v/>
      </c>
      <c r="CI47" s="463" t="str">
        <f t="shared" ref="CI47:DR47" ca="1" si="78">IF(CI$10&lt;=(Åpningsår+ProsjektetsLevetid-1),IF(CI43&lt;=AndreBeregningsår,IF(SIGN($D47)=SIGN($E47),$D47*$J47^(CI43-FørsteBeregningsår),($D47+1.1*ABS($D47-$E47))*$J47^(CI43-FørsteBeregningsår)-1.1*ABS($D47-$E47)),IF(CI43&lt;=TredjeBeregningsår,IF(SIGN($E47)=SIGN($F47),$E47*$K47^(CI43-AndreBeregningsår),($E47+1.1*ABS($E47-$F47))*$K47^(CI43-AndreBeregningsår)-1.1*ABS($E47-$F47)),OFFSET($D47,0,Antall_Beregningsår-1)*LOOKUP(CI43,SerieÅR,SerieVolumvekstGods)+$L47*(CI43-IF(Antall_Beregningsår&gt;2,TredjeBeregningsår,AndreBeregningsår))))*KPIJustering,"")</f>
        <v/>
      </c>
      <c r="CJ47" s="463" t="str">
        <f t="shared" ca="1" si="78"/>
        <v/>
      </c>
      <c r="CK47" s="463" t="str">
        <f t="shared" ca="1" si="78"/>
        <v/>
      </c>
      <c r="CL47" s="463" t="str">
        <f t="shared" ca="1" si="78"/>
        <v/>
      </c>
      <c r="CM47" s="463" t="str">
        <f t="shared" ca="1" si="78"/>
        <v/>
      </c>
      <c r="CN47" s="463" t="str">
        <f t="shared" ca="1" si="78"/>
        <v/>
      </c>
      <c r="CO47" s="463" t="str">
        <f t="shared" ca="1" si="78"/>
        <v/>
      </c>
      <c r="CP47" s="463" t="str">
        <f t="shared" ca="1" si="78"/>
        <v/>
      </c>
      <c r="CQ47" s="463" t="str">
        <f t="shared" ca="1" si="78"/>
        <v/>
      </c>
      <c r="CR47" s="463" t="str">
        <f t="shared" ca="1" si="78"/>
        <v/>
      </c>
      <c r="CS47" s="463" t="str">
        <f t="shared" ca="1" si="78"/>
        <v/>
      </c>
      <c r="CT47" s="463" t="str">
        <f t="shared" ca="1" si="78"/>
        <v/>
      </c>
      <c r="CU47" s="463" t="str">
        <f t="shared" ca="1" si="78"/>
        <v/>
      </c>
      <c r="CV47" s="463" t="str">
        <f t="shared" ca="1" si="78"/>
        <v/>
      </c>
      <c r="CW47" s="463" t="str">
        <f t="shared" ca="1" si="78"/>
        <v/>
      </c>
      <c r="CX47" s="463" t="str">
        <f t="shared" ca="1" si="78"/>
        <v/>
      </c>
      <c r="CY47" s="463" t="str">
        <f t="shared" ca="1" si="78"/>
        <v/>
      </c>
      <c r="CZ47" s="463" t="str">
        <f t="shared" ca="1" si="78"/>
        <v/>
      </c>
      <c r="DA47" s="463" t="str">
        <f t="shared" ca="1" si="78"/>
        <v/>
      </c>
      <c r="DB47" s="463" t="str">
        <f t="shared" ca="1" si="78"/>
        <v/>
      </c>
      <c r="DC47" s="463" t="str">
        <f t="shared" ca="1" si="78"/>
        <v/>
      </c>
      <c r="DD47" s="463" t="str">
        <f t="shared" ca="1" si="78"/>
        <v/>
      </c>
      <c r="DE47" s="463" t="str">
        <f t="shared" ca="1" si="78"/>
        <v/>
      </c>
      <c r="DF47" s="463" t="str">
        <f t="shared" ca="1" si="78"/>
        <v/>
      </c>
      <c r="DG47" s="463" t="str">
        <f t="shared" ca="1" si="78"/>
        <v/>
      </c>
      <c r="DH47" s="463" t="str">
        <f t="shared" ca="1" si="78"/>
        <v/>
      </c>
      <c r="DI47" s="463" t="str">
        <f t="shared" ca="1" si="78"/>
        <v/>
      </c>
      <c r="DJ47" s="463" t="str">
        <f t="shared" ca="1" si="78"/>
        <v/>
      </c>
      <c r="DK47" s="463" t="str">
        <f t="shared" ca="1" si="78"/>
        <v/>
      </c>
      <c r="DL47" s="463" t="str">
        <f t="shared" ca="1" si="78"/>
        <v/>
      </c>
      <c r="DM47" s="463" t="str">
        <f t="shared" ca="1" si="78"/>
        <v/>
      </c>
      <c r="DN47" s="463" t="str">
        <f t="shared" ca="1" si="78"/>
        <v/>
      </c>
      <c r="DO47" s="463" t="str">
        <f t="shared" ca="1" si="78"/>
        <v/>
      </c>
      <c r="DP47" s="463" t="str">
        <f t="shared" ca="1" si="78"/>
        <v/>
      </c>
      <c r="DQ47" s="463" t="str">
        <f t="shared" ca="1" si="78"/>
        <v/>
      </c>
      <c r="DR47" s="463" t="str">
        <f t="shared" ca="1" si="78"/>
        <v/>
      </c>
      <c r="DS47" s="801">
        <f ca="1">SUMPRODUCT(('1.5 Prognoser og indekser'!$R$12:OFFSET('1.5 Prognoser og indekser'!$R$12,0,$DS$9)),($M47:OFFSET($M47,0,$DS$9)))</f>
        <v>0</v>
      </c>
      <c r="DT47" s="802">
        <f ca="1">IF($DT$9&lt;1,0,SUMPRODUCT(OFFSET('1.5 Prognoser og indekser'!$R$12,0,$DS$9+1,1,$DT$9),OFFSET($M47,0,$DS$9+1,1,$DT$9)))</f>
        <v>0</v>
      </c>
    </row>
    <row r="48" spans="1:124" x14ac:dyDescent="0.35">
      <c r="C48" s="677" t="str">
        <f>'2.3 Det Offentlige'!B23</f>
        <v>Buss</v>
      </c>
      <c r="D48" s="463">
        <f>'2.3 Det Offentlige'!C$23</f>
        <v>0</v>
      </c>
      <c r="E48" s="463">
        <f>'2.3 Det Offentlige'!D$23</f>
        <v>0</v>
      </c>
      <c r="F48" s="463">
        <f>'2.3 Det Offentlige'!E$23</f>
        <v>0</v>
      </c>
      <c r="G48" s="463"/>
      <c r="H48" s="463"/>
      <c r="I48" s="463"/>
      <c r="J48" s="790">
        <f>IF(Antall_Beregningsår&lt;2,1,IF(AND(D48=0,E48=0),1,IF(SIGN(D48)=SIGN(E48),(E48/D48)^(1/(AndreBeregningsår-FørsteBeregningsår)),((E48+1.1*ABS(D48-E48))/(D48+1.1*ABS(D48-E48)))^(1/(AndreBeregningsår-FørsteBeregningsår)))))</f>
        <v>1</v>
      </c>
      <c r="K48" s="790">
        <f>IF(Antall_Beregningsår&lt;3,1,IF(AND(E48=0,F48=0),1,IF(SIGN(E48)=SIGN(F48),(F48/E48)^(1/(TredjeBeregningsår-AndreBeregningsår)),((F48+1.1*ABS(E48-F48))/(E48+1.1*ABS(E48-F48)))^(1/(TredjeBeregningsår-AndreBeregningsår)))))</f>
        <v>1</v>
      </c>
      <c r="L48" s="752">
        <f>IF(Framskrivning="Lineær trend",IF(Antall_Beregningsår&gt;2,(F48-E48)/(TredjeBeregningsår-AndreBeregningsår),IF(Antall_Beregningsår&gt;1,(E48-D48)/(AndreBeregningsår-FørsteBeregningsår),0)),0)</f>
        <v>0</v>
      </c>
      <c r="M48" s="712"/>
      <c r="N48" s="712"/>
      <c r="O48" s="712"/>
      <c r="P48" s="712"/>
      <c r="Q48" s="712"/>
      <c r="R48" s="712"/>
      <c r="S48" s="712"/>
      <c r="T48" s="712"/>
      <c r="U48" s="712"/>
      <c r="V48" s="712"/>
      <c r="W48" s="463" t="str">
        <f t="shared" ref="W48:BB48" ca="1" si="79">IF(W$10&lt;=(Åpningsår+ProsjektetsLevetid-1),IF(W43&lt;=AndreBeregningsår,IF(SIGN($D48)=SIGN($E48),$D48*$J48^(W43-FørsteBeregningsår),($D48+1.1*ABS($D48-$E48))*$J48^(W43-FørsteBeregningsår)-1.1*ABS($D48-$E48)),IF(W43&lt;=TredjeBeregningsår,IF(SIGN($E48)=SIGN($F48),$E48*$K48^(W43-AndreBeregningsår),($E48+1.1*ABS($E48-$F48))*$K48^(W43-AndreBeregningsår)-1.1*ABS($E48-$F48)),OFFSET($D48,0,Antall_Beregningsår-1)*LOOKUP(W43,SerieÅR,SerieVolumvekstperson)+$L48*(W43-IF(Antall_Beregningsår&gt;2,TredjeBeregningsår,AndreBeregningsår))))*KPIJustering,"")</f>
        <v/>
      </c>
      <c r="X48" s="463" t="str">
        <f t="shared" ca="1" si="79"/>
        <v/>
      </c>
      <c r="Y48" s="463" t="str">
        <f t="shared" ca="1" si="79"/>
        <v/>
      </c>
      <c r="Z48" s="463" t="str">
        <f t="shared" ca="1" si="79"/>
        <v/>
      </c>
      <c r="AA48" s="463" t="str">
        <f t="shared" ca="1" si="79"/>
        <v/>
      </c>
      <c r="AB48" s="463" t="str">
        <f t="shared" ca="1" si="79"/>
        <v/>
      </c>
      <c r="AC48" s="463" t="str">
        <f t="shared" ca="1" si="79"/>
        <v/>
      </c>
      <c r="AD48" s="463" t="str">
        <f t="shared" ca="1" si="79"/>
        <v/>
      </c>
      <c r="AE48" s="463" t="str">
        <f t="shared" ca="1" si="79"/>
        <v/>
      </c>
      <c r="AF48" s="463" t="str">
        <f t="shared" ca="1" si="79"/>
        <v/>
      </c>
      <c r="AG48" s="463" t="str">
        <f t="shared" ca="1" si="79"/>
        <v/>
      </c>
      <c r="AH48" s="463" t="str">
        <f t="shared" ca="1" si="79"/>
        <v/>
      </c>
      <c r="AI48" s="463" t="str">
        <f t="shared" ca="1" si="79"/>
        <v/>
      </c>
      <c r="AJ48" s="463" t="str">
        <f t="shared" ca="1" si="79"/>
        <v/>
      </c>
      <c r="AK48" s="463" t="str">
        <f t="shared" ca="1" si="79"/>
        <v/>
      </c>
      <c r="AL48" s="463" t="str">
        <f t="shared" ca="1" si="79"/>
        <v/>
      </c>
      <c r="AM48" s="463" t="str">
        <f t="shared" ca="1" si="79"/>
        <v/>
      </c>
      <c r="AN48" s="463" t="str">
        <f t="shared" ca="1" si="79"/>
        <v/>
      </c>
      <c r="AO48" s="463" t="str">
        <f t="shared" ca="1" si="79"/>
        <v/>
      </c>
      <c r="AP48" s="463" t="str">
        <f t="shared" ca="1" si="79"/>
        <v/>
      </c>
      <c r="AQ48" s="463" t="str">
        <f t="shared" ca="1" si="79"/>
        <v/>
      </c>
      <c r="AR48" s="463" t="str">
        <f t="shared" ca="1" si="79"/>
        <v/>
      </c>
      <c r="AS48" s="463" t="str">
        <f t="shared" ca="1" si="79"/>
        <v/>
      </c>
      <c r="AT48" s="463" t="str">
        <f t="shared" ca="1" si="79"/>
        <v/>
      </c>
      <c r="AU48" s="463" t="str">
        <f t="shared" ca="1" si="79"/>
        <v/>
      </c>
      <c r="AV48" s="463" t="str">
        <f t="shared" ca="1" si="79"/>
        <v/>
      </c>
      <c r="AW48" s="463" t="str">
        <f t="shared" ca="1" si="79"/>
        <v/>
      </c>
      <c r="AX48" s="463" t="str">
        <f t="shared" ca="1" si="79"/>
        <v/>
      </c>
      <c r="AY48" s="463" t="str">
        <f t="shared" ca="1" si="79"/>
        <v/>
      </c>
      <c r="AZ48" s="463" t="str">
        <f t="shared" ca="1" si="79"/>
        <v/>
      </c>
      <c r="BA48" s="463" t="str">
        <f t="shared" ca="1" si="79"/>
        <v/>
      </c>
      <c r="BB48" s="463" t="str">
        <f t="shared" ca="1" si="79"/>
        <v/>
      </c>
      <c r="BC48" s="463" t="str">
        <f t="shared" ref="BC48:CH48" ca="1" si="80">IF(BC$10&lt;=(Åpningsår+ProsjektetsLevetid-1),IF(BC43&lt;=AndreBeregningsår,IF(SIGN($D48)=SIGN($E48),$D48*$J48^(BC43-FørsteBeregningsår),($D48+1.1*ABS($D48-$E48))*$J48^(BC43-FørsteBeregningsår)-1.1*ABS($D48-$E48)),IF(BC43&lt;=TredjeBeregningsår,IF(SIGN($E48)=SIGN($F48),$E48*$K48^(BC43-AndreBeregningsår),($E48+1.1*ABS($E48-$F48))*$K48^(BC43-AndreBeregningsår)-1.1*ABS($E48-$F48)),OFFSET($D48,0,Antall_Beregningsår-1)*LOOKUP(BC43,SerieÅR,SerieVolumvekstperson)+$L48*(BC43-IF(Antall_Beregningsår&gt;2,TredjeBeregningsår,AndreBeregningsår))))*KPIJustering,"")</f>
        <v/>
      </c>
      <c r="BD48" s="463" t="str">
        <f t="shared" ca="1" si="80"/>
        <v/>
      </c>
      <c r="BE48" s="463" t="str">
        <f t="shared" ca="1" si="80"/>
        <v/>
      </c>
      <c r="BF48" s="463" t="str">
        <f t="shared" ca="1" si="80"/>
        <v/>
      </c>
      <c r="BG48" s="463" t="str">
        <f t="shared" ca="1" si="80"/>
        <v/>
      </c>
      <c r="BH48" s="463" t="str">
        <f t="shared" ca="1" si="80"/>
        <v/>
      </c>
      <c r="BI48" s="463" t="str">
        <f t="shared" ca="1" si="80"/>
        <v/>
      </c>
      <c r="BJ48" s="463" t="str">
        <f t="shared" ca="1" si="80"/>
        <v/>
      </c>
      <c r="BK48" s="463" t="str">
        <f t="shared" ca="1" si="80"/>
        <v/>
      </c>
      <c r="BL48" s="463" t="str">
        <f t="shared" ca="1" si="80"/>
        <v/>
      </c>
      <c r="BM48" s="463" t="str">
        <f t="shared" ca="1" si="80"/>
        <v/>
      </c>
      <c r="BN48" s="463" t="str">
        <f t="shared" ca="1" si="80"/>
        <v/>
      </c>
      <c r="BO48" s="463" t="str">
        <f t="shared" ca="1" si="80"/>
        <v/>
      </c>
      <c r="BP48" s="463" t="str">
        <f t="shared" ca="1" si="80"/>
        <v/>
      </c>
      <c r="BQ48" s="463" t="str">
        <f t="shared" ca="1" si="80"/>
        <v/>
      </c>
      <c r="BR48" s="463" t="str">
        <f t="shared" ca="1" si="80"/>
        <v/>
      </c>
      <c r="BS48" s="463" t="str">
        <f t="shared" ca="1" si="80"/>
        <v/>
      </c>
      <c r="BT48" s="463" t="str">
        <f t="shared" ca="1" si="80"/>
        <v/>
      </c>
      <c r="BU48" s="463" t="str">
        <f t="shared" ca="1" si="80"/>
        <v/>
      </c>
      <c r="BV48" s="463" t="str">
        <f t="shared" ca="1" si="80"/>
        <v/>
      </c>
      <c r="BW48" s="463" t="str">
        <f t="shared" ca="1" si="80"/>
        <v/>
      </c>
      <c r="BX48" s="463" t="str">
        <f t="shared" ca="1" si="80"/>
        <v/>
      </c>
      <c r="BY48" s="463" t="str">
        <f t="shared" ca="1" si="80"/>
        <v/>
      </c>
      <c r="BZ48" s="463" t="str">
        <f t="shared" ca="1" si="80"/>
        <v/>
      </c>
      <c r="CA48" s="463" t="str">
        <f t="shared" ca="1" si="80"/>
        <v/>
      </c>
      <c r="CB48" s="463" t="str">
        <f t="shared" ca="1" si="80"/>
        <v/>
      </c>
      <c r="CC48" s="463" t="str">
        <f t="shared" ca="1" si="80"/>
        <v/>
      </c>
      <c r="CD48" s="463" t="str">
        <f t="shared" ca="1" si="80"/>
        <v/>
      </c>
      <c r="CE48" s="463" t="str">
        <f t="shared" ca="1" si="80"/>
        <v/>
      </c>
      <c r="CF48" s="463" t="str">
        <f t="shared" ca="1" si="80"/>
        <v/>
      </c>
      <c r="CG48" s="463" t="str">
        <f t="shared" ca="1" si="80"/>
        <v/>
      </c>
      <c r="CH48" s="463" t="str">
        <f t="shared" ca="1" si="80"/>
        <v/>
      </c>
      <c r="CI48" s="463" t="str">
        <f t="shared" ref="CI48:DR48" ca="1" si="81">IF(CI$10&lt;=(Åpningsår+ProsjektetsLevetid-1),IF(CI43&lt;=AndreBeregningsår,IF(SIGN($D48)=SIGN($E48),$D48*$J48^(CI43-FørsteBeregningsår),($D48+1.1*ABS($D48-$E48))*$J48^(CI43-FørsteBeregningsår)-1.1*ABS($D48-$E48)),IF(CI43&lt;=TredjeBeregningsår,IF(SIGN($E48)=SIGN($F48),$E48*$K48^(CI43-AndreBeregningsår),($E48+1.1*ABS($E48-$F48))*$K48^(CI43-AndreBeregningsår)-1.1*ABS($E48-$F48)),OFFSET($D48,0,Antall_Beregningsår-1)*LOOKUP(CI43,SerieÅR,SerieVolumvekstperson)+$L48*(CI43-IF(Antall_Beregningsår&gt;2,TredjeBeregningsår,AndreBeregningsår))))*KPIJustering,"")</f>
        <v/>
      </c>
      <c r="CJ48" s="463" t="str">
        <f t="shared" ca="1" si="81"/>
        <v/>
      </c>
      <c r="CK48" s="463" t="str">
        <f t="shared" ca="1" si="81"/>
        <v/>
      </c>
      <c r="CL48" s="463" t="str">
        <f t="shared" ca="1" si="81"/>
        <v/>
      </c>
      <c r="CM48" s="463" t="str">
        <f t="shared" ca="1" si="81"/>
        <v/>
      </c>
      <c r="CN48" s="463" t="str">
        <f t="shared" ca="1" si="81"/>
        <v/>
      </c>
      <c r="CO48" s="463" t="str">
        <f t="shared" ca="1" si="81"/>
        <v/>
      </c>
      <c r="CP48" s="463" t="str">
        <f t="shared" ca="1" si="81"/>
        <v/>
      </c>
      <c r="CQ48" s="463" t="str">
        <f t="shared" ca="1" si="81"/>
        <v/>
      </c>
      <c r="CR48" s="463" t="str">
        <f t="shared" ca="1" si="81"/>
        <v/>
      </c>
      <c r="CS48" s="463" t="str">
        <f t="shared" ca="1" si="81"/>
        <v/>
      </c>
      <c r="CT48" s="463" t="str">
        <f t="shared" ca="1" si="81"/>
        <v/>
      </c>
      <c r="CU48" s="463" t="str">
        <f t="shared" ca="1" si="81"/>
        <v/>
      </c>
      <c r="CV48" s="463" t="str">
        <f t="shared" ca="1" si="81"/>
        <v/>
      </c>
      <c r="CW48" s="463" t="str">
        <f t="shared" ca="1" si="81"/>
        <v/>
      </c>
      <c r="CX48" s="463" t="str">
        <f t="shared" ca="1" si="81"/>
        <v/>
      </c>
      <c r="CY48" s="463" t="str">
        <f t="shared" ca="1" si="81"/>
        <v/>
      </c>
      <c r="CZ48" s="463" t="str">
        <f t="shared" ca="1" si="81"/>
        <v/>
      </c>
      <c r="DA48" s="463" t="str">
        <f t="shared" ca="1" si="81"/>
        <v/>
      </c>
      <c r="DB48" s="463" t="str">
        <f t="shared" ca="1" si="81"/>
        <v/>
      </c>
      <c r="DC48" s="463" t="str">
        <f t="shared" ca="1" si="81"/>
        <v/>
      </c>
      <c r="DD48" s="463" t="str">
        <f t="shared" ca="1" si="81"/>
        <v/>
      </c>
      <c r="DE48" s="463" t="str">
        <f t="shared" ca="1" si="81"/>
        <v/>
      </c>
      <c r="DF48" s="463" t="str">
        <f t="shared" ca="1" si="81"/>
        <v/>
      </c>
      <c r="DG48" s="463" t="str">
        <f t="shared" ca="1" si="81"/>
        <v/>
      </c>
      <c r="DH48" s="463" t="str">
        <f t="shared" ca="1" si="81"/>
        <v/>
      </c>
      <c r="DI48" s="463" t="str">
        <f t="shared" ca="1" si="81"/>
        <v/>
      </c>
      <c r="DJ48" s="463" t="str">
        <f t="shared" ca="1" si="81"/>
        <v/>
      </c>
      <c r="DK48" s="463" t="str">
        <f t="shared" ca="1" si="81"/>
        <v/>
      </c>
      <c r="DL48" s="463" t="str">
        <f t="shared" ca="1" si="81"/>
        <v/>
      </c>
      <c r="DM48" s="463" t="str">
        <f t="shared" ca="1" si="81"/>
        <v/>
      </c>
      <c r="DN48" s="463" t="str">
        <f t="shared" ca="1" si="81"/>
        <v/>
      </c>
      <c r="DO48" s="463" t="str">
        <f t="shared" ca="1" si="81"/>
        <v/>
      </c>
      <c r="DP48" s="463" t="str">
        <f t="shared" ca="1" si="81"/>
        <v/>
      </c>
      <c r="DQ48" s="463" t="str">
        <f t="shared" ca="1" si="81"/>
        <v/>
      </c>
      <c r="DR48" s="463" t="str">
        <f t="shared" ca="1" si="81"/>
        <v/>
      </c>
      <c r="DS48" s="801">
        <f ca="1">SUMPRODUCT(('1.5 Prognoser og indekser'!$R$12:OFFSET('1.5 Prognoser og indekser'!$R$12,0,$DS$9)),($M48:OFFSET($M48,0,$DS$9)))</f>
        <v>0</v>
      </c>
      <c r="DT48" s="802">
        <f ca="1">IF($DT$9&lt;1,0,SUMPRODUCT(OFFSET('1.5 Prognoser og indekser'!$R$12,0,$DS$9+1,1,$DT$9),OFFSET($M48,0,$DS$9+1,1,$DT$9)))</f>
        <v>0</v>
      </c>
    </row>
    <row r="49" spans="1:124" x14ac:dyDescent="0.35">
      <c r="C49" s="212" t="s">
        <v>1592</v>
      </c>
      <c r="D49" s="463"/>
      <c r="E49" s="463"/>
      <c r="F49" s="463"/>
      <c r="G49" s="463"/>
      <c r="H49" s="463"/>
      <c r="I49" s="463"/>
      <c r="J49" s="790"/>
      <c r="K49" s="790"/>
      <c r="L49" s="752"/>
      <c r="M49" s="712" cm="1">
        <f t="array" ref="M49">IF(M$10&lt;=(Åpningsår+ProsjektetsLevetid-1),IF(Åpningsår="",,LOOKUP(M43,SerieÅR,(-Serie_Veibruksavgift_byggefase))/1000000),"")</f>
        <v>0</v>
      </c>
      <c r="N49" s="712" cm="1">
        <f t="array" ref="N49">IF(N$10&lt;=(Åpningsår+ProsjektetsLevetid-1),IF(Åpningsår="",,LOOKUP(N43,SerieÅR,(-Serie_Veibruksavgift_byggefase))/1000000),"")</f>
        <v>0</v>
      </c>
      <c r="O49" s="712" cm="1">
        <f t="array" ref="O49">IF(O$10&lt;=(Åpningsår+ProsjektetsLevetid-1),IF(Åpningsår="",,LOOKUP(O43,SerieÅR,(-Serie_Veibruksavgift_byggefase))/1000000),"")</f>
        <v>0</v>
      </c>
      <c r="P49" s="712" cm="1">
        <f t="array" ref="P49">IF(P$10&lt;=(Åpningsår+ProsjektetsLevetid-1),IF(Åpningsår="",,LOOKUP(P43,SerieÅR,(-Serie_Veibruksavgift_byggefase))/1000000),"")</f>
        <v>0</v>
      </c>
      <c r="Q49" s="712" cm="1">
        <f t="array" ref="Q49">IF(Q$10&lt;=(Åpningsår+ProsjektetsLevetid-1),IF(Åpningsår="",,LOOKUP(Q43,SerieÅR,(-Serie_Veibruksavgift_byggefase))/1000000),"")</f>
        <v>0</v>
      </c>
      <c r="R49" s="712" cm="1">
        <f t="array" ref="R49">IF(R$10&lt;=(Åpningsår+ProsjektetsLevetid-1),IF(Åpningsår="",,LOOKUP(R43,SerieÅR,(-Serie_Veibruksavgift_byggefase))/1000000),"")</f>
        <v>0</v>
      </c>
      <c r="S49" s="712" cm="1">
        <f t="array" ref="S49">IF(S$10&lt;=(Åpningsår+ProsjektetsLevetid-1),IF(Åpningsår="",,LOOKUP(S43,SerieÅR,(-Serie_Veibruksavgift_byggefase))/1000000),"")</f>
        <v>0</v>
      </c>
      <c r="T49" s="712" cm="1">
        <f t="array" ref="T49">IF(T$10&lt;=(Åpningsår+ProsjektetsLevetid-1),IF(Åpningsår="",,LOOKUP(T43,SerieÅR,(-Serie_Veibruksavgift_byggefase))/1000000),"")</f>
        <v>0</v>
      </c>
      <c r="U49" s="712" cm="1">
        <f t="array" ref="U49">IF(U$10&lt;=(Åpningsår+ProsjektetsLevetid-1),IF(Åpningsår="",,LOOKUP(U43,SerieÅR,(-Serie_Veibruksavgift_byggefase))/1000000),"")</f>
        <v>0</v>
      </c>
      <c r="V49" s="712" cm="1">
        <f t="array" ref="V49">IF(V$10&lt;=(Åpningsår+ProsjektetsLevetid-1),IF(Åpningsår="",,LOOKUP(V43,SerieÅR,(-Serie_Veibruksavgift_byggefase))/1000000),"")</f>
        <v>0</v>
      </c>
      <c r="W49" s="712" t="str" cm="1">
        <f t="array" ref="W49">IF(W$10&lt;=(Åpningsår+ProsjektetsLevetid-1),IF(Åpningsår="",,LOOKUP(W43,SerieÅR,(-Serie_Veibruksavgift_byggefase))/1000000),"")</f>
        <v/>
      </c>
      <c r="X49" s="712" t="str" cm="1">
        <f t="array" ref="X49">IF(X$10&lt;=(Åpningsår+ProsjektetsLevetid-1),IF(Åpningsår="",,LOOKUP(X43,SerieÅR,(-Serie_Veibruksavgift_byggefase))/1000000),"")</f>
        <v/>
      </c>
      <c r="Y49" s="712" t="str" cm="1">
        <f t="array" ref="Y49">IF(Y$10&lt;=(Åpningsår+ProsjektetsLevetid-1),IF(Åpningsår="",,LOOKUP(Y43,SerieÅR,(-Serie_Veibruksavgift_byggefase))/1000000),"")</f>
        <v/>
      </c>
      <c r="Z49" s="712" t="str" cm="1">
        <f t="array" ref="Z49">IF(Z$10&lt;=(Åpningsår+ProsjektetsLevetid-1),IF(Åpningsår="",,LOOKUP(Z43,SerieÅR,(-Serie_Veibruksavgift_byggefase))/1000000),"")</f>
        <v/>
      </c>
      <c r="AA49" s="712" t="str" cm="1">
        <f t="array" ref="AA49">IF(AA$10&lt;=(Åpningsår+ProsjektetsLevetid-1),IF(Åpningsår="",,LOOKUP(AA43,SerieÅR,(-Serie_Veibruksavgift_byggefase))/1000000),"")</f>
        <v/>
      </c>
      <c r="AB49" s="712" t="str" cm="1">
        <f t="array" ref="AB49">IF(AB$10&lt;=(Åpningsår+ProsjektetsLevetid-1),IF(Åpningsår="",,LOOKUP(AB43,SerieÅR,(-Serie_Veibruksavgift_byggefase))/1000000),"")</f>
        <v/>
      </c>
      <c r="AC49" s="712" t="str" cm="1">
        <f t="array" ref="AC49">IF(AC$10&lt;=(Åpningsår+ProsjektetsLevetid-1),IF(Åpningsår="",,LOOKUP(AC43,SerieÅR,(-Serie_Veibruksavgift_byggefase))/1000000),"")</f>
        <v/>
      </c>
      <c r="AD49" s="712" t="str" cm="1">
        <f t="array" ref="AD49">IF(AD$10&lt;=(Åpningsår+ProsjektetsLevetid-1),IF(Åpningsår="",,LOOKUP(AD43,SerieÅR,(-Serie_Veibruksavgift_byggefase))/1000000),"")</f>
        <v/>
      </c>
      <c r="AE49" s="712" t="str" cm="1">
        <f t="array" ref="AE49">IF(AE$10&lt;=(Åpningsår+ProsjektetsLevetid-1),IF(Åpningsår="",,LOOKUP(AE43,SerieÅR,(-Serie_Veibruksavgift_byggefase))/1000000),"")</f>
        <v/>
      </c>
      <c r="AF49" s="712" t="str" cm="1">
        <f t="array" ref="AF49">IF(AF$10&lt;=(Åpningsår+ProsjektetsLevetid-1),IF(Åpningsår="",,LOOKUP(AF43,SerieÅR,(-Serie_Veibruksavgift_byggefase))/1000000),"")</f>
        <v/>
      </c>
      <c r="AG49" s="712" t="str" cm="1">
        <f t="array" ref="AG49">IF(AG$10&lt;=(Åpningsår+ProsjektetsLevetid-1),IF(Åpningsår="",,LOOKUP(AG43,SerieÅR,(-Serie_Veibruksavgift_byggefase))/1000000),"")</f>
        <v/>
      </c>
      <c r="AH49" s="712" t="str" cm="1">
        <f t="array" ref="AH49">IF(AH$10&lt;=(Åpningsår+ProsjektetsLevetid-1),IF(Åpningsår="",,LOOKUP(AH43,SerieÅR,(-Serie_Veibruksavgift_byggefase))/1000000),"")</f>
        <v/>
      </c>
      <c r="AI49" s="712" t="str" cm="1">
        <f t="array" ref="AI49">IF(AI$10&lt;=(Åpningsår+ProsjektetsLevetid-1),IF(Åpningsår="",,LOOKUP(AI43,SerieÅR,(-Serie_Veibruksavgift_byggefase))/1000000),"")</f>
        <v/>
      </c>
      <c r="AJ49" s="712" t="str" cm="1">
        <f t="array" ref="AJ49">IF(AJ$10&lt;=(Åpningsår+ProsjektetsLevetid-1),IF(Åpningsår="",,LOOKUP(AJ43,SerieÅR,(-Serie_Veibruksavgift_byggefase))/1000000),"")</f>
        <v/>
      </c>
      <c r="AK49" s="712" t="str" cm="1">
        <f t="array" ref="AK49">IF(AK$10&lt;=(Åpningsår+ProsjektetsLevetid-1),IF(Åpningsår="",,LOOKUP(AK43,SerieÅR,(-Serie_Veibruksavgift_byggefase))/1000000),"")</f>
        <v/>
      </c>
      <c r="AL49" s="712" t="str" cm="1">
        <f t="array" ref="AL49">IF(AL$10&lt;=(Åpningsår+ProsjektetsLevetid-1),IF(Åpningsår="",,LOOKUP(AL43,SerieÅR,(-Serie_Veibruksavgift_byggefase))/1000000),"")</f>
        <v/>
      </c>
      <c r="AM49" s="712" t="str" cm="1">
        <f t="array" ref="AM49">IF(AM$10&lt;=(Åpningsår+ProsjektetsLevetid-1),IF(Åpningsår="",,LOOKUP(AM43,SerieÅR,(-Serie_Veibruksavgift_byggefase))/1000000),"")</f>
        <v/>
      </c>
      <c r="AN49" s="712" t="str" cm="1">
        <f t="array" ref="AN49">IF(AN$10&lt;=(Åpningsår+ProsjektetsLevetid-1),IF(Åpningsår="",,LOOKUP(AN43,SerieÅR,(-Serie_Veibruksavgift_byggefase))/1000000),"")</f>
        <v/>
      </c>
      <c r="AO49" s="712" t="str" cm="1">
        <f t="array" ref="AO49">IF(AO$10&lt;=(Åpningsår+ProsjektetsLevetid-1),IF(Åpningsår="",,LOOKUP(AO43,SerieÅR,(-Serie_Veibruksavgift_byggefase))/1000000),"")</f>
        <v/>
      </c>
      <c r="AP49" s="712" t="str" cm="1">
        <f t="array" ref="AP49">IF(AP$10&lt;=(Åpningsår+ProsjektetsLevetid-1),IF(Åpningsår="",,LOOKUP(AP43,SerieÅR,(-Serie_Veibruksavgift_byggefase))/1000000),"")</f>
        <v/>
      </c>
      <c r="AQ49" s="712" t="str" cm="1">
        <f t="array" ref="AQ49">IF(AQ$10&lt;=(Åpningsår+ProsjektetsLevetid-1),IF(Åpningsår="",,LOOKUP(AQ43,SerieÅR,(-Serie_Veibruksavgift_byggefase))/1000000),"")</f>
        <v/>
      </c>
      <c r="AR49" s="712" t="str" cm="1">
        <f t="array" ref="AR49">IF(AR$10&lt;=(Åpningsår+ProsjektetsLevetid-1),IF(Åpningsår="",,LOOKUP(AR43,SerieÅR,(-Serie_Veibruksavgift_byggefase))/1000000),"")</f>
        <v/>
      </c>
      <c r="AS49" s="712" t="str" cm="1">
        <f t="array" ref="AS49">IF(AS$10&lt;=(Åpningsår+ProsjektetsLevetid-1),IF(Åpningsår="",,LOOKUP(AS43,SerieÅR,(-Serie_Veibruksavgift_byggefase))/1000000),"")</f>
        <v/>
      </c>
      <c r="AT49" s="712" t="str" cm="1">
        <f t="array" ref="AT49">IF(AT$10&lt;=(Åpningsår+ProsjektetsLevetid-1),IF(Åpningsår="",,LOOKUP(AT43,SerieÅR,(-Serie_Veibruksavgift_byggefase))/1000000),"")</f>
        <v/>
      </c>
      <c r="AU49" s="712" t="str" cm="1">
        <f t="array" ref="AU49">IF(AU$10&lt;=(Åpningsår+ProsjektetsLevetid-1),IF(Åpningsår="",,LOOKUP(AU43,SerieÅR,(-Serie_Veibruksavgift_byggefase))/1000000),"")</f>
        <v/>
      </c>
      <c r="AV49" s="712" t="str" cm="1">
        <f t="array" ref="AV49">IF(AV$10&lt;=(Åpningsår+ProsjektetsLevetid-1),IF(Åpningsår="",,LOOKUP(AV43,SerieÅR,(-Serie_Veibruksavgift_byggefase))/1000000),"")</f>
        <v/>
      </c>
      <c r="AW49" s="712" t="str" cm="1">
        <f t="array" ref="AW49">IF(AW$10&lt;=(Åpningsår+ProsjektetsLevetid-1),IF(Åpningsår="",,LOOKUP(AW43,SerieÅR,(-Serie_Veibruksavgift_byggefase))/1000000),"")</f>
        <v/>
      </c>
      <c r="AX49" s="712" t="str" cm="1">
        <f t="array" ref="AX49">IF(AX$10&lt;=(Åpningsår+ProsjektetsLevetid-1),IF(Åpningsår="",,LOOKUP(AX43,SerieÅR,(-Serie_Veibruksavgift_byggefase))/1000000),"")</f>
        <v/>
      </c>
      <c r="AY49" s="712" t="str" cm="1">
        <f t="array" ref="AY49">IF(AY$10&lt;=(Åpningsår+ProsjektetsLevetid-1),IF(Åpningsår="",,LOOKUP(AY43,SerieÅR,(-Serie_Veibruksavgift_byggefase))/1000000),"")</f>
        <v/>
      </c>
      <c r="AZ49" s="712" t="str" cm="1">
        <f t="array" ref="AZ49">IF(AZ$10&lt;=(Åpningsår+ProsjektetsLevetid-1),IF(Åpningsår="",,LOOKUP(AZ43,SerieÅR,(-Serie_Veibruksavgift_byggefase))/1000000),"")</f>
        <v/>
      </c>
      <c r="BA49" s="712" t="str" cm="1">
        <f t="array" ref="BA49">IF(BA$10&lt;=(Åpningsår+ProsjektetsLevetid-1),IF(Åpningsår="",,LOOKUP(BA43,SerieÅR,(-Serie_Veibruksavgift_byggefase))/1000000),"")</f>
        <v/>
      </c>
      <c r="BB49" s="712" t="str" cm="1">
        <f t="array" ref="BB49">IF(BB$10&lt;=(Åpningsår+ProsjektetsLevetid-1),IF(Åpningsår="",,LOOKUP(BB43,SerieÅR,(-Serie_Veibruksavgift_byggefase))/1000000),"")</f>
        <v/>
      </c>
      <c r="BC49" s="712" t="str" cm="1">
        <f t="array" ref="BC49">IF(BC$10&lt;=(Åpningsår+ProsjektetsLevetid-1),IF(Åpningsår="",,LOOKUP(BC43,SerieÅR,(-Serie_Veibruksavgift_byggefase))/1000000),"")</f>
        <v/>
      </c>
      <c r="BD49" s="712" t="str" cm="1">
        <f t="array" ref="BD49">IF(BD$10&lt;=(Åpningsår+ProsjektetsLevetid-1),IF(Åpningsår="",,LOOKUP(BD43,SerieÅR,(-Serie_Veibruksavgift_byggefase))/1000000),"")</f>
        <v/>
      </c>
      <c r="BE49" s="712" t="str" cm="1">
        <f t="array" ref="BE49">IF(BE$10&lt;=(Åpningsår+ProsjektetsLevetid-1),IF(Åpningsår="",,LOOKUP(BE43,SerieÅR,(-Serie_Veibruksavgift_byggefase))/1000000),"")</f>
        <v/>
      </c>
      <c r="BF49" s="712" t="str" cm="1">
        <f t="array" ref="BF49">IF(BF$10&lt;=(Åpningsår+ProsjektetsLevetid-1),IF(Åpningsår="",,LOOKUP(BF43,SerieÅR,(-Serie_Veibruksavgift_byggefase))/1000000),"")</f>
        <v/>
      </c>
      <c r="BG49" s="712" t="str" cm="1">
        <f t="array" ref="BG49">IF(BG$10&lt;=(Åpningsår+ProsjektetsLevetid-1),IF(Åpningsår="",,LOOKUP(BG43,SerieÅR,(-Serie_Veibruksavgift_byggefase))/1000000),"")</f>
        <v/>
      </c>
      <c r="BH49" s="712" t="str" cm="1">
        <f t="array" ref="BH49">IF(BH$10&lt;=(Åpningsår+ProsjektetsLevetid-1),IF(Åpningsår="",,LOOKUP(BH43,SerieÅR,(-Serie_Veibruksavgift_byggefase))/1000000),"")</f>
        <v/>
      </c>
      <c r="BI49" s="712" t="str" cm="1">
        <f t="array" ref="BI49">IF(BI$10&lt;=(Åpningsår+ProsjektetsLevetid-1),IF(Åpningsår="",,LOOKUP(BI43,SerieÅR,(-Serie_Veibruksavgift_byggefase))/1000000),"")</f>
        <v/>
      </c>
      <c r="BJ49" s="712" t="str" cm="1">
        <f t="array" ref="BJ49">IF(BJ$10&lt;=(Åpningsår+ProsjektetsLevetid-1),IF(Åpningsår="",,LOOKUP(BJ43,SerieÅR,(-Serie_Veibruksavgift_byggefase))/1000000),"")</f>
        <v/>
      </c>
      <c r="BK49" s="712" t="str" cm="1">
        <f t="array" ref="BK49">IF(BK$10&lt;=(Åpningsår+ProsjektetsLevetid-1),IF(Åpningsår="",,LOOKUP(BK43,SerieÅR,(-Serie_Veibruksavgift_byggefase))/1000000),"")</f>
        <v/>
      </c>
      <c r="BL49" s="712" t="str" cm="1">
        <f t="array" ref="BL49">IF(BL$10&lt;=(Åpningsår+ProsjektetsLevetid-1),IF(Åpningsår="",,LOOKUP(BL43,SerieÅR,(-Serie_Veibruksavgift_byggefase))/1000000),"")</f>
        <v/>
      </c>
      <c r="BM49" s="712" t="str" cm="1">
        <f t="array" ref="BM49">IF(BM$10&lt;=(Åpningsår+ProsjektetsLevetid-1),IF(Åpningsår="",,LOOKUP(BM43,SerieÅR,(-Serie_Veibruksavgift_byggefase))/1000000),"")</f>
        <v/>
      </c>
      <c r="BN49" s="712" t="str" cm="1">
        <f t="array" ref="BN49">IF(BN$10&lt;=(Åpningsår+ProsjektetsLevetid-1),IF(Åpningsår="",,LOOKUP(BN43,SerieÅR,(-Serie_Veibruksavgift_byggefase))/1000000),"")</f>
        <v/>
      </c>
      <c r="BO49" s="712" t="str" cm="1">
        <f t="array" ref="BO49">IF(BO$10&lt;=(Åpningsår+ProsjektetsLevetid-1),IF(Åpningsår="",,LOOKUP(BO43,SerieÅR,(-Serie_Veibruksavgift_byggefase))/1000000),"")</f>
        <v/>
      </c>
      <c r="BP49" s="712" t="str" cm="1">
        <f t="array" ref="BP49">IF(BP$10&lt;=(Åpningsår+ProsjektetsLevetid-1),IF(Åpningsår="",,LOOKUP(BP43,SerieÅR,(-Serie_Veibruksavgift_byggefase))/1000000),"")</f>
        <v/>
      </c>
      <c r="BQ49" s="712" t="str" cm="1">
        <f t="array" ref="BQ49">IF(BQ$10&lt;=(Åpningsår+ProsjektetsLevetid-1),IF(Åpningsår="",,LOOKUP(BQ43,SerieÅR,(-Serie_Veibruksavgift_byggefase))/1000000),"")</f>
        <v/>
      </c>
      <c r="BR49" s="712" t="str" cm="1">
        <f t="array" ref="BR49">IF(BR$10&lt;=(Åpningsår+ProsjektetsLevetid-1),IF(Åpningsår="",,LOOKUP(BR43,SerieÅR,(-Serie_Veibruksavgift_byggefase))/1000000),"")</f>
        <v/>
      </c>
      <c r="BS49" s="712" t="str" cm="1">
        <f t="array" ref="BS49">IF(BS$10&lt;=(Åpningsår+ProsjektetsLevetid-1),IF(Åpningsår="",,LOOKUP(BS43,SerieÅR,(-Serie_Veibruksavgift_byggefase))/1000000),"")</f>
        <v/>
      </c>
      <c r="BT49" s="712" t="str" cm="1">
        <f t="array" ref="BT49">IF(BT$10&lt;=(Åpningsår+ProsjektetsLevetid-1),IF(Åpningsår="",,LOOKUP(BT43,SerieÅR,(-Serie_Veibruksavgift_byggefase))/1000000),"")</f>
        <v/>
      </c>
      <c r="BU49" s="712" t="str" cm="1">
        <f t="array" ref="BU49">IF(BU$10&lt;=(Åpningsår+ProsjektetsLevetid-1),IF(Åpningsår="",,LOOKUP(BU43,SerieÅR,(-Serie_Veibruksavgift_byggefase))/1000000),"")</f>
        <v/>
      </c>
      <c r="BV49" s="712" t="str" cm="1">
        <f t="array" ref="BV49">IF(BV$10&lt;=(Åpningsår+ProsjektetsLevetid-1),IF(Åpningsår="",,LOOKUP(BV43,SerieÅR,(-Serie_Veibruksavgift_byggefase))/1000000),"")</f>
        <v/>
      </c>
      <c r="BW49" s="712" t="str" cm="1">
        <f t="array" ref="BW49">IF(BW$10&lt;=(Åpningsår+ProsjektetsLevetid-1),IF(Åpningsår="",,LOOKUP(BW43,SerieÅR,(-Serie_Veibruksavgift_byggefase))/1000000),"")</f>
        <v/>
      </c>
      <c r="BX49" s="712" t="str" cm="1">
        <f t="array" ref="BX49">IF(BX$10&lt;=(Åpningsår+ProsjektetsLevetid-1),IF(Åpningsår="",,LOOKUP(BX43,SerieÅR,(-Serie_Veibruksavgift_byggefase))/1000000),"")</f>
        <v/>
      </c>
      <c r="BY49" s="712" t="str" cm="1">
        <f t="array" ref="BY49">IF(BY$10&lt;=(Åpningsår+ProsjektetsLevetid-1),IF(Åpningsår="",,LOOKUP(BY43,SerieÅR,(-Serie_Veibruksavgift_byggefase))/1000000),"")</f>
        <v/>
      </c>
      <c r="BZ49" s="712" t="str" cm="1">
        <f t="array" ref="BZ49">IF(BZ$10&lt;=(Åpningsår+ProsjektetsLevetid-1),IF(Åpningsår="",,LOOKUP(BZ43,SerieÅR,(-Serie_Veibruksavgift_byggefase))/1000000),"")</f>
        <v/>
      </c>
      <c r="CA49" s="712" t="str" cm="1">
        <f t="array" ref="CA49">IF(CA$10&lt;=(Åpningsår+ProsjektetsLevetid-1),IF(Åpningsår="",,LOOKUP(CA43,SerieÅR,(-Serie_Veibruksavgift_byggefase))/1000000),"")</f>
        <v/>
      </c>
      <c r="CB49" s="712" t="str" cm="1">
        <f t="array" ref="CB49">IF(CB$10&lt;=(Åpningsår+ProsjektetsLevetid-1),IF(Åpningsår="",,LOOKUP(CB43,SerieÅR,(-Serie_Veibruksavgift_byggefase))/1000000),"")</f>
        <v/>
      </c>
      <c r="CC49" s="712" t="str" cm="1">
        <f t="array" ref="CC49">IF(CC$10&lt;=(Åpningsår+ProsjektetsLevetid-1),IF(Åpningsår="",,LOOKUP(CC43,SerieÅR,(-Serie_Veibruksavgift_byggefase))/1000000),"")</f>
        <v/>
      </c>
      <c r="CD49" s="712" t="str" cm="1">
        <f t="array" ref="CD49">IF(CD$10&lt;=(Åpningsår+ProsjektetsLevetid-1),IF(Åpningsår="",,LOOKUP(CD43,SerieÅR,(-Serie_Veibruksavgift_byggefase))/1000000),"")</f>
        <v/>
      </c>
      <c r="CE49" s="712" t="str" cm="1">
        <f t="array" ref="CE49">IF(CE$10&lt;=(Åpningsår+ProsjektetsLevetid-1),IF(Åpningsår="",,LOOKUP(CE43,SerieÅR,(-Serie_Veibruksavgift_byggefase))/1000000),"")</f>
        <v/>
      </c>
      <c r="CF49" s="712" t="str" cm="1">
        <f t="array" ref="CF49">IF(CF$10&lt;=(Åpningsår+ProsjektetsLevetid-1),IF(Åpningsår="",,LOOKUP(CF43,SerieÅR,(-Serie_Veibruksavgift_byggefase))/1000000),"")</f>
        <v/>
      </c>
      <c r="CG49" s="712" t="str" cm="1">
        <f t="array" ref="CG49">IF(CG$10&lt;=(Åpningsår+ProsjektetsLevetid-1),IF(Åpningsår="",,LOOKUP(CG43,SerieÅR,(-Serie_Veibruksavgift_byggefase))/1000000),"")</f>
        <v/>
      </c>
      <c r="CH49" s="712" t="str" cm="1">
        <f t="array" ref="CH49">IF(CH$10&lt;=(Åpningsår+ProsjektetsLevetid-1),IF(Åpningsår="",,LOOKUP(CH43,SerieÅR,(-Serie_Veibruksavgift_byggefase))/1000000),"")</f>
        <v/>
      </c>
      <c r="CI49" s="712" t="str" cm="1">
        <f t="array" ref="CI49">IF(CI$10&lt;=(Åpningsår+ProsjektetsLevetid-1),IF(Åpningsår="",,LOOKUP(CI43,SerieÅR,(-Serie_Veibruksavgift_byggefase))/1000000),"")</f>
        <v/>
      </c>
      <c r="CJ49" s="712" t="str" cm="1">
        <f t="array" ref="CJ49">IF(CJ$10&lt;=(Åpningsår+ProsjektetsLevetid-1),IF(Åpningsår="",,LOOKUP(CJ43,SerieÅR,(-Serie_Veibruksavgift_byggefase))/1000000),"")</f>
        <v/>
      </c>
      <c r="CK49" s="712" t="str" cm="1">
        <f t="array" ref="CK49">IF(CK$10&lt;=(Åpningsår+ProsjektetsLevetid-1),IF(Åpningsår="",,LOOKUP(CK43,SerieÅR,(-Serie_Veibruksavgift_byggefase))/1000000),"")</f>
        <v/>
      </c>
      <c r="CL49" s="712" t="str" cm="1">
        <f t="array" ref="CL49">IF(CL$10&lt;=(Åpningsår+ProsjektetsLevetid-1),IF(Åpningsår="",,LOOKUP(CL43,SerieÅR,(-Serie_Veibruksavgift_byggefase))/1000000),"")</f>
        <v/>
      </c>
      <c r="CM49" s="712" t="str" cm="1">
        <f t="array" ref="CM49">IF(CM$10&lt;=(Åpningsår+ProsjektetsLevetid-1),IF(Åpningsår="",,LOOKUP(CM43,SerieÅR,(-Serie_Veibruksavgift_byggefase))/1000000),"")</f>
        <v/>
      </c>
      <c r="CN49" s="712" t="str" cm="1">
        <f t="array" ref="CN49">IF(CN$10&lt;=(Åpningsår+ProsjektetsLevetid-1),IF(Åpningsår="",,LOOKUP(CN43,SerieÅR,(-Serie_Veibruksavgift_byggefase))/1000000),"")</f>
        <v/>
      </c>
      <c r="CO49" s="712" t="str" cm="1">
        <f t="array" ref="CO49">IF(CO$10&lt;=(Åpningsår+ProsjektetsLevetid-1),IF(Åpningsår="",,LOOKUP(CO43,SerieÅR,(-Serie_Veibruksavgift_byggefase))/1000000),"")</f>
        <v/>
      </c>
      <c r="CP49" s="712" t="str" cm="1">
        <f t="array" ref="CP49">IF(CP$10&lt;=(Åpningsår+ProsjektetsLevetid-1),IF(Åpningsår="",,LOOKUP(CP43,SerieÅR,(-Serie_Veibruksavgift_byggefase))/1000000),"")</f>
        <v/>
      </c>
      <c r="CQ49" s="712" t="str" cm="1">
        <f t="array" ref="CQ49">IF(CQ$10&lt;=(Åpningsår+ProsjektetsLevetid-1),IF(Åpningsår="",,LOOKUP(CQ43,SerieÅR,(-Serie_Veibruksavgift_byggefase))/1000000),"")</f>
        <v/>
      </c>
      <c r="CR49" s="712" t="str" cm="1">
        <f t="array" ref="CR49">IF(CR$10&lt;=(Åpningsår+ProsjektetsLevetid-1),IF(Åpningsår="",,LOOKUP(CR43,SerieÅR,(-Serie_Veibruksavgift_byggefase))/1000000),"")</f>
        <v/>
      </c>
      <c r="CS49" s="712" t="str" cm="1">
        <f t="array" ref="CS49">IF(CS$10&lt;=(Åpningsår+ProsjektetsLevetid-1),IF(Åpningsår="",,LOOKUP(CS43,SerieÅR,(-Serie_Veibruksavgift_byggefase))/1000000),"")</f>
        <v/>
      </c>
      <c r="CT49" s="712" t="str" cm="1">
        <f t="array" ref="CT49">IF(CT$10&lt;=(Åpningsår+ProsjektetsLevetid-1),IF(Åpningsår="",,LOOKUP(CT43,SerieÅR,(-Serie_Veibruksavgift_byggefase))/1000000),"")</f>
        <v/>
      </c>
      <c r="CU49" s="712" t="str" cm="1">
        <f t="array" ref="CU49">IF(CU$10&lt;=(Åpningsår+ProsjektetsLevetid-1),IF(Åpningsår="",,LOOKUP(CU43,SerieÅR,(-Serie_Veibruksavgift_byggefase))/1000000),"")</f>
        <v/>
      </c>
      <c r="CV49" s="712" t="str" cm="1">
        <f t="array" ref="CV49">IF(CV$10&lt;=(Åpningsår+ProsjektetsLevetid-1),IF(Åpningsår="",,LOOKUP(CV43,SerieÅR,(-Serie_Veibruksavgift_byggefase))/1000000),"")</f>
        <v/>
      </c>
      <c r="CW49" s="712" t="str" cm="1">
        <f t="array" ref="CW49">IF(CW$10&lt;=(Åpningsår+ProsjektetsLevetid-1),IF(Åpningsår="",,LOOKUP(CW43,SerieÅR,(-Serie_Veibruksavgift_byggefase))/1000000),"")</f>
        <v/>
      </c>
      <c r="CX49" s="712" t="str" cm="1">
        <f t="array" ref="CX49">IF(CX$10&lt;=(Åpningsår+ProsjektetsLevetid-1),IF(Åpningsår="",,LOOKUP(CX43,SerieÅR,(-Serie_Veibruksavgift_byggefase))/1000000),"")</f>
        <v/>
      </c>
      <c r="CY49" s="712" t="str" cm="1">
        <f t="array" ref="CY49">IF(CY$10&lt;=(Åpningsår+ProsjektetsLevetid-1),IF(Åpningsår="",,LOOKUP(CY43,SerieÅR,(-Serie_Veibruksavgift_byggefase))/1000000),"")</f>
        <v/>
      </c>
      <c r="CZ49" s="712" t="str" cm="1">
        <f t="array" ref="CZ49">IF(CZ$10&lt;=(Åpningsår+ProsjektetsLevetid-1),IF(Åpningsår="",,LOOKUP(CZ43,SerieÅR,(-Serie_Veibruksavgift_byggefase))/1000000),"")</f>
        <v/>
      </c>
      <c r="DA49" s="712" t="str" cm="1">
        <f t="array" ref="DA49">IF(DA$10&lt;=(Åpningsår+ProsjektetsLevetid-1),IF(Åpningsår="",,LOOKUP(DA43,SerieÅR,(-Serie_Veibruksavgift_byggefase))/1000000),"")</f>
        <v/>
      </c>
      <c r="DB49" s="712" t="str" cm="1">
        <f t="array" ref="DB49">IF(DB$10&lt;=(Åpningsår+ProsjektetsLevetid-1),IF(Åpningsår="",,LOOKUP(DB43,SerieÅR,(-Serie_Veibruksavgift_byggefase))/1000000),"")</f>
        <v/>
      </c>
      <c r="DC49" s="712" t="str" cm="1">
        <f t="array" ref="DC49">IF(DC$10&lt;=(Åpningsår+ProsjektetsLevetid-1),IF(Åpningsår="",,LOOKUP(DC43,SerieÅR,(-Serie_Veibruksavgift_byggefase))/1000000),"")</f>
        <v/>
      </c>
      <c r="DD49" s="712" t="str" cm="1">
        <f t="array" ref="DD49">IF(DD$10&lt;=(Åpningsår+ProsjektetsLevetid-1),IF(Åpningsår="",,LOOKUP(DD43,SerieÅR,(-Serie_Veibruksavgift_byggefase))/1000000),"")</f>
        <v/>
      </c>
      <c r="DE49" s="712" t="str" cm="1">
        <f t="array" ref="DE49">IF(DE$10&lt;=(Åpningsår+ProsjektetsLevetid-1),IF(Åpningsår="",,LOOKUP(DE43,SerieÅR,(-Serie_Veibruksavgift_byggefase))/1000000),"")</f>
        <v/>
      </c>
      <c r="DF49" s="712" t="str" cm="1">
        <f t="array" ref="DF49">IF(DF$10&lt;=(Åpningsår+ProsjektetsLevetid-1),IF(Åpningsår="",,LOOKUP(DF43,SerieÅR,(-Serie_Veibruksavgift_byggefase))/1000000),"")</f>
        <v/>
      </c>
      <c r="DG49" s="712" t="str" cm="1">
        <f t="array" ref="DG49">IF(DG$10&lt;=(Åpningsår+ProsjektetsLevetid-1),IF(Åpningsår="",,LOOKUP(DG43,SerieÅR,(-Serie_Veibruksavgift_byggefase))/1000000),"")</f>
        <v/>
      </c>
      <c r="DH49" s="712" t="str" cm="1">
        <f t="array" ref="DH49">IF(DH$10&lt;=(Åpningsår+ProsjektetsLevetid-1),IF(Åpningsår="",,LOOKUP(DH43,SerieÅR,(-Serie_Veibruksavgift_byggefase))/1000000),"")</f>
        <v/>
      </c>
      <c r="DI49" s="712" t="str" cm="1">
        <f t="array" ref="DI49">IF(DI$10&lt;=(Åpningsår+ProsjektetsLevetid-1),IF(Åpningsår="",,LOOKUP(DI43,SerieÅR,(-Serie_Veibruksavgift_byggefase))/1000000),"")</f>
        <v/>
      </c>
      <c r="DJ49" s="712" t="str" cm="1">
        <f t="array" ref="DJ49">IF(DJ$10&lt;=(Åpningsår+ProsjektetsLevetid-1),IF(Åpningsår="",,LOOKUP(DJ43,SerieÅR,(-Serie_Veibruksavgift_byggefase))/1000000),"")</f>
        <v/>
      </c>
      <c r="DK49" s="712" t="str" cm="1">
        <f t="array" ref="DK49">IF(DK$10&lt;=(Åpningsår+ProsjektetsLevetid-1),IF(Åpningsår="",,LOOKUP(DK43,SerieÅR,(-Serie_Veibruksavgift_byggefase))/1000000),"")</f>
        <v/>
      </c>
      <c r="DL49" s="712" t="str" cm="1">
        <f t="array" ref="DL49">IF(DL$10&lt;=(Åpningsår+ProsjektetsLevetid-1),IF(Åpningsår="",,LOOKUP(DL43,SerieÅR,(-Serie_Veibruksavgift_byggefase))/1000000),"")</f>
        <v/>
      </c>
      <c r="DM49" s="712" t="str" cm="1">
        <f t="array" ref="DM49">IF(DM$10&lt;=(Åpningsår+ProsjektetsLevetid-1),IF(Åpningsår="",,LOOKUP(DM43,SerieÅR,(-Serie_Veibruksavgift_byggefase))/1000000),"")</f>
        <v/>
      </c>
      <c r="DN49" s="712" t="str" cm="1">
        <f t="array" ref="DN49">IF(DN$10&lt;=(Åpningsår+ProsjektetsLevetid-1),IF(Åpningsår="",,LOOKUP(DN43,SerieÅR,(-Serie_Veibruksavgift_byggefase))/1000000),"")</f>
        <v/>
      </c>
      <c r="DO49" s="712" t="str" cm="1">
        <f t="array" ref="DO49">IF(DO$10&lt;=(Åpningsår+ProsjektetsLevetid-1),IF(Åpningsår="",,LOOKUP(DO43,SerieÅR,(-Serie_Veibruksavgift_byggefase))/1000000),"")</f>
        <v/>
      </c>
      <c r="DP49" s="712" t="str" cm="1">
        <f t="array" ref="DP49">IF(DP$10&lt;=(Åpningsår+ProsjektetsLevetid-1),IF(Åpningsår="",,LOOKUP(DP43,SerieÅR,(-Serie_Veibruksavgift_byggefase))/1000000),"")</f>
        <v/>
      </c>
      <c r="DQ49" s="712" t="str" cm="1">
        <f t="array" ref="DQ49">IF(DQ$10&lt;=(Åpningsår+ProsjektetsLevetid-1),IF(Åpningsår="",,LOOKUP(DQ43,SerieÅR,(-Serie_Veibruksavgift_byggefase))/1000000),"")</f>
        <v/>
      </c>
      <c r="DR49" s="712" t="str" cm="1">
        <f t="array" ref="DR49">IF(DR$10&lt;=(Åpningsår+ProsjektetsLevetid-1),IF(Åpningsår="",,LOOKUP(DR43,SerieÅR,(-Serie_Veibruksavgift_byggefase))/1000000),"")</f>
        <v/>
      </c>
      <c r="DS49" s="801">
        <f ca="1">SUMPRODUCT(('1.5 Prognoser og indekser'!$R$12:OFFSET('1.5 Prognoser og indekser'!$R$12,0,$DS$9)),($M49:OFFSET($M49,0,$DS$9)))</f>
        <v>0</v>
      </c>
      <c r="DT49" s="802">
        <f ca="1">IF($DT$9&lt;1,0,SUMPRODUCT(OFFSET('1.5 Prognoser og indekser'!$R$12,0,$DS$9+1,1,$DT$9),OFFSET($M49,0,$DS$9+1,1,$DT$9)))</f>
        <v>0</v>
      </c>
    </row>
    <row r="50" spans="1:124" s="59" customFormat="1" x14ac:dyDescent="0.35">
      <c r="B50" s="102"/>
      <c r="C50" s="215" t="str">
        <f>'2.3 Det Offentlige'!B24</f>
        <v>CO2-avgift</v>
      </c>
      <c r="D50" s="8"/>
      <c r="E50" s="8"/>
      <c r="F50" s="8"/>
      <c r="G50" s="8"/>
      <c r="H50" s="8"/>
      <c r="I50" s="8"/>
      <c r="J50" s="1019"/>
      <c r="K50" s="1019"/>
      <c r="L50" s="41"/>
      <c r="M50" s="8"/>
      <c r="N50" s="8"/>
      <c r="O50" s="8"/>
      <c r="P50" s="8"/>
      <c r="Q50" s="8"/>
      <c r="R50" s="8"/>
      <c r="S50" s="8"/>
      <c r="T50" s="8"/>
      <c r="U50" s="8"/>
      <c r="V50" s="8"/>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979"/>
      <c r="DT50" s="216"/>
    </row>
    <row r="51" spans="1:124" s="59" customFormat="1" x14ac:dyDescent="0.35">
      <c r="C51" s="218" t="s">
        <v>1593</v>
      </c>
      <c r="D51" s="463">
        <f>'2.3 Det Offentlige'!C25</f>
        <v>0</v>
      </c>
      <c r="E51" s="463">
        <f>'2.3 Det Offentlige'!D25</f>
        <v>0</v>
      </c>
      <c r="F51" s="463">
        <f>'2.3 Det Offentlige'!E25</f>
        <v>0</v>
      </c>
      <c r="G51" s="463">
        <f>TogkmD_År1/1000000</f>
        <v>0</v>
      </c>
      <c r="H51" s="463">
        <f>TogkmD_År2/1000000</f>
        <v>0</v>
      </c>
      <c r="I51" s="463">
        <f>TogkmD_År3/1000000</f>
        <v>0</v>
      </c>
      <c r="J51" s="790">
        <f t="shared" ref="J51:J58" si="82">IF(Antall_Beregningsår&lt;2,1,IF(AND(G51=0,H51=0),1,IF(SIGN(G51)=SIGN(H51),(H51/G51)^(1/(AndreBeregningsår-FørsteBeregningsår)),((H51+1.1*ABS(G51-H51))/(G51+1.1*ABS(G51-H51)))^(1/(AndreBeregningsår-FørsteBeregningsår)))))</f>
        <v>1</v>
      </c>
      <c r="K51" s="790">
        <f t="shared" ref="K51:K58" si="83">IF(Antall_Beregningsår&lt;3,1,IF(AND(H51=0,I51=0),1,IF(SIGN(H51)=SIGN(I51),(I51/H51)^(1/(TredjeBeregningsår-AndreBeregningsår)),((I51+1.1*ABS(H51-I51))/(H51+1.1*ABS(H51-I51)))^(1/(TredjeBeregningsår-AndreBeregningsår)))))</f>
        <v>1</v>
      </c>
      <c r="L51" s="752">
        <f t="shared" ref="L51:L58" si="84">IF(Framskrivning="Lineær trend",IF(Antall_Beregningsår&gt;2,(F51-E51)/(TredjeBeregningsår-AndreBeregningsår),IF(Antall_Beregningsår&gt;1,(E51-D51)/(AndreBeregningsår-FørsteBeregningsår),0)),0)</f>
        <v>0</v>
      </c>
      <c r="M51" s="718"/>
      <c r="N51" s="718"/>
      <c r="O51" s="718"/>
      <c r="P51" s="718"/>
      <c r="Q51" s="718"/>
      <c r="R51" s="718"/>
      <c r="S51" s="718"/>
      <c r="T51" s="718"/>
      <c r="U51" s="752"/>
      <c r="V51" s="777"/>
      <c r="W51" s="463" t="str">
        <f t="shared" ref="W51:BB51" ca="1" si="85">IF(W$10&lt;=(Åpningsår+ProsjektetsLevetid-1),IF(W43&lt;=AndreBeregningsår,IF(SIGN($G51)=SIGN($H51),$G51*$J51^(W43-FørsteBeregningsår),($G51+1.1*ABS($G51-$H51))*$J51^(W43-FørsteBeregningsår)-1.1*ABS($G51-$H51)),IF(W43&lt;=TredjeBeregningsår,IF(SIGN($H51)=SIGN($I51),$H51*$K51^(W43-AndreBeregningsår),($H51+1.1*ABS($H51-$I51))*$K51^(W43-AndreBeregningsår)-1.1*ABS($H51-$I51)),OFFSET($G51,0,Antall_Beregningsår-1)*LOOKUP(W43,SerieÅR,SerieVolumvekstperson)+$L51*(W43-IF(Antall_Beregningsår&gt;2,TredjeBeregningsår,AndreBeregningsår))))*KPIJustering*LOOKUP(W43,SerieÅR,SerieCO2avgift_PersontogD),"")</f>
        <v/>
      </c>
      <c r="X51" s="463" t="str">
        <f t="shared" ca="1" si="85"/>
        <v/>
      </c>
      <c r="Y51" s="463" t="str">
        <f t="shared" ca="1" si="85"/>
        <v/>
      </c>
      <c r="Z51" s="463" t="str">
        <f t="shared" ca="1" si="85"/>
        <v/>
      </c>
      <c r="AA51" s="463" t="str">
        <f t="shared" ca="1" si="85"/>
        <v/>
      </c>
      <c r="AB51" s="463" t="str">
        <f t="shared" ca="1" si="85"/>
        <v/>
      </c>
      <c r="AC51" s="463" t="str">
        <f t="shared" ca="1" si="85"/>
        <v/>
      </c>
      <c r="AD51" s="463" t="str">
        <f t="shared" ca="1" si="85"/>
        <v/>
      </c>
      <c r="AE51" s="463" t="str">
        <f t="shared" ca="1" si="85"/>
        <v/>
      </c>
      <c r="AF51" s="463" t="str">
        <f t="shared" ca="1" si="85"/>
        <v/>
      </c>
      <c r="AG51" s="463" t="str">
        <f t="shared" ca="1" si="85"/>
        <v/>
      </c>
      <c r="AH51" s="463" t="str">
        <f t="shared" ca="1" si="85"/>
        <v/>
      </c>
      <c r="AI51" s="463" t="str">
        <f t="shared" ca="1" si="85"/>
        <v/>
      </c>
      <c r="AJ51" s="463" t="str">
        <f t="shared" ca="1" si="85"/>
        <v/>
      </c>
      <c r="AK51" s="463" t="str">
        <f t="shared" ca="1" si="85"/>
        <v/>
      </c>
      <c r="AL51" s="463" t="str">
        <f t="shared" ca="1" si="85"/>
        <v/>
      </c>
      <c r="AM51" s="463" t="str">
        <f t="shared" ca="1" si="85"/>
        <v/>
      </c>
      <c r="AN51" s="463" t="str">
        <f t="shared" ca="1" si="85"/>
        <v/>
      </c>
      <c r="AO51" s="463" t="str">
        <f t="shared" ca="1" si="85"/>
        <v/>
      </c>
      <c r="AP51" s="463" t="str">
        <f t="shared" ca="1" si="85"/>
        <v/>
      </c>
      <c r="AQ51" s="463" t="str">
        <f t="shared" ca="1" si="85"/>
        <v/>
      </c>
      <c r="AR51" s="463" t="str">
        <f t="shared" ca="1" si="85"/>
        <v/>
      </c>
      <c r="AS51" s="463" t="str">
        <f t="shared" ca="1" si="85"/>
        <v/>
      </c>
      <c r="AT51" s="463" t="str">
        <f t="shared" ca="1" si="85"/>
        <v/>
      </c>
      <c r="AU51" s="463" t="str">
        <f t="shared" ca="1" si="85"/>
        <v/>
      </c>
      <c r="AV51" s="463" t="str">
        <f t="shared" ca="1" si="85"/>
        <v/>
      </c>
      <c r="AW51" s="463" t="str">
        <f t="shared" ca="1" si="85"/>
        <v/>
      </c>
      <c r="AX51" s="463" t="str">
        <f t="shared" ca="1" si="85"/>
        <v/>
      </c>
      <c r="AY51" s="463" t="str">
        <f t="shared" ca="1" si="85"/>
        <v/>
      </c>
      <c r="AZ51" s="463" t="str">
        <f t="shared" ca="1" si="85"/>
        <v/>
      </c>
      <c r="BA51" s="463" t="str">
        <f t="shared" ca="1" si="85"/>
        <v/>
      </c>
      <c r="BB51" s="463" t="str">
        <f t="shared" ca="1" si="85"/>
        <v/>
      </c>
      <c r="BC51" s="463" t="str">
        <f t="shared" ref="BC51:CH51" ca="1" si="86">IF(BC$10&lt;=(Åpningsår+ProsjektetsLevetid-1),IF(BC43&lt;=AndreBeregningsår,IF(SIGN($G51)=SIGN($H51),$G51*$J51^(BC43-FørsteBeregningsår),($G51+1.1*ABS($G51-$H51))*$J51^(BC43-FørsteBeregningsår)-1.1*ABS($G51-$H51)),IF(BC43&lt;=TredjeBeregningsår,IF(SIGN($H51)=SIGN($I51),$H51*$K51^(BC43-AndreBeregningsår),($H51+1.1*ABS($H51-$I51))*$K51^(BC43-AndreBeregningsår)-1.1*ABS($H51-$I51)),OFFSET($G51,0,Antall_Beregningsår-1)*LOOKUP(BC43,SerieÅR,SerieVolumvekstperson)+$L51*(BC43-IF(Antall_Beregningsår&gt;2,TredjeBeregningsår,AndreBeregningsår))))*KPIJustering*LOOKUP(BC43,SerieÅR,SerieCO2avgift_PersontogD),"")</f>
        <v/>
      </c>
      <c r="BD51" s="463" t="str">
        <f t="shared" ca="1" si="86"/>
        <v/>
      </c>
      <c r="BE51" s="463" t="str">
        <f t="shared" ca="1" si="86"/>
        <v/>
      </c>
      <c r="BF51" s="463" t="str">
        <f t="shared" ca="1" si="86"/>
        <v/>
      </c>
      <c r="BG51" s="463" t="str">
        <f t="shared" ca="1" si="86"/>
        <v/>
      </c>
      <c r="BH51" s="463" t="str">
        <f t="shared" ca="1" si="86"/>
        <v/>
      </c>
      <c r="BI51" s="463" t="str">
        <f t="shared" ca="1" si="86"/>
        <v/>
      </c>
      <c r="BJ51" s="463" t="str">
        <f t="shared" ca="1" si="86"/>
        <v/>
      </c>
      <c r="BK51" s="463" t="str">
        <f t="shared" ca="1" si="86"/>
        <v/>
      </c>
      <c r="BL51" s="463" t="str">
        <f t="shared" ca="1" si="86"/>
        <v/>
      </c>
      <c r="BM51" s="463" t="str">
        <f t="shared" ca="1" si="86"/>
        <v/>
      </c>
      <c r="BN51" s="463" t="str">
        <f t="shared" ca="1" si="86"/>
        <v/>
      </c>
      <c r="BO51" s="463" t="str">
        <f t="shared" ca="1" si="86"/>
        <v/>
      </c>
      <c r="BP51" s="463" t="str">
        <f t="shared" ca="1" si="86"/>
        <v/>
      </c>
      <c r="BQ51" s="463" t="str">
        <f t="shared" ca="1" si="86"/>
        <v/>
      </c>
      <c r="BR51" s="463" t="str">
        <f t="shared" ca="1" si="86"/>
        <v/>
      </c>
      <c r="BS51" s="463" t="str">
        <f t="shared" ca="1" si="86"/>
        <v/>
      </c>
      <c r="BT51" s="463" t="str">
        <f t="shared" ca="1" si="86"/>
        <v/>
      </c>
      <c r="BU51" s="463" t="str">
        <f t="shared" ca="1" si="86"/>
        <v/>
      </c>
      <c r="BV51" s="463" t="str">
        <f t="shared" ca="1" si="86"/>
        <v/>
      </c>
      <c r="BW51" s="463" t="str">
        <f t="shared" ca="1" si="86"/>
        <v/>
      </c>
      <c r="BX51" s="463" t="str">
        <f t="shared" ca="1" si="86"/>
        <v/>
      </c>
      <c r="BY51" s="463" t="str">
        <f t="shared" ca="1" si="86"/>
        <v/>
      </c>
      <c r="BZ51" s="463" t="str">
        <f t="shared" ca="1" si="86"/>
        <v/>
      </c>
      <c r="CA51" s="463" t="str">
        <f t="shared" ca="1" si="86"/>
        <v/>
      </c>
      <c r="CB51" s="463" t="str">
        <f t="shared" ca="1" si="86"/>
        <v/>
      </c>
      <c r="CC51" s="463" t="str">
        <f t="shared" ca="1" si="86"/>
        <v/>
      </c>
      <c r="CD51" s="463" t="str">
        <f t="shared" ca="1" si="86"/>
        <v/>
      </c>
      <c r="CE51" s="463" t="str">
        <f t="shared" ca="1" si="86"/>
        <v/>
      </c>
      <c r="CF51" s="463" t="str">
        <f t="shared" ca="1" si="86"/>
        <v/>
      </c>
      <c r="CG51" s="463" t="str">
        <f t="shared" ca="1" si="86"/>
        <v/>
      </c>
      <c r="CH51" s="463" t="str">
        <f t="shared" ca="1" si="86"/>
        <v/>
      </c>
      <c r="CI51" s="463" t="str">
        <f t="shared" ref="CI51:DR51" ca="1" si="87">IF(CI$10&lt;=(Åpningsår+ProsjektetsLevetid-1),IF(CI43&lt;=AndreBeregningsår,IF(SIGN($G51)=SIGN($H51),$G51*$J51^(CI43-FørsteBeregningsår),($G51+1.1*ABS($G51-$H51))*$J51^(CI43-FørsteBeregningsår)-1.1*ABS($G51-$H51)),IF(CI43&lt;=TredjeBeregningsår,IF(SIGN($H51)=SIGN($I51),$H51*$K51^(CI43-AndreBeregningsår),($H51+1.1*ABS($H51-$I51))*$K51^(CI43-AndreBeregningsår)-1.1*ABS($H51-$I51)),OFFSET($G51,0,Antall_Beregningsår-1)*LOOKUP(CI43,SerieÅR,SerieVolumvekstperson)+$L51*(CI43-IF(Antall_Beregningsår&gt;2,TredjeBeregningsår,AndreBeregningsår))))*KPIJustering*LOOKUP(CI43,SerieÅR,SerieCO2avgift_PersontogD),"")</f>
        <v/>
      </c>
      <c r="CJ51" s="463" t="str">
        <f t="shared" ca="1" si="87"/>
        <v/>
      </c>
      <c r="CK51" s="463" t="str">
        <f t="shared" ca="1" si="87"/>
        <v/>
      </c>
      <c r="CL51" s="463" t="str">
        <f t="shared" ca="1" si="87"/>
        <v/>
      </c>
      <c r="CM51" s="463" t="str">
        <f t="shared" ca="1" si="87"/>
        <v/>
      </c>
      <c r="CN51" s="463" t="str">
        <f t="shared" ca="1" si="87"/>
        <v/>
      </c>
      <c r="CO51" s="463" t="str">
        <f t="shared" ca="1" si="87"/>
        <v/>
      </c>
      <c r="CP51" s="463" t="str">
        <f t="shared" ca="1" si="87"/>
        <v/>
      </c>
      <c r="CQ51" s="463" t="str">
        <f t="shared" ca="1" si="87"/>
        <v/>
      </c>
      <c r="CR51" s="463" t="str">
        <f t="shared" ca="1" si="87"/>
        <v/>
      </c>
      <c r="CS51" s="463" t="str">
        <f t="shared" ca="1" si="87"/>
        <v/>
      </c>
      <c r="CT51" s="463" t="str">
        <f t="shared" ca="1" si="87"/>
        <v/>
      </c>
      <c r="CU51" s="463" t="str">
        <f t="shared" ca="1" si="87"/>
        <v/>
      </c>
      <c r="CV51" s="463" t="str">
        <f t="shared" ca="1" si="87"/>
        <v/>
      </c>
      <c r="CW51" s="463" t="str">
        <f t="shared" ca="1" si="87"/>
        <v/>
      </c>
      <c r="CX51" s="463" t="str">
        <f t="shared" ca="1" si="87"/>
        <v/>
      </c>
      <c r="CY51" s="463" t="str">
        <f t="shared" ca="1" si="87"/>
        <v/>
      </c>
      <c r="CZ51" s="463" t="str">
        <f t="shared" ca="1" si="87"/>
        <v/>
      </c>
      <c r="DA51" s="463" t="str">
        <f t="shared" ca="1" si="87"/>
        <v/>
      </c>
      <c r="DB51" s="463" t="str">
        <f t="shared" ca="1" si="87"/>
        <v/>
      </c>
      <c r="DC51" s="463" t="str">
        <f t="shared" ca="1" si="87"/>
        <v/>
      </c>
      <c r="DD51" s="463" t="str">
        <f t="shared" ca="1" si="87"/>
        <v/>
      </c>
      <c r="DE51" s="463" t="str">
        <f t="shared" ca="1" si="87"/>
        <v/>
      </c>
      <c r="DF51" s="463" t="str">
        <f t="shared" ca="1" si="87"/>
        <v/>
      </c>
      <c r="DG51" s="463" t="str">
        <f t="shared" ca="1" si="87"/>
        <v/>
      </c>
      <c r="DH51" s="463" t="str">
        <f t="shared" ca="1" si="87"/>
        <v/>
      </c>
      <c r="DI51" s="463" t="str">
        <f t="shared" ca="1" si="87"/>
        <v/>
      </c>
      <c r="DJ51" s="463" t="str">
        <f t="shared" ca="1" si="87"/>
        <v/>
      </c>
      <c r="DK51" s="463" t="str">
        <f t="shared" ca="1" si="87"/>
        <v/>
      </c>
      <c r="DL51" s="463" t="str">
        <f t="shared" ca="1" si="87"/>
        <v/>
      </c>
      <c r="DM51" s="463" t="str">
        <f t="shared" ca="1" si="87"/>
        <v/>
      </c>
      <c r="DN51" s="463" t="str">
        <f t="shared" ca="1" si="87"/>
        <v/>
      </c>
      <c r="DO51" s="463" t="str">
        <f t="shared" ca="1" si="87"/>
        <v/>
      </c>
      <c r="DP51" s="463" t="str">
        <f t="shared" ca="1" si="87"/>
        <v/>
      </c>
      <c r="DQ51" s="463" t="str">
        <f t="shared" ca="1" si="87"/>
        <v/>
      </c>
      <c r="DR51" s="463" t="str">
        <f t="shared" ca="1" si="87"/>
        <v/>
      </c>
      <c r="DS51" s="803">
        <f ca="1">SUMPRODUCT(('1.5 Prognoser og indekser'!$R$12:OFFSET('1.5 Prognoser og indekser'!$R$12,0,$DS$9)),($M51:OFFSET($M51,0,$DS$9)))</f>
        <v>0</v>
      </c>
      <c r="DT51" s="804">
        <f ca="1">IF($DT$9&lt;1,0,SUMPRODUCT(OFFSET('1.5 Prognoser og indekser'!$R$12,0,$DS$9+1,1,$DT$9),OFFSET($M51,0,$DS$9+1,1,$DT$9)))</f>
        <v>0</v>
      </c>
    </row>
    <row r="52" spans="1:124" s="59" customFormat="1" x14ac:dyDescent="0.35">
      <c r="C52" s="218" t="s">
        <v>1594</v>
      </c>
      <c r="D52" s="792">
        <f>'2.3 Det Offentlige'!C26</f>
        <v>0</v>
      </c>
      <c r="E52" s="792">
        <f>'2.3 Det Offentlige'!D26</f>
        <v>0</v>
      </c>
      <c r="F52" s="792">
        <f>'2.3 Det Offentlige'!E26</f>
        <v>0</v>
      </c>
      <c r="G52" s="792">
        <f>GodstogMkmD_År1</f>
        <v>0</v>
      </c>
      <c r="H52" s="792">
        <f>GodstogMkmD_År2</f>
        <v>0</v>
      </c>
      <c r="I52" s="792">
        <f>GodstogMkmD_År3</f>
        <v>0</v>
      </c>
      <c r="J52" s="790">
        <f t="shared" si="82"/>
        <v>1</v>
      </c>
      <c r="K52" s="790">
        <f t="shared" si="83"/>
        <v>1</v>
      </c>
      <c r="L52" s="752">
        <f t="shared" si="84"/>
        <v>0</v>
      </c>
      <c r="M52" s="787"/>
      <c r="N52" s="787"/>
      <c r="O52" s="787"/>
      <c r="P52" s="787"/>
      <c r="Q52" s="787"/>
      <c r="R52" s="787"/>
      <c r="S52" s="787"/>
      <c r="T52" s="787"/>
      <c r="U52" s="792"/>
      <c r="V52" s="777"/>
      <c r="W52" s="463" t="str">
        <f t="shared" ref="W52:BB52" ca="1" si="88">IF(W$10&lt;=(Åpningsår+ProsjektetsLevetid-1),IF(W43&lt;=AndreBeregningsår,IF(SIGN($G52)=SIGN($H52),$G52*$J52^(W43-FørsteBeregningsår),($G52+1.1*ABS($G52-$H52))*$J52^(W43-FørsteBeregningsår)-1.1*ABS($G52-$H52)),IF(W43&lt;=TredjeBeregningsår,IF(SIGN($H52)=SIGN($I52),$H52*$K52^(W43-AndreBeregningsår),($H52+1.1*ABS($H52-$I52))*$K52^(W43-AndreBeregningsår)-1.1*ABS($H52-$I52)),OFFSET($G52,0,Antall_Beregningsår-1)*LOOKUP(W43,SerieÅR,SerieVolumvekstGods)+$L52*(W43-IF(Antall_Beregningsår&gt;2,TredjeBeregningsår,AndreBeregningsår))))*KPIJustering*LOOKUP(W43,SerieÅR,SerieCO2avgift_GodstogD),"")</f>
        <v/>
      </c>
      <c r="X52" s="463" t="str">
        <f t="shared" ca="1" si="88"/>
        <v/>
      </c>
      <c r="Y52" s="463" t="str">
        <f t="shared" ca="1" si="88"/>
        <v/>
      </c>
      <c r="Z52" s="463" t="str">
        <f t="shared" ca="1" si="88"/>
        <v/>
      </c>
      <c r="AA52" s="463" t="str">
        <f t="shared" ca="1" si="88"/>
        <v/>
      </c>
      <c r="AB52" s="463" t="str">
        <f t="shared" ca="1" si="88"/>
        <v/>
      </c>
      <c r="AC52" s="463" t="str">
        <f t="shared" ca="1" si="88"/>
        <v/>
      </c>
      <c r="AD52" s="463" t="str">
        <f t="shared" ca="1" si="88"/>
        <v/>
      </c>
      <c r="AE52" s="463" t="str">
        <f t="shared" ca="1" si="88"/>
        <v/>
      </c>
      <c r="AF52" s="463" t="str">
        <f t="shared" ca="1" si="88"/>
        <v/>
      </c>
      <c r="AG52" s="463" t="str">
        <f t="shared" ca="1" si="88"/>
        <v/>
      </c>
      <c r="AH52" s="463" t="str">
        <f t="shared" ca="1" si="88"/>
        <v/>
      </c>
      <c r="AI52" s="463" t="str">
        <f t="shared" ca="1" si="88"/>
        <v/>
      </c>
      <c r="AJ52" s="463" t="str">
        <f t="shared" ca="1" si="88"/>
        <v/>
      </c>
      <c r="AK52" s="463" t="str">
        <f t="shared" ca="1" si="88"/>
        <v/>
      </c>
      <c r="AL52" s="463" t="str">
        <f t="shared" ca="1" si="88"/>
        <v/>
      </c>
      <c r="AM52" s="463" t="str">
        <f t="shared" ca="1" si="88"/>
        <v/>
      </c>
      <c r="AN52" s="463" t="str">
        <f t="shared" ca="1" si="88"/>
        <v/>
      </c>
      <c r="AO52" s="463" t="str">
        <f t="shared" ca="1" si="88"/>
        <v/>
      </c>
      <c r="AP52" s="463" t="str">
        <f t="shared" ca="1" si="88"/>
        <v/>
      </c>
      <c r="AQ52" s="463" t="str">
        <f t="shared" ca="1" si="88"/>
        <v/>
      </c>
      <c r="AR52" s="463" t="str">
        <f t="shared" ca="1" si="88"/>
        <v/>
      </c>
      <c r="AS52" s="463" t="str">
        <f t="shared" ca="1" si="88"/>
        <v/>
      </c>
      <c r="AT52" s="463" t="str">
        <f t="shared" ca="1" si="88"/>
        <v/>
      </c>
      <c r="AU52" s="463" t="str">
        <f t="shared" ca="1" si="88"/>
        <v/>
      </c>
      <c r="AV52" s="463" t="str">
        <f t="shared" ca="1" si="88"/>
        <v/>
      </c>
      <c r="AW52" s="463" t="str">
        <f t="shared" ca="1" si="88"/>
        <v/>
      </c>
      <c r="AX52" s="463" t="str">
        <f t="shared" ca="1" si="88"/>
        <v/>
      </c>
      <c r="AY52" s="463" t="str">
        <f t="shared" ca="1" si="88"/>
        <v/>
      </c>
      <c r="AZ52" s="463" t="str">
        <f t="shared" ca="1" si="88"/>
        <v/>
      </c>
      <c r="BA52" s="463" t="str">
        <f t="shared" ca="1" si="88"/>
        <v/>
      </c>
      <c r="BB52" s="463" t="str">
        <f t="shared" ca="1" si="88"/>
        <v/>
      </c>
      <c r="BC52" s="463" t="str">
        <f t="shared" ref="BC52:CH52" ca="1" si="89">IF(BC$10&lt;=(Åpningsår+ProsjektetsLevetid-1),IF(BC43&lt;=AndreBeregningsår,IF(SIGN($G52)=SIGN($H52),$G52*$J52^(BC43-FørsteBeregningsår),($G52+1.1*ABS($G52-$H52))*$J52^(BC43-FørsteBeregningsår)-1.1*ABS($G52-$H52)),IF(BC43&lt;=TredjeBeregningsår,IF(SIGN($H52)=SIGN($I52),$H52*$K52^(BC43-AndreBeregningsår),($H52+1.1*ABS($H52-$I52))*$K52^(BC43-AndreBeregningsår)-1.1*ABS($H52-$I52)),OFFSET($G52,0,Antall_Beregningsår-1)*LOOKUP(BC43,SerieÅR,SerieVolumvekstGods)+$L52*(BC43-IF(Antall_Beregningsår&gt;2,TredjeBeregningsår,AndreBeregningsår))))*KPIJustering*LOOKUP(BC43,SerieÅR,SerieCO2avgift_GodstogD),"")</f>
        <v/>
      </c>
      <c r="BD52" s="463" t="str">
        <f t="shared" ca="1" si="89"/>
        <v/>
      </c>
      <c r="BE52" s="463" t="str">
        <f t="shared" ca="1" si="89"/>
        <v/>
      </c>
      <c r="BF52" s="463" t="str">
        <f t="shared" ca="1" si="89"/>
        <v/>
      </c>
      <c r="BG52" s="463" t="str">
        <f t="shared" ca="1" si="89"/>
        <v/>
      </c>
      <c r="BH52" s="463" t="str">
        <f t="shared" ca="1" si="89"/>
        <v/>
      </c>
      <c r="BI52" s="463" t="str">
        <f t="shared" ca="1" si="89"/>
        <v/>
      </c>
      <c r="BJ52" s="463" t="str">
        <f t="shared" ca="1" si="89"/>
        <v/>
      </c>
      <c r="BK52" s="463" t="str">
        <f t="shared" ca="1" si="89"/>
        <v/>
      </c>
      <c r="BL52" s="463" t="str">
        <f t="shared" ca="1" si="89"/>
        <v/>
      </c>
      <c r="BM52" s="463" t="str">
        <f t="shared" ca="1" si="89"/>
        <v/>
      </c>
      <c r="BN52" s="463" t="str">
        <f t="shared" ca="1" si="89"/>
        <v/>
      </c>
      <c r="BO52" s="463" t="str">
        <f t="shared" ca="1" si="89"/>
        <v/>
      </c>
      <c r="BP52" s="463" t="str">
        <f t="shared" ca="1" si="89"/>
        <v/>
      </c>
      <c r="BQ52" s="463" t="str">
        <f t="shared" ca="1" si="89"/>
        <v/>
      </c>
      <c r="BR52" s="463" t="str">
        <f t="shared" ca="1" si="89"/>
        <v/>
      </c>
      <c r="BS52" s="463" t="str">
        <f t="shared" ca="1" si="89"/>
        <v/>
      </c>
      <c r="BT52" s="463" t="str">
        <f t="shared" ca="1" si="89"/>
        <v/>
      </c>
      <c r="BU52" s="463" t="str">
        <f t="shared" ca="1" si="89"/>
        <v/>
      </c>
      <c r="BV52" s="463" t="str">
        <f t="shared" ca="1" si="89"/>
        <v/>
      </c>
      <c r="BW52" s="463" t="str">
        <f t="shared" ca="1" si="89"/>
        <v/>
      </c>
      <c r="BX52" s="463" t="str">
        <f t="shared" ca="1" si="89"/>
        <v/>
      </c>
      <c r="BY52" s="463" t="str">
        <f t="shared" ca="1" si="89"/>
        <v/>
      </c>
      <c r="BZ52" s="463" t="str">
        <f t="shared" ca="1" si="89"/>
        <v/>
      </c>
      <c r="CA52" s="463" t="str">
        <f t="shared" ca="1" si="89"/>
        <v/>
      </c>
      <c r="CB52" s="463" t="str">
        <f t="shared" ca="1" si="89"/>
        <v/>
      </c>
      <c r="CC52" s="463" t="str">
        <f t="shared" ca="1" si="89"/>
        <v/>
      </c>
      <c r="CD52" s="463" t="str">
        <f t="shared" ca="1" si="89"/>
        <v/>
      </c>
      <c r="CE52" s="463" t="str">
        <f t="shared" ca="1" si="89"/>
        <v/>
      </c>
      <c r="CF52" s="463" t="str">
        <f t="shared" ca="1" si="89"/>
        <v/>
      </c>
      <c r="CG52" s="463" t="str">
        <f t="shared" ca="1" si="89"/>
        <v/>
      </c>
      <c r="CH52" s="463" t="str">
        <f t="shared" ca="1" si="89"/>
        <v/>
      </c>
      <c r="CI52" s="463" t="str">
        <f t="shared" ref="CI52:DR52" ca="1" si="90">IF(CI$10&lt;=(Åpningsår+ProsjektetsLevetid-1),IF(CI43&lt;=AndreBeregningsår,IF(SIGN($G52)=SIGN($H52),$G52*$J52^(CI43-FørsteBeregningsår),($G52+1.1*ABS($G52-$H52))*$J52^(CI43-FørsteBeregningsår)-1.1*ABS($G52-$H52)),IF(CI43&lt;=TredjeBeregningsår,IF(SIGN($H52)=SIGN($I52),$H52*$K52^(CI43-AndreBeregningsår),($H52+1.1*ABS($H52-$I52))*$K52^(CI43-AndreBeregningsår)-1.1*ABS($H52-$I52)),OFFSET($G52,0,Antall_Beregningsår-1)*LOOKUP(CI43,SerieÅR,SerieVolumvekstGods)+$L52*(CI43-IF(Antall_Beregningsår&gt;2,TredjeBeregningsår,AndreBeregningsår))))*KPIJustering*LOOKUP(CI43,SerieÅR,SerieCO2avgift_GodstogD),"")</f>
        <v/>
      </c>
      <c r="CJ52" s="463" t="str">
        <f t="shared" ca="1" si="90"/>
        <v/>
      </c>
      <c r="CK52" s="463" t="str">
        <f t="shared" ca="1" si="90"/>
        <v/>
      </c>
      <c r="CL52" s="463" t="str">
        <f t="shared" ca="1" si="90"/>
        <v/>
      </c>
      <c r="CM52" s="463" t="str">
        <f t="shared" ca="1" si="90"/>
        <v/>
      </c>
      <c r="CN52" s="463" t="str">
        <f t="shared" ca="1" si="90"/>
        <v/>
      </c>
      <c r="CO52" s="463" t="str">
        <f t="shared" ca="1" si="90"/>
        <v/>
      </c>
      <c r="CP52" s="463" t="str">
        <f t="shared" ca="1" si="90"/>
        <v/>
      </c>
      <c r="CQ52" s="463" t="str">
        <f t="shared" ca="1" si="90"/>
        <v/>
      </c>
      <c r="CR52" s="463" t="str">
        <f t="shared" ca="1" si="90"/>
        <v/>
      </c>
      <c r="CS52" s="463" t="str">
        <f t="shared" ca="1" si="90"/>
        <v/>
      </c>
      <c r="CT52" s="463" t="str">
        <f t="shared" ca="1" si="90"/>
        <v/>
      </c>
      <c r="CU52" s="463" t="str">
        <f t="shared" ca="1" si="90"/>
        <v/>
      </c>
      <c r="CV52" s="463" t="str">
        <f t="shared" ca="1" si="90"/>
        <v/>
      </c>
      <c r="CW52" s="463" t="str">
        <f t="shared" ca="1" si="90"/>
        <v/>
      </c>
      <c r="CX52" s="463" t="str">
        <f t="shared" ca="1" si="90"/>
        <v/>
      </c>
      <c r="CY52" s="463" t="str">
        <f t="shared" ca="1" si="90"/>
        <v/>
      </c>
      <c r="CZ52" s="463" t="str">
        <f t="shared" ca="1" si="90"/>
        <v/>
      </c>
      <c r="DA52" s="463" t="str">
        <f t="shared" ca="1" si="90"/>
        <v/>
      </c>
      <c r="DB52" s="463" t="str">
        <f t="shared" ca="1" si="90"/>
        <v/>
      </c>
      <c r="DC52" s="463" t="str">
        <f t="shared" ca="1" si="90"/>
        <v/>
      </c>
      <c r="DD52" s="463" t="str">
        <f t="shared" ca="1" si="90"/>
        <v/>
      </c>
      <c r="DE52" s="463" t="str">
        <f t="shared" ca="1" si="90"/>
        <v/>
      </c>
      <c r="DF52" s="463" t="str">
        <f t="shared" ca="1" si="90"/>
        <v/>
      </c>
      <c r="DG52" s="463" t="str">
        <f t="shared" ca="1" si="90"/>
        <v/>
      </c>
      <c r="DH52" s="463" t="str">
        <f t="shared" ca="1" si="90"/>
        <v/>
      </c>
      <c r="DI52" s="463" t="str">
        <f t="shared" ca="1" si="90"/>
        <v/>
      </c>
      <c r="DJ52" s="463" t="str">
        <f t="shared" ca="1" si="90"/>
        <v/>
      </c>
      <c r="DK52" s="463" t="str">
        <f t="shared" ca="1" si="90"/>
        <v/>
      </c>
      <c r="DL52" s="463" t="str">
        <f t="shared" ca="1" si="90"/>
        <v/>
      </c>
      <c r="DM52" s="463" t="str">
        <f t="shared" ca="1" si="90"/>
        <v/>
      </c>
      <c r="DN52" s="463" t="str">
        <f t="shared" ca="1" si="90"/>
        <v/>
      </c>
      <c r="DO52" s="463" t="str">
        <f t="shared" ca="1" si="90"/>
        <v/>
      </c>
      <c r="DP52" s="463" t="str">
        <f t="shared" ca="1" si="90"/>
        <v/>
      </c>
      <c r="DQ52" s="463" t="str">
        <f t="shared" ca="1" si="90"/>
        <v/>
      </c>
      <c r="DR52" s="463" t="str">
        <f t="shared" ca="1" si="90"/>
        <v/>
      </c>
      <c r="DS52" s="803">
        <f ca="1">SUMPRODUCT(('1.5 Prognoser og indekser'!$R$12:OFFSET('1.5 Prognoser og indekser'!$R$12,0,$DS$9)),($M52:OFFSET($M52,0,$DS$9)))</f>
        <v>0</v>
      </c>
      <c r="DT52" s="804">
        <f ca="1">IF($DT$9&lt;1,0,SUMPRODUCT(OFFSET('1.5 Prognoser og indekser'!$R$12,0,$DS$9+1,1,$DT$9),OFFSET($M52,0,$DS$9+1,1,$DT$9)))</f>
        <v>0</v>
      </c>
    </row>
    <row r="53" spans="1:124" s="102" customFormat="1" x14ac:dyDescent="0.35">
      <c r="B53" s="59"/>
      <c r="C53" s="212" t="s">
        <v>602</v>
      </c>
      <c r="D53" s="792">
        <f>'2.3 Det Offentlige'!C27</f>
        <v>0</v>
      </c>
      <c r="E53" s="792">
        <f>'2.3 Det Offentlige'!D27</f>
        <v>0</v>
      </c>
      <c r="F53" s="792">
        <f>'2.3 Det Offentlige'!E27</f>
        <v>0</v>
      </c>
      <c r="G53" s="792">
        <f>Kjøretøykm_Bil_År1/1000000</f>
        <v>0</v>
      </c>
      <c r="H53" s="792">
        <f>Kjøretøykm_Bil_År2/1000000</f>
        <v>0</v>
      </c>
      <c r="I53" s="792">
        <f>Kjøretøykm_Bil_År3/1000000</f>
        <v>0</v>
      </c>
      <c r="J53" s="790">
        <f t="shared" si="82"/>
        <v>1</v>
      </c>
      <c r="K53" s="790">
        <f t="shared" si="83"/>
        <v>1</v>
      </c>
      <c r="L53" s="752">
        <f t="shared" si="84"/>
        <v>0</v>
      </c>
      <c r="M53" s="793"/>
      <c r="N53" s="793"/>
      <c r="O53" s="793"/>
      <c r="P53" s="793"/>
      <c r="Q53" s="793"/>
      <c r="R53" s="793"/>
      <c r="S53" s="793"/>
      <c r="T53" s="793"/>
      <c r="U53" s="794"/>
      <c r="V53" s="795"/>
      <c r="W53" s="463" t="str">
        <f t="shared" ref="W53:BB53" ca="1" si="91">IF(W$10&lt;=(Åpningsår+ProsjektetsLevetid-1),IF(W43&lt;=AndreBeregningsår,IF(SIGN($G53)=SIGN($H53),$G53*$J53^(W43-FørsteBeregningsår),($G53+1.1*ABS($G53-$H53))*$J53^(W43-FørsteBeregningsår)-1.1*ABS($G53-$H53)),IF(W43&lt;=TredjeBeregningsår,IF(SIGN($H53)=SIGN($I53),$H53*$K53^(W43-AndreBeregningsår),($H53+1.1*ABS($H53-$I53))*$K53^(W43-AndreBeregningsår)-1.1*ABS($H53-$I53)),OFFSET($G53,0,Antall_Beregningsår-1)*LOOKUP(W43,SerieÅR,SerieVolumvekstperson)+$L53*(W43-IF(Antall_Beregningsår&gt;2,TredjeBeregningsår,AndreBeregningsår))))*KPIJustering*LOOKUP(W43,SerieÅR,SerieCO2avgift_Bil),"")</f>
        <v/>
      </c>
      <c r="X53" s="463" t="str">
        <f t="shared" ca="1" si="91"/>
        <v/>
      </c>
      <c r="Y53" s="463" t="str">
        <f t="shared" ca="1" si="91"/>
        <v/>
      </c>
      <c r="Z53" s="463" t="str">
        <f t="shared" ca="1" si="91"/>
        <v/>
      </c>
      <c r="AA53" s="463" t="str">
        <f t="shared" ca="1" si="91"/>
        <v/>
      </c>
      <c r="AB53" s="463" t="str">
        <f t="shared" ca="1" si="91"/>
        <v/>
      </c>
      <c r="AC53" s="463" t="str">
        <f t="shared" ca="1" si="91"/>
        <v/>
      </c>
      <c r="AD53" s="463" t="str">
        <f t="shared" ca="1" si="91"/>
        <v/>
      </c>
      <c r="AE53" s="463" t="str">
        <f t="shared" ca="1" si="91"/>
        <v/>
      </c>
      <c r="AF53" s="463" t="str">
        <f t="shared" ca="1" si="91"/>
        <v/>
      </c>
      <c r="AG53" s="463" t="str">
        <f t="shared" ca="1" si="91"/>
        <v/>
      </c>
      <c r="AH53" s="463" t="str">
        <f t="shared" ca="1" si="91"/>
        <v/>
      </c>
      <c r="AI53" s="463" t="str">
        <f t="shared" ca="1" si="91"/>
        <v/>
      </c>
      <c r="AJ53" s="463" t="str">
        <f t="shared" ca="1" si="91"/>
        <v/>
      </c>
      <c r="AK53" s="463" t="str">
        <f t="shared" ca="1" si="91"/>
        <v/>
      </c>
      <c r="AL53" s="463" t="str">
        <f t="shared" ca="1" si="91"/>
        <v/>
      </c>
      <c r="AM53" s="463" t="str">
        <f t="shared" ca="1" si="91"/>
        <v/>
      </c>
      <c r="AN53" s="463" t="str">
        <f t="shared" ca="1" si="91"/>
        <v/>
      </c>
      <c r="AO53" s="463" t="str">
        <f t="shared" ca="1" si="91"/>
        <v/>
      </c>
      <c r="AP53" s="463" t="str">
        <f t="shared" ca="1" si="91"/>
        <v/>
      </c>
      <c r="AQ53" s="463" t="str">
        <f t="shared" ca="1" si="91"/>
        <v/>
      </c>
      <c r="AR53" s="463" t="str">
        <f t="shared" ca="1" si="91"/>
        <v/>
      </c>
      <c r="AS53" s="463" t="str">
        <f t="shared" ca="1" si="91"/>
        <v/>
      </c>
      <c r="AT53" s="463" t="str">
        <f t="shared" ca="1" si="91"/>
        <v/>
      </c>
      <c r="AU53" s="463" t="str">
        <f t="shared" ca="1" si="91"/>
        <v/>
      </c>
      <c r="AV53" s="463" t="str">
        <f t="shared" ca="1" si="91"/>
        <v/>
      </c>
      <c r="AW53" s="463" t="str">
        <f t="shared" ca="1" si="91"/>
        <v/>
      </c>
      <c r="AX53" s="463" t="str">
        <f t="shared" ca="1" si="91"/>
        <v/>
      </c>
      <c r="AY53" s="463" t="str">
        <f t="shared" ca="1" si="91"/>
        <v/>
      </c>
      <c r="AZ53" s="463" t="str">
        <f t="shared" ca="1" si="91"/>
        <v/>
      </c>
      <c r="BA53" s="463" t="str">
        <f t="shared" ca="1" si="91"/>
        <v/>
      </c>
      <c r="BB53" s="463" t="str">
        <f t="shared" ca="1" si="91"/>
        <v/>
      </c>
      <c r="BC53" s="463" t="str">
        <f t="shared" ref="BC53:CH53" ca="1" si="92">IF(BC$10&lt;=(Åpningsår+ProsjektetsLevetid-1),IF(BC43&lt;=AndreBeregningsår,IF(SIGN($G53)=SIGN($H53),$G53*$J53^(BC43-FørsteBeregningsår),($G53+1.1*ABS($G53-$H53))*$J53^(BC43-FørsteBeregningsår)-1.1*ABS($G53-$H53)),IF(BC43&lt;=TredjeBeregningsår,IF(SIGN($H53)=SIGN($I53),$H53*$K53^(BC43-AndreBeregningsår),($H53+1.1*ABS($H53-$I53))*$K53^(BC43-AndreBeregningsår)-1.1*ABS($H53-$I53)),OFFSET($G53,0,Antall_Beregningsår-1)*LOOKUP(BC43,SerieÅR,SerieVolumvekstperson)+$L53*(BC43-IF(Antall_Beregningsår&gt;2,TredjeBeregningsår,AndreBeregningsår))))*KPIJustering*LOOKUP(BC43,SerieÅR,SerieCO2avgift_Bil),"")</f>
        <v/>
      </c>
      <c r="BD53" s="463" t="str">
        <f t="shared" ca="1" si="92"/>
        <v/>
      </c>
      <c r="BE53" s="463" t="str">
        <f t="shared" ca="1" si="92"/>
        <v/>
      </c>
      <c r="BF53" s="463" t="str">
        <f t="shared" ca="1" si="92"/>
        <v/>
      </c>
      <c r="BG53" s="463" t="str">
        <f t="shared" ca="1" si="92"/>
        <v/>
      </c>
      <c r="BH53" s="463" t="str">
        <f t="shared" ca="1" si="92"/>
        <v/>
      </c>
      <c r="BI53" s="463" t="str">
        <f t="shared" ca="1" si="92"/>
        <v/>
      </c>
      <c r="BJ53" s="463" t="str">
        <f t="shared" ca="1" si="92"/>
        <v/>
      </c>
      <c r="BK53" s="463" t="str">
        <f t="shared" ca="1" si="92"/>
        <v/>
      </c>
      <c r="BL53" s="463" t="str">
        <f t="shared" ca="1" si="92"/>
        <v/>
      </c>
      <c r="BM53" s="463" t="str">
        <f t="shared" ca="1" si="92"/>
        <v/>
      </c>
      <c r="BN53" s="463" t="str">
        <f t="shared" ca="1" si="92"/>
        <v/>
      </c>
      <c r="BO53" s="463" t="str">
        <f t="shared" ca="1" si="92"/>
        <v/>
      </c>
      <c r="BP53" s="463" t="str">
        <f t="shared" ca="1" si="92"/>
        <v/>
      </c>
      <c r="BQ53" s="463" t="str">
        <f t="shared" ca="1" si="92"/>
        <v/>
      </c>
      <c r="BR53" s="463" t="str">
        <f t="shared" ca="1" si="92"/>
        <v/>
      </c>
      <c r="BS53" s="463" t="str">
        <f t="shared" ca="1" si="92"/>
        <v/>
      </c>
      <c r="BT53" s="463" t="str">
        <f t="shared" ca="1" si="92"/>
        <v/>
      </c>
      <c r="BU53" s="463" t="str">
        <f t="shared" ca="1" si="92"/>
        <v/>
      </c>
      <c r="BV53" s="463" t="str">
        <f t="shared" ca="1" si="92"/>
        <v/>
      </c>
      <c r="BW53" s="463" t="str">
        <f t="shared" ca="1" si="92"/>
        <v/>
      </c>
      <c r="BX53" s="463" t="str">
        <f t="shared" ca="1" si="92"/>
        <v/>
      </c>
      <c r="BY53" s="463" t="str">
        <f t="shared" ca="1" si="92"/>
        <v/>
      </c>
      <c r="BZ53" s="463" t="str">
        <f t="shared" ca="1" si="92"/>
        <v/>
      </c>
      <c r="CA53" s="463" t="str">
        <f t="shared" ca="1" si="92"/>
        <v/>
      </c>
      <c r="CB53" s="463" t="str">
        <f t="shared" ca="1" si="92"/>
        <v/>
      </c>
      <c r="CC53" s="463" t="str">
        <f t="shared" ca="1" si="92"/>
        <v/>
      </c>
      <c r="CD53" s="463" t="str">
        <f t="shared" ca="1" si="92"/>
        <v/>
      </c>
      <c r="CE53" s="463" t="str">
        <f t="shared" ca="1" si="92"/>
        <v/>
      </c>
      <c r="CF53" s="463" t="str">
        <f t="shared" ca="1" si="92"/>
        <v/>
      </c>
      <c r="CG53" s="463" t="str">
        <f t="shared" ca="1" si="92"/>
        <v/>
      </c>
      <c r="CH53" s="463" t="str">
        <f t="shared" ca="1" si="92"/>
        <v/>
      </c>
      <c r="CI53" s="463" t="str">
        <f t="shared" ref="CI53:DR53" ca="1" si="93">IF(CI$10&lt;=(Åpningsår+ProsjektetsLevetid-1),IF(CI43&lt;=AndreBeregningsår,IF(SIGN($G53)=SIGN($H53),$G53*$J53^(CI43-FørsteBeregningsår),($G53+1.1*ABS($G53-$H53))*$J53^(CI43-FørsteBeregningsår)-1.1*ABS($G53-$H53)),IF(CI43&lt;=TredjeBeregningsår,IF(SIGN($H53)=SIGN($I53),$H53*$K53^(CI43-AndreBeregningsår),($H53+1.1*ABS($H53-$I53))*$K53^(CI43-AndreBeregningsår)-1.1*ABS($H53-$I53)),OFFSET($G53,0,Antall_Beregningsår-1)*LOOKUP(CI43,SerieÅR,SerieVolumvekstperson)+$L53*(CI43-IF(Antall_Beregningsår&gt;2,TredjeBeregningsår,AndreBeregningsår))))*KPIJustering*LOOKUP(CI43,SerieÅR,SerieCO2avgift_Bil),"")</f>
        <v/>
      </c>
      <c r="CJ53" s="463" t="str">
        <f t="shared" ca="1" si="93"/>
        <v/>
      </c>
      <c r="CK53" s="463" t="str">
        <f t="shared" ca="1" si="93"/>
        <v/>
      </c>
      <c r="CL53" s="463" t="str">
        <f t="shared" ca="1" si="93"/>
        <v/>
      </c>
      <c r="CM53" s="463" t="str">
        <f t="shared" ca="1" si="93"/>
        <v/>
      </c>
      <c r="CN53" s="463" t="str">
        <f t="shared" ca="1" si="93"/>
        <v/>
      </c>
      <c r="CO53" s="463" t="str">
        <f t="shared" ca="1" si="93"/>
        <v/>
      </c>
      <c r="CP53" s="463" t="str">
        <f t="shared" ca="1" si="93"/>
        <v/>
      </c>
      <c r="CQ53" s="463" t="str">
        <f t="shared" ca="1" si="93"/>
        <v/>
      </c>
      <c r="CR53" s="463" t="str">
        <f t="shared" ca="1" si="93"/>
        <v/>
      </c>
      <c r="CS53" s="463" t="str">
        <f t="shared" ca="1" si="93"/>
        <v/>
      </c>
      <c r="CT53" s="463" t="str">
        <f t="shared" ca="1" si="93"/>
        <v/>
      </c>
      <c r="CU53" s="463" t="str">
        <f t="shared" ca="1" si="93"/>
        <v/>
      </c>
      <c r="CV53" s="463" t="str">
        <f t="shared" ca="1" si="93"/>
        <v/>
      </c>
      <c r="CW53" s="463" t="str">
        <f t="shared" ca="1" si="93"/>
        <v/>
      </c>
      <c r="CX53" s="463" t="str">
        <f t="shared" ca="1" si="93"/>
        <v/>
      </c>
      <c r="CY53" s="463" t="str">
        <f t="shared" ca="1" si="93"/>
        <v/>
      </c>
      <c r="CZ53" s="463" t="str">
        <f t="shared" ca="1" si="93"/>
        <v/>
      </c>
      <c r="DA53" s="463" t="str">
        <f t="shared" ca="1" si="93"/>
        <v/>
      </c>
      <c r="DB53" s="463" t="str">
        <f t="shared" ca="1" si="93"/>
        <v/>
      </c>
      <c r="DC53" s="463" t="str">
        <f t="shared" ca="1" si="93"/>
        <v/>
      </c>
      <c r="DD53" s="463" t="str">
        <f t="shared" ca="1" si="93"/>
        <v/>
      </c>
      <c r="DE53" s="463" t="str">
        <f t="shared" ca="1" si="93"/>
        <v/>
      </c>
      <c r="DF53" s="463" t="str">
        <f t="shared" ca="1" si="93"/>
        <v/>
      </c>
      <c r="DG53" s="463" t="str">
        <f t="shared" ca="1" si="93"/>
        <v/>
      </c>
      <c r="DH53" s="463" t="str">
        <f t="shared" ca="1" si="93"/>
        <v/>
      </c>
      <c r="DI53" s="463" t="str">
        <f t="shared" ca="1" si="93"/>
        <v/>
      </c>
      <c r="DJ53" s="463" t="str">
        <f t="shared" ca="1" si="93"/>
        <v/>
      </c>
      <c r="DK53" s="463" t="str">
        <f t="shared" ca="1" si="93"/>
        <v/>
      </c>
      <c r="DL53" s="463" t="str">
        <f t="shared" ca="1" si="93"/>
        <v/>
      </c>
      <c r="DM53" s="463" t="str">
        <f t="shared" ca="1" si="93"/>
        <v/>
      </c>
      <c r="DN53" s="463" t="str">
        <f t="shared" ca="1" si="93"/>
        <v/>
      </c>
      <c r="DO53" s="463" t="str">
        <f t="shared" ca="1" si="93"/>
        <v/>
      </c>
      <c r="DP53" s="463" t="str">
        <f t="shared" ca="1" si="93"/>
        <v/>
      </c>
      <c r="DQ53" s="463" t="str">
        <f t="shared" ca="1" si="93"/>
        <v/>
      </c>
      <c r="DR53" s="463" t="str">
        <f t="shared" ca="1" si="93"/>
        <v/>
      </c>
      <c r="DS53" s="803">
        <f ca="1">SUMPRODUCT(('1.5 Prognoser og indekser'!$R$12:OFFSET('1.5 Prognoser og indekser'!$R$12,0,$DS$9)),($M53:OFFSET($M53,0,$DS$9)))</f>
        <v>0</v>
      </c>
      <c r="DT53" s="804">
        <f ca="1">IF($DT$9&lt;1,0,SUMPRODUCT(OFFSET('1.5 Prognoser og indekser'!$R$12,0,$DS$9+1,1,$DT$9),OFFSET($M53,0,$DS$9+1,1,$DT$9)))</f>
        <v>0</v>
      </c>
    </row>
    <row r="54" spans="1:124" s="59" customFormat="1" x14ac:dyDescent="0.35">
      <c r="C54" s="677" t="s">
        <v>603</v>
      </c>
      <c r="D54" s="752">
        <f>'2.3 Det Offentlige'!C31</f>
        <v>0</v>
      </c>
      <c r="E54" s="752">
        <f>'2.3 Det Offentlige'!D31</f>
        <v>0</v>
      </c>
      <c r="F54" s="752">
        <f>'2.3 Det Offentlige'!E31</f>
        <v>0</v>
      </c>
      <c r="G54" s="752">
        <f>Kjøretøykm_Buss_År1/1000000</f>
        <v>0</v>
      </c>
      <c r="H54" s="752">
        <f>Kjøretøykm_Buss_År2/1000000</f>
        <v>0</v>
      </c>
      <c r="I54" s="752">
        <f>Kjøretøykm_Buss_År3/1000000</f>
        <v>0</v>
      </c>
      <c r="J54" s="790">
        <f t="shared" si="82"/>
        <v>1</v>
      </c>
      <c r="K54" s="790">
        <f t="shared" si="83"/>
        <v>1</v>
      </c>
      <c r="L54" s="752">
        <f t="shared" si="84"/>
        <v>0</v>
      </c>
      <c r="M54" s="718"/>
      <c r="N54" s="718"/>
      <c r="O54" s="718"/>
      <c r="P54" s="718"/>
      <c r="Q54" s="718"/>
      <c r="R54" s="718"/>
      <c r="S54" s="718"/>
      <c r="T54" s="718"/>
      <c r="U54" s="752"/>
      <c r="V54" s="752"/>
      <c r="W54" s="463" t="str">
        <f t="shared" ref="W54:BB54" ca="1" si="94">IF(W$10&lt;=(Åpningsår+ProsjektetsLevetid-1),IF(W43&lt;=AndreBeregningsår,IF(SIGN($G54)=SIGN($H54),$G54*$J54^(W43-FørsteBeregningsår),($G54+1.1*ABS($G54-$H54))*$J54^(W43-FørsteBeregningsår)-1.1*ABS($G54-$H54)),IF(W43&lt;=TredjeBeregningsår,IF(SIGN($H54)=SIGN($I54),$H54*$K54^(W43-AndreBeregningsår),($H54+1.1*ABS($H54-$I54))*$K54^(W43-AndreBeregningsår)-1.1*ABS($H54-$I54)),OFFSET($G54,0,Antall_Beregningsår-1)*LOOKUP(W43,SerieÅR,SerieVolumvekstperson)+$L54*(W43-IF(Antall_Beregningsår&gt;2,TredjeBeregningsår,AndreBeregningsår))))*KPIJustering*LOOKUP(W43,SerieÅR,SerieCO2avgift_Buss),"")</f>
        <v/>
      </c>
      <c r="X54" s="463" t="str">
        <f t="shared" ca="1" si="94"/>
        <v/>
      </c>
      <c r="Y54" s="463" t="str">
        <f t="shared" ca="1" si="94"/>
        <v/>
      </c>
      <c r="Z54" s="463" t="str">
        <f t="shared" ca="1" si="94"/>
        <v/>
      </c>
      <c r="AA54" s="463" t="str">
        <f t="shared" ca="1" si="94"/>
        <v/>
      </c>
      <c r="AB54" s="463" t="str">
        <f t="shared" ca="1" si="94"/>
        <v/>
      </c>
      <c r="AC54" s="463" t="str">
        <f t="shared" ca="1" si="94"/>
        <v/>
      </c>
      <c r="AD54" s="463" t="str">
        <f t="shared" ca="1" si="94"/>
        <v/>
      </c>
      <c r="AE54" s="463" t="str">
        <f t="shared" ca="1" si="94"/>
        <v/>
      </c>
      <c r="AF54" s="463" t="str">
        <f t="shared" ca="1" si="94"/>
        <v/>
      </c>
      <c r="AG54" s="463" t="str">
        <f t="shared" ca="1" si="94"/>
        <v/>
      </c>
      <c r="AH54" s="463" t="str">
        <f t="shared" ca="1" si="94"/>
        <v/>
      </c>
      <c r="AI54" s="463" t="str">
        <f t="shared" ca="1" si="94"/>
        <v/>
      </c>
      <c r="AJ54" s="463" t="str">
        <f t="shared" ca="1" si="94"/>
        <v/>
      </c>
      <c r="AK54" s="463" t="str">
        <f t="shared" ca="1" si="94"/>
        <v/>
      </c>
      <c r="AL54" s="463" t="str">
        <f t="shared" ca="1" si="94"/>
        <v/>
      </c>
      <c r="AM54" s="463" t="str">
        <f t="shared" ca="1" si="94"/>
        <v/>
      </c>
      <c r="AN54" s="463" t="str">
        <f t="shared" ca="1" si="94"/>
        <v/>
      </c>
      <c r="AO54" s="463" t="str">
        <f t="shared" ca="1" si="94"/>
        <v/>
      </c>
      <c r="AP54" s="463" t="str">
        <f t="shared" ca="1" si="94"/>
        <v/>
      </c>
      <c r="AQ54" s="463" t="str">
        <f t="shared" ca="1" si="94"/>
        <v/>
      </c>
      <c r="AR54" s="463" t="str">
        <f t="shared" ca="1" si="94"/>
        <v/>
      </c>
      <c r="AS54" s="463" t="str">
        <f t="shared" ca="1" si="94"/>
        <v/>
      </c>
      <c r="AT54" s="463" t="str">
        <f t="shared" ca="1" si="94"/>
        <v/>
      </c>
      <c r="AU54" s="463" t="str">
        <f t="shared" ca="1" si="94"/>
        <v/>
      </c>
      <c r="AV54" s="463" t="str">
        <f t="shared" ca="1" si="94"/>
        <v/>
      </c>
      <c r="AW54" s="463" t="str">
        <f t="shared" ca="1" si="94"/>
        <v/>
      </c>
      <c r="AX54" s="463" t="str">
        <f t="shared" ca="1" si="94"/>
        <v/>
      </c>
      <c r="AY54" s="463" t="str">
        <f t="shared" ca="1" si="94"/>
        <v/>
      </c>
      <c r="AZ54" s="463" t="str">
        <f t="shared" ca="1" si="94"/>
        <v/>
      </c>
      <c r="BA54" s="463" t="str">
        <f t="shared" ca="1" si="94"/>
        <v/>
      </c>
      <c r="BB54" s="463" t="str">
        <f t="shared" ca="1" si="94"/>
        <v/>
      </c>
      <c r="BC54" s="463" t="str">
        <f t="shared" ref="BC54:CH54" ca="1" si="95">IF(BC$10&lt;=(Åpningsår+ProsjektetsLevetid-1),IF(BC43&lt;=AndreBeregningsår,IF(SIGN($G54)=SIGN($H54),$G54*$J54^(BC43-FørsteBeregningsår),($G54+1.1*ABS($G54-$H54))*$J54^(BC43-FørsteBeregningsår)-1.1*ABS($G54-$H54)),IF(BC43&lt;=TredjeBeregningsår,IF(SIGN($H54)=SIGN($I54),$H54*$K54^(BC43-AndreBeregningsår),($H54+1.1*ABS($H54-$I54))*$K54^(BC43-AndreBeregningsår)-1.1*ABS($H54-$I54)),OFFSET($G54,0,Antall_Beregningsår-1)*LOOKUP(BC43,SerieÅR,SerieVolumvekstperson)+$L54*(BC43-IF(Antall_Beregningsår&gt;2,TredjeBeregningsår,AndreBeregningsår))))*KPIJustering*LOOKUP(BC43,SerieÅR,SerieCO2avgift_Buss),"")</f>
        <v/>
      </c>
      <c r="BD54" s="463" t="str">
        <f t="shared" ca="1" si="95"/>
        <v/>
      </c>
      <c r="BE54" s="463" t="str">
        <f t="shared" ca="1" si="95"/>
        <v/>
      </c>
      <c r="BF54" s="463" t="str">
        <f t="shared" ca="1" si="95"/>
        <v/>
      </c>
      <c r="BG54" s="463" t="str">
        <f t="shared" ca="1" si="95"/>
        <v/>
      </c>
      <c r="BH54" s="463" t="str">
        <f t="shared" ca="1" si="95"/>
        <v/>
      </c>
      <c r="BI54" s="463" t="str">
        <f t="shared" ca="1" si="95"/>
        <v/>
      </c>
      <c r="BJ54" s="463" t="str">
        <f t="shared" ca="1" si="95"/>
        <v/>
      </c>
      <c r="BK54" s="463" t="str">
        <f t="shared" ca="1" si="95"/>
        <v/>
      </c>
      <c r="BL54" s="463" t="str">
        <f t="shared" ca="1" si="95"/>
        <v/>
      </c>
      <c r="BM54" s="463" t="str">
        <f t="shared" ca="1" si="95"/>
        <v/>
      </c>
      <c r="BN54" s="463" t="str">
        <f t="shared" ca="1" si="95"/>
        <v/>
      </c>
      <c r="BO54" s="463" t="str">
        <f t="shared" ca="1" si="95"/>
        <v/>
      </c>
      <c r="BP54" s="463" t="str">
        <f t="shared" ca="1" si="95"/>
        <v/>
      </c>
      <c r="BQ54" s="463" t="str">
        <f t="shared" ca="1" si="95"/>
        <v/>
      </c>
      <c r="BR54" s="463" t="str">
        <f t="shared" ca="1" si="95"/>
        <v/>
      </c>
      <c r="BS54" s="463" t="str">
        <f t="shared" ca="1" si="95"/>
        <v/>
      </c>
      <c r="BT54" s="463" t="str">
        <f t="shared" ca="1" si="95"/>
        <v/>
      </c>
      <c r="BU54" s="463" t="str">
        <f t="shared" ca="1" si="95"/>
        <v/>
      </c>
      <c r="BV54" s="463" t="str">
        <f t="shared" ca="1" si="95"/>
        <v/>
      </c>
      <c r="BW54" s="463" t="str">
        <f t="shared" ca="1" si="95"/>
        <v/>
      </c>
      <c r="BX54" s="463" t="str">
        <f t="shared" ca="1" si="95"/>
        <v/>
      </c>
      <c r="BY54" s="463" t="str">
        <f t="shared" ca="1" si="95"/>
        <v/>
      </c>
      <c r="BZ54" s="463" t="str">
        <f t="shared" ca="1" si="95"/>
        <v/>
      </c>
      <c r="CA54" s="463" t="str">
        <f t="shared" ca="1" si="95"/>
        <v/>
      </c>
      <c r="CB54" s="463" t="str">
        <f t="shared" ca="1" si="95"/>
        <v/>
      </c>
      <c r="CC54" s="463" t="str">
        <f t="shared" ca="1" si="95"/>
        <v/>
      </c>
      <c r="CD54" s="463" t="str">
        <f t="shared" ca="1" si="95"/>
        <v/>
      </c>
      <c r="CE54" s="463" t="str">
        <f t="shared" ca="1" si="95"/>
        <v/>
      </c>
      <c r="CF54" s="463" t="str">
        <f t="shared" ca="1" si="95"/>
        <v/>
      </c>
      <c r="CG54" s="463" t="str">
        <f t="shared" ca="1" si="95"/>
        <v/>
      </c>
      <c r="CH54" s="463" t="str">
        <f t="shared" ca="1" si="95"/>
        <v/>
      </c>
      <c r="CI54" s="463" t="str">
        <f t="shared" ref="CI54:DR54" ca="1" si="96">IF(CI$10&lt;=(Åpningsår+ProsjektetsLevetid-1),IF(CI43&lt;=AndreBeregningsår,IF(SIGN($G54)=SIGN($H54),$G54*$J54^(CI43-FørsteBeregningsår),($G54+1.1*ABS($G54-$H54))*$J54^(CI43-FørsteBeregningsår)-1.1*ABS($G54-$H54)),IF(CI43&lt;=TredjeBeregningsår,IF(SIGN($H54)=SIGN($I54),$H54*$K54^(CI43-AndreBeregningsår),($H54+1.1*ABS($H54-$I54))*$K54^(CI43-AndreBeregningsår)-1.1*ABS($H54-$I54)),OFFSET($G54,0,Antall_Beregningsår-1)*LOOKUP(CI43,SerieÅR,SerieVolumvekstperson)+$L54*(CI43-IF(Antall_Beregningsår&gt;2,TredjeBeregningsår,AndreBeregningsår))))*KPIJustering*LOOKUP(CI43,SerieÅR,SerieCO2avgift_Buss),"")</f>
        <v/>
      </c>
      <c r="CJ54" s="463" t="str">
        <f t="shared" ca="1" si="96"/>
        <v/>
      </c>
      <c r="CK54" s="463" t="str">
        <f t="shared" ca="1" si="96"/>
        <v/>
      </c>
      <c r="CL54" s="463" t="str">
        <f t="shared" ca="1" si="96"/>
        <v/>
      </c>
      <c r="CM54" s="463" t="str">
        <f t="shared" ca="1" si="96"/>
        <v/>
      </c>
      <c r="CN54" s="463" t="str">
        <f t="shared" ca="1" si="96"/>
        <v/>
      </c>
      <c r="CO54" s="463" t="str">
        <f t="shared" ca="1" si="96"/>
        <v/>
      </c>
      <c r="CP54" s="463" t="str">
        <f t="shared" ca="1" si="96"/>
        <v/>
      </c>
      <c r="CQ54" s="463" t="str">
        <f t="shared" ca="1" si="96"/>
        <v/>
      </c>
      <c r="CR54" s="463" t="str">
        <f t="shared" ca="1" si="96"/>
        <v/>
      </c>
      <c r="CS54" s="463" t="str">
        <f t="shared" ca="1" si="96"/>
        <v/>
      </c>
      <c r="CT54" s="463" t="str">
        <f t="shared" ca="1" si="96"/>
        <v/>
      </c>
      <c r="CU54" s="463" t="str">
        <f t="shared" ca="1" si="96"/>
        <v/>
      </c>
      <c r="CV54" s="463" t="str">
        <f t="shared" ca="1" si="96"/>
        <v/>
      </c>
      <c r="CW54" s="463" t="str">
        <f t="shared" ca="1" si="96"/>
        <v/>
      </c>
      <c r="CX54" s="463" t="str">
        <f t="shared" ca="1" si="96"/>
        <v/>
      </c>
      <c r="CY54" s="463" t="str">
        <f t="shared" ca="1" si="96"/>
        <v/>
      </c>
      <c r="CZ54" s="463" t="str">
        <f t="shared" ca="1" si="96"/>
        <v/>
      </c>
      <c r="DA54" s="463" t="str">
        <f t="shared" ca="1" si="96"/>
        <v/>
      </c>
      <c r="DB54" s="463" t="str">
        <f t="shared" ca="1" si="96"/>
        <v/>
      </c>
      <c r="DC54" s="463" t="str">
        <f t="shared" ca="1" si="96"/>
        <v/>
      </c>
      <c r="DD54" s="463" t="str">
        <f t="shared" ca="1" si="96"/>
        <v/>
      </c>
      <c r="DE54" s="463" t="str">
        <f t="shared" ca="1" si="96"/>
        <v/>
      </c>
      <c r="DF54" s="463" t="str">
        <f t="shared" ca="1" si="96"/>
        <v/>
      </c>
      <c r="DG54" s="463" t="str">
        <f t="shared" ca="1" si="96"/>
        <v/>
      </c>
      <c r="DH54" s="463" t="str">
        <f t="shared" ca="1" si="96"/>
        <v/>
      </c>
      <c r="DI54" s="463" t="str">
        <f t="shared" ca="1" si="96"/>
        <v/>
      </c>
      <c r="DJ54" s="463" t="str">
        <f t="shared" ca="1" si="96"/>
        <v/>
      </c>
      <c r="DK54" s="463" t="str">
        <f t="shared" ca="1" si="96"/>
        <v/>
      </c>
      <c r="DL54" s="463" t="str">
        <f t="shared" ca="1" si="96"/>
        <v/>
      </c>
      <c r="DM54" s="463" t="str">
        <f t="shared" ca="1" si="96"/>
        <v/>
      </c>
      <c r="DN54" s="463" t="str">
        <f t="shared" ca="1" si="96"/>
        <v/>
      </c>
      <c r="DO54" s="463" t="str">
        <f t="shared" ca="1" si="96"/>
        <v/>
      </c>
      <c r="DP54" s="463" t="str">
        <f t="shared" ca="1" si="96"/>
        <v/>
      </c>
      <c r="DQ54" s="463" t="str">
        <f t="shared" ca="1" si="96"/>
        <v/>
      </c>
      <c r="DR54" s="463" t="str">
        <f t="shared" ca="1" si="96"/>
        <v/>
      </c>
      <c r="DS54" s="803">
        <f ca="1">SUMPRODUCT(('1.5 Prognoser og indekser'!$R$12:OFFSET('1.5 Prognoser og indekser'!$R$12,0,$DS$9)),($M54:OFFSET($M54,0,$DS$9)))</f>
        <v>0</v>
      </c>
      <c r="DT54" s="804">
        <f ca="1">IF($DT$9&lt;1,0,SUMPRODUCT(OFFSET('1.5 Prognoser og indekser'!$R$12,0,$DS$9+1,1,$DT$9),OFFSET($M54,0,$DS$9+1,1,$DT$9)))</f>
        <v>0</v>
      </c>
    </row>
    <row r="55" spans="1:124" s="59" customFormat="1" x14ac:dyDescent="0.35">
      <c r="C55" s="212" t="s">
        <v>875</v>
      </c>
      <c r="D55" s="752">
        <f>'2.3 Det Offentlige'!C32</f>
        <v>0</v>
      </c>
      <c r="E55" s="752">
        <f>'2.3 Det Offentlige'!D32</f>
        <v>0</v>
      </c>
      <c r="F55" s="752">
        <f>'2.3 Det Offentlige'!E32</f>
        <v>0</v>
      </c>
      <c r="G55" s="752">
        <f>Flykm_År1/1000000</f>
        <v>0</v>
      </c>
      <c r="H55" s="752">
        <f>Flykm_År2/1000000</f>
        <v>0</v>
      </c>
      <c r="I55" s="752">
        <f>Flykm_År3/1000000</f>
        <v>0</v>
      </c>
      <c r="J55" s="790">
        <f t="shared" si="82"/>
        <v>1</v>
      </c>
      <c r="K55" s="790">
        <f t="shared" si="83"/>
        <v>1</v>
      </c>
      <c r="L55" s="752">
        <f t="shared" si="84"/>
        <v>0</v>
      </c>
      <c r="M55" s="718"/>
      <c r="N55" s="718"/>
      <c r="O55" s="718"/>
      <c r="P55" s="718"/>
      <c r="Q55" s="718"/>
      <c r="R55" s="718"/>
      <c r="S55" s="718"/>
      <c r="T55" s="718"/>
      <c r="U55" s="752"/>
      <c r="V55" s="752"/>
      <c r="W55" s="463" t="str">
        <f t="shared" ref="W55:BB55" ca="1" si="97">IF(W$10&lt;=(Åpningsår+ProsjektetsLevetid-1),IF(W43&lt;=AndreBeregningsår,IF(SIGN($G55)=SIGN($H55),$G55*$J55^(W43-FørsteBeregningsår),($G55+1.1*ABS($G55-$H55))*$J55^(W43-FørsteBeregningsår)-1.1*ABS($G55-$H55)),IF(W43&lt;=TredjeBeregningsår,IF(SIGN($H55)=SIGN($I55),$H55*$K55^(W43-AndreBeregningsår),($H55+1.1*ABS($H55-$I55))*$K55^(W43-AndreBeregningsår)-1.1*ABS($H55-$I55)),OFFSET($G55,0,Antall_Beregningsår-1)*LOOKUP(W43,SerieÅR,SerieVolumvekstperson)+$L55*(W43-IF(Antall_Beregningsår&gt;2,TredjeBeregningsår,AndreBeregningsår))))*KPIJustering*LOOKUP(W43,SerieÅR,SerieCO2avgift_Fly),"")</f>
        <v/>
      </c>
      <c r="X55" s="463" t="str">
        <f t="shared" ca="1" si="97"/>
        <v/>
      </c>
      <c r="Y55" s="463" t="str">
        <f t="shared" ca="1" si="97"/>
        <v/>
      </c>
      <c r="Z55" s="463" t="str">
        <f t="shared" ca="1" si="97"/>
        <v/>
      </c>
      <c r="AA55" s="463" t="str">
        <f t="shared" ca="1" si="97"/>
        <v/>
      </c>
      <c r="AB55" s="463" t="str">
        <f t="shared" ca="1" si="97"/>
        <v/>
      </c>
      <c r="AC55" s="463" t="str">
        <f t="shared" ca="1" si="97"/>
        <v/>
      </c>
      <c r="AD55" s="463" t="str">
        <f t="shared" ca="1" si="97"/>
        <v/>
      </c>
      <c r="AE55" s="463" t="str">
        <f t="shared" ca="1" si="97"/>
        <v/>
      </c>
      <c r="AF55" s="463" t="str">
        <f t="shared" ca="1" si="97"/>
        <v/>
      </c>
      <c r="AG55" s="463" t="str">
        <f t="shared" ca="1" si="97"/>
        <v/>
      </c>
      <c r="AH55" s="463" t="str">
        <f t="shared" ca="1" si="97"/>
        <v/>
      </c>
      <c r="AI55" s="463" t="str">
        <f t="shared" ca="1" si="97"/>
        <v/>
      </c>
      <c r="AJ55" s="463" t="str">
        <f t="shared" ca="1" si="97"/>
        <v/>
      </c>
      <c r="AK55" s="463" t="str">
        <f t="shared" ca="1" si="97"/>
        <v/>
      </c>
      <c r="AL55" s="463" t="str">
        <f t="shared" ca="1" si="97"/>
        <v/>
      </c>
      <c r="AM55" s="463" t="str">
        <f t="shared" ca="1" si="97"/>
        <v/>
      </c>
      <c r="AN55" s="463" t="str">
        <f t="shared" ca="1" si="97"/>
        <v/>
      </c>
      <c r="AO55" s="463" t="str">
        <f t="shared" ca="1" si="97"/>
        <v/>
      </c>
      <c r="AP55" s="463" t="str">
        <f t="shared" ca="1" si="97"/>
        <v/>
      </c>
      <c r="AQ55" s="463" t="str">
        <f t="shared" ca="1" si="97"/>
        <v/>
      </c>
      <c r="AR55" s="463" t="str">
        <f t="shared" ca="1" si="97"/>
        <v/>
      </c>
      <c r="AS55" s="463" t="str">
        <f t="shared" ca="1" si="97"/>
        <v/>
      </c>
      <c r="AT55" s="463" t="str">
        <f t="shared" ca="1" si="97"/>
        <v/>
      </c>
      <c r="AU55" s="463" t="str">
        <f t="shared" ca="1" si="97"/>
        <v/>
      </c>
      <c r="AV55" s="463" t="str">
        <f t="shared" ca="1" si="97"/>
        <v/>
      </c>
      <c r="AW55" s="463" t="str">
        <f t="shared" ca="1" si="97"/>
        <v/>
      </c>
      <c r="AX55" s="463" t="str">
        <f t="shared" ca="1" si="97"/>
        <v/>
      </c>
      <c r="AY55" s="463" t="str">
        <f t="shared" ca="1" si="97"/>
        <v/>
      </c>
      <c r="AZ55" s="463" t="str">
        <f t="shared" ca="1" si="97"/>
        <v/>
      </c>
      <c r="BA55" s="463" t="str">
        <f t="shared" ca="1" si="97"/>
        <v/>
      </c>
      <c r="BB55" s="463" t="str">
        <f t="shared" ca="1" si="97"/>
        <v/>
      </c>
      <c r="BC55" s="463" t="str">
        <f t="shared" ref="BC55:CH55" ca="1" si="98">IF(BC$10&lt;=(Åpningsår+ProsjektetsLevetid-1),IF(BC43&lt;=AndreBeregningsår,IF(SIGN($G55)=SIGN($H55),$G55*$J55^(BC43-FørsteBeregningsår),($G55+1.1*ABS($G55-$H55))*$J55^(BC43-FørsteBeregningsår)-1.1*ABS($G55-$H55)),IF(BC43&lt;=TredjeBeregningsår,IF(SIGN($H55)=SIGN($I55),$H55*$K55^(BC43-AndreBeregningsår),($H55+1.1*ABS($H55-$I55))*$K55^(BC43-AndreBeregningsår)-1.1*ABS($H55-$I55)),OFFSET($G55,0,Antall_Beregningsår-1)*LOOKUP(BC43,SerieÅR,SerieVolumvekstperson)+$L55*(BC43-IF(Antall_Beregningsår&gt;2,TredjeBeregningsår,AndreBeregningsår))))*KPIJustering*LOOKUP(BC43,SerieÅR,SerieCO2avgift_Fly),"")</f>
        <v/>
      </c>
      <c r="BD55" s="463" t="str">
        <f t="shared" ca="1" si="98"/>
        <v/>
      </c>
      <c r="BE55" s="463" t="str">
        <f t="shared" ca="1" si="98"/>
        <v/>
      </c>
      <c r="BF55" s="463" t="str">
        <f t="shared" ca="1" si="98"/>
        <v/>
      </c>
      <c r="BG55" s="463" t="str">
        <f t="shared" ca="1" si="98"/>
        <v/>
      </c>
      <c r="BH55" s="463" t="str">
        <f t="shared" ca="1" si="98"/>
        <v/>
      </c>
      <c r="BI55" s="463" t="str">
        <f t="shared" ca="1" si="98"/>
        <v/>
      </c>
      <c r="BJ55" s="463" t="str">
        <f t="shared" ca="1" si="98"/>
        <v/>
      </c>
      <c r="BK55" s="463" t="str">
        <f t="shared" ca="1" si="98"/>
        <v/>
      </c>
      <c r="BL55" s="463" t="str">
        <f t="shared" ca="1" si="98"/>
        <v/>
      </c>
      <c r="BM55" s="463" t="str">
        <f t="shared" ca="1" si="98"/>
        <v/>
      </c>
      <c r="BN55" s="463" t="str">
        <f t="shared" ca="1" si="98"/>
        <v/>
      </c>
      <c r="BO55" s="463" t="str">
        <f t="shared" ca="1" si="98"/>
        <v/>
      </c>
      <c r="BP55" s="463" t="str">
        <f t="shared" ca="1" si="98"/>
        <v/>
      </c>
      <c r="BQ55" s="463" t="str">
        <f t="shared" ca="1" si="98"/>
        <v/>
      </c>
      <c r="BR55" s="463" t="str">
        <f t="shared" ca="1" si="98"/>
        <v/>
      </c>
      <c r="BS55" s="463" t="str">
        <f t="shared" ca="1" si="98"/>
        <v/>
      </c>
      <c r="BT55" s="463" t="str">
        <f t="shared" ca="1" si="98"/>
        <v/>
      </c>
      <c r="BU55" s="463" t="str">
        <f t="shared" ca="1" si="98"/>
        <v/>
      </c>
      <c r="BV55" s="463" t="str">
        <f t="shared" ca="1" si="98"/>
        <v/>
      </c>
      <c r="BW55" s="463" t="str">
        <f t="shared" ca="1" si="98"/>
        <v/>
      </c>
      <c r="BX55" s="463" t="str">
        <f t="shared" ca="1" si="98"/>
        <v/>
      </c>
      <c r="BY55" s="463" t="str">
        <f t="shared" ca="1" si="98"/>
        <v/>
      </c>
      <c r="BZ55" s="463" t="str">
        <f t="shared" ca="1" si="98"/>
        <v/>
      </c>
      <c r="CA55" s="463" t="str">
        <f t="shared" ca="1" si="98"/>
        <v/>
      </c>
      <c r="CB55" s="463" t="str">
        <f t="shared" ca="1" si="98"/>
        <v/>
      </c>
      <c r="CC55" s="463" t="str">
        <f t="shared" ca="1" si="98"/>
        <v/>
      </c>
      <c r="CD55" s="463" t="str">
        <f t="shared" ca="1" si="98"/>
        <v/>
      </c>
      <c r="CE55" s="463" t="str">
        <f t="shared" ca="1" si="98"/>
        <v/>
      </c>
      <c r="CF55" s="463" t="str">
        <f t="shared" ca="1" si="98"/>
        <v/>
      </c>
      <c r="CG55" s="463" t="str">
        <f t="shared" ca="1" si="98"/>
        <v/>
      </c>
      <c r="CH55" s="463" t="str">
        <f t="shared" ca="1" si="98"/>
        <v/>
      </c>
      <c r="CI55" s="463" t="str">
        <f t="shared" ref="CI55:DR55" ca="1" si="99">IF(CI$10&lt;=(Åpningsår+ProsjektetsLevetid-1),IF(CI43&lt;=AndreBeregningsår,IF(SIGN($G55)=SIGN($H55),$G55*$J55^(CI43-FørsteBeregningsår),($G55+1.1*ABS($G55-$H55))*$J55^(CI43-FørsteBeregningsår)-1.1*ABS($G55-$H55)),IF(CI43&lt;=TredjeBeregningsår,IF(SIGN($H55)=SIGN($I55),$H55*$K55^(CI43-AndreBeregningsår),($H55+1.1*ABS($H55-$I55))*$K55^(CI43-AndreBeregningsår)-1.1*ABS($H55-$I55)),OFFSET($G55,0,Antall_Beregningsår-1)*LOOKUP(CI43,SerieÅR,SerieVolumvekstperson)+$L55*(CI43-IF(Antall_Beregningsår&gt;2,TredjeBeregningsår,AndreBeregningsår))))*KPIJustering*LOOKUP(CI43,SerieÅR,SerieCO2avgift_Fly),"")</f>
        <v/>
      </c>
      <c r="CJ55" s="463" t="str">
        <f t="shared" ca="1" si="99"/>
        <v/>
      </c>
      <c r="CK55" s="463" t="str">
        <f t="shared" ca="1" si="99"/>
        <v/>
      </c>
      <c r="CL55" s="463" t="str">
        <f t="shared" ca="1" si="99"/>
        <v/>
      </c>
      <c r="CM55" s="463" t="str">
        <f t="shared" ca="1" si="99"/>
        <v/>
      </c>
      <c r="CN55" s="463" t="str">
        <f t="shared" ca="1" si="99"/>
        <v/>
      </c>
      <c r="CO55" s="463" t="str">
        <f t="shared" ca="1" si="99"/>
        <v/>
      </c>
      <c r="CP55" s="463" t="str">
        <f t="shared" ca="1" si="99"/>
        <v/>
      </c>
      <c r="CQ55" s="463" t="str">
        <f t="shared" ca="1" si="99"/>
        <v/>
      </c>
      <c r="CR55" s="463" t="str">
        <f t="shared" ca="1" si="99"/>
        <v/>
      </c>
      <c r="CS55" s="463" t="str">
        <f t="shared" ca="1" si="99"/>
        <v/>
      </c>
      <c r="CT55" s="463" t="str">
        <f t="shared" ca="1" si="99"/>
        <v/>
      </c>
      <c r="CU55" s="463" t="str">
        <f t="shared" ca="1" si="99"/>
        <v/>
      </c>
      <c r="CV55" s="463" t="str">
        <f t="shared" ca="1" si="99"/>
        <v/>
      </c>
      <c r="CW55" s="463" t="str">
        <f t="shared" ca="1" si="99"/>
        <v/>
      </c>
      <c r="CX55" s="463" t="str">
        <f t="shared" ca="1" si="99"/>
        <v/>
      </c>
      <c r="CY55" s="463" t="str">
        <f t="shared" ca="1" si="99"/>
        <v/>
      </c>
      <c r="CZ55" s="463" t="str">
        <f t="shared" ca="1" si="99"/>
        <v/>
      </c>
      <c r="DA55" s="463" t="str">
        <f t="shared" ca="1" si="99"/>
        <v/>
      </c>
      <c r="DB55" s="463" t="str">
        <f t="shared" ca="1" si="99"/>
        <v/>
      </c>
      <c r="DC55" s="463" t="str">
        <f t="shared" ca="1" si="99"/>
        <v/>
      </c>
      <c r="DD55" s="463" t="str">
        <f t="shared" ca="1" si="99"/>
        <v/>
      </c>
      <c r="DE55" s="463" t="str">
        <f t="shared" ca="1" si="99"/>
        <v/>
      </c>
      <c r="DF55" s="463" t="str">
        <f t="shared" ca="1" si="99"/>
        <v/>
      </c>
      <c r="DG55" s="463" t="str">
        <f t="shared" ca="1" si="99"/>
        <v/>
      </c>
      <c r="DH55" s="463" t="str">
        <f t="shared" ca="1" si="99"/>
        <v/>
      </c>
      <c r="DI55" s="463" t="str">
        <f t="shared" ca="1" si="99"/>
        <v/>
      </c>
      <c r="DJ55" s="463" t="str">
        <f t="shared" ca="1" si="99"/>
        <v/>
      </c>
      <c r="DK55" s="463" t="str">
        <f t="shared" ca="1" si="99"/>
        <v/>
      </c>
      <c r="DL55" s="463" t="str">
        <f t="shared" ca="1" si="99"/>
        <v/>
      </c>
      <c r="DM55" s="463" t="str">
        <f t="shared" ca="1" si="99"/>
        <v/>
      </c>
      <c r="DN55" s="463" t="str">
        <f t="shared" ca="1" si="99"/>
        <v/>
      </c>
      <c r="DO55" s="463" t="str">
        <f t="shared" ca="1" si="99"/>
        <v/>
      </c>
      <c r="DP55" s="463" t="str">
        <f t="shared" ca="1" si="99"/>
        <v/>
      </c>
      <c r="DQ55" s="463" t="str">
        <f t="shared" ca="1" si="99"/>
        <v/>
      </c>
      <c r="DR55" s="463" t="str">
        <f t="shared" ca="1" si="99"/>
        <v/>
      </c>
      <c r="DS55" s="803">
        <f ca="1">SUMPRODUCT(('1.5 Prognoser og indekser'!$R$12:OFFSET('1.5 Prognoser og indekser'!$R$12,0,$DS$9)),($M55:OFFSET($M55,0,$DS$9)))</f>
        <v>0</v>
      </c>
      <c r="DT55" s="804">
        <f ca="1">IF($DT$9&lt;1,0,SUMPRODUCT(OFFSET('1.5 Prognoser og indekser'!$R$12,0,$DS$9+1,1,$DT$9),OFFSET($M55,0,$DS$9+1,1,$DT$9)))</f>
        <v>0</v>
      </c>
    </row>
    <row r="56" spans="1:124" s="59" customFormat="1" x14ac:dyDescent="0.35">
      <c r="C56" s="212" t="s">
        <v>678</v>
      </c>
      <c r="D56" s="752">
        <f>'2.3 Det Offentlige'!C29</f>
        <v>0</v>
      </c>
      <c r="E56" s="752">
        <f>'2.3 Det Offentlige'!D29</f>
        <v>0</v>
      </c>
      <c r="F56" s="752">
        <f>'2.3 Det Offentlige'!E29</f>
        <v>0</v>
      </c>
      <c r="G56" s="752">
        <f>KjøretøyMkm_Tunglastebil_År1+KjøretøyMkm_Modulvogntog_År1</f>
        <v>0</v>
      </c>
      <c r="H56" s="752">
        <f>KjøretøyMkm_Tunglastebil_År2+KjøretøyMkm_Modulvogntog_År2</f>
        <v>0</v>
      </c>
      <c r="I56" s="752">
        <f>KjøretøyMkm_Tunglastebil_År3+KjøretøyMkm_Modulvogntog_År3</f>
        <v>0</v>
      </c>
      <c r="J56" s="790">
        <f t="shared" si="82"/>
        <v>1</v>
      </c>
      <c r="K56" s="790">
        <f t="shared" si="83"/>
        <v>1</v>
      </c>
      <c r="L56" s="752">
        <f t="shared" si="84"/>
        <v>0</v>
      </c>
      <c r="M56" s="718"/>
      <c r="N56" s="718"/>
      <c r="O56" s="718"/>
      <c r="P56" s="718"/>
      <c r="Q56" s="718"/>
      <c r="R56" s="718"/>
      <c r="S56" s="718"/>
      <c r="T56" s="718"/>
      <c r="U56" s="752"/>
      <c r="V56" s="752"/>
      <c r="W56" s="463" t="str">
        <f t="shared" ref="W56:BB56" ca="1" si="100">IF(W$10&lt;=(Åpningsår+ProsjektetsLevetid-1),IF(W43&lt;=AndreBeregningsår,IF(SIGN($G56)=SIGN($H56),$G56*$J56^(W43-FørsteBeregningsår),($G56+1.1*ABS($G56-$H56))*$J56^(W43-FørsteBeregningsår)-1.1*ABS($G56-$H56)),IF(W43&lt;=TredjeBeregningsår,IF(SIGN($H56)=SIGN($I56),$H56*$K56^(W43-AndreBeregningsår),($H56+1.1*ABS($H56-$I56))*$K56^(W43-AndreBeregningsår)-1.1*ABS($H56-$I56)),OFFSET($G56,0,Antall_Beregningsår-1)*LOOKUP(W43,SerieÅR,SerieVolumvekstGods)+$L56*(W43-IF(Antall_Beregningsår&gt;2,TredjeBeregningsår,AndreBeregningsår))))*KPIJustering*LOOKUP(W43,SerieÅR,SerieCO2avgift_Lastebil),"")</f>
        <v/>
      </c>
      <c r="X56" s="463" t="str">
        <f t="shared" ca="1" si="100"/>
        <v/>
      </c>
      <c r="Y56" s="463" t="str">
        <f t="shared" ca="1" si="100"/>
        <v/>
      </c>
      <c r="Z56" s="463" t="str">
        <f t="shared" ca="1" si="100"/>
        <v/>
      </c>
      <c r="AA56" s="463" t="str">
        <f t="shared" ca="1" si="100"/>
        <v/>
      </c>
      <c r="AB56" s="463" t="str">
        <f t="shared" ca="1" si="100"/>
        <v/>
      </c>
      <c r="AC56" s="463" t="str">
        <f t="shared" ca="1" si="100"/>
        <v/>
      </c>
      <c r="AD56" s="463" t="str">
        <f t="shared" ca="1" si="100"/>
        <v/>
      </c>
      <c r="AE56" s="463" t="str">
        <f t="shared" ca="1" si="100"/>
        <v/>
      </c>
      <c r="AF56" s="463" t="str">
        <f t="shared" ca="1" si="100"/>
        <v/>
      </c>
      <c r="AG56" s="463" t="str">
        <f t="shared" ca="1" si="100"/>
        <v/>
      </c>
      <c r="AH56" s="463" t="str">
        <f t="shared" ca="1" si="100"/>
        <v/>
      </c>
      <c r="AI56" s="463" t="str">
        <f t="shared" ca="1" si="100"/>
        <v/>
      </c>
      <c r="AJ56" s="463" t="str">
        <f t="shared" ca="1" si="100"/>
        <v/>
      </c>
      <c r="AK56" s="463" t="str">
        <f t="shared" ca="1" si="100"/>
        <v/>
      </c>
      <c r="AL56" s="463" t="str">
        <f t="shared" ca="1" si="100"/>
        <v/>
      </c>
      <c r="AM56" s="463" t="str">
        <f t="shared" ca="1" si="100"/>
        <v/>
      </c>
      <c r="AN56" s="463" t="str">
        <f t="shared" ca="1" si="100"/>
        <v/>
      </c>
      <c r="AO56" s="463" t="str">
        <f t="shared" ca="1" si="100"/>
        <v/>
      </c>
      <c r="AP56" s="463" t="str">
        <f t="shared" ca="1" si="100"/>
        <v/>
      </c>
      <c r="AQ56" s="463" t="str">
        <f t="shared" ca="1" si="100"/>
        <v/>
      </c>
      <c r="AR56" s="463" t="str">
        <f t="shared" ca="1" si="100"/>
        <v/>
      </c>
      <c r="AS56" s="463" t="str">
        <f t="shared" ca="1" si="100"/>
        <v/>
      </c>
      <c r="AT56" s="463" t="str">
        <f t="shared" ca="1" si="100"/>
        <v/>
      </c>
      <c r="AU56" s="463" t="str">
        <f t="shared" ca="1" si="100"/>
        <v/>
      </c>
      <c r="AV56" s="463" t="str">
        <f t="shared" ca="1" si="100"/>
        <v/>
      </c>
      <c r="AW56" s="463" t="str">
        <f t="shared" ca="1" si="100"/>
        <v/>
      </c>
      <c r="AX56" s="463" t="str">
        <f t="shared" ca="1" si="100"/>
        <v/>
      </c>
      <c r="AY56" s="463" t="str">
        <f t="shared" ca="1" si="100"/>
        <v/>
      </c>
      <c r="AZ56" s="463" t="str">
        <f t="shared" ca="1" si="100"/>
        <v/>
      </c>
      <c r="BA56" s="463" t="str">
        <f t="shared" ca="1" si="100"/>
        <v/>
      </c>
      <c r="BB56" s="463" t="str">
        <f t="shared" ca="1" si="100"/>
        <v/>
      </c>
      <c r="BC56" s="463" t="str">
        <f t="shared" ref="BC56:CH56" ca="1" si="101">IF(BC$10&lt;=(Åpningsår+ProsjektetsLevetid-1),IF(BC43&lt;=AndreBeregningsår,IF(SIGN($G56)=SIGN($H56),$G56*$J56^(BC43-FørsteBeregningsår),($G56+1.1*ABS($G56-$H56))*$J56^(BC43-FørsteBeregningsår)-1.1*ABS($G56-$H56)),IF(BC43&lt;=TredjeBeregningsår,IF(SIGN($H56)=SIGN($I56),$H56*$K56^(BC43-AndreBeregningsår),($H56+1.1*ABS($H56-$I56))*$K56^(BC43-AndreBeregningsår)-1.1*ABS($H56-$I56)),OFFSET($G56,0,Antall_Beregningsår-1)*LOOKUP(BC43,SerieÅR,SerieVolumvekstGods)+$L56*(BC43-IF(Antall_Beregningsår&gt;2,TredjeBeregningsår,AndreBeregningsår))))*KPIJustering*LOOKUP(BC43,SerieÅR,SerieCO2avgift_Lastebil),"")</f>
        <v/>
      </c>
      <c r="BD56" s="463" t="str">
        <f t="shared" ca="1" si="101"/>
        <v/>
      </c>
      <c r="BE56" s="463" t="str">
        <f t="shared" ca="1" si="101"/>
        <v/>
      </c>
      <c r="BF56" s="463" t="str">
        <f t="shared" ca="1" si="101"/>
        <v/>
      </c>
      <c r="BG56" s="463" t="str">
        <f t="shared" ca="1" si="101"/>
        <v/>
      </c>
      <c r="BH56" s="463" t="str">
        <f t="shared" ca="1" si="101"/>
        <v/>
      </c>
      <c r="BI56" s="463" t="str">
        <f t="shared" ca="1" si="101"/>
        <v/>
      </c>
      <c r="BJ56" s="463" t="str">
        <f t="shared" ca="1" si="101"/>
        <v/>
      </c>
      <c r="BK56" s="463" t="str">
        <f t="shared" ca="1" si="101"/>
        <v/>
      </c>
      <c r="BL56" s="463" t="str">
        <f t="shared" ca="1" si="101"/>
        <v/>
      </c>
      <c r="BM56" s="463" t="str">
        <f t="shared" ca="1" si="101"/>
        <v/>
      </c>
      <c r="BN56" s="463" t="str">
        <f t="shared" ca="1" si="101"/>
        <v/>
      </c>
      <c r="BO56" s="463" t="str">
        <f t="shared" ca="1" si="101"/>
        <v/>
      </c>
      <c r="BP56" s="463" t="str">
        <f t="shared" ca="1" si="101"/>
        <v/>
      </c>
      <c r="BQ56" s="463" t="str">
        <f t="shared" ca="1" si="101"/>
        <v/>
      </c>
      <c r="BR56" s="463" t="str">
        <f t="shared" ca="1" si="101"/>
        <v/>
      </c>
      <c r="BS56" s="463" t="str">
        <f t="shared" ca="1" si="101"/>
        <v/>
      </c>
      <c r="BT56" s="463" t="str">
        <f t="shared" ca="1" si="101"/>
        <v/>
      </c>
      <c r="BU56" s="463" t="str">
        <f t="shared" ca="1" si="101"/>
        <v/>
      </c>
      <c r="BV56" s="463" t="str">
        <f t="shared" ca="1" si="101"/>
        <v/>
      </c>
      <c r="BW56" s="463" t="str">
        <f t="shared" ca="1" si="101"/>
        <v/>
      </c>
      <c r="BX56" s="463" t="str">
        <f t="shared" ca="1" si="101"/>
        <v/>
      </c>
      <c r="BY56" s="463" t="str">
        <f t="shared" ca="1" si="101"/>
        <v/>
      </c>
      <c r="BZ56" s="463" t="str">
        <f t="shared" ca="1" si="101"/>
        <v/>
      </c>
      <c r="CA56" s="463" t="str">
        <f t="shared" ca="1" si="101"/>
        <v/>
      </c>
      <c r="CB56" s="463" t="str">
        <f t="shared" ca="1" si="101"/>
        <v/>
      </c>
      <c r="CC56" s="463" t="str">
        <f t="shared" ca="1" si="101"/>
        <v/>
      </c>
      <c r="CD56" s="463" t="str">
        <f t="shared" ca="1" si="101"/>
        <v/>
      </c>
      <c r="CE56" s="463" t="str">
        <f t="shared" ca="1" si="101"/>
        <v/>
      </c>
      <c r="CF56" s="463" t="str">
        <f t="shared" ca="1" si="101"/>
        <v/>
      </c>
      <c r="CG56" s="463" t="str">
        <f t="shared" ca="1" si="101"/>
        <v/>
      </c>
      <c r="CH56" s="463" t="str">
        <f t="shared" ca="1" si="101"/>
        <v/>
      </c>
      <c r="CI56" s="463" t="str">
        <f t="shared" ref="CI56:DR56" ca="1" si="102">IF(CI$10&lt;=(Åpningsår+ProsjektetsLevetid-1),IF(CI43&lt;=AndreBeregningsår,IF(SIGN($G56)=SIGN($H56),$G56*$J56^(CI43-FørsteBeregningsår),($G56+1.1*ABS($G56-$H56))*$J56^(CI43-FørsteBeregningsår)-1.1*ABS($G56-$H56)),IF(CI43&lt;=TredjeBeregningsår,IF(SIGN($H56)=SIGN($I56),$H56*$K56^(CI43-AndreBeregningsår),($H56+1.1*ABS($H56-$I56))*$K56^(CI43-AndreBeregningsår)-1.1*ABS($H56-$I56)),OFFSET($G56,0,Antall_Beregningsår-1)*LOOKUP(CI43,SerieÅR,SerieVolumvekstGods)+$L56*(CI43-IF(Antall_Beregningsår&gt;2,TredjeBeregningsår,AndreBeregningsår))))*KPIJustering*LOOKUP(CI43,SerieÅR,SerieCO2avgift_Lastebil),"")</f>
        <v/>
      </c>
      <c r="CJ56" s="463" t="str">
        <f t="shared" ca="1" si="102"/>
        <v/>
      </c>
      <c r="CK56" s="463" t="str">
        <f t="shared" ca="1" si="102"/>
        <v/>
      </c>
      <c r="CL56" s="463" t="str">
        <f t="shared" ca="1" si="102"/>
        <v/>
      </c>
      <c r="CM56" s="463" t="str">
        <f t="shared" ca="1" si="102"/>
        <v/>
      </c>
      <c r="CN56" s="463" t="str">
        <f t="shared" ca="1" si="102"/>
        <v/>
      </c>
      <c r="CO56" s="463" t="str">
        <f t="shared" ca="1" si="102"/>
        <v/>
      </c>
      <c r="CP56" s="463" t="str">
        <f t="shared" ca="1" si="102"/>
        <v/>
      </c>
      <c r="CQ56" s="463" t="str">
        <f t="shared" ca="1" si="102"/>
        <v/>
      </c>
      <c r="CR56" s="463" t="str">
        <f t="shared" ca="1" si="102"/>
        <v/>
      </c>
      <c r="CS56" s="463" t="str">
        <f t="shared" ca="1" si="102"/>
        <v/>
      </c>
      <c r="CT56" s="463" t="str">
        <f t="shared" ca="1" si="102"/>
        <v/>
      </c>
      <c r="CU56" s="463" t="str">
        <f t="shared" ca="1" si="102"/>
        <v/>
      </c>
      <c r="CV56" s="463" t="str">
        <f t="shared" ca="1" si="102"/>
        <v/>
      </c>
      <c r="CW56" s="463" t="str">
        <f t="shared" ca="1" si="102"/>
        <v/>
      </c>
      <c r="CX56" s="463" t="str">
        <f t="shared" ca="1" si="102"/>
        <v/>
      </c>
      <c r="CY56" s="463" t="str">
        <f t="shared" ca="1" si="102"/>
        <v/>
      </c>
      <c r="CZ56" s="463" t="str">
        <f t="shared" ca="1" si="102"/>
        <v/>
      </c>
      <c r="DA56" s="463" t="str">
        <f t="shared" ca="1" si="102"/>
        <v/>
      </c>
      <c r="DB56" s="463" t="str">
        <f t="shared" ca="1" si="102"/>
        <v/>
      </c>
      <c r="DC56" s="463" t="str">
        <f t="shared" ca="1" si="102"/>
        <v/>
      </c>
      <c r="DD56" s="463" t="str">
        <f t="shared" ca="1" si="102"/>
        <v/>
      </c>
      <c r="DE56" s="463" t="str">
        <f t="shared" ca="1" si="102"/>
        <v/>
      </c>
      <c r="DF56" s="463" t="str">
        <f t="shared" ca="1" si="102"/>
        <v/>
      </c>
      <c r="DG56" s="463" t="str">
        <f t="shared" ca="1" si="102"/>
        <v/>
      </c>
      <c r="DH56" s="463" t="str">
        <f t="shared" ca="1" si="102"/>
        <v/>
      </c>
      <c r="DI56" s="463" t="str">
        <f t="shared" ca="1" si="102"/>
        <v/>
      </c>
      <c r="DJ56" s="463" t="str">
        <f t="shared" ca="1" si="102"/>
        <v/>
      </c>
      <c r="DK56" s="463" t="str">
        <f t="shared" ca="1" si="102"/>
        <v/>
      </c>
      <c r="DL56" s="463" t="str">
        <f t="shared" ca="1" si="102"/>
        <v/>
      </c>
      <c r="DM56" s="463" t="str">
        <f t="shared" ca="1" si="102"/>
        <v/>
      </c>
      <c r="DN56" s="463" t="str">
        <f t="shared" ca="1" si="102"/>
        <v/>
      </c>
      <c r="DO56" s="463" t="str">
        <f t="shared" ca="1" si="102"/>
        <v/>
      </c>
      <c r="DP56" s="463" t="str">
        <f t="shared" ca="1" si="102"/>
        <v/>
      </c>
      <c r="DQ56" s="463" t="str">
        <f t="shared" ca="1" si="102"/>
        <v/>
      </c>
      <c r="DR56" s="463" t="str">
        <f t="shared" ca="1" si="102"/>
        <v/>
      </c>
      <c r="DS56" s="803">
        <f ca="1">SUMPRODUCT(('1.5 Prognoser og indekser'!$R$12:OFFSET('1.5 Prognoser og indekser'!$R$12,0,$DS$9)),($M56:OFFSET($M56,0,$DS$9)))</f>
        <v>0</v>
      </c>
      <c r="DT56" s="804">
        <f ca="1">IF($DT$9&lt;1,0,SUMPRODUCT(OFFSET('1.5 Prognoser og indekser'!$R$12,0,$DS$9+1,1,$DT$9),OFFSET($M56,0,$DS$9+1,1,$DT$9)))</f>
        <v>0</v>
      </c>
    </row>
    <row r="57" spans="1:124" s="59" customFormat="1" x14ac:dyDescent="0.35">
      <c r="C57" s="677" t="s">
        <v>1474</v>
      </c>
      <c r="D57" s="752">
        <f>'2.3 Det Offentlige'!C28</f>
        <v>0</v>
      </c>
      <c r="E57" s="752">
        <f>'2.3 Det Offentlige'!D28</f>
        <v>0</v>
      </c>
      <c r="F57" s="752">
        <f>'2.3 Det Offentlige'!E28</f>
        <v>0</v>
      </c>
      <c r="G57" s="752">
        <f>KjøretøyMkm_Lettlastebil_År1</f>
        <v>0</v>
      </c>
      <c r="H57" s="752">
        <f>KjøretøyMkm_Lettlastebil_År2</f>
        <v>0</v>
      </c>
      <c r="I57" s="752">
        <f>KjøretøyMkm_Lettlastebil_År3</f>
        <v>0</v>
      </c>
      <c r="J57" s="790">
        <f t="shared" si="82"/>
        <v>1</v>
      </c>
      <c r="K57" s="790">
        <f t="shared" si="83"/>
        <v>1</v>
      </c>
      <c r="L57" s="752">
        <f t="shared" si="84"/>
        <v>0</v>
      </c>
      <c r="M57" s="718"/>
      <c r="N57" s="718"/>
      <c r="O57" s="718"/>
      <c r="P57" s="718"/>
      <c r="Q57" s="718"/>
      <c r="R57" s="718"/>
      <c r="S57" s="718"/>
      <c r="T57" s="718"/>
      <c r="U57" s="752"/>
      <c r="V57" s="752"/>
      <c r="W57" s="463" t="str">
        <f t="shared" ref="W57:BB57" ca="1" si="103">IF(W$10&lt;=(Åpningsår+ProsjektetsLevetid-1),IF(W43&lt;=AndreBeregningsår,IF(SIGN($G57)=SIGN($H57),$G57*$J57^(W43-FørsteBeregningsår),($G57+1.1*ABS($G57-$H57))*$J57^(W43-FørsteBeregningsår)-1.1*ABS($G57-$H57)),IF(W43&lt;=TredjeBeregningsår,IF(SIGN($H57)=SIGN($I57),$H57*$K57^(W43-AndreBeregningsår),($H57+1.1*ABS($H57-$I57))*$K57^(W43-AndreBeregningsår)-1.1*ABS($H57-$I57)),OFFSET($G57,0,Antall_Beregningsår-1)*LOOKUP(W43,SerieÅR,SerieVolumvekstGods)+$L57*(W43-IF(Antall_Beregningsår&gt;2,TredjeBeregningsår,AndreBeregningsår))))*KPIJustering*LOOKUP(W43,SerieÅR,SerieCO2avgift_Lastebil),"")</f>
        <v/>
      </c>
      <c r="X57" s="463" t="str">
        <f t="shared" ca="1" si="103"/>
        <v/>
      </c>
      <c r="Y57" s="463" t="str">
        <f t="shared" ca="1" si="103"/>
        <v/>
      </c>
      <c r="Z57" s="463" t="str">
        <f t="shared" ca="1" si="103"/>
        <v/>
      </c>
      <c r="AA57" s="463" t="str">
        <f t="shared" ca="1" si="103"/>
        <v/>
      </c>
      <c r="AB57" s="463" t="str">
        <f t="shared" ca="1" si="103"/>
        <v/>
      </c>
      <c r="AC57" s="463" t="str">
        <f t="shared" ca="1" si="103"/>
        <v/>
      </c>
      <c r="AD57" s="463" t="str">
        <f t="shared" ca="1" si="103"/>
        <v/>
      </c>
      <c r="AE57" s="463" t="str">
        <f t="shared" ca="1" si="103"/>
        <v/>
      </c>
      <c r="AF57" s="463" t="str">
        <f t="shared" ca="1" si="103"/>
        <v/>
      </c>
      <c r="AG57" s="463" t="str">
        <f t="shared" ca="1" si="103"/>
        <v/>
      </c>
      <c r="AH57" s="463" t="str">
        <f t="shared" ca="1" si="103"/>
        <v/>
      </c>
      <c r="AI57" s="463" t="str">
        <f t="shared" ca="1" si="103"/>
        <v/>
      </c>
      <c r="AJ57" s="463" t="str">
        <f t="shared" ca="1" si="103"/>
        <v/>
      </c>
      <c r="AK57" s="463" t="str">
        <f t="shared" ca="1" si="103"/>
        <v/>
      </c>
      <c r="AL57" s="463" t="str">
        <f t="shared" ca="1" si="103"/>
        <v/>
      </c>
      <c r="AM57" s="463" t="str">
        <f t="shared" ca="1" si="103"/>
        <v/>
      </c>
      <c r="AN57" s="463" t="str">
        <f t="shared" ca="1" si="103"/>
        <v/>
      </c>
      <c r="AO57" s="463" t="str">
        <f t="shared" ca="1" si="103"/>
        <v/>
      </c>
      <c r="AP57" s="463" t="str">
        <f t="shared" ca="1" si="103"/>
        <v/>
      </c>
      <c r="AQ57" s="463" t="str">
        <f t="shared" ca="1" si="103"/>
        <v/>
      </c>
      <c r="AR57" s="463" t="str">
        <f t="shared" ca="1" si="103"/>
        <v/>
      </c>
      <c r="AS57" s="463" t="str">
        <f t="shared" ca="1" si="103"/>
        <v/>
      </c>
      <c r="AT57" s="463" t="str">
        <f t="shared" ca="1" si="103"/>
        <v/>
      </c>
      <c r="AU57" s="463" t="str">
        <f t="shared" ca="1" si="103"/>
        <v/>
      </c>
      <c r="AV57" s="463" t="str">
        <f t="shared" ca="1" si="103"/>
        <v/>
      </c>
      <c r="AW57" s="463" t="str">
        <f t="shared" ca="1" si="103"/>
        <v/>
      </c>
      <c r="AX57" s="463" t="str">
        <f t="shared" ca="1" si="103"/>
        <v/>
      </c>
      <c r="AY57" s="463" t="str">
        <f t="shared" ca="1" si="103"/>
        <v/>
      </c>
      <c r="AZ57" s="463" t="str">
        <f t="shared" ca="1" si="103"/>
        <v/>
      </c>
      <c r="BA57" s="463" t="str">
        <f t="shared" ca="1" si="103"/>
        <v/>
      </c>
      <c r="BB57" s="463" t="str">
        <f t="shared" ca="1" si="103"/>
        <v/>
      </c>
      <c r="BC57" s="463" t="str">
        <f t="shared" ref="BC57:CH57" ca="1" si="104">IF(BC$10&lt;=(Åpningsår+ProsjektetsLevetid-1),IF(BC43&lt;=AndreBeregningsår,IF(SIGN($G57)=SIGN($H57),$G57*$J57^(BC43-FørsteBeregningsår),($G57+1.1*ABS($G57-$H57))*$J57^(BC43-FørsteBeregningsår)-1.1*ABS($G57-$H57)),IF(BC43&lt;=TredjeBeregningsår,IF(SIGN($H57)=SIGN($I57),$H57*$K57^(BC43-AndreBeregningsår),($H57+1.1*ABS($H57-$I57))*$K57^(BC43-AndreBeregningsår)-1.1*ABS($H57-$I57)),OFFSET($G57,0,Antall_Beregningsår-1)*LOOKUP(BC43,SerieÅR,SerieVolumvekstGods)+$L57*(BC43-IF(Antall_Beregningsår&gt;2,TredjeBeregningsår,AndreBeregningsår))))*KPIJustering*LOOKUP(BC43,SerieÅR,SerieCO2avgift_Lastebil),"")</f>
        <v/>
      </c>
      <c r="BD57" s="463" t="str">
        <f t="shared" ca="1" si="104"/>
        <v/>
      </c>
      <c r="BE57" s="463" t="str">
        <f t="shared" ca="1" si="104"/>
        <v/>
      </c>
      <c r="BF57" s="463" t="str">
        <f t="shared" ca="1" si="104"/>
        <v/>
      </c>
      <c r="BG57" s="463" t="str">
        <f t="shared" ca="1" si="104"/>
        <v/>
      </c>
      <c r="BH57" s="463" t="str">
        <f t="shared" ca="1" si="104"/>
        <v/>
      </c>
      <c r="BI57" s="463" t="str">
        <f t="shared" ca="1" si="104"/>
        <v/>
      </c>
      <c r="BJ57" s="463" t="str">
        <f t="shared" ca="1" si="104"/>
        <v/>
      </c>
      <c r="BK57" s="463" t="str">
        <f t="shared" ca="1" si="104"/>
        <v/>
      </c>
      <c r="BL57" s="463" t="str">
        <f t="shared" ca="1" si="104"/>
        <v/>
      </c>
      <c r="BM57" s="463" t="str">
        <f t="shared" ca="1" si="104"/>
        <v/>
      </c>
      <c r="BN57" s="463" t="str">
        <f t="shared" ca="1" si="104"/>
        <v/>
      </c>
      <c r="BO57" s="463" t="str">
        <f t="shared" ca="1" si="104"/>
        <v/>
      </c>
      <c r="BP57" s="463" t="str">
        <f t="shared" ca="1" si="104"/>
        <v/>
      </c>
      <c r="BQ57" s="463" t="str">
        <f t="shared" ca="1" si="104"/>
        <v/>
      </c>
      <c r="BR57" s="463" t="str">
        <f t="shared" ca="1" si="104"/>
        <v/>
      </c>
      <c r="BS57" s="463" t="str">
        <f t="shared" ca="1" si="104"/>
        <v/>
      </c>
      <c r="BT57" s="463" t="str">
        <f t="shared" ca="1" si="104"/>
        <v/>
      </c>
      <c r="BU57" s="463" t="str">
        <f t="shared" ca="1" si="104"/>
        <v/>
      </c>
      <c r="BV57" s="463" t="str">
        <f t="shared" ca="1" si="104"/>
        <v/>
      </c>
      <c r="BW57" s="463" t="str">
        <f t="shared" ca="1" si="104"/>
        <v/>
      </c>
      <c r="BX57" s="463" t="str">
        <f t="shared" ca="1" si="104"/>
        <v/>
      </c>
      <c r="BY57" s="463" t="str">
        <f t="shared" ca="1" si="104"/>
        <v/>
      </c>
      <c r="BZ57" s="463" t="str">
        <f t="shared" ca="1" si="104"/>
        <v/>
      </c>
      <c r="CA57" s="463" t="str">
        <f t="shared" ca="1" si="104"/>
        <v/>
      </c>
      <c r="CB57" s="463" t="str">
        <f t="shared" ca="1" si="104"/>
        <v/>
      </c>
      <c r="CC57" s="463" t="str">
        <f t="shared" ca="1" si="104"/>
        <v/>
      </c>
      <c r="CD57" s="463" t="str">
        <f t="shared" ca="1" si="104"/>
        <v/>
      </c>
      <c r="CE57" s="463" t="str">
        <f t="shared" ca="1" si="104"/>
        <v/>
      </c>
      <c r="CF57" s="463" t="str">
        <f t="shared" ca="1" si="104"/>
        <v/>
      </c>
      <c r="CG57" s="463" t="str">
        <f t="shared" ca="1" si="104"/>
        <v/>
      </c>
      <c r="CH57" s="463" t="str">
        <f t="shared" ca="1" si="104"/>
        <v/>
      </c>
      <c r="CI57" s="463" t="str">
        <f t="shared" ref="CI57:DR57" ca="1" si="105">IF(CI$10&lt;=(Åpningsår+ProsjektetsLevetid-1),IF(CI43&lt;=AndreBeregningsår,IF(SIGN($G57)=SIGN($H57),$G57*$J57^(CI43-FørsteBeregningsår),($G57+1.1*ABS($G57-$H57))*$J57^(CI43-FørsteBeregningsår)-1.1*ABS($G57-$H57)),IF(CI43&lt;=TredjeBeregningsår,IF(SIGN($H57)=SIGN($I57),$H57*$K57^(CI43-AndreBeregningsår),($H57+1.1*ABS($H57-$I57))*$K57^(CI43-AndreBeregningsår)-1.1*ABS($H57-$I57)),OFFSET($G57,0,Antall_Beregningsår-1)*LOOKUP(CI43,SerieÅR,SerieVolumvekstGods)+$L57*(CI43-IF(Antall_Beregningsår&gt;2,TredjeBeregningsår,AndreBeregningsår))))*KPIJustering*LOOKUP(CI43,SerieÅR,SerieCO2avgift_Lastebil),"")</f>
        <v/>
      </c>
      <c r="CJ57" s="463" t="str">
        <f t="shared" ca="1" si="105"/>
        <v/>
      </c>
      <c r="CK57" s="463" t="str">
        <f t="shared" ca="1" si="105"/>
        <v/>
      </c>
      <c r="CL57" s="463" t="str">
        <f t="shared" ca="1" si="105"/>
        <v/>
      </c>
      <c r="CM57" s="463" t="str">
        <f t="shared" ca="1" si="105"/>
        <v/>
      </c>
      <c r="CN57" s="463" t="str">
        <f t="shared" ca="1" si="105"/>
        <v/>
      </c>
      <c r="CO57" s="463" t="str">
        <f t="shared" ca="1" si="105"/>
        <v/>
      </c>
      <c r="CP57" s="463" t="str">
        <f t="shared" ca="1" si="105"/>
        <v/>
      </c>
      <c r="CQ57" s="463" t="str">
        <f t="shared" ca="1" si="105"/>
        <v/>
      </c>
      <c r="CR57" s="463" t="str">
        <f t="shared" ca="1" si="105"/>
        <v/>
      </c>
      <c r="CS57" s="463" t="str">
        <f t="shared" ca="1" si="105"/>
        <v/>
      </c>
      <c r="CT57" s="463" t="str">
        <f t="shared" ca="1" si="105"/>
        <v/>
      </c>
      <c r="CU57" s="463" t="str">
        <f t="shared" ca="1" si="105"/>
        <v/>
      </c>
      <c r="CV57" s="463" t="str">
        <f t="shared" ca="1" si="105"/>
        <v/>
      </c>
      <c r="CW57" s="463" t="str">
        <f t="shared" ca="1" si="105"/>
        <v/>
      </c>
      <c r="CX57" s="463" t="str">
        <f t="shared" ca="1" si="105"/>
        <v/>
      </c>
      <c r="CY57" s="463" t="str">
        <f t="shared" ca="1" si="105"/>
        <v/>
      </c>
      <c r="CZ57" s="463" t="str">
        <f t="shared" ca="1" si="105"/>
        <v/>
      </c>
      <c r="DA57" s="463" t="str">
        <f t="shared" ca="1" si="105"/>
        <v/>
      </c>
      <c r="DB57" s="463" t="str">
        <f t="shared" ca="1" si="105"/>
        <v/>
      </c>
      <c r="DC57" s="463" t="str">
        <f t="shared" ca="1" si="105"/>
        <v/>
      </c>
      <c r="DD57" s="463" t="str">
        <f t="shared" ca="1" si="105"/>
        <v/>
      </c>
      <c r="DE57" s="463" t="str">
        <f t="shared" ca="1" si="105"/>
        <v/>
      </c>
      <c r="DF57" s="463" t="str">
        <f t="shared" ca="1" si="105"/>
        <v/>
      </c>
      <c r="DG57" s="463" t="str">
        <f t="shared" ca="1" si="105"/>
        <v/>
      </c>
      <c r="DH57" s="463" t="str">
        <f t="shared" ca="1" si="105"/>
        <v/>
      </c>
      <c r="DI57" s="463" t="str">
        <f t="shared" ca="1" si="105"/>
        <v/>
      </c>
      <c r="DJ57" s="463" t="str">
        <f t="shared" ca="1" si="105"/>
        <v/>
      </c>
      <c r="DK57" s="463" t="str">
        <f t="shared" ca="1" si="105"/>
        <v/>
      </c>
      <c r="DL57" s="463" t="str">
        <f t="shared" ca="1" si="105"/>
        <v/>
      </c>
      <c r="DM57" s="463" t="str">
        <f t="shared" ca="1" si="105"/>
        <v/>
      </c>
      <c r="DN57" s="463" t="str">
        <f t="shared" ca="1" si="105"/>
        <v/>
      </c>
      <c r="DO57" s="463" t="str">
        <f t="shared" ca="1" si="105"/>
        <v/>
      </c>
      <c r="DP57" s="463" t="str">
        <f t="shared" ca="1" si="105"/>
        <v/>
      </c>
      <c r="DQ57" s="463" t="str">
        <f t="shared" ca="1" si="105"/>
        <v/>
      </c>
      <c r="DR57" s="463" t="str">
        <f t="shared" ca="1" si="105"/>
        <v/>
      </c>
      <c r="DS57" s="803">
        <f ca="1">SUMPRODUCT(('1.5 Prognoser og indekser'!$R$12:OFFSET('1.5 Prognoser og indekser'!$R$12,0,$DS$9)),($M57:OFFSET($M57,0,$DS$9)))</f>
        <v>0</v>
      </c>
      <c r="DT57" s="804">
        <f ca="1">IF($DT$9&lt;1,0,SUMPRODUCT(OFFSET('1.5 Prognoser og indekser'!$R$12,0,$DS$9+1,1,$DT$9),OFFSET($M57,0,$DS$9+1,1,$DT$9)))</f>
        <v>0</v>
      </c>
    </row>
    <row r="58" spans="1:124" s="59" customFormat="1" x14ac:dyDescent="0.35">
      <c r="C58" s="212" t="s">
        <v>604</v>
      </c>
      <c r="D58" s="752">
        <f>'2.3 Det Offentlige'!C30</f>
        <v>0</v>
      </c>
      <c r="E58" s="752">
        <f>'2.3 Det Offentlige'!D30</f>
        <v>0</v>
      </c>
      <c r="F58" s="752">
        <f>'2.3 Det Offentlige'!E30</f>
        <v>0</v>
      </c>
      <c r="G58" s="752">
        <f>FartøyMkm_InnlandSkip_År1</f>
        <v>0</v>
      </c>
      <c r="H58" s="752">
        <f>FartøyMkm_InnlandSkip_År2</f>
        <v>0</v>
      </c>
      <c r="I58" s="752">
        <f>FartøyMkm_InnlandSkip_År3</f>
        <v>0</v>
      </c>
      <c r="J58" s="790">
        <f t="shared" si="82"/>
        <v>1</v>
      </c>
      <c r="K58" s="790">
        <f t="shared" si="83"/>
        <v>1</v>
      </c>
      <c r="L58" s="752">
        <f t="shared" si="84"/>
        <v>0</v>
      </c>
      <c r="M58" s="718"/>
      <c r="N58" s="718"/>
      <c r="O58" s="718"/>
      <c r="P58" s="718"/>
      <c r="Q58" s="718"/>
      <c r="R58" s="718"/>
      <c r="S58" s="718"/>
      <c r="T58" s="718"/>
      <c r="U58" s="752"/>
      <c r="V58" s="752"/>
      <c r="W58" s="463" t="str">
        <f t="shared" ref="W58:BB58" ca="1" si="106">IF(W$10&lt;=(Åpningsår+ProsjektetsLevetid-1),IF(W43&lt;=AndreBeregningsår,IF(SIGN($G58)=SIGN($H58),$G58*$J58^(W43-FørsteBeregningsår),($G58+1.1*ABS($G58-$H58))*$J58^(W43-FørsteBeregningsår)-1.1*ABS($G58-$H58)),IF(W43&lt;=TredjeBeregningsår,IF(SIGN($H58)=SIGN($I58),$H58*$K58^(W43-AndreBeregningsår),($H58+1.1*ABS($H58-$I58))*$K58^(W43-AndreBeregningsår)-1.1*ABS($H58-$I58)),OFFSET($G58,0,Antall_Beregningsår-1)*LOOKUP(W43,SerieÅR,SerieVolumvekstGods)+$L58*(W43-IF(Antall_Beregningsår&gt;2,TredjeBeregningsår,AndreBeregningsår))))*KPIJustering*LOOKUP(W43,SerieÅR,SerieCO2avgift_Skip),"")</f>
        <v/>
      </c>
      <c r="X58" s="463" t="str">
        <f t="shared" ca="1" si="106"/>
        <v/>
      </c>
      <c r="Y58" s="463" t="str">
        <f t="shared" ca="1" si="106"/>
        <v/>
      </c>
      <c r="Z58" s="463" t="str">
        <f t="shared" ca="1" si="106"/>
        <v/>
      </c>
      <c r="AA58" s="463" t="str">
        <f t="shared" ca="1" si="106"/>
        <v/>
      </c>
      <c r="AB58" s="463" t="str">
        <f t="shared" ca="1" si="106"/>
        <v/>
      </c>
      <c r="AC58" s="463" t="str">
        <f t="shared" ca="1" si="106"/>
        <v/>
      </c>
      <c r="AD58" s="463" t="str">
        <f t="shared" ca="1" si="106"/>
        <v/>
      </c>
      <c r="AE58" s="463" t="str">
        <f t="shared" ca="1" si="106"/>
        <v/>
      </c>
      <c r="AF58" s="463" t="str">
        <f t="shared" ca="1" si="106"/>
        <v/>
      </c>
      <c r="AG58" s="463" t="str">
        <f t="shared" ca="1" si="106"/>
        <v/>
      </c>
      <c r="AH58" s="463" t="str">
        <f t="shared" ca="1" si="106"/>
        <v/>
      </c>
      <c r="AI58" s="463" t="str">
        <f t="shared" ca="1" si="106"/>
        <v/>
      </c>
      <c r="AJ58" s="463" t="str">
        <f t="shared" ca="1" si="106"/>
        <v/>
      </c>
      <c r="AK58" s="463" t="str">
        <f t="shared" ca="1" si="106"/>
        <v/>
      </c>
      <c r="AL58" s="463" t="str">
        <f t="shared" ca="1" si="106"/>
        <v/>
      </c>
      <c r="AM58" s="463" t="str">
        <f t="shared" ca="1" si="106"/>
        <v/>
      </c>
      <c r="AN58" s="463" t="str">
        <f t="shared" ca="1" si="106"/>
        <v/>
      </c>
      <c r="AO58" s="463" t="str">
        <f t="shared" ca="1" si="106"/>
        <v/>
      </c>
      <c r="AP58" s="463" t="str">
        <f t="shared" ca="1" si="106"/>
        <v/>
      </c>
      <c r="AQ58" s="463" t="str">
        <f t="shared" ca="1" si="106"/>
        <v/>
      </c>
      <c r="AR58" s="463" t="str">
        <f t="shared" ca="1" si="106"/>
        <v/>
      </c>
      <c r="AS58" s="463" t="str">
        <f t="shared" ca="1" si="106"/>
        <v/>
      </c>
      <c r="AT58" s="463" t="str">
        <f t="shared" ca="1" si="106"/>
        <v/>
      </c>
      <c r="AU58" s="463" t="str">
        <f t="shared" ca="1" si="106"/>
        <v/>
      </c>
      <c r="AV58" s="463" t="str">
        <f t="shared" ca="1" si="106"/>
        <v/>
      </c>
      <c r="AW58" s="463" t="str">
        <f t="shared" ca="1" si="106"/>
        <v/>
      </c>
      <c r="AX58" s="463" t="str">
        <f t="shared" ca="1" si="106"/>
        <v/>
      </c>
      <c r="AY58" s="463" t="str">
        <f t="shared" ca="1" si="106"/>
        <v/>
      </c>
      <c r="AZ58" s="463" t="str">
        <f t="shared" ca="1" si="106"/>
        <v/>
      </c>
      <c r="BA58" s="463" t="str">
        <f t="shared" ca="1" si="106"/>
        <v/>
      </c>
      <c r="BB58" s="463" t="str">
        <f t="shared" ca="1" si="106"/>
        <v/>
      </c>
      <c r="BC58" s="463" t="str">
        <f t="shared" ref="BC58:CH58" ca="1" si="107">IF(BC$10&lt;=(Åpningsår+ProsjektetsLevetid-1),IF(BC43&lt;=AndreBeregningsår,IF(SIGN($G58)=SIGN($H58),$G58*$J58^(BC43-FørsteBeregningsår),($G58+1.1*ABS($G58-$H58))*$J58^(BC43-FørsteBeregningsår)-1.1*ABS($G58-$H58)),IF(BC43&lt;=TredjeBeregningsår,IF(SIGN($H58)=SIGN($I58),$H58*$K58^(BC43-AndreBeregningsår),($H58+1.1*ABS($H58-$I58))*$K58^(BC43-AndreBeregningsår)-1.1*ABS($H58-$I58)),OFFSET($G58,0,Antall_Beregningsår-1)*LOOKUP(BC43,SerieÅR,SerieVolumvekstGods)+$L58*(BC43-IF(Antall_Beregningsår&gt;2,TredjeBeregningsår,AndreBeregningsår))))*KPIJustering*LOOKUP(BC43,SerieÅR,SerieCO2avgift_Skip),"")</f>
        <v/>
      </c>
      <c r="BD58" s="463" t="str">
        <f t="shared" ca="1" si="107"/>
        <v/>
      </c>
      <c r="BE58" s="463" t="str">
        <f t="shared" ca="1" si="107"/>
        <v/>
      </c>
      <c r="BF58" s="463" t="str">
        <f t="shared" ca="1" si="107"/>
        <v/>
      </c>
      <c r="BG58" s="463" t="str">
        <f t="shared" ca="1" si="107"/>
        <v/>
      </c>
      <c r="BH58" s="463" t="str">
        <f t="shared" ca="1" si="107"/>
        <v/>
      </c>
      <c r="BI58" s="463" t="str">
        <f t="shared" ca="1" si="107"/>
        <v/>
      </c>
      <c r="BJ58" s="463" t="str">
        <f t="shared" ca="1" si="107"/>
        <v/>
      </c>
      <c r="BK58" s="463" t="str">
        <f t="shared" ca="1" si="107"/>
        <v/>
      </c>
      <c r="BL58" s="463" t="str">
        <f t="shared" ca="1" si="107"/>
        <v/>
      </c>
      <c r="BM58" s="463" t="str">
        <f t="shared" ca="1" si="107"/>
        <v/>
      </c>
      <c r="BN58" s="463" t="str">
        <f t="shared" ca="1" si="107"/>
        <v/>
      </c>
      <c r="BO58" s="463" t="str">
        <f t="shared" ca="1" si="107"/>
        <v/>
      </c>
      <c r="BP58" s="463" t="str">
        <f t="shared" ca="1" si="107"/>
        <v/>
      </c>
      <c r="BQ58" s="463" t="str">
        <f t="shared" ca="1" si="107"/>
        <v/>
      </c>
      <c r="BR58" s="463" t="str">
        <f t="shared" ca="1" si="107"/>
        <v/>
      </c>
      <c r="BS58" s="463" t="str">
        <f t="shared" ca="1" si="107"/>
        <v/>
      </c>
      <c r="BT58" s="463" t="str">
        <f t="shared" ca="1" si="107"/>
        <v/>
      </c>
      <c r="BU58" s="463" t="str">
        <f t="shared" ca="1" si="107"/>
        <v/>
      </c>
      <c r="BV58" s="463" t="str">
        <f t="shared" ca="1" si="107"/>
        <v/>
      </c>
      <c r="BW58" s="463" t="str">
        <f t="shared" ca="1" si="107"/>
        <v/>
      </c>
      <c r="BX58" s="463" t="str">
        <f t="shared" ca="1" si="107"/>
        <v/>
      </c>
      <c r="BY58" s="463" t="str">
        <f t="shared" ca="1" si="107"/>
        <v/>
      </c>
      <c r="BZ58" s="463" t="str">
        <f t="shared" ca="1" si="107"/>
        <v/>
      </c>
      <c r="CA58" s="463" t="str">
        <f t="shared" ca="1" si="107"/>
        <v/>
      </c>
      <c r="CB58" s="463" t="str">
        <f t="shared" ca="1" si="107"/>
        <v/>
      </c>
      <c r="CC58" s="463" t="str">
        <f t="shared" ca="1" si="107"/>
        <v/>
      </c>
      <c r="CD58" s="463" t="str">
        <f t="shared" ca="1" si="107"/>
        <v/>
      </c>
      <c r="CE58" s="463" t="str">
        <f t="shared" ca="1" si="107"/>
        <v/>
      </c>
      <c r="CF58" s="463" t="str">
        <f t="shared" ca="1" si="107"/>
        <v/>
      </c>
      <c r="CG58" s="463" t="str">
        <f t="shared" ca="1" si="107"/>
        <v/>
      </c>
      <c r="CH58" s="463" t="str">
        <f t="shared" ca="1" si="107"/>
        <v/>
      </c>
      <c r="CI58" s="463" t="str">
        <f t="shared" ref="CI58:DR58" ca="1" si="108">IF(CI$10&lt;=(Åpningsår+ProsjektetsLevetid-1),IF(CI43&lt;=AndreBeregningsår,IF(SIGN($G58)=SIGN($H58),$G58*$J58^(CI43-FørsteBeregningsår),($G58+1.1*ABS($G58-$H58))*$J58^(CI43-FørsteBeregningsår)-1.1*ABS($G58-$H58)),IF(CI43&lt;=TredjeBeregningsår,IF(SIGN($H58)=SIGN($I58),$H58*$K58^(CI43-AndreBeregningsår),($H58+1.1*ABS($H58-$I58))*$K58^(CI43-AndreBeregningsår)-1.1*ABS($H58-$I58)),OFFSET($G58,0,Antall_Beregningsår-1)*LOOKUP(CI43,SerieÅR,SerieVolumvekstGods)+$L58*(CI43-IF(Antall_Beregningsår&gt;2,TredjeBeregningsår,AndreBeregningsår))))*KPIJustering*LOOKUP(CI43,SerieÅR,SerieCO2avgift_Skip),"")</f>
        <v/>
      </c>
      <c r="CJ58" s="463" t="str">
        <f t="shared" ca="1" si="108"/>
        <v/>
      </c>
      <c r="CK58" s="463" t="str">
        <f t="shared" ca="1" si="108"/>
        <v/>
      </c>
      <c r="CL58" s="463" t="str">
        <f t="shared" ca="1" si="108"/>
        <v/>
      </c>
      <c r="CM58" s="463" t="str">
        <f t="shared" ca="1" si="108"/>
        <v/>
      </c>
      <c r="CN58" s="463" t="str">
        <f t="shared" ca="1" si="108"/>
        <v/>
      </c>
      <c r="CO58" s="463" t="str">
        <f t="shared" ca="1" si="108"/>
        <v/>
      </c>
      <c r="CP58" s="463" t="str">
        <f t="shared" ca="1" si="108"/>
        <v/>
      </c>
      <c r="CQ58" s="463" t="str">
        <f t="shared" ca="1" si="108"/>
        <v/>
      </c>
      <c r="CR58" s="463" t="str">
        <f t="shared" ca="1" si="108"/>
        <v/>
      </c>
      <c r="CS58" s="463" t="str">
        <f t="shared" ca="1" si="108"/>
        <v/>
      </c>
      <c r="CT58" s="463" t="str">
        <f t="shared" ca="1" si="108"/>
        <v/>
      </c>
      <c r="CU58" s="463" t="str">
        <f t="shared" ca="1" si="108"/>
        <v/>
      </c>
      <c r="CV58" s="463" t="str">
        <f t="shared" ca="1" si="108"/>
        <v/>
      </c>
      <c r="CW58" s="463" t="str">
        <f t="shared" ca="1" si="108"/>
        <v/>
      </c>
      <c r="CX58" s="463" t="str">
        <f t="shared" ca="1" si="108"/>
        <v/>
      </c>
      <c r="CY58" s="463" t="str">
        <f t="shared" ca="1" si="108"/>
        <v/>
      </c>
      <c r="CZ58" s="463" t="str">
        <f t="shared" ca="1" si="108"/>
        <v/>
      </c>
      <c r="DA58" s="463" t="str">
        <f t="shared" ca="1" si="108"/>
        <v/>
      </c>
      <c r="DB58" s="463" t="str">
        <f t="shared" ca="1" si="108"/>
        <v/>
      </c>
      <c r="DC58" s="463" t="str">
        <f t="shared" ca="1" si="108"/>
        <v/>
      </c>
      <c r="DD58" s="463" t="str">
        <f t="shared" ca="1" si="108"/>
        <v/>
      </c>
      <c r="DE58" s="463" t="str">
        <f t="shared" ca="1" si="108"/>
        <v/>
      </c>
      <c r="DF58" s="463" t="str">
        <f t="shared" ca="1" si="108"/>
        <v/>
      </c>
      <c r="DG58" s="463" t="str">
        <f t="shared" ca="1" si="108"/>
        <v/>
      </c>
      <c r="DH58" s="463" t="str">
        <f t="shared" ca="1" si="108"/>
        <v/>
      </c>
      <c r="DI58" s="463" t="str">
        <f t="shared" ca="1" si="108"/>
        <v/>
      </c>
      <c r="DJ58" s="463" t="str">
        <f t="shared" ca="1" si="108"/>
        <v/>
      </c>
      <c r="DK58" s="463" t="str">
        <f t="shared" ca="1" si="108"/>
        <v/>
      </c>
      <c r="DL58" s="463" t="str">
        <f t="shared" ca="1" si="108"/>
        <v/>
      </c>
      <c r="DM58" s="463" t="str">
        <f t="shared" ca="1" si="108"/>
        <v/>
      </c>
      <c r="DN58" s="463" t="str">
        <f t="shared" ca="1" si="108"/>
        <v/>
      </c>
      <c r="DO58" s="463" t="str">
        <f t="shared" ca="1" si="108"/>
        <v/>
      </c>
      <c r="DP58" s="463" t="str">
        <f t="shared" ca="1" si="108"/>
        <v/>
      </c>
      <c r="DQ58" s="463" t="str">
        <f t="shared" ca="1" si="108"/>
        <v/>
      </c>
      <c r="DR58" s="463" t="str">
        <f t="shared" ca="1" si="108"/>
        <v/>
      </c>
      <c r="DS58" s="803">
        <f ca="1">SUMPRODUCT(('1.5 Prognoser og indekser'!$R$12:OFFSET('1.5 Prognoser og indekser'!$R$12,0,$DS$9)),($M58:OFFSET($M58,0,$DS$9)))</f>
        <v>0</v>
      </c>
      <c r="DT58" s="804">
        <f ca="1">IF($DT$9&lt;1,0,SUMPRODUCT(OFFSET('1.5 Prognoser og indekser'!$R$12,0,$DS$9+1,1,$DT$9),OFFSET($M58,0,$DS$9+1,1,$DT$9)))</f>
        <v>0</v>
      </c>
    </row>
    <row r="59" spans="1:124" s="59" customFormat="1" x14ac:dyDescent="0.35">
      <c r="C59" s="212" t="s">
        <v>1592</v>
      </c>
      <c r="D59" s="752"/>
      <c r="E59" s="752"/>
      <c r="F59" s="752"/>
      <c r="G59" s="752"/>
      <c r="H59" s="752"/>
      <c r="I59" s="752"/>
      <c r="J59" s="790"/>
      <c r="K59" s="790"/>
      <c r="L59" s="752"/>
      <c r="M59" s="718" cm="1">
        <f t="array" ref="M59">IF(M$10&lt;=(Åpningsår+ProsjektetsLevetid-1),IF(Åpningsår="",,LOOKUP(M43,SerieÅR,-SerieCO2avgiftsbane*Serie_UtslippibyggefasenCO2)/1000000),"")</f>
        <v>0</v>
      </c>
      <c r="N59" s="718" cm="1">
        <f t="array" ref="N59">IF(N$10&lt;=(Åpningsår+ProsjektetsLevetid-1),IF(Åpningsår="",,LOOKUP(N43,SerieÅR,-SerieCO2avgiftsbane*Serie_UtslippibyggefasenCO2)/1000000),"")</f>
        <v>0</v>
      </c>
      <c r="O59" s="718" cm="1">
        <f t="array" ref="O59">IF(O$10&lt;=(Åpningsår+ProsjektetsLevetid-1),IF(Åpningsår="",,LOOKUP(O43,SerieÅR,-SerieCO2avgiftsbane*Serie_UtslippibyggefasenCO2)/1000000),"")</f>
        <v>0</v>
      </c>
      <c r="P59" s="718" cm="1">
        <f t="array" ref="P59">IF(P$10&lt;=(Åpningsår+ProsjektetsLevetid-1),IF(Åpningsår="",,LOOKUP(P43,SerieÅR,-SerieCO2avgiftsbane*Serie_UtslippibyggefasenCO2)/1000000),"")</f>
        <v>0</v>
      </c>
      <c r="Q59" s="718" cm="1">
        <f t="array" ref="Q59">IF(Q$10&lt;=(Åpningsår+ProsjektetsLevetid-1),IF(Åpningsår="",,LOOKUP(Q43,SerieÅR,-SerieCO2avgiftsbane*Serie_UtslippibyggefasenCO2)/1000000),"")</f>
        <v>0</v>
      </c>
      <c r="R59" s="718" cm="1">
        <f t="array" ref="R59">IF(R$10&lt;=(Åpningsår+ProsjektetsLevetid-1),IF(Åpningsår="",,LOOKUP(R43,SerieÅR,-SerieCO2avgiftsbane*Serie_UtslippibyggefasenCO2)/1000000),"")</f>
        <v>0</v>
      </c>
      <c r="S59" s="718" cm="1">
        <f t="array" ref="S59">IF(S$10&lt;=(Åpningsår+ProsjektetsLevetid-1),IF(Åpningsår="",,LOOKUP(S43,SerieÅR,-SerieCO2avgiftsbane*Serie_UtslippibyggefasenCO2)/1000000),"")</f>
        <v>0</v>
      </c>
      <c r="T59" s="718" cm="1">
        <f t="array" ref="T59">IF(T$10&lt;=(Åpningsår+ProsjektetsLevetid-1),IF(Åpningsår="",,LOOKUP(T43,SerieÅR,-SerieCO2avgiftsbane*Serie_UtslippibyggefasenCO2)/1000000),"")</f>
        <v>0</v>
      </c>
      <c r="U59" s="718" cm="1">
        <f t="array" ref="U59">IF(U$10&lt;=(Åpningsår+ProsjektetsLevetid-1),IF(Åpningsår="",,LOOKUP(U43,SerieÅR,-SerieCO2avgiftsbane*Serie_UtslippibyggefasenCO2)/1000000),"")</f>
        <v>0</v>
      </c>
      <c r="V59" s="718" cm="1">
        <f t="array" ref="V59">IF(V$10&lt;=(Åpningsår+ProsjektetsLevetid-1),IF(Åpningsår="",,LOOKUP(V43,SerieÅR,-SerieCO2avgiftsbane*Serie_UtslippibyggefasenCO2)/1000000),"")</f>
        <v>0</v>
      </c>
      <c r="W59" s="718" t="str" cm="1">
        <f t="array" ref="W59">IF(W$10&lt;=(Åpningsår+ProsjektetsLevetid-1),IF(Åpningsår="",,LOOKUP(W43,SerieÅR,-SerieCO2avgiftsbane*Serie_UtslippibyggefasenCO2)/1000000),"")</f>
        <v/>
      </c>
      <c r="X59" s="718" t="str" cm="1">
        <f t="array" ref="X59">IF(X$10&lt;=(Åpningsår+ProsjektetsLevetid-1),IF(Åpningsår="",,LOOKUP(X43,SerieÅR,-SerieCO2avgiftsbane*Serie_UtslippibyggefasenCO2)/1000000),"")</f>
        <v/>
      </c>
      <c r="Y59" s="718" t="str" cm="1">
        <f t="array" ref="Y59">IF(Y$10&lt;=(Åpningsår+ProsjektetsLevetid-1),IF(Åpningsår="",,LOOKUP(Y43,SerieÅR,-SerieCO2avgiftsbane*Serie_UtslippibyggefasenCO2)/1000000),"")</f>
        <v/>
      </c>
      <c r="Z59" s="718" t="str" cm="1">
        <f t="array" ref="Z59">IF(Z$10&lt;=(Åpningsår+ProsjektetsLevetid-1),IF(Åpningsår="",,LOOKUP(Z43,SerieÅR,-SerieCO2avgiftsbane*Serie_UtslippibyggefasenCO2)/1000000),"")</f>
        <v/>
      </c>
      <c r="AA59" s="718" t="str" cm="1">
        <f t="array" ref="AA59">IF(AA$10&lt;=(Åpningsår+ProsjektetsLevetid-1),IF(Åpningsår="",,LOOKUP(AA43,SerieÅR,-SerieCO2avgiftsbane*Serie_UtslippibyggefasenCO2)/1000000),"")</f>
        <v/>
      </c>
      <c r="AB59" s="718" t="str" cm="1">
        <f t="array" ref="AB59">IF(AB$10&lt;=(Åpningsår+ProsjektetsLevetid-1),IF(Åpningsår="",,LOOKUP(AB43,SerieÅR,-SerieCO2avgiftsbane*Serie_UtslippibyggefasenCO2)/1000000),"")</f>
        <v/>
      </c>
      <c r="AC59" s="718" t="str" cm="1">
        <f t="array" ref="AC59">IF(AC$10&lt;=(Åpningsår+ProsjektetsLevetid-1),IF(Åpningsår="",,LOOKUP(AC43,SerieÅR,-SerieCO2avgiftsbane*Serie_UtslippibyggefasenCO2)/1000000),"")</f>
        <v/>
      </c>
      <c r="AD59" s="718" t="str" cm="1">
        <f t="array" ref="AD59">IF(AD$10&lt;=(Åpningsår+ProsjektetsLevetid-1),IF(Åpningsår="",,LOOKUP(AD43,SerieÅR,-SerieCO2avgiftsbane*Serie_UtslippibyggefasenCO2)/1000000),"")</f>
        <v/>
      </c>
      <c r="AE59" s="718" t="str" cm="1">
        <f t="array" ref="AE59">IF(AE$10&lt;=(Åpningsår+ProsjektetsLevetid-1),IF(Åpningsår="",,LOOKUP(AE43,SerieÅR,-SerieCO2avgiftsbane*Serie_UtslippibyggefasenCO2)/1000000),"")</f>
        <v/>
      </c>
      <c r="AF59" s="718" t="str" cm="1">
        <f t="array" ref="AF59">IF(AF$10&lt;=(Åpningsår+ProsjektetsLevetid-1),IF(Åpningsår="",,LOOKUP(AF43,SerieÅR,-SerieCO2avgiftsbane*Serie_UtslippibyggefasenCO2)/1000000),"")</f>
        <v/>
      </c>
      <c r="AG59" s="718" t="str" cm="1">
        <f t="array" ref="AG59">IF(AG$10&lt;=(Åpningsår+ProsjektetsLevetid-1),IF(Åpningsår="",,LOOKUP(AG43,SerieÅR,-SerieCO2avgiftsbane*Serie_UtslippibyggefasenCO2)/1000000),"")</f>
        <v/>
      </c>
      <c r="AH59" s="718" t="str" cm="1">
        <f t="array" ref="AH59">IF(AH$10&lt;=(Åpningsår+ProsjektetsLevetid-1),IF(Åpningsår="",,LOOKUP(AH43,SerieÅR,-SerieCO2avgiftsbane*Serie_UtslippibyggefasenCO2)/1000000),"")</f>
        <v/>
      </c>
      <c r="AI59" s="718" t="str" cm="1">
        <f t="array" ref="AI59">IF(AI$10&lt;=(Åpningsår+ProsjektetsLevetid-1),IF(Åpningsår="",,LOOKUP(AI43,SerieÅR,-SerieCO2avgiftsbane*Serie_UtslippibyggefasenCO2)/1000000),"")</f>
        <v/>
      </c>
      <c r="AJ59" s="718" t="str" cm="1">
        <f t="array" ref="AJ59">IF(AJ$10&lt;=(Åpningsår+ProsjektetsLevetid-1),IF(Åpningsår="",,LOOKUP(AJ43,SerieÅR,-SerieCO2avgiftsbane*Serie_UtslippibyggefasenCO2)/1000000),"")</f>
        <v/>
      </c>
      <c r="AK59" s="718" t="str" cm="1">
        <f t="array" ref="AK59">IF(AK$10&lt;=(Åpningsår+ProsjektetsLevetid-1),IF(Åpningsår="",,LOOKUP(AK43,SerieÅR,-SerieCO2avgiftsbane*Serie_UtslippibyggefasenCO2)/1000000),"")</f>
        <v/>
      </c>
      <c r="AL59" s="718" t="str" cm="1">
        <f t="array" ref="AL59">IF(AL$10&lt;=(Åpningsår+ProsjektetsLevetid-1),IF(Åpningsår="",,LOOKUP(AL43,SerieÅR,-SerieCO2avgiftsbane*Serie_UtslippibyggefasenCO2)/1000000),"")</f>
        <v/>
      </c>
      <c r="AM59" s="718" t="str" cm="1">
        <f t="array" ref="AM59">IF(AM$10&lt;=(Åpningsår+ProsjektetsLevetid-1),IF(Åpningsår="",,LOOKUP(AM43,SerieÅR,-SerieCO2avgiftsbane*Serie_UtslippibyggefasenCO2)/1000000),"")</f>
        <v/>
      </c>
      <c r="AN59" s="718" t="str" cm="1">
        <f t="array" ref="AN59">IF(AN$10&lt;=(Åpningsår+ProsjektetsLevetid-1),IF(Åpningsår="",,LOOKUP(AN43,SerieÅR,-SerieCO2avgiftsbane*Serie_UtslippibyggefasenCO2)/1000000),"")</f>
        <v/>
      </c>
      <c r="AO59" s="718" t="str" cm="1">
        <f t="array" ref="AO59">IF(AO$10&lt;=(Åpningsår+ProsjektetsLevetid-1),IF(Åpningsår="",,LOOKUP(AO43,SerieÅR,-SerieCO2avgiftsbane*Serie_UtslippibyggefasenCO2)/1000000),"")</f>
        <v/>
      </c>
      <c r="AP59" s="718" t="str" cm="1">
        <f t="array" ref="AP59">IF(AP$10&lt;=(Åpningsår+ProsjektetsLevetid-1),IF(Åpningsår="",,LOOKUP(AP43,SerieÅR,-SerieCO2avgiftsbane*Serie_UtslippibyggefasenCO2)/1000000),"")</f>
        <v/>
      </c>
      <c r="AQ59" s="718" t="str" cm="1">
        <f t="array" ref="AQ59">IF(AQ$10&lt;=(Åpningsår+ProsjektetsLevetid-1),IF(Åpningsår="",,LOOKUP(AQ43,SerieÅR,-SerieCO2avgiftsbane*Serie_UtslippibyggefasenCO2)/1000000),"")</f>
        <v/>
      </c>
      <c r="AR59" s="718" t="str" cm="1">
        <f t="array" ref="AR59">IF(AR$10&lt;=(Åpningsår+ProsjektetsLevetid-1),IF(Åpningsår="",,LOOKUP(AR43,SerieÅR,-SerieCO2avgiftsbane*Serie_UtslippibyggefasenCO2)/1000000),"")</f>
        <v/>
      </c>
      <c r="AS59" s="718" t="str" cm="1">
        <f t="array" ref="AS59">IF(AS$10&lt;=(Åpningsår+ProsjektetsLevetid-1),IF(Åpningsår="",,LOOKUP(AS43,SerieÅR,-SerieCO2avgiftsbane*Serie_UtslippibyggefasenCO2)/1000000),"")</f>
        <v/>
      </c>
      <c r="AT59" s="718" t="str" cm="1">
        <f t="array" ref="AT59">IF(AT$10&lt;=(Åpningsår+ProsjektetsLevetid-1),IF(Åpningsår="",,LOOKUP(AT43,SerieÅR,-SerieCO2avgiftsbane*Serie_UtslippibyggefasenCO2)/1000000),"")</f>
        <v/>
      </c>
      <c r="AU59" s="718" t="str" cm="1">
        <f t="array" ref="AU59">IF(AU$10&lt;=(Åpningsår+ProsjektetsLevetid-1),IF(Åpningsår="",,LOOKUP(AU43,SerieÅR,-SerieCO2avgiftsbane*Serie_UtslippibyggefasenCO2)/1000000),"")</f>
        <v/>
      </c>
      <c r="AV59" s="718" t="str" cm="1">
        <f t="array" ref="AV59">IF(AV$10&lt;=(Åpningsår+ProsjektetsLevetid-1),IF(Åpningsår="",,LOOKUP(AV43,SerieÅR,-SerieCO2avgiftsbane*Serie_UtslippibyggefasenCO2)/1000000),"")</f>
        <v/>
      </c>
      <c r="AW59" s="718" t="str" cm="1">
        <f t="array" ref="AW59">IF(AW$10&lt;=(Åpningsår+ProsjektetsLevetid-1),IF(Åpningsår="",,LOOKUP(AW43,SerieÅR,-SerieCO2avgiftsbane*Serie_UtslippibyggefasenCO2)/1000000),"")</f>
        <v/>
      </c>
      <c r="AX59" s="718" t="str" cm="1">
        <f t="array" ref="AX59">IF(AX$10&lt;=(Åpningsår+ProsjektetsLevetid-1),IF(Åpningsår="",,LOOKUP(AX43,SerieÅR,-SerieCO2avgiftsbane*Serie_UtslippibyggefasenCO2)/1000000),"")</f>
        <v/>
      </c>
      <c r="AY59" s="718" t="str" cm="1">
        <f t="array" ref="AY59">IF(AY$10&lt;=(Åpningsår+ProsjektetsLevetid-1),IF(Åpningsår="",,LOOKUP(AY43,SerieÅR,-SerieCO2avgiftsbane*Serie_UtslippibyggefasenCO2)/1000000),"")</f>
        <v/>
      </c>
      <c r="AZ59" s="718" t="str" cm="1">
        <f t="array" ref="AZ59">IF(AZ$10&lt;=(Åpningsår+ProsjektetsLevetid-1),IF(Åpningsår="",,LOOKUP(AZ43,SerieÅR,-SerieCO2avgiftsbane*Serie_UtslippibyggefasenCO2)/1000000),"")</f>
        <v/>
      </c>
      <c r="BA59" s="718" t="str" cm="1">
        <f t="array" ref="BA59">IF(BA$10&lt;=(Åpningsår+ProsjektetsLevetid-1),IF(Åpningsår="",,LOOKUP(BA43,SerieÅR,-SerieCO2avgiftsbane*Serie_UtslippibyggefasenCO2)/1000000),"")</f>
        <v/>
      </c>
      <c r="BB59" s="718" t="str" cm="1">
        <f t="array" ref="BB59">IF(BB$10&lt;=(Åpningsår+ProsjektetsLevetid-1),IF(Åpningsår="",,LOOKUP(BB43,SerieÅR,-SerieCO2avgiftsbane*Serie_UtslippibyggefasenCO2)/1000000),"")</f>
        <v/>
      </c>
      <c r="BC59" s="718" t="str" cm="1">
        <f t="array" ref="BC59">IF(BC$10&lt;=(Åpningsår+ProsjektetsLevetid-1),IF(Åpningsår="",,LOOKUP(BC43,SerieÅR,-SerieCO2avgiftsbane*Serie_UtslippibyggefasenCO2)/1000000),"")</f>
        <v/>
      </c>
      <c r="BD59" s="718" t="str" cm="1">
        <f t="array" ref="BD59">IF(BD$10&lt;=(Åpningsår+ProsjektetsLevetid-1),IF(Åpningsår="",,LOOKUP(BD43,SerieÅR,-SerieCO2avgiftsbane*Serie_UtslippibyggefasenCO2)/1000000),"")</f>
        <v/>
      </c>
      <c r="BE59" s="718" t="str" cm="1">
        <f t="array" ref="BE59">IF(BE$10&lt;=(Åpningsår+ProsjektetsLevetid-1),IF(Åpningsår="",,LOOKUP(BE43,SerieÅR,-SerieCO2avgiftsbane*Serie_UtslippibyggefasenCO2)/1000000),"")</f>
        <v/>
      </c>
      <c r="BF59" s="718" t="str" cm="1">
        <f t="array" ref="BF59">IF(BF$10&lt;=(Åpningsår+ProsjektetsLevetid-1),IF(Åpningsår="",,LOOKUP(BF43,SerieÅR,-SerieCO2avgiftsbane*Serie_UtslippibyggefasenCO2)/1000000),"")</f>
        <v/>
      </c>
      <c r="BG59" s="718" t="str" cm="1">
        <f t="array" ref="BG59">IF(BG$10&lt;=(Åpningsår+ProsjektetsLevetid-1),IF(Åpningsår="",,LOOKUP(BG43,SerieÅR,-SerieCO2avgiftsbane*Serie_UtslippibyggefasenCO2)/1000000),"")</f>
        <v/>
      </c>
      <c r="BH59" s="718" t="str" cm="1">
        <f t="array" ref="BH59">IF(BH$10&lt;=(Åpningsår+ProsjektetsLevetid-1),IF(Åpningsår="",,LOOKUP(BH43,SerieÅR,-SerieCO2avgiftsbane*Serie_UtslippibyggefasenCO2)/1000000),"")</f>
        <v/>
      </c>
      <c r="BI59" s="718" t="str" cm="1">
        <f t="array" ref="BI59">IF(BI$10&lt;=(Åpningsår+ProsjektetsLevetid-1),IF(Åpningsår="",,LOOKUP(BI43,SerieÅR,-SerieCO2avgiftsbane*Serie_UtslippibyggefasenCO2)/1000000),"")</f>
        <v/>
      </c>
      <c r="BJ59" s="718" t="str" cm="1">
        <f t="array" ref="BJ59">IF(BJ$10&lt;=(Åpningsår+ProsjektetsLevetid-1),IF(Åpningsår="",,LOOKUP(BJ43,SerieÅR,-SerieCO2avgiftsbane*Serie_UtslippibyggefasenCO2)/1000000),"")</f>
        <v/>
      </c>
      <c r="BK59" s="718" t="str" cm="1">
        <f t="array" ref="BK59">IF(BK$10&lt;=(Åpningsår+ProsjektetsLevetid-1),IF(Åpningsår="",,LOOKUP(BK43,SerieÅR,-SerieCO2avgiftsbane*Serie_UtslippibyggefasenCO2)/1000000),"")</f>
        <v/>
      </c>
      <c r="BL59" s="718" t="str" cm="1">
        <f t="array" ref="BL59">IF(BL$10&lt;=(Åpningsår+ProsjektetsLevetid-1),IF(Åpningsår="",,LOOKUP(BL43,SerieÅR,-SerieCO2avgiftsbane*Serie_UtslippibyggefasenCO2)/1000000),"")</f>
        <v/>
      </c>
      <c r="BM59" s="718" t="str" cm="1">
        <f t="array" ref="BM59">IF(BM$10&lt;=(Åpningsår+ProsjektetsLevetid-1),IF(Åpningsår="",,LOOKUP(BM43,SerieÅR,-SerieCO2avgiftsbane*Serie_UtslippibyggefasenCO2)/1000000),"")</f>
        <v/>
      </c>
      <c r="BN59" s="718" t="str" cm="1">
        <f t="array" ref="BN59">IF(BN$10&lt;=(Åpningsår+ProsjektetsLevetid-1),IF(Åpningsår="",,LOOKUP(BN43,SerieÅR,-SerieCO2avgiftsbane*Serie_UtslippibyggefasenCO2)/1000000),"")</f>
        <v/>
      </c>
      <c r="BO59" s="718" t="str" cm="1">
        <f t="array" ref="BO59">IF(BO$10&lt;=(Åpningsår+ProsjektetsLevetid-1),IF(Åpningsår="",,LOOKUP(BO43,SerieÅR,-SerieCO2avgiftsbane*Serie_UtslippibyggefasenCO2)/1000000),"")</f>
        <v/>
      </c>
      <c r="BP59" s="718" t="str" cm="1">
        <f t="array" ref="BP59">IF(BP$10&lt;=(Åpningsår+ProsjektetsLevetid-1),IF(Åpningsår="",,LOOKUP(BP43,SerieÅR,-SerieCO2avgiftsbane*Serie_UtslippibyggefasenCO2)/1000000),"")</f>
        <v/>
      </c>
      <c r="BQ59" s="718" t="str" cm="1">
        <f t="array" ref="BQ59">IF(BQ$10&lt;=(Åpningsår+ProsjektetsLevetid-1),IF(Åpningsår="",,LOOKUP(BQ43,SerieÅR,-SerieCO2avgiftsbane*Serie_UtslippibyggefasenCO2)/1000000),"")</f>
        <v/>
      </c>
      <c r="BR59" s="718" t="str" cm="1">
        <f t="array" ref="BR59">IF(BR$10&lt;=(Åpningsår+ProsjektetsLevetid-1),IF(Åpningsår="",,LOOKUP(BR43,SerieÅR,-SerieCO2avgiftsbane*Serie_UtslippibyggefasenCO2)/1000000),"")</f>
        <v/>
      </c>
      <c r="BS59" s="718" t="str" cm="1">
        <f t="array" ref="BS59">IF(BS$10&lt;=(Åpningsår+ProsjektetsLevetid-1),IF(Åpningsår="",,LOOKUP(BS43,SerieÅR,-SerieCO2avgiftsbane*Serie_UtslippibyggefasenCO2)/1000000),"")</f>
        <v/>
      </c>
      <c r="BT59" s="718" t="str" cm="1">
        <f t="array" ref="BT59">IF(BT$10&lt;=(Åpningsår+ProsjektetsLevetid-1),IF(Åpningsår="",,LOOKUP(BT43,SerieÅR,-SerieCO2avgiftsbane*Serie_UtslippibyggefasenCO2)/1000000),"")</f>
        <v/>
      </c>
      <c r="BU59" s="718" t="str" cm="1">
        <f t="array" ref="BU59">IF(BU$10&lt;=(Åpningsår+ProsjektetsLevetid-1),IF(Åpningsår="",,LOOKUP(BU43,SerieÅR,-SerieCO2avgiftsbane*Serie_UtslippibyggefasenCO2)/1000000),"")</f>
        <v/>
      </c>
      <c r="BV59" s="718" t="str" cm="1">
        <f t="array" ref="BV59">IF(BV$10&lt;=(Åpningsår+ProsjektetsLevetid-1),IF(Åpningsår="",,LOOKUP(BV43,SerieÅR,-SerieCO2avgiftsbane*Serie_UtslippibyggefasenCO2)/1000000),"")</f>
        <v/>
      </c>
      <c r="BW59" s="718" t="str" cm="1">
        <f t="array" ref="BW59">IF(BW$10&lt;=(Åpningsår+ProsjektetsLevetid-1),IF(Åpningsår="",,LOOKUP(BW43,SerieÅR,-SerieCO2avgiftsbane*Serie_UtslippibyggefasenCO2)/1000000),"")</f>
        <v/>
      </c>
      <c r="BX59" s="718" t="str" cm="1">
        <f t="array" ref="BX59">IF(BX$10&lt;=(Åpningsår+ProsjektetsLevetid-1),IF(Åpningsår="",,LOOKUP(BX43,SerieÅR,-SerieCO2avgiftsbane*Serie_UtslippibyggefasenCO2)/1000000),"")</f>
        <v/>
      </c>
      <c r="BY59" s="718" t="str" cm="1">
        <f t="array" ref="BY59">IF(BY$10&lt;=(Åpningsår+ProsjektetsLevetid-1),IF(Åpningsår="",,LOOKUP(BY43,SerieÅR,-SerieCO2avgiftsbane*Serie_UtslippibyggefasenCO2)/1000000),"")</f>
        <v/>
      </c>
      <c r="BZ59" s="718" t="str" cm="1">
        <f t="array" ref="BZ59">IF(BZ$10&lt;=(Åpningsår+ProsjektetsLevetid-1),IF(Åpningsår="",,LOOKUP(BZ43,SerieÅR,-SerieCO2avgiftsbane*Serie_UtslippibyggefasenCO2)/1000000),"")</f>
        <v/>
      </c>
      <c r="CA59" s="718" t="str" cm="1">
        <f t="array" ref="CA59">IF(CA$10&lt;=(Åpningsår+ProsjektetsLevetid-1),IF(Åpningsår="",,LOOKUP(CA43,SerieÅR,-SerieCO2avgiftsbane*Serie_UtslippibyggefasenCO2)/1000000),"")</f>
        <v/>
      </c>
      <c r="CB59" s="718" t="str" cm="1">
        <f t="array" ref="CB59">IF(CB$10&lt;=(Åpningsår+ProsjektetsLevetid-1),IF(Åpningsår="",,LOOKUP(CB43,SerieÅR,-SerieCO2avgiftsbane*Serie_UtslippibyggefasenCO2)/1000000),"")</f>
        <v/>
      </c>
      <c r="CC59" s="718" t="str" cm="1">
        <f t="array" ref="CC59">IF(CC$10&lt;=(Åpningsår+ProsjektetsLevetid-1),IF(Åpningsår="",,LOOKUP(CC43,SerieÅR,-SerieCO2avgiftsbane*Serie_UtslippibyggefasenCO2)/1000000),"")</f>
        <v/>
      </c>
      <c r="CD59" s="718" t="str" cm="1">
        <f t="array" ref="CD59">IF(CD$10&lt;=(Åpningsår+ProsjektetsLevetid-1),IF(Åpningsår="",,LOOKUP(CD43,SerieÅR,-SerieCO2avgiftsbane*Serie_UtslippibyggefasenCO2)/1000000),"")</f>
        <v/>
      </c>
      <c r="CE59" s="718" t="str" cm="1">
        <f t="array" ref="CE59">IF(CE$10&lt;=(Åpningsår+ProsjektetsLevetid-1),IF(Åpningsår="",,LOOKUP(CE43,SerieÅR,-SerieCO2avgiftsbane*Serie_UtslippibyggefasenCO2)/1000000),"")</f>
        <v/>
      </c>
      <c r="CF59" s="718" t="str" cm="1">
        <f t="array" ref="CF59">IF(CF$10&lt;=(Åpningsår+ProsjektetsLevetid-1),IF(Åpningsår="",,LOOKUP(CF43,SerieÅR,-SerieCO2avgiftsbane*Serie_UtslippibyggefasenCO2)/1000000),"")</f>
        <v/>
      </c>
      <c r="CG59" s="718" t="str" cm="1">
        <f t="array" ref="CG59">IF(CG$10&lt;=(Åpningsår+ProsjektetsLevetid-1),IF(Åpningsår="",,LOOKUP(CG43,SerieÅR,-SerieCO2avgiftsbane*Serie_UtslippibyggefasenCO2)/1000000),"")</f>
        <v/>
      </c>
      <c r="CH59" s="718" t="str" cm="1">
        <f t="array" ref="CH59">IF(CH$10&lt;=(Åpningsår+ProsjektetsLevetid-1),IF(Åpningsår="",,LOOKUP(CH43,SerieÅR,-SerieCO2avgiftsbane*Serie_UtslippibyggefasenCO2)/1000000),"")</f>
        <v/>
      </c>
      <c r="CI59" s="718" t="str" cm="1">
        <f t="array" ref="CI59">IF(CI$10&lt;=(Åpningsår+ProsjektetsLevetid-1),IF(Åpningsår="",,LOOKUP(CI43,SerieÅR,-SerieCO2avgiftsbane*Serie_UtslippibyggefasenCO2)/1000000),"")</f>
        <v/>
      </c>
      <c r="CJ59" s="718" t="str" cm="1">
        <f t="array" ref="CJ59">IF(CJ$10&lt;=(Åpningsår+ProsjektetsLevetid-1),IF(Åpningsår="",,LOOKUP(CJ43,SerieÅR,-SerieCO2avgiftsbane*Serie_UtslippibyggefasenCO2)/1000000),"")</f>
        <v/>
      </c>
      <c r="CK59" s="718" t="str" cm="1">
        <f t="array" ref="CK59">IF(CK$10&lt;=(Åpningsår+ProsjektetsLevetid-1),IF(Åpningsår="",,LOOKUP(CK43,SerieÅR,-SerieCO2avgiftsbane*Serie_UtslippibyggefasenCO2)/1000000),"")</f>
        <v/>
      </c>
      <c r="CL59" s="718" t="str" cm="1">
        <f t="array" ref="CL59">IF(CL$10&lt;=(Åpningsår+ProsjektetsLevetid-1),IF(Åpningsår="",,LOOKUP(CL43,SerieÅR,-SerieCO2avgiftsbane*Serie_UtslippibyggefasenCO2)/1000000),"")</f>
        <v/>
      </c>
      <c r="CM59" s="718" t="str" cm="1">
        <f t="array" ref="CM59">IF(CM$10&lt;=(Åpningsår+ProsjektetsLevetid-1),IF(Åpningsår="",,LOOKUP(CM43,SerieÅR,-SerieCO2avgiftsbane*Serie_UtslippibyggefasenCO2)/1000000),"")</f>
        <v/>
      </c>
      <c r="CN59" s="718" t="str" cm="1">
        <f t="array" ref="CN59">IF(CN$10&lt;=(Åpningsår+ProsjektetsLevetid-1),IF(Åpningsår="",,LOOKUP(CN43,SerieÅR,-SerieCO2avgiftsbane*Serie_UtslippibyggefasenCO2)/1000000),"")</f>
        <v/>
      </c>
      <c r="CO59" s="718" t="str" cm="1">
        <f t="array" ref="CO59">IF(CO$10&lt;=(Åpningsår+ProsjektetsLevetid-1),IF(Åpningsår="",,LOOKUP(CO43,SerieÅR,-SerieCO2avgiftsbane*Serie_UtslippibyggefasenCO2)/1000000),"")</f>
        <v/>
      </c>
      <c r="CP59" s="718" t="str" cm="1">
        <f t="array" ref="CP59">IF(CP$10&lt;=(Åpningsår+ProsjektetsLevetid-1),IF(Åpningsår="",,LOOKUP(CP43,SerieÅR,-SerieCO2avgiftsbane*Serie_UtslippibyggefasenCO2)/1000000),"")</f>
        <v/>
      </c>
      <c r="CQ59" s="718" t="str" cm="1">
        <f t="array" ref="CQ59">IF(CQ$10&lt;=(Åpningsår+ProsjektetsLevetid-1),IF(Åpningsår="",,LOOKUP(CQ43,SerieÅR,-SerieCO2avgiftsbane*Serie_UtslippibyggefasenCO2)/1000000),"")</f>
        <v/>
      </c>
      <c r="CR59" s="718" t="str" cm="1">
        <f t="array" ref="CR59">IF(CR$10&lt;=(Åpningsår+ProsjektetsLevetid-1),IF(Åpningsår="",,LOOKUP(CR43,SerieÅR,-SerieCO2avgiftsbane*Serie_UtslippibyggefasenCO2)/1000000),"")</f>
        <v/>
      </c>
      <c r="CS59" s="718" t="str" cm="1">
        <f t="array" ref="CS59">IF(CS$10&lt;=(Åpningsår+ProsjektetsLevetid-1),IF(Åpningsår="",,LOOKUP(CS43,SerieÅR,-SerieCO2avgiftsbane*Serie_UtslippibyggefasenCO2)/1000000),"")</f>
        <v/>
      </c>
      <c r="CT59" s="718" t="str" cm="1">
        <f t="array" ref="CT59">IF(CT$10&lt;=(Åpningsår+ProsjektetsLevetid-1),IF(Åpningsår="",,LOOKUP(CT43,SerieÅR,-SerieCO2avgiftsbane*Serie_UtslippibyggefasenCO2)/1000000),"")</f>
        <v/>
      </c>
      <c r="CU59" s="718" t="str" cm="1">
        <f t="array" ref="CU59">IF(CU$10&lt;=(Åpningsår+ProsjektetsLevetid-1),IF(Åpningsår="",,LOOKUP(CU43,SerieÅR,-SerieCO2avgiftsbane*Serie_UtslippibyggefasenCO2)/1000000),"")</f>
        <v/>
      </c>
      <c r="CV59" s="718" t="str" cm="1">
        <f t="array" ref="CV59">IF(CV$10&lt;=(Åpningsår+ProsjektetsLevetid-1),IF(Åpningsår="",,LOOKUP(CV43,SerieÅR,-SerieCO2avgiftsbane*Serie_UtslippibyggefasenCO2)/1000000),"")</f>
        <v/>
      </c>
      <c r="CW59" s="718" t="str" cm="1">
        <f t="array" ref="CW59">IF(CW$10&lt;=(Åpningsår+ProsjektetsLevetid-1),IF(Åpningsår="",,LOOKUP(CW43,SerieÅR,-SerieCO2avgiftsbane*Serie_UtslippibyggefasenCO2)/1000000),"")</f>
        <v/>
      </c>
      <c r="CX59" s="718" t="str" cm="1">
        <f t="array" ref="CX59">IF(CX$10&lt;=(Åpningsår+ProsjektetsLevetid-1),IF(Åpningsår="",,LOOKUP(CX43,SerieÅR,-SerieCO2avgiftsbane*Serie_UtslippibyggefasenCO2)/1000000),"")</f>
        <v/>
      </c>
      <c r="CY59" s="718" t="str" cm="1">
        <f t="array" ref="CY59">IF(CY$10&lt;=(Åpningsår+ProsjektetsLevetid-1),IF(Åpningsår="",,LOOKUP(CY43,SerieÅR,-SerieCO2avgiftsbane*Serie_UtslippibyggefasenCO2)/1000000),"")</f>
        <v/>
      </c>
      <c r="CZ59" s="718" t="str" cm="1">
        <f t="array" ref="CZ59">IF(CZ$10&lt;=(Åpningsår+ProsjektetsLevetid-1),IF(Åpningsår="",,LOOKUP(CZ43,SerieÅR,-SerieCO2avgiftsbane*Serie_UtslippibyggefasenCO2)/1000000),"")</f>
        <v/>
      </c>
      <c r="DA59" s="718" t="str" cm="1">
        <f t="array" ref="DA59">IF(DA$10&lt;=(Åpningsår+ProsjektetsLevetid-1),IF(Åpningsår="",,LOOKUP(DA43,SerieÅR,-SerieCO2avgiftsbane*Serie_UtslippibyggefasenCO2)/1000000),"")</f>
        <v/>
      </c>
      <c r="DB59" s="718" t="str" cm="1">
        <f t="array" ref="DB59">IF(DB$10&lt;=(Åpningsår+ProsjektetsLevetid-1),IF(Åpningsår="",,LOOKUP(DB43,SerieÅR,-SerieCO2avgiftsbane*Serie_UtslippibyggefasenCO2)/1000000),"")</f>
        <v/>
      </c>
      <c r="DC59" s="718" t="str" cm="1">
        <f t="array" ref="DC59">IF(DC$10&lt;=(Åpningsår+ProsjektetsLevetid-1),IF(Åpningsår="",,LOOKUP(DC43,SerieÅR,-SerieCO2avgiftsbane*Serie_UtslippibyggefasenCO2)/1000000),"")</f>
        <v/>
      </c>
      <c r="DD59" s="718" t="str" cm="1">
        <f t="array" ref="DD59">IF(DD$10&lt;=(Åpningsår+ProsjektetsLevetid-1),IF(Åpningsår="",,LOOKUP(DD43,SerieÅR,-SerieCO2avgiftsbane*Serie_UtslippibyggefasenCO2)/1000000),"")</f>
        <v/>
      </c>
      <c r="DE59" s="718" t="str" cm="1">
        <f t="array" ref="DE59">IF(DE$10&lt;=(Åpningsår+ProsjektetsLevetid-1),IF(Åpningsår="",,LOOKUP(DE43,SerieÅR,-SerieCO2avgiftsbane*Serie_UtslippibyggefasenCO2)/1000000),"")</f>
        <v/>
      </c>
      <c r="DF59" s="718" t="str" cm="1">
        <f t="array" ref="DF59">IF(DF$10&lt;=(Åpningsår+ProsjektetsLevetid-1),IF(Åpningsår="",,LOOKUP(DF43,SerieÅR,-SerieCO2avgiftsbane*Serie_UtslippibyggefasenCO2)/1000000),"")</f>
        <v/>
      </c>
      <c r="DG59" s="718" t="str" cm="1">
        <f t="array" ref="DG59">IF(DG$10&lt;=(Åpningsår+ProsjektetsLevetid-1),IF(Åpningsår="",,LOOKUP(DG43,SerieÅR,-SerieCO2avgiftsbane*Serie_UtslippibyggefasenCO2)/1000000),"")</f>
        <v/>
      </c>
      <c r="DH59" s="718" t="str" cm="1">
        <f t="array" ref="DH59">IF(DH$10&lt;=(Åpningsår+ProsjektetsLevetid-1),IF(Åpningsår="",,LOOKUP(DH43,SerieÅR,-SerieCO2avgiftsbane*Serie_UtslippibyggefasenCO2)/1000000),"")</f>
        <v/>
      </c>
      <c r="DI59" s="718" t="str" cm="1">
        <f t="array" ref="DI59">IF(DI$10&lt;=(Åpningsår+ProsjektetsLevetid-1),IF(Åpningsår="",,LOOKUP(DI43,SerieÅR,-SerieCO2avgiftsbane*Serie_UtslippibyggefasenCO2)/1000000),"")</f>
        <v/>
      </c>
      <c r="DJ59" s="718" t="str" cm="1">
        <f t="array" ref="DJ59">IF(DJ$10&lt;=(Åpningsår+ProsjektetsLevetid-1),IF(Åpningsår="",,LOOKUP(DJ43,SerieÅR,-SerieCO2avgiftsbane*Serie_UtslippibyggefasenCO2)/1000000),"")</f>
        <v/>
      </c>
      <c r="DK59" s="718" t="str" cm="1">
        <f t="array" ref="DK59">IF(DK$10&lt;=(Åpningsår+ProsjektetsLevetid-1),IF(Åpningsår="",,LOOKUP(DK43,SerieÅR,-SerieCO2avgiftsbane*Serie_UtslippibyggefasenCO2)/1000000),"")</f>
        <v/>
      </c>
      <c r="DL59" s="718" t="str" cm="1">
        <f t="array" ref="DL59">IF(DL$10&lt;=(Åpningsår+ProsjektetsLevetid-1),IF(Åpningsår="",,LOOKUP(DL43,SerieÅR,-SerieCO2avgiftsbane*Serie_UtslippibyggefasenCO2)/1000000),"")</f>
        <v/>
      </c>
      <c r="DM59" s="718" t="str" cm="1">
        <f t="array" ref="DM59">IF(DM$10&lt;=(Åpningsår+ProsjektetsLevetid-1),IF(Åpningsår="",,LOOKUP(DM43,SerieÅR,-SerieCO2avgiftsbane*Serie_UtslippibyggefasenCO2)/1000000),"")</f>
        <v/>
      </c>
      <c r="DN59" s="718" t="str" cm="1">
        <f t="array" ref="DN59">IF(DN$10&lt;=(Åpningsår+ProsjektetsLevetid-1),IF(Åpningsår="",,LOOKUP(DN43,SerieÅR,-SerieCO2avgiftsbane*Serie_UtslippibyggefasenCO2)/1000000),"")</f>
        <v/>
      </c>
      <c r="DO59" s="718" t="str" cm="1">
        <f t="array" ref="DO59">IF(DO$10&lt;=(Åpningsår+ProsjektetsLevetid-1),IF(Åpningsår="",,LOOKUP(DO43,SerieÅR,-SerieCO2avgiftsbane*Serie_UtslippibyggefasenCO2)/1000000),"")</f>
        <v/>
      </c>
      <c r="DP59" s="718" t="str" cm="1">
        <f t="array" ref="DP59">IF(DP$10&lt;=(Åpningsår+ProsjektetsLevetid-1),IF(Åpningsår="",,LOOKUP(DP43,SerieÅR,-SerieCO2avgiftsbane*Serie_UtslippibyggefasenCO2)/1000000),"")</f>
        <v/>
      </c>
      <c r="DQ59" s="718" t="str" cm="1">
        <f t="array" ref="DQ59">IF(DQ$10&lt;=(Åpningsår+ProsjektetsLevetid-1),IF(Åpningsår="",,LOOKUP(DQ43,SerieÅR,-SerieCO2avgiftsbane*Serie_UtslippibyggefasenCO2)/1000000),"")</f>
        <v/>
      </c>
      <c r="DR59" s="718" t="str" cm="1">
        <f t="array" ref="DR59">IF(DR$10&lt;=(Åpningsår+ProsjektetsLevetid-1),IF(Åpningsår="",,LOOKUP(DR43,SerieÅR,-SerieCO2avgiftsbane*Serie_UtslippibyggefasenCO2)/1000000),"")</f>
        <v/>
      </c>
      <c r="DS59" s="803">
        <f ca="1">SUMPRODUCT(('1.5 Prognoser og indekser'!$R$12:OFFSET('1.5 Prognoser og indekser'!$R$12,0,$DS$9)),($M59:OFFSET($M59,0,$DS$9)))</f>
        <v>0</v>
      </c>
      <c r="DT59" s="804">
        <f ca="1">IF($DT$9&lt;1,0,SUMPRODUCT(OFFSET('1.5 Prognoser og indekser'!$R$12,0,$DS$9+1,1,$DT$9),OFFSET($M59,0,$DS$9+1,1,$DT$9)))</f>
        <v>0</v>
      </c>
    </row>
    <row r="60" spans="1:124" x14ac:dyDescent="0.35">
      <c r="A60" s="535"/>
      <c r="C60" s="215" t="str">
        <f>CONCATENATE('2.3 Det Offentlige'!B33, " Infrastruktur")</f>
        <v>Vedlikeholdskostnader Infrastruktur</v>
      </c>
      <c r="D60" s="420"/>
      <c r="E60" s="420"/>
      <c r="F60" s="420"/>
      <c r="G60" s="420"/>
      <c r="H60" s="420"/>
      <c r="I60" s="420"/>
      <c r="J60" s="524"/>
      <c r="K60" s="524"/>
      <c r="L60" s="42"/>
      <c r="M60" s="420"/>
      <c r="N60" s="420"/>
      <c r="O60" s="420"/>
      <c r="P60" s="420"/>
      <c r="Q60" s="420"/>
      <c r="R60" s="420"/>
      <c r="S60" s="420"/>
      <c r="T60" s="420"/>
      <c r="U60" s="420"/>
      <c r="V60" s="420"/>
      <c r="W60" s="119"/>
      <c r="X60" s="119"/>
      <c r="Y60" s="119"/>
      <c r="Z60" s="119"/>
      <c r="AA60" s="119"/>
      <c r="AB60" s="119"/>
      <c r="AC60" s="119"/>
      <c r="AD60" s="119"/>
      <c r="AE60" s="119"/>
      <c r="AF60" s="119"/>
      <c r="AG60" s="119"/>
      <c r="AH60" s="119"/>
      <c r="AI60" s="119"/>
      <c r="AJ60" s="119"/>
      <c r="AK60" s="119"/>
      <c r="AL60" s="119"/>
      <c r="AM60" s="119"/>
      <c r="AN60" s="119"/>
      <c r="AO60" s="119"/>
      <c r="AP60" s="119"/>
      <c r="AQ60" s="119"/>
      <c r="AR60" s="119"/>
      <c r="AS60" s="119"/>
      <c r="AT60" s="119"/>
      <c r="AU60" s="119"/>
      <c r="AV60" s="119"/>
      <c r="AW60" s="119"/>
      <c r="AX60" s="119"/>
      <c r="AY60" s="119"/>
      <c r="AZ60" s="119"/>
      <c r="BA60" s="119"/>
      <c r="BB60" s="119"/>
      <c r="BC60" s="119"/>
      <c r="BD60" s="119"/>
      <c r="BE60" s="119"/>
      <c r="BF60" s="119"/>
      <c r="BG60" s="119"/>
      <c r="BH60" s="119"/>
      <c r="BI60" s="119"/>
      <c r="BJ60" s="119"/>
      <c r="BK60" s="119"/>
      <c r="BL60" s="119"/>
      <c r="BM60" s="119"/>
      <c r="BN60" s="119"/>
      <c r="BO60" s="119"/>
      <c r="BP60" s="119"/>
      <c r="BQ60" s="119"/>
      <c r="BR60" s="119"/>
      <c r="BS60" s="119"/>
      <c r="BT60" s="119"/>
      <c r="BU60" s="119"/>
      <c r="BV60" s="119"/>
      <c r="BW60" s="119"/>
      <c r="BX60" s="119"/>
      <c r="BY60" s="119"/>
      <c r="BZ60" s="119"/>
      <c r="CA60" s="119"/>
      <c r="CB60" s="119"/>
      <c r="CC60" s="119"/>
      <c r="CD60" s="119"/>
      <c r="CE60" s="119"/>
      <c r="CF60" s="119"/>
      <c r="CG60" s="119"/>
      <c r="CH60" s="119"/>
      <c r="CI60" s="119"/>
      <c r="CJ60" s="119"/>
      <c r="CK60" s="119"/>
      <c r="CL60" s="119"/>
      <c r="CM60" s="119"/>
      <c r="CN60" s="119"/>
      <c r="CO60" s="119"/>
      <c r="CP60" s="119"/>
      <c r="CQ60" s="119"/>
      <c r="CR60" s="119"/>
      <c r="CS60" s="119"/>
      <c r="CT60" s="119"/>
      <c r="CU60" s="119"/>
      <c r="CV60" s="119"/>
      <c r="CW60" s="119"/>
      <c r="CX60" s="119"/>
      <c r="CY60" s="119"/>
      <c r="CZ60" s="119"/>
      <c r="DA60" s="119"/>
      <c r="DB60" s="119"/>
      <c r="DC60" s="119"/>
      <c r="DD60" s="119"/>
      <c r="DE60" s="119"/>
      <c r="DF60" s="119"/>
      <c r="DG60" s="119"/>
      <c r="DH60" s="119"/>
      <c r="DI60" s="119"/>
      <c r="DJ60" s="119"/>
      <c r="DK60" s="119"/>
      <c r="DL60" s="119"/>
      <c r="DM60" s="119"/>
      <c r="DN60" s="119"/>
      <c r="DO60" s="119"/>
      <c r="DP60" s="119"/>
      <c r="DQ60" s="119"/>
      <c r="DR60" s="119"/>
      <c r="DS60" s="43"/>
      <c r="DT60" s="373"/>
    </row>
    <row r="61" spans="1:124" x14ac:dyDescent="0.35">
      <c r="C61" s="291" t="s">
        <v>1517</v>
      </c>
      <c r="D61" s="791"/>
      <c r="E61" s="712"/>
      <c r="F61" s="712"/>
      <c r="G61" s="796"/>
      <c r="H61" s="712"/>
      <c r="I61" s="712"/>
      <c r="J61" s="790"/>
      <c r="K61" s="790"/>
      <c r="L61" s="752"/>
      <c r="M61" s="712" t="str" cm="1">
        <f t="array" ref="M61:DR61">IFERROR(-TRANSPOSE('2.5 Investeringer + vedlikehold'!$I$13:$I$97)*(IF(Modell_Person="-",SerieVolumvekstGods,SerieVolumvekstperson))*BKIJustering_DV,"")</f>
        <v/>
      </c>
      <c r="N61" s="712" t="str">
        <v/>
      </c>
      <c r="O61" s="712" t="str">
        <v/>
      </c>
      <c r="P61" s="712" t="str">
        <v/>
      </c>
      <c r="Q61" s="712" t="str">
        <v/>
      </c>
      <c r="R61" s="712" t="str">
        <v/>
      </c>
      <c r="S61" s="712" t="str">
        <v/>
      </c>
      <c r="T61" s="712" t="str">
        <v/>
      </c>
      <c r="U61" s="712" t="str">
        <v/>
      </c>
      <c r="V61" s="712" t="str">
        <v/>
      </c>
      <c r="W61" s="463" t="str">
        <v/>
      </c>
      <c r="X61" s="463" t="str">
        <v/>
      </c>
      <c r="Y61" s="463" t="str">
        <v/>
      </c>
      <c r="Z61" s="463" t="str">
        <v/>
      </c>
      <c r="AA61" s="463" t="str">
        <v/>
      </c>
      <c r="AB61" s="463" t="str">
        <v/>
      </c>
      <c r="AC61" s="463" t="str">
        <v/>
      </c>
      <c r="AD61" s="463" t="str">
        <v/>
      </c>
      <c r="AE61" s="463" t="str">
        <v/>
      </c>
      <c r="AF61" s="463" t="str">
        <v/>
      </c>
      <c r="AG61" s="463" t="str">
        <v/>
      </c>
      <c r="AH61" s="463" t="str">
        <v/>
      </c>
      <c r="AI61" s="463" t="str">
        <v/>
      </c>
      <c r="AJ61" s="463" t="str">
        <v/>
      </c>
      <c r="AK61" s="463" t="str">
        <v/>
      </c>
      <c r="AL61" s="463" t="str">
        <v/>
      </c>
      <c r="AM61" s="463" t="str">
        <v/>
      </c>
      <c r="AN61" s="463" t="str">
        <v/>
      </c>
      <c r="AO61" s="463" t="str">
        <v/>
      </c>
      <c r="AP61" s="463" t="str">
        <v/>
      </c>
      <c r="AQ61" s="463" t="str">
        <v/>
      </c>
      <c r="AR61" s="463" t="str">
        <v/>
      </c>
      <c r="AS61" s="463" t="str">
        <v/>
      </c>
      <c r="AT61" s="463" t="str">
        <v/>
      </c>
      <c r="AU61" s="463" t="str">
        <v/>
      </c>
      <c r="AV61" s="463" t="str">
        <v/>
      </c>
      <c r="AW61" s="463" t="str">
        <v/>
      </c>
      <c r="AX61" s="463" t="str">
        <v/>
      </c>
      <c r="AY61" s="463" t="str">
        <v/>
      </c>
      <c r="AZ61" s="463" t="str">
        <v/>
      </c>
      <c r="BA61" s="463" t="str">
        <v/>
      </c>
      <c r="BB61" s="463" t="str">
        <v/>
      </c>
      <c r="BC61" s="463" t="str">
        <v/>
      </c>
      <c r="BD61" s="463" t="str">
        <v/>
      </c>
      <c r="BE61" s="463" t="str">
        <v/>
      </c>
      <c r="BF61" s="463" t="str">
        <v/>
      </c>
      <c r="BG61" s="463" t="str">
        <v/>
      </c>
      <c r="BH61" s="463" t="str">
        <v/>
      </c>
      <c r="BI61" s="463" t="str">
        <v/>
      </c>
      <c r="BJ61" s="463" t="str">
        <v/>
      </c>
      <c r="BK61" s="463" t="str">
        <v/>
      </c>
      <c r="BL61" s="463" t="str">
        <v/>
      </c>
      <c r="BM61" s="463" t="str">
        <v/>
      </c>
      <c r="BN61" s="463" t="str">
        <v/>
      </c>
      <c r="BO61" s="463" t="str">
        <v/>
      </c>
      <c r="BP61" s="463" t="str">
        <v/>
      </c>
      <c r="BQ61" s="463" t="str">
        <v/>
      </c>
      <c r="BR61" s="463" t="str">
        <v/>
      </c>
      <c r="BS61" s="463" t="str">
        <v/>
      </c>
      <c r="BT61" s="463" t="str">
        <v/>
      </c>
      <c r="BU61" s="463" t="str">
        <v/>
      </c>
      <c r="BV61" s="463" t="str">
        <v/>
      </c>
      <c r="BW61" s="463" t="str">
        <v/>
      </c>
      <c r="BX61" s="463" t="str">
        <v/>
      </c>
      <c r="BY61" s="463" t="str">
        <v/>
      </c>
      <c r="BZ61" s="463" t="str">
        <v/>
      </c>
      <c r="CA61" s="463" t="str">
        <v/>
      </c>
      <c r="CB61" s="463" t="str">
        <v/>
      </c>
      <c r="CC61" s="463" t="str">
        <v/>
      </c>
      <c r="CD61" s="463" t="str">
        <v/>
      </c>
      <c r="CE61" s="463" t="str">
        <v/>
      </c>
      <c r="CF61" s="463" t="str">
        <v/>
      </c>
      <c r="CG61" s="463" t="str">
        <v/>
      </c>
      <c r="CH61" s="463" t="str">
        <v/>
      </c>
      <c r="CI61" s="463" t="str">
        <v/>
      </c>
      <c r="CJ61" s="463" t="str">
        <v/>
      </c>
      <c r="CK61" s="463" t="str">
        <v/>
      </c>
      <c r="CL61" s="463" t="str">
        <v/>
      </c>
      <c r="CM61" s="463" t="str">
        <v/>
      </c>
      <c r="CN61" s="463" t="str">
        <v/>
      </c>
      <c r="CO61" s="463" t="str">
        <v/>
      </c>
      <c r="CP61" s="463" t="str">
        <v/>
      </c>
      <c r="CQ61" s="463" t="str">
        <v/>
      </c>
      <c r="CR61" s="463" t="str">
        <v/>
      </c>
      <c r="CS61" s="463" t="str">
        <v/>
      </c>
      <c r="CT61" s="463" t="str">
        <v/>
      </c>
      <c r="CU61" s="463" t="str">
        <v/>
      </c>
      <c r="CV61" s="463" t="str">
        <v/>
      </c>
      <c r="CW61" s="463" t="str">
        <v/>
      </c>
      <c r="CX61" s="463" t="str">
        <v/>
      </c>
      <c r="CY61" s="463" t="str">
        <v/>
      </c>
      <c r="CZ61" s="463" t="str">
        <v/>
      </c>
      <c r="DA61" s="463" t="str">
        <v/>
      </c>
      <c r="DB61" s="463" t="str">
        <v/>
      </c>
      <c r="DC61" s="463" t="str">
        <v/>
      </c>
      <c r="DD61" s="463" t="str">
        <v/>
      </c>
      <c r="DE61" s="463" t="str">
        <v/>
      </c>
      <c r="DF61" s="463" t="str">
        <v/>
      </c>
      <c r="DG61" s="463" t="str">
        <v/>
      </c>
      <c r="DH61" s="463" t="str">
        <v/>
      </c>
      <c r="DI61" s="463" t="str">
        <v/>
      </c>
      <c r="DJ61" s="463" t="str">
        <v/>
      </c>
      <c r="DK61" s="463" t="str">
        <v/>
      </c>
      <c r="DL61" s="463" t="str">
        <v/>
      </c>
      <c r="DM61" s="463" t="str">
        <v/>
      </c>
      <c r="DN61" s="463" t="str">
        <v/>
      </c>
      <c r="DO61" s="463" t="str">
        <v/>
      </c>
      <c r="DP61" s="463" t="str">
        <v/>
      </c>
      <c r="DQ61" s="463" t="str">
        <v/>
      </c>
      <c r="DR61" s="463" t="str">
        <v/>
      </c>
      <c r="DS61" s="801">
        <f ca="1">SUMPRODUCT(('1.5 Prognoser og indekser'!$R$12:OFFSET('1.5 Prognoser og indekser'!$R$12,0,$DS$9)),($M61:OFFSET($M61,0,$DS$9)))</f>
        <v>0</v>
      </c>
      <c r="DT61" s="802">
        <f ca="1">IF($DT$9&lt;1,0,SUMPRODUCT(OFFSET('1.5 Prognoser og indekser'!$R$12,0,$DS$9+1,1,$DT$9),OFFSET($M61,0,$DS$9+1,1,$DT$9)))</f>
        <v>0</v>
      </c>
    </row>
    <row r="62" spans="1:124" x14ac:dyDescent="0.35">
      <c r="C62" s="291" t="str">
        <f>CONCATENATE("Vei som følge av ",'2.3 Det Offentlige'!B35," og ",'2.3 Det Offentlige'!B36)</f>
        <v>Vei som følge av Personbil og Lastebil</v>
      </c>
      <c r="D62" s="463">
        <f>-SUM('2.3 Det Offentlige'!C35:C36)</f>
        <v>0</v>
      </c>
      <c r="E62" s="463">
        <f>-SUM('2.3 Det Offentlige'!D35:D36)</f>
        <v>0</v>
      </c>
      <c r="F62" s="463">
        <f>-SUM('2.3 Det Offentlige'!E35:E36)</f>
        <v>0</v>
      </c>
      <c r="G62" s="463"/>
      <c r="H62" s="463"/>
      <c r="I62" s="463"/>
      <c r="J62" s="790">
        <f>IF(Antall_Beregningsår&lt;2,1,IF(AND(D62=0,E62=0),1,IF(SIGN(D62)=SIGN(E62),(E62/D62)^(1/(AndreBeregningsår-FørsteBeregningsår)),((E62+1.1*ABS(D62-E62))/(D62+1.1*ABS(D62-E62)))^(1/(AndreBeregningsår-FørsteBeregningsår)))))</f>
        <v>1</v>
      </c>
      <c r="K62" s="790">
        <f>IF(Antall_Beregningsår&lt;3,1,IF(AND(E62=0,F62=0),1,IF(SIGN(E62)=SIGN(F62),(F62/E62)^(1/(TredjeBeregningsår-AndreBeregningsår)),((F62+1.1*ABS(E62-F62))/(E62+1.1*ABS(E62-F62)))^(1/(TredjeBeregningsår-AndreBeregningsår)))))</f>
        <v>1</v>
      </c>
      <c r="L62" s="752">
        <f>IF(Framskrivning="Lineær trend",IF(Antall_Beregningsår&gt;2,(F62-E62)/(TredjeBeregningsår-AndreBeregningsår),IF(Antall_Beregningsår&gt;1,(E62-D62)/(AndreBeregningsår-FørsteBeregningsår),0)),0)</f>
        <v>0</v>
      </c>
      <c r="M62" s="712"/>
      <c r="N62" s="712"/>
      <c r="O62" s="712"/>
      <c r="P62" s="712"/>
      <c r="Q62" s="712"/>
      <c r="R62" s="712"/>
      <c r="S62" s="712"/>
      <c r="T62" s="712"/>
      <c r="U62" s="712"/>
      <c r="V62" s="712"/>
      <c r="W62" s="463" t="str">
        <f t="shared" ref="W62:BB62" ca="1" si="109">IF(W$10&lt;=(Åpningsår+ProsjektetsLevetid-1),IF(W43&lt;=AndreBeregningsår,IF(SIGN($D62)=SIGN($E62),$D62*$J62^(W43-FørsteBeregningsår),($D62+1.1*ABS($D62-$E62))*$J62^(W43-FørsteBeregningsår)-1.1*ABS($D62-$E62)),IF(W43&lt;=TredjeBeregningsår,IF(SIGN($E62)=SIGN($F62),$E62*$K62^(W43-AndreBeregningsår),($E62+1.1*ABS($E62-$F62))*$K62^(W43-AndreBeregningsår)-1.1*ABS($E62-$F62)),OFFSET($D62,0,Antall_Beregningsår-1)*LOOKUP(W43,SerieÅR,SerieVolumvekstperson)+$L62*(W43-IF(Antall_Beregningsår&gt;2,TredjeBeregningsår,AndreBeregningsår))))*BKIJustering_DV,"")</f>
        <v/>
      </c>
      <c r="X62" s="463" t="str">
        <f t="shared" ca="1" si="109"/>
        <v/>
      </c>
      <c r="Y62" s="463" t="str">
        <f t="shared" ca="1" si="109"/>
        <v/>
      </c>
      <c r="Z62" s="463" t="str">
        <f t="shared" ca="1" si="109"/>
        <v/>
      </c>
      <c r="AA62" s="463" t="str">
        <f t="shared" ca="1" si="109"/>
        <v/>
      </c>
      <c r="AB62" s="463" t="str">
        <f t="shared" ca="1" si="109"/>
        <v/>
      </c>
      <c r="AC62" s="463" t="str">
        <f t="shared" ca="1" si="109"/>
        <v/>
      </c>
      <c r="AD62" s="463" t="str">
        <f t="shared" ca="1" si="109"/>
        <v/>
      </c>
      <c r="AE62" s="463" t="str">
        <f t="shared" ca="1" si="109"/>
        <v/>
      </c>
      <c r="AF62" s="463" t="str">
        <f t="shared" ca="1" si="109"/>
        <v/>
      </c>
      <c r="AG62" s="463" t="str">
        <f t="shared" ca="1" si="109"/>
        <v/>
      </c>
      <c r="AH62" s="463" t="str">
        <f t="shared" ca="1" si="109"/>
        <v/>
      </c>
      <c r="AI62" s="463" t="str">
        <f t="shared" ca="1" si="109"/>
        <v/>
      </c>
      <c r="AJ62" s="463" t="str">
        <f t="shared" ca="1" si="109"/>
        <v/>
      </c>
      <c r="AK62" s="463" t="str">
        <f t="shared" ca="1" si="109"/>
        <v/>
      </c>
      <c r="AL62" s="463" t="str">
        <f t="shared" ca="1" si="109"/>
        <v/>
      </c>
      <c r="AM62" s="463" t="str">
        <f t="shared" ca="1" si="109"/>
        <v/>
      </c>
      <c r="AN62" s="463" t="str">
        <f t="shared" ca="1" si="109"/>
        <v/>
      </c>
      <c r="AO62" s="463" t="str">
        <f t="shared" ca="1" si="109"/>
        <v/>
      </c>
      <c r="AP62" s="463" t="str">
        <f t="shared" ca="1" si="109"/>
        <v/>
      </c>
      <c r="AQ62" s="463" t="str">
        <f t="shared" ca="1" si="109"/>
        <v/>
      </c>
      <c r="AR62" s="463" t="str">
        <f t="shared" ca="1" si="109"/>
        <v/>
      </c>
      <c r="AS62" s="463" t="str">
        <f t="shared" ca="1" si="109"/>
        <v/>
      </c>
      <c r="AT62" s="463" t="str">
        <f t="shared" ca="1" si="109"/>
        <v/>
      </c>
      <c r="AU62" s="463" t="str">
        <f t="shared" ca="1" si="109"/>
        <v/>
      </c>
      <c r="AV62" s="463" t="str">
        <f t="shared" ca="1" si="109"/>
        <v/>
      </c>
      <c r="AW62" s="463" t="str">
        <f t="shared" ca="1" si="109"/>
        <v/>
      </c>
      <c r="AX62" s="463" t="str">
        <f t="shared" ca="1" si="109"/>
        <v/>
      </c>
      <c r="AY62" s="463" t="str">
        <f t="shared" ca="1" si="109"/>
        <v/>
      </c>
      <c r="AZ62" s="463" t="str">
        <f t="shared" ca="1" si="109"/>
        <v/>
      </c>
      <c r="BA62" s="463" t="str">
        <f t="shared" ca="1" si="109"/>
        <v/>
      </c>
      <c r="BB62" s="463" t="str">
        <f t="shared" ca="1" si="109"/>
        <v/>
      </c>
      <c r="BC62" s="463" t="str">
        <f t="shared" ref="BC62:CH62" ca="1" si="110">IF(BC$10&lt;=(Åpningsår+ProsjektetsLevetid-1),IF(BC43&lt;=AndreBeregningsår,IF(SIGN($D62)=SIGN($E62),$D62*$J62^(BC43-FørsteBeregningsår),($D62+1.1*ABS($D62-$E62))*$J62^(BC43-FørsteBeregningsår)-1.1*ABS($D62-$E62)),IF(BC43&lt;=TredjeBeregningsår,IF(SIGN($E62)=SIGN($F62),$E62*$K62^(BC43-AndreBeregningsår),($E62+1.1*ABS($E62-$F62))*$K62^(BC43-AndreBeregningsår)-1.1*ABS($E62-$F62)),OFFSET($D62,0,Antall_Beregningsår-1)*LOOKUP(BC43,SerieÅR,SerieVolumvekstperson)+$L62*(BC43-IF(Antall_Beregningsår&gt;2,TredjeBeregningsår,AndreBeregningsår))))*BKIJustering_DV,"")</f>
        <v/>
      </c>
      <c r="BD62" s="463" t="str">
        <f t="shared" ca="1" si="110"/>
        <v/>
      </c>
      <c r="BE62" s="463" t="str">
        <f t="shared" ca="1" si="110"/>
        <v/>
      </c>
      <c r="BF62" s="463" t="str">
        <f t="shared" ca="1" si="110"/>
        <v/>
      </c>
      <c r="BG62" s="463" t="str">
        <f t="shared" ca="1" si="110"/>
        <v/>
      </c>
      <c r="BH62" s="463" t="str">
        <f t="shared" ca="1" si="110"/>
        <v/>
      </c>
      <c r="BI62" s="463" t="str">
        <f t="shared" ca="1" si="110"/>
        <v/>
      </c>
      <c r="BJ62" s="463" t="str">
        <f t="shared" ca="1" si="110"/>
        <v/>
      </c>
      <c r="BK62" s="463" t="str">
        <f t="shared" ca="1" si="110"/>
        <v/>
      </c>
      <c r="BL62" s="463" t="str">
        <f t="shared" ca="1" si="110"/>
        <v/>
      </c>
      <c r="BM62" s="463" t="str">
        <f t="shared" ca="1" si="110"/>
        <v/>
      </c>
      <c r="BN62" s="463" t="str">
        <f t="shared" ca="1" si="110"/>
        <v/>
      </c>
      <c r="BO62" s="463" t="str">
        <f t="shared" ca="1" si="110"/>
        <v/>
      </c>
      <c r="BP62" s="463" t="str">
        <f t="shared" ca="1" si="110"/>
        <v/>
      </c>
      <c r="BQ62" s="463" t="str">
        <f t="shared" ca="1" si="110"/>
        <v/>
      </c>
      <c r="BR62" s="463" t="str">
        <f t="shared" ca="1" si="110"/>
        <v/>
      </c>
      <c r="BS62" s="463" t="str">
        <f t="shared" ca="1" si="110"/>
        <v/>
      </c>
      <c r="BT62" s="463" t="str">
        <f t="shared" ca="1" si="110"/>
        <v/>
      </c>
      <c r="BU62" s="463" t="str">
        <f t="shared" ca="1" si="110"/>
        <v/>
      </c>
      <c r="BV62" s="463" t="str">
        <f t="shared" ca="1" si="110"/>
        <v/>
      </c>
      <c r="BW62" s="463" t="str">
        <f t="shared" ca="1" si="110"/>
        <v/>
      </c>
      <c r="BX62" s="463" t="str">
        <f t="shared" ca="1" si="110"/>
        <v/>
      </c>
      <c r="BY62" s="463" t="str">
        <f t="shared" ca="1" si="110"/>
        <v/>
      </c>
      <c r="BZ62" s="463" t="str">
        <f t="shared" ca="1" si="110"/>
        <v/>
      </c>
      <c r="CA62" s="463" t="str">
        <f t="shared" ca="1" si="110"/>
        <v/>
      </c>
      <c r="CB62" s="463" t="str">
        <f t="shared" ca="1" si="110"/>
        <v/>
      </c>
      <c r="CC62" s="463" t="str">
        <f t="shared" ca="1" si="110"/>
        <v/>
      </c>
      <c r="CD62" s="463" t="str">
        <f t="shared" ca="1" si="110"/>
        <v/>
      </c>
      <c r="CE62" s="463" t="str">
        <f t="shared" ca="1" si="110"/>
        <v/>
      </c>
      <c r="CF62" s="463" t="str">
        <f t="shared" ca="1" si="110"/>
        <v/>
      </c>
      <c r="CG62" s="463" t="str">
        <f t="shared" ca="1" si="110"/>
        <v/>
      </c>
      <c r="CH62" s="463" t="str">
        <f t="shared" ca="1" si="110"/>
        <v/>
      </c>
      <c r="CI62" s="463" t="str">
        <f t="shared" ref="CI62:DR62" ca="1" si="111">IF(CI$10&lt;=(Åpningsår+ProsjektetsLevetid-1),IF(CI43&lt;=AndreBeregningsår,IF(SIGN($D62)=SIGN($E62),$D62*$J62^(CI43-FørsteBeregningsår),($D62+1.1*ABS($D62-$E62))*$J62^(CI43-FørsteBeregningsår)-1.1*ABS($D62-$E62)),IF(CI43&lt;=TredjeBeregningsår,IF(SIGN($E62)=SIGN($F62),$E62*$K62^(CI43-AndreBeregningsår),($E62+1.1*ABS($E62-$F62))*$K62^(CI43-AndreBeregningsår)-1.1*ABS($E62-$F62)),OFFSET($D62,0,Antall_Beregningsår-1)*LOOKUP(CI43,SerieÅR,SerieVolumvekstperson)+$L62*(CI43-IF(Antall_Beregningsår&gt;2,TredjeBeregningsår,AndreBeregningsår))))*BKIJustering_DV,"")</f>
        <v/>
      </c>
      <c r="CJ62" s="463" t="str">
        <f t="shared" ca="1" si="111"/>
        <v/>
      </c>
      <c r="CK62" s="463" t="str">
        <f t="shared" ca="1" si="111"/>
        <v/>
      </c>
      <c r="CL62" s="463" t="str">
        <f t="shared" ca="1" si="111"/>
        <v/>
      </c>
      <c r="CM62" s="463" t="str">
        <f t="shared" ca="1" si="111"/>
        <v/>
      </c>
      <c r="CN62" s="463" t="str">
        <f t="shared" ca="1" si="111"/>
        <v/>
      </c>
      <c r="CO62" s="463" t="str">
        <f t="shared" ca="1" si="111"/>
        <v/>
      </c>
      <c r="CP62" s="463" t="str">
        <f t="shared" ca="1" si="111"/>
        <v/>
      </c>
      <c r="CQ62" s="463" t="str">
        <f t="shared" ca="1" si="111"/>
        <v/>
      </c>
      <c r="CR62" s="463" t="str">
        <f t="shared" ca="1" si="111"/>
        <v/>
      </c>
      <c r="CS62" s="463" t="str">
        <f t="shared" ca="1" si="111"/>
        <v/>
      </c>
      <c r="CT62" s="463" t="str">
        <f t="shared" ca="1" si="111"/>
        <v/>
      </c>
      <c r="CU62" s="463" t="str">
        <f t="shared" ca="1" si="111"/>
        <v/>
      </c>
      <c r="CV62" s="463" t="str">
        <f t="shared" ca="1" si="111"/>
        <v/>
      </c>
      <c r="CW62" s="463" t="str">
        <f t="shared" ca="1" si="111"/>
        <v/>
      </c>
      <c r="CX62" s="463" t="str">
        <f t="shared" ca="1" si="111"/>
        <v/>
      </c>
      <c r="CY62" s="463" t="str">
        <f t="shared" ca="1" si="111"/>
        <v/>
      </c>
      <c r="CZ62" s="463" t="str">
        <f t="shared" ca="1" si="111"/>
        <v/>
      </c>
      <c r="DA62" s="463" t="str">
        <f t="shared" ca="1" si="111"/>
        <v/>
      </c>
      <c r="DB62" s="463" t="str">
        <f t="shared" ca="1" si="111"/>
        <v/>
      </c>
      <c r="DC62" s="463" t="str">
        <f t="shared" ca="1" si="111"/>
        <v/>
      </c>
      <c r="DD62" s="463" t="str">
        <f t="shared" ca="1" si="111"/>
        <v/>
      </c>
      <c r="DE62" s="463" t="str">
        <f t="shared" ca="1" si="111"/>
        <v/>
      </c>
      <c r="DF62" s="463" t="str">
        <f t="shared" ca="1" si="111"/>
        <v/>
      </c>
      <c r="DG62" s="463" t="str">
        <f t="shared" ca="1" si="111"/>
        <v/>
      </c>
      <c r="DH62" s="463" t="str">
        <f t="shared" ca="1" si="111"/>
        <v/>
      </c>
      <c r="DI62" s="463" t="str">
        <f t="shared" ca="1" si="111"/>
        <v/>
      </c>
      <c r="DJ62" s="463" t="str">
        <f t="shared" ca="1" si="111"/>
        <v/>
      </c>
      <c r="DK62" s="463" t="str">
        <f t="shared" ca="1" si="111"/>
        <v/>
      </c>
      <c r="DL62" s="463" t="str">
        <f t="shared" ca="1" si="111"/>
        <v/>
      </c>
      <c r="DM62" s="463" t="str">
        <f t="shared" ca="1" si="111"/>
        <v/>
      </c>
      <c r="DN62" s="463" t="str">
        <f t="shared" ca="1" si="111"/>
        <v/>
      </c>
      <c r="DO62" s="463" t="str">
        <f t="shared" ca="1" si="111"/>
        <v/>
      </c>
      <c r="DP62" s="463" t="str">
        <f t="shared" ca="1" si="111"/>
        <v/>
      </c>
      <c r="DQ62" s="463" t="str">
        <f t="shared" ca="1" si="111"/>
        <v/>
      </c>
      <c r="DR62" s="463" t="str">
        <f t="shared" ca="1" si="111"/>
        <v/>
      </c>
      <c r="DS62" s="801">
        <f ca="1">SUMPRODUCT(('1.5 Prognoser og indekser'!$R$12:OFFSET('1.5 Prognoser og indekser'!$R$12,0,$DS$9)),($M62:OFFSET($M62,0,$DS$9)))</f>
        <v>0</v>
      </c>
      <c r="DT62" s="802">
        <f ca="1">IF($DT$9&lt;1,0,SUMPRODUCT(OFFSET('1.5 Prognoser og indekser'!$R$12,0,$DS$9+1,1,$DT$9),OFFSET($M62,0,$DS$9+1,1,$DT$9)))</f>
        <v>0</v>
      </c>
    </row>
    <row r="63" spans="1:124" x14ac:dyDescent="0.35">
      <c r="C63" s="291" t="str">
        <f>CONCATENATE("Vei som følge av ",'2.3 Det Offentlige'!B37)</f>
        <v>Vei som følge av Buss</v>
      </c>
      <c r="D63" s="791">
        <f>-'2.3 Det Offentlige'!C$37</f>
        <v>0</v>
      </c>
      <c r="E63" s="791">
        <f>-'2.3 Det Offentlige'!D$37</f>
        <v>0</v>
      </c>
      <c r="F63" s="791">
        <f>-'2.3 Det Offentlige'!E$37</f>
        <v>0</v>
      </c>
      <c r="G63" s="791"/>
      <c r="H63" s="791"/>
      <c r="I63" s="791"/>
      <c r="J63" s="790">
        <f>IF(Antall_Beregningsår&lt;2,1,IF(AND(D63=0,E63=0),1,IF(SIGN(D63)=SIGN(E63),(E63/D63)^(1/(AndreBeregningsår-FørsteBeregningsår)),((E63+1.1*ABS(D63-E63))/(D63+1.1*ABS(D63-E63)))^(1/(AndreBeregningsår-FørsteBeregningsår)))))</f>
        <v>1</v>
      </c>
      <c r="K63" s="790">
        <f>IF(Antall_Beregningsår&lt;3,1,IF(AND(E63=0,F63=0),1,IF(SIGN(E63)=SIGN(F63),(F63/E63)^(1/(TredjeBeregningsår-AndreBeregningsår)),((F63+1.1*ABS(E63-F63))/(E63+1.1*ABS(E63-F63)))^(1/(TredjeBeregningsår-AndreBeregningsår)))))</f>
        <v>1</v>
      </c>
      <c r="L63" s="752">
        <f>IF(Framskrivning="Lineær trend",IF(Antall_Beregningsår&gt;2,(F63-E63)/(TredjeBeregningsår-AndreBeregningsår),IF(Antall_Beregningsår&gt;1,(E63-D63)/(AndreBeregningsår-FørsteBeregningsår),0)),0)</f>
        <v>0</v>
      </c>
      <c r="M63" s="712"/>
      <c r="N63" s="712"/>
      <c r="O63" s="712"/>
      <c r="P63" s="712"/>
      <c r="Q63" s="712"/>
      <c r="R63" s="712"/>
      <c r="S63" s="712"/>
      <c r="T63" s="712"/>
      <c r="U63" s="712"/>
      <c r="V63" s="712"/>
      <c r="W63" s="463" t="str">
        <f t="shared" ref="W63:BB63" ca="1" si="112">IF(W$10&lt;=(Åpningsår+ProsjektetsLevetid-1),IF(W43&lt;=AndreBeregningsår,IF(SIGN($D63)=SIGN($E63),$D63*$J63^(W43-FørsteBeregningsår),($D63+1.1*ABS($D63-$E63))*$J63^(W43-FørsteBeregningsår)-1.1*ABS($D63-$E63)),IF(W43&lt;=TredjeBeregningsår,IF(SIGN($E63)=SIGN($F63),$E63*$K63^(W43-AndreBeregningsår),($E63+1.1*ABS($E63-$F63))*$K63^(W43-AndreBeregningsår)-1.1*ABS($E63-$F63)),OFFSET($D63,0,Antall_Beregningsår-1)*LOOKUP(W43,SerieÅR,SerieVolumvekstperson)+$L63*(W43-IF(Antall_Beregningsår&gt;2,TredjeBeregningsår,AndreBeregningsår))))*BKIJustering_DV,"")</f>
        <v/>
      </c>
      <c r="X63" s="463" t="str">
        <f t="shared" ca="1" si="112"/>
        <v/>
      </c>
      <c r="Y63" s="463" t="str">
        <f t="shared" ca="1" si="112"/>
        <v/>
      </c>
      <c r="Z63" s="463" t="str">
        <f t="shared" ca="1" si="112"/>
        <v/>
      </c>
      <c r="AA63" s="463" t="str">
        <f t="shared" ca="1" si="112"/>
        <v/>
      </c>
      <c r="AB63" s="463" t="str">
        <f t="shared" ca="1" si="112"/>
        <v/>
      </c>
      <c r="AC63" s="463" t="str">
        <f t="shared" ca="1" si="112"/>
        <v/>
      </c>
      <c r="AD63" s="463" t="str">
        <f t="shared" ca="1" si="112"/>
        <v/>
      </c>
      <c r="AE63" s="463" t="str">
        <f t="shared" ca="1" si="112"/>
        <v/>
      </c>
      <c r="AF63" s="463" t="str">
        <f t="shared" ca="1" si="112"/>
        <v/>
      </c>
      <c r="AG63" s="463" t="str">
        <f t="shared" ca="1" si="112"/>
        <v/>
      </c>
      <c r="AH63" s="463" t="str">
        <f t="shared" ca="1" si="112"/>
        <v/>
      </c>
      <c r="AI63" s="463" t="str">
        <f t="shared" ca="1" si="112"/>
        <v/>
      </c>
      <c r="AJ63" s="463" t="str">
        <f t="shared" ca="1" si="112"/>
        <v/>
      </c>
      <c r="AK63" s="463" t="str">
        <f t="shared" ca="1" si="112"/>
        <v/>
      </c>
      <c r="AL63" s="463" t="str">
        <f t="shared" ca="1" si="112"/>
        <v/>
      </c>
      <c r="AM63" s="463" t="str">
        <f t="shared" ca="1" si="112"/>
        <v/>
      </c>
      <c r="AN63" s="463" t="str">
        <f t="shared" ca="1" si="112"/>
        <v/>
      </c>
      <c r="AO63" s="463" t="str">
        <f t="shared" ca="1" si="112"/>
        <v/>
      </c>
      <c r="AP63" s="463" t="str">
        <f t="shared" ca="1" si="112"/>
        <v/>
      </c>
      <c r="AQ63" s="463" t="str">
        <f t="shared" ca="1" si="112"/>
        <v/>
      </c>
      <c r="AR63" s="463" t="str">
        <f t="shared" ca="1" si="112"/>
        <v/>
      </c>
      <c r="AS63" s="463" t="str">
        <f t="shared" ca="1" si="112"/>
        <v/>
      </c>
      <c r="AT63" s="463" t="str">
        <f t="shared" ca="1" si="112"/>
        <v/>
      </c>
      <c r="AU63" s="463" t="str">
        <f t="shared" ca="1" si="112"/>
        <v/>
      </c>
      <c r="AV63" s="463" t="str">
        <f t="shared" ca="1" si="112"/>
        <v/>
      </c>
      <c r="AW63" s="463" t="str">
        <f t="shared" ca="1" si="112"/>
        <v/>
      </c>
      <c r="AX63" s="463" t="str">
        <f t="shared" ca="1" si="112"/>
        <v/>
      </c>
      <c r="AY63" s="463" t="str">
        <f t="shared" ca="1" si="112"/>
        <v/>
      </c>
      <c r="AZ63" s="463" t="str">
        <f t="shared" ca="1" si="112"/>
        <v/>
      </c>
      <c r="BA63" s="463" t="str">
        <f t="shared" ca="1" si="112"/>
        <v/>
      </c>
      <c r="BB63" s="463" t="str">
        <f t="shared" ca="1" si="112"/>
        <v/>
      </c>
      <c r="BC63" s="463" t="str">
        <f t="shared" ref="BC63:CH63" ca="1" si="113">IF(BC$10&lt;=(Åpningsår+ProsjektetsLevetid-1),IF(BC43&lt;=AndreBeregningsår,IF(SIGN($D63)=SIGN($E63),$D63*$J63^(BC43-FørsteBeregningsår),($D63+1.1*ABS($D63-$E63))*$J63^(BC43-FørsteBeregningsår)-1.1*ABS($D63-$E63)),IF(BC43&lt;=TredjeBeregningsår,IF(SIGN($E63)=SIGN($F63),$E63*$K63^(BC43-AndreBeregningsår),($E63+1.1*ABS($E63-$F63))*$K63^(BC43-AndreBeregningsår)-1.1*ABS($E63-$F63)),OFFSET($D63,0,Antall_Beregningsår-1)*LOOKUP(BC43,SerieÅR,SerieVolumvekstperson)+$L63*(BC43-IF(Antall_Beregningsår&gt;2,TredjeBeregningsår,AndreBeregningsår))))*BKIJustering_DV,"")</f>
        <v/>
      </c>
      <c r="BD63" s="463" t="str">
        <f t="shared" ca="1" si="113"/>
        <v/>
      </c>
      <c r="BE63" s="463" t="str">
        <f t="shared" ca="1" si="113"/>
        <v/>
      </c>
      <c r="BF63" s="463" t="str">
        <f t="shared" ca="1" si="113"/>
        <v/>
      </c>
      <c r="BG63" s="463" t="str">
        <f t="shared" ca="1" si="113"/>
        <v/>
      </c>
      <c r="BH63" s="463" t="str">
        <f t="shared" ca="1" si="113"/>
        <v/>
      </c>
      <c r="BI63" s="463" t="str">
        <f t="shared" ca="1" si="113"/>
        <v/>
      </c>
      <c r="BJ63" s="463" t="str">
        <f t="shared" ca="1" si="113"/>
        <v/>
      </c>
      <c r="BK63" s="463" t="str">
        <f t="shared" ca="1" si="113"/>
        <v/>
      </c>
      <c r="BL63" s="463" t="str">
        <f t="shared" ca="1" si="113"/>
        <v/>
      </c>
      <c r="BM63" s="463" t="str">
        <f t="shared" ca="1" si="113"/>
        <v/>
      </c>
      <c r="BN63" s="463" t="str">
        <f t="shared" ca="1" si="113"/>
        <v/>
      </c>
      <c r="BO63" s="463" t="str">
        <f t="shared" ca="1" si="113"/>
        <v/>
      </c>
      <c r="BP63" s="463" t="str">
        <f t="shared" ca="1" si="113"/>
        <v/>
      </c>
      <c r="BQ63" s="463" t="str">
        <f t="shared" ca="1" si="113"/>
        <v/>
      </c>
      <c r="BR63" s="463" t="str">
        <f t="shared" ca="1" si="113"/>
        <v/>
      </c>
      <c r="BS63" s="463" t="str">
        <f t="shared" ca="1" si="113"/>
        <v/>
      </c>
      <c r="BT63" s="463" t="str">
        <f t="shared" ca="1" si="113"/>
        <v/>
      </c>
      <c r="BU63" s="463" t="str">
        <f t="shared" ca="1" si="113"/>
        <v/>
      </c>
      <c r="BV63" s="463" t="str">
        <f t="shared" ca="1" si="113"/>
        <v/>
      </c>
      <c r="BW63" s="463" t="str">
        <f t="shared" ca="1" si="113"/>
        <v/>
      </c>
      <c r="BX63" s="463" t="str">
        <f t="shared" ca="1" si="113"/>
        <v/>
      </c>
      <c r="BY63" s="463" t="str">
        <f t="shared" ca="1" si="113"/>
        <v/>
      </c>
      <c r="BZ63" s="463" t="str">
        <f t="shared" ca="1" si="113"/>
        <v/>
      </c>
      <c r="CA63" s="463" t="str">
        <f t="shared" ca="1" si="113"/>
        <v/>
      </c>
      <c r="CB63" s="463" t="str">
        <f t="shared" ca="1" si="113"/>
        <v/>
      </c>
      <c r="CC63" s="463" t="str">
        <f t="shared" ca="1" si="113"/>
        <v/>
      </c>
      <c r="CD63" s="463" t="str">
        <f t="shared" ca="1" si="113"/>
        <v/>
      </c>
      <c r="CE63" s="463" t="str">
        <f t="shared" ca="1" si="113"/>
        <v/>
      </c>
      <c r="CF63" s="463" t="str">
        <f t="shared" ca="1" si="113"/>
        <v/>
      </c>
      <c r="CG63" s="463" t="str">
        <f t="shared" ca="1" si="113"/>
        <v/>
      </c>
      <c r="CH63" s="463" t="str">
        <f t="shared" ca="1" si="113"/>
        <v/>
      </c>
      <c r="CI63" s="463" t="str">
        <f t="shared" ref="CI63:DR63" ca="1" si="114">IF(CI$10&lt;=(Åpningsår+ProsjektetsLevetid-1),IF(CI43&lt;=AndreBeregningsår,IF(SIGN($D63)=SIGN($E63),$D63*$J63^(CI43-FørsteBeregningsår),($D63+1.1*ABS($D63-$E63))*$J63^(CI43-FørsteBeregningsår)-1.1*ABS($D63-$E63)),IF(CI43&lt;=TredjeBeregningsår,IF(SIGN($E63)=SIGN($F63),$E63*$K63^(CI43-AndreBeregningsår),($E63+1.1*ABS($E63-$F63))*$K63^(CI43-AndreBeregningsår)-1.1*ABS($E63-$F63)),OFFSET($D63,0,Antall_Beregningsår-1)*LOOKUP(CI43,SerieÅR,SerieVolumvekstperson)+$L63*(CI43-IF(Antall_Beregningsår&gt;2,TredjeBeregningsår,AndreBeregningsår))))*BKIJustering_DV,"")</f>
        <v/>
      </c>
      <c r="CJ63" s="463" t="str">
        <f t="shared" ca="1" si="114"/>
        <v/>
      </c>
      <c r="CK63" s="463" t="str">
        <f t="shared" ca="1" si="114"/>
        <v/>
      </c>
      <c r="CL63" s="463" t="str">
        <f t="shared" ca="1" si="114"/>
        <v/>
      </c>
      <c r="CM63" s="463" t="str">
        <f t="shared" ca="1" si="114"/>
        <v/>
      </c>
      <c r="CN63" s="463" t="str">
        <f t="shared" ca="1" si="114"/>
        <v/>
      </c>
      <c r="CO63" s="463" t="str">
        <f t="shared" ca="1" si="114"/>
        <v/>
      </c>
      <c r="CP63" s="463" t="str">
        <f t="shared" ca="1" si="114"/>
        <v/>
      </c>
      <c r="CQ63" s="463" t="str">
        <f t="shared" ca="1" si="114"/>
        <v/>
      </c>
      <c r="CR63" s="463" t="str">
        <f t="shared" ca="1" si="114"/>
        <v/>
      </c>
      <c r="CS63" s="463" t="str">
        <f t="shared" ca="1" si="114"/>
        <v/>
      </c>
      <c r="CT63" s="463" t="str">
        <f t="shared" ca="1" si="114"/>
        <v/>
      </c>
      <c r="CU63" s="463" t="str">
        <f t="shared" ca="1" si="114"/>
        <v/>
      </c>
      <c r="CV63" s="463" t="str">
        <f t="shared" ca="1" si="114"/>
        <v/>
      </c>
      <c r="CW63" s="463" t="str">
        <f t="shared" ca="1" si="114"/>
        <v/>
      </c>
      <c r="CX63" s="463" t="str">
        <f t="shared" ca="1" si="114"/>
        <v/>
      </c>
      <c r="CY63" s="463" t="str">
        <f t="shared" ca="1" si="114"/>
        <v/>
      </c>
      <c r="CZ63" s="463" t="str">
        <f t="shared" ca="1" si="114"/>
        <v/>
      </c>
      <c r="DA63" s="463" t="str">
        <f t="shared" ca="1" si="114"/>
        <v/>
      </c>
      <c r="DB63" s="463" t="str">
        <f t="shared" ca="1" si="114"/>
        <v/>
      </c>
      <c r="DC63" s="463" t="str">
        <f t="shared" ca="1" si="114"/>
        <v/>
      </c>
      <c r="DD63" s="463" t="str">
        <f t="shared" ca="1" si="114"/>
        <v/>
      </c>
      <c r="DE63" s="463" t="str">
        <f t="shared" ca="1" si="114"/>
        <v/>
      </c>
      <c r="DF63" s="463" t="str">
        <f t="shared" ca="1" si="114"/>
        <v/>
      </c>
      <c r="DG63" s="463" t="str">
        <f t="shared" ca="1" si="114"/>
        <v/>
      </c>
      <c r="DH63" s="463" t="str">
        <f t="shared" ca="1" si="114"/>
        <v/>
      </c>
      <c r="DI63" s="463" t="str">
        <f t="shared" ca="1" si="114"/>
        <v/>
      </c>
      <c r="DJ63" s="463" t="str">
        <f t="shared" ca="1" si="114"/>
        <v/>
      </c>
      <c r="DK63" s="463" t="str">
        <f t="shared" ca="1" si="114"/>
        <v/>
      </c>
      <c r="DL63" s="463" t="str">
        <f t="shared" ca="1" si="114"/>
        <v/>
      </c>
      <c r="DM63" s="463" t="str">
        <f t="shared" ca="1" si="114"/>
        <v/>
      </c>
      <c r="DN63" s="463" t="str">
        <f t="shared" ca="1" si="114"/>
        <v/>
      </c>
      <c r="DO63" s="463" t="str">
        <f t="shared" ca="1" si="114"/>
        <v/>
      </c>
      <c r="DP63" s="463" t="str">
        <f t="shared" ca="1" si="114"/>
        <v/>
      </c>
      <c r="DQ63" s="463" t="str">
        <f t="shared" ca="1" si="114"/>
        <v/>
      </c>
      <c r="DR63" s="463" t="str">
        <f t="shared" ca="1" si="114"/>
        <v/>
      </c>
      <c r="DS63" s="801">
        <f ca="1">SUMPRODUCT(('1.5 Prognoser og indekser'!$R$12:OFFSET('1.5 Prognoser og indekser'!$R$12,0,$DS$9)),($M63:OFFSET($M63,0,$DS$9)))</f>
        <v>0</v>
      </c>
      <c r="DT63" s="802">
        <f ca="1">IF($DT$9&lt;1,0,SUMPRODUCT(OFFSET('1.5 Prognoser og indekser'!$R$12,0,$DS$9+1,1,$DT$9),OFFSET($M63,0,$DS$9+1,1,$DT$9)))</f>
        <v>0</v>
      </c>
    </row>
    <row r="64" spans="1:124" x14ac:dyDescent="0.35">
      <c r="C64" s="215" t="str">
        <f>'2.3 Det Offentlige'!B38</f>
        <v>Offentlig kjøp</v>
      </c>
      <c r="D64" s="420"/>
      <c r="E64" s="420"/>
      <c r="F64" s="420"/>
      <c r="G64" s="420"/>
      <c r="H64" s="420"/>
      <c r="I64" s="420"/>
      <c r="J64" s="524"/>
      <c r="K64" s="524"/>
      <c r="L64" s="42"/>
      <c r="M64" s="420"/>
      <c r="N64" s="420"/>
      <c r="O64" s="420"/>
      <c r="P64" s="420"/>
      <c r="Q64" s="420"/>
      <c r="R64" s="420"/>
      <c r="S64" s="420"/>
      <c r="T64" s="420"/>
      <c r="U64" s="420"/>
      <c r="V64" s="420"/>
      <c r="W64" s="119"/>
      <c r="X64" s="119"/>
      <c r="Y64" s="119"/>
      <c r="Z64" s="119"/>
      <c r="AA64" s="119"/>
      <c r="AB64" s="119"/>
      <c r="AC64" s="119"/>
      <c r="AD64" s="119"/>
      <c r="AE64" s="119"/>
      <c r="AF64" s="119"/>
      <c r="AG64" s="119"/>
      <c r="AH64" s="119"/>
      <c r="AI64" s="119"/>
      <c r="AJ64" s="119"/>
      <c r="AK64" s="119"/>
      <c r="AL64" s="119"/>
      <c r="AM64" s="119"/>
      <c r="AN64" s="119"/>
      <c r="AO64" s="119"/>
      <c r="AP64" s="119"/>
      <c r="AQ64" s="119"/>
      <c r="AR64" s="119"/>
      <c r="AS64" s="119"/>
      <c r="AT64" s="119"/>
      <c r="AU64" s="119"/>
      <c r="AV64" s="119"/>
      <c r="AW64" s="119"/>
      <c r="AX64" s="119"/>
      <c r="AY64" s="119"/>
      <c r="AZ64" s="119"/>
      <c r="BA64" s="119"/>
      <c r="BB64" s="119"/>
      <c r="BC64" s="119"/>
      <c r="BD64" s="119"/>
      <c r="BE64" s="119"/>
      <c r="BF64" s="119"/>
      <c r="BG64" s="119"/>
      <c r="BH64" s="119"/>
      <c r="BI64" s="119"/>
      <c r="BJ64" s="119"/>
      <c r="BK64" s="119"/>
      <c r="BL64" s="119"/>
      <c r="BM64" s="119"/>
      <c r="BN64" s="119"/>
      <c r="BO64" s="119"/>
      <c r="BP64" s="119"/>
      <c r="BQ64" s="119"/>
      <c r="BR64" s="119"/>
      <c r="BS64" s="119"/>
      <c r="BT64" s="119"/>
      <c r="BU64" s="119"/>
      <c r="BV64" s="119"/>
      <c r="BW64" s="119"/>
      <c r="BX64" s="119"/>
      <c r="BY64" s="119"/>
      <c r="BZ64" s="119"/>
      <c r="CA64" s="119"/>
      <c r="CB64" s="119"/>
      <c r="CC64" s="119"/>
      <c r="CD64" s="119"/>
      <c r="CE64" s="119"/>
      <c r="CF64" s="119"/>
      <c r="CG64" s="119"/>
      <c r="CH64" s="119"/>
      <c r="CI64" s="119"/>
      <c r="CJ64" s="119"/>
      <c r="CK64" s="119"/>
      <c r="CL64" s="119"/>
      <c r="CM64" s="119"/>
      <c r="CN64" s="119"/>
      <c r="CO64" s="119"/>
      <c r="CP64" s="119"/>
      <c r="CQ64" s="119"/>
      <c r="CR64" s="119"/>
      <c r="CS64" s="119"/>
      <c r="CT64" s="119"/>
      <c r="CU64" s="119"/>
      <c r="CV64" s="119"/>
      <c r="CW64" s="119"/>
      <c r="CX64" s="119"/>
      <c r="CY64" s="119"/>
      <c r="CZ64" s="119"/>
      <c r="DA64" s="119"/>
      <c r="DB64" s="119"/>
      <c r="DC64" s="119"/>
      <c r="DD64" s="119"/>
      <c r="DE64" s="119"/>
      <c r="DF64" s="119"/>
      <c r="DG64" s="119"/>
      <c r="DH64" s="119"/>
      <c r="DI64" s="119"/>
      <c r="DJ64" s="119"/>
      <c r="DK64" s="119"/>
      <c r="DL64" s="119"/>
      <c r="DM64" s="119"/>
      <c r="DN64" s="119"/>
      <c r="DO64" s="119"/>
      <c r="DP64" s="119"/>
      <c r="DQ64" s="119"/>
      <c r="DR64" s="119"/>
      <c r="DS64" s="43"/>
      <c r="DT64" s="373"/>
    </row>
    <row r="65" spans="1:124" x14ac:dyDescent="0.35">
      <c r="C65" s="291" t="str">
        <f>'2.3 Det Offentlige'!B40</f>
        <v>Jernbane</v>
      </c>
      <c r="D65" s="791">
        <f ca="1">'2.3 Det Offentlige'!C$40</f>
        <v>0</v>
      </c>
      <c r="E65" s="797">
        <f ca="1">'2.3 Det Offentlige'!D$40</f>
        <v>0</v>
      </c>
      <c r="F65" s="797">
        <f ca="1">'2.3 Det Offentlige'!E$40</f>
        <v>0</v>
      </c>
      <c r="G65" s="797"/>
      <c r="H65" s="797"/>
      <c r="I65" s="797"/>
      <c r="J65" s="790"/>
      <c r="K65" s="790"/>
      <c r="L65" s="752"/>
      <c r="M65" s="712"/>
      <c r="N65" s="712"/>
      <c r="O65" s="712"/>
      <c r="P65" s="712"/>
      <c r="Q65" s="712"/>
      <c r="R65" s="712"/>
      <c r="S65" s="712"/>
      <c r="T65" s="712"/>
      <c r="U65" s="712"/>
      <c r="V65" s="712"/>
      <c r="W65" s="463" t="str">
        <f t="shared" ref="W65:BB65" si="115">IF(W43&lt;=(Åpningsår+ProsjektetsLevetid-1),-W32,"")</f>
        <v/>
      </c>
      <c r="X65" s="463" t="str">
        <f t="shared" si="115"/>
        <v/>
      </c>
      <c r="Y65" s="463" t="str">
        <f t="shared" si="115"/>
        <v/>
      </c>
      <c r="Z65" s="463" t="str">
        <f t="shared" si="115"/>
        <v/>
      </c>
      <c r="AA65" s="463" t="str">
        <f t="shared" si="115"/>
        <v/>
      </c>
      <c r="AB65" s="463" t="str">
        <f t="shared" si="115"/>
        <v/>
      </c>
      <c r="AC65" s="463" t="str">
        <f t="shared" si="115"/>
        <v/>
      </c>
      <c r="AD65" s="463" t="str">
        <f t="shared" si="115"/>
        <v/>
      </c>
      <c r="AE65" s="463" t="str">
        <f t="shared" si="115"/>
        <v/>
      </c>
      <c r="AF65" s="463" t="str">
        <f t="shared" si="115"/>
        <v/>
      </c>
      <c r="AG65" s="463" t="str">
        <f t="shared" si="115"/>
        <v/>
      </c>
      <c r="AH65" s="463" t="str">
        <f t="shared" si="115"/>
        <v/>
      </c>
      <c r="AI65" s="463" t="str">
        <f t="shared" si="115"/>
        <v/>
      </c>
      <c r="AJ65" s="463" t="str">
        <f t="shared" si="115"/>
        <v/>
      </c>
      <c r="AK65" s="463" t="str">
        <f t="shared" si="115"/>
        <v/>
      </c>
      <c r="AL65" s="463" t="str">
        <f t="shared" si="115"/>
        <v/>
      </c>
      <c r="AM65" s="463" t="str">
        <f t="shared" si="115"/>
        <v/>
      </c>
      <c r="AN65" s="463" t="str">
        <f t="shared" si="115"/>
        <v/>
      </c>
      <c r="AO65" s="463" t="str">
        <f t="shared" si="115"/>
        <v/>
      </c>
      <c r="AP65" s="463" t="str">
        <f t="shared" si="115"/>
        <v/>
      </c>
      <c r="AQ65" s="463" t="str">
        <f t="shared" si="115"/>
        <v/>
      </c>
      <c r="AR65" s="463" t="str">
        <f t="shared" si="115"/>
        <v/>
      </c>
      <c r="AS65" s="463" t="str">
        <f t="shared" si="115"/>
        <v/>
      </c>
      <c r="AT65" s="463" t="str">
        <f t="shared" si="115"/>
        <v/>
      </c>
      <c r="AU65" s="463" t="str">
        <f t="shared" si="115"/>
        <v/>
      </c>
      <c r="AV65" s="463" t="str">
        <f t="shared" si="115"/>
        <v/>
      </c>
      <c r="AW65" s="463" t="str">
        <f t="shared" si="115"/>
        <v/>
      </c>
      <c r="AX65" s="463" t="str">
        <f t="shared" si="115"/>
        <v/>
      </c>
      <c r="AY65" s="463" t="str">
        <f t="shared" si="115"/>
        <v/>
      </c>
      <c r="AZ65" s="463" t="str">
        <f t="shared" si="115"/>
        <v/>
      </c>
      <c r="BA65" s="463" t="str">
        <f t="shared" si="115"/>
        <v/>
      </c>
      <c r="BB65" s="463" t="str">
        <f t="shared" si="115"/>
        <v/>
      </c>
      <c r="BC65" s="463" t="str">
        <f t="shared" ref="BC65:CH65" si="116">IF(BC43&lt;=(Åpningsår+ProsjektetsLevetid-1),-BC32,"")</f>
        <v/>
      </c>
      <c r="BD65" s="463" t="str">
        <f t="shared" si="116"/>
        <v/>
      </c>
      <c r="BE65" s="463" t="str">
        <f t="shared" si="116"/>
        <v/>
      </c>
      <c r="BF65" s="463" t="str">
        <f t="shared" si="116"/>
        <v/>
      </c>
      <c r="BG65" s="463" t="str">
        <f t="shared" si="116"/>
        <v/>
      </c>
      <c r="BH65" s="463" t="str">
        <f t="shared" si="116"/>
        <v/>
      </c>
      <c r="BI65" s="463" t="str">
        <f t="shared" si="116"/>
        <v/>
      </c>
      <c r="BJ65" s="463" t="str">
        <f t="shared" si="116"/>
        <v/>
      </c>
      <c r="BK65" s="463" t="str">
        <f t="shared" si="116"/>
        <v/>
      </c>
      <c r="BL65" s="463" t="str">
        <f t="shared" si="116"/>
        <v/>
      </c>
      <c r="BM65" s="463" t="str">
        <f t="shared" si="116"/>
        <v/>
      </c>
      <c r="BN65" s="463" t="str">
        <f t="shared" si="116"/>
        <v/>
      </c>
      <c r="BO65" s="463" t="str">
        <f t="shared" si="116"/>
        <v/>
      </c>
      <c r="BP65" s="463" t="str">
        <f t="shared" si="116"/>
        <v/>
      </c>
      <c r="BQ65" s="463" t="str">
        <f t="shared" si="116"/>
        <v/>
      </c>
      <c r="BR65" s="463" t="str">
        <f t="shared" si="116"/>
        <v/>
      </c>
      <c r="BS65" s="463" t="str">
        <f t="shared" si="116"/>
        <v/>
      </c>
      <c r="BT65" s="463" t="str">
        <f t="shared" si="116"/>
        <v/>
      </c>
      <c r="BU65" s="463" t="str">
        <f t="shared" si="116"/>
        <v/>
      </c>
      <c r="BV65" s="463" t="str">
        <f t="shared" si="116"/>
        <v/>
      </c>
      <c r="BW65" s="463" t="str">
        <f t="shared" si="116"/>
        <v/>
      </c>
      <c r="BX65" s="463" t="str">
        <f t="shared" si="116"/>
        <v/>
      </c>
      <c r="BY65" s="463" t="str">
        <f t="shared" si="116"/>
        <v/>
      </c>
      <c r="BZ65" s="463" t="str">
        <f t="shared" si="116"/>
        <v/>
      </c>
      <c r="CA65" s="463" t="str">
        <f t="shared" si="116"/>
        <v/>
      </c>
      <c r="CB65" s="463" t="str">
        <f t="shared" si="116"/>
        <v/>
      </c>
      <c r="CC65" s="463" t="str">
        <f t="shared" si="116"/>
        <v/>
      </c>
      <c r="CD65" s="463" t="str">
        <f t="shared" si="116"/>
        <v/>
      </c>
      <c r="CE65" s="463" t="str">
        <f t="shared" si="116"/>
        <v/>
      </c>
      <c r="CF65" s="463" t="str">
        <f t="shared" si="116"/>
        <v/>
      </c>
      <c r="CG65" s="463" t="str">
        <f t="shared" si="116"/>
        <v/>
      </c>
      <c r="CH65" s="463" t="str">
        <f t="shared" si="116"/>
        <v/>
      </c>
      <c r="CI65" s="463" t="str">
        <f t="shared" ref="CI65:CS65" si="117">IF(CI43&lt;=(Åpningsår+ProsjektetsLevetid-1),-CI32,"")</f>
        <v/>
      </c>
      <c r="CJ65" s="463" t="str">
        <f t="shared" si="117"/>
        <v/>
      </c>
      <c r="CK65" s="463" t="str">
        <f t="shared" si="117"/>
        <v/>
      </c>
      <c r="CL65" s="463" t="str">
        <f t="shared" si="117"/>
        <v/>
      </c>
      <c r="CM65" s="463" t="str">
        <f t="shared" si="117"/>
        <v/>
      </c>
      <c r="CN65" s="463" t="str">
        <f t="shared" si="117"/>
        <v/>
      </c>
      <c r="CO65" s="463" t="str">
        <f t="shared" si="117"/>
        <v/>
      </c>
      <c r="CP65" s="463" t="str">
        <f t="shared" si="117"/>
        <v/>
      </c>
      <c r="CQ65" s="463" t="str">
        <f t="shared" si="117"/>
        <v/>
      </c>
      <c r="CR65" s="463" t="str">
        <f t="shared" si="117"/>
        <v/>
      </c>
      <c r="CS65" s="463" t="str">
        <f t="shared" si="117"/>
        <v/>
      </c>
      <c r="CT65" s="463" t="str">
        <f t="shared" ref="CT65:DR65" si="118">IF(CT43&lt;=(Åpningsår+ProsjektetsLevetid-1),-CT32,"")</f>
        <v/>
      </c>
      <c r="CU65" s="463" t="str">
        <f t="shared" si="118"/>
        <v/>
      </c>
      <c r="CV65" s="463" t="str">
        <f t="shared" si="118"/>
        <v/>
      </c>
      <c r="CW65" s="463" t="str">
        <f t="shared" si="118"/>
        <v/>
      </c>
      <c r="CX65" s="463" t="str">
        <f t="shared" si="118"/>
        <v/>
      </c>
      <c r="CY65" s="463" t="str">
        <f t="shared" si="118"/>
        <v/>
      </c>
      <c r="CZ65" s="463" t="str">
        <f t="shared" si="118"/>
        <v/>
      </c>
      <c r="DA65" s="463" t="str">
        <f t="shared" si="118"/>
        <v/>
      </c>
      <c r="DB65" s="463" t="str">
        <f t="shared" si="118"/>
        <v/>
      </c>
      <c r="DC65" s="463" t="str">
        <f t="shared" si="118"/>
        <v/>
      </c>
      <c r="DD65" s="463" t="str">
        <f t="shared" si="118"/>
        <v/>
      </c>
      <c r="DE65" s="463" t="str">
        <f t="shared" si="118"/>
        <v/>
      </c>
      <c r="DF65" s="463" t="str">
        <f t="shared" si="118"/>
        <v/>
      </c>
      <c r="DG65" s="463" t="str">
        <f t="shared" si="118"/>
        <v/>
      </c>
      <c r="DH65" s="463" t="str">
        <f t="shared" si="118"/>
        <v/>
      </c>
      <c r="DI65" s="463" t="str">
        <f t="shared" si="118"/>
        <v/>
      </c>
      <c r="DJ65" s="463" t="str">
        <f t="shared" si="118"/>
        <v/>
      </c>
      <c r="DK65" s="463" t="str">
        <f t="shared" si="118"/>
        <v/>
      </c>
      <c r="DL65" s="463" t="str">
        <f t="shared" si="118"/>
        <v/>
      </c>
      <c r="DM65" s="463" t="str">
        <f t="shared" si="118"/>
        <v/>
      </c>
      <c r="DN65" s="463" t="str">
        <f t="shared" si="118"/>
        <v/>
      </c>
      <c r="DO65" s="463" t="str">
        <f t="shared" si="118"/>
        <v/>
      </c>
      <c r="DP65" s="463" t="str">
        <f t="shared" si="118"/>
        <v/>
      </c>
      <c r="DQ65" s="463" t="str">
        <f t="shared" si="118"/>
        <v/>
      </c>
      <c r="DR65" s="463" t="str">
        <f t="shared" si="118"/>
        <v/>
      </c>
      <c r="DS65" s="801">
        <f ca="1">SUMPRODUCT(('1.5 Prognoser og indekser'!$R$12:OFFSET('1.5 Prognoser og indekser'!$R$12,0,$DS$9)),($M65:OFFSET($M65,0,$DS$9)))</f>
        <v>0</v>
      </c>
      <c r="DT65" s="802">
        <f ca="1">IF($DT$9&lt;1,0,SUMPRODUCT(OFFSET('1.5 Prognoser og indekser'!$R$12,0,$DS$9+1,1,$DT$9),OFFSET($M65,0,$DS$9+1,1,$DT$9)))</f>
        <v>0</v>
      </c>
    </row>
    <row r="66" spans="1:124" x14ac:dyDescent="0.35">
      <c r="A66" s="206"/>
      <c r="C66" s="212" t="s">
        <v>603</v>
      </c>
      <c r="D66" s="463">
        <f>'2.3 Det Offentlige'!C$41</f>
        <v>0</v>
      </c>
      <c r="E66" s="770">
        <f>'2.3 Det Offentlige'!D$41</f>
        <v>0</v>
      </c>
      <c r="F66" s="797">
        <f>'2.3 Det Offentlige'!E$41</f>
        <v>0</v>
      </c>
      <c r="G66" s="770"/>
      <c r="H66" s="770"/>
      <c r="I66" s="797"/>
      <c r="J66" s="790"/>
      <c r="K66" s="790"/>
      <c r="L66" s="752"/>
      <c r="M66" s="712"/>
      <c r="N66" s="712"/>
      <c r="O66" s="712"/>
      <c r="P66" s="712"/>
      <c r="Q66" s="712"/>
      <c r="R66" s="712"/>
      <c r="S66" s="712"/>
      <c r="T66" s="712"/>
      <c r="U66" s="712"/>
      <c r="V66" s="712"/>
      <c r="W66" s="463" t="str">
        <f t="shared" ref="W66:BB66" si="119">IF(W43&lt;=(Åpningsår+ProsjektetsLevetid-1),-W40,"")</f>
        <v/>
      </c>
      <c r="X66" s="463" t="str">
        <f t="shared" si="119"/>
        <v/>
      </c>
      <c r="Y66" s="463" t="str">
        <f t="shared" si="119"/>
        <v/>
      </c>
      <c r="Z66" s="463" t="str">
        <f t="shared" si="119"/>
        <v/>
      </c>
      <c r="AA66" s="463" t="str">
        <f t="shared" si="119"/>
        <v/>
      </c>
      <c r="AB66" s="463" t="str">
        <f t="shared" si="119"/>
        <v/>
      </c>
      <c r="AC66" s="463" t="str">
        <f t="shared" si="119"/>
        <v/>
      </c>
      <c r="AD66" s="463" t="str">
        <f t="shared" si="119"/>
        <v/>
      </c>
      <c r="AE66" s="463" t="str">
        <f t="shared" si="119"/>
        <v/>
      </c>
      <c r="AF66" s="463" t="str">
        <f t="shared" si="119"/>
        <v/>
      </c>
      <c r="AG66" s="463" t="str">
        <f t="shared" si="119"/>
        <v/>
      </c>
      <c r="AH66" s="463" t="str">
        <f t="shared" si="119"/>
        <v/>
      </c>
      <c r="AI66" s="463" t="str">
        <f t="shared" si="119"/>
        <v/>
      </c>
      <c r="AJ66" s="463" t="str">
        <f t="shared" si="119"/>
        <v/>
      </c>
      <c r="AK66" s="463" t="str">
        <f t="shared" si="119"/>
        <v/>
      </c>
      <c r="AL66" s="463" t="str">
        <f t="shared" si="119"/>
        <v/>
      </c>
      <c r="AM66" s="463" t="str">
        <f t="shared" si="119"/>
        <v/>
      </c>
      <c r="AN66" s="463" t="str">
        <f t="shared" si="119"/>
        <v/>
      </c>
      <c r="AO66" s="463" t="str">
        <f t="shared" si="119"/>
        <v/>
      </c>
      <c r="AP66" s="463" t="str">
        <f t="shared" si="119"/>
        <v/>
      </c>
      <c r="AQ66" s="463" t="str">
        <f t="shared" si="119"/>
        <v/>
      </c>
      <c r="AR66" s="463" t="str">
        <f t="shared" si="119"/>
        <v/>
      </c>
      <c r="AS66" s="463" t="str">
        <f t="shared" si="119"/>
        <v/>
      </c>
      <c r="AT66" s="463" t="str">
        <f t="shared" si="119"/>
        <v/>
      </c>
      <c r="AU66" s="463" t="str">
        <f t="shared" si="119"/>
        <v/>
      </c>
      <c r="AV66" s="463" t="str">
        <f t="shared" si="119"/>
        <v/>
      </c>
      <c r="AW66" s="463" t="str">
        <f t="shared" si="119"/>
        <v/>
      </c>
      <c r="AX66" s="463" t="str">
        <f t="shared" si="119"/>
        <v/>
      </c>
      <c r="AY66" s="463" t="str">
        <f t="shared" si="119"/>
        <v/>
      </c>
      <c r="AZ66" s="463" t="str">
        <f t="shared" si="119"/>
        <v/>
      </c>
      <c r="BA66" s="463" t="str">
        <f t="shared" si="119"/>
        <v/>
      </c>
      <c r="BB66" s="463" t="str">
        <f t="shared" si="119"/>
        <v/>
      </c>
      <c r="BC66" s="463" t="str">
        <f t="shared" ref="BC66:CH66" si="120">IF(BC43&lt;=(Åpningsår+ProsjektetsLevetid-1),-BC40,"")</f>
        <v/>
      </c>
      <c r="BD66" s="463" t="str">
        <f t="shared" si="120"/>
        <v/>
      </c>
      <c r="BE66" s="463" t="str">
        <f t="shared" si="120"/>
        <v/>
      </c>
      <c r="BF66" s="463" t="str">
        <f t="shared" si="120"/>
        <v/>
      </c>
      <c r="BG66" s="463" t="str">
        <f t="shared" si="120"/>
        <v/>
      </c>
      <c r="BH66" s="463" t="str">
        <f t="shared" si="120"/>
        <v/>
      </c>
      <c r="BI66" s="463" t="str">
        <f t="shared" si="120"/>
        <v/>
      </c>
      <c r="BJ66" s="463" t="str">
        <f t="shared" si="120"/>
        <v/>
      </c>
      <c r="BK66" s="463" t="str">
        <f t="shared" si="120"/>
        <v/>
      </c>
      <c r="BL66" s="463" t="str">
        <f t="shared" si="120"/>
        <v/>
      </c>
      <c r="BM66" s="463" t="str">
        <f t="shared" si="120"/>
        <v/>
      </c>
      <c r="BN66" s="463" t="str">
        <f t="shared" si="120"/>
        <v/>
      </c>
      <c r="BO66" s="463" t="str">
        <f t="shared" si="120"/>
        <v/>
      </c>
      <c r="BP66" s="463" t="str">
        <f t="shared" si="120"/>
        <v/>
      </c>
      <c r="BQ66" s="463" t="str">
        <f t="shared" si="120"/>
        <v/>
      </c>
      <c r="BR66" s="463" t="str">
        <f t="shared" si="120"/>
        <v/>
      </c>
      <c r="BS66" s="463" t="str">
        <f t="shared" si="120"/>
        <v/>
      </c>
      <c r="BT66" s="463" t="str">
        <f t="shared" si="120"/>
        <v/>
      </c>
      <c r="BU66" s="463" t="str">
        <f t="shared" si="120"/>
        <v/>
      </c>
      <c r="BV66" s="463" t="str">
        <f t="shared" si="120"/>
        <v/>
      </c>
      <c r="BW66" s="463" t="str">
        <f t="shared" si="120"/>
        <v/>
      </c>
      <c r="BX66" s="463" t="str">
        <f t="shared" si="120"/>
        <v/>
      </c>
      <c r="BY66" s="463" t="str">
        <f t="shared" si="120"/>
        <v/>
      </c>
      <c r="BZ66" s="463" t="str">
        <f t="shared" si="120"/>
        <v/>
      </c>
      <c r="CA66" s="463" t="str">
        <f t="shared" si="120"/>
        <v/>
      </c>
      <c r="CB66" s="463" t="str">
        <f t="shared" si="120"/>
        <v/>
      </c>
      <c r="CC66" s="463" t="str">
        <f t="shared" si="120"/>
        <v/>
      </c>
      <c r="CD66" s="463" t="str">
        <f t="shared" si="120"/>
        <v/>
      </c>
      <c r="CE66" s="463" t="str">
        <f t="shared" si="120"/>
        <v/>
      </c>
      <c r="CF66" s="463" t="str">
        <f t="shared" si="120"/>
        <v/>
      </c>
      <c r="CG66" s="463" t="str">
        <f t="shared" si="120"/>
        <v/>
      </c>
      <c r="CH66" s="463" t="str">
        <f t="shared" si="120"/>
        <v/>
      </c>
      <c r="CI66" s="463" t="str">
        <f t="shared" ref="CI66:CS66" si="121">IF(CI43&lt;=(Åpningsår+ProsjektetsLevetid-1),-CI40,"")</f>
        <v/>
      </c>
      <c r="CJ66" s="463" t="str">
        <f t="shared" si="121"/>
        <v/>
      </c>
      <c r="CK66" s="463" t="str">
        <f t="shared" si="121"/>
        <v/>
      </c>
      <c r="CL66" s="463" t="str">
        <f t="shared" si="121"/>
        <v/>
      </c>
      <c r="CM66" s="463" t="str">
        <f t="shared" si="121"/>
        <v/>
      </c>
      <c r="CN66" s="463" t="str">
        <f t="shared" si="121"/>
        <v/>
      </c>
      <c r="CO66" s="463" t="str">
        <f t="shared" si="121"/>
        <v/>
      </c>
      <c r="CP66" s="463" t="str">
        <f t="shared" si="121"/>
        <v/>
      </c>
      <c r="CQ66" s="463" t="str">
        <f t="shared" si="121"/>
        <v/>
      </c>
      <c r="CR66" s="463" t="str">
        <f t="shared" si="121"/>
        <v/>
      </c>
      <c r="CS66" s="463" t="str">
        <f t="shared" si="121"/>
        <v/>
      </c>
      <c r="CT66" s="463" t="str">
        <f t="shared" ref="CT66:DR66" si="122">IF(CT43&lt;=(Åpningsår+ProsjektetsLevetid-1),-CT40,"")</f>
        <v/>
      </c>
      <c r="CU66" s="463" t="str">
        <f t="shared" si="122"/>
        <v/>
      </c>
      <c r="CV66" s="463" t="str">
        <f t="shared" si="122"/>
        <v/>
      </c>
      <c r="CW66" s="463" t="str">
        <f t="shared" si="122"/>
        <v/>
      </c>
      <c r="CX66" s="463" t="str">
        <f t="shared" si="122"/>
        <v/>
      </c>
      <c r="CY66" s="463" t="str">
        <f t="shared" si="122"/>
        <v/>
      </c>
      <c r="CZ66" s="463" t="str">
        <f t="shared" si="122"/>
        <v/>
      </c>
      <c r="DA66" s="463" t="str">
        <f t="shared" si="122"/>
        <v/>
      </c>
      <c r="DB66" s="463" t="str">
        <f t="shared" si="122"/>
        <v/>
      </c>
      <c r="DC66" s="463" t="str">
        <f t="shared" si="122"/>
        <v/>
      </c>
      <c r="DD66" s="463" t="str">
        <f t="shared" si="122"/>
        <v/>
      </c>
      <c r="DE66" s="463" t="str">
        <f t="shared" si="122"/>
        <v/>
      </c>
      <c r="DF66" s="463" t="str">
        <f t="shared" si="122"/>
        <v/>
      </c>
      <c r="DG66" s="463" t="str">
        <f t="shared" si="122"/>
        <v/>
      </c>
      <c r="DH66" s="463" t="str">
        <f t="shared" si="122"/>
        <v/>
      </c>
      <c r="DI66" s="463" t="str">
        <f t="shared" si="122"/>
        <v/>
      </c>
      <c r="DJ66" s="463" t="str">
        <f t="shared" si="122"/>
        <v/>
      </c>
      <c r="DK66" s="463" t="str">
        <f t="shared" si="122"/>
        <v/>
      </c>
      <c r="DL66" s="463" t="str">
        <f t="shared" si="122"/>
        <v/>
      </c>
      <c r="DM66" s="463" t="str">
        <f t="shared" si="122"/>
        <v/>
      </c>
      <c r="DN66" s="463" t="str">
        <f t="shared" si="122"/>
        <v/>
      </c>
      <c r="DO66" s="463" t="str">
        <f t="shared" si="122"/>
        <v/>
      </c>
      <c r="DP66" s="463" t="str">
        <f t="shared" si="122"/>
        <v/>
      </c>
      <c r="DQ66" s="463" t="str">
        <f t="shared" si="122"/>
        <v/>
      </c>
      <c r="DR66" s="463" t="str">
        <f t="shared" si="122"/>
        <v/>
      </c>
      <c r="DS66" s="801">
        <f ca="1">SUMPRODUCT(('1.5 Prognoser og indekser'!$R$12:OFFSET('1.5 Prognoser og indekser'!$R$12,0,$DS$9)),($M66:OFFSET($M66,0,$DS$9)))</f>
        <v>0</v>
      </c>
      <c r="DT66" s="802">
        <f ca="1">IF($DT$9&lt;1,0,SUMPRODUCT(OFFSET('1.5 Prognoser og indekser'!$R$12,0,$DS$9+1,1,$DT$9),OFFSET($M66,0,$DS$9+1,1,$DT$9)))</f>
        <v>0</v>
      </c>
    </row>
    <row r="67" spans="1:124" ht="21" x14ac:dyDescent="0.5">
      <c r="A67" s="206"/>
      <c r="C67" s="370" t="str">
        <f>'2.4 Samfunnet for øvrig'!B9</f>
        <v>Samfunnet for øvrig</v>
      </c>
      <c r="D67" s="1260" t="str">
        <f>D10</f>
        <v>Resultater før prisjustering</v>
      </c>
      <c r="E67" s="1260"/>
      <c r="F67" s="1260"/>
      <c r="G67" s="1260" t="str">
        <f>G10</f>
        <v>Resultater volum</v>
      </c>
      <c r="H67" s="1260"/>
      <c r="I67" s="1260"/>
      <c r="J67" s="1260" t="str">
        <f>J10</f>
        <v>Relativ årsvekst</v>
      </c>
      <c r="K67" s="1260"/>
      <c r="L67" s="559" t="str">
        <f>L10</f>
        <v xml:space="preserve">Lineær vekst </v>
      </c>
      <c r="M67" s="24" cm="1">
        <f t="array" ref="M67:DR67">SerieÅR</f>
        <v>-10</v>
      </c>
      <c r="N67" s="24">
        <v>-9</v>
      </c>
      <c r="O67" s="24">
        <v>-8</v>
      </c>
      <c r="P67" s="24">
        <v>-7</v>
      </c>
      <c r="Q67" s="24">
        <v>-6</v>
      </c>
      <c r="R67" s="24">
        <v>-5</v>
      </c>
      <c r="S67" s="24">
        <v>-4</v>
      </c>
      <c r="T67" s="24">
        <v>-3</v>
      </c>
      <c r="U67" s="24">
        <v>-2</v>
      </c>
      <c r="V67" s="24">
        <v>-1</v>
      </c>
      <c r="W67" s="24">
        <v>0</v>
      </c>
      <c r="X67" s="24">
        <v>1</v>
      </c>
      <c r="Y67" s="24">
        <v>2</v>
      </c>
      <c r="Z67" s="24">
        <v>3</v>
      </c>
      <c r="AA67" s="24">
        <v>4</v>
      </c>
      <c r="AB67" s="24">
        <v>5</v>
      </c>
      <c r="AC67" s="24">
        <v>6</v>
      </c>
      <c r="AD67" s="24">
        <v>7</v>
      </c>
      <c r="AE67" s="24">
        <v>8</v>
      </c>
      <c r="AF67" s="24">
        <v>9</v>
      </c>
      <c r="AG67" s="24">
        <v>10</v>
      </c>
      <c r="AH67" s="24">
        <v>11</v>
      </c>
      <c r="AI67" s="24">
        <v>12</v>
      </c>
      <c r="AJ67" s="24">
        <v>13</v>
      </c>
      <c r="AK67" s="24">
        <v>14</v>
      </c>
      <c r="AL67" s="24">
        <v>15</v>
      </c>
      <c r="AM67" s="24">
        <v>16</v>
      </c>
      <c r="AN67" s="24">
        <v>17</v>
      </c>
      <c r="AO67" s="24">
        <v>18</v>
      </c>
      <c r="AP67" s="24">
        <v>19</v>
      </c>
      <c r="AQ67" s="24">
        <v>20</v>
      </c>
      <c r="AR67" s="24">
        <v>21</v>
      </c>
      <c r="AS67" s="24">
        <v>22</v>
      </c>
      <c r="AT67" s="24">
        <v>23</v>
      </c>
      <c r="AU67" s="24">
        <v>24</v>
      </c>
      <c r="AV67" s="24">
        <v>25</v>
      </c>
      <c r="AW67" s="24">
        <v>26</v>
      </c>
      <c r="AX67" s="24">
        <v>27</v>
      </c>
      <c r="AY67" s="24">
        <v>28</v>
      </c>
      <c r="AZ67" s="24">
        <v>29</v>
      </c>
      <c r="BA67" s="24">
        <v>30</v>
      </c>
      <c r="BB67" s="24">
        <v>31</v>
      </c>
      <c r="BC67" s="24">
        <v>32</v>
      </c>
      <c r="BD67" s="24">
        <v>33</v>
      </c>
      <c r="BE67" s="24">
        <v>34</v>
      </c>
      <c r="BF67" s="24">
        <v>35</v>
      </c>
      <c r="BG67" s="24">
        <v>36</v>
      </c>
      <c r="BH67" s="24">
        <v>37</v>
      </c>
      <c r="BI67" s="24">
        <v>38</v>
      </c>
      <c r="BJ67" s="24">
        <v>39</v>
      </c>
      <c r="BK67" s="24">
        <v>40</v>
      </c>
      <c r="BL67" s="24">
        <v>41</v>
      </c>
      <c r="BM67" s="24">
        <v>42</v>
      </c>
      <c r="BN67" s="24">
        <v>43</v>
      </c>
      <c r="BO67" s="24">
        <v>44</v>
      </c>
      <c r="BP67" s="24">
        <v>45</v>
      </c>
      <c r="BQ67" s="24">
        <v>46</v>
      </c>
      <c r="BR67" s="24">
        <v>47</v>
      </c>
      <c r="BS67" s="24">
        <v>48</v>
      </c>
      <c r="BT67" s="24">
        <v>49</v>
      </c>
      <c r="BU67" s="24">
        <v>50</v>
      </c>
      <c r="BV67" s="24">
        <v>51</v>
      </c>
      <c r="BW67" s="24">
        <v>52</v>
      </c>
      <c r="BX67" s="24">
        <v>53</v>
      </c>
      <c r="BY67" s="24">
        <v>54</v>
      </c>
      <c r="BZ67" s="24">
        <v>55</v>
      </c>
      <c r="CA67" s="24">
        <v>56</v>
      </c>
      <c r="CB67" s="24">
        <v>57</v>
      </c>
      <c r="CC67" s="24">
        <v>58</v>
      </c>
      <c r="CD67" s="24">
        <v>59</v>
      </c>
      <c r="CE67" s="24">
        <v>60</v>
      </c>
      <c r="CF67" s="24">
        <v>61</v>
      </c>
      <c r="CG67" s="24">
        <v>62</v>
      </c>
      <c r="CH67" s="24">
        <v>63</v>
      </c>
      <c r="CI67" s="24">
        <v>64</v>
      </c>
      <c r="CJ67" s="24">
        <v>65</v>
      </c>
      <c r="CK67" s="24">
        <v>66</v>
      </c>
      <c r="CL67" s="24">
        <v>67</v>
      </c>
      <c r="CM67" s="24">
        <v>68</v>
      </c>
      <c r="CN67" s="24">
        <v>69</v>
      </c>
      <c r="CO67" s="24">
        <v>70</v>
      </c>
      <c r="CP67" s="24">
        <v>71</v>
      </c>
      <c r="CQ67" s="24">
        <v>72</v>
      </c>
      <c r="CR67" s="24">
        <v>73</v>
      </c>
      <c r="CS67" s="24">
        <v>74</v>
      </c>
      <c r="CT67" s="24">
        <v>75</v>
      </c>
      <c r="CU67" s="24">
        <v>76</v>
      </c>
      <c r="CV67" s="24">
        <v>77</v>
      </c>
      <c r="CW67" s="24">
        <v>78</v>
      </c>
      <c r="CX67" s="24">
        <v>79</v>
      </c>
      <c r="CY67" s="24">
        <v>80</v>
      </c>
      <c r="CZ67" s="24">
        <v>81</v>
      </c>
      <c r="DA67" s="24">
        <v>82</v>
      </c>
      <c r="DB67" s="24">
        <v>83</v>
      </c>
      <c r="DC67" s="24">
        <v>84</v>
      </c>
      <c r="DD67" s="24">
        <v>85</v>
      </c>
      <c r="DE67" s="24">
        <v>86</v>
      </c>
      <c r="DF67" s="24">
        <v>87</v>
      </c>
      <c r="DG67" s="24">
        <v>88</v>
      </c>
      <c r="DH67" s="24">
        <v>89</v>
      </c>
      <c r="DI67" s="24">
        <v>90</v>
      </c>
      <c r="DJ67" s="24">
        <v>91</v>
      </c>
      <c r="DK67" s="24">
        <v>92</v>
      </c>
      <c r="DL67" s="24">
        <v>93</v>
      </c>
      <c r="DM67" s="24">
        <v>94</v>
      </c>
      <c r="DN67" s="24">
        <v>95</v>
      </c>
      <c r="DO67" s="24">
        <v>96</v>
      </c>
      <c r="DP67" s="24">
        <v>97</v>
      </c>
      <c r="DQ67" s="24">
        <v>98</v>
      </c>
      <c r="DR67" s="24">
        <v>99</v>
      </c>
      <c r="DS67" s="24" t="s">
        <v>1587</v>
      </c>
      <c r="DT67" s="371" t="s">
        <v>1588</v>
      </c>
    </row>
    <row r="68" spans="1:124" x14ac:dyDescent="0.35">
      <c r="A68" s="535"/>
      <c r="C68" s="215" t="s">
        <v>1561</v>
      </c>
      <c r="D68" s="418">
        <f>D11</f>
        <v>0</v>
      </c>
      <c r="E68" s="418">
        <f>E11</f>
        <v>0</v>
      </c>
      <c r="F68" s="418">
        <f>F11</f>
        <v>0</v>
      </c>
      <c r="G68" s="418">
        <f>G11</f>
        <v>0</v>
      </c>
      <c r="H68" s="418">
        <f>H11</f>
        <v>0</v>
      </c>
      <c r="I68" s="418">
        <f>I11</f>
        <v>0</v>
      </c>
      <c r="J68" s="418" t="str">
        <f>J11</f>
        <v xml:space="preserve"> - </v>
      </c>
      <c r="K68" s="418" t="str">
        <f>K11</f>
        <v xml:space="preserve"> - </v>
      </c>
      <c r="L68" s="560" t="str">
        <f>L11</f>
        <v xml:space="preserve"> -&gt;-1</v>
      </c>
      <c r="M68" s="8"/>
      <c r="N68" s="8"/>
      <c r="O68" s="8"/>
      <c r="P68" s="8"/>
      <c r="Q68" s="8"/>
      <c r="R68" s="8"/>
      <c r="S68" s="8"/>
      <c r="T68" s="8"/>
      <c r="U68" s="8"/>
      <c r="V68" s="8"/>
      <c r="W68" s="8"/>
      <c r="X68" s="8"/>
      <c r="Y68" s="8"/>
      <c r="Z68" s="8"/>
      <c r="AA68" s="8"/>
      <c r="AB68" s="8"/>
      <c r="AC68" s="8"/>
      <c r="AD68" s="8"/>
      <c r="AE68" s="8"/>
      <c r="AF68" s="8"/>
      <c r="AG68" s="8"/>
      <c r="AH68" s="8"/>
      <c r="AI68" s="8"/>
      <c r="AJ68" s="8"/>
      <c r="AK68" s="8"/>
      <c r="AL68" s="8"/>
      <c r="AM68" s="8"/>
      <c r="AN68" s="8"/>
      <c r="AO68" s="8"/>
      <c r="AP68" s="8"/>
      <c r="AQ68" s="8"/>
      <c r="AR68" s="8"/>
      <c r="AS68" s="8"/>
      <c r="AT68" s="8"/>
      <c r="AU68" s="8"/>
      <c r="AV68" s="8"/>
      <c r="AW68" s="8"/>
      <c r="AX68" s="8"/>
      <c r="AY68" s="8"/>
      <c r="AZ68" s="8"/>
      <c r="BA68" s="8"/>
      <c r="BB68" s="8"/>
      <c r="BC68" s="8"/>
      <c r="BD68" s="8"/>
      <c r="BE68" s="8"/>
      <c r="BF68" s="8"/>
      <c r="BG68" s="8"/>
      <c r="BH68" s="8"/>
      <c r="BI68" s="8"/>
      <c r="BJ68" s="8"/>
      <c r="BK68" s="8"/>
      <c r="BL68" s="8"/>
      <c r="BM68" s="8"/>
      <c r="BN68" s="8"/>
      <c r="BO68" s="8"/>
      <c r="BP68" s="8"/>
      <c r="BQ68" s="8"/>
      <c r="BR68" s="8"/>
      <c r="BS68" s="8"/>
      <c r="BT68" s="8"/>
      <c r="BU68" s="8"/>
      <c r="BV68" s="8"/>
      <c r="BW68" s="8"/>
      <c r="BX68" s="8"/>
      <c r="BY68" s="8"/>
      <c r="BZ68" s="8"/>
      <c r="CA68" s="8"/>
      <c r="CB68" s="8"/>
      <c r="CC68" s="8"/>
      <c r="CD68" s="8"/>
      <c r="CE68" s="8"/>
      <c r="CF68" s="8"/>
      <c r="CG68" s="8"/>
      <c r="CH68" s="8"/>
      <c r="CI68" s="8"/>
      <c r="CJ68" s="8"/>
      <c r="CK68" s="8"/>
      <c r="CL68" s="8"/>
      <c r="CM68" s="8"/>
      <c r="CN68" s="8"/>
      <c r="CO68" s="8"/>
      <c r="CP68" s="8"/>
      <c r="CQ68" s="8"/>
      <c r="CR68" s="8"/>
      <c r="CS68" s="8"/>
      <c r="CT68" s="8"/>
      <c r="CU68" s="8"/>
      <c r="CV68" s="8"/>
      <c r="CW68" s="8"/>
      <c r="CX68" s="8"/>
      <c r="CY68" s="8"/>
      <c r="CZ68" s="8"/>
      <c r="DA68" s="8"/>
      <c r="DB68" s="8"/>
      <c r="DC68" s="8"/>
      <c r="DD68" s="8"/>
      <c r="DE68" s="8"/>
      <c r="DF68" s="8"/>
      <c r="DG68" s="8"/>
      <c r="DH68" s="8"/>
      <c r="DI68" s="8"/>
      <c r="DJ68" s="8"/>
      <c r="DK68" s="8"/>
      <c r="DL68" s="8"/>
      <c r="DM68" s="8"/>
      <c r="DN68" s="8"/>
      <c r="DO68" s="8"/>
      <c r="DP68" s="8"/>
      <c r="DQ68" s="8"/>
      <c r="DR68" s="8"/>
      <c r="DS68" s="8"/>
      <c r="DT68" s="259"/>
    </row>
    <row r="69" spans="1:124" x14ac:dyDescent="0.35">
      <c r="A69" s="206"/>
      <c r="C69" s="291" t="str">
        <f>'2.4 Samfunnet for øvrig'!B10</f>
        <v>Ulykker</v>
      </c>
      <c r="D69" s="791">
        <f>-('2.4 Samfunnet for øvrig'!C$14+'2.4 Samfunnet for øvrig'!C$21)</f>
        <v>0</v>
      </c>
      <c r="E69" s="791">
        <f>-('2.4 Samfunnet for øvrig'!D$14+'2.4 Samfunnet for øvrig'!D$21)</f>
        <v>0</v>
      </c>
      <c r="F69" s="791">
        <f>-('2.4 Samfunnet for øvrig'!E$14+'2.4 Samfunnet for øvrig'!E$21)</f>
        <v>0</v>
      </c>
      <c r="G69" s="791"/>
      <c r="H69" s="791"/>
      <c r="I69" s="791"/>
      <c r="J69" s="790">
        <f>IF(Antall_Beregningsår&lt;2,1,IF(AND(D69=0,E69=0),1,IF(SIGN(D69)=SIGN(E69),(E69/D69)^(1/(AndreBeregningsår-FørsteBeregningsår)),((E69+1.1*ABS(D69-E69))/(D69+1.1*ABS(D69-E69)))^(1/(AndreBeregningsår-FørsteBeregningsår)))))</f>
        <v>1</v>
      </c>
      <c r="K69" s="790">
        <f>IF(Antall_Beregningsår&lt;3,1,IF(AND(E69=0,F69=0),1,IF(SIGN(E69)=SIGN(F69),(F69/E69)^(1/(TredjeBeregningsår-AndreBeregningsår)),((F69+1.1*ABS(E69-F69))/(E69+1.1*ABS(E69-F69)))^(1/(TredjeBeregningsår-AndreBeregningsår)))))</f>
        <v>1</v>
      </c>
      <c r="L69" s="752">
        <f>IF(Framskrivning="Lineær trend",IF(Antall_Beregningsår&gt;2,(F69-E69)/(TredjeBeregningsår-AndreBeregningsår),IF(Antall_Beregningsår&gt;1,(E69-D69)/(AndreBeregningsår-FørsteBeregningsår),0)),0)</f>
        <v>0</v>
      </c>
      <c r="M69" s="712"/>
      <c r="N69" s="712"/>
      <c r="O69" s="712"/>
      <c r="P69" s="712"/>
      <c r="Q69" s="712"/>
      <c r="R69" s="712"/>
      <c r="S69" s="712"/>
      <c r="T69" s="712"/>
      <c r="U69" s="463"/>
      <c r="V69" s="463"/>
      <c r="W69" s="463" t="str">
        <f t="shared" ref="W69:BB69" ca="1" si="123">IF(W$10&lt;=(Åpningsår+ProsjektetsLevetid-1),IF(W67&lt;=AndreBeregningsår,IF(SIGN($D69)=SIGN($E69),$D69*$J69^(W67-FørsteBeregningsår),($D69+1.1*ABS($D69-$E69))*$J69^(W67-FørsteBeregningsår)-1.1*ABS($D69-$E69)),IF(W67&lt;=TredjeBeregningsår,IF(SIGN($E69)=SIGN($F69),$E69*$K69^(W67-AndreBeregningsår),($E69+1.1*ABS($E69-$F69))*$K69^(W67-AndreBeregningsår)-1.1*ABS($E69-$F69)),OFFSET($D69,0,Antall_Beregningsår-1)*LOOKUP(W67,SerieÅR,SerieVolumvekstperson)+$L69*(W67-IF(Antall_Beregningsår&gt;2,TredjeBeregningsår,AndreBeregningsår))))*KPIJustering*LOOKUP(W67,SerieÅR,SerieRealprisjustering),"")</f>
        <v/>
      </c>
      <c r="X69" s="463" t="str">
        <f t="shared" ca="1" si="123"/>
        <v/>
      </c>
      <c r="Y69" s="463" t="str">
        <f t="shared" ca="1" si="123"/>
        <v/>
      </c>
      <c r="Z69" s="463" t="str">
        <f t="shared" ca="1" si="123"/>
        <v/>
      </c>
      <c r="AA69" s="463" t="str">
        <f t="shared" ca="1" si="123"/>
        <v/>
      </c>
      <c r="AB69" s="463" t="str">
        <f t="shared" ca="1" si="123"/>
        <v/>
      </c>
      <c r="AC69" s="463" t="str">
        <f t="shared" ca="1" si="123"/>
        <v/>
      </c>
      <c r="AD69" s="463" t="str">
        <f t="shared" ca="1" si="123"/>
        <v/>
      </c>
      <c r="AE69" s="463" t="str">
        <f t="shared" ca="1" si="123"/>
        <v/>
      </c>
      <c r="AF69" s="463" t="str">
        <f t="shared" ca="1" si="123"/>
        <v/>
      </c>
      <c r="AG69" s="463" t="str">
        <f t="shared" ca="1" si="123"/>
        <v/>
      </c>
      <c r="AH69" s="463" t="str">
        <f t="shared" ca="1" si="123"/>
        <v/>
      </c>
      <c r="AI69" s="463" t="str">
        <f t="shared" ca="1" si="123"/>
        <v/>
      </c>
      <c r="AJ69" s="463" t="str">
        <f t="shared" ca="1" si="123"/>
        <v/>
      </c>
      <c r="AK69" s="463" t="str">
        <f t="shared" ca="1" si="123"/>
        <v/>
      </c>
      <c r="AL69" s="463" t="str">
        <f t="shared" ca="1" si="123"/>
        <v/>
      </c>
      <c r="AM69" s="463" t="str">
        <f t="shared" ca="1" si="123"/>
        <v/>
      </c>
      <c r="AN69" s="463" t="str">
        <f t="shared" ca="1" si="123"/>
        <v/>
      </c>
      <c r="AO69" s="463" t="str">
        <f t="shared" ca="1" si="123"/>
        <v/>
      </c>
      <c r="AP69" s="463" t="str">
        <f t="shared" ca="1" si="123"/>
        <v/>
      </c>
      <c r="AQ69" s="463" t="str">
        <f t="shared" ca="1" si="123"/>
        <v/>
      </c>
      <c r="AR69" s="463" t="str">
        <f t="shared" ca="1" si="123"/>
        <v/>
      </c>
      <c r="AS69" s="463" t="str">
        <f t="shared" ca="1" si="123"/>
        <v/>
      </c>
      <c r="AT69" s="463" t="str">
        <f t="shared" ca="1" si="123"/>
        <v/>
      </c>
      <c r="AU69" s="463" t="str">
        <f t="shared" ca="1" si="123"/>
        <v/>
      </c>
      <c r="AV69" s="463" t="str">
        <f t="shared" ca="1" si="123"/>
        <v/>
      </c>
      <c r="AW69" s="463" t="str">
        <f t="shared" ca="1" si="123"/>
        <v/>
      </c>
      <c r="AX69" s="463" t="str">
        <f t="shared" ca="1" si="123"/>
        <v/>
      </c>
      <c r="AY69" s="463" t="str">
        <f t="shared" ca="1" si="123"/>
        <v/>
      </c>
      <c r="AZ69" s="463" t="str">
        <f t="shared" ca="1" si="123"/>
        <v/>
      </c>
      <c r="BA69" s="463" t="str">
        <f t="shared" ca="1" si="123"/>
        <v/>
      </c>
      <c r="BB69" s="463" t="str">
        <f t="shared" ca="1" si="123"/>
        <v/>
      </c>
      <c r="BC69" s="463" t="str">
        <f t="shared" ref="BC69:CH69" ca="1" si="124">IF(BC$10&lt;=(Åpningsår+ProsjektetsLevetid-1),IF(BC67&lt;=AndreBeregningsår,IF(SIGN($D69)=SIGN($E69),$D69*$J69^(BC67-FørsteBeregningsår),($D69+1.1*ABS($D69-$E69))*$J69^(BC67-FørsteBeregningsår)-1.1*ABS($D69-$E69)),IF(BC67&lt;=TredjeBeregningsår,IF(SIGN($E69)=SIGN($F69),$E69*$K69^(BC67-AndreBeregningsår),($E69+1.1*ABS($E69-$F69))*$K69^(BC67-AndreBeregningsår)-1.1*ABS($E69-$F69)),OFFSET($D69,0,Antall_Beregningsår-1)*LOOKUP(BC67,SerieÅR,SerieVolumvekstperson)+$L69*(BC67-IF(Antall_Beregningsår&gt;2,TredjeBeregningsår,AndreBeregningsår))))*KPIJustering*LOOKUP(BC67,SerieÅR,SerieRealprisjustering),"")</f>
        <v/>
      </c>
      <c r="BD69" s="463" t="str">
        <f t="shared" ca="1" si="124"/>
        <v/>
      </c>
      <c r="BE69" s="463" t="str">
        <f t="shared" ca="1" si="124"/>
        <v/>
      </c>
      <c r="BF69" s="463" t="str">
        <f t="shared" ca="1" si="124"/>
        <v/>
      </c>
      <c r="BG69" s="463" t="str">
        <f t="shared" ca="1" si="124"/>
        <v/>
      </c>
      <c r="BH69" s="463" t="str">
        <f t="shared" ca="1" si="124"/>
        <v/>
      </c>
      <c r="BI69" s="463" t="str">
        <f t="shared" ca="1" si="124"/>
        <v/>
      </c>
      <c r="BJ69" s="463" t="str">
        <f t="shared" ca="1" si="124"/>
        <v/>
      </c>
      <c r="BK69" s="463" t="str">
        <f t="shared" ca="1" si="124"/>
        <v/>
      </c>
      <c r="BL69" s="463" t="str">
        <f t="shared" ca="1" si="124"/>
        <v/>
      </c>
      <c r="BM69" s="463" t="str">
        <f t="shared" ca="1" si="124"/>
        <v/>
      </c>
      <c r="BN69" s="463" t="str">
        <f t="shared" ca="1" si="124"/>
        <v/>
      </c>
      <c r="BO69" s="463" t="str">
        <f t="shared" ca="1" si="124"/>
        <v/>
      </c>
      <c r="BP69" s="463" t="str">
        <f t="shared" ca="1" si="124"/>
        <v/>
      </c>
      <c r="BQ69" s="463" t="str">
        <f t="shared" ca="1" si="124"/>
        <v/>
      </c>
      <c r="BR69" s="463" t="str">
        <f t="shared" ca="1" si="124"/>
        <v/>
      </c>
      <c r="BS69" s="463" t="str">
        <f t="shared" ca="1" si="124"/>
        <v/>
      </c>
      <c r="BT69" s="463" t="str">
        <f t="shared" ca="1" si="124"/>
        <v/>
      </c>
      <c r="BU69" s="463" t="str">
        <f t="shared" ca="1" si="124"/>
        <v/>
      </c>
      <c r="BV69" s="463" t="str">
        <f t="shared" ca="1" si="124"/>
        <v/>
      </c>
      <c r="BW69" s="463" t="str">
        <f t="shared" ca="1" si="124"/>
        <v/>
      </c>
      <c r="BX69" s="463" t="str">
        <f t="shared" ca="1" si="124"/>
        <v/>
      </c>
      <c r="BY69" s="463" t="str">
        <f t="shared" ca="1" si="124"/>
        <v/>
      </c>
      <c r="BZ69" s="463" t="str">
        <f t="shared" ca="1" si="124"/>
        <v/>
      </c>
      <c r="CA69" s="463" t="str">
        <f t="shared" ca="1" si="124"/>
        <v/>
      </c>
      <c r="CB69" s="463" t="str">
        <f t="shared" ca="1" si="124"/>
        <v/>
      </c>
      <c r="CC69" s="463" t="str">
        <f t="shared" ca="1" si="124"/>
        <v/>
      </c>
      <c r="CD69" s="463" t="str">
        <f t="shared" ca="1" si="124"/>
        <v/>
      </c>
      <c r="CE69" s="463" t="str">
        <f t="shared" ca="1" si="124"/>
        <v/>
      </c>
      <c r="CF69" s="463" t="str">
        <f t="shared" ca="1" si="124"/>
        <v/>
      </c>
      <c r="CG69" s="463" t="str">
        <f t="shared" ca="1" si="124"/>
        <v/>
      </c>
      <c r="CH69" s="463" t="str">
        <f t="shared" ca="1" si="124"/>
        <v/>
      </c>
      <c r="CI69" s="463" t="str">
        <f t="shared" ref="CI69:DR69" ca="1" si="125">IF(CI$10&lt;=(Åpningsår+ProsjektetsLevetid-1),IF(CI67&lt;=AndreBeregningsår,IF(SIGN($D69)=SIGN($E69),$D69*$J69^(CI67-FørsteBeregningsår),($D69+1.1*ABS($D69-$E69))*$J69^(CI67-FørsteBeregningsår)-1.1*ABS($D69-$E69)),IF(CI67&lt;=TredjeBeregningsår,IF(SIGN($E69)=SIGN($F69),$E69*$K69^(CI67-AndreBeregningsår),($E69+1.1*ABS($E69-$F69))*$K69^(CI67-AndreBeregningsår)-1.1*ABS($E69-$F69)),OFFSET($D69,0,Antall_Beregningsår-1)*LOOKUP(CI67,SerieÅR,SerieVolumvekstperson)+$L69*(CI67-IF(Antall_Beregningsår&gt;2,TredjeBeregningsår,AndreBeregningsår))))*KPIJustering*LOOKUP(CI67,SerieÅR,SerieRealprisjustering),"")</f>
        <v/>
      </c>
      <c r="CJ69" s="463" t="str">
        <f t="shared" ca="1" si="125"/>
        <v/>
      </c>
      <c r="CK69" s="463" t="str">
        <f t="shared" ca="1" si="125"/>
        <v/>
      </c>
      <c r="CL69" s="463" t="str">
        <f t="shared" ca="1" si="125"/>
        <v/>
      </c>
      <c r="CM69" s="463" t="str">
        <f t="shared" ca="1" si="125"/>
        <v/>
      </c>
      <c r="CN69" s="463" t="str">
        <f t="shared" ca="1" si="125"/>
        <v/>
      </c>
      <c r="CO69" s="463" t="str">
        <f t="shared" ca="1" si="125"/>
        <v/>
      </c>
      <c r="CP69" s="463" t="str">
        <f t="shared" ca="1" si="125"/>
        <v/>
      </c>
      <c r="CQ69" s="463" t="str">
        <f t="shared" ca="1" si="125"/>
        <v/>
      </c>
      <c r="CR69" s="463" t="str">
        <f t="shared" ca="1" si="125"/>
        <v/>
      </c>
      <c r="CS69" s="463" t="str">
        <f t="shared" ca="1" si="125"/>
        <v/>
      </c>
      <c r="CT69" s="463" t="str">
        <f t="shared" ca="1" si="125"/>
        <v/>
      </c>
      <c r="CU69" s="463" t="str">
        <f t="shared" ca="1" si="125"/>
        <v/>
      </c>
      <c r="CV69" s="463" t="str">
        <f t="shared" ca="1" si="125"/>
        <v/>
      </c>
      <c r="CW69" s="463" t="str">
        <f t="shared" ca="1" si="125"/>
        <v/>
      </c>
      <c r="CX69" s="463" t="str">
        <f t="shared" ca="1" si="125"/>
        <v/>
      </c>
      <c r="CY69" s="463" t="str">
        <f t="shared" ca="1" si="125"/>
        <v/>
      </c>
      <c r="CZ69" s="463" t="str">
        <f t="shared" ca="1" si="125"/>
        <v/>
      </c>
      <c r="DA69" s="463" t="str">
        <f t="shared" ca="1" si="125"/>
        <v/>
      </c>
      <c r="DB69" s="463" t="str">
        <f t="shared" ca="1" si="125"/>
        <v/>
      </c>
      <c r="DC69" s="463" t="str">
        <f t="shared" ca="1" si="125"/>
        <v/>
      </c>
      <c r="DD69" s="463" t="str">
        <f t="shared" ca="1" si="125"/>
        <v/>
      </c>
      <c r="DE69" s="463" t="str">
        <f t="shared" ca="1" si="125"/>
        <v/>
      </c>
      <c r="DF69" s="463" t="str">
        <f t="shared" ca="1" si="125"/>
        <v/>
      </c>
      <c r="DG69" s="463" t="str">
        <f t="shared" ca="1" si="125"/>
        <v/>
      </c>
      <c r="DH69" s="463" t="str">
        <f t="shared" ca="1" si="125"/>
        <v/>
      </c>
      <c r="DI69" s="463" t="str">
        <f t="shared" ca="1" si="125"/>
        <v/>
      </c>
      <c r="DJ69" s="463" t="str">
        <f t="shared" ca="1" si="125"/>
        <v/>
      </c>
      <c r="DK69" s="463" t="str">
        <f t="shared" ca="1" si="125"/>
        <v/>
      </c>
      <c r="DL69" s="463" t="str">
        <f t="shared" ca="1" si="125"/>
        <v/>
      </c>
      <c r="DM69" s="463" t="str">
        <f t="shared" ca="1" si="125"/>
        <v/>
      </c>
      <c r="DN69" s="463" t="str">
        <f t="shared" ca="1" si="125"/>
        <v/>
      </c>
      <c r="DO69" s="463" t="str">
        <f t="shared" ca="1" si="125"/>
        <v/>
      </c>
      <c r="DP69" s="463" t="str">
        <f t="shared" ca="1" si="125"/>
        <v/>
      </c>
      <c r="DQ69" s="463" t="str">
        <f t="shared" ca="1" si="125"/>
        <v/>
      </c>
      <c r="DR69" s="463" t="str">
        <f t="shared" ca="1" si="125"/>
        <v/>
      </c>
      <c r="DS69" s="801">
        <f ca="1">SUMPRODUCT(('1.5 Prognoser og indekser'!$R$12:OFFSET('1.5 Prognoser og indekser'!$R$12,0,$DS$9)),($M69:OFFSET($M69,0,$DS$9)))</f>
        <v>0</v>
      </c>
      <c r="DT69" s="802">
        <f ca="1">IF($DT$9&lt;1,0,SUMPRODUCT(OFFSET('1.5 Prognoser og indekser'!$R$12,0,$DS$9+1,1,$DT$9),OFFSET($M69,0,$DS$9+1,1,$DT$9)))</f>
        <v>0</v>
      </c>
    </row>
    <row r="70" spans="1:124" x14ac:dyDescent="0.35">
      <c r="A70" s="206"/>
      <c r="C70" s="291" t="str">
        <f>'2.4 Samfunnet for øvrig'!B22</f>
        <v>Støy</v>
      </c>
      <c r="D70" s="791">
        <f>-('2.4 Samfunnet for øvrig'!C$26+'2.4 Samfunnet for øvrig'!C$31)</f>
        <v>0</v>
      </c>
      <c r="E70" s="797">
        <f>-('2.4 Samfunnet for øvrig'!D$26+'2.4 Samfunnet for øvrig'!D$31)</f>
        <v>0</v>
      </c>
      <c r="F70" s="797">
        <f>-('2.4 Samfunnet for øvrig'!E$26+'2.4 Samfunnet for øvrig'!E$31)</f>
        <v>0</v>
      </c>
      <c r="G70" s="797"/>
      <c r="H70" s="797"/>
      <c r="I70" s="797"/>
      <c r="J70" s="790">
        <f>IF(Antall_Beregningsår&lt;2,1,IF(AND(D70=0,E70=0),1,IF(SIGN(D70)=SIGN(E70),(E70/D70)^(1/(AndreBeregningsår-FørsteBeregningsår)),((E70+1.1*ABS(D70-E70))/(D70+1.1*ABS(D70-E70)))^(1/(AndreBeregningsår-FørsteBeregningsår)))))</f>
        <v>1</v>
      </c>
      <c r="K70" s="790">
        <f>IF(Antall_Beregningsår&lt;3,1,IF(AND(E70=0,F70=0),1,IF(SIGN(E70)=SIGN(F70),(F70/E70)^(1/(TredjeBeregningsår-AndreBeregningsår)),((F70+1.1*ABS(E70-F70))/(E70+1.1*ABS(E70-F70)))^(1/(TredjeBeregningsår-AndreBeregningsår)))))</f>
        <v>1</v>
      </c>
      <c r="L70" s="752">
        <f>IF(Framskrivning="Lineær trend",IF(Antall_Beregningsår&gt;2,(F70-E70)/(TredjeBeregningsår-AndreBeregningsår),IF(Antall_Beregningsår&gt;1,(E70-D70)/(AndreBeregningsår-FørsteBeregningsår),0)),0)</f>
        <v>0</v>
      </c>
      <c r="M70" s="712"/>
      <c r="N70" s="712"/>
      <c r="O70" s="712"/>
      <c r="P70" s="712"/>
      <c r="Q70" s="712"/>
      <c r="R70" s="712"/>
      <c r="S70" s="712"/>
      <c r="T70" s="712"/>
      <c r="U70" s="463"/>
      <c r="V70" s="463"/>
      <c r="W70" s="463" t="str">
        <f t="shared" ref="W70:BB70" ca="1" si="126">IF(W$10&lt;=(Åpningsår+ProsjektetsLevetid-1),IF(W67&lt;=AndreBeregningsår,IF(SIGN($D70)=SIGN($E70),$D70*$J70^(W67-FørsteBeregningsår),($D70+1.1*ABS($D70-$E70))*$J70^(W67-FørsteBeregningsår)-1.1*ABS($D70-$E70)),IF(W67&lt;=TredjeBeregningsår,IF(SIGN($E70)=SIGN($F70),$E70*$K70^(W67-AndreBeregningsår),($E70+1.1*ABS($E70-$F70))*$K70^(W67-AndreBeregningsår)-1.1*ABS($E70-$F70)),OFFSET($D70,0,Antall_Beregningsår-1)*LOOKUP(W67,SerieÅR,SerieVolumvekstperson)+$L70*(W67-IF(Antall_Beregningsår&gt;2,TredjeBeregningsår,AndreBeregningsår))))*KPIJustering*LOOKUP(W67,SerieÅR,SerieRealprisjustering),"")</f>
        <v/>
      </c>
      <c r="X70" s="463" t="str">
        <f t="shared" ca="1" si="126"/>
        <v/>
      </c>
      <c r="Y70" s="463" t="str">
        <f t="shared" ca="1" si="126"/>
        <v/>
      </c>
      <c r="Z70" s="463" t="str">
        <f t="shared" ca="1" si="126"/>
        <v/>
      </c>
      <c r="AA70" s="463" t="str">
        <f t="shared" ca="1" si="126"/>
        <v/>
      </c>
      <c r="AB70" s="463" t="str">
        <f t="shared" ca="1" si="126"/>
        <v/>
      </c>
      <c r="AC70" s="463" t="str">
        <f t="shared" ca="1" si="126"/>
        <v/>
      </c>
      <c r="AD70" s="463" t="str">
        <f t="shared" ca="1" si="126"/>
        <v/>
      </c>
      <c r="AE70" s="463" t="str">
        <f t="shared" ca="1" si="126"/>
        <v/>
      </c>
      <c r="AF70" s="463" t="str">
        <f t="shared" ca="1" si="126"/>
        <v/>
      </c>
      <c r="AG70" s="463" t="str">
        <f t="shared" ca="1" si="126"/>
        <v/>
      </c>
      <c r="AH70" s="463" t="str">
        <f t="shared" ca="1" si="126"/>
        <v/>
      </c>
      <c r="AI70" s="463" t="str">
        <f t="shared" ca="1" si="126"/>
        <v/>
      </c>
      <c r="AJ70" s="463" t="str">
        <f t="shared" ca="1" si="126"/>
        <v/>
      </c>
      <c r="AK70" s="463" t="str">
        <f t="shared" ca="1" si="126"/>
        <v/>
      </c>
      <c r="AL70" s="463" t="str">
        <f t="shared" ca="1" si="126"/>
        <v/>
      </c>
      <c r="AM70" s="463" t="str">
        <f t="shared" ca="1" si="126"/>
        <v/>
      </c>
      <c r="AN70" s="463" t="str">
        <f t="shared" ca="1" si="126"/>
        <v/>
      </c>
      <c r="AO70" s="463" t="str">
        <f t="shared" ca="1" si="126"/>
        <v/>
      </c>
      <c r="AP70" s="463" t="str">
        <f t="shared" ca="1" si="126"/>
        <v/>
      </c>
      <c r="AQ70" s="463" t="str">
        <f t="shared" ca="1" si="126"/>
        <v/>
      </c>
      <c r="AR70" s="463" t="str">
        <f t="shared" ca="1" si="126"/>
        <v/>
      </c>
      <c r="AS70" s="463" t="str">
        <f t="shared" ca="1" si="126"/>
        <v/>
      </c>
      <c r="AT70" s="463" t="str">
        <f t="shared" ca="1" si="126"/>
        <v/>
      </c>
      <c r="AU70" s="463" t="str">
        <f t="shared" ca="1" si="126"/>
        <v/>
      </c>
      <c r="AV70" s="463" t="str">
        <f t="shared" ca="1" si="126"/>
        <v/>
      </c>
      <c r="AW70" s="463" t="str">
        <f t="shared" ca="1" si="126"/>
        <v/>
      </c>
      <c r="AX70" s="463" t="str">
        <f t="shared" ca="1" si="126"/>
        <v/>
      </c>
      <c r="AY70" s="463" t="str">
        <f t="shared" ca="1" si="126"/>
        <v/>
      </c>
      <c r="AZ70" s="463" t="str">
        <f t="shared" ca="1" si="126"/>
        <v/>
      </c>
      <c r="BA70" s="463" t="str">
        <f t="shared" ca="1" si="126"/>
        <v/>
      </c>
      <c r="BB70" s="463" t="str">
        <f t="shared" ca="1" si="126"/>
        <v/>
      </c>
      <c r="BC70" s="463" t="str">
        <f t="shared" ref="BC70:CH70" ca="1" si="127">IF(BC$10&lt;=(Åpningsår+ProsjektetsLevetid-1),IF(BC67&lt;=AndreBeregningsår,IF(SIGN($D70)=SIGN($E70),$D70*$J70^(BC67-FørsteBeregningsår),($D70+1.1*ABS($D70-$E70))*$J70^(BC67-FørsteBeregningsår)-1.1*ABS($D70-$E70)),IF(BC67&lt;=TredjeBeregningsår,IF(SIGN($E70)=SIGN($F70),$E70*$K70^(BC67-AndreBeregningsår),($E70+1.1*ABS($E70-$F70))*$K70^(BC67-AndreBeregningsår)-1.1*ABS($E70-$F70)),OFFSET($D70,0,Antall_Beregningsår-1)*LOOKUP(BC67,SerieÅR,SerieVolumvekstperson)+$L70*(BC67-IF(Antall_Beregningsår&gt;2,TredjeBeregningsår,AndreBeregningsår))))*KPIJustering*LOOKUP(BC67,SerieÅR,SerieRealprisjustering),"")</f>
        <v/>
      </c>
      <c r="BD70" s="463" t="str">
        <f t="shared" ca="1" si="127"/>
        <v/>
      </c>
      <c r="BE70" s="463" t="str">
        <f t="shared" ca="1" si="127"/>
        <v/>
      </c>
      <c r="BF70" s="463" t="str">
        <f t="shared" ca="1" si="127"/>
        <v/>
      </c>
      <c r="BG70" s="463" t="str">
        <f t="shared" ca="1" si="127"/>
        <v/>
      </c>
      <c r="BH70" s="463" t="str">
        <f t="shared" ca="1" si="127"/>
        <v/>
      </c>
      <c r="BI70" s="463" t="str">
        <f t="shared" ca="1" si="127"/>
        <v/>
      </c>
      <c r="BJ70" s="463" t="str">
        <f t="shared" ca="1" si="127"/>
        <v/>
      </c>
      <c r="BK70" s="463" t="str">
        <f t="shared" ca="1" si="127"/>
        <v/>
      </c>
      <c r="BL70" s="463" t="str">
        <f t="shared" ca="1" si="127"/>
        <v/>
      </c>
      <c r="BM70" s="463" t="str">
        <f t="shared" ca="1" si="127"/>
        <v/>
      </c>
      <c r="BN70" s="463" t="str">
        <f t="shared" ca="1" si="127"/>
        <v/>
      </c>
      <c r="BO70" s="463" t="str">
        <f t="shared" ca="1" si="127"/>
        <v/>
      </c>
      <c r="BP70" s="463" t="str">
        <f t="shared" ca="1" si="127"/>
        <v/>
      </c>
      <c r="BQ70" s="463" t="str">
        <f t="shared" ca="1" si="127"/>
        <v/>
      </c>
      <c r="BR70" s="463" t="str">
        <f t="shared" ca="1" si="127"/>
        <v/>
      </c>
      <c r="BS70" s="463" t="str">
        <f t="shared" ca="1" si="127"/>
        <v/>
      </c>
      <c r="BT70" s="463" t="str">
        <f t="shared" ca="1" si="127"/>
        <v/>
      </c>
      <c r="BU70" s="463" t="str">
        <f t="shared" ca="1" si="127"/>
        <v/>
      </c>
      <c r="BV70" s="463" t="str">
        <f t="shared" ca="1" si="127"/>
        <v/>
      </c>
      <c r="BW70" s="463" t="str">
        <f t="shared" ca="1" si="127"/>
        <v/>
      </c>
      <c r="BX70" s="463" t="str">
        <f t="shared" ca="1" si="127"/>
        <v/>
      </c>
      <c r="BY70" s="463" t="str">
        <f t="shared" ca="1" si="127"/>
        <v/>
      </c>
      <c r="BZ70" s="463" t="str">
        <f t="shared" ca="1" si="127"/>
        <v/>
      </c>
      <c r="CA70" s="463" t="str">
        <f t="shared" ca="1" si="127"/>
        <v/>
      </c>
      <c r="CB70" s="463" t="str">
        <f t="shared" ca="1" si="127"/>
        <v/>
      </c>
      <c r="CC70" s="463" t="str">
        <f t="shared" ca="1" si="127"/>
        <v/>
      </c>
      <c r="CD70" s="463" t="str">
        <f t="shared" ca="1" si="127"/>
        <v/>
      </c>
      <c r="CE70" s="463" t="str">
        <f t="shared" ca="1" si="127"/>
        <v/>
      </c>
      <c r="CF70" s="463" t="str">
        <f t="shared" ca="1" si="127"/>
        <v/>
      </c>
      <c r="CG70" s="463" t="str">
        <f t="shared" ca="1" si="127"/>
        <v/>
      </c>
      <c r="CH70" s="463" t="str">
        <f t="shared" ca="1" si="127"/>
        <v/>
      </c>
      <c r="CI70" s="463" t="str">
        <f t="shared" ref="CI70:DR70" ca="1" si="128">IF(CI$10&lt;=(Åpningsår+ProsjektetsLevetid-1),IF(CI67&lt;=AndreBeregningsår,IF(SIGN($D70)=SIGN($E70),$D70*$J70^(CI67-FørsteBeregningsår),($D70+1.1*ABS($D70-$E70))*$J70^(CI67-FørsteBeregningsår)-1.1*ABS($D70-$E70)),IF(CI67&lt;=TredjeBeregningsår,IF(SIGN($E70)=SIGN($F70),$E70*$K70^(CI67-AndreBeregningsår),($E70+1.1*ABS($E70-$F70))*$K70^(CI67-AndreBeregningsår)-1.1*ABS($E70-$F70)),OFFSET($D70,0,Antall_Beregningsår-1)*LOOKUP(CI67,SerieÅR,SerieVolumvekstperson)+$L70*(CI67-IF(Antall_Beregningsår&gt;2,TredjeBeregningsår,AndreBeregningsår))))*KPIJustering*LOOKUP(CI67,SerieÅR,SerieRealprisjustering),"")</f>
        <v/>
      </c>
      <c r="CJ70" s="463" t="str">
        <f t="shared" ca="1" si="128"/>
        <v/>
      </c>
      <c r="CK70" s="463" t="str">
        <f t="shared" ca="1" si="128"/>
        <v/>
      </c>
      <c r="CL70" s="463" t="str">
        <f t="shared" ca="1" si="128"/>
        <v/>
      </c>
      <c r="CM70" s="463" t="str">
        <f t="shared" ca="1" si="128"/>
        <v/>
      </c>
      <c r="CN70" s="463" t="str">
        <f t="shared" ca="1" si="128"/>
        <v/>
      </c>
      <c r="CO70" s="463" t="str">
        <f t="shared" ca="1" si="128"/>
        <v/>
      </c>
      <c r="CP70" s="463" t="str">
        <f t="shared" ca="1" si="128"/>
        <v/>
      </c>
      <c r="CQ70" s="463" t="str">
        <f t="shared" ca="1" si="128"/>
        <v/>
      </c>
      <c r="CR70" s="463" t="str">
        <f t="shared" ca="1" si="128"/>
        <v/>
      </c>
      <c r="CS70" s="463" t="str">
        <f t="shared" ca="1" si="128"/>
        <v/>
      </c>
      <c r="CT70" s="463" t="str">
        <f t="shared" ca="1" si="128"/>
        <v/>
      </c>
      <c r="CU70" s="463" t="str">
        <f t="shared" ca="1" si="128"/>
        <v/>
      </c>
      <c r="CV70" s="463" t="str">
        <f t="shared" ca="1" si="128"/>
        <v/>
      </c>
      <c r="CW70" s="463" t="str">
        <f t="shared" ca="1" si="128"/>
        <v/>
      </c>
      <c r="CX70" s="463" t="str">
        <f t="shared" ca="1" si="128"/>
        <v/>
      </c>
      <c r="CY70" s="463" t="str">
        <f t="shared" ca="1" si="128"/>
        <v/>
      </c>
      <c r="CZ70" s="463" t="str">
        <f t="shared" ca="1" si="128"/>
        <v/>
      </c>
      <c r="DA70" s="463" t="str">
        <f t="shared" ca="1" si="128"/>
        <v/>
      </c>
      <c r="DB70" s="463" t="str">
        <f t="shared" ca="1" si="128"/>
        <v/>
      </c>
      <c r="DC70" s="463" t="str">
        <f t="shared" ca="1" si="128"/>
        <v/>
      </c>
      <c r="DD70" s="463" t="str">
        <f t="shared" ca="1" si="128"/>
        <v/>
      </c>
      <c r="DE70" s="463" t="str">
        <f t="shared" ca="1" si="128"/>
        <v/>
      </c>
      <c r="DF70" s="463" t="str">
        <f t="shared" ca="1" si="128"/>
        <v/>
      </c>
      <c r="DG70" s="463" t="str">
        <f t="shared" ca="1" si="128"/>
        <v/>
      </c>
      <c r="DH70" s="463" t="str">
        <f t="shared" ca="1" si="128"/>
        <v/>
      </c>
      <c r="DI70" s="463" t="str">
        <f t="shared" ca="1" si="128"/>
        <v/>
      </c>
      <c r="DJ70" s="463" t="str">
        <f t="shared" ca="1" si="128"/>
        <v/>
      </c>
      <c r="DK70" s="463" t="str">
        <f t="shared" ca="1" si="128"/>
        <v/>
      </c>
      <c r="DL70" s="463" t="str">
        <f t="shared" ca="1" si="128"/>
        <v/>
      </c>
      <c r="DM70" s="463" t="str">
        <f t="shared" ca="1" si="128"/>
        <v/>
      </c>
      <c r="DN70" s="463" t="str">
        <f t="shared" ca="1" si="128"/>
        <v/>
      </c>
      <c r="DO70" s="463" t="str">
        <f t="shared" ca="1" si="128"/>
        <v/>
      </c>
      <c r="DP70" s="463" t="str">
        <f t="shared" ca="1" si="128"/>
        <v/>
      </c>
      <c r="DQ70" s="463" t="str">
        <f t="shared" ca="1" si="128"/>
        <v/>
      </c>
      <c r="DR70" s="463" t="str">
        <f t="shared" ca="1" si="128"/>
        <v/>
      </c>
      <c r="DS70" s="801">
        <f ca="1">SUMPRODUCT(('1.5 Prognoser og indekser'!$R$12:OFFSET('1.5 Prognoser og indekser'!$R$12,0,$DS$9)),($M70:OFFSET($M70,0,$DS$9)))</f>
        <v>0</v>
      </c>
      <c r="DT70" s="802">
        <f ca="1">IF($DT$9&lt;1,0,SUMPRODUCT(OFFSET('1.5 Prognoser og indekser'!$R$12,0,$DS$9+1,1,$DT$9),OFFSET($M70,0,$DS$9+1,1,$DT$9)))</f>
        <v>0</v>
      </c>
    </row>
    <row r="71" spans="1:124" x14ac:dyDescent="0.35">
      <c r="C71" s="291" t="str">
        <f>'2.4 Samfunnet for øvrig'!B32</f>
        <v>Lokale utslipp</v>
      </c>
      <c r="D71" s="791">
        <f>-('2.4 Samfunnet for øvrig'!C$36+'2.4 Samfunnet for øvrig'!C$46)</f>
        <v>0</v>
      </c>
      <c r="E71" s="791">
        <f>-('2.4 Samfunnet for øvrig'!D$36+'2.4 Samfunnet for øvrig'!D$46)</f>
        <v>0</v>
      </c>
      <c r="F71" s="791">
        <f>-('2.4 Samfunnet for øvrig'!E$36+'2.4 Samfunnet for øvrig'!E$46)</f>
        <v>0</v>
      </c>
      <c r="G71" s="791"/>
      <c r="H71" s="791"/>
      <c r="I71" s="791"/>
      <c r="J71" s="790">
        <f>IF(Antall_Beregningsår&lt;2,1,IF(AND(D71=0,E71=0),1,IF(SIGN(D71)=SIGN(E71),(E71/D71)^(1/(AndreBeregningsår-FørsteBeregningsår)),((E71+1.1*ABS(D71-E71))/(D71+1.1*ABS(D71-E71)))^(1/(AndreBeregningsår-FørsteBeregningsår)))))</f>
        <v>1</v>
      </c>
      <c r="K71" s="790">
        <f>IF(Antall_Beregningsår&lt;3,1,IF(AND(E71=0,F71=0),1,IF(SIGN(E71)=SIGN(F71),(F71/E71)^(1/(TredjeBeregningsår-AndreBeregningsår)),((F71+1.1*ABS(E71-F71))/(E71+1.1*ABS(E71-F71)))^(1/(TredjeBeregningsår-AndreBeregningsår)))))</f>
        <v>1</v>
      </c>
      <c r="L71" s="752">
        <f>IF(Framskrivning="Lineær trend",IF(Antall_Beregningsår&gt;2,(F71-E71)/(TredjeBeregningsår-AndreBeregningsår),IF(Antall_Beregningsår&gt;1,(E71-D71)/(AndreBeregningsår-FørsteBeregningsår),0)),0)</f>
        <v>0</v>
      </c>
      <c r="M71" s="712"/>
      <c r="N71" s="712"/>
      <c r="O71" s="712"/>
      <c r="P71" s="712"/>
      <c r="Q71" s="712"/>
      <c r="R71" s="712"/>
      <c r="S71" s="712"/>
      <c r="T71" s="712"/>
      <c r="U71" s="463"/>
      <c r="V71" s="463"/>
      <c r="W71" s="463" t="str">
        <f t="shared" ref="W71:BB71" ca="1" si="129">IF(W$10&lt;=(Åpningsår+ProsjektetsLevetid-1),IF(W67&lt;=AndreBeregningsår,IF(SIGN($D71)=SIGN($E71),$D71*$J71^(W67-FørsteBeregningsår),($D71+1.1*ABS($D71-$E71))*$J71^(W67-FørsteBeregningsår)-1.1*ABS($D71-$E71)),IF(W67&lt;=TredjeBeregningsår,IF(SIGN($E71)=SIGN($F71),$E71*$K71^(W67-AndreBeregningsår),($E71+1.1*ABS($E71-$F71))*$K71^(W67-AndreBeregningsår)-1.1*ABS($E71-$F71)),OFFSET($D71,0,Antall_Beregningsår-1)*LOOKUP(W67,SerieÅR,SerieVolumvekstperson)+$L71*(W67-IF(Antall_Beregningsår&gt;2,TredjeBeregningsår,AndreBeregningsår))))*KPIJustering*LOOKUP(W67,SerieÅR,SerieRealprisjustering),"")</f>
        <v/>
      </c>
      <c r="X71" s="463" t="str">
        <f t="shared" ca="1" si="129"/>
        <v/>
      </c>
      <c r="Y71" s="463" t="str">
        <f t="shared" ca="1" si="129"/>
        <v/>
      </c>
      <c r="Z71" s="463" t="str">
        <f t="shared" ca="1" si="129"/>
        <v/>
      </c>
      <c r="AA71" s="463" t="str">
        <f t="shared" ca="1" si="129"/>
        <v/>
      </c>
      <c r="AB71" s="463" t="str">
        <f t="shared" ca="1" si="129"/>
        <v/>
      </c>
      <c r="AC71" s="463" t="str">
        <f t="shared" ca="1" si="129"/>
        <v/>
      </c>
      <c r="AD71" s="463" t="str">
        <f t="shared" ca="1" si="129"/>
        <v/>
      </c>
      <c r="AE71" s="463" t="str">
        <f t="shared" ca="1" si="129"/>
        <v/>
      </c>
      <c r="AF71" s="463" t="str">
        <f t="shared" ca="1" si="129"/>
        <v/>
      </c>
      <c r="AG71" s="463" t="str">
        <f t="shared" ca="1" si="129"/>
        <v/>
      </c>
      <c r="AH71" s="463" t="str">
        <f t="shared" ca="1" si="129"/>
        <v/>
      </c>
      <c r="AI71" s="463" t="str">
        <f t="shared" ca="1" si="129"/>
        <v/>
      </c>
      <c r="AJ71" s="463" t="str">
        <f t="shared" ca="1" si="129"/>
        <v/>
      </c>
      <c r="AK71" s="463" t="str">
        <f t="shared" ca="1" si="129"/>
        <v/>
      </c>
      <c r="AL71" s="463" t="str">
        <f t="shared" ca="1" si="129"/>
        <v/>
      </c>
      <c r="AM71" s="463" t="str">
        <f t="shared" ca="1" si="129"/>
        <v/>
      </c>
      <c r="AN71" s="463" t="str">
        <f t="shared" ca="1" si="129"/>
        <v/>
      </c>
      <c r="AO71" s="463" t="str">
        <f t="shared" ca="1" si="129"/>
        <v/>
      </c>
      <c r="AP71" s="463" t="str">
        <f t="shared" ca="1" si="129"/>
        <v/>
      </c>
      <c r="AQ71" s="463" t="str">
        <f t="shared" ca="1" si="129"/>
        <v/>
      </c>
      <c r="AR71" s="463" t="str">
        <f t="shared" ca="1" si="129"/>
        <v/>
      </c>
      <c r="AS71" s="463" t="str">
        <f t="shared" ca="1" si="129"/>
        <v/>
      </c>
      <c r="AT71" s="463" t="str">
        <f t="shared" ca="1" si="129"/>
        <v/>
      </c>
      <c r="AU71" s="463" t="str">
        <f t="shared" ca="1" si="129"/>
        <v/>
      </c>
      <c r="AV71" s="463" t="str">
        <f t="shared" ca="1" si="129"/>
        <v/>
      </c>
      <c r="AW71" s="463" t="str">
        <f t="shared" ca="1" si="129"/>
        <v/>
      </c>
      <c r="AX71" s="463" t="str">
        <f t="shared" ca="1" si="129"/>
        <v/>
      </c>
      <c r="AY71" s="463" t="str">
        <f t="shared" ca="1" si="129"/>
        <v/>
      </c>
      <c r="AZ71" s="463" t="str">
        <f t="shared" ca="1" si="129"/>
        <v/>
      </c>
      <c r="BA71" s="463" t="str">
        <f t="shared" ca="1" si="129"/>
        <v/>
      </c>
      <c r="BB71" s="463" t="str">
        <f t="shared" ca="1" si="129"/>
        <v/>
      </c>
      <c r="BC71" s="463" t="str">
        <f t="shared" ref="BC71:CH71" ca="1" si="130">IF(BC$10&lt;=(Åpningsår+ProsjektetsLevetid-1),IF(BC67&lt;=AndreBeregningsår,IF(SIGN($D71)=SIGN($E71),$D71*$J71^(BC67-FørsteBeregningsår),($D71+1.1*ABS($D71-$E71))*$J71^(BC67-FørsteBeregningsår)-1.1*ABS($D71-$E71)),IF(BC67&lt;=TredjeBeregningsår,IF(SIGN($E71)=SIGN($F71),$E71*$K71^(BC67-AndreBeregningsår),($E71+1.1*ABS($E71-$F71))*$K71^(BC67-AndreBeregningsår)-1.1*ABS($E71-$F71)),OFFSET($D71,0,Antall_Beregningsår-1)*LOOKUP(BC67,SerieÅR,SerieVolumvekstperson)+$L71*(BC67-IF(Antall_Beregningsår&gt;2,TredjeBeregningsår,AndreBeregningsår))))*KPIJustering*LOOKUP(BC67,SerieÅR,SerieRealprisjustering),"")</f>
        <v/>
      </c>
      <c r="BD71" s="463" t="str">
        <f t="shared" ca="1" si="130"/>
        <v/>
      </c>
      <c r="BE71" s="463" t="str">
        <f t="shared" ca="1" si="130"/>
        <v/>
      </c>
      <c r="BF71" s="463" t="str">
        <f t="shared" ca="1" si="130"/>
        <v/>
      </c>
      <c r="BG71" s="463" t="str">
        <f t="shared" ca="1" si="130"/>
        <v/>
      </c>
      <c r="BH71" s="463" t="str">
        <f t="shared" ca="1" si="130"/>
        <v/>
      </c>
      <c r="BI71" s="463" t="str">
        <f t="shared" ca="1" si="130"/>
        <v/>
      </c>
      <c r="BJ71" s="463" t="str">
        <f t="shared" ca="1" si="130"/>
        <v/>
      </c>
      <c r="BK71" s="463" t="str">
        <f t="shared" ca="1" si="130"/>
        <v/>
      </c>
      <c r="BL71" s="463" t="str">
        <f t="shared" ca="1" si="130"/>
        <v/>
      </c>
      <c r="BM71" s="463" t="str">
        <f t="shared" ca="1" si="130"/>
        <v/>
      </c>
      <c r="BN71" s="463" t="str">
        <f t="shared" ca="1" si="130"/>
        <v/>
      </c>
      <c r="BO71" s="463" t="str">
        <f t="shared" ca="1" si="130"/>
        <v/>
      </c>
      <c r="BP71" s="463" t="str">
        <f t="shared" ca="1" si="130"/>
        <v/>
      </c>
      <c r="BQ71" s="463" t="str">
        <f t="shared" ca="1" si="130"/>
        <v/>
      </c>
      <c r="BR71" s="463" t="str">
        <f t="shared" ca="1" si="130"/>
        <v/>
      </c>
      <c r="BS71" s="463" t="str">
        <f t="shared" ca="1" si="130"/>
        <v/>
      </c>
      <c r="BT71" s="463" t="str">
        <f t="shared" ca="1" si="130"/>
        <v/>
      </c>
      <c r="BU71" s="463" t="str">
        <f t="shared" ca="1" si="130"/>
        <v/>
      </c>
      <c r="BV71" s="463" t="str">
        <f t="shared" ca="1" si="130"/>
        <v/>
      </c>
      <c r="BW71" s="463" t="str">
        <f t="shared" ca="1" si="130"/>
        <v/>
      </c>
      <c r="BX71" s="463" t="str">
        <f t="shared" ca="1" si="130"/>
        <v/>
      </c>
      <c r="BY71" s="463" t="str">
        <f t="shared" ca="1" si="130"/>
        <v/>
      </c>
      <c r="BZ71" s="463" t="str">
        <f t="shared" ca="1" si="130"/>
        <v/>
      </c>
      <c r="CA71" s="463" t="str">
        <f t="shared" ca="1" si="130"/>
        <v/>
      </c>
      <c r="CB71" s="463" t="str">
        <f t="shared" ca="1" si="130"/>
        <v/>
      </c>
      <c r="CC71" s="463" t="str">
        <f t="shared" ca="1" si="130"/>
        <v/>
      </c>
      <c r="CD71" s="463" t="str">
        <f t="shared" ca="1" si="130"/>
        <v/>
      </c>
      <c r="CE71" s="463" t="str">
        <f t="shared" ca="1" si="130"/>
        <v/>
      </c>
      <c r="CF71" s="463" t="str">
        <f t="shared" ca="1" si="130"/>
        <v/>
      </c>
      <c r="CG71" s="463" t="str">
        <f t="shared" ca="1" si="130"/>
        <v/>
      </c>
      <c r="CH71" s="463" t="str">
        <f t="shared" ca="1" si="130"/>
        <v/>
      </c>
      <c r="CI71" s="463" t="str">
        <f t="shared" ref="CI71:DR71" ca="1" si="131">IF(CI$10&lt;=(Åpningsår+ProsjektetsLevetid-1),IF(CI67&lt;=AndreBeregningsår,IF(SIGN($D71)=SIGN($E71),$D71*$J71^(CI67-FørsteBeregningsår),($D71+1.1*ABS($D71-$E71))*$J71^(CI67-FørsteBeregningsår)-1.1*ABS($D71-$E71)),IF(CI67&lt;=TredjeBeregningsår,IF(SIGN($E71)=SIGN($F71),$E71*$K71^(CI67-AndreBeregningsår),($E71+1.1*ABS($E71-$F71))*$K71^(CI67-AndreBeregningsår)-1.1*ABS($E71-$F71)),OFFSET($D71,0,Antall_Beregningsår-1)*LOOKUP(CI67,SerieÅR,SerieVolumvekstperson)+$L71*(CI67-IF(Antall_Beregningsår&gt;2,TredjeBeregningsår,AndreBeregningsår))))*KPIJustering*LOOKUP(CI67,SerieÅR,SerieRealprisjustering),"")</f>
        <v/>
      </c>
      <c r="CJ71" s="463" t="str">
        <f t="shared" ca="1" si="131"/>
        <v/>
      </c>
      <c r="CK71" s="463" t="str">
        <f t="shared" ca="1" si="131"/>
        <v/>
      </c>
      <c r="CL71" s="463" t="str">
        <f t="shared" ca="1" si="131"/>
        <v/>
      </c>
      <c r="CM71" s="463" t="str">
        <f t="shared" ca="1" si="131"/>
        <v/>
      </c>
      <c r="CN71" s="463" t="str">
        <f t="shared" ca="1" si="131"/>
        <v/>
      </c>
      <c r="CO71" s="463" t="str">
        <f t="shared" ca="1" si="131"/>
        <v/>
      </c>
      <c r="CP71" s="463" t="str">
        <f t="shared" ca="1" si="131"/>
        <v/>
      </c>
      <c r="CQ71" s="463" t="str">
        <f t="shared" ca="1" si="131"/>
        <v/>
      </c>
      <c r="CR71" s="463" t="str">
        <f t="shared" ca="1" si="131"/>
        <v/>
      </c>
      <c r="CS71" s="463" t="str">
        <f t="shared" ca="1" si="131"/>
        <v/>
      </c>
      <c r="CT71" s="463" t="str">
        <f t="shared" ca="1" si="131"/>
        <v/>
      </c>
      <c r="CU71" s="463" t="str">
        <f t="shared" ca="1" si="131"/>
        <v/>
      </c>
      <c r="CV71" s="463" t="str">
        <f t="shared" ca="1" si="131"/>
        <v/>
      </c>
      <c r="CW71" s="463" t="str">
        <f t="shared" ca="1" si="131"/>
        <v/>
      </c>
      <c r="CX71" s="463" t="str">
        <f t="shared" ca="1" si="131"/>
        <v/>
      </c>
      <c r="CY71" s="463" t="str">
        <f t="shared" ca="1" si="131"/>
        <v/>
      </c>
      <c r="CZ71" s="463" t="str">
        <f t="shared" ca="1" si="131"/>
        <v/>
      </c>
      <c r="DA71" s="463" t="str">
        <f t="shared" ca="1" si="131"/>
        <v/>
      </c>
      <c r="DB71" s="463" t="str">
        <f t="shared" ca="1" si="131"/>
        <v/>
      </c>
      <c r="DC71" s="463" t="str">
        <f t="shared" ca="1" si="131"/>
        <v/>
      </c>
      <c r="DD71" s="463" t="str">
        <f t="shared" ca="1" si="131"/>
        <v/>
      </c>
      <c r="DE71" s="463" t="str">
        <f t="shared" ca="1" si="131"/>
        <v/>
      </c>
      <c r="DF71" s="463" t="str">
        <f t="shared" ca="1" si="131"/>
        <v/>
      </c>
      <c r="DG71" s="463" t="str">
        <f t="shared" ca="1" si="131"/>
        <v/>
      </c>
      <c r="DH71" s="463" t="str">
        <f t="shared" ca="1" si="131"/>
        <v/>
      </c>
      <c r="DI71" s="463" t="str">
        <f t="shared" ca="1" si="131"/>
        <v/>
      </c>
      <c r="DJ71" s="463" t="str">
        <f t="shared" ca="1" si="131"/>
        <v/>
      </c>
      <c r="DK71" s="463" t="str">
        <f t="shared" ca="1" si="131"/>
        <v/>
      </c>
      <c r="DL71" s="463" t="str">
        <f t="shared" ca="1" si="131"/>
        <v/>
      </c>
      <c r="DM71" s="463" t="str">
        <f t="shared" ca="1" si="131"/>
        <v/>
      </c>
      <c r="DN71" s="463" t="str">
        <f t="shared" ca="1" si="131"/>
        <v/>
      </c>
      <c r="DO71" s="463" t="str">
        <f t="shared" ca="1" si="131"/>
        <v/>
      </c>
      <c r="DP71" s="463" t="str">
        <f t="shared" ca="1" si="131"/>
        <v/>
      </c>
      <c r="DQ71" s="463" t="str">
        <f t="shared" ca="1" si="131"/>
        <v/>
      </c>
      <c r="DR71" s="463" t="str">
        <f t="shared" ca="1" si="131"/>
        <v/>
      </c>
      <c r="DS71" s="801">
        <f ca="1">SUMPRODUCT(('1.5 Prognoser og indekser'!$R$12:OFFSET('1.5 Prognoser og indekser'!$R$12,0,$DS$9)),($M71:OFFSET($M71,0,$DS$9)))</f>
        <v>0</v>
      </c>
      <c r="DT71" s="802">
        <f ca="1">IF($DT$9&lt;1,0,SUMPRODUCT(OFFSET('1.5 Prognoser og indekser'!$R$12,0,$DS$9+1,1,$DT$9),OFFSET($M71,0,$DS$9+1,1,$DT$9)))</f>
        <v>0</v>
      </c>
    </row>
    <row r="72" spans="1:124" x14ac:dyDescent="0.35">
      <c r="C72" s="212" t="s">
        <v>1595</v>
      </c>
      <c r="D72" s="463"/>
      <c r="E72" s="463"/>
      <c r="F72" s="463"/>
      <c r="G72" s="463"/>
      <c r="H72" s="463"/>
      <c r="I72" s="463"/>
      <c r="J72" s="790"/>
      <c r="K72" s="790"/>
      <c r="L72" s="752"/>
      <c r="M72" s="712" cm="1">
        <f t="array" ref="M72:DR72">Serie_kmMassetransportiByggefase*-Ulykke_Tunglastebil/1000000</f>
        <v>0</v>
      </c>
      <c r="N72" s="712">
        <v>0</v>
      </c>
      <c r="O72" s="712">
        <v>0</v>
      </c>
      <c r="P72" s="712">
        <v>0</v>
      </c>
      <c r="Q72" s="712">
        <v>0</v>
      </c>
      <c r="R72" s="712">
        <v>0</v>
      </c>
      <c r="S72" s="712">
        <v>0</v>
      </c>
      <c r="T72" s="712">
        <v>0</v>
      </c>
      <c r="U72" s="712">
        <v>0</v>
      </c>
      <c r="V72" s="712">
        <v>0</v>
      </c>
      <c r="W72" s="712">
        <v>0</v>
      </c>
      <c r="X72" s="712">
        <v>0</v>
      </c>
      <c r="Y72" s="712">
        <v>0</v>
      </c>
      <c r="Z72" s="712">
        <v>0</v>
      </c>
      <c r="AA72" s="712">
        <v>0</v>
      </c>
      <c r="AB72" s="712">
        <v>0</v>
      </c>
      <c r="AC72" s="712">
        <v>0</v>
      </c>
      <c r="AD72" s="712">
        <v>0</v>
      </c>
      <c r="AE72" s="712">
        <v>0</v>
      </c>
      <c r="AF72" s="712">
        <v>0</v>
      </c>
      <c r="AG72" s="712">
        <v>0</v>
      </c>
      <c r="AH72" s="712">
        <v>0</v>
      </c>
      <c r="AI72" s="712">
        <v>0</v>
      </c>
      <c r="AJ72" s="712">
        <v>0</v>
      </c>
      <c r="AK72" s="712">
        <v>0</v>
      </c>
      <c r="AL72" s="712">
        <v>0</v>
      </c>
      <c r="AM72" s="712">
        <v>0</v>
      </c>
      <c r="AN72" s="712">
        <v>0</v>
      </c>
      <c r="AO72" s="712">
        <v>0</v>
      </c>
      <c r="AP72" s="712">
        <v>0</v>
      </c>
      <c r="AQ72" s="712">
        <v>0</v>
      </c>
      <c r="AR72" s="712">
        <v>0</v>
      </c>
      <c r="AS72" s="712">
        <v>0</v>
      </c>
      <c r="AT72" s="712">
        <v>0</v>
      </c>
      <c r="AU72" s="712">
        <v>0</v>
      </c>
      <c r="AV72" s="712">
        <v>0</v>
      </c>
      <c r="AW72" s="712">
        <v>0</v>
      </c>
      <c r="AX72" s="712">
        <v>0</v>
      </c>
      <c r="AY72" s="712">
        <v>0</v>
      </c>
      <c r="AZ72" s="712">
        <v>0</v>
      </c>
      <c r="BA72" s="712">
        <v>0</v>
      </c>
      <c r="BB72" s="712">
        <v>0</v>
      </c>
      <c r="BC72" s="712">
        <v>0</v>
      </c>
      <c r="BD72" s="712">
        <v>0</v>
      </c>
      <c r="BE72" s="712">
        <v>0</v>
      </c>
      <c r="BF72" s="712">
        <v>0</v>
      </c>
      <c r="BG72" s="712">
        <v>0</v>
      </c>
      <c r="BH72" s="712">
        <v>0</v>
      </c>
      <c r="BI72" s="712">
        <v>0</v>
      </c>
      <c r="BJ72" s="712">
        <v>0</v>
      </c>
      <c r="BK72" s="712">
        <v>0</v>
      </c>
      <c r="BL72" s="712">
        <v>0</v>
      </c>
      <c r="BM72" s="712">
        <v>0</v>
      </c>
      <c r="BN72" s="712">
        <v>0</v>
      </c>
      <c r="BO72" s="712">
        <v>0</v>
      </c>
      <c r="BP72" s="712">
        <v>0</v>
      </c>
      <c r="BQ72" s="712">
        <v>0</v>
      </c>
      <c r="BR72" s="712">
        <v>0</v>
      </c>
      <c r="BS72" s="712">
        <v>0</v>
      </c>
      <c r="BT72" s="712">
        <v>0</v>
      </c>
      <c r="BU72" s="712">
        <v>0</v>
      </c>
      <c r="BV72" s="712">
        <v>0</v>
      </c>
      <c r="BW72" s="712">
        <v>0</v>
      </c>
      <c r="BX72" s="712">
        <v>0</v>
      </c>
      <c r="BY72" s="712">
        <v>0</v>
      </c>
      <c r="BZ72" s="712">
        <v>0</v>
      </c>
      <c r="CA72" s="712">
        <v>0</v>
      </c>
      <c r="CB72" s="712">
        <v>0</v>
      </c>
      <c r="CC72" s="712">
        <v>0</v>
      </c>
      <c r="CD72" s="712">
        <v>0</v>
      </c>
      <c r="CE72" s="712">
        <v>0</v>
      </c>
      <c r="CF72" s="712">
        <v>0</v>
      </c>
      <c r="CG72" s="712">
        <v>0</v>
      </c>
      <c r="CH72" s="712">
        <v>0</v>
      </c>
      <c r="CI72" s="712">
        <v>0</v>
      </c>
      <c r="CJ72" s="712">
        <v>0</v>
      </c>
      <c r="CK72" s="712">
        <v>0</v>
      </c>
      <c r="CL72" s="712">
        <v>0</v>
      </c>
      <c r="CM72" s="712">
        <v>0</v>
      </c>
      <c r="CN72" s="712">
        <v>0</v>
      </c>
      <c r="CO72" s="712">
        <v>0</v>
      </c>
      <c r="CP72" s="712">
        <v>0</v>
      </c>
      <c r="CQ72" s="712">
        <v>0</v>
      </c>
      <c r="CR72" s="712">
        <v>0</v>
      </c>
      <c r="CS72" s="712">
        <v>0</v>
      </c>
      <c r="CT72" s="712">
        <v>0</v>
      </c>
      <c r="CU72" s="712">
        <v>0</v>
      </c>
      <c r="CV72" s="712">
        <v>0</v>
      </c>
      <c r="CW72" s="712">
        <v>0</v>
      </c>
      <c r="CX72" s="712">
        <v>0</v>
      </c>
      <c r="CY72" s="712">
        <v>0</v>
      </c>
      <c r="CZ72" s="712">
        <v>0</v>
      </c>
      <c r="DA72" s="712">
        <v>0</v>
      </c>
      <c r="DB72" s="712">
        <v>0</v>
      </c>
      <c r="DC72" s="712">
        <v>0</v>
      </c>
      <c r="DD72" s="712">
        <v>0</v>
      </c>
      <c r="DE72" s="712">
        <v>0</v>
      </c>
      <c r="DF72" s="712">
        <v>0</v>
      </c>
      <c r="DG72" s="712">
        <v>0</v>
      </c>
      <c r="DH72" s="712">
        <v>0</v>
      </c>
      <c r="DI72" s="712">
        <v>0</v>
      </c>
      <c r="DJ72" s="712">
        <v>0</v>
      </c>
      <c r="DK72" s="712">
        <v>0</v>
      </c>
      <c r="DL72" s="712">
        <v>0</v>
      </c>
      <c r="DM72" s="712">
        <v>0</v>
      </c>
      <c r="DN72" s="712">
        <v>0</v>
      </c>
      <c r="DO72" s="712">
        <v>0</v>
      </c>
      <c r="DP72" s="712">
        <v>0</v>
      </c>
      <c r="DQ72" s="712">
        <v>0</v>
      </c>
      <c r="DR72" s="712">
        <v>0</v>
      </c>
      <c r="DS72" s="801">
        <f ca="1">SUMPRODUCT(('1.5 Prognoser og indekser'!$R$12:OFFSET('1.5 Prognoser og indekser'!$R$12,0,$DS$9)),($M72:OFFSET($M72,0,$DS$9)))</f>
        <v>0</v>
      </c>
      <c r="DT72" s="802">
        <f ca="1">IF($DT$9&lt;1,0,SUMPRODUCT(OFFSET('1.5 Prognoser og indekser'!$R$12,0,$DS$9+1,1,$DT$9),OFFSET($M72,0,$DS$9+1,1,$DT$9)))</f>
        <v>0</v>
      </c>
    </row>
    <row r="73" spans="1:124" x14ac:dyDescent="0.35">
      <c r="C73" s="212" t="s">
        <v>1596</v>
      </c>
      <c r="D73" s="463"/>
      <c r="E73" s="463"/>
      <c r="F73" s="463"/>
      <c r="G73" s="463"/>
      <c r="H73" s="463"/>
      <c r="I73" s="463"/>
      <c r="J73" s="790"/>
      <c r="K73" s="790"/>
      <c r="L73" s="752"/>
      <c r="M73" s="712" cm="1">
        <f t="array" ref="M73:DR73">Serie_kmMassetransportiByggefase*-Støy_TungLastebil/1000000</f>
        <v>0</v>
      </c>
      <c r="N73" s="712">
        <v>0</v>
      </c>
      <c r="O73" s="712">
        <v>0</v>
      </c>
      <c r="P73" s="712">
        <v>0</v>
      </c>
      <c r="Q73" s="712">
        <v>0</v>
      </c>
      <c r="R73" s="712">
        <v>0</v>
      </c>
      <c r="S73" s="712">
        <v>0</v>
      </c>
      <c r="T73" s="712">
        <v>0</v>
      </c>
      <c r="U73" s="712">
        <v>0</v>
      </c>
      <c r="V73" s="712">
        <v>0</v>
      </c>
      <c r="W73" s="712">
        <v>0</v>
      </c>
      <c r="X73" s="712">
        <v>0</v>
      </c>
      <c r="Y73" s="712">
        <v>0</v>
      </c>
      <c r="Z73" s="712">
        <v>0</v>
      </c>
      <c r="AA73" s="712">
        <v>0</v>
      </c>
      <c r="AB73" s="712">
        <v>0</v>
      </c>
      <c r="AC73" s="712">
        <v>0</v>
      </c>
      <c r="AD73" s="712">
        <v>0</v>
      </c>
      <c r="AE73" s="712">
        <v>0</v>
      </c>
      <c r="AF73" s="712">
        <v>0</v>
      </c>
      <c r="AG73" s="712">
        <v>0</v>
      </c>
      <c r="AH73" s="712">
        <v>0</v>
      </c>
      <c r="AI73" s="712">
        <v>0</v>
      </c>
      <c r="AJ73" s="712">
        <v>0</v>
      </c>
      <c r="AK73" s="712">
        <v>0</v>
      </c>
      <c r="AL73" s="712">
        <v>0</v>
      </c>
      <c r="AM73" s="712">
        <v>0</v>
      </c>
      <c r="AN73" s="712">
        <v>0</v>
      </c>
      <c r="AO73" s="712">
        <v>0</v>
      </c>
      <c r="AP73" s="712">
        <v>0</v>
      </c>
      <c r="AQ73" s="712">
        <v>0</v>
      </c>
      <c r="AR73" s="712">
        <v>0</v>
      </c>
      <c r="AS73" s="712">
        <v>0</v>
      </c>
      <c r="AT73" s="712">
        <v>0</v>
      </c>
      <c r="AU73" s="712">
        <v>0</v>
      </c>
      <c r="AV73" s="712">
        <v>0</v>
      </c>
      <c r="AW73" s="712">
        <v>0</v>
      </c>
      <c r="AX73" s="712">
        <v>0</v>
      </c>
      <c r="AY73" s="712">
        <v>0</v>
      </c>
      <c r="AZ73" s="712">
        <v>0</v>
      </c>
      <c r="BA73" s="712">
        <v>0</v>
      </c>
      <c r="BB73" s="712">
        <v>0</v>
      </c>
      <c r="BC73" s="712">
        <v>0</v>
      </c>
      <c r="BD73" s="712">
        <v>0</v>
      </c>
      <c r="BE73" s="712">
        <v>0</v>
      </c>
      <c r="BF73" s="712">
        <v>0</v>
      </c>
      <c r="BG73" s="712">
        <v>0</v>
      </c>
      <c r="BH73" s="712">
        <v>0</v>
      </c>
      <c r="BI73" s="712">
        <v>0</v>
      </c>
      <c r="BJ73" s="712">
        <v>0</v>
      </c>
      <c r="BK73" s="712">
        <v>0</v>
      </c>
      <c r="BL73" s="712">
        <v>0</v>
      </c>
      <c r="BM73" s="712">
        <v>0</v>
      </c>
      <c r="BN73" s="712">
        <v>0</v>
      </c>
      <c r="BO73" s="712">
        <v>0</v>
      </c>
      <c r="BP73" s="712">
        <v>0</v>
      </c>
      <c r="BQ73" s="712">
        <v>0</v>
      </c>
      <c r="BR73" s="712">
        <v>0</v>
      </c>
      <c r="BS73" s="712">
        <v>0</v>
      </c>
      <c r="BT73" s="712">
        <v>0</v>
      </c>
      <c r="BU73" s="712">
        <v>0</v>
      </c>
      <c r="BV73" s="712">
        <v>0</v>
      </c>
      <c r="BW73" s="712">
        <v>0</v>
      </c>
      <c r="BX73" s="712">
        <v>0</v>
      </c>
      <c r="BY73" s="712">
        <v>0</v>
      </c>
      <c r="BZ73" s="712">
        <v>0</v>
      </c>
      <c r="CA73" s="712">
        <v>0</v>
      </c>
      <c r="CB73" s="712">
        <v>0</v>
      </c>
      <c r="CC73" s="712">
        <v>0</v>
      </c>
      <c r="CD73" s="712">
        <v>0</v>
      </c>
      <c r="CE73" s="712">
        <v>0</v>
      </c>
      <c r="CF73" s="712">
        <v>0</v>
      </c>
      <c r="CG73" s="712">
        <v>0</v>
      </c>
      <c r="CH73" s="712">
        <v>0</v>
      </c>
      <c r="CI73" s="712">
        <v>0</v>
      </c>
      <c r="CJ73" s="712">
        <v>0</v>
      </c>
      <c r="CK73" s="712">
        <v>0</v>
      </c>
      <c r="CL73" s="712">
        <v>0</v>
      </c>
      <c r="CM73" s="712">
        <v>0</v>
      </c>
      <c r="CN73" s="712">
        <v>0</v>
      </c>
      <c r="CO73" s="712">
        <v>0</v>
      </c>
      <c r="CP73" s="712">
        <v>0</v>
      </c>
      <c r="CQ73" s="712">
        <v>0</v>
      </c>
      <c r="CR73" s="712">
        <v>0</v>
      </c>
      <c r="CS73" s="712">
        <v>0</v>
      </c>
      <c r="CT73" s="712">
        <v>0</v>
      </c>
      <c r="CU73" s="712">
        <v>0</v>
      </c>
      <c r="CV73" s="712">
        <v>0</v>
      </c>
      <c r="CW73" s="712">
        <v>0</v>
      </c>
      <c r="CX73" s="712">
        <v>0</v>
      </c>
      <c r="CY73" s="712">
        <v>0</v>
      </c>
      <c r="CZ73" s="712">
        <v>0</v>
      </c>
      <c r="DA73" s="712">
        <v>0</v>
      </c>
      <c r="DB73" s="712">
        <v>0</v>
      </c>
      <c r="DC73" s="712">
        <v>0</v>
      </c>
      <c r="DD73" s="712">
        <v>0</v>
      </c>
      <c r="DE73" s="712">
        <v>0</v>
      </c>
      <c r="DF73" s="712">
        <v>0</v>
      </c>
      <c r="DG73" s="712">
        <v>0</v>
      </c>
      <c r="DH73" s="712">
        <v>0</v>
      </c>
      <c r="DI73" s="712">
        <v>0</v>
      </c>
      <c r="DJ73" s="712">
        <v>0</v>
      </c>
      <c r="DK73" s="712">
        <v>0</v>
      </c>
      <c r="DL73" s="712">
        <v>0</v>
      </c>
      <c r="DM73" s="712">
        <v>0</v>
      </c>
      <c r="DN73" s="712">
        <v>0</v>
      </c>
      <c r="DO73" s="712">
        <v>0</v>
      </c>
      <c r="DP73" s="712">
        <v>0</v>
      </c>
      <c r="DQ73" s="712">
        <v>0</v>
      </c>
      <c r="DR73" s="712">
        <v>0</v>
      </c>
      <c r="DS73" s="801">
        <f ca="1">SUMPRODUCT(('1.5 Prognoser og indekser'!$R$12:OFFSET('1.5 Prognoser og indekser'!$R$12,0,$DS$9)),($M73:OFFSET($M73,0,$DS$9)))</f>
        <v>0</v>
      </c>
      <c r="DT73" s="802">
        <f ca="1">IF($DT$9&lt;1,0,SUMPRODUCT(OFFSET('1.5 Prognoser og indekser'!$R$12,0,$DS$9+1,1,$DT$9),OFFSET($M73,0,$DS$9+1,1,$DT$9)))</f>
        <v>0</v>
      </c>
    </row>
    <row r="74" spans="1:124" x14ac:dyDescent="0.35">
      <c r="C74" s="212" t="s">
        <v>1597</v>
      </c>
      <c r="D74" s="463"/>
      <c r="E74" s="463"/>
      <c r="F74" s="463"/>
      <c r="G74" s="463"/>
      <c r="H74" s="463"/>
      <c r="I74" s="463"/>
      <c r="J74" s="790"/>
      <c r="K74" s="790"/>
      <c r="L74" s="752"/>
      <c r="M74" s="712" cm="1">
        <f t="array" ref="M74:DR74">Serie_kmMassetransportiByggefase*-LokaleUtslipp_TungLastebil/1000000</f>
        <v>0</v>
      </c>
      <c r="N74" s="712">
        <v>0</v>
      </c>
      <c r="O74" s="712">
        <v>0</v>
      </c>
      <c r="P74" s="712">
        <v>0</v>
      </c>
      <c r="Q74" s="712">
        <v>0</v>
      </c>
      <c r="R74" s="712">
        <v>0</v>
      </c>
      <c r="S74" s="712">
        <v>0</v>
      </c>
      <c r="T74" s="712">
        <v>0</v>
      </c>
      <c r="U74" s="712">
        <v>0</v>
      </c>
      <c r="V74" s="712">
        <v>0</v>
      </c>
      <c r="W74" s="712">
        <v>0</v>
      </c>
      <c r="X74" s="712">
        <v>0</v>
      </c>
      <c r="Y74" s="712">
        <v>0</v>
      </c>
      <c r="Z74" s="712">
        <v>0</v>
      </c>
      <c r="AA74" s="712">
        <v>0</v>
      </c>
      <c r="AB74" s="712">
        <v>0</v>
      </c>
      <c r="AC74" s="712">
        <v>0</v>
      </c>
      <c r="AD74" s="712">
        <v>0</v>
      </c>
      <c r="AE74" s="712">
        <v>0</v>
      </c>
      <c r="AF74" s="712">
        <v>0</v>
      </c>
      <c r="AG74" s="712">
        <v>0</v>
      </c>
      <c r="AH74" s="712">
        <v>0</v>
      </c>
      <c r="AI74" s="712">
        <v>0</v>
      </c>
      <c r="AJ74" s="712">
        <v>0</v>
      </c>
      <c r="AK74" s="712">
        <v>0</v>
      </c>
      <c r="AL74" s="712">
        <v>0</v>
      </c>
      <c r="AM74" s="712">
        <v>0</v>
      </c>
      <c r="AN74" s="712">
        <v>0</v>
      </c>
      <c r="AO74" s="712">
        <v>0</v>
      </c>
      <c r="AP74" s="712">
        <v>0</v>
      </c>
      <c r="AQ74" s="712">
        <v>0</v>
      </c>
      <c r="AR74" s="712">
        <v>0</v>
      </c>
      <c r="AS74" s="712">
        <v>0</v>
      </c>
      <c r="AT74" s="712">
        <v>0</v>
      </c>
      <c r="AU74" s="712">
        <v>0</v>
      </c>
      <c r="AV74" s="712">
        <v>0</v>
      </c>
      <c r="AW74" s="712">
        <v>0</v>
      </c>
      <c r="AX74" s="712">
        <v>0</v>
      </c>
      <c r="AY74" s="712">
        <v>0</v>
      </c>
      <c r="AZ74" s="712">
        <v>0</v>
      </c>
      <c r="BA74" s="712">
        <v>0</v>
      </c>
      <c r="BB74" s="712">
        <v>0</v>
      </c>
      <c r="BC74" s="712">
        <v>0</v>
      </c>
      <c r="BD74" s="712">
        <v>0</v>
      </c>
      <c r="BE74" s="712">
        <v>0</v>
      </c>
      <c r="BF74" s="712">
        <v>0</v>
      </c>
      <c r="BG74" s="712">
        <v>0</v>
      </c>
      <c r="BH74" s="712">
        <v>0</v>
      </c>
      <c r="BI74" s="712">
        <v>0</v>
      </c>
      <c r="BJ74" s="712">
        <v>0</v>
      </c>
      <c r="BK74" s="712">
        <v>0</v>
      </c>
      <c r="BL74" s="712">
        <v>0</v>
      </c>
      <c r="BM74" s="712">
        <v>0</v>
      </c>
      <c r="BN74" s="712">
        <v>0</v>
      </c>
      <c r="BO74" s="712">
        <v>0</v>
      </c>
      <c r="BP74" s="712">
        <v>0</v>
      </c>
      <c r="BQ74" s="712">
        <v>0</v>
      </c>
      <c r="BR74" s="712">
        <v>0</v>
      </c>
      <c r="BS74" s="712">
        <v>0</v>
      </c>
      <c r="BT74" s="712">
        <v>0</v>
      </c>
      <c r="BU74" s="712">
        <v>0</v>
      </c>
      <c r="BV74" s="712">
        <v>0</v>
      </c>
      <c r="BW74" s="712">
        <v>0</v>
      </c>
      <c r="BX74" s="712">
        <v>0</v>
      </c>
      <c r="BY74" s="712">
        <v>0</v>
      </c>
      <c r="BZ74" s="712">
        <v>0</v>
      </c>
      <c r="CA74" s="712">
        <v>0</v>
      </c>
      <c r="CB74" s="712">
        <v>0</v>
      </c>
      <c r="CC74" s="712">
        <v>0</v>
      </c>
      <c r="CD74" s="712">
        <v>0</v>
      </c>
      <c r="CE74" s="712">
        <v>0</v>
      </c>
      <c r="CF74" s="712">
        <v>0</v>
      </c>
      <c r="CG74" s="712">
        <v>0</v>
      </c>
      <c r="CH74" s="712">
        <v>0</v>
      </c>
      <c r="CI74" s="712">
        <v>0</v>
      </c>
      <c r="CJ74" s="712">
        <v>0</v>
      </c>
      <c r="CK74" s="712">
        <v>0</v>
      </c>
      <c r="CL74" s="712">
        <v>0</v>
      </c>
      <c r="CM74" s="712">
        <v>0</v>
      </c>
      <c r="CN74" s="712">
        <v>0</v>
      </c>
      <c r="CO74" s="712">
        <v>0</v>
      </c>
      <c r="CP74" s="712">
        <v>0</v>
      </c>
      <c r="CQ74" s="712">
        <v>0</v>
      </c>
      <c r="CR74" s="712">
        <v>0</v>
      </c>
      <c r="CS74" s="712">
        <v>0</v>
      </c>
      <c r="CT74" s="712">
        <v>0</v>
      </c>
      <c r="CU74" s="712">
        <v>0</v>
      </c>
      <c r="CV74" s="712">
        <v>0</v>
      </c>
      <c r="CW74" s="712">
        <v>0</v>
      </c>
      <c r="CX74" s="712">
        <v>0</v>
      </c>
      <c r="CY74" s="712">
        <v>0</v>
      </c>
      <c r="CZ74" s="712">
        <v>0</v>
      </c>
      <c r="DA74" s="712">
        <v>0</v>
      </c>
      <c r="DB74" s="712">
        <v>0</v>
      </c>
      <c r="DC74" s="712">
        <v>0</v>
      </c>
      <c r="DD74" s="712">
        <v>0</v>
      </c>
      <c r="DE74" s="712">
        <v>0</v>
      </c>
      <c r="DF74" s="712">
        <v>0</v>
      </c>
      <c r="DG74" s="712">
        <v>0</v>
      </c>
      <c r="DH74" s="712">
        <v>0</v>
      </c>
      <c r="DI74" s="712">
        <v>0</v>
      </c>
      <c r="DJ74" s="712">
        <v>0</v>
      </c>
      <c r="DK74" s="712">
        <v>0</v>
      </c>
      <c r="DL74" s="712">
        <v>0</v>
      </c>
      <c r="DM74" s="712">
        <v>0</v>
      </c>
      <c r="DN74" s="712">
        <v>0</v>
      </c>
      <c r="DO74" s="712">
        <v>0</v>
      </c>
      <c r="DP74" s="712">
        <v>0</v>
      </c>
      <c r="DQ74" s="712">
        <v>0</v>
      </c>
      <c r="DR74" s="712">
        <v>0</v>
      </c>
      <c r="DS74" s="801">
        <f ca="1">SUMPRODUCT(('1.5 Prognoser og indekser'!$R$12:OFFSET('1.5 Prognoser og indekser'!$R$12,0,$DS$9)),($M74:OFFSET($M74,0,$DS$9)))</f>
        <v>0</v>
      </c>
      <c r="DT74" s="802">
        <f ca="1">IF($DT$9&lt;1,0,SUMPRODUCT(OFFSET('1.5 Prognoser og indekser'!$R$12,0,$DS$9+1,1,$DT$9),OFFSET($M74,0,$DS$9+1,1,$DT$9)))</f>
        <v>0</v>
      </c>
    </row>
    <row r="75" spans="1:124" s="59" customFormat="1" x14ac:dyDescent="0.35">
      <c r="B75" s="102"/>
      <c r="C75" s="220" t="str">
        <f>'2.4 Samfunnet for øvrig'!B53</f>
        <v>Globale utslipp - CO2</v>
      </c>
      <c r="D75" s="42"/>
      <c r="E75" s="42"/>
      <c r="F75" s="42"/>
      <c r="G75" s="42"/>
      <c r="H75" s="42"/>
      <c r="I75" s="42"/>
      <c r="J75" s="585"/>
      <c r="K75" s="585"/>
      <c r="L75" s="561"/>
      <c r="M75" s="586"/>
      <c r="N75" s="586"/>
      <c r="O75" s="586"/>
      <c r="P75" s="586"/>
      <c r="Q75" s="586"/>
      <c r="R75" s="586"/>
      <c r="S75" s="586"/>
      <c r="T75" s="586"/>
      <c r="U75" s="42"/>
      <c r="V75" s="42"/>
      <c r="W75" s="42"/>
      <c r="X75" s="42"/>
      <c r="Y75" s="42"/>
      <c r="Z75" s="42"/>
      <c r="AA75" s="42"/>
      <c r="AB75" s="42"/>
      <c r="AC75" s="42"/>
      <c r="AD75" s="42"/>
      <c r="AE75" s="42"/>
      <c r="AF75" s="42"/>
      <c r="AG75" s="42"/>
      <c r="AH75" s="42"/>
      <c r="AI75" s="42"/>
      <c r="AJ75" s="42"/>
      <c r="AK75" s="42"/>
      <c r="AL75" s="42"/>
      <c r="AM75" s="42"/>
      <c r="AN75" s="42"/>
      <c r="AO75" s="42"/>
      <c r="AP75" s="42"/>
      <c r="AQ75" s="42"/>
      <c r="AR75" s="42"/>
      <c r="AS75" s="42"/>
      <c r="AT75" s="42"/>
      <c r="AU75" s="42"/>
      <c r="AV75" s="42"/>
      <c r="AW75" s="42"/>
      <c r="AX75" s="42"/>
      <c r="AY75" s="42"/>
      <c r="AZ75" s="42"/>
      <c r="BA75" s="42"/>
      <c r="BB75" s="42"/>
      <c r="BC75" s="42"/>
      <c r="BD75" s="42"/>
      <c r="BE75" s="42"/>
      <c r="BF75" s="42"/>
      <c r="BG75" s="42"/>
      <c r="BH75" s="42"/>
      <c r="BI75" s="42"/>
      <c r="BJ75" s="42"/>
      <c r="BK75" s="42"/>
      <c r="BL75" s="42"/>
      <c r="BM75" s="42"/>
      <c r="BN75" s="42"/>
      <c r="BO75" s="42"/>
      <c r="BP75" s="42"/>
      <c r="BQ75" s="42"/>
      <c r="BR75" s="42"/>
      <c r="BS75" s="42"/>
      <c r="BT75" s="42"/>
      <c r="BU75" s="42"/>
      <c r="BV75" s="42"/>
      <c r="BW75" s="42"/>
      <c r="BX75" s="42"/>
      <c r="BY75" s="42"/>
      <c r="BZ75" s="42"/>
      <c r="CA75" s="42"/>
      <c r="CB75" s="42"/>
      <c r="CC75" s="42"/>
      <c r="CD75" s="42"/>
      <c r="CE75" s="42"/>
      <c r="CF75" s="42"/>
      <c r="CG75" s="42"/>
      <c r="CH75" s="42"/>
      <c r="CI75" s="42"/>
      <c r="CJ75" s="42"/>
      <c r="CK75" s="42"/>
      <c r="CL75" s="42"/>
      <c r="CM75" s="42"/>
      <c r="CN75" s="42"/>
      <c r="CO75" s="42"/>
      <c r="CP75" s="42"/>
      <c r="CQ75" s="42"/>
      <c r="CR75" s="42"/>
      <c r="CS75" s="42"/>
      <c r="CT75" s="42"/>
      <c r="CU75" s="42"/>
      <c r="CV75" s="42"/>
      <c r="CW75" s="42"/>
      <c r="CX75" s="42"/>
      <c r="CY75" s="42"/>
      <c r="CZ75" s="42"/>
      <c r="DA75" s="42"/>
      <c r="DB75" s="42"/>
      <c r="DC75" s="42"/>
      <c r="DD75" s="42"/>
      <c r="DE75" s="42"/>
      <c r="DF75" s="42"/>
      <c r="DG75" s="42"/>
      <c r="DH75" s="42"/>
      <c r="DI75" s="42"/>
      <c r="DJ75" s="42"/>
      <c r="DK75" s="42"/>
      <c r="DL75" s="42"/>
      <c r="DM75" s="42"/>
      <c r="DN75" s="42"/>
      <c r="DO75" s="42"/>
      <c r="DP75" s="42"/>
      <c r="DQ75" s="42"/>
      <c r="DR75" s="42"/>
      <c r="DS75" s="561"/>
      <c r="DT75" s="1020"/>
    </row>
    <row r="76" spans="1:124" s="59" customFormat="1" x14ac:dyDescent="0.35">
      <c r="C76" s="254" t="str">
        <f>CONCATENATE('2.4 Samfunnet for øvrig'!B54,," - ",'2.4 Samfunnet for øvrig'!B12)</f>
        <v>Jernbane - Persontog</v>
      </c>
      <c r="D76" s="792">
        <f>-'2.4 Samfunnet for øvrig'!C55</f>
        <v>0</v>
      </c>
      <c r="E76" s="792">
        <f>-'2.4 Samfunnet for øvrig'!D55</f>
        <v>0</v>
      </c>
      <c r="F76" s="792">
        <f>-'2.4 Samfunnet for øvrig'!E55</f>
        <v>0</v>
      </c>
      <c r="G76" s="792">
        <f>-(TogkmD_År1+TogkmBiDi_År1)/1000000</f>
        <v>0</v>
      </c>
      <c r="H76" s="792">
        <f>-(TogkmD_År2+TogkmBiDi_År2)/1000000</f>
        <v>0</v>
      </c>
      <c r="I76" s="792">
        <f>-(TogkmD_År3+TogkmBiDi_År3)/1000000</f>
        <v>0</v>
      </c>
      <c r="J76" s="790">
        <f>IF(Antall_Beregningsår&lt;2,1,IF(AND(G76=0,H76=0),1,IF(SIGN(G76)=SIGN(H76),(H76/G76)^(1/(AndreBeregningsår-FørsteBeregningsår)),((H76+1.1*ABS(G76-H76))/(G76+1.1*ABS(G76-H76)))^(1/(AndreBeregningsår-FørsteBeregningsår)))))</f>
        <v>1</v>
      </c>
      <c r="K76" s="790">
        <f>IF(Antall_Beregningsår&lt;3,1,IF(AND(H76=0,I76=0),1,IF(SIGN(H76)=SIGN(I76),(I76/H76)^(1/(TredjeBeregningsår-AndreBeregningsår)),((I76+1.1*ABS(H76-I76))/(H76+1.1*ABS(H76-I76)))^(1/(TredjeBeregningsår-AndreBeregningsår)))))</f>
        <v>1</v>
      </c>
      <c r="L76" s="752">
        <f>IF(Framskrivning="Lineær trend",IF(Antall_Beregningsår&gt;2,(F76-E76)/(TredjeBeregningsår-AndreBeregningsår),IF(Antall_Beregningsår&gt;1,(E76-D76)/(AndreBeregningsår-FørsteBeregningsår),0)),0)</f>
        <v>0</v>
      </c>
      <c r="M76" s="787"/>
      <c r="N76" s="787"/>
      <c r="O76" s="787"/>
      <c r="P76" s="787"/>
      <c r="Q76" s="787"/>
      <c r="R76" s="787"/>
      <c r="S76" s="787"/>
      <c r="T76" s="787"/>
      <c r="U76" s="792"/>
      <c r="V76" s="777"/>
      <c r="W76" s="463" t="str">
        <f t="shared" ref="W76:BB76" ca="1" si="132">IF(W$10&lt;=(Åpningsår+ProsjektetsLevetid-1),IF(W67&lt;=AndreBeregningsår,IF(SIGN($G76)=SIGN($H76),$G76*$J76^(W67-FørsteBeregningsår),($G76+1.1*ABS($G76-$H76))*$J76^(W67-FørsteBeregningsår)-1.1*ABS($G76-$H76)),IF(W67&lt;=TredjeBeregningsår,IF(SIGN($H76)=SIGN($I76),$H76*$K76^(W67-AndreBeregningsår),($H76+1.1*ABS($H76-$I76))*$K76^(W67-AndreBeregningsår)-1.1*ABS($H76-$I76)),OFFSET($G76,0,Antall_Beregningsår-1)*LOOKUP(W67,SerieÅR,SerieVolumvekstperson)+$L76*(W67-IF(Antall_Beregningsår&gt;2,TredjeBeregningsår,AndreBeregningsår))))*KPIJustering*LOOKUP(W67,SerieÅR,SerieCO2krkm_PersontogD),"")</f>
        <v/>
      </c>
      <c r="X76" s="463" t="str">
        <f t="shared" ca="1" si="132"/>
        <v/>
      </c>
      <c r="Y76" s="463" t="str">
        <f t="shared" ca="1" si="132"/>
        <v/>
      </c>
      <c r="Z76" s="463" t="str">
        <f t="shared" ca="1" si="132"/>
        <v/>
      </c>
      <c r="AA76" s="463" t="str">
        <f t="shared" ca="1" si="132"/>
        <v/>
      </c>
      <c r="AB76" s="463" t="str">
        <f t="shared" ca="1" si="132"/>
        <v/>
      </c>
      <c r="AC76" s="463" t="str">
        <f t="shared" ca="1" si="132"/>
        <v/>
      </c>
      <c r="AD76" s="463" t="str">
        <f t="shared" ca="1" si="132"/>
        <v/>
      </c>
      <c r="AE76" s="463" t="str">
        <f t="shared" ca="1" si="132"/>
        <v/>
      </c>
      <c r="AF76" s="463" t="str">
        <f t="shared" ca="1" si="132"/>
        <v/>
      </c>
      <c r="AG76" s="463" t="str">
        <f t="shared" ca="1" si="132"/>
        <v/>
      </c>
      <c r="AH76" s="463" t="str">
        <f t="shared" ca="1" si="132"/>
        <v/>
      </c>
      <c r="AI76" s="463" t="str">
        <f t="shared" ca="1" si="132"/>
        <v/>
      </c>
      <c r="AJ76" s="463" t="str">
        <f t="shared" ca="1" si="132"/>
        <v/>
      </c>
      <c r="AK76" s="463" t="str">
        <f t="shared" ca="1" si="132"/>
        <v/>
      </c>
      <c r="AL76" s="463" t="str">
        <f t="shared" ca="1" si="132"/>
        <v/>
      </c>
      <c r="AM76" s="463" t="str">
        <f t="shared" ca="1" si="132"/>
        <v/>
      </c>
      <c r="AN76" s="463" t="str">
        <f t="shared" ca="1" si="132"/>
        <v/>
      </c>
      <c r="AO76" s="463" t="str">
        <f t="shared" ca="1" si="132"/>
        <v/>
      </c>
      <c r="AP76" s="463" t="str">
        <f t="shared" ca="1" si="132"/>
        <v/>
      </c>
      <c r="AQ76" s="463" t="str">
        <f t="shared" ca="1" si="132"/>
        <v/>
      </c>
      <c r="AR76" s="463" t="str">
        <f t="shared" ca="1" si="132"/>
        <v/>
      </c>
      <c r="AS76" s="463" t="str">
        <f t="shared" ca="1" si="132"/>
        <v/>
      </c>
      <c r="AT76" s="463" t="str">
        <f t="shared" ca="1" si="132"/>
        <v/>
      </c>
      <c r="AU76" s="463" t="str">
        <f t="shared" ca="1" si="132"/>
        <v/>
      </c>
      <c r="AV76" s="463" t="str">
        <f t="shared" ca="1" si="132"/>
        <v/>
      </c>
      <c r="AW76" s="463" t="str">
        <f t="shared" ca="1" si="132"/>
        <v/>
      </c>
      <c r="AX76" s="463" t="str">
        <f t="shared" ca="1" si="132"/>
        <v/>
      </c>
      <c r="AY76" s="463" t="str">
        <f t="shared" ca="1" si="132"/>
        <v/>
      </c>
      <c r="AZ76" s="463" t="str">
        <f t="shared" ca="1" si="132"/>
        <v/>
      </c>
      <c r="BA76" s="463" t="str">
        <f t="shared" ca="1" si="132"/>
        <v/>
      </c>
      <c r="BB76" s="463" t="str">
        <f t="shared" ca="1" si="132"/>
        <v/>
      </c>
      <c r="BC76" s="463" t="str">
        <f t="shared" ref="BC76:CH76" ca="1" si="133">IF(BC$10&lt;=(Åpningsår+ProsjektetsLevetid-1),IF(BC67&lt;=AndreBeregningsår,IF(SIGN($G76)=SIGN($H76),$G76*$J76^(BC67-FørsteBeregningsår),($G76+1.1*ABS($G76-$H76))*$J76^(BC67-FørsteBeregningsår)-1.1*ABS($G76-$H76)),IF(BC67&lt;=TredjeBeregningsår,IF(SIGN($H76)=SIGN($I76),$H76*$K76^(BC67-AndreBeregningsår),($H76+1.1*ABS($H76-$I76))*$K76^(BC67-AndreBeregningsår)-1.1*ABS($H76-$I76)),OFFSET($G76,0,Antall_Beregningsår-1)*LOOKUP(BC67,SerieÅR,SerieVolumvekstperson)+$L76*(BC67-IF(Antall_Beregningsår&gt;2,TredjeBeregningsår,AndreBeregningsår))))*KPIJustering*LOOKUP(BC67,SerieÅR,SerieCO2krkm_PersontogD),"")</f>
        <v/>
      </c>
      <c r="BD76" s="463" t="str">
        <f t="shared" ca="1" si="133"/>
        <v/>
      </c>
      <c r="BE76" s="463" t="str">
        <f t="shared" ca="1" si="133"/>
        <v/>
      </c>
      <c r="BF76" s="463" t="str">
        <f t="shared" ca="1" si="133"/>
        <v/>
      </c>
      <c r="BG76" s="463" t="str">
        <f t="shared" ca="1" si="133"/>
        <v/>
      </c>
      <c r="BH76" s="463" t="str">
        <f t="shared" ca="1" si="133"/>
        <v/>
      </c>
      <c r="BI76" s="463" t="str">
        <f t="shared" ca="1" si="133"/>
        <v/>
      </c>
      <c r="BJ76" s="463" t="str">
        <f t="shared" ca="1" si="133"/>
        <v/>
      </c>
      <c r="BK76" s="463" t="str">
        <f t="shared" ca="1" si="133"/>
        <v/>
      </c>
      <c r="BL76" s="463" t="str">
        <f t="shared" ca="1" si="133"/>
        <v/>
      </c>
      <c r="BM76" s="463" t="str">
        <f t="shared" ca="1" si="133"/>
        <v/>
      </c>
      <c r="BN76" s="463" t="str">
        <f t="shared" ca="1" si="133"/>
        <v/>
      </c>
      <c r="BO76" s="463" t="str">
        <f t="shared" ca="1" si="133"/>
        <v/>
      </c>
      <c r="BP76" s="463" t="str">
        <f t="shared" ca="1" si="133"/>
        <v/>
      </c>
      <c r="BQ76" s="463" t="str">
        <f t="shared" ca="1" si="133"/>
        <v/>
      </c>
      <c r="BR76" s="463" t="str">
        <f t="shared" ca="1" si="133"/>
        <v/>
      </c>
      <c r="BS76" s="463" t="str">
        <f t="shared" ca="1" si="133"/>
        <v/>
      </c>
      <c r="BT76" s="463" t="str">
        <f t="shared" ca="1" si="133"/>
        <v/>
      </c>
      <c r="BU76" s="463" t="str">
        <f t="shared" ca="1" si="133"/>
        <v/>
      </c>
      <c r="BV76" s="463" t="str">
        <f t="shared" ca="1" si="133"/>
        <v/>
      </c>
      <c r="BW76" s="463" t="str">
        <f t="shared" ca="1" si="133"/>
        <v/>
      </c>
      <c r="BX76" s="463" t="str">
        <f t="shared" ca="1" si="133"/>
        <v/>
      </c>
      <c r="BY76" s="463" t="str">
        <f t="shared" ca="1" si="133"/>
        <v/>
      </c>
      <c r="BZ76" s="463" t="str">
        <f t="shared" ca="1" si="133"/>
        <v/>
      </c>
      <c r="CA76" s="463" t="str">
        <f t="shared" ca="1" si="133"/>
        <v/>
      </c>
      <c r="CB76" s="463" t="str">
        <f t="shared" ca="1" si="133"/>
        <v/>
      </c>
      <c r="CC76" s="463" t="str">
        <f t="shared" ca="1" si="133"/>
        <v/>
      </c>
      <c r="CD76" s="463" t="str">
        <f t="shared" ca="1" si="133"/>
        <v/>
      </c>
      <c r="CE76" s="463" t="str">
        <f t="shared" ca="1" si="133"/>
        <v/>
      </c>
      <c r="CF76" s="463" t="str">
        <f t="shared" ca="1" si="133"/>
        <v/>
      </c>
      <c r="CG76" s="463" t="str">
        <f t="shared" ca="1" si="133"/>
        <v/>
      </c>
      <c r="CH76" s="463" t="str">
        <f t="shared" ca="1" si="133"/>
        <v/>
      </c>
      <c r="CI76" s="463" t="str">
        <f t="shared" ref="CI76:DR76" ca="1" si="134">IF(CI$10&lt;=(Åpningsår+ProsjektetsLevetid-1),IF(CI67&lt;=AndreBeregningsår,IF(SIGN($G76)=SIGN($H76),$G76*$J76^(CI67-FørsteBeregningsår),($G76+1.1*ABS($G76-$H76))*$J76^(CI67-FørsteBeregningsår)-1.1*ABS($G76-$H76)),IF(CI67&lt;=TredjeBeregningsår,IF(SIGN($H76)=SIGN($I76),$H76*$K76^(CI67-AndreBeregningsår),($H76+1.1*ABS($H76-$I76))*$K76^(CI67-AndreBeregningsår)-1.1*ABS($H76-$I76)),OFFSET($G76,0,Antall_Beregningsår-1)*LOOKUP(CI67,SerieÅR,SerieVolumvekstperson)+$L76*(CI67-IF(Antall_Beregningsår&gt;2,TredjeBeregningsår,AndreBeregningsår))))*KPIJustering*LOOKUP(CI67,SerieÅR,SerieCO2krkm_PersontogD),"")</f>
        <v/>
      </c>
      <c r="CJ76" s="463" t="str">
        <f t="shared" ca="1" si="134"/>
        <v/>
      </c>
      <c r="CK76" s="463" t="str">
        <f t="shared" ca="1" si="134"/>
        <v/>
      </c>
      <c r="CL76" s="463" t="str">
        <f t="shared" ca="1" si="134"/>
        <v/>
      </c>
      <c r="CM76" s="463" t="str">
        <f t="shared" ca="1" si="134"/>
        <v/>
      </c>
      <c r="CN76" s="463" t="str">
        <f t="shared" ca="1" si="134"/>
        <v/>
      </c>
      <c r="CO76" s="463" t="str">
        <f t="shared" ca="1" si="134"/>
        <v/>
      </c>
      <c r="CP76" s="463" t="str">
        <f t="shared" ca="1" si="134"/>
        <v/>
      </c>
      <c r="CQ76" s="463" t="str">
        <f t="shared" ca="1" si="134"/>
        <v/>
      </c>
      <c r="CR76" s="463" t="str">
        <f t="shared" ca="1" si="134"/>
        <v/>
      </c>
      <c r="CS76" s="463" t="str">
        <f t="shared" ca="1" si="134"/>
        <v/>
      </c>
      <c r="CT76" s="463" t="str">
        <f t="shared" ca="1" si="134"/>
        <v/>
      </c>
      <c r="CU76" s="463" t="str">
        <f t="shared" ca="1" si="134"/>
        <v/>
      </c>
      <c r="CV76" s="463" t="str">
        <f t="shared" ca="1" si="134"/>
        <v/>
      </c>
      <c r="CW76" s="463" t="str">
        <f t="shared" ca="1" si="134"/>
        <v/>
      </c>
      <c r="CX76" s="463" t="str">
        <f t="shared" ca="1" si="134"/>
        <v/>
      </c>
      <c r="CY76" s="463" t="str">
        <f t="shared" ca="1" si="134"/>
        <v/>
      </c>
      <c r="CZ76" s="463" t="str">
        <f t="shared" ca="1" si="134"/>
        <v/>
      </c>
      <c r="DA76" s="463" t="str">
        <f t="shared" ca="1" si="134"/>
        <v/>
      </c>
      <c r="DB76" s="463" t="str">
        <f t="shared" ca="1" si="134"/>
        <v/>
      </c>
      <c r="DC76" s="463" t="str">
        <f t="shared" ca="1" si="134"/>
        <v/>
      </c>
      <c r="DD76" s="463" t="str">
        <f t="shared" ca="1" si="134"/>
        <v/>
      </c>
      <c r="DE76" s="463" t="str">
        <f t="shared" ca="1" si="134"/>
        <v/>
      </c>
      <c r="DF76" s="463" t="str">
        <f t="shared" ca="1" si="134"/>
        <v/>
      </c>
      <c r="DG76" s="463" t="str">
        <f t="shared" ca="1" si="134"/>
        <v/>
      </c>
      <c r="DH76" s="463" t="str">
        <f t="shared" ca="1" si="134"/>
        <v/>
      </c>
      <c r="DI76" s="463" t="str">
        <f t="shared" ca="1" si="134"/>
        <v/>
      </c>
      <c r="DJ76" s="463" t="str">
        <f t="shared" ca="1" si="134"/>
        <v/>
      </c>
      <c r="DK76" s="463" t="str">
        <f t="shared" ca="1" si="134"/>
        <v/>
      </c>
      <c r="DL76" s="463" t="str">
        <f t="shared" ca="1" si="134"/>
        <v/>
      </c>
      <c r="DM76" s="463" t="str">
        <f t="shared" ca="1" si="134"/>
        <v/>
      </c>
      <c r="DN76" s="463" t="str">
        <f t="shared" ca="1" si="134"/>
        <v/>
      </c>
      <c r="DO76" s="463" t="str">
        <f t="shared" ca="1" si="134"/>
        <v/>
      </c>
      <c r="DP76" s="463" t="str">
        <f t="shared" ca="1" si="134"/>
        <v/>
      </c>
      <c r="DQ76" s="463" t="str">
        <f t="shared" ca="1" si="134"/>
        <v/>
      </c>
      <c r="DR76" s="463" t="str">
        <f t="shared" ca="1" si="134"/>
        <v/>
      </c>
      <c r="DS76" s="803">
        <f ca="1">SUMPRODUCT(('1.5 Prognoser og indekser'!$R$12:OFFSET('1.5 Prognoser og indekser'!$R$12,0,$DS$9)),($M76:OFFSET($M76,0,$DS$9)))</f>
        <v>0</v>
      </c>
      <c r="DT76" s="804">
        <f ca="1">IF($DT$9&lt;1,0,SUMPRODUCT(OFFSET('1.5 Prognoser og indekser'!$R$12,0,$DS$9+1,1,$DT$9),OFFSET($M76,0,$DS$9+1,1,$DT$9)))</f>
        <v>0</v>
      </c>
    </row>
    <row r="77" spans="1:124" s="59" customFormat="1" x14ac:dyDescent="0.35">
      <c r="C77" s="254" t="str">
        <f>CONCATENATE('2.4 Samfunnet for øvrig'!B54,," - ",'2.4 Samfunnet for øvrig'!B13)</f>
        <v>Jernbane - Godstog</v>
      </c>
      <c r="D77" s="792">
        <f>-'2.4 Samfunnet for øvrig'!C56</f>
        <v>0</v>
      </c>
      <c r="E77" s="792">
        <f>-'2.4 Samfunnet for øvrig'!D56</f>
        <v>0</v>
      </c>
      <c r="F77" s="792">
        <f>-'2.4 Samfunnet for øvrig'!E56</f>
        <v>0</v>
      </c>
      <c r="G77" s="792">
        <f>-GodstogMkmD_År1</f>
        <v>0</v>
      </c>
      <c r="H77" s="792">
        <f>-GodstogMkmD_År2</f>
        <v>0</v>
      </c>
      <c r="I77" s="792">
        <f>-GodstogMkmD_År3</f>
        <v>0</v>
      </c>
      <c r="J77" s="790">
        <f>IF(Antall_Beregningsår&lt;2,1,IF(AND(G77=0,H77=0),1,IF(SIGN(G77)=SIGN(H77),(H77/G77)^(1/(AndreBeregningsår-FørsteBeregningsår)),((H77+1.1*ABS(G77-H77))/(G77+1.1*ABS(G77-H77)))^(1/(AndreBeregningsår-FørsteBeregningsår)))))</f>
        <v>1</v>
      </c>
      <c r="K77" s="790">
        <f>IF(Antall_Beregningsår&lt;3,1,IF(AND(H77=0,I77=0),1,IF(SIGN(H77)=SIGN(I77),(I77/H77)^(1/(TredjeBeregningsår-AndreBeregningsår)),((I77+1.1*ABS(H77-I77))/(H77+1.1*ABS(H77-I77)))^(1/(TredjeBeregningsår-AndreBeregningsår)))))</f>
        <v>1</v>
      </c>
      <c r="L77" s="752">
        <f t="shared" ref="L77:L84" si="135">IF(Framskrivning="Lineær trend",IF(Antall_Beregningsår&gt;2,(F77-E77)/(TredjeBeregningsår-AndreBeregningsår),IF(Antall_Beregningsår&gt;1,(E77-D77)/(AndreBeregningsår-FørsteBeregningsår),0)),0)</f>
        <v>0</v>
      </c>
      <c r="M77" s="787"/>
      <c r="N77" s="787"/>
      <c r="O77" s="787"/>
      <c r="P77" s="787"/>
      <c r="Q77" s="787"/>
      <c r="R77" s="787"/>
      <c r="S77" s="787"/>
      <c r="T77" s="787"/>
      <c r="U77" s="792"/>
      <c r="V77" s="777"/>
      <c r="W77" s="463" t="str">
        <f t="shared" ref="W77:BB77" ca="1" si="136">IF(W$10&lt;=(Åpningsår+ProsjektetsLevetid-1),IF(W67&lt;=AndreBeregningsår,IF(SIGN($G77)=SIGN($H77),$G77*$J77^(W67-FørsteBeregningsår),($G77+1.1*ABS($G77-$H77))*$J77^(W67-FørsteBeregningsår)-1.1*ABS($G77-$H77)),IF(W67&lt;=TredjeBeregningsår,IF(SIGN($H77)=SIGN($I77),$H77*$K77^(W67-AndreBeregningsår),($H77+1.1*ABS($H77-$I77))*$K77^(W67-AndreBeregningsår)-1.1*ABS($H77-$I77)),OFFSET($G77,0,Antall_Beregningsår-1)*LOOKUP(W67,SerieÅR,SerieVolumvekstGods)+$L77*(W67-IF(Antall_Beregningsår&gt;2,TredjeBeregningsår,AndreBeregningsår))))*KPIJustering*LOOKUP(W67,SerieÅR,SerieCO2krkm_GodstogD),"")</f>
        <v/>
      </c>
      <c r="X77" s="463" t="str">
        <f t="shared" ca="1" si="136"/>
        <v/>
      </c>
      <c r="Y77" s="463" t="str">
        <f t="shared" ca="1" si="136"/>
        <v/>
      </c>
      <c r="Z77" s="463" t="str">
        <f t="shared" ca="1" si="136"/>
        <v/>
      </c>
      <c r="AA77" s="463" t="str">
        <f t="shared" ca="1" si="136"/>
        <v/>
      </c>
      <c r="AB77" s="463" t="str">
        <f t="shared" ca="1" si="136"/>
        <v/>
      </c>
      <c r="AC77" s="463" t="str">
        <f t="shared" ca="1" si="136"/>
        <v/>
      </c>
      <c r="AD77" s="463" t="str">
        <f t="shared" ca="1" si="136"/>
        <v/>
      </c>
      <c r="AE77" s="463" t="str">
        <f t="shared" ca="1" si="136"/>
        <v/>
      </c>
      <c r="AF77" s="463" t="str">
        <f t="shared" ca="1" si="136"/>
        <v/>
      </c>
      <c r="AG77" s="463" t="str">
        <f t="shared" ca="1" si="136"/>
        <v/>
      </c>
      <c r="AH77" s="463" t="str">
        <f t="shared" ca="1" si="136"/>
        <v/>
      </c>
      <c r="AI77" s="463" t="str">
        <f t="shared" ca="1" si="136"/>
        <v/>
      </c>
      <c r="AJ77" s="463" t="str">
        <f t="shared" ca="1" si="136"/>
        <v/>
      </c>
      <c r="AK77" s="463" t="str">
        <f t="shared" ca="1" si="136"/>
        <v/>
      </c>
      <c r="AL77" s="463" t="str">
        <f t="shared" ca="1" si="136"/>
        <v/>
      </c>
      <c r="AM77" s="463" t="str">
        <f t="shared" ca="1" si="136"/>
        <v/>
      </c>
      <c r="AN77" s="463" t="str">
        <f t="shared" ca="1" si="136"/>
        <v/>
      </c>
      <c r="AO77" s="463" t="str">
        <f t="shared" ca="1" si="136"/>
        <v/>
      </c>
      <c r="AP77" s="463" t="str">
        <f t="shared" ca="1" si="136"/>
        <v/>
      </c>
      <c r="AQ77" s="463" t="str">
        <f t="shared" ca="1" si="136"/>
        <v/>
      </c>
      <c r="AR77" s="463" t="str">
        <f t="shared" ca="1" si="136"/>
        <v/>
      </c>
      <c r="AS77" s="463" t="str">
        <f t="shared" ca="1" si="136"/>
        <v/>
      </c>
      <c r="AT77" s="463" t="str">
        <f t="shared" ca="1" si="136"/>
        <v/>
      </c>
      <c r="AU77" s="463" t="str">
        <f t="shared" ca="1" si="136"/>
        <v/>
      </c>
      <c r="AV77" s="463" t="str">
        <f t="shared" ca="1" si="136"/>
        <v/>
      </c>
      <c r="AW77" s="463" t="str">
        <f t="shared" ca="1" si="136"/>
        <v/>
      </c>
      <c r="AX77" s="463" t="str">
        <f t="shared" ca="1" si="136"/>
        <v/>
      </c>
      <c r="AY77" s="463" t="str">
        <f t="shared" ca="1" si="136"/>
        <v/>
      </c>
      <c r="AZ77" s="463" t="str">
        <f t="shared" ca="1" si="136"/>
        <v/>
      </c>
      <c r="BA77" s="463" t="str">
        <f t="shared" ca="1" si="136"/>
        <v/>
      </c>
      <c r="BB77" s="463" t="str">
        <f t="shared" ca="1" si="136"/>
        <v/>
      </c>
      <c r="BC77" s="463" t="str">
        <f t="shared" ref="BC77:CH77" ca="1" si="137">IF(BC$10&lt;=(Åpningsår+ProsjektetsLevetid-1),IF(BC67&lt;=AndreBeregningsår,IF(SIGN($G77)=SIGN($H77),$G77*$J77^(BC67-FørsteBeregningsår),($G77+1.1*ABS($G77-$H77))*$J77^(BC67-FørsteBeregningsår)-1.1*ABS($G77-$H77)),IF(BC67&lt;=TredjeBeregningsår,IF(SIGN($H77)=SIGN($I77),$H77*$K77^(BC67-AndreBeregningsår),($H77+1.1*ABS($H77-$I77))*$K77^(BC67-AndreBeregningsår)-1.1*ABS($H77-$I77)),OFFSET($G77,0,Antall_Beregningsår-1)*LOOKUP(BC67,SerieÅR,SerieVolumvekstGods)+$L77*(BC67-IF(Antall_Beregningsår&gt;2,TredjeBeregningsår,AndreBeregningsår))))*KPIJustering*LOOKUP(BC67,SerieÅR,SerieCO2krkm_GodstogD),"")</f>
        <v/>
      </c>
      <c r="BD77" s="463" t="str">
        <f t="shared" ca="1" si="137"/>
        <v/>
      </c>
      <c r="BE77" s="463" t="str">
        <f t="shared" ca="1" si="137"/>
        <v/>
      </c>
      <c r="BF77" s="463" t="str">
        <f t="shared" ca="1" si="137"/>
        <v/>
      </c>
      <c r="BG77" s="463" t="str">
        <f t="shared" ca="1" si="137"/>
        <v/>
      </c>
      <c r="BH77" s="463" t="str">
        <f t="shared" ca="1" si="137"/>
        <v/>
      </c>
      <c r="BI77" s="463" t="str">
        <f t="shared" ca="1" si="137"/>
        <v/>
      </c>
      <c r="BJ77" s="463" t="str">
        <f t="shared" ca="1" si="137"/>
        <v/>
      </c>
      <c r="BK77" s="463" t="str">
        <f t="shared" ca="1" si="137"/>
        <v/>
      </c>
      <c r="BL77" s="463" t="str">
        <f t="shared" ca="1" si="137"/>
        <v/>
      </c>
      <c r="BM77" s="463" t="str">
        <f t="shared" ca="1" si="137"/>
        <v/>
      </c>
      <c r="BN77" s="463" t="str">
        <f t="shared" ca="1" si="137"/>
        <v/>
      </c>
      <c r="BO77" s="463" t="str">
        <f t="shared" ca="1" si="137"/>
        <v/>
      </c>
      <c r="BP77" s="463" t="str">
        <f t="shared" ca="1" si="137"/>
        <v/>
      </c>
      <c r="BQ77" s="463" t="str">
        <f t="shared" ca="1" si="137"/>
        <v/>
      </c>
      <c r="BR77" s="463" t="str">
        <f t="shared" ca="1" si="137"/>
        <v/>
      </c>
      <c r="BS77" s="463" t="str">
        <f t="shared" ca="1" si="137"/>
        <v/>
      </c>
      <c r="BT77" s="463" t="str">
        <f t="shared" ca="1" si="137"/>
        <v/>
      </c>
      <c r="BU77" s="463" t="str">
        <f t="shared" ca="1" si="137"/>
        <v/>
      </c>
      <c r="BV77" s="463" t="str">
        <f t="shared" ca="1" si="137"/>
        <v/>
      </c>
      <c r="BW77" s="463" t="str">
        <f t="shared" ca="1" si="137"/>
        <v/>
      </c>
      <c r="BX77" s="463" t="str">
        <f t="shared" ca="1" si="137"/>
        <v/>
      </c>
      <c r="BY77" s="463" t="str">
        <f t="shared" ca="1" si="137"/>
        <v/>
      </c>
      <c r="BZ77" s="463" t="str">
        <f t="shared" ca="1" si="137"/>
        <v/>
      </c>
      <c r="CA77" s="463" t="str">
        <f t="shared" ca="1" si="137"/>
        <v/>
      </c>
      <c r="CB77" s="463" t="str">
        <f t="shared" ca="1" si="137"/>
        <v/>
      </c>
      <c r="CC77" s="463" t="str">
        <f t="shared" ca="1" si="137"/>
        <v/>
      </c>
      <c r="CD77" s="463" t="str">
        <f t="shared" ca="1" si="137"/>
        <v/>
      </c>
      <c r="CE77" s="463" t="str">
        <f t="shared" ca="1" si="137"/>
        <v/>
      </c>
      <c r="CF77" s="463" t="str">
        <f t="shared" ca="1" si="137"/>
        <v/>
      </c>
      <c r="CG77" s="463" t="str">
        <f t="shared" ca="1" si="137"/>
        <v/>
      </c>
      <c r="CH77" s="463" t="str">
        <f t="shared" ca="1" si="137"/>
        <v/>
      </c>
      <c r="CI77" s="463" t="str">
        <f t="shared" ref="CI77:DR77" ca="1" si="138">IF(CI$10&lt;=(Åpningsår+ProsjektetsLevetid-1),IF(CI67&lt;=AndreBeregningsår,IF(SIGN($G77)=SIGN($H77),$G77*$J77^(CI67-FørsteBeregningsår),($G77+1.1*ABS($G77-$H77))*$J77^(CI67-FørsteBeregningsår)-1.1*ABS($G77-$H77)),IF(CI67&lt;=TredjeBeregningsår,IF(SIGN($H77)=SIGN($I77),$H77*$K77^(CI67-AndreBeregningsår),($H77+1.1*ABS($H77-$I77))*$K77^(CI67-AndreBeregningsår)-1.1*ABS($H77-$I77)),OFFSET($G77,0,Antall_Beregningsår-1)*LOOKUP(CI67,SerieÅR,SerieVolumvekstGods)+$L77*(CI67-IF(Antall_Beregningsår&gt;2,TredjeBeregningsår,AndreBeregningsår))))*KPIJustering*LOOKUP(CI67,SerieÅR,SerieCO2krkm_GodstogD),"")</f>
        <v/>
      </c>
      <c r="CJ77" s="463" t="str">
        <f t="shared" ca="1" si="138"/>
        <v/>
      </c>
      <c r="CK77" s="463" t="str">
        <f t="shared" ca="1" si="138"/>
        <v/>
      </c>
      <c r="CL77" s="463" t="str">
        <f t="shared" ca="1" si="138"/>
        <v/>
      </c>
      <c r="CM77" s="463" t="str">
        <f t="shared" ca="1" si="138"/>
        <v/>
      </c>
      <c r="CN77" s="463" t="str">
        <f t="shared" ca="1" si="138"/>
        <v/>
      </c>
      <c r="CO77" s="463" t="str">
        <f t="shared" ca="1" si="138"/>
        <v/>
      </c>
      <c r="CP77" s="463" t="str">
        <f t="shared" ca="1" si="138"/>
        <v/>
      </c>
      <c r="CQ77" s="463" t="str">
        <f t="shared" ca="1" si="138"/>
        <v/>
      </c>
      <c r="CR77" s="463" t="str">
        <f t="shared" ca="1" si="138"/>
        <v/>
      </c>
      <c r="CS77" s="463" t="str">
        <f t="shared" ca="1" si="138"/>
        <v/>
      </c>
      <c r="CT77" s="463" t="str">
        <f t="shared" ca="1" si="138"/>
        <v/>
      </c>
      <c r="CU77" s="463" t="str">
        <f t="shared" ca="1" si="138"/>
        <v/>
      </c>
      <c r="CV77" s="463" t="str">
        <f t="shared" ca="1" si="138"/>
        <v/>
      </c>
      <c r="CW77" s="463" t="str">
        <f t="shared" ca="1" si="138"/>
        <v/>
      </c>
      <c r="CX77" s="463" t="str">
        <f t="shared" ca="1" si="138"/>
        <v/>
      </c>
      <c r="CY77" s="463" t="str">
        <f t="shared" ca="1" si="138"/>
        <v/>
      </c>
      <c r="CZ77" s="463" t="str">
        <f t="shared" ca="1" si="138"/>
        <v/>
      </c>
      <c r="DA77" s="463" t="str">
        <f t="shared" ca="1" si="138"/>
        <v/>
      </c>
      <c r="DB77" s="463" t="str">
        <f t="shared" ca="1" si="138"/>
        <v/>
      </c>
      <c r="DC77" s="463" t="str">
        <f t="shared" ca="1" si="138"/>
        <v/>
      </c>
      <c r="DD77" s="463" t="str">
        <f t="shared" ca="1" si="138"/>
        <v/>
      </c>
      <c r="DE77" s="463" t="str">
        <f t="shared" ca="1" si="138"/>
        <v/>
      </c>
      <c r="DF77" s="463" t="str">
        <f t="shared" ca="1" si="138"/>
        <v/>
      </c>
      <c r="DG77" s="463" t="str">
        <f t="shared" ca="1" si="138"/>
        <v/>
      </c>
      <c r="DH77" s="463" t="str">
        <f t="shared" ca="1" si="138"/>
        <v/>
      </c>
      <c r="DI77" s="463" t="str">
        <f t="shared" ca="1" si="138"/>
        <v/>
      </c>
      <c r="DJ77" s="463" t="str">
        <f t="shared" ca="1" si="138"/>
        <v/>
      </c>
      <c r="DK77" s="463" t="str">
        <f t="shared" ca="1" si="138"/>
        <v/>
      </c>
      <c r="DL77" s="463" t="str">
        <f t="shared" ca="1" si="138"/>
        <v/>
      </c>
      <c r="DM77" s="463" t="str">
        <f t="shared" ca="1" si="138"/>
        <v/>
      </c>
      <c r="DN77" s="463" t="str">
        <f t="shared" ca="1" si="138"/>
        <v/>
      </c>
      <c r="DO77" s="463" t="str">
        <f t="shared" ca="1" si="138"/>
        <v/>
      </c>
      <c r="DP77" s="463" t="str">
        <f t="shared" ca="1" si="138"/>
        <v/>
      </c>
      <c r="DQ77" s="463" t="str">
        <f t="shared" ca="1" si="138"/>
        <v/>
      </c>
      <c r="DR77" s="463" t="str">
        <f t="shared" ca="1" si="138"/>
        <v/>
      </c>
      <c r="DS77" s="803">
        <f ca="1">SUMPRODUCT(('1.5 Prognoser og indekser'!$R$12:OFFSET('1.5 Prognoser og indekser'!$R$12,0,$DS$9)),($M77:OFFSET($M77,0,$DS$9)))</f>
        <v>0</v>
      </c>
      <c r="DT77" s="804">
        <f ca="1">IF($DT$9&lt;1,0,SUMPRODUCT(OFFSET('1.5 Prognoser og indekser'!$R$12,0,$DS$9+1,1,$DT$9),OFFSET($M77,0,$DS$9+1,1,$DT$9)))</f>
        <v>0</v>
      </c>
    </row>
    <row r="78" spans="1:124" s="102" customFormat="1" x14ac:dyDescent="0.35">
      <c r="B78" s="59"/>
      <c r="C78" s="254" t="str">
        <f>'2.4 Samfunnet for øvrig'!B62</f>
        <v>Personbil</v>
      </c>
      <c r="D78" s="792">
        <f>-('2.4 Samfunnet for øvrig'!C62)</f>
        <v>0</v>
      </c>
      <c r="E78" s="792">
        <f>-('2.4 Samfunnet for øvrig'!D62)</f>
        <v>0</v>
      </c>
      <c r="F78" s="792">
        <f>-('2.4 Samfunnet for øvrig'!E62)</f>
        <v>0</v>
      </c>
      <c r="G78" s="792">
        <f>-Kjøretøykm_Bil_År1/1000000</f>
        <v>0</v>
      </c>
      <c r="H78" s="792">
        <f>-Kjøretøykm_Bil_År2/1000000</f>
        <v>0</v>
      </c>
      <c r="I78" s="792">
        <f>-Kjøretøykm_Bil_År3/1000000</f>
        <v>0</v>
      </c>
      <c r="J78" s="790">
        <f>IF(Antall_Beregningsår&lt;2,1,IF(AND(G78=0,H78=0),1,IF(SIGN(G78)=SIGN(H78),(H78/G78)^(1/(AndreBeregningsår-FørsteBeregningsår)),((H78+1.1*ABS(G78-H78))/(G78+1.1*ABS(G78-H78)))^(1/(AndreBeregningsår-FørsteBeregningsår)))))</f>
        <v>1</v>
      </c>
      <c r="K78" s="790">
        <f>IF(Antall_Beregningsår&lt;3,1,IF(AND(H78=0,I78=0),1,IF(SIGN(H78)=SIGN(I78),(I78/H78)^(1/(TredjeBeregningsår-AndreBeregningsår)),((I78+1.1*ABS(H78-I78))/(H78+1.1*ABS(H78-I78)))^(1/(TredjeBeregningsår-AndreBeregningsår)))))</f>
        <v>1</v>
      </c>
      <c r="L78" s="752">
        <f t="shared" si="135"/>
        <v>0</v>
      </c>
      <c r="M78" s="793"/>
      <c r="N78" s="793"/>
      <c r="O78" s="793"/>
      <c r="P78" s="793"/>
      <c r="Q78" s="793"/>
      <c r="R78" s="793"/>
      <c r="S78" s="793"/>
      <c r="T78" s="793"/>
      <c r="U78" s="794"/>
      <c r="V78" s="795"/>
      <c r="W78" s="463" t="str">
        <f t="shared" ref="W78:BB78" ca="1" si="139">IF(W$10&lt;=(Åpningsår+ProsjektetsLevetid-1),IF(W67&lt;=AndreBeregningsår,IF(SIGN($G78)=SIGN($H78),$G78*$J78^(W67-FørsteBeregningsår),($G78+1.1*ABS($G78-$H78))*$J78^(W67-FørsteBeregningsår)-1.1*ABS($G78-$H78)),IF(W67&lt;=TredjeBeregningsår,IF(SIGN($H78)=SIGN($I78),$H78*$K78^(W67-AndreBeregningsår),($H78+1.1*ABS($H78-$I78))*$K78^(W67-AndreBeregningsår)-1.1*ABS($H78-$I78)),OFFSET($G78,0,Antall_Beregningsår-1)*LOOKUP(W67,SerieÅR,SerieVolumvekstperson)+$L78*(W67-IF(Antall_Beregningsår&gt;2,TredjeBeregningsår,AndreBeregningsår))))*KPIJustering*LOOKUP(W67,SerieÅR,SerieCO2krkm_Bil),"")</f>
        <v/>
      </c>
      <c r="X78" s="463" t="str">
        <f t="shared" ca="1" si="139"/>
        <v/>
      </c>
      <c r="Y78" s="463" t="str">
        <f t="shared" ca="1" si="139"/>
        <v/>
      </c>
      <c r="Z78" s="463" t="str">
        <f t="shared" ca="1" si="139"/>
        <v/>
      </c>
      <c r="AA78" s="463" t="str">
        <f t="shared" ca="1" si="139"/>
        <v/>
      </c>
      <c r="AB78" s="463" t="str">
        <f t="shared" ca="1" si="139"/>
        <v/>
      </c>
      <c r="AC78" s="463" t="str">
        <f t="shared" ca="1" si="139"/>
        <v/>
      </c>
      <c r="AD78" s="463" t="str">
        <f t="shared" ca="1" si="139"/>
        <v/>
      </c>
      <c r="AE78" s="463" t="str">
        <f t="shared" ca="1" si="139"/>
        <v/>
      </c>
      <c r="AF78" s="463" t="str">
        <f t="shared" ca="1" si="139"/>
        <v/>
      </c>
      <c r="AG78" s="463" t="str">
        <f t="shared" ca="1" si="139"/>
        <v/>
      </c>
      <c r="AH78" s="463" t="str">
        <f t="shared" ca="1" si="139"/>
        <v/>
      </c>
      <c r="AI78" s="463" t="str">
        <f t="shared" ca="1" si="139"/>
        <v/>
      </c>
      <c r="AJ78" s="463" t="str">
        <f t="shared" ca="1" si="139"/>
        <v/>
      </c>
      <c r="AK78" s="463" t="str">
        <f t="shared" ca="1" si="139"/>
        <v/>
      </c>
      <c r="AL78" s="463" t="str">
        <f t="shared" ca="1" si="139"/>
        <v/>
      </c>
      <c r="AM78" s="463" t="str">
        <f t="shared" ca="1" si="139"/>
        <v/>
      </c>
      <c r="AN78" s="463" t="str">
        <f t="shared" ca="1" si="139"/>
        <v/>
      </c>
      <c r="AO78" s="463" t="str">
        <f t="shared" ca="1" si="139"/>
        <v/>
      </c>
      <c r="AP78" s="463" t="str">
        <f t="shared" ca="1" si="139"/>
        <v/>
      </c>
      <c r="AQ78" s="463" t="str">
        <f t="shared" ca="1" si="139"/>
        <v/>
      </c>
      <c r="AR78" s="463" t="str">
        <f t="shared" ca="1" si="139"/>
        <v/>
      </c>
      <c r="AS78" s="463" t="str">
        <f t="shared" ca="1" si="139"/>
        <v/>
      </c>
      <c r="AT78" s="463" t="str">
        <f t="shared" ca="1" si="139"/>
        <v/>
      </c>
      <c r="AU78" s="463" t="str">
        <f t="shared" ca="1" si="139"/>
        <v/>
      </c>
      <c r="AV78" s="463" t="str">
        <f t="shared" ca="1" si="139"/>
        <v/>
      </c>
      <c r="AW78" s="463" t="str">
        <f t="shared" ca="1" si="139"/>
        <v/>
      </c>
      <c r="AX78" s="463" t="str">
        <f t="shared" ca="1" si="139"/>
        <v/>
      </c>
      <c r="AY78" s="463" t="str">
        <f t="shared" ca="1" si="139"/>
        <v/>
      </c>
      <c r="AZ78" s="463" t="str">
        <f t="shared" ca="1" si="139"/>
        <v/>
      </c>
      <c r="BA78" s="463" t="str">
        <f t="shared" ca="1" si="139"/>
        <v/>
      </c>
      <c r="BB78" s="463" t="str">
        <f t="shared" ca="1" si="139"/>
        <v/>
      </c>
      <c r="BC78" s="463" t="str">
        <f t="shared" ref="BC78:CH78" ca="1" si="140">IF(BC$10&lt;=(Åpningsår+ProsjektetsLevetid-1),IF(BC67&lt;=AndreBeregningsår,IF(SIGN($G78)=SIGN($H78),$G78*$J78^(BC67-FørsteBeregningsår),($G78+1.1*ABS($G78-$H78))*$J78^(BC67-FørsteBeregningsår)-1.1*ABS($G78-$H78)),IF(BC67&lt;=TredjeBeregningsår,IF(SIGN($H78)=SIGN($I78),$H78*$K78^(BC67-AndreBeregningsår),($H78+1.1*ABS($H78-$I78))*$K78^(BC67-AndreBeregningsår)-1.1*ABS($H78-$I78)),OFFSET($G78,0,Antall_Beregningsår-1)*LOOKUP(BC67,SerieÅR,SerieVolumvekstperson)+$L78*(BC67-IF(Antall_Beregningsår&gt;2,TredjeBeregningsår,AndreBeregningsår))))*KPIJustering*LOOKUP(BC67,SerieÅR,SerieCO2krkm_Bil),"")</f>
        <v/>
      </c>
      <c r="BD78" s="463" t="str">
        <f t="shared" ca="1" si="140"/>
        <v/>
      </c>
      <c r="BE78" s="463" t="str">
        <f t="shared" ca="1" si="140"/>
        <v/>
      </c>
      <c r="BF78" s="463" t="str">
        <f t="shared" ca="1" si="140"/>
        <v/>
      </c>
      <c r="BG78" s="463" t="str">
        <f t="shared" ca="1" si="140"/>
        <v/>
      </c>
      <c r="BH78" s="463" t="str">
        <f t="shared" ca="1" si="140"/>
        <v/>
      </c>
      <c r="BI78" s="463" t="str">
        <f t="shared" ca="1" si="140"/>
        <v/>
      </c>
      <c r="BJ78" s="463" t="str">
        <f t="shared" ca="1" si="140"/>
        <v/>
      </c>
      <c r="BK78" s="463" t="str">
        <f t="shared" ca="1" si="140"/>
        <v/>
      </c>
      <c r="BL78" s="463" t="str">
        <f t="shared" ca="1" si="140"/>
        <v/>
      </c>
      <c r="BM78" s="463" t="str">
        <f t="shared" ca="1" si="140"/>
        <v/>
      </c>
      <c r="BN78" s="463" t="str">
        <f t="shared" ca="1" si="140"/>
        <v/>
      </c>
      <c r="BO78" s="463" t="str">
        <f t="shared" ca="1" si="140"/>
        <v/>
      </c>
      <c r="BP78" s="463" t="str">
        <f t="shared" ca="1" si="140"/>
        <v/>
      </c>
      <c r="BQ78" s="463" t="str">
        <f t="shared" ca="1" si="140"/>
        <v/>
      </c>
      <c r="BR78" s="463" t="str">
        <f t="shared" ca="1" si="140"/>
        <v/>
      </c>
      <c r="BS78" s="463" t="str">
        <f t="shared" ca="1" si="140"/>
        <v/>
      </c>
      <c r="BT78" s="463" t="str">
        <f t="shared" ca="1" si="140"/>
        <v/>
      </c>
      <c r="BU78" s="463" t="str">
        <f t="shared" ca="1" si="140"/>
        <v/>
      </c>
      <c r="BV78" s="463" t="str">
        <f t="shared" ca="1" si="140"/>
        <v/>
      </c>
      <c r="BW78" s="463" t="str">
        <f t="shared" ca="1" si="140"/>
        <v/>
      </c>
      <c r="BX78" s="463" t="str">
        <f t="shared" ca="1" si="140"/>
        <v/>
      </c>
      <c r="BY78" s="463" t="str">
        <f t="shared" ca="1" si="140"/>
        <v/>
      </c>
      <c r="BZ78" s="463" t="str">
        <f t="shared" ca="1" si="140"/>
        <v/>
      </c>
      <c r="CA78" s="463" t="str">
        <f t="shared" ca="1" si="140"/>
        <v/>
      </c>
      <c r="CB78" s="463" t="str">
        <f t="shared" ca="1" si="140"/>
        <v/>
      </c>
      <c r="CC78" s="463" t="str">
        <f t="shared" ca="1" si="140"/>
        <v/>
      </c>
      <c r="CD78" s="463" t="str">
        <f t="shared" ca="1" si="140"/>
        <v/>
      </c>
      <c r="CE78" s="463" t="str">
        <f t="shared" ca="1" si="140"/>
        <v/>
      </c>
      <c r="CF78" s="463" t="str">
        <f t="shared" ca="1" si="140"/>
        <v/>
      </c>
      <c r="CG78" s="463" t="str">
        <f t="shared" ca="1" si="140"/>
        <v/>
      </c>
      <c r="CH78" s="463" t="str">
        <f t="shared" ca="1" si="140"/>
        <v/>
      </c>
      <c r="CI78" s="463" t="str">
        <f t="shared" ref="CI78:DR78" ca="1" si="141">IF(CI$10&lt;=(Åpningsår+ProsjektetsLevetid-1),IF(CI67&lt;=AndreBeregningsår,IF(SIGN($G78)=SIGN($H78),$G78*$J78^(CI67-FørsteBeregningsår),($G78+1.1*ABS($G78-$H78))*$J78^(CI67-FørsteBeregningsår)-1.1*ABS($G78-$H78)),IF(CI67&lt;=TredjeBeregningsår,IF(SIGN($H78)=SIGN($I78),$H78*$K78^(CI67-AndreBeregningsår),($H78+1.1*ABS($H78-$I78))*$K78^(CI67-AndreBeregningsår)-1.1*ABS($H78-$I78)),OFFSET($G78,0,Antall_Beregningsår-1)*LOOKUP(CI67,SerieÅR,SerieVolumvekstperson)+$L78*(CI67-IF(Antall_Beregningsår&gt;2,TredjeBeregningsår,AndreBeregningsår))))*KPIJustering*LOOKUP(CI67,SerieÅR,SerieCO2krkm_Bil),"")</f>
        <v/>
      </c>
      <c r="CJ78" s="463" t="str">
        <f t="shared" ca="1" si="141"/>
        <v/>
      </c>
      <c r="CK78" s="463" t="str">
        <f t="shared" ca="1" si="141"/>
        <v/>
      </c>
      <c r="CL78" s="463" t="str">
        <f t="shared" ca="1" si="141"/>
        <v/>
      </c>
      <c r="CM78" s="463" t="str">
        <f t="shared" ca="1" si="141"/>
        <v/>
      </c>
      <c r="CN78" s="463" t="str">
        <f t="shared" ca="1" si="141"/>
        <v/>
      </c>
      <c r="CO78" s="463" t="str">
        <f t="shared" ca="1" si="141"/>
        <v/>
      </c>
      <c r="CP78" s="463" t="str">
        <f t="shared" ca="1" si="141"/>
        <v/>
      </c>
      <c r="CQ78" s="463" t="str">
        <f t="shared" ca="1" si="141"/>
        <v/>
      </c>
      <c r="CR78" s="463" t="str">
        <f t="shared" ca="1" si="141"/>
        <v/>
      </c>
      <c r="CS78" s="463" t="str">
        <f t="shared" ca="1" si="141"/>
        <v/>
      </c>
      <c r="CT78" s="463" t="str">
        <f t="shared" ca="1" si="141"/>
        <v/>
      </c>
      <c r="CU78" s="463" t="str">
        <f t="shared" ca="1" si="141"/>
        <v/>
      </c>
      <c r="CV78" s="463" t="str">
        <f t="shared" ca="1" si="141"/>
        <v/>
      </c>
      <c r="CW78" s="463" t="str">
        <f t="shared" ca="1" si="141"/>
        <v/>
      </c>
      <c r="CX78" s="463" t="str">
        <f t="shared" ca="1" si="141"/>
        <v/>
      </c>
      <c r="CY78" s="463" t="str">
        <f t="shared" ca="1" si="141"/>
        <v/>
      </c>
      <c r="CZ78" s="463" t="str">
        <f t="shared" ca="1" si="141"/>
        <v/>
      </c>
      <c r="DA78" s="463" t="str">
        <f t="shared" ca="1" si="141"/>
        <v/>
      </c>
      <c r="DB78" s="463" t="str">
        <f t="shared" ca="1" si="141"/>
        <v/>
      </c>
      <c r="DC78" s="463" t="str">
        <f t="shared" ca="1" si="141"/>
        <v/>
      </c>
      <c r="DD78" s="463" t="str">
        <f t="shared" ca="1" si="141"/>
        <v/>
      </c>
      <c r="DE78" s="463" t="str">
        <f t="shared" ca="1" si="141"/>
        <v/>
      </c>
      <c r="DF78" s="463" t="str">
        <f t="shared" ca="1" si="141"/>
        <v/>
      </c>
      <c r="DG78" s="463" t="str">
        <f t="shared" ca="1" si="141"/>
        <v/>
      </c>
      <c r="DH78" s="463" t="str">
        <f t="shared" ca="1" si="141"/>
        <v/>
      </c>
      <c r="DI78" s="463" t="str">
        <f t="shared" ca="1" si="141"/>
        <v/>
      </c>
      <c r="DJ78" s="463" t="str">
        <f t="shared" ca="1" si="141"/>
        <v/>
      </c>
      <c r="DK78" s="463" t="str">
        <f t="shared" ca="1" si="141"/>
        <v/>
      </c>
      <c r="DL78" s="463" t="str">
        <f t="shared" ca="1" si="141"/>
        <v/>
      </c>
      <c r="DM78" s="463" t="str">
        <f t="shared" ca="1" si="141"/>
        <v/>
      </c>
      <c r="DN78" s="463" t="str">
        <f t="shared" ca="1" si="141"/>
        <v/>
      </c>
      <c r="DO78" s="463" t="str">
        <f t="shared" ca="1" si="141"/>
        <v/>
      </c>
      <c r="DP78" s="463" t="str">
        <f t="shared" ca="1" si="141"/>
        <v/>
      </c>
      <c r="DQ78" s="463" t="str">
        <f t="shared" ca="1" si="141"/>
        <v/>
      </c>
      <c r="DR78" s="463" t="str">
        <f t="shared" ca="1" si="141"/>
        <v/>
      </c>
      <c r="DS78" s="803">
        <f ca="1">SUMPRODUCT(('1.5 Prognoser og indekser'!$R$12:OFFSET('1.5 Prognoser og indekser'!$R$12,0,$DS$9)),($M78:OFFSET($M78,0,$DS$9)))</f>
        <v>0</v>
      </c>
      <c r="DT78" s="804">
        <f ca="1">IF($DT$9&lt;1,0,SUMPRODUCT(OFFSET('1.5 Prognoser og indekser'!$R$12,0,$DS$9+1,1,$DT$9),OFFSET($M78,0,$DS$9+1,1,$DT$9)))</f>
        <v>0</v>
      </c>
    </row>
    <row r="79" spans="1:124" s="59" customFormat="1" x14ac:dyDescent="0.35">
      <c r="C79" s="254" t="str">
        <f>'2.4 Samfunnet for øvrig'!B63</f>
        <v>Buss</v>
      </c>
      <c r="D79" s="752">
        <f>-('2.4 Samfunnet for øvrig'!C63)</f>
        <v>0</v>
      </c>
      <c r="E79" s="752">
        <f>-('2.4 Samfunnet for øvrig'!D63)</f>
        <v>0</v>
      </c>
      <c r="F79" s="752">
        <f>-('2.4 Samfunnet for øvrig'!E63)</f>
        <v>0</v>
      </c>
      <c r="G79" s="752">
        <f>-Kjøretøykm_Buss_År1/1000000</f>
        <v>0</v>
      </c>
      <c r="H79" s="752">
        <f>-Kjøretøykm_Buss_År2/1000000</f>
        <v>0</v>
      </c>
      <c r="I79" s="752">
        <f>-Kjøretøykm_Buss_År3/1000000</f>
        <v>0</v>
      </c>
      <c r="J79" s="790">
        <f t="shared" ref="J79:J84" si="142">IF(Antall_Beregningsår&lt;2,1,IF(AND(G79=0,H79=0),1,IF(SIGN(G79)=SIGN(H79),(H79/G79)^(1/(AndreBeregningsår-FørsteBeregningsår)),((H79+1.1*ABS(G79-H79))/(G79+1.1*ABS(G79-H79)))^(1/(AndreBeregningsår-FørsteBeregningsår)))))</f>
        <v>1</v>
      </c>
      <c r="K79" s="790">
        <f>IF(Antall_Beregningsår&lt;3,1,IF(AND(H79=0,I79=0),1,IF(SIGN(H79)=SIGN(I79),(I79/H79)^(1/(TredjeBeregningsår-AndreBeregningsår)),((I79+1.1*ABS(H79-I79))/(H79+1.1*ABS(H79-I79)))^(1/(TredjeBeregningsår-AndreBeregningsår)))))</f>
        <v>1</v>
      </c>
      <c r="L79" s="752">
        <f t="shared" si="135"/>
        <v>0</v>
      </c>
      <c r="M79" s="718"/>
      <c r="N79" s="718"/>
      <c r="O79" s="718"/>
      <c r="P79" s="718"/>
      <c r="Q79" s="718"/>
      <c r="R79" s="718"/>
      <c r="S79" s="718"/>
      <c r="T79" s="718"/>
      <c r="U79" s="752"/>
      <c r="V79" s="752"/>
      <c r="W79" s="463" t="str">
        <f t="shared" ref="W79:BB79" ca="1" si="143">IF(W$10&lt;=(Åpningsår+ProsjektetsLevetid-1),IF(W67&lt;=AndreBeregningsår,IF(SIGN($G79)=SIGN($H79),$G79*$J79^(W67-FørsteBeregningsår),($G79+1.1*ABS($G79-$H79))*$J79^(W67-FørsteBeregningsår)-1.1*ABS($G79-$H79)),IF(W67&lt;=TredjeBeregningsår,IF(SIGN($H79)=SIGN($I79),$H79*$K79^(W67-AndreBeregningsår),($H79+1.1*ABS($H79-$I79))*$K79^(W67-AndreBeregningsår)-1.1*ABS($H79-$I79)),OFFSET($G79,0,Antall_Beregningsår-1)*LOOKUP(W67,SerieÅR,SerieVolumvekstperson)+$L79*(W67-IF(Antall_Beregningsår&gt;2,TredjeBeregningsår,AndreBeregningsår))))*KPIJustering*LOOKUP(W67,SerieÅR,SerieCO2krkm_Buss),"")</f>
        <v/>
      </c>
      <c r="X79" s="463" t="str">
        <f t="shared" ca="1" si="143"/>
        <v/>
      </c>
      <c r="Y79" s="463" t="str">
        <f t="shared" ca="1" si="143"/>
        <v/>
      </c>
      <c r="Z79" s="463" t="str">
        <f t="shared" ca="1" si="143"/>
        <v/>
      </c>
      <c r="AA79" s="463" t="str">
        <f t="shared" ca="1" si="143"/>
        <v/>
      </c>
      <c r="AB79" s="463" t="str">
        <f t="shared" ca="1" si="143"/>
        <v/>
      </c>
      <c r="AC79" s="463" t="str">
        <f t="shared" ca="1" si="143"/>
        <v/>
      </c>
      <c r="AD79" s="463" t="str">
        <f t="shared" ca="1" si="143"/>
        <v/>
      </c>
      <c r="AE79" s="463" t="str">
        <f t="shared" ca="1" si="143"/>
        <v/>
      </c>
      <c r="AF79" s="463" t="str">
        <f t="shared" ca="1" si="143"/>
        <v/>
      </c>
      <c r="AG79" s="463" t="str">
        <f t="shared" ca="1" si="143"/>
        <v/>
      </c>
      <c r="AH79" s="463" t="str">
        <f t="shared" ca="1" si="143"/>
        <v/>
      </c>
      <c r="AI79" s="463" t="str">
        <f t="shared" ca="1" si="143"/>
        <v/>
      </c>
      <c r="AJ79" s="463" t="str">
        <f t="shared" ca="1" si="143"/>
        <v/>
      </c>
      <c r="AK79" s="463" t="str">
        <f t="shared" ca="1" si="143"/>
        <v/>
      </c>
      <c r="AL79" s="463" t="str">
        <f t="shared" ca="1" si="143"/>
        <v/>
      </c>
      <c r="AM79" s="463" t="str">
        <f t="shared" ca="1" si="143"/>
        <v/>
      </c>
      <c r="AN79" s="463" t="str">
        <f t="shared" ca="1" si="143"/>
        <v/>
      </c>
      <c r="AO79" s="463" t="str">
        <f t="shared" ca="1" si="143"/>
        <v/>
      </c>
      <c r="AP79" s="463" t="str">
        <f t="shared" ca="1" si="143"/>
        <v/>
      </c>
      <c r="AQ79" s="463" t="str">
        <f t="shared" ca="1" si="143"/>
        <v/>
      </c>
      <c r="AR79" s="463" t="str">
        <f t="shared" ca="1" si="143"/>
        <v/>
      </c>
      <c r="AS79" s="463" t="str">
        <f t="shared" ca="1" si="143"/>
        <v/>
      </c>
      <c r="AT79" s="463" t="str">
        <f t="shared" ca="1" si="143"/>
        <v/>
      </c>
      <c r="AU79" s="463" t="str">
        <f t="shared" ca="1" si="143"/>
        <v/>
      </c>
      <c r="AV79" s="463" t="str">
        <f t="shared" ca="1" si="143"/>
        <v/>
      </c>
      <c r="AW79" s="463" t="str">
        <f t="shared" ca="1" si="143"/>
        <v/>
      </c>
      <c r="AX79" s="463" t="str">
        <f t="shared" ca="1" si="143"/>
        <v/>
      </c>
      <c r="AY79" s="463" t="str">
        <f t="shared" ca="1" si="143"/>
        <v/>
      </c>
      <c r="AZ79" s="463" t="str">
        <f t="shared" ca="1" si="143"/>
        <v/>
      </c>
      <c r="BA79" s="463" t="str">
        <f t="shared" ca="1" si="143"/>
        <v/>
      </c>
      <c r="BB79" s="463" t="str">
        <f t="shared" ca="1" si="143"/>
        <v/>
      </c>
      <c r="BC79" s="463" t="str">
        <f t="shared" ref="BC79:CH79" ca="1" si="144">IF(BC$10&lt;=(Åpningsår+ProsjektetsLevetid-1),IF(BC67&lt;=AndreBeregningsår,IF(SIGN($G79)=SIGN($H79),$G79*$J79^(BC67-FørsteBeregningsår),($G79+1.1*ABS($G79-$H79))*$J79^(BC67-FørsteBeregningsår)-1.1*ABS($G79-$H79)),IF(BC67&lt;=TredjeBeregningsår,IF(SIGN($H79)=SIGN($I79),$H79*$K79^(BC67-AndreBeregningsår),($H79+1.1*ABS($H79-$I79))*$K79^(BC67-AndreBeregningsår)-1.1*ABS($H79-$I79)),OFFSET($G79,0,Antall_Beregningsår-1)*LOOKUP(BC67,SerieÅR,SerieVolumvekstperson)+$L79*(BC67-IF(Antall_Beregningsår&gt;2,TredjeBeregningsår,AndreBeregningsår))))*KPIJustering*LOOKUP(BC67,SerieÅR,SerieCO2krkm_Buss),"")</f>
        <v/>
      </c>
      <c r="BD79" s="463" t="str">
        <f t="shared" ca="1" si="144"/>
        <v/>
      </c>
      <c r="BE79" s="463" t="str">
        <f t="shared" ca="1" si="144"/>
        <v/>
      </c>
      <c r="BF79" s="463" t="str">
        <f t="shared" ca="1" si="144"/>
        <v/>
      </c>
      <c r="BG79" s="463" t="str">
        <f t="shared" ca="1" si="144"/>
        <v/>
      </c>
      <c r="BH79" s="463" t="str">
        <f t="shared" ca="1" si="144"/>
        <v/>
      </c>
      <c r="BI79" s="463" t="str">
        <f t="shared" ca="1" si="144"/>
        <v/>
      </c>
      <c r="BJ79" s="463" t="str">
        <f t="shared" ca="1" si="144"/>
        <v/>
      </c>
      <c r="BK79" s="463" t="str">
        <f t="shared" ca="1" si="144"/>
        <v/>
      </c>
      <c r="BL79" s="463" t="str">
        <f t="shared" ca="1" si="144"/>
        <v/>
      </c>
      <c r="BM79" s="463" t="str">
        <f t="shared" ca="1" si="144"/>
        <v/>
      </c>
      <c r="BN79" s="463" t="str">
        <f t="shared" ca="1" si="144"/>
        <v/>
      </c>
      <c r="BO79" s="463" t="str">
        <f t="shared" ca="1" si="144"/>
        <v/>
      </c>
      <c r="BP79" s="463" t="str">
        <f t="shared" ca="1" si="144"/>
        <v/>
      </c>
      <c r="BQ79" s="463" t="str">
        <f t="shared" ca="1" si="144"/>
        <v/>
      </c>
      <c r="BR79" s="463" t="str">
        <f t="shared" ca="1" si="144"/>
        <v/>
      </c>
      <c r="BS79" s="463" t="str">
        <f t="shared" ca="1" si="144"/>
        <v/>
      </c>
      <c r="BT79" s="463" t="str">
        <f t="shared" ca="1" si="144"/>
        <v/>
      </c>
      <c r="BU79" s="463" t="str">
        <f t="shared" ca="1" si="144"/>
        <v/>
      </c>
      <c r="BV79" s="463" t="str">
        <f t="shared" ca="1" si="144"/>
        <v/>
      </c>
      <c r="BW79" s="463" t="str">
        <f t="shared" ca="1" si="144"/>
        <v/>
      </c>
      <c r="BX79" s="463" t="str">
        <f t="shared" ca="1" si="144"/>
        <v/>
      </c>
      <c r="BY79" s="463" t="str">
        <f t="shared" ca="1" si="144"/>
        <v/>
      </c>
      <c r="BZ79" s="463" t="str">
        <f t="shared" ca="1" si="144"/>
        <v/>
      </c>
      <c r="CA79" s="463" t="str">
        <f t="shared" ca="1" si="144"/>
        <v/>
      </c>
      <c r="CB79" s="463" t="str">
        <f t="shared" ca="1" si="144"/>
        <v/>
      </c>
      <c r="CC79" s="463" t="str">
        <f t="shared" ca="1" si="144"/>
        <v/>
      </c>
      <c r="CD79" s="463" t="str">
        <f t="shared" ca="1" si="144"/>
        <v/>
      </c>
      <c r="CE79" s="463" t="str">
        <f t="shared" ca="1" si="144"/>
        <v/>
      </c>
      <c r="CF79" s="463" t="str">
        <f t="shared" ca="1" si="144"/>
        <v/>
      </c>
      <c r="CG79" s="463" t="str">
        <f t="shared" ca="1" si="144"/>
        <v/>
      </c>
      <c r="CH79" s="463" t="str">
        <f t="shared" ca="1" si="144"/>
        <v/>
      </c>
      <c r="CI79" s="463" t="str">
        <f t="shared" ref="CI79:DR79" ca="1" si="145">IF(CI$10&lt;=(Åpningsår+ProsjektetsLevetid-1),IF(CI67&lt;=AndreBeregningsår,IF(SIGN($G79)=SIGN($H79),$G79*$J79^(CI67-FørsteBeregningsår),($G79+1.1*ABS($G79-$H79))*$J79^(CI67-FørsteBeregningsår)-1.1*ABS($G79-$H79)),IF(CI67&lt;=TredjeBeregningsår,IF(SIGN($H79)=SIGN($I79),$H79*$K79^(CI67-AndreBeregningsår),($H79+1.1*ABS($H79-$I79))*$K79^(CI67-AndreBeregningsår)-1.1*ABS($H79-$I79)),OFFSET($G79,0,Antall_Beregningsår-1)*LOOKUP(CI67,SerieÅR,SerieVolumvekstperson)+$L79*(CI67-IF(Antall_Beregningsår&gt;2,TredjeBeregningsår,AndreBeregningsår))))*KPIJustering*LOOKUP(CI67,SerieÅR,SerieCO2krkm_Buss),"")</f>
        <v/>
      </c>
      <c r="CJ79" s="463" t="str">
        <f t="shared" ca="1" si="145"/>
        <v/>
      </c>
      <c r="CK79" s="463" t="str">
        <f t="shared" ca="1" si="145"/>
        <v/>
      </c>
      <c r="CL79" s="463" t="str">
        <f t="shared" ca="1" si="145"/>
        <v/>
      </c>
      <c r="CM79" s="463" t="str">
        <f t="shared" ca="1" si="145"/>
        <v/>
      </c>
      <c r="CN79" s="463" t="str">
        <f t="shared" ca="1" si="145"/>
        <v/>
      </c>
      <c r="CO79" s="463" t="str">
        <f t="shared" ca="1" si="145"/>
        <v/>
      </c>
      <c r="CP79" s="463" t="str">
        <f t="shared" ca="1" si="145"/>
        <v/>
      </c>
      <c r="CQ79" s="463" t="str">
        <f t="shared" ca="1" si="145"/>
        <v/>
      </c>
      <c r="CR79" s="463" t="str">
        <f t="shared" ca="1" si="145"/>
        <v/>
      </c>
      <c r="CS79" s="463" t="str">
        <f t="shared" ca="1" si="145"/>
        <v/>
      </c>
      <c r="CT79" s="463" t="str">
        <f t="shared" ca="1" si="145"/>
        <v/>
      </c>
      <c r="CU79" s="463" t="str">
        <f t="shared" ca="1" si="145"/>
        <v/>
      </c>
      <c r="CV79" s="463" t="str">
        <f t="shared" ca="1" si="145"/>
        <v/>
      </c>
      <c r="CW79" s="463" t="str">
        <f t="shared" ca="1" si="145"/>
        <v/>
      </c>
      <c r="CX79" s="463" t="str">
        <f t="shared" ca="1" si="145"/>
        <v/>
      </c>
      <c r="CY79" s="463" t="str">
        <f t="shared" ca="1" si="145"/>
        <v/>
      </c>
      <c r="CZ79" s="463" t="str">
        <f t="shared" ca="1" si="145"/>
        <v/>
      </c>
      <c r="DA79" s="463" t="str">
        <f t="shared" ca="1" si="145"/>
        <v/>
      </c>
      <c r="DB79" s="463" t="str">
        <f t="shared" ca="1" si="145"/>
        <v/>
      </c>
      <c r="DC79" s="463" t="str">
        <f t="shared" ca="1" si="145"/>
        <v/>
      </c>
      <c r="DD79" s="463" t="str">
        <f t="shared" ca="1" si="145"/>
        <v/>
      </c>
      <c r="DE79" s="463" t="str">
        <f t="shared" ca="1" si="145"/>
        <v/>
      </c>
      <c r="DF79" s="463" t="str">
        <f t="shared" ca="1" si="145"/>
        <v/>
      </c>
      <c r="DG79" s="463" t="str">
        <f t="shared" ca="1" si="145"/>
        <v/>
      </c>
      <c r="DH79" s="463" t="str">
        <f t="shared" ca="1" si="145"/>
        <v/>
      </c>
      <c r="DI79" s="463" t="str">
        <f t="shared" ca="1" si="145"/>
        <v/>
      </c>
      <c r="DJ79" s="463" t="str">
        <f t="shared" ca="1" si="145"/>
        <v/>
      </c>
      <c r="DK79" s="463" t="str">
        <f t="shared" ca="1" si="145"/>
        <v/>
      </c>
      <c r="DL79" s="463" t="str">
        <f t="shared" ca="1" si="145"/>
        <v/>
      </c>
      <c r="DM79" s="463" t="str">
        <f t="shared" ca="1" si="145"/>
        <v/>
      </c>
      <c r="DN79" s="463" t="str">
        <f t="shared" ca="1" si="145"/>
        <v/>
      </c>
      <c r="DO79" s="463" t="str">
        <f t="shared" ca="1" si="145"/>
        <v/>
      </c>
      <c r="DP79" s="463" t="str">
        <f t="shared" ca="1" si="145"/>
        <v/>
      </c>
      <c r="DQ79" s="463" t="str">
        <f t="shared" ca="1" si="145"/>
        <v/>
      </c>
      <c r="DR79" s="463" t="str">
        <f t="shared" ca="1" si="145"/>
        <v/>
      </c>
      <c r="DS79" s="803">
        <f ca="1">SUMPRODUCT(('1.5 Prognoser og indekser'!$R$12:OFFSET('1.5 Prognoser og indekser'!$R$12,0,$DS$9)),($M79:OFFSET($M79,0,$DS$9)))</f>
        <v>0</v>
      </c>
      <c r="DT79" s="804">
        <f ca="1">IF($DT$9&lt;1,0,SUMPRODUCT(OFFSET('1.5 Prognoser og indekser'!$R$12,0,$DS$9+1,1,$DT$9),OFFSET($M79,0,$DS$9+1,1,$DT$9)))</f>
        <v>0</v>
      </c>
    </row>
    <row r="80" spans="1:124" s="59" customFormat="1" x14ac:dyDescent="0.35">
      <c r="C80" s="683" t="str">
        <f>'2.4 Samfunnet for øvrig'!B64</f>
        <v>Passasjerfly</v>
      </c>
      <c r="D80" s="752">
        <f>-('2.4 Samfunnet for øvrig'!C64)</f>
        <v>0</v>
      </c>
      <c r="E80" s="752">
        <f>-('2.4 Samfunnet for øvrig'!D64)</f>
        <v>0</v>
      </c>
      <c r="F80" s="752">
        <f>-('2.4 Samfunnet for øvrig'!E64)</f>
        <v>0</v>
      </c>
      <c r="G80" s="752">
        <f>-Flykm_År1/1000000</f>
        <v>0</v>
      </c>
      <c r="H80" s="752">
        <f>-Flykm_År2/1000000</f>
        <v>0</v>
      </c>
      <c r="I80" s="752">
        <f>-Flykm_År3/1000000</f>
        <v>0</v>
      </c>
      <c r="J80" s="790">
        <f t="shared" si="142"/>
        <v>1</v>
      </c>
      <c r="K80" s="790">
        <f t="shared" ref="K80" si="146">IF(Antall_Beregningsår&lt;3,1,IF(AND(H80=0,I80=0),1,IF(SIGN(H80)=SIGN(I80),(I80/H80)^(1/(TredjeBeregningsår-AndreBeregningsår)),((I80+1.1*ABS(H80-I80))/(H80+1.1*ABS(H80-I80)))^(1/(TredjeBeregningsår-AndreBeregningsår)))))</f>
        <v>1</v>
      </c>
      <c r="L80" s="752">
        <f t="shared" si="135"/>
        <v>0</v>
      </c>
      <c r="M80" s="718"/>
      <c r="N80" s="718"/>
      <c r="O80" s="718"/>
      <c r="P80" s="718"/>
      <c r="Q80" s="718"/>
      <c r="R80" s="718"/>
      <c r="S80" s="718"/>
      <c r="T80" s="718"/>
      <c r="U80" s="752"/>
      <c r="V80" s="752"/>
      <c r="W80" s="463" t="str">
        <f t="shared" ref="W80:BB80" ca="1" si="147">IF(W$10&lt;=(Åpningsår+ProsjektetsLevetid-1),IF(W67&lt;=AndreBeregningsår,IF(SIGN($G80)=SIGN($H80),$G80*$J80^(W67-FørsteBeregningsår),($G80+1.1*ABS($G80-$H80))*$J80^(W67-FørsteBeregningsår)-1.1*ABS($G80-$H80)),IF(W67&lt;=TredjeBeregningsår,IF(SIGN($H80)=SIGN($I80),$H80*$K80^(W67-AndreBeregningsår),($H80+1.1*ABS($H80-$I80))*$K80^(W67-AndreBeregningsår)-1.1*ABS($H80-$I80)),OFFSET($G80,0,Antall_Beregningsår-1)*LOOKUP(W67,SerieÅR,SerieVolumvekstperson)+$L80*(W67-IF(Antall_Beregningsår&gt;2,TredjeBeregningsår,AndreBeregningsår))))*KPIJustering*LOOKUP(W67,SerieÅR,SerieCO2krkm_Fly),"")</f>
        <v/>
      </c>
      <c r="X80" s="463" t="str">
        <f t="shared" ca="1" si="147"/>
        <v/>
      </c>
      <c r="Y80" s="463" t="str">
        <f t="shared" ca="1" si="147"/>
        <v/>
      </c>
      <c r="Z80" s="463" t="str">
        <f t="shared" ca="1" si="147"/>
        <v/>
      </c>
      <c r="AA80" s="463" t="str">
        <f t="shared" ca="1" si="147"/>
        <v/>
      </c>
      <c r="AB80" s="463" t="str">
        <f t="shared" ca="1" si="147"/>
        <v/>
      </c>
      <c r="AC80" s="463" t="str">
        <f t="shared" ca="1" si="147"/>
        <v/>
      </c>
      <c r="AD80" s="463" t="str">
        <f t="shared" ca="1" si="147"/>
        <v/>
      </c>
      <c r="AE80" s="463" t="str">
        <f t="shared" ca="1" si="147"/>
        <v/>
      </c>
      <c r="AF80" s="463" t="str">
        <f t="shared" ca="1" si="147"/>
        <v/>
      </c>
      <c r="AG80" s="463" t="str">
        <f t="shared" ca="1" si="147"/>
        <v/>
      </c>
      <c r="AH80" s="463" t="str">
        <f t="shared" ca="1" si="147"/>
        <v/>
      </c>
      <c r="AI80" s="463" t="str">
        <f t="shared" ca="1" si="147"/>
        <v/>
      </c>
      <c r="AJ80" s="463" t="str">
        <f t="shared" ca="1" si="147"/>
        <v/>
      </c>
      <c r="AK80" s="463" t="str">
        <f t="shared" ca="1" si="147"/>
        <v/>
      </c>
      <c r="AL80" s="463" t="str">
        <f t="shared" ca="1" si="147"/>
        <v/>
      </c>
      <c r="AM80" s="463" t="str">
        <f t="shared" ca="1" si="147"/>
        <v/>
      </c>
      <c r="AN80" s="463" t="str">
        <f t="shared" ca="1" si="147"/>
        <v/>
      </c>
      <c r="AO80" s="463" t="str">
        <f t="shared" ca="1" si="147"/>
        <v/>
      </c>
      <c r="AP80" s="463" t="str">
        <f t="shared" ca="1" si="147"/>
        <v/>
      </c>
      <c r="AQ80" s="463" t="str">
        <f t="shared" ca="1" si="147"/>
        <v/>
      </c>
      <c r="AR80" s="463" t="str">
        <f t="shared" ca="1" si="147"/>
        <v/>
      </c>
      <c r="AS80" s="463" t="str">
        <f t="shared" ca="1" si="147"/>
        <v/>
      </c>
      <c r="AT80" s="463" t="str">
        <f t="shared" ca="1" si="147"/>
        <v/>
      </c>
      <c r="AU80" s="463" t="str">
        <f t="shared" ca="1" si="147"/>
        <v/>
      </c>
      <c r="AV80" s="463" t="str">
        <f t="shared" ca="1" si="147"/>
        <v/>
      </c>
      <c r="AW80" s="463" t="str">
        <f t="shared" ca="1" si="147"/>
        <v/>
      </c>
      <c r="AX80" s="463" t="str">
        <f t="shared" ca="1" si="147"/>
        <v/>
      </c>
      <c r="AY80" s="463" t="str">
        <f t="shared" ca="1" si="147"/>
        <v/>
      </c>
      <c r="AZ80" s="463" t="str">
        <f t="shared" ca="1" si="147"/>
        <v/>
      </c>
      <c r="BA80" s="463" t="str">
        <f t="shared" ca="1" si="147"/>
        <v/>
      </c>
      <c r="BB80" s="463" t="str">
        <f t="shared" ca="1" si="147"/>
        <v/>
      </c>
      <c r="BC80" s="463" t="str">
        <f t="shared" ref="BC80:CH80" ca="1" si="148">IF(BC$10&lt;=(Åpningsår+ProsjektetsLevetid-1),IF(BC67&lt;=AndreBeregningsår,IF(SIGN($G80)=SIGN($H80),$G80*$J80^(BC67-FørsteBeregningsår),($G80+1.1*ABS($G80-$H80))*$J80^(BC67-FørsteBeregningsår)-1.1*ABS($G80-$H80)),IF(BC67&lt;=TredjeBeregningsår,IF(SIGN($H80)=SIGN($I80),$H80*$K80^(BC67-AndreBeregningsår),($H80+1.1*ABS($H80-$I80))*$K80^(BC67-AndreBeregningsår)-1.1*ABS($H80-$I80)),OFFSET($G80,0,Antall_Beregningsår-1)*LOOKUP(BC67,SerieÅR,SerieVolumvekstperson)+$L80*(BC67-IF(Antall_Beregningsår&gt;2,TredjeBeregningsår,AndreBeregningsår))))*KPIJustering*LOOKUP(BC67,SerieÅR,SerieCO2krkm_Fly),"")</f>
        <v/>
      </c>
      <c r="BD80" s="463" t="str">
        <f t="shared" ca="1" si="148"/>
        <v/>
      </c>
      <c r="BE80" s="463" t="str">
        <f t="shared" ca="1" si="148"/>
        <v/>
      </c>
      <c r="BF80" s="463" t="str">
        <f t="shared" ca="1" si="148"/>
        <v/>
      </c>
      <c r="BG80" s="463" t="str">
        <f t="shared" ca="1" si="148"/>
        <v/>
      </c>
      <c r="BH80" s="463" t="str">
        <f t="shared" ca="1" si="148"/>
        <v/>
      </c>
      <c r="BI80" s="463" t="str">
        <f t="shared" ca="1" si="148"/>
        <v/>
      </c>
      <c r="BJ80" s="463" t="str">
        <f t="shared" ca="1" si="148"/>
        <v/>
      </c>
      <c r="BK80" s="463" t="str">
        <f t="shared" ca="1" si="148"/>
        <v/>
      </c>
      <c r="BL80" s="463" t="str">
        <f t="shared" ca="1" si="148"/>
        <v/>
      </c>
      <c r="BM80" s="463" t="str">
        <f t="shared" ca="1" si="148"/>
        <v/>
      </c>
      <c r="BN80" s="463" t="str">
        <f t="shared" ca="1" si="148"/>
        <v/>
      </c>
      <c r="BO80" s="463" t="str">
        <f t="shared" ca="1" si="148"/>
        <v/>
      </c>
      <c r="BP80" s="463" t="str">
        <f t="shared" ca="1" si="148"/>
        <v/>
      </c>
      <c r="BQ80" s="463" t="str">
        <f t="shared" ca="1" si="148"/>
        <v/>
      </c>
      <c r="BR80" s="463" t="str">
        <f t="shared" ca="1" si="148"/>
        <v/>
      </c>
      <c r="BS80" s="463" t="str">
        <f t="shared" ca="1" si="148"/>
        <v/>
      </c>
      <c r="BT80" s="463" t="str">
        <f t="shared" ca="1" si="148"/>
        <v/>
      </c>
      <c r="BU80" s="463" t="str">
        <f t="shared" ca="1" si="148"/>
        <v/>
      </c>
      <c r="BV80" s="463" t="str">
        <f t="shared" ca="1" si="148"/>
        <v/>
      </c>
      <c r="BW80" s="463" t="str">
        <f t="shared" ca="1" si="148"/>
        <v/>
      </c>
      <c r="BX80" s="463" t="str">
        <f t="shared" ca="1" si="148"/>
        <v/>
      </c>
      <c r="BY80" s="463" t="str">
        <f t="shared" ca="1" si="148"/>
        <v/>
      </c>
      <c r="BZ80" s="463" t="str">
        <f t="shared" ca="1" si="148"/>
        <v/>
      </c>
      <c r="CA80" s="463" t="str">
        <f t="shared" ca="1" si="148"/>
        <v/>
      </c>
      <c r="CB80" s="463" t="str">
        <f t="shared" ca="1" si="148"/>
        <v/>
      </c>
      <c r="CC80" s="463" t="str">
        <f t="shared" ca="1" si="148"/>
        <v/>
      </c>
      <c r="CD80" s="463" t="str">
        <f t="shared" ca="1" si="148"/>
        <v/>
      </c>
      <c r="CE80" s="463" t="str">
        <f t="shared" ca="1" si="148"/>
        <v/>
      </c>
      <c r="CF80" s="463" t="str">
        <f t="shared" ca="1" si="148"/>
        <v/>
      </c>
      <c r="CG80" s="463" t="str">
        <f t="shared" ca="1" si="148"/>
        <v/>
      </c>
      <c r="CH80" s="463" t="str">
        <f t="shared" ca="1" si="148"/>
        <v/>
      </c>
      <c r="CI80" s="463" t="str">
        <f t="shared" ref="CI80:DR80" ca="1" si="149">IF(CI$10&lt;=(Åpningsår+ProsjektetsLevetid-1),IF(CI67&lt;=AndreBeregningsår,IF(SIGN($G80)=SIGN($H80),$G80*$J80^(CI67-FørsteBeregningsår),($G80+1.1*ABS($G80-$H80))*$J80^(CI67-FørsteBeregningsår)-1.1*ABS($G80-$H80)),IF(CI67&lt;=TredjeBeregningsår,IF(SIGN($H80)=SIGN($I80),$H80*$K80^(CI67-AndreBeregningsår),($H80+1.1*ABS($H80-$I80))*$K80^(CI67-AndreBeregningsår)-1.1*ABS($H80-$I80)),OFFSET($G80,0,Antall_Beregningsår-1)*LOOKUP(CI67,SerieÅR,SerieVolumvekstperson)+$L80*(CI67-IF(Antall_Beregningsår&gt;2,TredjeBeregningsår,AndreBeregningsår))))*KPIJustering*LOOKUP(CI67,SerieÅR,SerieCO2krkm_Fly),"")</f>
        <v/>
      </c>
      <c r="CJ80" s="463" t="str">
        <f t="shared" ca="1" si="149"/>
        <v/>
      </c>
      <c r="CK80" s="463" t="str">
        <f t="shared" ca="1" si="149"/>
        <v/>
      </c>
      <c r="CL80" s="463" t="str">
        <f t="shared" ca="1" si="149"/>
        <v/>
      </c>
      <c r="CM80" s="463" t="str">
        <f t="shared" ca="1" si="149"/>
        <v/>
      </c>
      <c r="CN80" s="463" t="str">
        <f t="shared" ca="1" si="149"/>
        <v/>
      </c>
      <c r="CO80" s="463" t="str">
        <f t="shared" ca="1" si="149"/>
        <v/>
      </c>
      <c r="CP80" s="463" t="str">
        <f t="shared" ca="1" si="149"/>
        <v/>
      </c>
      <c r="CQ80" s="463" t="str">
        <f t="shared" ca="1" si="149"/>
        <v/>
      </c>
      <c r="CR80" s="463" t="str">
        <f t="shared" ca="1" si="149"/>
        <v/>
      </c>
      <c r="CS80" s="463" t="str">
        <f t="shared" ca="1" si="149"/>
        <v/>
      </c>
      <c r="CT80" s="463" t="str">
        <f t="shared" ca="1" si="149"/>
        <v/>
      </c>
      <c r="CU80" s="463" t="str">
        <f t="shared" ca="1" si="149"/>
        <v/>
      </c>
      <c r="CV80" s="463" t="str">
        <f t="shared" ca="1" si="149"/>
        <v/>
      </c>
      <c r="CW80" s="463" t="str">
        <f t="shared" ca="1" si="149"/>
        <v/>
      </c>
      <c r="CX80" s="463" t="str">
        <f t="shared" ca="1" si="149"/>
        <v/>
      </c>
      <c r="CY80" s="463" t="str">
        <f t="shared" ca="1" si="149"/>
        <v/>
      </c>
      <c r="CZ80" s="463" t="str">
        <f t="shared" ca="1" si="149"/>
        <v/>
      </c>
      <c r="DA80" s="463" t="str">
        <f t="shared" ca="1" si="149"/>
        <v/>
      </c>
      <c r="DB80" s="463" t="str">
        <f t="shared" ca="1" si="149"/>
        <v/>
      </c>
      <c r="DC80" s="463" t="str">
        <f t="shared" ca="1" si="149"/>
        <v/>
      </c>
      <c r="DD80" s="463" t="str">
        <f t="shared" ca="1" si="149"/>
        <v/>
      </c>
      <c r="DE80" s="463" t="str">
        <f t="shared" ca="1" si="149"/>
        <v/>
      </c>
      <c r="DF80" s="463" t="str">
        <f t="shared" ca="1" si="149"/>
        <v/>
      </c>
      <c r="DG80" s="463" t="str">
        <f t="shared" ca="1" si="149"/>
        <v/>
      </c>
      <c r="DH80" s="463" t="str">
        <f t="shared" ca="1" si="149"/>
        <v/>
      </c>
      <c r="DI80" s="463" t="str">
        <f t="shared" ca="1" si="149"/>
        <v/>
      </c>
      <c r="DJ80" s="463" t="str">
        <f t="shared" ca="1" si="149"/>
        <v/>
      </c>
      <c r="DK80" s="463" t="str">
        <f t="shared" ca="1" si="149"/>
        <v/>
      </c>
      <c r="DL80" s="463" t="str">
        <f t="shared" ca="1" si="149"/>
        <v/>
      </c>
      <c r="DM80" s="463" t="str">
        <f t="shared" ca="1" si="149"/>
        <v/>
      </c>
      <c r="DN80" s="463" t="str">
        <f t="shared" ca="1" si="149"/>
        <v/>
      </c>
      <c r="DO80" s="463" t="str">
        <f t="shared" ca="1" si="149"/>
        <v/>
      </c>
      <c r="DP80" s="463" t="str">
        <f t="shared" ca="1" si="149"/>
        <v/>
      </c>
      <c r="DQ80" s="463" t="str">
        <f t="shared" ca="1" si="149"/>
        <v/>
      </c>
      <c r="DR80" s="463" t="str">
        <f t="shared" ca="1" si="149"/>
        <v/>
      </c>
      <c r="DS80" s="803">
        <f ca="1">SUMPRODUCT(('1.5 Prognoser og indekser'!$R$12:OFFSET('1.5 Prognoser og indekser'!$R$12,0,$DS$9)),($M80:OFFSET($M80,0,$DS$9)))</f>
        <v>0</v>
      </c>
      <c r="DT80" s="804">
        <f ca="1">IF($DT$9&lt;1,0,SUMPRODUCT(OFFSET('1.5 Prognoser og indekser'!$R$12,0,$DS$9+1,1,$DT$9),OFFSET($M80,0,$DS$9+1,1,$DT$9)))</f>
        <v>0</v>
      </c>
    </row>
    <row r="81" spans="3:124" s="59" customFormat="1" x14ac:dyDescent="0.35">
      <c r="C81" s="254" t="str">
        <f>'2.4 Samfunnet for øvrig'!B65</f>
        <v>Lastebil</v>
      </c>
      <c r="D81" s="752">
        <f>-('2.4 Samfunnet for øvrig'!C65)</f>
        <v>0</v>
      </c>
      <c r="E81" s="752">
        <f>-('2.4 Samfunnet for øvrig'!D65)</f>
        <v>0</v>
      </c>
      <c r="F81" s="752">
        <f>-('2.4 Samfunnet for øvrig'!E65)</f>
        <v>0</v>
      </c>
      <c r="G81" s="752">
        <f>-(KjøretøyMkm_Tunglastebil_År1+KjøretøyMkm_Modulvogntog_År1)</f>
        <v>0</v>
      </c>
      <c r="H81" s="752">
        <f>-(KjøretøyMkm_Tunglastebil_År2+KjøretøyMkm_Modulvogntog_År2)</f>
        <v>0</v>
      </c>
      <c r="I81" s="752">
        <f>-(KjøretøyMkm_Tunglastebil_År3+KjøretøyMkm_Modulvogntog_År3)</f>
        <v>0</v>
      </c>
      <c r="J81" s="790">
        <f t="shared" si="142"/>
        <v>1</v>
      </c>
      <c r="K81" s="790">
        <f>IF(Antall_Beregningsår&lt;3,1,IF(AND(H81=0,I81=0),1,IF(SIGN(H81)=SIGN(I81),(I81/H81)^(1/(TredjeBeregningsår-AndreBeregningsår)),((I81+1.1*ABS(H81-I81))/(H81+1.1*ABS(H81-I81)))^(1/(TredjeBeregningsår-AndreBeregningsår)))))</f>
        <v>1</v>
      </c>
      <c r="L81" s="752">
        <f t="shared" si="135"/>
        <v>0</v>
      </c>
      <c r="M81" s="718"/>
      <c r="N81" s="718"/>
      <c r="O81" s="718"/>
      <c r="P81" s="718"/>
      <c r="Q81" s="718"/>
      <c r="R81" s="718"/>
      <c r="S81" s="718"/>
      <c r="T81" s="718"/>
      <c r="U81" s="752"/>
      <c r="V81" s="752"/>
      <c r="W81" s="463" t="str">
        <f t="shared" ref="W81:BB81" ca="1" si="150">IF(W$10&lt;=(Åpningsår+ProsjektetsLevetid-1),IF(W67&lt;=AndreBeregningsår,IF(SIGN($G81)=SIGN($H81),$G81*$J81^(W67-FørsteBeregningsår),($G81+1.1*ABS($G81-$H81))*$J81^(W67-FørsteBeregningsår)-1.1*ABS($G81-$H81)),IF(W67&lt;=TredjeBeregningsår,IF(SIGN($H81)=SIGN($I81),$H81*$K81^(W67-AndreBeregningsår),($H81+1.1*ABS($H81-$I81))*$K81^(W67-AndreBeregningsår)-1.1*ABS($H81-$I81)),OFFSET($G81,0,Antall_Beregningsår-1)*LOOKUP(W67,SerieÅR,SerieVolumvekstGods)+$L81*(W67-IF(Antall_Beregningsår&gt;2,TredjeBeregningsår,AndreBeregningsår))))*KPIJustering*LOOKUP(W67,SerieÅR,SerieCO2krkm_Lastebil),"")</f>
        <v/>
      </c>
      <c r="X81" s="463" t="str">
        <f t="shared" ca="1" si="150"/>
        <v/>
      </c>
      <c r="Y81" s="463" t="str">
        <f t="shared" ca="1" si="150"/>
        <v/>
      </c>
      <c r="Z81" s="463" t="str">
        <f t="shared" ca="1" si="150"/>
        <v/>
      </c>
      <c r="AA81" s="463" t="str">
        <f t="shared" ca="1" si="150"/>
        <v/>
      </c>
      <c r="AB81" s="463" t="str">
        <f t="shared" ca="1" si="150"/>
        <v/>
      </c>
      <c r="AC81" s="463" t="str">
        <f t="shared" ca="1" si="150"/>
        <v/>
      </c>
      <c r="AD81" s="463" t="str">
        <f t="shared" ca="1" si="150"/>
        <v/>
      </c>
      <c r="AE81" s="463" t="str">
        <f t="shared" ca="1" si="150"/>
        <v/>
      </c>
      <c r="AF81" s="463" t="str">
        <f t="shared" ca="1" si="150"/>
        <v/>
      </c>
      <c r="AG81" s="463" t="str">
        <f t="shared" ca="1" si="150"/>
        <v/>
      </c>
      <c r="AH81" s="463" t="str">
        <f t="shared" ca="1" si="150"/>
        <v/>
      </c>
      <c r="AI81" s="463" t="str">
        <f t="shared" ca="1" si="150"/>
        <v/>
      </c>
      <c r="AJ81" s="463" t="str">
        <f t="shared" ca="1" si="150"/>
        <v/>
      </c>
      <c r="AK81" s="463" t="str">
        <f t="shared" ca="1" si="150"/>
        <v/>
      </c>
      <c r="AL81" s="463" t="str">
        <f t="shared" ca="1" si="150"/>
        <v/>
      </c>
      <c r="AM81" s="463" t="str">
        <f t="shared" ca="1" si="150"/>
        <v/>
      </c>
      <c r="AN81" s="463" t="str">
        <f t="shared" ca="1" si="150"/>
        <v/>
      </c>
      <c r="AO81" s="463" t="str">
        <f t="shared" ca="1" si="150"/>
        <v/>
      </c>
      <c r="AP81" s="463" t="str">
        <f t="shared" ca="1" si="150"/>
        <v/>
      </c>
      <c r="AQ81" s="463" t="str">
        <f t="shared" ca="1" si="150"/>
        <v/>
      </c>
      <c r="AR81" s="463" t="str">
        <f t="shared" ca="1" si="150"/>
        <v/>
      </c>
      <c r="AS81" s="463" t="str">
        <f t="shared" ca="1" si="150"/>
        <v/>
      </c>
      <c r="AT81" s="463" t="str">
        <f t="shared" ca="1" si="150"/>
        <v/>
      </c>
      <c r="AU81" s="463" t="str">
        <f t="shared" ca="1" si="150"/>
        <v/>
      </c>
      <c r="AV81" s="463" t="str">
        <f t="shared" ca="1" si="150"/>
        <v/>
      </c>
      <c r="AW81" s="463" t="str">
        <f t="shared" ca="1" si="150"/>
        <v/>
      </c>
      <c r="AX81" s="463" t="str">
        <f t="shared" ca="1" si="150"/>
        <v/>
      </c>
      <c r="AY81" s="463" t="str">
        <f t="shared" ca="1" si="150"/>
        <v/>
      </c>
      <c r="AZ81" s="463" t="str">
        <f t="shared" ca="1" si="150"/>
        <v/>
      </c>
      <c r="BA81" s="463" t="str">
        <f t="shared" ca="1" si="150"/>
        <v/>
      </c>
      <c r="BB81" s="463" t="str">
        <f t="shared" ca="1" si="150"/>
        <v/>
      </c>
      <c r="BC81" s="463" t="str">
        <f t="shared" ref="BC81:CH81" ca="1" si="151">IF(BC$10&lt;=(Åpningsår+ProsjektetsLevetid-1),IF(BC67&lt;=AndreBeregningsår,IF(SIGN($G81)=SIGN($H81),$G81*$J81^(BC67-FørsteBeregningsår),($G81+1.1*ABS($G81-$H81))*$J81^(BC67-FørsteBeregningsår)-1.1*ABS($G81-$H81)),IF(BC67&lt;=TredjeBeregningsår,IF(SIGN($H81)=SIGN($I81),$H81*$K81^(BC67-AndreBeregningsår),($H81+1.1*ABS($H81-$I81))*$K81^(BC67-AndreBeregningsår)-1.1*ABS($H81-$I81)),OFFSET($G81,0,Antall_Beregningsår-1)*LOOKUP(BC67,SerieÅR,SerieVolumvekstGods)+$L81*(BC67-IF(Antall_Beregningsår&gt;2,TredjeBeregningsår,AndreBeregningsår))))*KPIJustering*LOOKUP(BC67,SerieÅR,SerieCO2krkm_Lastebil),"")</f>
        <v/>
      </c>
      <c r="BD81" s="463" t="str">
        <f t="shared" ca="1" si="151"/>
        <v/>
      </c>
      <c r="BE81" s="463" t="str">
        <f t="shared" ca="1" si="151"/>
        <v/>
      </c>
      <c r="BF81" s="463" t="str">
        <f t="shared" ca="1" si="151"/>
        <v/>
      </c>
      <c r="BG81" s="463" t="str">
        <f t="shared" ca="1" si="151"/>
        <v/>
      </c>
      <c r="BH81" s="463" t="str">
        <f t="shared" ca="1" si="151"/>
        <v/>
      </c>
      <c r="BI81" s="463" t="str">
        <f t="shared" ca="1" si="151"/>
        <v/>
      </c>
      <c r="BJ81" s="463" t="str">
        <f t="shared" ca="1" si="151"/>
        <v/>
      </c>
      <c r="BK81" s="463" t="str">
        <f t="shared" ca="1" si="151"/>
        <v/>
      </c>
      <c r="BL81" s="463" t="str">
        <f t="shared" ca="1" si="151"/>
        <v/>
      </c>
      <c r="BM81" s="463" t="str">
        <f t="shared" ca="1" si="151"/>
        <v/>
      </c>
      <c r="BN81" s="463" t="str">
        <f t="shared" ca="1" si="151"/>
        <v/>
      </c>
      <c r="BO81" s="463" t="str">
        <f t="shared" ca="1" si="151"/>
        <v/>
      </c>
      <c r="BP81" s="463" t="str">
        <f t="shared" ca="1" si="151"/>
        <v/>
      </c>
      <c r="BQ81" s="463" t="str">
        <f t="shared" ca="1" si="151"/>
        <v/>
      </c>
      <c r="BR81" s="463" t="str">
        <f t="shared" ca="1" si="151"/>
        <v/>
      </c>
      <c r="BS81" s="463" t="str">
        <f t="shared" ca="1" si="151"/>
        <v/>
      </c>
      <c r="BT81" s="463" t="str">
        <f t="shared" ca="1" si="151"/>
        <v/>
      </c>
      <c r="BU81" s="463" t="str">
        <f t="shared" ca="1" si="151"/>
        <v/>
      </c>
      <c r="BV81" s="463" t="str">
        <f t="shared" ca="1" si="151"/>
        <v/>
      </c>
      <c r="BW81" s="463" t="str">
        <f t="shared" ca="1" si="151"/>
        <v/>
      </c>
      <c r="BX81" s="463" t="str">
        <f t="shared" ca="1" si="151"/>
        <v/>
      </c>
      <c r="BY81" s="463" t="str">
        <f t="shared" ca="1" si="151"/>
        <v/>
      </c>
      <c r="BZ81" s="463" t="str">
        <f t="shared" ca="1" si="151"/>
        <v/>
      </c>
      <c r="CA81" s="463" t="str">
        <f t="shared" ca="1" si="151"/>
        <v/>
      </c>
      <c r="CB81" s="463" t="str">
        <f t="shared" ca="1" si="151"/>
        <v/>
      </c>
      <c r="CC81" s="463" t="str">
        <f t="shared" ca="1" si="151"/>
        <v/>
      </c>
      <c r="CD81" s="463" t="str">
        <f t="shared" ca="1" si="151"/>
        <v/>
      </c>
      <c r="CE81" s="463" t="str">
        <f t="shared" ca="1" si="151"/>
        <v/>
      </c>
      <c r="CF81" s="463" t="str">
        <f t="shared" ca="1" si="151"/>
        <v/>
      </c>
      <c r="CG81" s="463" t="str">
        <f t="shared" ca="1" si="151"/>
        <v/>
      </c>
      <c r="CH81" s="463" t="str">
        <f t="shared" ca="1" si="151"/>
        <v/>
      </c>
      <c r="CI81" s="463" t="str">
        <f t="shared" ref="CI81:DR81" ca="1" si="152">IF(CI$10&lt;=(Åpningsår+ProsjektetsLevetid-1),IF(CI67&lt;=AndreBeregningsår,IF(SIGN($G81)=SIGN($H81),$G81*$J81^(CI67-FørsteBeregningsår),($G81+1.1*ABS($G81-$H81))*$J81^(CI67-FørsteBeregningsår)-1.1*ABS($G81-$H81)),IF(CI67&lt;=TredjeBeregningsår,IF(SIGN($H81)=SIGN($I81),$H81*$K81^(CI67-AndreBeregningsår),($H81+1.1*ABS($H81-$I81))*$K81^(CI67-AndreBeregningsår)-1.1*ABS($H81-$I81)),OFFSET($G81,0,Antall_Beregningsår-1)*LOOKUP(CI67,SerieÅR,SerieVolumvekstGods)+$L81*(CI67-IF(Antall_Beregningsår&gt;2,TredjeBeregningsår,AndreBeregningsår))))*KPIJustering*LOOKUP(CI67,SerieÅR,SerieCO2krkm_Lastebil),"")</f>
        <v/>
      </c>
      <c r="CJ81" s="463" t="str">
        <f t="shared" ca="1" si="152"/>
        <v/>
      </c>
      <c r="CK81" s="463" t="str">
        <f t="shared" ca="1" si="152"/>
        <v/>
      </c>
      <c r="CL81" s="463" t="str">
        <f t="shared" ca="1" si="152"/>
        <v/>
      </c>
      <c r="CM81" s="463" t="str">
        <f t="shared" ca="1" si="152"/>
        <v/>
      </c>
      <c r="CN81" s="463" t="str">
        <f t="shared" ca="1" si="152"/>
        <v/>
      </c>
      <c r="CO81" s="463" t="str">
        <f t="shared" ca="1" si="152"/>
        <v/>
      </c>
      <c r="CP81" s="463" t="str">
        <f t="shared" ca="1" si="152"/>
        <v/>
      </c>
      <c r="CQ81" s="463" t="str">
        <f t="shared" ca="1" si="152"/>
        <v/>
      </c>
      <c r="CR81" s="463" t="str">
        <f t="shared" ca="1" si="152"/>
        <v/>
      </c>
      <c r="CS81" s="463" t="str">
        <f t="shared" ca="1" si="152"/>
        <v/>
      </c>
      <c r="CT81" s="463" t="str">
        <f t="shared" ca="1" si="152"/>
        <v/>
      </c>
      <c r="CU81" s="463" t="str">
        <f t="shared" ca="1" si="152"/>
        <v/>
      </c>
      <c r="CV81" s="463" t="str">
        <f t="shared" ca="1" si="152"/>
        <v/>
      </c>
      <c r="CW81" s="463" t="str">
        <f t="shared" ca="1" si="152"/>
        <v/>
      </c>
      <c r="CX81" s="463" t="str">
        <f t="shared" ca="1" si="152"/>
        <v/>
      </c>
      <c r="CY81" s="463" t="str">
        <f t="shared" ca="1" si="152"/>
        <v/>
      </c>
      <c r="CZ81" s="463" t="str">
        <f t="shared" ca="1" si="152"/>
        <v/>
      </c>
      <c r="DA81" s="463" t="str">
        <f t="shared" ca="1" si="152"/>
        <v/>
      </c>
      <c r="DB81" s="463" t="str">
        <f t="shared" ca="1" si="152"/>
        <v/>
      </c>
      <c r="DC81" s="463" t="str">
        <f t="shared" ca="1" si="152"/>
        <v/>
      </c>
      <c r="DD81" s="463" t="str">
        <f t="shared" ca="1" si="152"/>
        <v/>
      </c>
      <c r="DE81" s="463" t="str">
        <f t="shared" ca="1" si="152"/>
        <v/>
      </c>
      <c r="DF81" s="463" t="str">
        <f t="shared" ca="1" si="152"/>
        <v/>
      </c>
      <c r="DG81" s="463" t="str">
        <f t="shared" ca="1" si="152"/>
        <v/>
      </c>
      <c r="DH81" s="463" t="str">
        <f t="shared" ca="1" si="152"/>
        <v/>
      </c>
      <c r="DI81" s="463" t="str">
        <f t="shared" ca="1" si="152"/>
        <v/>
      </c>
      <c r="DJ81" s="463" t="str">
        <f t="shared" ca="1" si="152"/>
        <v/>
      </c>
      <c r="DK81" s="463" t="str">
        <f t="shared" ca="1" si="152"/>
        <v/>
      </c>
      <c r="DL81" s="463" t="str">
        <f t="shared" ca="1" si="152"/>
        <v/>
      </c>
      <c r="DM81" s="463" t="str">
        <f t="shared" ca="1" si="152"/>
        <v/>
      </c>
      <c r="DN81" s="463" t="str">
        <f t="shared" ca="1" si="152"/>
        <v/>
      </c>
      <c r="DO81" s="463" t="str">
        <f t="shared" ca="1" si="152"/>
        <v/>
      </c>
      <c r="DP81" s="463" t="str">
        <f t="shared" ca="1" si="152"/>
        <v/>
      </c>
      <c r="DQ81" s="463" t="str">
        <f t="shared" ca="1" si="152"/>
        <v/>
      </c>
      <c r="DR81" s="463" t="str">
        <f t="shared" ca="1" si="152"/>
        <v/>
      </c>
      <c r="DS81" s="803">
        <f ca="1">SUMPRODUCT(('1.5 Prognoser og indekser'!$R$12:OFFSET('1.5 Prognoser og indekser'!$R$12,0,$DS$9)),($M81:OFFSET($M81,0,$DS$9)))</f>
        <v>0</v>
      </c>
      <c r="DT81" s="804">
        <f ca="1">IF($DT$9&lt;1,0,SUMPRODUCT(OFFSET('1.5 Prognoser og indekser'!$R$12,0,$DS$9+1,1,$DT$9),OFFSET($M81,0,$DS$9+1,1,$DT$9)))</f>
        <v>0</v>
      </c>
    </row>
    <row r="82" spans="3:124" s="59" customFormat="1" x14ac:dyDescent="0.35">
      <c r="C82" s="254" t="s">
        <v>1474</v>
      </c>
      <c r="D82" s="752">
        <f>-('2.4 Samfunnet for øvrig'!C66)</f>
        <v>0</v>
      </c>
      <c r="E82" s="752">
        <f>-('2.4 Samfunnet for øvrig'!D66)</f>
        <v>0</v>
      </c>
      <c r="F82" s="752">
        <f>-('2.4 Samfunnet for øvrig'!E66)</f>
        <v>0</v>
      </c>
      <c r="G82" s="752">
        <f>-(KjøretøyMkm_Lettlastebil_År1)</f>
        <v>0</v>
      </c>
      <c r="H82" s="752">
        <f>-(KjøretøyMkm_Lettlastebil_År2)</f>
        <v>0</v>
      </c>
      <c r="I82" s="752">
        <f>-(KjøretøyMkm_Lettlastebil_År3)</f>
        <v>0</v>
      </c>
      <c r="J82" s="790">
        <f t="shared" ref="J82" si="153">IF(Antall_Beregningsår&lt;2,1,IF(AND(G82=0,H82=0),1,IF(SIGN(G82)=SIGN(H82),(H82/G82)^(1/(AndreBeregningsår-FørsteBeregningsår)),((H82+1.1*ABS(G82-H82))/(G82+1.1*ABS(G82-H82)))^(1/(AndreBeregningsår-FørsteBeregningsår)))))</f>
        <v>1</v>
      </c>
      <c r="K82" s="790">
        <f>IF(Antall_Beregningsår&lt;3,1,IF(AND(H82=0,I82=0),1,IF(SIGN(H82)=SIGN(I82),(I82/H82)^(1/(TredjeBeregningsår-AndreBeregningsår)),((I82+1.1*ABS(H82-I82))/(H82+1.1*ABS(H82-I82)))^(1/(TredjeBeregningsår-AndreBeregningsår)))))</f>
        <v>1</v>
      </c>
      <c r="L82" s="752">
        <f t="shared" ref="L82" si="154">IF(Framskrivning="Lineær trend",IF(Antall_Beregningsår&gt;2,(F82-E82)/(TredjeBeregningsår-AndreBeregningsår),IF(Antall_Beregningsår&gt;1,(E82-D82)/(AndreBeregningsår-FørsteBeregningsår),0)),0)</f>
        <v>0</v>
      </c>
      <c r="M82" s="718"/>
      <c r="N82" s="718"/>
      <c r="O82" s="718"/>
      <c r="P82" s="718"/>
      <c r="Q82" s="718"/>
      <c r="R82" s="718"/>
      <c r="S82" s="718"/>
      <c r="T82" s="718"/>
      <c r="U82" s="752"/>
      <c r="V82" s="752"/>
      <c r="W82" s="463" t="str">
        <f t="shared" ref="W82:BB82" ca="1" si="155">IF(W$10&lt;=(Åpningsår+ProsjektetsLevetid-1),IF(W67&lt;=AndreBeregningsår,IF(SIGN($G82)=SIGN($H82),$G82*$J82^(W67-FørsteBeregningsår),($G82+1.1*ABS($G82-$H82))*$J82^(W67-FørsteBeregningsår)-1.1*ABS($G82-$H82)),IF(W67&lt;=TredjeBeregningsår,IF(SIGN($H82)=SIGN($I82),$H82*$K82^(W67-AndreBeregningsår),($H82+1.1*ABS($H82-$I82))*$K82^(W67-AndreBeregningsår)-1.1*ABS($H82-$I82)),OFFSET($G82,0,Antall_Beregningsår-1)*LOOKUP(W67,SerieÅR,SerieVolumvekstGods)+$L82*(W67-IF(Antall_Beregningsår&gt;2,TredjeBeregningsår,AndreBeregningsår))))*KPIJustering*LOOKUP(W67,SerieÅR,SerieCO2krkm_Lastebil),"")</f>
        <v/>
      </c>
      <c r="X82" s="463" t="str">
        <f t="shared" ca="1" si="155"/>
        <v/>
      </c>
      <c r="Y82" s="463" t="str">
        <f t="shared" ca="1" si="155"/>
        <v/>
      </c>
      <c r="Z82" s="463" t="str">
        <f t="shared" ca="1" si="155"/>
        <v/>
      </c>
      <c r="AA82" s="463" t="str">
        <f t="shared" ca="1" si="155"/>
        <v/>
      </c>
      <c r="AB82" s="463" t="str">
        <f t="shared" ca="1" si="155"/>
        <v/>
      </c>
      <c r="AC82" s="463" t="str">
        <f t="shared" ca="1" si="155"/>
        <v/>
      </c>
      <c r="AD82" s="463" t="str">
        <f t="shared" ca="1" si="155"/>
        <v/>
      </c>
      <c r="AE82" s="463" t="str">
        <f t="shared" ca="1" si="155"/>
        <v/>
      </c>
      <c r="AF82" s="463" t="str">
        <f t="shared" ca="1" si="155"/>
        <v/>
      </c>
      <c r="AG82" s="463" t="str">
        <f t="shared" ca="1" si="155"/>
        <v/>
      </c>
      <c r="AH82" s="463" t="str">
        <f t="shared" ca="1" si="155"/>
        <v/>
      </c>
      <c r="AI82" s="463" t="str">
        <f t="shared" ca="1" si="155"/>
        <v/>
      </c>
      <c r="AJ82" s="463" t="str">
        <f t="shared" ca="1" si="155"/>
        <v/>
      </c>
      <c r="AK82" s="463" t="str">
        <f t="shared" ca="1" si="155"/>
        <v/>
      </c>
      <c r="AL82" s="463" t="str">
        <f t="shared" ca="1" si="155"/>
        <v/>
      </c>
      <c r="AM82" s="463" t="str">
        <f t="shared" ca="1" si="155"/>
        <v/>
      </c>
      <c r="AN82" s="463" t="str">
        <f t="shared" ca="1" si="155"/>
        <v/>
      </c>
      <c r="AO82" s="463" t="str">
        <f t="shared" ca="1" si="155"/>
        <v/>
      </c>
      <c r="AP82" s="463" t="str">
        <f t="shared" ca="1" si="155"/>
        <v/>
      </c>
      <c r="AQ82" s="463" t="str">
        <f t="shared" ca="1" si="155"/>
        <v/>
      </c>
      <c r="AR82" s="463" t="str">
        <f t="shared" ca="1" si="155"/>
        <v/>
      </c>
      <c r="AS82" s="463" t="str">
        <f t="shared" ca="1" si="155"/>
        <v/>
      </c>
      <c r="AT82" s="463" t="str">
        <f t="shared" ca="1" si="155"/>
        <v/>
      </c>
      <c r="AU82" s="463" t="str">
        <f t="shared" ca="1" si="155"/>
        <v/>
      </c>
      <c r="AV82" s="463" t="str">
        <f t="shared" ca="1" si="155"/>
        <v/>
      </c>
      <c r="AW82" s="463" t="str">
        <f t="shared" ca="1" si="155"/>
        <v/>
      </c>
      <c r="AX82" s="463" t="str">
        <f t="shared" ca="1" si="155"/>
        <v/>
      </c>
      <c r="AY82" s="463" t="str">
        <f t="shared" ca="1" si="155"/>
        <v/>
      </c>
      <c r="AZ82" s="463" t="str">
        <f t="shared" ca="1" si="155"/>
        <v/>
      </c>
      <c r="BA82" s="463" t="str">
        <f t="shared" ca="1" si="155"/>
        <v/>
      </c>
      <c r="BB82" s="463" t="str">
        <f t="shared" ca="1" si="155"/>
        <v/>
      </c>
      <c r="BC82" s="463" t="str">
        <f t="shared" ref="BC82:CH82" ca="1" si="156">IF(BC$10&lt;=(Åpningsår+ProsjektetsLevetid-1),IF(BC67&lt;=AndreBeregningsår,IF(SIGN($G82)=SIGN($H82),$G82*$J82^(BC67-FørsteBeregningsår),($G82+1.1*ABS($G82-$H82))*$J82^(BC67-FørsteBeregningsår)-1.1*ABS($G82-$H82)),IF(BC67&lt;=TredjeBeregningsår,IF(SIGN($H82)=SIGN($I82),$H82*$K82^(BC67-AndreBeregningsår),($H82+1.1*ABS($H82-$I82))*$K82^(BC67-AndreBeregningsår)-1.1*ABS($H82-$I82)),OFFSET($G82,0,Antall_Beregningsår-1)*LOOKUP(BC67,SerieÅR,SerieVolumvekstGods)+$L82*(BC67-IF(Antall_Beregningsår&gt;2,TredjeBeregningsår,AndreBeregningsår))))*KPIJustering*LOOKUP(BC67,SerieÅR,SerieCO2krkm_Lastebil),"")</f>
        <v/>
      </c>
      <c r="BD82" s="463" t="str">
        <f t="shared" ca="1" si="156"/>
        <v/>
      </c>
      <c r="BE82" s="463" t="str">
        <f t="shared" ca="1" si="156"/>
        <v/>
      </c>
      <c r="BF82" s="463" t="str">
        <f t="shared" ca="1" si="156"/>
        <v/>
      </c>
      <c r="BG82" s="463" t="str">
        <f t="shared" ca="1" si="156"/>
        <v/>
      </c>
      <c r="BH82" s="463" t="str">
        <f t="shared" ca="1" si="156"/>
        <v/>
      </c>
      <c r="BI82" s="463" t="str">
        <f t="shared" ca="1" si="156"/>
        <v/>
      </c>
      <c r="BJ82" s="463" t="str">
        <f t="shared" ca="1" si="156"/>
        <v/>
      </c>
      <c r="BK82" s="463" t="str">
        <f t="shared" ca="1" si="156"/>
        <v/>
      </c>
      <c r="BL82" s="463" t="str">
        <f t="shared" ca="1" si="156"/>
        <v/>
      </c>
      <c r="BM82" s="463" t="str">
        <f t="shared" ca="1" si="156"/>
        <v/>
      </c>
      <c r="BN82" s="463" t="str">
        <f t="shared" ca="1" si="156"/>
        <v/>
      </c>
      <c r="BO82" s="463" t="str">
        <f t="shared" ca="1" si="156"/>
        <v/>
      </c>
      <c r="BP82" s="463" t="str">
        <f t="shared" ca="1" si="156"/>
        <v/>
      </c>
      <c r="BQ82" s="463" t="str">
        <f t="shared" ca="1" si="156"/>
        <v/>
      </c>
      <c r="BR82" s="463" t="str">
        <f t="shared" ca="1" si="156"/>
        <v/>
      </c>
      <c r="BS82" s="463" t="str">
        <f t="shared" ca="1" si="156"/>
        <v/>
      </c>
      <c r="BT82" s="463" t="str">
        <f t="shared" ca="1" si="156"/>
        <v/>
      </c>
      <c r="BU82" s="463" t="str">
        <f t="shared" ca="1" si="156"/>
        <v/>
      </c>
      <c r="BV82" s="463" t="str">
        <f t="shared" ca="1" si="156"/>
        <v/>
      </c>
      <c r="BW82" s="463" t="str">
        <f t="shared" ca="1" si="156"/>
        <v/>
      </c>
      <c r="BX82" s="463" t="str">
        <f t="shared" ca="1" si="156"/>
        <v/>
      </c>
      <c r="BY82" s="463" t="str">
        <f t="shared" ca="1" si="156"/>
        <v/>
      </c>
      <c r="BZ82" s="463" t="str">
        <f t="shared" ca="1" si="156"/>
        <v/>
      </c>
      <c r="CA82" s="463" t="str">
        <f t="shared" ca="1" si="156"/>
        <v/>
      </c>
      <c r="CB82" s="463" t="str">
        <f t="shared" ca="1" si="156"/>
        <v/>
      </c>
      <c r="CC82" s="463" t="str">
        <f t="shared" ca="1" si="156"/>
        <v/>
      </c>
      <c r="CD82" s="463" t="str">
        <f t="shared" ca="1" si="156"/>
        <v/>
      </c>
      <c r="CE82" s="463" t="str">
        <f t="shared" ca="1" si="156"/>
        <v/>
      </c>
      <c r="CF82" s="463" t="str">
        <f t="shared" ca="1" si="156"/>
        <v/>
      </c>
      <c r="CG82" s="463" t="str">
        <f t="shared" ca="1" si="156"/>
        <v/>
      </c>
      <c r="CH82" s="463" t="str">
        <f t="shared" ca="1" si="156"/>
        <v/>
      </c>
      <c r="CI82" s="463" t="str">
        <f t="shared" ref="CI82:DR82" ca="1" si="157">IF(CI$10&lt;=(Åpningsår+ProsjektetsLevetid-1),IF(CI67&lt;=AndreBeregningsår,IF(SIGN($G82)=SIGN($H82),$G82*$J82^(CI67-FørsteBeregningsår),($G82+1.1*ABS($G82-$H82))*$J82^(CI67-FørsteBeregningsår)-1.1*ABS($G82-$H82)),IF(CI67&lt;=TredjeBeregningsår,IF(SIGN($H82)=SIGN($I82),$H82*$K82^(CI67-AndreBeregningsår),($H82+1.1*ABS($H82-$I82))*$K82^(CI67-AndreBeregningsår)-1.1*ABS($H82-$I82)),OFFSET($G82,0,Antall_Beregningsår-1)*LOOKUP(CI67,SerieÅR,SerieVolumvekstGods)+$L82*(CI67-IF(Antall_Beregningsår&gt;2,TredjeBeregningsår,AndreBeregningsår))))*KPIJustering*LOOKUP(CI67,SerieÅR,SerieCO2krkm_Lastebil),"")</f>
        <v/>
      </c>
      <c r="CJ82" s="463" t="str">
        <f t="shared" ca="1" si="157"/>
        <v/>
      </c>
      <c r="CK82" s="463" t="str">
        <f t="shared" ca="1" si="157"/>
        <v/>
      </c>
      <c r="CL82" s="463" t="str">
        <f t="shared" ca="1" si="157"/>
        <v/>
      </c>
      <c r="CM82" s="463" t="str">
        <f t="shared" ca="1" si="157"/>
        <v/>
      </c>
      <c r="CN82" s="463" t="str">
        <f t="shared" ca="1" si="157"/>
        <v/>
      </c>
      <c r="CO82" s="463" t="str">
        <f t="shared" ca="1" si="157"/>
        <v/>
      </c>
      <c r="CP82" s="463" t="str">
        <f t="shared" ca="1" si="157"/>
        <v/>
      </c>
      <c r="CQ82" s="463" t="str">
        <f t="shared" ca="1" si="157"/>
        <v/>
      </c>
      <c r="CR82" s="463" t="str">
        <f t="shared" ca="1" si="157"/>
        <v/>
      </c>
      <c r="CS82" s="463" t="str">
        <f t="shared" ca="1" si="157"/>
        <v/>
      </c>
      <c r="CT82" s="463" t="str">
        <f t="shared" ca="1" si="157"/>
        <v/>
      </c>
      <c r="CU82" s="463" t="str">
        <f t="shared" ca="1" si="157"/>
        <v/>
      </c>
      <c r="CV82" s="463" t="str">
        <f t="shared" ca="1" si="157"/>
        <v/>
      </c>
      <c r="CW82" s="463" t="str">
        <f t="shared" ca="1" si="157"/>
        <v/>
      </c>
      <c r="CX82" s="463" t="str">
        <f t="shared" ca="1" si="157"/>
        <v/>
      </c>
      <c r="CY82" s="463" t="str">
        <f t="shared" ca="1" si="157"/>
        <v/>
      </c>
      <c r="CZ82" s="463" t="str">
        <f t="shared" ca="1" si="157"/>
        <v/>
      </c>
      <c r="DA82" s="463" t="str">
        <f t="shared" ca="1" si="157"/>
        <v/>
      </c>
      <c r="DB82" s="463" t="str">
        <f t="shared" ca="1" si="157"/>
        <v/>
      </c>
      <c r="DC82" s="463" t="str">
        <f t="shared" ca="1" si="157"/>
        <v/>
      </c>
      <c r="DD82" s="463" t="str">
        <f t="shared" ca="1" si="157"/>
        <v/>
      </c>
      <c r="DE82" s="463" t="str">
        <f t="shared" ca="1" si="157"/>
        <v/>
      </c>
      <c r="DF82" s="463" t="str">
        <f t="shared" ca="1" si="157"/>
        <v/>
      </c>
      <c r="DG82" s="463" t="str">
        <f t="shared" ca="1" si="157"/>
        <v/>
      </c>
      <c r="DH82" s="463" t="str">
        <f t="shared" ca="1" si="157"/>
        <v/>
      </c>
      <c r="DI82" s="463" t="str">
        <f t="shared" ca="1" si="157"/>
        <v/>
      </c>
      <c r="DJ82" s="463" t="str">
        <f t="shared" ca="1" si="157"/>
        <v/>
      </c>
      <c r="DK82" s="463" t="str">
        <f t="shared" ca="1" si="157"/>
        <v/>
      </c>
      <c r="DL82" s="463" t="str">
        <f t="shared" ca="1" si="157"/>
        <v/>
      </c>
      <c r="DM82" s="463" t="str">
        <f t="shared" ca="1" si="157"/>
        <v/>
      </c>
      <c r="DN82" s="463" t="str">
        <f t="shared" ca="1" si="157"/>
        <v/>
      </c>
      <c r="DO82" s="463" t="str">
        <f t="shared" ca="1" si="157"/>
        <v/>
      </c>
      <c r="DP82" s="463" t="str">
        <f t="shared" ca="1" si="157"/>
        <v/>
      </c>
      <c r="DQ82" s="463" t="str">
        <f t="shared" ca="1" si="157"/>
        <v/>
      </c>
      <c r="DR82" s="463" t="str">
        <f t="shared" ca="1" si="157"/>
        <v/>
      </c>
      <c r="DS82" s="803">
        <f ca="1">SUMPRODUCT(('1.5 Prognoser og indekser'!$R$12:OFFSET('1.5 Prognoser og indekser'!$R$12,0,$DS$9)),($M82:OFFSET($M82,0,$DS$9)))</f>
        <v>0</v>
      </c>
      <c r="DT82" s="804">
        <f ca="1">IF($DT$9&lt;1,0,SUMPRODUCT(OFFSET('1.5 Prognoser og indekser'!$R$12,0,$DS$9+1,1,$DT$9),OFFSET($M82,0,$DS$9+1,1,$DT$9)))</f>
        <v>0</v>
      </c>
    </row>
    <row r="83" spans="3:124" s="59" customFormat="1" x14ac:dyDescent="0.35">
      <c r="C83" s="254" t="str">
        <f>'2.4 Samfunnet for øvrig'!B67</f>
        <v>Skip</v>
      </c>
      <c r="D83" s="752">
        <f>-('2.4 Samfunnet for øvrig'!C67)</f>
        <v>0</v>
      </c>
      <c r="E83" s="752">
        <f>-('2.4 Samfunnet for øvrig'!D67)</f>
        <v>0</v>
      </c>
      <c r="F83" s="752">
        <f>-('2.4 Samfunnet for øvrig'!E67)</f>
        <v>0</v>
      </c>
      <c r="G83" s="752">
        <f>-FartøyMkm_Skip_År1</f>
        <v>0</v>
      </c>
      <c r="H83" s="752">
        <f>-FartøyMkm_Skip_År2</f>
        <v>0</v>
      </c>
      <c r="I83" s="752">
        <f>-FartøyMkm_Skip_År3</f>
        <v>0</v>
      </c>
      <c r="J83" s="790">
        <f>IF(Antall_Beregningsår&lt;2,1,IF(AND(G83=0,H83=0),1,IF(SIGN(G83)=SIGN(H83),(H83/G83)^(1/(AndreBeregningsår-FørsteBeregningsår)),((H83+1.1*ABS(G83-H83))/(G83+1.1*ABS(G83-H83)))^(1/(AndreBeregningsår-FørsteBeregningsår)))))</f>
        <v>1</v>
      </c>
      <c r="K83" s="790">
        <f>IF(Antall_Beregningsår&lt;3,1,IF(AND(H83=0,I83=0),1,IF(SIGN(H83)=SIGN(I83),(I83/H83)^(1/(TredjeBeregningsår-AndreBeregningsår)),((I83+1.1*ABS(H83-I83))/(H83+1.1*ABS(H83-I83)))^(1/(TredjeBeregningsår-AndreBeregningsår)))))</f>
        <v>1</v>
      </c>
      <c r="L83" s="752">
        <f t="shared" si="135"/>
        <v>0</v>
      </c>
      <c r="M83" s="718"/>
      <c r="N83" s="718"/>
      <c r="O83" s="718"/>
      <c r="P83" s="718"/>
      <c r="Q83" s="718"/>
      <c r="R83" s="718"/>
      <c r="S83" s="718"/>
      <c r="T83" s="718"/>
      <c r="U83" s="752"/>
      <c r="V83" s="752"/>
      <c r="W83" s="463" t="str">
        <f t="shared" ref="W83:BB83" ca="1" si="158">IF(W$10&lt;=(Åpningsår+ProsjektetsLevetid-1),IF(W67&lt;=AndreBeregningsår,IF(SIGN($G83)=SIGN($H83),$G83*$J83^(W67-FørsteBeregningsår),($G83+1.1*ABS($G83-$H83))*$J83^(W67-FørsteBeregningsår)-1.1*ABS($G83-$H83)),IF(W67&lt;=TredjeBeregningsår,IF(SIGN($H83)=SIGN($I83),$H83*$K83^(W67-AndreBeregningsår),($H83+1.1*ABS($H83-$I83))*$K83^(W67-AndreBeregningsår)-1.1*ABS($H83-$I83)),OFFSET($G83,0,Antall_Beregningsår-1)*LOOKUP(W67,SerieÅR,SerieVolumvekstGods)+$L83*(W67-IF(Antall_Beregningsår&gt;2,TredjeBeregningsår,AndreBeregningsår))))*KPIJustering*LOOKUP(W67,SerieÅR,SerieCO2krkm_Skip),"")</f>
        <v/>
      </c>
      <c r="X83" s="463" t="str">
        <f t="shared" ca="1" si="158"/>
        <v/>
      </c>
      <c r="Y83" s="463" t="str">
        <f t="shared" ca="1" si="158"/>
        <v/>
      </c>
      <c r="Z83" s="463" t="str">
        <f t="shared" ca="1" si="158"/>
        <v/>
      </c>
      <c r="AA83" s="463" t="str">
        <f t="shared" ca="1" si="158"/>
        <v/>
      </c>
      <c r="AB83" s="463" t="str">
        <f t="shared" ca="1" si="158"/>
        <v/>
      </c>
      <c r="AC83" s="463" t="str">
        <f t="shared" ca="1" si="158"/>
        <v/>
      </c>
      <c r="AD83" s="463" t="str">
        <f t="shared" ca="1" si="158"/>
        <v/>
      </c>
      <c r="AE83" s="463" t="str">
        <f t="shared" ca="1" si="158"/>
        <v/>
      </c>
      <c r="AF83" s="463" t="str">
        <f t="shared" ca="1" si="158"/>
        <v/>
      </c>
      <c r="AG83" s="463" t="str">
        <f t="shared" ca="1" si="158"/>
        <v/>
      </c>
      <c r="AH83" s="463" t="str">
        <f t="shared" ca="1" si="158"/>
        <v/>
      </c>
      <c r="AI83" s="463" t="str">
        <f t="shared" ca="1" si="158"/>
        <v/>
      </c>
      <c r="AJ83" s="463" t="str">
        <f t="shared" ca="1" si="158"/>
        <v/>
      </c>
      <c r="AK83" s="463" t="str">
        <f t="shared" ca="1" si="158"/>
        <v/>
      </c>
      <c r="AL83" s="463" t="str">
        <f t="shared" ca="1" si="158"/>
        <v/>
      </c>
      <c r="AM83" s="463" t="str">
        <f t="shared" ca="1" si="158"/>
        <v/>
      </c>
      <c r="AN83" s="463" t="str">
        <f t="shared" ca="1" si="158"/>
        <v/>
      </c>
      <c r="AO83" s="463" t="str">
        <f t="shared" ca="1" si="158"/>
        <v/>
      </c>
      <c r="AP83" s="463" t="str">
        <f t="shared" ca="1" si="158"/>
        <v/>
      </c>
      <c r="AQ83" s="463" t="str">
        <f t="shared" ca="1" si="158"/>
        <v/>
      </c>
      <c r="AR83" s="463" t="str">
        <f t="shared" ca="1" si="158"/>
        <v/>
      </c>
      <c r="AS83" s="463" t="str">
        <f t="shared" ca="1" si="158"/>
        <v/>
      </c>
      <c r="AT83" s="463" t="str">
        <f t="shared" ca="1" si="158"/>
        <v/>
      </c>
      <c r="AU83" s="463" t="str">
        <f t="shared" ca="1" si="158"/>
        <v/>
      </c>
      <c r="AV83" s="463" t="str">
        <f t="shared" ca="1" si="158"/>
        <v/>
      </c>
      <c r="AW83" s="463" t="str">
        <f t="shared" ca="1" si="158"/>
        <v/>
      </c>
      <c r="AX83" s="463" t="str">
        <f t="shared" ca="1" si="158"/>
        <v/>
      </c>
      <c r="AY83" s="463" t="str">
        <f t="shared" ca="1" si="158"/>
        <v/>
      </c>
      <c r="AZ83" s="463" t="str">
        <f t="shared" ca="1" si="158"/>
        <v/>
      </c>
      <c r="BA83" s="463" t="str">
        <f t="shared" ca="1" si="158"/>
        <v/>
      </c>
      <c r="BB83" s="463" t="str">
        <f t="shared" ca="1" si="158"/>
        <v/>
      </c>
      <c r="BC83" s="463" t="str">
        <f t="shared" ref="BC83:CH83" ca="1" si="159">IF(BC$10&lt;=(Åpningsår+ProsjektetsLevetid-1),IF(BC67&lt;=AndreBeregningsår,IF(SIGN($G83)=SIGN($H83),$G83*$J83^(BC67-FørsteBeregningsår),($G83+1.1*ABS($G83-$H83))*$J83^(BC67-FørsteBeregningsår)-1.1*ABS($G83-$H83)),IF(BC67&lt;=TredjeBeregningsår,IF(SIGN($H83)=SIGN($I83),$H83*$K83^(BC67-AndreBeregningsår),($H83+1.1*ABS($H83-$I83))*$K83^(BC67-AndreBeregningsår)-1.1*ABS($H83-$I83)),OFFSET($G83,0,Antall_Beregningsår-1)*LOOKUP(BC67,SerieÅR,SerieVolumvekstGods)+$L83*(BC67-IF(Antall_Beregningsår&gt;2,TredjeBeregningsår,AndreBeregningsår))))*KPIJustering*LOOKUP(BC67,SerieÅR,SerieCO2krkm_Skip),"")</f>
        <v/>
      </c>
      <c r="BD83" s="463" t="str">
        <f t="shared" ca="1" si="159"/>
        <v/>
      </c>
      <c r="BE83" s="463" t="str">
        <f t="shared" ca="1" si="159"/>
        <v/>
      </c>
      <c r="BF83" s="463" t="str">
        <f t="shared" ca="1" si="159"/>
        <v/>
      </c>
      <c r="BG83" s="463" t="str">
        <f t="shared" ca="1" si="159"/>
        <v/>
      </c>
      <c r="BH83" s="463" t="str">
        <f t="shared" ca="1" si="159"/>
        <v/>
      </c>
      <c r="BI83" s="463" t="str">
        <f t="shared" ca="1" si="159"/>
        <v/>
      </c>
      <c r="BJ83" s="463" t="str">
        <f t="shared" ca="1" si="159"/>
        <v/>
      </c>
      <c r="BK83" s="463" t="str">
        <f t="shared" ca="1" si="159"/>
        <v/>
      </c>
      <c r="BL83" s="463" t="str">
        <f t="shared" ca="1" si="159"/>
        <v/>
      </c>
      <c r="BM83" s="463" t="str">
        <f t="shared" ca="1" si="159"/>
        <v/>
      </c>
      <c r="BN83" s="463" t="str">
        <f t="shared" ca="1" si="159"/>
        <v/>
      </c>
      <c r="BO83" s="463" t="str">
        <f t="shared" ca="1" si="159"/>
        <v/>
      </c>
      <c r="BP83" s="463" t="str">
        <f t="shared" ca="1" si="159"/>
        <v/>
      </c>
      <c r="BQ83" s="463" t="str">
        <f t="shared" ca="1" si="159"/>
        <v/>
      </c>
      <c r="BR83" s="463" t="str">
        <f t="shared" ca="1" si="159"/>
        <v/>
      </c>
      <c r="BS83" s="463" t="str">
        <f t="shared" ca="1" si="159"/>
        <v/>
      </c>
      <c r="BT83" s="463" t="str">
        <f t="shared" ca="1" si="159"/>
        <v/>
      </c>
      <c r="BU83" s="463" t="str">
        <f t="shared" ca="1" si="159"/>
        <v/>
      </c>
      <c r="BV83" s="463" t="str">
        <f t="shared" ca="1" si="159"/>
        <v/>
      </c>
      <c r="BW83" s="463" t="str">
        <f t="shared" ca="1" si="159"/>
        <v/>
      </c>
      <c r="BX83" s="463" t="str">
        <f t="shared" ca="1" si="159"/>
        <v/>
      </c>
      <c r="BY83" s="463" t="str">
        <f t="shared" ca="1" si="159"/>
        <v/>
      </c>
      <c r="BZ83" s="463" t="str">
        <f t="shared" ca="1" si="159"/>
        <v/>
      </c>
      <c r="CA83" s="463" t="str">
        <f t="shared" ca="1" si="159"/>
        <v/>
      </c>
      <c r="CB83" s="463" t="str">
        <f t="shared" ca="1" si="159"/>
        <v/>
      </c>
      <c r="CC83" s="463" t="str">
        <f t="shared" ca="1" si="159"/>
        <v/>
      </c>
      <c r="CD83" s="463" t="str">
        <f t="shared" ca="1" si="159"/>
        <v/>
      </c>
      <c r="CE83" s="463" t="str">
        <f t="shared" ca="1" si="159"/>
        <v/>
      </c>
      <c r="CF83" s="463" t="str">
        <f t="shared" ca="1" si="159"/>
        <v/>
      </c>
      <c r="CG83" s="463" t="str">
        <f t="shared" ca="1" si="159"/>
        <v/>
      </c>
      <c r="CH83" s="463" t="str">
        <f t="shared" ca="1" si="159"/>
        <v/>
      </c>
      <c r="CI83" s="463" t="str">
        <f t="shared" ref="CI83:DR83" ca="1" si="160">IF(CI$10&lt;=(Åpningsår+ProsjektetsLevetid-1),IF(CI67&lt;=AndreBeregningsår,IF(SIGN($G83)=SIGN($H83),$G83*$J83^(CI67-FørsteBeregningsår),($G83+1.1*ABS($G83-$H83))*$J83^(CI67-FørsteBeregningsår)-1.1*ABS($G83-$H83)),IF(CI67&lt;=TredjeBeregningsår,IF(SIGN($H83)=SIGN($I83),$H83*$K83^(CI67-AndreBeregningsår),($H83+1.1*ABS($H83-$I83))*$K83^(CI67-AndreBeregningsår)-1.1*ABS($H83-$I83)),OFFSET($G83,0,Antall_Beregningsår-1)*LOOKUP(CI67,SerieÅR,SerieVolumvekstGods)+$L83*(CI67-IF(Antall_Beregningsår&gt;2,TredjeBeregningsår,AndreBeregningsår))))*KPIJustering*LOOKUP(CI67,SerieÅR,SerieCO2krkm_Skip),"")</f>
        <v/>
      </c>
      <c r="CJ83" s="463" t="str">
        <f t="shared" ca="1" si="160"/>
        <v/>
      </c>
      <c r="CK83" s="463" t="str">
        <f t="shared" ca="1" si="160"/>
        <v/>
      </c>
      <c r="CL83" s="463" t="str">
        <f t="shared" ca="1" si="160"/>
        <v/>
      </c>
      <c r="CM83" s="463" t="str">
        <f t="shared" ca="1" si="160"/>
        <v/>
      </c>
      <c r="CN83" s="463" t="str">
        <f t="shared" ca="1" si="160"/>
        <v/>
      </c>
      <c r="CO83" s="463" t="str">
        <f t="shared" ca="1" si="160"/>
        <v/>
      </c>
      <c r="CP83" s="463" t="str">
        <f t="shared" ca="1" si="160"/>
        <v/>
      </c>
      <c r="CQ83" s="463" t="str">
        <f t="shared" ca="1" si="160"/>
        <v/>
      </c>
      <c r="CR83" s="463" t="str">
        <f t="shared" ca="1" si="160"/>
        <v/>
      </c>
      <c r="CS83" s="463" t="str">
        <f t="shared" ca="1" si="160"/>
        <v/>
      </c>
      <c r="CT83" s="463" t="str">
        <f t="shared" ca="1" si="160"/>
        <v/>
      </c>
      <c r="CU83" s="463" t="str">
        <f t="shared" ca="1" si="160"/>
        <v/>
      </c>
      <c r="CV83" s="463" t="str">
        <f t="shared" ca="1" si="160"/>
        <v/>
      </c>
      <c r="CW83" s="463" t="str">
        <f t="shared" ca="1" si="160"/>
        <v/>
      </c>
      <c r="CX83" s="463" t="str">
        <f t="shared" ca="1" si="160"/>
        <v/>
      </c>
      <c r="CY83" s="463" t="str">
        <f t="shared" ca="1" si="160"/>
        <v/>
      </c>
      <c r="CZ83" s="463" t="str">
        <f t="shared" ca="1" si="160"/>
        <v/>
      </c>
      <c r="DA83" s="463" t="str">
        <f t="shared" ca="1" si="160"/>
        <v/>
      </c>
      <c r="DB83" s="463" t="str">
        <f t="shared" ca="1" si="160"/>
        <v/>
      </c>
      <c r="DC83" s="463" t="str">
        <f t="shared" ca="1" si="160"/>
        <v/>
      </c>
      <c r="DD83" s="463" t="str">
        <f t="shared" ca="1" si="160"/>
        <v/>
      </c>
      <c r="DE83" s="463" t="str">
        <f t="shared" ca="1" si="160"/>
        <v/>
      </c>
      <c r="DF83" s="463" t="str">
        <f t="shared" ca="1" si="160"/>
        <v/>
      </c>
      <c r="DG83" s="463" t="str">
        <f t="shared" ca="1" si="160"/>
        <v/>
      </c>
      <c r="DH83" s="463" t="str">
        <f t="shared" ca="1" si="160"/>
        <v/>
      </c>
      <c r="DI83" s="463" t="str">
        <f t="shared" ca="1" si="160"/>
        <v/>
      </c>
      <c r="DJ83" s="463" t="str">
        <f t="shared" ca="1" si="160"/>
        <v/>
      </c>
      <c r="DK83" s="463" t="str">
        <f t="shared" ca="1" si="160"/>
        <v/>
      </c>
      <c r="DL83" s="463" t="str">
        <f t="shared" ca="1" si="160"/>
        <v/>
      </c>
      <c r="DM83" s="463" t="str">
        <f t="shared" ca="1" si="160"/>
        <v/>
      </c>
      <c r="DN83" s="463" t="str">
        <f t="shared" ca="1" si="160"/>
        <v/>
      </c>
      <c r="DO83" s="463" t="str">
        <f t="shared" ca="1" si="160"/>
        <v/>
      </c>
      <c r="DP83" s="463" t="str">
        <f t="shared" ca="1" si="160"/>
        <v/>
      </c>
      <c r="DQ83" s="463" t="str">
        <f t="shared" ca="1" si="160"/>
        <v/>
      </c>
      <c r="DR83" s="463" t="str">
        <f t="shared" ca="1" si="160"/>
        <v/>
      </c>
      <c r="DS83" s="803">
        <f ca="1">SUMPRODUCT(('1.5 Prognoser og indekser'!$R$12:OFFSET('1.5 Prognoser og indekser'!$R$12,0,$DS$9)),($M83:OFFSET($M83,0,$DS$9)))</f>
        <v>0</v>
      </c>
      <c r="DT83" s="804">
        <f ca="1">IF($DT$9&lt;1,0,SUMPRODUCT(OFFSET('1.5 Prognoser og indekser'!$R$12,0,$DS$9+1,1,$DT$9),OFFSET($M83,0,$DS$9+1,1,$DT$9)))</f>
        <v>0</v>
      </c>
    </row>
    <row r="84" spans="3:124" s="59" customFormat="1" x14ac:dyDescent="0.35">
      <c r="C84" s="254" t="str">
        <f>'2.4 Samfunnet for øvrig'!B68</f>
        <v>Godsfly</v>
      </c>
      <c r="D84" s="752">
        <f>-('2.4 Samfunnet for øvrig'!C68)</f>
        <v>0</v>
      </c>
      <c r="E84" s="752">
        <f>-('2.4 Samfunnet for øvrig'!D68)</f>
        <v>0</v>
      </c>
      <c r="F84" s="752">
        <f>-('2.4 Samfunnet for øvrig'!E68)</f>
        <v>0</v>
      </c>
      <c r="G84" s="752">
        <f>-GodsflyMkm_År1</f>
        <v>0</v>
      </c>
      <c r="H84" s="752">
        <f>-GodsflyMkm_År2</f>
        <v>0</v>
      </c>
      <c r="I84" s="752">
        <f>-GodsflyMkm_År3</f>
        <v>0</v>
      </c>
      <c r="J84" s="790">
        <f t="shared" si="142"/>
        <v>1</v>
      </c>
      <c r="K84" s="790">
        <f>IF(Antall_Beregningsår&lt;3,1,IF(AND(H84=0,I84=0),1,IF(SIGN(H84)=SIGN(I84),(I84/H84)^(1/(TredjeBeregningsår-AndreBeregningsår)),((I84+1.1*ABS(H84-I84))/(H84+1.1*ABS(H84-I84)))^(1/(TredjeBeregningsår-AndreBeregningsår)))))</f>
        <v>1</v>
      </c>
      <c r="L84" s="752">
        <f t="shared" si="135"/>
        <v>0</v>
      </c>
      <c r="M84" s="718"/>
      <c r="N84" s="718"/>
      <c r="O84" s="718"/>
      <c r="P84" s="718"/>
      <c r="Q84" s="718"/>
      <c r="R84" s="718"/>
      <c r="S84" s="718"/>
      <c r="T84" s="718"/>
      <c r="U84" s="752"/>
      <c r="V84" s="752"/>
      <c r="W84" s="463" t="str">
        <f t="shared" ref="W84:BB84" ca="1" si="161">IF(W$10&lt;=(Åpningsår+ProsjektetsLevetid-1),IF(W67&lt;=AndreBeregningsår,IF(SIGN($G84)=SIGN($H84),$G84*$J84^(W67-FørsteBeregningsår),($G84+1.1*ABS($G84-$H84))*$J84^(W67-FørsteBeregningsår)-1.1*ABS($G84-$H84)),IF(W67&lt;=TredjeBeregningsår,IF(SIGN($H84)=SIGN($I84),$H84*$K84^(W67-AndreBeregningsår),($H84+1.1*ABS($H84-$I84))*$K84^(W67-AndreBeregningsår)-1.1*ABS($H84-$I84)),OFFSET($G84,0,Antall_Beregningsår-1)*LOOKUP(W67,SerieÅR,SerieVolumvekstGods)+$L84*(W67-IF(Antall_Beregningsår&gt;2,TredjeBeregningsår,AndreBeregningsår))))*KPIJustering*LOOKUP(W67,SerieÅR,SerieCO2krkm_Fly),"")</f>
        <v/>
      </c>
      <c r="X84" s="463" t="str">
        <f t="shared" ca="1" si="161"/>
        <v/>
      </c>
      <c r="Y84" s="463" t="str">
        <f t="shared" ca="1" si="161"/>
        <v/>
      </c>
      <c r="Z84" s="463" t="str">
        <f t="shared" ca="1" si="161"/>
        <v/>
      </c>
      <c r="AA84" s="463" t="str">
        <f t="shared" ca="1" si="161"/>
        <v/>
      </c>
      <c r="AB84" s="463" t="str">
        <f t="shared" ca="1" si="161"/>
        <v/>
      </c>
      <c r="AC84" s="463" t="str">
        <f t="shared" ca="1" si="161"/>
        <v/>
      </c>
      <c r="AD84" s="463" t="str">
        <f t="shared" ca="1" si="161"/>
        <v/>
      </c>
      <c r="AE84" s="463" t="str">
        <f t="shared" ca="1" si="161"/>
        <v/>
      </c>
      <c r="AF84" s="463" t="str">
        <f t="shared" ca="1" si="161"/>
        <v/>
      </c>
      <c r="AG84" s="463" t="str">
        <f t="shared" ca="1" si="161"/>
        <v/>
      </c>
      <c r="AH84" s="463" t="str">
        <f t="shared" ca="1" si="161"/>
        <v/>
      </c>
      <c r="AI84" s="463" t="str">
        <f t="shared" ca="1" si="161"/>
        <v/>
      </c>
      <c r="AJ84" s="463" t="str">
        <f t="shared" ca="1" si="161"/>
        <v/>
      </c>
      <c r="AK84" s="463" t="str">
        <f t="shared" ca="1" si="161"/>
        <v/>
      </c>
      <c r="AL84" s="463" t="str">
        <f t="shared" ca="1" si="161"/>
        <v/>
      </c>
      <c r="AM84" s="463" t="str">
        <f t="shared" ca="1" si="161"/>
        <v/>
      </c>
      <c r="AN84" s="463" t="str">
        <f t="shared" ca="1" si="161"/>
        <v/>
      </c>
      <c r="AO84" s="463" t="str">
        <f t="shared" ca="1" si="161"/>
        <v/>
      </c>
      <c r="AP84" s="463" t="str">
        <f t="shared" ca="1" si="161"/>
        <v/>
      </c>
      <c r="AQ84" s="463" t="str">
        <f t="shared" ca="1" si="161"/>
        <v/>
      </c>
      <c r="AR84" s="463" t="str">
        <f t="shared" ca="1" si="161"/>
        <v/>
      </c>
      <c r="AS84" s="463" t="str">
        <f t="shared" ca="1" si="161"/>
        <v/>
      </c>
      <c r="AT84" s="463" t="str">
        <f t="shared" ca="1" si="161"/>
        <v/>
      </c>
      <c r="AU84" s="463" t="str">
        <f t="shared" ca="1" si="161"/>
        <v/>
      </c>
      <c r="AV84" s="463" t="str">
        <f t="shared" ca="1" si="161"/>
        <v/>
      </c>
      <c r="AW84" s="463" t="str">
        <f t="shared" ca="1" si="161"/>
        <v/>
      </c>
      <c r="AX84" s="463" t="str">
        <f t="shared" ca="1" si="161"/>
        <v/>
      </c>
      <c r="AY84" s="463" t="str">
        <f t="shared" ca="1" si="161"/>
        <v/>
      </c>
      <c r="AZ84" s="463" t="str">
        <f t="shared" ca="1" si="161"/>
        <v/>
      </c>
      <c r="BA84" s="463" t="str">
        <f t="shared" ca="1" si="161"/>
        <v/>
      </c>
      <c r="BB84" s="463" t="str">
        <f t="shared" ca="1" si="161"/>
        <v/>
      </c>
      <c r="BC84" s="463" t="str">
        <f t="shared" ref="BC84:CH84" ca="1" si="162">IF(BC$10&lt;=(Åpningsår+ProsjektetsLevetid-1),IF(BC67&lt;=AndreBeregningsår,IF(SIGN($G84)=SIGN($H84),$G84*$J84^(BC67-FørsteBeregningsår),($G84+1.1*ABS($G84-$H84))*$J84^(BC67-FørsteBeregningsår)-1.1*ABS($G84-$H84)),IF(BC67&lt;=TredjeBeregningsår,IF(SIGN($H84)=SIGN($I84),$H84*$K84^(BC67-AndreBeregningsår),($H84+1.1*ABS($H84-$I84))*$K84^(BC67-AndreBeregningsår)-1.1*ABS($H84-$I84)),OFFSET($G84,0,Antall_Beregningsår-1)*LOOKUP(BC67,SerieÅR,SerieVolumvekstGods)+$L84*(BC67-IF(Antall_Beregningsår&gt;2,TredjeBeregningsår,AndreBeregningsår))))*KPIJustering*LOOKUP(BC67,SerieÅR,SerieCO2krkm_Fly),"")</f>
        <v/>
      </c>
      <c r="BD84" s="463" t="str">
        <f t="shared" ca="1" si="162"/>
        <v/>
      </c>
      <c r="BE84" s="463" t="str">
        <f t="shared" ca="1" si="162"/>
        <v/>
      </c>
      <c r="BF84" s="463" t="str">
        <f t="shared" ca="1" si="162"/>
        <v/>
      </c>
      <c r="BG84" s="463" t="str">
        <f t="shared" ca="1" si="162"/>
        <v/>
      </c>
      <c r="BH84" s="463" t="str">
        <f t="shared" ca="1" si="162"/>
        <v/>
      </c>
      <c r="BI84" s="463" t="str">
        <f t="shared" ca="1" si="162"/>
        <v/>
      </c>
      <c r="BJ84" s="463" t="str">
        <f t="shared" ca="1" si="162"/>
        <v/>
      </c>
      <c r="BK84" s="463" t="str">
        <f t="shared" ca="1" si="162"/>
        <v/>
      </c>
      <c r="BL84" s="463" t="str">
        <f t="shared" ca="1" si="162"/>
        <v/>
      </c>
      <c r="BM84" s="463" t="str">
        <f t="shared" ca="1" si="162"/>
        <v/>
      </c>
      <c r="BN84" s="463" t="str">
        <f t="shared" ca="1" si="162"/>
        <v/>
      </c>
      <c r="BO84" s="463" t="str">
        <f t="shared" ca="1" si="162"/>
        <v/>
      </c>
      <c r="BP84" s="463" t="str">
        <f t="shared" ca="1" si="162"/>
        <v/>
      </c>
      <c r="BQ84" s="463" t="str">
        <f t="shared" ca="1" si="162"/>
        <v/>
      </c>
      <c r="BR84" s="463" t="str">
        <f t="shared" ca="1" si="162"/>
        <v/>
      </c>
      <c r="BS84" s="463" t="str">
        <f t="shared" ca="1" si="162"/>
        <v/>
      </c>
      <c r="BT84" s="463" t="str">
        <f t="shared" ca="1" si="162"/>
        <v/>
      </c>
      <c r="BU84" s="463" t="str">
        <f t="shared" ca="1" si="162"/>
        <v/>
      </c>
      <c r="BV84" s="463" t="str">
        <f t="shared" ca="1" si="162"/>
        <v/>
      </c>
      <c r="BW84" s="463" t="str">
        <f t="shared" ca="1" si="162"/>
        <v/>
      </c>
      <c r="BX84" s="463" t="str">
        <f t="shared" ca="1" si="162"/>
        <v/>
      </c>
      <c r="BY84" s="463" t="str">
        <f t="shared" ca="1" si="162"/>
        <v/>
      </c>
      <c r="BZ84" s="463" t="str">
        <f t="shared" ca="1" si="162"/>
        <v/>
      </c>
      <c r="CA84" s="463" t="str">
        <f t="shared" ca="1" si="162"/>
        <v/>
      </c>
      <c r="CB84" s="463" t="str">
        <f t="shared" ca="1" si="162"/>
        <v/>
      </c>
      <c r="CC84" s="463" t="str">
        <f t="shared" ca="1" si="162"/>
        <v/>
      </c>
      <c r="CD84" s="463" t="str">
        <f t="shared" ca="1" si="162"/>
        <v/>
      </c>
      <c r="CE84" s="463" t="str">
        <f t="shared" ca="1" si="162"/>
        <v/>
      </c>
      <c r="CF84" s="463" t="str">
        <f t="shared" ca="1" si="162"/>
        <v/>
      </c>
      <c r="CG84" s="463" t="str">
        <f t="shared" ca="1" si="162"/>
        <v/>
      </c>
      <c r="CH84" s="463" t="str">
        <f t="shared" ca="1" si="162"/>
        <v/>
      </c>
      <c r="CI84" s="463" t="str">
        <f t="shared" ref="CI84:DR84" ca="1" si="163">IF(CI$10&lt;=(Åpningsår+ProsjektetsLevetid-1),IF(CI67&lt;=AndreBeregningsår,IF(SIGN($G84)=SIGN($H84),$G84*$J84^(CI67-FørsteBeregningsår),($G84+1.1*ABS($G84-$H84))*$J84^(CI67-FørsteBeregningsår)-1.1*ABS($G84-$H84)),IF(CI67&lt;=TredjeBeregningsår,IF(SIGN($H84)=SIGN($I84),$H84*$K84^(CI67-AndreBeregningsår),($H84+1.1*ABS($H84-$I84))*$K84^(CI67-AndreBeregningsår)-1.1*ABS($H84-$I84)),OFFSET($G84,0,Antall_Beregningsår-1)*LOOKUP(CI67,SerieÅR,SerieVolumvekstGods)+$L84*(CI67-IF(Antall_Beregningsår&gt;2,TredjeBeregningsår,AndreBeregningsår))))*KPIJustering*LOOKUP(CI67,SerieÅR,SerieCO2krkm_Fly),"")</f>
        <v/>
      </c>
      <c r="CJ84" s="463" t="str">
        <f t="shared" ca="1" si="163"/>
        <v/>
      </c>
      <c r="CK84" s="463" t="str">
        <f t="shared" ca="1" si="163"/>
        <v/>
      </c>
      <c r="CL84" s="463" t="str">
        <f t="shared" ca="1" si="163"/>
        <v/>
      </c>
      <c r="CM84" s="463" t="str">
        <f t="shared" ca="1" si="163"/>
        <v/>
      </c>
      <c r="CN84" s="463" t="str">
        <f t="shared" ca="1" si="163"/>
        <v/>
      </c>
      <c r="CO84" s="463" t="str">
        <f t="shared" ca="1" si="163"/>
        <v/>
      </c>
      <c r="CP84" s="463" t="str">
        <f t="shared" ca="1" si="163"/>
        <v/>
      </c>
      <c r="CQ84" s="463" t="str">
        <f t="shared" ca="1" si="163"/>
        <v/>
      </c>
      <c r="CR84" s="463" t="str">
        <f t="shared" ca="1" si="163"/>
        <v/>
      </c>
      <c r="CS84" s="463" t="str">
        <f t="shared" ca="1" si="163"/>
        <v/>
      </c>
      <c r="CT84" s="463" t="str">
        <f t="shared" ca="1" si="163"/>
        <v/>
      </c>
      <c r="CU84" s="463" t="str">
        <f t="shared" ca="1" si="163"/>
        <v/>
      </c>
      <c r="CV84" s="463" t="str">
        <f t="shared" ca="1" si="163"/>
        <v/>
      </c>
      <c r="CW84" s="463" t="str">
        <f t="shared" ca="1" si="163"/>
        <v/>
      </c>
      <c r="CX84" s="463" t="str">
        <f t="shared" ca="1" si="163"/>
        <v/>
      </c>
      <c r="CY84" s="463" t="str">
        <f t="shared" ca="1" si="163"/>
        <v/>
      </c>
      <c r="CZ84" s="463" t="str">
        <f t="shared" ca="1" si="163"/>
        <v/>
      </c>
      <c r="DA84" s="463" t="str">
        <f t="shared" ca="1" si="163"/>
        <v/>
      </c>
      <c r="DB84" s="463" t="str">
        <f t="shared" ca="1" si="163"/>
        <v/>
      </c>
      <c r="DC84" s="463" t="str">
        <f t="shared" ca="1" si="163"/>
        <v/>
      </c>
      <c r="DD84" s="463" t="str">
        <f t="shared" ca="1" si="163"/>
        <v/>
      </c>
      <c r="DE84" s="463" t="str">
        <f t="shared" ca="1" si="163"/>
        <v/>
      </c>
      <c r="DF84" s="463" t="str">
        <f t="shared" ca="1" si="163"/>
        <v/>
      </c>
      <c r="DG84" s="463" t="str">
        <f t="shared" ca="1" si="163"/>
        <v/>
      </c>
      <c r="DH84" s="463" t="str">
        <f t="shared" ca="1" si="163"/>
        <v/>
      </c>
      <c r="DI84" s="463" t="str">
        <f t="shared" ca="1" si="163"/>
        <v/>
      </c>
      <c r="DJ84" s="463" t="str">
        <f t="shared" ca="1" si="163"/>
        <v/>
      </c>
      <c r="DK84" s="463" t="str">
        <f t="shared" ca="1" si="163"/>
        <v/>
      </c>
      <c r="DL84" s="463" t="str">
        <f t="shared" ca="1" si="163"/>
        <v/>
      </c>
      <c r="DM84" s="463" t="str">
        <f t="shared" ca="1" si="163"/>
        <v/>
      </c>
      <c r="DN84" s="463" t="str">
        <f t="shared" ca="1" si="163"/>
        <v/>
      </c>
      <c r="DO84" s="463" t="str">
        <f t="shared" ca="1" si="163"/>
        <v/>
      </c>
      <c r="DP84" s="463" t="str">
        <f t="shared" ca="1" si="163"/>
        <v/>
      </c>
      <c r="DQ84" s="463" t="str">
        <f t="shared" ca="1" si="163"/>
        <v/>
      </c>
      <c r="DR84" s="463" t="str">
        <f t="shared" ca="1" si="163"/>
        <v/>
      </c>
      <c r="DS84" s="803">
        <f ca="1">SUMPRODUCT(('1.5 Prognoser og indekser'!$R$12:OFFSET('1.5 Prognoser og indekser'!$R$12,0,$DS$9)),($M84:OFFSET($M84,0,$DS$9)))</f>
        <v>0</v>
      </c>
      <c r="DT84" s="804">
        <f ca="1">IF($DT$9&lt;1,0,SUMPRODUCT(OFFSET('1.5 Prognoser og indekser'!$R$12,0,$DS$9+1,1,$DT$9),OFFSET($M84,0,$DS$9+1,1,$DT$9)))</f>
        <v>0</v>
      </c>
    </row>
    <row r="85" spans="3:124" s="59" customFormat="1" x14ac:dyDescent="0.35">
      <c r="C85" s="218" t="s">
        <v>1592</v>
      </c>
      <c r="D85" s="463"/>
      <c r="E85" s="463"/>
      <c r="F85" s="463"/>
      <c r="G85" s="463"/>
      <c r="H85" s="463"/>
      <c r="I85" s="463"/>
      <c r="J85" s="463"/>
      <c r="K85" s="463"/>
      <c r="L85" s="463"/>
      <c r="M85" s="463" t="e" cm="1">
        <f t="array" ref="M85">IF(Åpningsår="",,LOOKUP(M67,SerieÅR,SerieKarbonpris*Serie_UtslippibyggefasenCO2)/1000000)*KPIJustering</f>
        <v>#N/A</v>
      </c>
      <c r="N85" s="463" t="e" cm="1">
        <f t="array" ref="N85">IF(Åpningsår="",,LOOKUP(N67,SerieÅR,SerieKarbonpris*Serie_UtslippibyggefasenCO2)/1000000)*KPIJustering</f>
        <v>#N/A</v>
      </c>
      <c r="O85" s="463" t="e" cm="1">
        <f t="array" ref="O85">IF(Åpningsår="",,LOOKUP(O67,SerieÅR,SerieKarbonpris*Serie_UtslippibyggefasenCO2)/1000000)*KPIJustering</f>
        <v>#N/A</v>
      </c>
      <c r="P85" s="463" t="e" cm="1">
        <f t="array" ref="P85">IF(Åpningsår="",,LOOKUP(P67,SerieÅR,SerieKarbonpris*Serie_UtslippibyggefasenCO2)/1000000)*KPIJustering</f>
        <v>#N/A</v>
      </c>
      <c r="Q85" s="463" t="e" cm="1">
        <f t="array" ref="Q85">IF(Åpningsår="",,LOOKUP(Q67,SerieÅR,SerieKarbonpris*Serie_UtslippibyggefasenCO2)/1000000)*KPIJustering</f>
        <v>#N/A</v>
      </c>
      <c r="R85" s="463" t="e" cm="1">
        <f t="array" ref="R85">IF(Åpningsår="",,LOOKUP(R67,SerieÅR,SerieKarbonpris*Serie_UtslippibyggefasenCO2)/1000000)*KPIJustering</f>
        <v>#N/A</v>
      </c>
      <c r="S85" s="463" t="e" cm="1">
        <f t="array" ref="S85">IF(Åpningsår="",,LOOKUP(S67,SerieÅR,SerieKarbonpris*Serie_UtslippibyggefasenCO2)/1000000)*KPIJustering</f>
        <v>#N/A</v>
      </c>
      <c r="T85" s="463" t="e" cm="1">
        <f t="array" ref="T85">IF(Åpningsår="",,LOOKUP(T67,SerieÅR,SerieKarbonpris*Serie_UtslippibyggefasenCO2)/1000000)*KPIJustering</f>
        <v>#N/A</v>
      </c>
      <c r="U85" s="463" t="e" cm="1">
        <f t="array" ref="U85">IF(Åpningsår="",,LOOKUP(U67,SerieÅR,SerieKarbonpris*Serie_UtslippibyggefasenCO2)/1000000)*KPIJustering</f>
        <v>#N/A</v>
      </c>
      <c r="V85" s="463" t="e" cm="1">
        <f t="array" ref="V85">IF(Åpningsår="",,LOOKUP(V67,SerieÅR,SerieKarbonpris*Serie_UtslippibyggefasenCO2)/1000000)*KPIJustering</f>
        <v>#N/A</v>
      </c>
      <c r="W85" s="463" t="e" cm="1">
        <f t="array" ref="W85">IF(Åpningsår="",,LOOKUP(W67,SerieÅR,SerieKarbonpris*Serie_UtslippibyggefasenCO2)/1000000)*KPIJustering</f>
        <v>#N/A</v>
      </c>
      <c r="X85" s="463" t="e" cm="1">
        <f t="array" ref="X85">IF(Åpningsår="",,LOOKUP(X67,SerieÅR,SerieKarbonpris*Serie_UtslippibyggefasenCO2)/1000000)*KPIJustering</f>
        <v>#N/A</v>
      </c>
      <c r="Y85" s="463" t="e" cm="1">
        <f t="array" ref="Y85">IF(Åpningsår="",,LOOKUP(Y67,SerieÅR,SerieKarbonpris*Serie_UtslippibyggefasenCO2)/1000000)*KPIJustering</f>
        <v>#N/A</v>
      </c>
      <c r="Z85" s="463" t="e" cm="1">
        <f t="array" ref="Z85">IF(Åpningsår="",,LOOKUP(Z67,SerieÅR,SerieKarbonpris*Serie_UtslippibyggefasenCO2)/1000000)*KPIJustering</f>
        <v>#N/A</v>
      </c>
      <c r="AA85" s="463" t="e" cm="1">
        <f t="array" ref="AA85">IF(Åpningsår="",,LOOKUP(AA67,SerieÅR,SerieKarbonpris*Serie_UtslippibyggefasenCO2)/1000000)*KPIJustering</f>
        <v>#N/A</v>
      </c>
      <c r="AB85" s="463" t="e" cm="1">
        <f t="array" ref="AB85">IF(Åpningsår="",,LOOKUP(AB67,SerieÅR,SerieKarbonpris*Serie_UtslippibyggefasenCO2)/1000000)*KPIJustering</f>
        <v>#N/A</v>
      </c>
      <c r="AC85" s="463" t="e" cm="1">
        <f t="array" ref="AC85">IF(Åpningsår="",,LOOKUP(AC67,SerieÅR,SerieKarbonpris*Serie_UtslippibyggefasenCO2)/1000000)*KPIJustering</f>
        <v>#N/A</v>
      </c>
      <c r="AD85" s="463" t="e" cm="1">
        <f t="array" ref="AD85">IF(Åpningsår="",,LOOKUP(AD67,SerieÅR,SerieKarbonpris*Serie_UtslippibyggefasenCO2)/1000000)*KPIJustering</f>
        <v>#N/A</v>
      </c>
      <c r="AE85" s="463" t="e" cm="1">
        <f t="array" ref="AE85">IF(Åpningsår="",,LOOKUP(AE67,SerieÅR,SerieKarbonpris*Serie_UtslippibyggefasenCO2)/1000000)*KPIJustering</f>
        <v>#N/A</v>
      </c>
      <c r="AF85" s="463" t="e" cm="1">
        <f t="array" ref="AF85">IF(Åpningsår="",,LOOKUP(AF67,SerieÅR,SerieKarbonpris*Serie_UtslippibyggefasenCO2)/1000000)*KPIJustering</f>
        <v>#N/A</v>
      </c>
      <c r="AG85" s="463" t="e" cm="1">
        <f t="array" ref="AG85">IF(Åpningsår="",,LOOKUP(AG67,SerieÅR,SerieKarbonpris*Serie_UtslippibyggefasenCO2)/1000000)*KPIJustering</f>
        <v>#N/A</v>
      </c>
      <c r="AH85" s="463" t="e" cm="1">
        <f t="array" ref="AH85">IF(Åpningsår="",,LOOKUP(AH67,SerieÅR,SerieKarbonpris*Serie_UtslippibyggefasenCO2)/1000000)*KPIJustering</f>
        <v>#N/A</v>
      </c>
      <c r="AI85" s="463" t="e" cm="1">
        <f t="array" ref="AI85">IF(Åpningsår="",,LOOKUP(AI67,SerieÅR,SerieKarbonpris*Serie_UtslippibyggefasenCO2)/1000000)*KPIJustering</f>
        <v>#N/A</v>
      </c>
      <c r="AJ85" s="463" t="e" cm="1">
        <f t="array" ref="AJ85">IF(Åpningsår="",,LOOKUP(AJ67,SerieÅR,SerieKarbonpris*Serie_UtslippibyggefasenCO2)/1000000)*KPIJustering</f>
        <v>#N/A</v>
      </c>
      <c r="AK85" s="463" t="e" cm="1">
        <f t="array" ref="AK85">IF(Åpningsår="",,LOOKUP(AK67,SerieÅR,SerieKarbonpris*Serie_UtslippibyggefasenCO2)/1000000)*KPIJustering</f>
        <v>#N/A</v>
      </c>
      <c r="AL85" s="463" t="e" cm="1">
        <f t="array" ref="AL85">IF(Åpningsår="",,LOOKUP(AL67,SerieÅR,SerieKarbonpris*Serie_UtslippibyggefasenCO2)/1000000)*KPIJustering</f>
        <v>#N/A</v>
      </c>
      <c r="AM85" s="463" t="e" cm="1">
        <f t="array" ref="AM85">IF(Åpningsår="",,LOOKUP(AM67,SerieÅR,SerieKarbonpris*Serie_UtslippibyggefasenCO2)/1000000)*KPIJustering</f>
        <v>#N/A</v>
      </c>
      <c r="AN85" s="463" t="e" cm="1">
        <f t="array" ref="AN85">IF(Åpningsår="",,LOOKUP(AN67,SerieÅR,SerieKarbonpris*Serie_UtslippibyggefasenCO2)/1000000)*KPIJustering</f>
        <v>#N/A</v>
      </c>
      <c r="AO85" s="463" t="e" cm="1">
        <f t="array" ref="AO85">IF(Åpningsår="",,LOOKUP(AO67,SerieÅR,SerieKarbonpris*Serie_UtslippibyggefasenCO2)/1000000)*KPIJustering</f>
        <v>#N/A</v>
      </c>
      <c r="AP85" s="463" t="e" cm="1">
        <f t="array" ref="AP85">IF(Åpningsår="",,LOOKUP(AP67,SerieÅR,SerieKarbonpris*Serie_UtslippibyggefasenCO2)/1000000)*KPIJustering</f>
        <v>#N/A</v>
      </c>
      <c r="AQ85" s="463" t="e" cm="1">
        <f t="array" ref="AQ85">IF(Åpningsår="",,LOOKUP(AQ67,SerieÅR,SerieKarbonpris*Serie_UtslippibyggefasenCO2)/1000000)*KPIJustering</f>
        <v>#N/A</v>
      </c>
      <c r="AR85" s="463" t="e" cm="1">
        <f t="array" ref="AR85">IF(Åpningsår="",,LOOKUP(AR67,SerieÅR,SerieKarbonpris*Serie_UtslippibyggefasenCO2)/1000000)*KPIJustering</f>
        <v>#N/A</v>
      </c>
      <c r="AS85" s="463" t="e" cm="1">
        <f t="array" ref="AS85">IF(Åpningsår="",,LOOKUP(AS67,SerieÅR,SerieKarbonpris*Serie_UtslippibyggefasenCO2)/1000000)*KPIJustering</f>
        <v>#N/A</v>
      </c>
      <c r="AT85" s="463" t="e" cm="1">
        <f t="array" ref="AT85">IF(Åpningsår="",,LOOKUP(AT67,SerieÅR,SerieKarbonpris*Serie_UtslippibyggefasenCO2)/1000000)*KPIJustering</f>
        <v>#N/A</v>
      </c>
      <c r="AU85" s="463" t="e" cm="1">
        <f t="array" ref="AU85">IF(Åpningsår="",,LOOKUP(AU67,SerieÅR,SerieKarbonpris*Serie_UtslippibyggefasenCO2)/1000000)*KPIJustering</f>
        <v>#N/A</v>
      </c>
      <c r="AV85" s="463" t="e" cm="1">
        <f t="array" ref="AV85">IF(Åpningsår="",,LOOKUP(AV67,SerieÅR,SerieKarbonpris*Serie_UtslippibyggefasenCO2)/1000000)*KPIJustering</f>
        <v>#N/A</v>
      </c>
      <c r="AW85" s="463" t="e" cm="1">
        <f t="array" ref="AW85">IF(Åpningsår="",,LOOKUP(AW67,SerieÅR,SerieKarbonpris*Serie_UtslippibyggefasenCO2)/1000000)*KPIJustering</f>
        <v>#N/A</v>
      </c>
      <c r="AX85" s="463" t="e" cm="1">
        <f t="array" ref="AX85">IF(Åpningsår="",,LOOKUP(AX67,SerieÅR,SerieKarbonpris*Serie_UtslippibyggefasenCO2)/1000000)*KPIJustering</f>
        <v>#N/A</v>
      </c>
      <c r="AY85" s="463" t="e" cm="1">
        <f t="array" ref="AY85">IF(Åpningsår="",,LOOKUP(AY67,SerieÅR,SerieKarbonpris*Serie_UtslippibyggefasenCO2)/1000000)*KPIJustering</f>
        <v>#N/A</v>
      </c>
      <c r="AZ85" s="463" t="e" cm="1">
        <f t="array" ref="AZ85">IF(Åpningsår="",,LOOKUP(AZ67,SerieÅR,SerieKarbonpris*Serie_UtslippibyggefasenCO2)/1000000)*KPIJustering</f>
        <v>#N/A</v>
      </c>
      <c r="BA85" s="463" t="e" cm="1">
        <f t="array" ref="BA85">IF(Åpningsår="",,LOOKUP(BA67,SerieÅR,SerieKarbonpris*Serie_UtslippibyggefasenCO2)/1000000)*KPIJustering</f>
        <v>#N/A</v>
      </c>
      <c r="BB85" s="463" t="e" cm="1">
        <f t="array" ref="BB85">IF(Åpningsår="",,LOOKUP(BB67,SerieÅR,SerieKarbonpris*Serie_UtslippibyggefasenCO2)/1000000)*KPIJustering</f>
        <v>#N/A</v>
      </c>
      <c r="BC85" s="463" t="e" cm="1">
        <f t="array" ref="BC85">IF(Åpningsår="",,LOOKUP(BC67,SerieÅR,SerieKarbonpris*Serie_UtslippibyggefasenCO2)/1000000)*KPIJustering</f>
        <v>#N/A</v>
      </c>
      <c r="BD85" s="463" t="e" cm="1">
        <f t="array" ref="BD85">IF(Åpningsår="",,LOOKUP(BD67,SerieÅR,SerieKarbonpris*Serie_UtslippibyggefasenCO2)/1000000)*KPIJustering</f>
        <v>#N/A</v>
      </c>
      <c r="BE85" s="463" t="e" cm="1">
        <f t="array" ref="BE85">IF(Åpningsår="",,LOOKUP(BE67,SerieÅR,SerieKarbonpris*Serie_UtslippibyggefasenCO2)/1000000)*KPIJustering</f>
        <v>#N/A</v>
      </c>
      <c r="BF85" s="463" t="e" cm="1">
        <f t="array" ref="BF85">IF(Åpningsår="",,LOOKUP(BF67,SerieÅR,SerieKarbonpris*Serie_UtslippibyggefasenCO2)/1000000)*KPIJustering</f>
        <v>#N/A</v>
      </c>
      <c r="BG85" s="463" t="e" cm="1">
        <f t="array" ref="BG85">IF(Åpningsår="",,LOOKUP(BG67,SerieÅR,SerieKarbonpris*Serie_UtslippibyggefasenCO2)/1000000)*KPIJustering</f>
        <v>#N/A</v>
      </c>
      <c r="BH85" s="463" t="e" cm="1">
        <f t="array" ref="BH85">IF(Åpningsår="",,LOOKUP(BH67,SerieÅR,SerieKarbonpris*Serie_UtslippibyggefasenCO2)/1000000)*KPIJustering</f>
        <v>#N/A</v>
      </c>
      <c r="BI85" s="463" t="e" cm="1">
        <f t="array" ref="BI85">IF(Åpningsår="",,LOOKUP(BI67,SerieÅR,SerieKarbonpris*Serie_UtslippibyggefasenCO2)/1000000)*KPIJustering</f>
        <v>#N/A</v>
      </c>
      <c r="BJ85" s="463" t="e" cm="1">
        <f t="array" ref="BJ85">IF(Åpningsår="",,LOOKUP(BJ67,SerieÅR,SerieKarbonpris*Serie_UtslippibyggefasenCO2)/1000000)*KPIJustering</f>
        <v>#N/A</v>
      </c>
      <c r="BK85" s="463" t="e" cm="1">
        <f t="array" ref="BK85">IF(Åpningsår="",,LOOKUP(BK67,SerieÅR,SerieKarbonpris*Serie_UtslippibyggefasenCO2)/1000000)*KPIJustering</f>
        <v>#N/A</v>
      </c>
      <c r="BL85" s="463" t="e" cm="1">
        <f t="array" ref="BL85">IF(Åpningsår="",,LOOKUP(BL67,SerieÅR,SerieKarbonpris*Serie_UtslippibyggefasenCO2)/1000000)*KPIJustering</f>
        <v>#N/A</v>
      </c>
      <c r="BM85" s="463" t="e" cm="1">
        <f t="array" ref="BM85">IF(Åpningsår="",,LOOKUP(BM67,SerieÅR,SerieKarbonpris*Serie_UtslippibyggefasenCO2)/1000000)*KPIJustering</f>
        <v>#N/A</v>
      </c>
      <c r="BN85" s="463" t="e" cm="1">
        <f t="array" ref="BN85">IF(Åpningsår="",,LOOKUP(BN67,SerieÅR,SerieKarbonpris*Serie_UtslippibyggefasenCO2)/1000000)*KPIJustering</f>
        <v>#N/A</v>
      </c>
      <c r="BO85" s="463" t="e" cm="1">
        <f t="array" ref="BO85">IF(Åpningsår="",,LOOKUP(BO67,SerieÅR,SerieKarbonpris*Serie_UtslippibyggefasenCO2)/1000000)*KPIJustering</f>
        <v>#N/A</v>
      </c>
      <c r="BP85" s="463" t="e" cm="1">
        <f t="array" ref="BP85">IF(Åpningsår="",,LOOKUP(BP67,SerieÅR,SerieKarbonpris*Serie_UtslippibyggefasenCO2)/1000000)*KPIJustering</f>
        <v>#N/A</v>
      </c>
      <c r="BQ85" s="463" t="e" cm="1">
        <f t="array" ref="BQ85">IF(Åpningsår="",,LOOKUP(BQ67,SerieÅR,SerieKarbonpris*Serie_UtslippibyggefasenCO2)/1000000)*KPIJustering</f>
        <v>#N/A</v>
      </c>
      <c r="BR85" s="463" t="e" cm="1">
        <f t="array" ref="BR85">IF(Åpningsår="",,LOOKUP(BR67,SerieÅR,SerieKarbonpris*Serie_UtslippibyggefasenCO2)/1000000)*KPIJustering</f>
        <v>#N/A</v>
      </c>
      <c r="BS85" s="463" t="e" cm="1">
        <f t="array" ref="BS85">IF(Åpningsår="",,LOOKUP(BS67,SerieÅR,SerieKarbonpris*Serie_UtslippibyggefasenCO2)/1000000)*KPIJustering</f>
        <v>#N/A</v>
      </c>
      <c r="BT85" s="463" t="e" cm="1">
        <f t="array" ref="BT85">IF(Åpningsår="",,LOOKUP(BT67,SerieÅR,SerieKarbonpris*Serie_UtslippibyggefasenCO2)/1000000)*KPIJustering</f>
        <v>#N/A</v>
      </c>
      <c r="BU85" s="463" t="e" cm="1">
        <f t="array" ref="BU85">IF(Åpningsår="",,LOOKUP(BU67,SerieÅR,SerieKarbonpris*Serie_UtslippibyggefasenCO2)/1000000)*KPIJustering</f>
        <v>#N/A</v>
      </c>
      <c r="BV85" s="463" t="e" cm="1">
        <f t="array" ref="BV85">IF(Åpningsår="",,LOOKUP(BV67,SerieÅR,SerieKarbonpris*Serie_UtslippibyggefasenCO2)/1000000)*KPIJustering</f>
        <v>#N/A</v>
      </c>
      <c r="BW85" s="463" t="e" cm="1">
        <f t="array" ref="BW85">IF(Åpningsår="",,LOOKUP(BW67,SerieÅR,SerieKarbonpris*Serie_UtslippibyggefasenCO2)/1000000)*KPIJustering</f>
        <v>#N/A</v>
      </c>
      <c r="BX85" s="463" t="e" cm="1">
        <f t="array" ref="BX85">IF(Åpningsår="",,LOOKUP(BX67,SerieÅR,SerieKarbonpris*Serie_UtslippibyggefasenCO2)/1000000)*KPIJustering</f>
        <v>#N/A</v>
      </c>
      <c r="BY85" s="463" t="e" cm="1">
        <f t="array" ref="BY85">IF(Åpningsår="",,LOOKUP(BY67,SerieÅR,SerieKarbonpris*Serie_UtslippibyggefasenCO2)/1000000)*KPIJustering</f>
        <v>#N/A</v>
      </c>
      <c r="BZ85" s="463" t="e" cm="1">
        <f t="array" ref="BZ85">IF(Åpningsår="",,LOOKUP(BZ67,SerieÅR,SerieKarbonpris*Serie_UtslippibyggefasenCO2)/1000000)*KPIJustering</f>
        <v>#N/A</v>
      </c>
      <c r="CA85" s="463" t="e" cm="1">
        <f t="array" ref="CA85">IF(Åpningsår="",,LOOKUP(CA67,SerieÅR,SerieKarbonpris*Serie_UtslippibyggefasenCO2)/1000000)*KPIJustering</f>
        <v>#N/A</v>
      </c>
      <c r="CB85" s="463" t="e" cm="1">
        <f t="array" ref="CB85">IF(Åpningsår="",,LOOKUP(CB67,SerieÅR,SerieKarbonpris*Serie_UtslippibyggefasenCO2)/1000000)*KPIJustering</f>
        <v>#N/A</v>
      </c>
      <c r="CC85" s="463" t="e" cm="1">
        <f t="array" ref="CC85">IF(Åpningsår="",,LOOKUP(CC67,SerieÅR,SerieKarbonpris*Serie_UtslippibyggefasenCO2)/1000000)*KPIJustering</f>
        <v>#N/A</v>
      </c>
      <c r="CD85" s="463" t="e" cm="1">
        <f t="array" ref="CD85">IF(Åpningsår="",,LOOKUP(CD67,SerieÅR,SerieKarbonpris*Serie_UtslippibyggefasenCO2)/1000000)*KPIJustering</f>
        <v>#N/A</v>
      </c>
      <c r="CE85" s="463" t="e" cm="1">
        <f t="array" ref="CE85">IF(Åpningsår="",,LOOKUP(CE67,SerieÅR,SerieKarbonpris*Serie_UtslippibyggefasenCO2)/1000000)*KPIJustering</f>
        <v>#N/A</v>
      </c>
      <c r="CF85" s="463" t="e" cm="1">
        <f t="array" ref="CF85">IF(Åpningsår="",,LOOKUP(CF67,SerieÅR,SerieKarbonpris*Serie_UtslippibyggefasenCO2)/1000000)*KPIJustering</f>
        <v>#N/A</v>
      </c>
      <c r="CG85" s="463" t="e" cm="1">
        <f t="array" ref="CG85">IF(Åpningsår="",,LOOKUP(CG67,SerieÅR,SerieKarbonpris*Serie_UtslippibyggefasenCO2)/1000000)*KPIJustering</f>
        <v>#N/A</v>
      </c>
      <c r="CH85" s="463" t="e" cm="1">
        <f t="array" ref="CH85">IF(Åpningsår="",,LOOKUP(CH67,SerieÅR,SerieKarbonpris*Serie_UtslippibyggefasenCO2)/1000000)*KPIJustering</f>
        <v>#N/A</v>
      </c>
      <c r="CI85" s="463" t="e" cm="1">
        <f t="array" ref="CI85">IF(Åpningsår="",,LOOKUP(CI67,SerieÅR,SerieKarbonpris*Serie_UtslippibyggefasenCO2)/1000000)*KPIJustering</f>
        <v>#N/A</v>
      </c>
      <c r="CJ85" s="463" t="e" cm="1">
        <f t="array" ref="CJ85">IF(Åpningsår="",,LOOKUP(CJ67,SerieÅR,SerieKarbonpris*Serie_UtslippibyggefasenCO2)/1000000)*KPIJustering</f>
        <v>#N/A</v>
      </c>
      <c r="CK85" s="463" t="e" cm="1">
        <f t="array" ref="CK85">IF(Åpningsår="",,LOOKUP(CK67,SerieÅR,SerieKarbonpris*Serie_UtslippibyggefasenCO2)/1000000)*KPIJustering</f>
        <v>#N/A</v>
      </c>
      <c r="CL85" s="463" t="e" cm="1">
        <f t="array" ref="CL85">IF(Åpningsår="",,LOOKUP(CL67,SerieÅR,SerieKarbonpris*Serie_UtslippibyggefasenCO2)/1000000)*KPIJustering</f>
        <v>#N/A</v>
      </c>
      <c r="CM85" s="463" t="e" cm="1">
        <f t="array" ref="CM85">IF(Åpningsår="",,LOOKUP(CM67,SerieÅR,SerieKarbonpris*Serie_UtslippibyggefasenCO2)/1000000)*KPIJustering</f>
        <v>#N/A</v>
      </c>
      <c r="CN85" s="463" t="e" cm="1">
        <f t="array" ref="CN85">IF(Åpningsår="",,LOOKUP(CN67,SerieÅR,SerieKarbonpris*Serie_UtslippibyggefasenCO2)/1000000)*KPIJustering</f>
        <v>#N/A</v>
      </c>
      <c r="CO85" s="463" t="e" cm="1">
        <f t="array" ref="CO85">IF(Åpningsår="",,LOOKUP(CO67,SerieÅR,SerieKarbonpris*Serie_UtslippibyggefasenCO2)/1000000)*KPIJustering</f>
        <v>#N/A</v>
      </c>
      <c r="CP85" s="463" t="e" cm="1">
        <f t="array" ref="CP85">IF(Åpningsår="",,LOOKUP(CP67,SerieÅR,SerieKarbonpris*Serie_UtslippibyggefasenCO2)/1000000)*KPIJustering</f>
        <v>#N/A</v>
      </c>
      <c r="CQ85" s="463" t="e" cm="1">
        <f t="array" ref="CQ85">IF(Åpningsår="",,LOOKUP(CQ67,SerieÅR,SerieKarbonpris*Serie_UtslippibyggefasenCO2)/1000000)*KPIJustering</f>
        <v>#N/A</v>
      </c>
      <c r="CR85" s="463" t="e" cm="1">
        <f t="array" ref="CR85">IF(Åpningsår="",,LOOKUP(CR67,SerieÅR,SerieKarbonpris*Serie_UtslippibyggefasenCO2)/1000000)*KPIJustering</f>
        <v>#N/A</v>
      </c>
      <c r="CS85" s="463" t="e" cm="1">
        <f t="array" ref="CS85">IF(Åpningsår="",,LOOKUP(CS67,SerieÅR,SerieKarbonpris*Serie_UtslippibyggefasenCO2)/1000000)*KPIJustering</f>
        <v>#N/A</v>
      </c>
      <c r="CT85" s="463" t="e" cm="1">
        <f t="array" ref="CT85">IF(Åpningsår="",,LOOKUP(CT67,SerieÅR,SerieKarbonpris*Serie_UtslippibyggefasenCO2)/1000000)*KPIJustering</f>
        <v>#N/A</v>
      </c>
      <c r="CU85" s="463" t="e" cm="1">
        <f t="array" ref="CU85">IF(Åpningsår="",,LOOKUP(CU67,SerieÅR,SerieKarbonpris*Serie_UtslippibyggefasenCO2)/1000000)*KPIJustering</f>
        <v>#N/A</v>
      </c>
      <c r="CV85" s="463" t="e" cm="1">
        <f t="array" ref="CV85">IF(Åpningsår="",,LOOKUP(CV67,SerieÅR,SerieKarbonpris*Serie_UtslippibyggefasenCO2)/1000000)*KPIJustering</f>
        <v>#N/A</v>
      </c>
      <c r="CW85" s="463" t="e" cm="1">
        <f t="array" ref="CW85">IF(Åpningsår="",,LOOKUP(CW67,SerieÅR,SerieKarbonpris*Serie_UtslippibyggefasenCO2)/1000000)*KPIJustering</f>
        <v>#N/A</v>
      </c>
      <c r="CX85" s="463" t="e" cm="1">
        <f t="array" ref="CX85">IF(Åpningsår="",,LOOKUP(CX67,SerieÅR,SerieKarbonpris*Serie_UtslippibyggefasenCO2)/1000000)*KPIJustering</f>
        <v>#N/A</v>
      </c>
      <c r="CY85" s="463" t="e" cm="1">
        <f t="array" ref="CY85">IF(Åpningsår="",,LOOKUP(CY67,SerieÅR,SerieKarbonpris*Serie_UtslippibyggefasenCO2)/1000000)*KPIJustering</f>
        <v>#N/A</v>
      </c>
      <c r="CZ85" s="463" t="e" cm="1">
        <f t="array" ref="CZ85">IF(Åpningsår="",,LOOKUP(CZ67,SerieÅR,SerieKarbonpris*Serie_UtslippibyggefasenCO2)/1000000)*KPIJustering</f>
        <v>#N/A</v>
      </c>
      <c r="DA85" s="463" t="e" cm="1">
        <f t="array" ref="DA85">IF(Åpningsår="",,LOOKUP(DA67,SerieÅR,SerieKarbonpris*Serie_UtslippibyggefasenCO2)/1000000)*KPIJustering</f>
        <v>#N/A</v>
      </c>
      <c r="DB85" s="463" t="e" cm="1">
        <f t="array" ref="DB85">IF(Åpningsår="",,LOOKUP(DB67,SerieÅR,SerieKarbonpris*Serie_UtslippibyggefasenCO2)/1000000)*KPIJustering</f>
        <v>#N/A</v>
      </c>
      <c r="DC85" s="463" t="e" cm="1">
        <f t="array" ref="DC85">IF(Åpningsår="",,LOOKUP(DC67,SerieÅR,SerieKarbonpris*Serie_UtslippibyggefasenCO2)/1000000)*KPIJustering</f>
        <v>#N/A</v>
      </c>
      <c r="DD85" s="463" t="e" cm="1">
        <f t="array" ref="DD85">IF(Åpningsår="",,LOOKUP(DD67,SerieÅR,SerieKarbonpris*Serie_UtslippibyggefasenCO2)/1000000)*KPIJustering</f>
        <v>#N/A</v>
      </c>
      <c r="DE85" s="463" t="e" cm="1">
        <f t="array" ref="DE85">IF(Åpningsår="",,LOOKUP(DE67,SerieÅR,SerieKarbonpris*Serie_UtslippibyggefasenCO2)/1000000)*KPIJustering</f>
        <v>#N/A</v>
      </c>
      <c r="DF85" s="463" t="e" cm="1">
        <f t="array" ref="DF85">IF(Åpningsår="",,LOOKUP(DF67,SerieÅR,SerieKarbonpris*Serie_UtslippibyggefasenCO2)/1000000)*KPIJustering</f>
        <v>#N/A</v>
      </c>
      <c r="DG85" s="463" t="e" cm="1">
        <f t="array" ref="DG85">IF(Åpningsår="",,LOOKUP(DG67,SerieÅR,SerieKarbonpris*Serie_UtslippibyggefasenCO2)/1000000)*KPIJustering</f>
        <v>#N/A</v>
      </c>
      <c r="DH85" s="463" t="e" cm="1">
        <f t="array" ref="DH85">IF(Åpningsår="",,LOOKUP(DH67,SerieÅR,SerieKarbonpris*Serie_UtslippibyggefasenCO2)/1000000)*KPIJustering</f>
        <v>#N/A</v>
      </c>
      <c r="DI85" s="463" t="e" cm="1">
        <f t="array" ref="DI85">IF(Åpningsår="",,LOOKUP(DI67,SerieÅR,SerieKarbonpris*Serie_UtslippibyggefasenCO2)/1000000)*KPIJustering</f>
        <v>#N/A</v>
      </c>
      <c r="DJ85" s="463" t="e" cm="1">
        <f t="array" ref="DJ85">IF(Åpningsår="",,LOOKUP(DJ67,SerieÅR,SerieKarbonpris*Serie_UtslippibyggefasenCO2)/1000000)*KPIJustering</f>
        <v>#N/A</v>
      </c>
      <c r="DK85" s="463" t="e" cm="1">
        <f t="array" ref="DK85">IF(Åpningsår="",,LOOKUP(DK67,SerieÅR,SerieKarbonpris*Serie_UtslippibyggefasenCO2)/1000000)*KPIJustering</f>
        <v>#N/A</v>
      </c>
      <c r="DL85" s="463" t="e" cm="1">
        <f t="array" ref="DL85">IF(Åpningsår="",,LOOKUP(DL67,SerieÅR,SerieKarbonpris*Serie_UtslippibyggefasenCO2)/1000000)*KPIJustering</f>
        <v>#N/A</v>
      </c>
      <c r="DM85" s="463" t="e" cm="1">
        <f t="array" ref="DM85">IF(Åpningsår="",,LOOKUP(DM67,SerieÅR,SerieKarbonpris*Serie_UtslippibyggefasenCO2)/1000000)*KPIJustering</f>
        <v>#N/A</v>
      </c>
      <c r="DN85" s="463" t="e" cm="1">
        <f t="array" ref="DN85">IF(Åpningsår="",,LOOKUP(DN67,SerieÅR,SerieKarbonpris*Serie_UtslippibyggefasenCO2)/1000000)*KPIJustering</f>
        <v>#N/A</v>
      </c>
      <c r="DO85" s="463" t="e" cm="1">
        <f t="array" ref="DO85">IF(Åpningsår="",,LOOKUP(DO67,SerieÅR,SerieKarbonpris*Serie_UtslippibyggefasenCO2)/1000000)*KPIJustering</f>
        <v>#N/A</v>
      </c>
      <c r="DP85" s="463" t="e" cm="1">
        <f t="array" ref="DP85">IF(Åpningsår="",,LOOKUP(DP67,SerieÅR,SerieKarbonpris*Serie_UtslippibyggefasenCO2)/1000000)*KPIJustering</f>
        <v>#N/A</v>
      </c>
      <c r="DQ85" s="463" t="e" cm="1">
        <f t="array" ref="DQ85">IF(Åpningsår="",,LOOKUP(DQ67,SerieÅR,SerieKarbonpris*Serie_UtslippibyggefasenCO2)/1000000)*KPIJustering</f>
        <v>#N/A</v>
      </c>
      <c r="DR85" s="463" t="e" cm="1">
        <f t="array" ref="DR85">IF(Åpningsår="",,LOOKUP(DR67,SerieÅR,SerieKarbonpris*Serie_UtslippibyggefasenCO2)/1000000)*KPIJustering</f>
        <v>#N/A</v>
      </c>
      <c r="DS85" s="936" t="e">
        <f ca="1">SUMPRODUCT(('1.5 Prognoser og indekser'!$R$12:OFFSET('1.5 Prognoser og indekser'!$R$12,0,$DS$9)),($M85:OFFSET($M85,0,$DS$9)))</f>
        <v>#N/A</v>
      </c>
      <c r="DT85" s="937">
        <f ca="1">IF($DT$9&lt;1,0,SUMPRODUCT(OFFSET('1.5 Prognoser og indekser'!$R$12,0,$DS$9+1,1,$DT$9),OFFSET($M85,0,$DS$9+1,1,$DT$9)))</f>
        <v>0</v>
      </c>
    </row>
    <row r="86" spans="3:124" s="59" customFormat="1" x14ac:dyDescent="0.35">
      <c r="C86" s="218" t="s">
        <v>1598</v>
      </c>
      <c r="D86" s="463"/>
      <c r="E86" s="463"/>
      <c r="F86" s="463"/>
      <c r="G86" s="463"/>
      <c r="H86" s="463"/>
      <c r="I86" s="463"/>
      <c r="J86" s="463"/>
      <c r="K86" s="463"/>
      <c r="L86" s="463"/>
      <c r="M86" s="463" t="e" cm="1">
        <f t="array" ref="M86">IF(Åpningsår="",,LOOKUP(M67,SerieÅR,Seriekarbonprisbaneskogogarealbruk*Serie_Utslipparealbeslag)/1000000)*KPIJustering</f>
        <v>#N/A</v>
      </c>
      <c r="N86" s="463" t="e" cm="1">
        <f t="array" ref="N86">IF(Åpningsår="",,LOOKUP(N67,SerieÅR,Seriekarbonprisbaneskogogarealbruk*Serie_Utslipparealbeslag)/1000000)*KPIJustering</f>
        <v>#N/A</v>
      </c>
      <c r="O86" s="463" t="e" cm="1">
        <f t="array" ref="O86">IF(Åpningsår="",,LOOKUP(O67,SerieÅR,Seriekarbonprisbaneskogogarealbruk*Serie_Utslipparealbeslag)/1000000)*KPIJustering</f>
        <v>#N/A</v>
      </c>
      <c r="P86" s="463" t="e" cm="1">
        <f t="array" ref="P86">IF(Åpningsår="",,LOOKUP(P67,SerieÅR,Seriekarbonprisbaneskogogarealbruk*Serie_Utslipparealbeslag)/1000000)*KPIJustering</f>
        <v>#N/A</v>
      </c>
      <c r="Q86" s="463" t="e" cm="1">
        <f t="array" ref="Q86">IF(Åpningsår="",,LOOKUP(Q67,SerieÅR,Seriekarbonprisbaneskogogarealbruk*Serie_Utslipparealbeslag)/1000000)*KPIJustering</f>
        <v>#N/A</v>
      </c>
      <c r="R86" s="463" t="e" cm="1">
        <f t="array" ref="R86">IF(Åpningsår="",,LOOKUP(R67,SerieÅR,Seriekarbonprisbaneskogogarealbruk*Serie_Utslipparealbeslag)/1000000)*KPIJustering</f>
        <v>#N/A</v>
      </c>
      <c r="S86" s="463" t="e" cm="1">
        <f t="array" ref="S86">IF(Åpningsår="",,LOOKUP(S67,SerieÅR,Seriekarbonprisbaneskogogarealbruk*Serie_Utslipparealbeslag)/1000000)*KPIJustering</f>
        <v>#N/A</v>
      </c>
      <c r="T86" s="463" t="e" cm="1">
        <f t="array" ref="T86">IF(Åpningsår="",,LOOKUP(T67,SerieÅR,Seriekarbonprisbaneskogogarealbruk*Serie_Utslipparealbeslag)/1000000)*KPIJustering</f>
        <v>#N/A</v>
      </c>
      <c r="U86" s="463" t="e" cm="1">
        <f t="array" ref="U86">IF(Åpningsår="",,LOOKUP(U67,SerieÅR,Seriekarbonprisbaneskogogarealbruk*Serie_Utslipparealbeslag)/1000000)*KPIJustering</f>
        <v>#N/A</v>
      </c>
      <c r="V86" s="463" t="e" cm="1">
        <f t="array" ref="V86">IF(Åpningsår="",,LOOKUP(V67,SerieÅR,Seriekarbonprisbaneskogogarealbruk*Serie_Utslipparealbeslag)/1000000)*KPIJustering</f>
        <v>#N/A</v>
      </c>
      <c r="W86" s="463" t="e" cm="1">
        <f t="array" ref="W86">IF(Åpningsår="",,LOOKUP(W67,SerieÅR,Seriekarbonprisbaneskogogarealbruk*Serie_Utslipparealbeslag)/1000000)*KPIJustering</f>
        <v>#N/A</v>
      </c>
      <c r="X86" s="463" t="e" cm="1">
        <f t="array" ref="X86">IF(Åpningsår="",,LOOKUP(X67,SerieÅR,Seriekarbonprisbaneskogogarealbruk*Serie_Utslipparealbeslag)/1000000)*KPIJustering</f>
        <v>#N/A</v>
      </c>
      <c r="Y86" s="463" t="e" cm="1">
        <f t="array" ref="Y86">IF(Åpningsår="",,LOOKUP(Y67,SerieÅR,Seriekarbonprisbaneskogogarealbruk*Serie_Utslipparealbeslag)/1000000)*KPIJustering</f>
        <v>#N/A</v>
      </c>
      <c r="Z86" s="463" t="e" cm="1">
        <f t="array" ref="Z86">IF(Åpningsår="",,LOOKUP(Z67,SerieÅR,Seriekarbonprisbaneskogogarealbruk*Serie_Utslipparealbeslag)/1000000)*KPIJustering</f>
        <v>#N/A</v>
      </c>
      <c r="AA86" s="463" t="e" cm="1">
        <f t="array" ref="AA86">IF(Åpningsår="",,LOOKUP(AA67,SerieÅR,Seriekarbonprisbaneskogogarealbruk*Serie_Utslipparealbeslag)/1000000)*KPIJustering</f>
        <v>#N/A</v>
      </c>
      <c r="AB86" s="463" t="e" cm="1">
        <f t="array" ref="AB86">IF(Åpningsår="",,LOOKUP(AB67,SerieÅR,Seriekarbonprisbaneskogogarealbruk*Serie_Utslipparealbeslag)/1000000)*KPIJustering</f>
        <v>#N/A</v>
      </c>
      <c r="AC86" s="463" t="e" cm="1">
        <f t="array" ref="AC86">IF(Åpningsår="",,LOOKUP(AC67,SerieÅR,Seriekarbonprisbaneskogogarealbruk*Serie_Utslipparealbeslag)/1000000)*KPIJustering</f>
        <v>#N/A</v>
      </c>
      <c r="AD86" s="463" t="e" cm="1">
        <f t="array" ref="AD86">IF(Åpningsår="",,LOOKUP(AD67,SerieÅR,Seriekarbonprisbaneskogogarealbruk*Serie_Utslipparealbeslag)/1000000)*KPIJustering</f>
        <v>#N/A</v>
      </c>
      <c r="AE86" s="463" t="e" cm="1">
        <f t="array" ref="AE86">IF(Åpningsår="",,LOOKUP(AE67,SerieÅR,Seriekarbonprisbaneskogogarealbruk*Serie_Utslipparealbeslag)/1000000)*KPIJustering</f>
        <v>#N/A</v>
      </c>
      <c r="AF86" s="463" t="e" cm="1">
        <f t="array" ref="AF86">IF(Åpningsår="",,LOOKUP(AF67,SerieÅR,Seriekarbonprisbaneskogogarealbruk*Serie_Utslipparealbeslag)/1000000)*KPIJustering</f>
        <v>#N/A</v>
      </c>
      <c r="AG86" s="463" t="e" cm="1">
        <f t="array" ref="AG86">IF(Åpningsår="",,LOOKUP(AG67,SerieÅR,Seriekarbonprisbaneskogogarealbruk*Serie_Utslipparealbeslag)/1000000)*KPIJustering</f>
        <v>#N/A</v>
      </c>
      <c r="AH86" s="463" t="e" cm="1">
        <f t="array" ref="AH86">IF(Åpningsår="",,LOOKUP(AH67,SerieÅR,Seriekarbonprisbaneskogogarealbruk*Serie_Utslipparealbeslag)/1000000)*KPIJustering</f>
        <v>#N/A</v>
      </c>
      <c r="AI86" s="463" t="e" cm="1">
        <f t="array" ref="AI86">IF(Åpningsår="",,LOOKUP(AI67,SerieÅR,Seriekarbonprisbaneskogogarealbruk*Serie_Utslipparealbeslag)/1000000)*KPIJustering</f>
        <v>#N/A</v>
      </c>
      <c r="AJ86" s="463" t="e" cm="1">
        <f t="array" ref="AJ86">IF(Åpningsår="",,LOOKUP(AJ67,SerieÅR,Seriekarbonprisbaneskogogarealbruk*Serie_Utslipparealbeslag)/1000000)*KPIJustering</f>
        <v>#N/A</v>
      </c>
      <c r="AK86" s="463" t="e" cm="1">
        <f t="array" ref="AK86">IF(Åpningsår="",,LOOKUP(AK67,SerieÅR,Seriekarbonprisbaneskogogarealbruk*Serie_Utslipparealbeslag)/1000000)*KPIJustering</f>
        <v>#N/A</v>
      </c>
      <c r="AL86" s="463" t="e" cm="1">
        <f t="array" ref="AL86">IF(Åpningsår="",,LOOKUP(AL67,SerieÅR,Seriekarbonprisbaneskogogarealbruk*Serie_Utslipparealbeslag)/1000000)*KPIJustering</f>
        <v>#N/A</v>
      </c>
      <c r="AM86" s="463" t="e" cm="1">
        <f t="array" ref="AM86">IF(Åpningsår="",,LOOKUP(AM67,SerieÅR,Seriekarbonprisbaneskogogarealbruk*Serie_Utslipparealbeslag)/1000000)*KPIJustering</f>
        <v>#N/A</v>
      </c>
      <c r="AN86" s="463" t="e" cm="1">
        <f t="array" ref="AN86">IF(Åpningsår="",,LOOKUP(AN67,SerieÅR,Seriekarbonprisbaneskogogarealbruk*Serie_Utslipparealbeslag)/1000000)*KPIJustering</f>
        <v>#N/A</v>
      </c>
      <c r="AO86" s="463" t="e" cm="1">
        <f t="array" ref="AO86">IF(Åpningsår="",,LOOKUP(AO67,SerieÅR,Seriekarbonprisbaneskogogarealbruk*Serie_Utslipparealbeslag)/1000000)*KPIJustering</f>
        <v>#N/A</v>
      </c>
      <c r="AP86" s="463" t="e" cm="1">
        <f t="array" ref="AP86">IF(Åpningsår="",,LOOKUP(AP67,SerieÅR,Seriekarbonprisbaneskogogarealbruk*Serie_Utslipparealbeslag)/1000000)*KPIJustering</f>
        <v>#N/A</v>
      </c>
      <c r="AQ86" s="463" t="e" cm="1">
        <f t="array" ref="AQ86">IF(Åpningsår="",,LOOKUP(AQ67,SerieÅR,Seriekarbonprisbaneskogogarealbruk*Serie_Utslipparealbeslag)/1000000)*KPIJustering</f>
        <v>#N/A</v>
      </c>
      <c r="AR86" s="463" t="e" cm="1">
        <f t="array" ref="AR86">IF(Åpningsår="",,LOOKUP(AR67,SerieÅR,Seriekarbonprisbaneskogogarealbruk*Serie_Utslipparealbeslag)/1000000)*KPIJustering</f>
        <v>#N/A</v>
      </c>
      <c r="AS86" s="463" t="e" cm="1">
        <f t="array" ref="AS86">IF(Åpningsår="",,LOOKUP(AS67,SerieÅR,Seriekarbonprisbaneskogogarealbruk*Serie_Utslipparealbeslag)/1000000)*KPIJustering</f>
        <v>#N/A</v>
      </c>
      <c r="AT86" s="463" t="e" cm="1">
        <f t="array" ref="AT86">IF(Åpningsår="",,LOOKUP(AT67,SerieÅR,Seriekarbonprisbaneskogogarealbruk*Serie_Utslipparealbeslag)/1000000)*KPIJustering</f>
        <v>#N/A</v>
      </c>
      <c r="AU86" s="463" t="e" cm="1">
        <f t="array" ref="AU86">IF(Åpningsår="",,LOOKUP(AU67,SerieÅR,Seriekarbonprisbaneskogogarealbruk*Serie_Utslipparealbeslag)/1000000)*KPIJustering</f>
        <v>#N/A</v>
      </c>
      <c r="AV86" s="463" t="e" cm="1">
        <f t="array" ref="AV86">IF(Åpningsår="",,LOOKUP(AV67,SerieÅR,Seriekarbonprisbaneskogogarealbruk*Serie_Utslipparealbeslag)/1000000)*KPIJustering</f>
        <v>#N/A</v>
      </c>
      <c r="AW86" s="463" t="e" cm="1">
        <f t="array" ref="AW86">IF(Åpningsår="",,LOOKUP(AW67,SerieÅR,Seriekarbonprisbaneskogogarealbruk*Serie_Utslipparealbeslag)/1000000)*KPIJustering</f>
        <v>#N/A</v>
      </c>
      <c r="AX86" s="463" t="e" cm="1">
        <f t="array" ref="AX86">IF(Åpningsår="",,LOOKUP(AX67,SerieÅR,Seriekarbonprisbaneskogogarealbruk*Serie_Utslipparealbeslag)/1000000)*KPIJustering</f>
        <v>#N/A</v>
      </c>
      <c r="AY86" s="463" t="e" cm="1">
        <f t="array" ref="AY86">IF(Åpningsår="",,LOOKUP(AY67,SerieÅR,Seriekarbonprisbaneskogogarealbruk*Serie_Utslipparealbeslag)/1000000)*KPIJustering</f>
        <v>#N/A</v>
      </c>
      <c r="AZ86" s="463" t="e" cm="1">
        <f t="array" ref="AZ86">IF(Åpningsår="",,LOOKUP(AZ67,SerieÅR,Seriekarbonprisbaneskogogarealbruk*Serie_Utslipparealbeslag)/1000000)*KPIJustering</f>
        <v>#N/A</v>
      </c>
      <c r="BA86" s="463" t="e" cm="1">
        <f t="array" ref="BA86">IF(Åpningsår="",,LOOKUP(BA67,SerieÅR,Seriekarbonprisbaneskogogarealbruk*Serie_Utslipparealbeslag)/1000000)*KPIJustering</f>
        <v>#N/A</v>
      </c>
      <c r="BB86" s="463" t="e" cm="1">
        <f t="array" ref="BB86">IF(Åpningsår="",,LOOKUP(BB67,SerieÅR,Seriekarbonprisbaneskogogarealbruk*Serie_Utslipparealbeslag)/1000000)*KPIJustering</f>
        <v>#N/A</v>
      </c>
      <c r="BC86" s="463" t="e" cm="1">
        <f t="array" ref="BC86">IF(Åpningsår="",,LOOKUP(BC67,SerieÅR,Seriekarbonprisbaneskogogarealbruk*Serie_Utslipparealbeslag)/1000000)*KPIJustering</f>
        <v>#N/A</v>
      </c>
      <c r="BD86" s="463" t="e" cm="1">
        <f t="array" ref="BD86">IF(Åpningsår="",,LOOKUP(BD67,SerieÅR,Seriekarbonprisbaneskogogarealbruk*Serie_Utslipparealbeslag)/1000000)*KPIJustering</f>
        <v>#N/A</v>
      </c>
      <c r="BE86" s="463" t="e" cm="1">
        <f t="array" ref="BE86">IF(Åpningsår="",,LOOKUP(BE67,SerieÅR,Seriekarbonprisbaneskogogarealbruk*Serie_Utslipparealbeslag)/1000000)*KPIJustering</f>
        <v>#N/A</v>
      </c>
      <c r="BF86" s="463" t="e" cm="1">
        <f t="array" ref="BF86">IF(Åpningsår="",,LOOKUP(BF67,SerieÅR,Seriekarbonprisbaneskogogarealbruk*Serie_Utslipparealbeslag)/1000000)*KPIJustering</f>
        <v>#N/A</v>
      </c>
      <c r="BG86" s="463" t="e" cm="1">
        <f t="array" ref="BG86">IF(Åpningsår="",,LOOKUP(BG67,SerieÅR,Seriekarbonprisbaneskogogarealbruk*Serie_Utslipparealbeslag)/1000000)*KPIJustering</f>
        <v>#N/A</v>
      </c>
      <c r="BH86" s="463" t="e" cm="1">
        <f t="array" ref="BH86">IF(Åpningsår="",,LOOKUP(BH67,SerieÅR,Seriekarbonprisbaneskogogarealbruk*Serie_Utslipparealbeslag)/1000000)*KPIJustering</f>
        <v>#N/A</v>
      </c>
      <c r="BI86" s="463" t="e" cm="1">
        <f t="array" ref="BI86">IF(Åpningsår="",,LOOKUP(BI67,SerieÅR,Seriekarbonprisbaneskogogarealbruk*Serie_Utslipparealbeslag)/1000000)*KPIJustering</f>
        <v>#N/A</v>
      </c>
      <c r="BJ86" s="463" t="e" cm="1">
        <f t="array" ref="BJ86">IF(Åpningsår="",,LOOKUP(BJ67,SerieÅR,Seriekarbonprisbaneskogogarealbruk*Serie_Utslipparealbeslag)/1000000)*KPIJustering</f>
        <v>#N/A</v>
      </c>
      <c r="BK86" s="463" t="e" cm="1">
        <f t="array" ref="BK86">IF(Åpningsår="",,LOOKUP(BK67,SerieÅR,Seriekarbonprisbaneskogogarealbruk*Serie_Utslipparealbeslag)/1000000)*KPIJustering</f>
        <v>#N/A</v>
      </c>
      <c r="BL86" s="463" t="e" cm="1">
        <f t="array" ref="BL86">IF(Åpningsår="",,LOOKUP(BL67,SerieÅR,Seriekarbonprisbaneskogogarealbruk*Serie_Utslipparealbeslag)/1000000)*KPIJustering</f>
        <v>#N/A</v>
      </c>
      <c r="BM86" s="463" t="e" cm="1">
        <f t="array" ref="BM86">IF(Åpningsår="",,LOOKUP(BM67,SerieÅR,Seriekarbonprisbaneskogogarealbruk*Serie_Utslipparealbeslag)/1000000)*KPIJustering</f>
        <v>#N/A</v>
      </c>
      <c r="BN86" s="463" t="e" cm="1">
        <f t="array" ref="BN86">IF(Åpningsår="",,LOOKUP(BN67,SerieÅR,Seriekarbonprisbaneskogogarealbruk*Serie_Utslipparealbeslag)/1000000)*KPIJustering</f>
        <v>#N/A</v>
      </c>
      <c r="BO86" s="463" t="e" cm="1">
        <f t="array" ref="BO86">IF(Åpningsår="",,LOOKUP(BO67,SerieÅR,Seriekarbonprisbaneskogogarealbruk*Serie_Utslipparealbeslag)/1000000)*KPIJustering</f>
        <v>#N/A</v>
      </c>
      <c r="BP86" s="463" t="e" cm="1">
        <f t="array" ref="BP86">IF(Åpningsår="",,LOOKUP(BP67,SerieÅR,Seriekarbonprisbaneskogogarealbruk*Serie_Utslipparealbeslag)/1000000)*KPIJustering</f>
        <v>#N/A</v>
      </c>
      <c r="BQ86" s="463" t="e" cm="1">
        <f t="array" ref="BQ86">IF(Åpningsår="",,LOOKUP(BQ67,SerieÅR,Seriekarbonprisbaneskogogarealbruk*Serie_Utslipparealbeslag)/1000000)*KPIJustering</f>
        <v>#N/A</v>
      </c>
      <c r="BR86" s="463" t="e" cm="1">
        <f t="array" ref="BR86">IF(Åpningsår="",,LOOKUP(BR67,SerieÅR,Seriekarbonprisbaneskogogarealbruk*Serie_Utslipparealbeslag)/1000000)*KPIJustering</f>
        <v>#N/A</v>
      </c>
      <c r="BS86" s="463" t="e" cm="1">
        <f t="array" ref="BS86">IF(Åpningsår="",,LOOKUP(BS67,SerieÅR,Seriekarbonprisbaneskogogarealbruk*Serie_Utslipparealbeslag)/1000000)*KPIJustering</f>
        <v>#N/A</v>
      </c>
      <c r="BT86" s="463" t="e" cm="1">
        <f t="array" ref="BT86">IF(Åpningsår="",,LOOKUP(BT67,SerieÅR,Seriekarbonprisbaneskogogarealbruk*Serie_Utslipparealbeslag)/1000000)*KPIJustering</f>
        <v>#N/A</v>
      </c>
      <c r="BU86" s="463" t="e" cm="1">
        <f t="array" ref="BU86">IF(Åpningsår="",,LOOKUP(BU67,SerieÅR,Seriekarbonprisbaneskogogarealbruk*Serie_Utslipparealbeslag)/1000000)*KPIJustering</f>
        <v>#N/A</v>
      </c>
      <c r="BV86" s="463" t="e" cm="1">
        <f t="array" ref="BV86">IF(Åpningsår="",,LOOKUP(BV67,SerieÅR,Seriekarbonprisbaneskogogarealbruk*Serie_Utslipparealbeslag)/1000000)*KPIJustering</f>
        <v>#N/A</v>
      </c>
      <c r="BW86" s="463" t="e" cm="1">
        <f t="array" ref="BW86">IF(Åpningsår="",,LOOKUP(BW67,SerieÅR,Seriekarbonprisbaneskogogarealbruk*Serie_Utslipparealbeslag)/1000000)*KPIJustering</f>
        <v>#N/A</v>
      </c>
      <c r="BX86" s="463" t="e" cm="1">
        <f t="array" ref="BX86">IF(Åpningsår="",,LOOKUP(BX67,SerieÅR,Seriekarbonprisbaneskogogarealbruk*Serie_Utslipparealbeslag)/1000000)*KPIJustering</f>
        <v>#N/A</v>
      </c>
      <c r="BY86" s="463" t="e" cm="1">
        <f t="array" ref="BY86">IF(Åpningsår="",,LOOKUP(BY67,SerieÅR,Seriekarbonprisbaneskogogarealbruk*Serie_Utslipparealbeslag)/1000000)*KPIJustering</f>
        <v>#N/A</v>
      </c>
      <c r="BZ86" s="463" t="e" cm="1">
        <f t="array" ref="BZ86">IF(Åpningsår="",,LOOKUP(BZ67,SerieÅR,Seriekarbonprisbaneskogogarealbruk*Serie_Utslipparealbeslag)/1000000)*KPIJustering</f>
        <v>#N/A</v>
      </c>
      <c r="CA86" s="463" t="e" cm="1">
        <f t="array" ref="CA86">IF(Åpningsår="",,LOOKUP(CA67,SerieÅR,Seriekarbonprisbaneskogogarealbruk*Serie_Utslipparealbeslag)/1000000)*KPIJustering</f>
        <v>#N/A</v>
      </c>
      <c r="CB86" s="463" t="e" cm="1">
        <f t="array" ref="CB86">IF(Åpningsår="",,LOOKUP(CB67,SerieÅR,Seriekarbonprisbaneskogogarealbruk*Serie_Utslipparealbeslag)/1000000)*KPIJustering</f>
        <v>#N/A</v>
      </c>
      <c r="CC86" s="463" t="e" cm="1">
        <f t="array" ref="CC86">IF(Åpningsår="",,LOOKUP(CC67,SerieÅR,Seriekarbonprisbaneskogogarealbruk*Serie_Utslipparealbeslag)/1000000)*KPIJustering</f>
        <v>#N/A</v>
      </c>
      <c r="CD86" s="463" t="e" cm="1">
        <f t="array" ref="CD86">IF(Åpningsår="",,LOOKUP(CD67,SerieÅR,Seriekarbonprisbaneskogogarealbruk*Serie_Utslipparealbeslag)/1000000)*KPIJustering</f>
        <v>#N/A</v>
      </c>
      <c r="CE86" s="463" t="e" cm="1">
        <f t="array" ref="CE86">IF(Åpningsår="",,LOOKUP(CE67,SerieÅR,Seriekarbonprisbaneskogogarealbruk*Serie_Utslipparealbeslag)/1000000)*KPIJustering</f>
        <v>#N/A</v>
      </c>
      <c r="CF86" s="463" t="e" cm="1">
        <f t="array" ref="CF86">IF(Åpningsår="",,LOOKUP(CF67,SerieÅR,Seriekarbonprisbaneskogogarealbruk*Serie_Utslipparealbeslag)/1000000)*KPIJustering</f>
        <v>#N/A</v>
      </c>
      <c r="CG86" s="463" t="e" cm="1">
        <f t="array" ref="CG86">IF(Åpningsår="",,LOOKUP(CG67,SerieÅR,Seriekarbonprisbaneskogogarealbruk*Serie_Utslipparealbeslag)/1000000)*KPIJustering</f>
        <v>#N/A</v>
      </c>
      <c r="CH86" s="463" t="e" cm="1">
        <f t="array" ref="CH86">IF(Åpningsår="",,LOOKUP(CH67,SerieÅR,Seriekarbonprisbaneskogogarealbruk*Serie_Utslipparealbeslag)/1000000)*KPIJustering</f>
        <v>#N/A</v>
      </c>
      <c r="CI86" s="463" t="e" cm="1">
        <f t="array" ref="CI86">IF(Åpningsår="",,LOOKUP(CI67,SerieÅR,Seriekarbonprisbaneskogogarealbruk*Serie_Utslipparealbeslag)/1000000)*KPIJustering</f>
        <v>#N/A</v>
      </c>
      <c r="CJ86" s="463" t="e" cm="1">
        <f t="array" ref="CJ86">IF(Åpningsår="",,LOOKUP(CJ67,SerieÅR,Seriekarbonprisbaneskogogarealbruk*Serie_Utslipparealbeslag)/1000000)*KPIJustering</f>
        <v>#N/A</v>
      </c>
      <c r="CK86" s="463" t="e" cm="1">
        <f t="array" ref="CK86">IF(Åpningsår="",,LOOKUP(CK67,SerieÅR,Seriekarbonprisbaneskogogarealbruk*Serie_Utslipparealbeslag)/1000000)*KPIJustering</f>
        <v>#N/A</v>
      </c>
      <c r="CL86" s="463" t="e" cm="1">
        <f t="array" ref="CL86">IF(Åpningsår="",,LOOKUP(CL67,SerieÅR,Seriekarbonprisbaneskogogarealbruk*Serie_Utslipparealbeslag)/1000000)*KPIJustering</f>
        <v>#N/A</v>
      </c>
      <c r="CM86" s="463" t="e" cm="1">
        <f t="array" ref="CM86">IF(Åpningsår="",,LOOKUP(CM67,SerieÅR,Seriekarbonprisbaneskogogarealbruk*Serie_Utslipparealbeslag)/1000000)*KPIJustering</f>
        <v>#N/A</v>
      </c>
      <c r="CN86" s="463" t="e" cm="1">
        <f t="array" ref="CN86">IF(Åpningsår="",,LOOKUP(CN67,SerieÅR,Seriekarbonprisbaneskogogarealbruk*Serie_Utslipparealbeslag)/1000000)*KPIJustering</f>
        <v>#N/A</v>
      </c>
      <c r="CO86" s="463" t="e" cm="1">
        <f t="array" ref="CO86">IF(Åpningsår="",,LOOKUP(CO67,SerieÅR,Seriekarbonprisbaneskogogarealbruk*Serie_Utslipparealbeslag)/1000000)*KPIJustering</f>
        <v>#N/A</v>
      </c>
      <c r="CP86" s="463" t="e" cm="1">
        <f t="array" ref="CP86">IF(Åpningsår="",,LOOKUP(CP67,SerieÅR,Seriekarbonprisbaneskogogarealbruk*Serie_Utslipparealbeslag)/1000000)*KPIJustering</f>
        <v>#N/A</v>
      </c>
      <c r="CQ86" s="463" t="e" cm="1">
        <f t="array" ref="CQ86">IF(Åpningsår="",,LOOKUP(CQ67,SerieÅR,Seriekarbonprisbaneskogogarealbruk*Serie_Utslipparealbeslag)/1000000)*KPIJustering</f>
        <v>#N/A</v>
      </c>
      <c r="CR86" s="463" t="e" cm="1">
        <f t="array" ref="CR86">IF(Åpningsår="",,LOOKUP(CR67,SerieÅR,Seriekarbonprisbaneskogogarealbruk*Serie_Utslipparealbeslag)/1000000)*KPIJustering</f>
        <v>#N/A</v>
      </c>
      <c r="CS86" s="463" t="e" cm="1">
        <f t="array" ref="CS86">IF(Åpningsår="",,LOOKUP(CS67,SerieÅR,Seriekarbonprisbaneskogogarealbruk*Serie_Utslipparealbeslag)/1000000)*KPIJustering</f>
        <v>#N/A</v>
      </c>
      <c r="CT86" s="463" t="e" cm="1">
        <f t="array" ref="CT86">IF(Åpningsår="",,LOOKUP(CT67,SerieÅR,Seriekarbonprisbaneskogogarealbruk*Serie_Utslipparealbeslag)/1000000)*KPIJustering</f>
        <v>#N/A</v>
      </c>
      <c r="CU86" s="463" t="e" cm="1">
        <f t="array" ref="CU86">IF(Åpningsår="",,LOOKUP(CU67,SerieÅR,Seriekarbonprisbaneskogogarealbruk*Serie_Utslipparealbeslag)/1000000)*KPIJustering</f>
        <v>#N/A</v>
      </c>
      <c r="CV86" s="463" t="e" cm="1">
        <f t="array" ref="CV86">IF(Åpningsår="",,LOOKUP(CV67,SerieÅR,Seriekarbonprisbaneskogogarealbruk*Serie_Utslipparealbeslag)/1000000)*KPIJustering</f>
        <v>#N/A</v>
      </c>
      <c r="CW86" s="463" t="e" cm="1">
        <f t="array" ref="CW86">IF(Åpningsår="",,LOOKUP(CW67,SerieÅR,Seriekarbonprisbaneskogogarealbruk*Serie_Utslipparealbeslag)/1000000)*KPIJustering</f>
        <v>#N/A</v>
      </c>
      <c r="CX86" s="463" t="e" cm="1">
        <f t="array" ref="CX86">IF(Åpningsår="",,LOOKUP(CX67,SerieÅR,Seriekarbonprisbaneskogogarealbruk*Serie_Utslipparealbeslag)/1000000)*KPIJustering</f>
        <v>#N/A</v>
      </c>
      <c r="CY86" s="463" t="e" cm="1">
        <f t="array" ref="CY86">IF(Åpningsår="",,LOOKUP(CY67,SerieÅR,Seriekarbonprisbaneskogogarealbruk*Serie_Utslipparealbeslag)/1000000)*KPIJustering</f>
        <v>#N/A</v>
      </c>
      <c r="CZ86" s="463" t="e" cm="1">
        <f t="array" ref="CZ86">IF(Åpningsår="",,LOOKUP(CZ67,SerieÅR,Seriekarbonprisbaneskogogarealbruk*Serie_Utslipparealbeslag)/1000000)*KPIJustering</f>
        <v>#N/A</v>
      </c>
      <c r="DA86" s="463" t="e" cm="1">
        <f t="array" ref="DA86">IF(Åpningsår="",,LOOKUP(DA67,SerieÅR,Seriekarbonprisbaneskogogarealbruk*Serie_Utslipparealbeslag)/1000000)*KPIJustering</f>
        <v>#N/A</v>
      </c>
      <c r="DB86" s="463" t="e" cm="1">
        <f t="array" ref="DB86">IF(Åpningsår="",,LOOKUP(DB67,SerieÅR,Seriekarbonprisbaneskogogarealbruk*Serie_Utslipparealbeslag)/1000000)*KPIJustering</f>
        <v>#N/A</v>
      </c>
      <c r="DC86" s="463" t="e" cm="1">
        <f t="array" ref="DC86">IF(Åpningsår="",,LOOKUP(DC67,SerieÅR,Seriekarbonprisbaneskogogarealbruk*Serie_Utslipparealbeslag)/1000000)*KPIJustering</f>
        <v>#N/A</v>
      </c>
      <c r="DD86" s="463" t="e" cm="1">
        <f t="array" ref="DD86">IF(Åpningsår="",,LOOKUP(DD67,SerieÅR,Seriekarbonprisbaneskogogarealbruk*Serie_Utslipparealbeslag)/1000000)*KPIJustering</f>
        <v>#N/A</v>
      </c>
      <c r="DE86" s="463" t="e" cm="1">
        <f t="array" ref="DE86">IF(Åpningsår="",,LOOKUP(DE67,SerieÅR,Seriekarbonprisbaneskogogarealbruk*Serie_Utslipparealbeslag)/1000000)*KPIJustering</f>
        <v>#N/A</v>
      </c>
      <c r="DF86" s="463" t="e" cm="1">
        <f t="array" ref="DF86">IF(Åpningsår="",,LOOKUP(DF67,SerieÅR,Seriekarbonprisbaneskogogarealbruk*Serie_Utslipparealbeslag)/1000000)*KPIJustering</f>
        <v>#N/A</v>
      </c>
      <c r="DG86" s="463" t="e" cm="1">
        <f t="array" ref="DG86">IF(Åpningsår="",,LOOKUP(DG67,SerieÅR,Seriekarbonprisbaneskogogarealbruk*Serie_Utslipparealbeslag)/1000000)*KPIJustering</f>
        <v>#N/A</v>
      </c>
      <c r="DH86" s="463" t="e" cm="1">
        <f t="array" ref="DH86">IF(Åpningsår="",,LOOKUP(DH67,SerieÅR,Seriekarbonprisbaneskogogarealbruk*Serie_Utslipparealbeslag)/1000000)*KPIJustering</f>
        <v>#N/A</v>
      </c>
      <c r="DI86" s="463" t="e" cm="1">
        <f t="array" ref="DI86">IF(Åpningsår="",,LOOKUP(DI67,SerieÅR,Seriekarbonprisbaneskogogarealbruk*Serie_Utslipparealbeslag)/1000000)*KPIJustering</f>
        <v>#N/A</v>
      </c>
      <c r="DJ86" s="463" t="e" cm="1">
        <f t="array" ref="DJ86">IF(Åpningsår="",,LOOKUP(DJ67,SerieÅR,Seriekarbonprisbaneskogogarealbruk*Serie_Utslipparealbeslag)/1000000)*KPIJustering</f>
        <v>#N/A</v>
      </c>
      <c r="DK86" s="463" t="e" cm="1">
        <f t="array" ref="DK86">IF(Åpningsår="",,LOOKUP(DK67,SerieÅR,Seriekarbonprisbaneskogogarealbruk*Serie_Utslipparealbeslag)/1000000)*KPIJustering</f>
        <v>#N/A</v>
      </c>
      <c r="DL86" s="463" t="e" cm="1">
        <f t="array" ref="DL86">IF(Åpningsår="",,LOOKUP(DL67,SerieÅR,Seriekarbonprisbaneskogogarealbruk*Serie_Utslipparealbeslag)/1000000)*KPIJustering</f>
        <v>#N/A</v>
      </c>
      <c r="DM86" s="463" t="e" cm="1">
        <f t="array" ref="DM86">IF(Åpningsår="",,LOOKUP(DM67,SerieÅR,Seriekarbonprisbaneskogogarealbruk*Serie_Utslipparealbeslag)/1000000)*KPIJustering</f>
        <v>#N/A</v>
      </c>
      <c r="DN86" s="463" t="e" cm="1">
        <f t="array" ref="DN86">IF(Åpningsår="",,LOOKUP(DN67,SerieÅR,Seriekarbonprisbaneskogogarealbruk*Serie_Utslipparealbeslag)/1000000)*KPIJustering</f>
        <v>#N/A</v>
      </c>
      <c r="DO86" s="463" t="e" cm="1">
        <f t="array" ref="DO86">IF(Åpningsår="",,LOOKUP(DO67,SerieÅR,Seriekarbonprisbaneskogogarealbruk*Serie_Utslipparealbeslag)/1000000)*KPIJustering</f>
        <v>#N/A</v>
      </c>
      <c r="DP86" s="463" t="e" cm="1">
        <f t="array" ref="DP86">IF(Åpningsår="",,LOOKUP(DP67,SerieÅR,Seriekarbonprisbaneskogogarealbruk*Serie_Utslipparealbeslag)/1000000)*KPIJustering</f>
        <v>#N/A</v>
      </c>
      <c r="DQ86" s="463" t="e" cm="1">
        <f t="array" ref="DQ86">IF(Åpningsår="",,LOOKUP(DQ67,SerieÅR,Seriekarbonprisbaneskogogarealbruk*Serie_Utslipparealbeslag)/1000000)*KPIJustering</f>
        <v>#N/A</v>
      </c>
      <c r="DR86" s="463" t="e" cm="1">
        <f t="array" ref="DR86">IF(Åpningsår="",,LOOKUP(DR67,SerieÅR,Seriekarbonprisbaneskogogarealbruk*Serie_Utslipparealbeslag)/1000000)*KPIJustering</f>
        <v>#N/A</v>
      </c>
      <c r="DS86" s="1001" t="e">
        <f ca="1">SUMPRODUCT(('1.5 Prognoser og indekser'!$R$12:OFFSET('1.5 Prognoser og indekser'!$R$12,0,$DS$9)),($M86:OFFSET($M86,0,$DS$9)))</f>
        <v>#N/A</v>
      </c>
      <c r="DT86" s="1021">
        <f ca="1">IF($DT$9&lt;1,0,SUMPRODUCT(OFFSET('1.5 Prognoser og indekser'!$R$12,0,$DS$9+1,1,$DT$9),OFFSET($M86,0,$DS$9+1,1,$DT$9)))</f>
        <v>0</v>
      </c>
    </row>
    <row r="87" spans="3:124" ht="21" x14ac:dyDescent="0.5">
      <c r="C87" s="370" t="s">
        <v>1599</v>
      </c>
      <c r="D87" s="1260" t="str">
        <f>D10</f>
        <v>Resultater før prisjustering</v>
      </c>
      <c r="E87" s="1260"/>
      <c r="F87" s="1260"/>
      <c r="G87" s="1260" t="str">
        <f>G10</f>
        <v>Resultater volum</v>
      </c>
      <c r="H87" s="1260"/>
      <c r="I87" s="1260"/>
      <c r="J87" s="1260" t="str">
        <f>J10</f>
        <v>Relativ årsvekst</v>
      </c>
      <c r="K87" s="1260"/>
      <c r="L87" s="559" t="str">
        <f>L10</f>
        <v xml:space="preserve">Lineær vekst </v>
      </c>
      <c r="M87" s="24" cm="1">
        <f t="array" ref="M87:DR87">SerieÅR</f>
        <v>-10</v>
      </c>
      <c r="N87" s="24">
        <v>-9</v>
      </c>
      <c r="O87" s="24">
        <v>-8</v>
      </c>
      <c r="P87" s="24">
        <v>-7</v>
      </c>
      <c r="Q87" s="24">
        <v>-6</v>
      </c>
      <c r="R87" s="24">
        <v>-5</v>
      </c>
      <c r="S87" s="24">
        <v>-4</v>
      </c>
      <c r="T87" s="24">
        <v>-3</v>
      </c>
      <c r="U87" s="24">
        <v>-2</v>
      </c>
      <c r="V87" s="24">
        <v>-1</v>
      </c>
      <c r="W87" s="24">
        <v>0</v>
      </c>
      <c r="X87" s="24">
        <v>1</v>
      </c>
      <c r="Y87" s="24">
        <v>2</v>
      </c>
      <c r="Z87" s="24">
        <v>3</v>
      </c>
      <c r="AA87" s="24">
        <v>4</v>
      </c>
      <c r="AB87" s="24">
        <v>5</v>
      </c>
      <c r="AC87" s="24">
        <v>6</v>
      </c>
      <c r="AD87" s="24">
        <v>7</v>
      </c>
      <c r="AE87" s="24">
        <v>8</v>
      </c>
      <c r="AF87" s="24">
        <v>9</v>
      </c>
      <c r="AG87" s="24">
        <v>10</v>
      </c>
      <c r="AH87" s="24">
        <v>11</v>
      </c>
      <c r="AI87" s="24">
        <v>12</v>
      </c>
      <c r="AJ87" s="24">
        <v>13</v>
      </c>
      <c r="AK87" s="24">
        <v>14</v>
      </c>
      <c r="AL87" s="24">
        <v>15</v>
      </c>
      <c r="AM87" s="24">
        <v>16</v>
      </c>
      <c r="AN87" s="24">
        <v>17</v>
      </c>
      <c r="AO87" s="24">
        <v>18</v>
      </c>
      <c r="AP87" s="24">
        <v>19</v>
      </c>
      <c r="AQ87" s="24">
        <v>20</v>
      </c>
      <c r="AR87" s="24">
        <v>21</v>
      </c>
      <c r="AS87" s="24">
        <v>22</v>
      </c>
      <c r="AT87" s="24">
        <v>23</v>
      </c>
      <c r="AU87" s="24">
        <v>24</v>
      </c>
      <c r="AV87" s="24">
        <v>25</v>
      </c>
      <c r="AW87" s="24">
        <v>26</v>
      </c>
      <c r="AX87" s="24">
        <v>27</v>
      </c>
      <c r="AY87" s="24">
        <v>28</v>
      </c>
      <c r="AZ87" s="24">
        <v>29</v>
      </c>
      <c r="BA87" s="24">
        <v>30</v>
      </c>
      <c r="BB87" s="24">
        <v>31</v>
      </c>
      <c r="BC87" s="24">
        <v>32</v>
      </c>
      <c r="BD87" s="24">
        <v>33</v>
      </c>
      <c r="BE87" s="24">
        <v>34</v>
      </c>
      <c r="BF87" s="24">
        <v>35</v>
      </c>
      <c r="BG87" s="24">
        <v>36</v>
      </c>
      <c r="BH87" s="24">
        <v>37</v>
      </c>
      <c r="BI87" s="24">
        <v>38</v>
      </c>
      <c r="BJ87" s="24">
        <v>39</v>
      </c>
      <c r="BK87" s="24">
        <v>40</v>
      </c>
      <c r="BL87" s="24">
        <v>41</v>
      </c>
      <c r="BM87" s="24">
        <v>42</v>
      </c>
      <c r="BN87" s="24">
        <v>43</v>
      </c>
      <c r="BO87" s="24">
        <v>44</v>
      </c>
      <c r="BP87" s="24">
        <v>45</v>
      </c>
      <c r="BQ87" s="24">
        <v>46</v>
      </c>
      <c r="BR87" s="24">
        <v>47</v>
      </c>
      <c r="BS87" s="24">
        <v>48</v>
      </c>
      <c r="BT87" s="24">
        <v>49</v>
      </c>
      <c r="BU87" s="24">
        <v>50</v>
      </c>
      <c r="BV87" s="24">
        <v>51</v>
      </c>
      <c r="BW87" s="24">
        <v>52</v>
      </c>
      <c r="BX87" s="24">
        <v>53</v>
      </c>
      <c r="BY87" s="24">
        <v>54</v>
      </c>
      <c r="BZ87" s="24">
        <v>55</v>
      </c>
      <c r="CA87" s="24">
        <v>56</v>
      </c>
      <c r="CB87" s="24">
        <v>57</v>
      </c>
      <c r="CC87" s="24">
        <v>58</v>
      </c>
      <c r="CD87" s="24">
        <v>59</v>
      </c>
      <c r="CE87" s="24">
        <v>60</v>
      </c>
      <c r="CF87" s="24">
        <v>61</v>
      </c>
      <c r="CG87" s="24">
        <v>62</v>
      </c>
      <c r="CH87" s="24">
        <v>63</v>
      </c>
      <c r="CI87" s="24">
        <v>64</v>
      </c>
      <c r="CJ87" s="24">
        <v>65</v>
      </c>
      <c r="CK87" s="24">
        <v>66</v>
      </c>
      <c r="CL87" s="24">
        <v>67</v>
      </c>
      <c r="CM87" s="24">
        <v>68</v>
      </c>
      <c r="CN87" s="24">
        <v>69</v>
      </c>
      <c r="CO87" s="24">
        <v>70</v>
      </c>
      <c r="CP87" s="24">
        <v>71</v>
      </c>
      <c r="CQ87" s="24">
        <v>72</v>
      </c>
      <c r="CR87" s="24">
        <v>73</v>
      </c>
      <c r="CS87" s="24">
        <v>74</v>
      </c>
      <c r="CT87" s="24">
        <v>75</v>
      </c>
      <c r="CU87" s="24">
        <v>76</v>
      </c>
      <c r="CV87" s="24">
        <v>77</v>
      </c>
      <c r="CW87" s="24">
        <v>78</v>
      </c>
      <c r="CX87" s="24">
        <v>79</v>
      </c>
      <c r="CY87" s="24">
        <v>80</v>
      </c>
      <c r="CZ87" s="24">
        <v>81</v>
      </c>
      <c r="DA87" s="24">
        <v>82</v>
      </c>
      <c r="DB87" s="24">
        <v>83</v>
      </c>
      <c r="DC87" s="24">
        <v>84</v>
      </c>
      <c r="DD87" s="24">
        <v>85</v>
      </c>
      <c r="DE87" s="24">
        <v>86</v>
      </c>
      <c r="DF87" s="24">
        <v>87</v>
      </c>
      <c r="DG87" s="24">
        <v>88</v>
      </c>
      <c r="DH87" s="24">
        <v>89</v>
      </c>
      <c r="DI87" s="24">
        <v>90</v>
      </c>
      <c r="DJ87" s="24">
        <v>91</v>
      </c>
      <c r="DK87" s="24">
        <v>92</v>
      </c>
      <c r="DL87" s="24">
        <v>93</v>
      </c>
      <c r="DM87" s="24">
        <v>94</v>
      </c>
      <c r="DN87" s="24">
        <v>95</v>
      </c>
      <c r="DO87" s="24">
        <v>96</v>
      </c>
      <c r="DP87" s="24">
        <v>97</v>
      </c>
      <c r="DQ87" s="24">
        <v>98</v>
      </c>
      <c r="DR87" s="24">
        <v>99</v>
      </c>
      <c r="DS87" s="24" t="s">
        <v>1587</v>
      </c>
      <c r="DT87" s="371" t="s">
        <v>1588</v>
      </c>
    </row>
    <row r="88" spans="3:124" x14ac:dyDescent="0.35">
      <c r="C88" s="215" t="s">
        <v>1600</v>
      </c>
      <c r="D88" s="418">
        <f>D11</f>
        <v>0</v>
      </c>
      <c r="E88" s="418">
        <f>E11</f>
        <v>0</v>
      </c>
      <c r="F88" s="418">
        <f>F11</f>
        <v>0</v>
      </c>
      <c r="G88" s="418">
        <f>G11</f>
        <v>0</v>
      </c>
      <c r="H88" s="418">
        <f>H11</f>
        <v>0</v>
      </c>
      <c r="I88" s="418">
        <f>I11</f>
        <v>0</v>
      </c>
      <c r="J88" s="418" t="str">
        <f>J11</f>
        <v xml:space="preserve"> - </v>
      </c>
      <c r="K88" s="418" t="str">
        <f>K11</f>
        <v xml:space="preserve"> - </v>
      </c>
      <c r="L88" s="560" t="str">
        <f>L11</f>
        <v xml:space="preserve"> -&gt;-1</v>
      </c>
      <c r="M88" s="8"/>
      <c r="N88" s="8"/>
      <c r="O88" s="8"/>
      <c r="P88" s="8"/>
      <c r="Q88" s="8"/>
      <c r="R88" s="8"/>
      <c r="S88" s="8"/>
      <c r="T88" s="8"/>
      <c r="U88" s="8"/>
      <c r="V88" s="8"/>
      <c r="W88" s="8"/>
      <c r="X88" s="8"/>
      <c r="Y88" s="8"/>
      <c r="Z88" s="8"/>
      <c r="AA88" s="8"/>
      <c r="AB88" s="8"/>
      <c r="AC88" s="8"/>
      <c r="AD88" s="8"/>
      <c r="AE88" s="8"/>
      <c r="AF88" s="8"/>
      <c r="AG88" s="8"/>
      <c r="AH88" s="8"/>
      <c r="AI88" s="8"/>
      <c r="AJ88" s="8"/>
      <c r="AK88" s="8"/>
      <c r="AL88" s="8"/>
      <c r="AM88" s="8"/>
      <c r="AN88" s="8"/>
      <c r="AO88" s="8"/>
      <c r="AP88" s="8"/>
      <c r="AQ88" s="8"/>
      <c r="AR88" s="8"/>
      <c r="AS88" s="8"/>
      <c r="AT88" s="8"/>
      <c r="AU88" s="8"/>
      <c r="AV88" s="8"/>
      <c r="AW88" s="8"/>
      <c r="AX88" s="8"/>
      <c r="AY88" s="8"/>
      <c r="AZ88" s="8"/>
      <c r="BA88" s="8"/>
      <c r="BB88" s="8"/>
      <c r="BC88" s="8"/>
      <c r="BD88" s="8"/>
      <c r="BE88" s="8"/>
      <c r="BF88" s="8"/>
      <c r="BG88" s="8"/>
      <c r="BH88" s="8"/>
      <c r="BI88" s="8"/>
      <c r="BJ88" s="8"/>
      <c r="BK88" s="8"/>
      <c r="BL88" s="8"/>
      <c r="BM88" s="8"/>
      <c r="BN88" s="8"/>
      <c r="BO88" s="8"/>
      <c r="BP88" s="8"/>
      <c r="BQ88" s="8"/>
      <c r="BR88" s="8"/>
      <c r="BS88" s="8"/>
      <c r="BT88" s="8"/>
      <c r="BU88" s="8"/>
      <c r="BV88" s="8"/>
      <c r="BW88" s="8"/>
      <c r="BX88" s="8"/>
      <c r="BY88" s="8"/>
      <c r="BZ88" s="8"/>
      <c r="CA88" s="8"/>
      <c r="CB88" s="8"/>
      <c r="CC88" s="8"/>
      <c r="CD88" s="8"/>
      <c r="CE88" s="8"/>
      <c r="CF88" s="8"/>
      <c r="CG88" s="8"/>
      <c r="CH88" s="8"/>
      <c r="CI88" s="8"/>
      <c r="CJ88" s="8"/>
      <c r="CK88" s="8"/>
      <c r="CL88" s="8"/>
      <c r="CM88" s="8"/>
      <c r="CN88" s="8"/>
      <c r="CO88" s="8"/>
      <c r="CP88" s="8"/>
      <c r="CQ88" s="8"/>
      <c r="CR88" s="8"/>
      <c r="CS88" s="8"/>
      <c r="CT88" s="8"/>
      <c r="CU88" s="8"/>
      <c r="CV88" s="8"/>
      <c r="CW88" s="8"/>
      <c r="CX88" s="8"/>
      <c r="CY88" s="8"/>
      <c r="CZ88" s="8"/>
      <c r="DA88" s="8"/>
      <c r="DB88" s="8"/>
      <c r="DC88" s="8"/>
      <c r="DD88" s="8"/>
      <c r="DE88" s="8"/>
      <c r="DF88" s="8"/>
      <c r="DG88" s="8"/>
      <c r="DH88" s="8"/>
      <c r="DI88" s="8"/>
      <c r="DJ88" s="8"/>
      <c r="DK88" s="8"/>
      <c r="DL88" s="8"/>
      <c r="DM88" s="8"/>
      <c r="DN88" s="8"/>
      <c r="DO88" s="8"/>
      <c r="DP88" s="8"/>
      <c r="DQ88" s="8"/>
      <c r="DR88" s="8"/>
      <c r="DS88" s="8"/>
      <c r="DT88" s="259"/>
    </row>
    <row r="89" spans="3:124" x14ac:dyDescent="0.35">
      <c r="C89" s="291" t="s">
        <v>1601</v>
      </c>
      <c r="D89" s="791"/>
      <c r="E89" s="791"/>
      <c r="F89" s="791"/>
      <c r="G89" s="791"/>
      <c r="H89" s="791"/>
      <c r="I89" s="791"/>
      <c r="J89" s="463"/>
      <c r="K89" s="463"/>
      <c r="L89" s="752"/>
      <c r="M89" s="463">
        <f t="array" ref="M89:CS89">IFERROR(TRANSPOSE('2.5 Investeringer + vedlikehold'!$D$13:$D$97-'2.5 Investeringer + vedlikehold'!$C$13:$C$97)*(-KPIJustering_Investering),"")</f>
        <v>0</v>
      </c>
      <c r="N89" s="463">
        <v>0</v>
      </c>
      <c r="O89" s="463">
        <v>0</v>
      </c>
      <c r="P89" s="463">
        <v>0</v>
      </c>
      <c r="Q89" s="463">
        <v>0</v>
      </c>
      <c r="R89" s="463">
        <v>0</v>
      </c>
      <c r="S89" s="463">
        <v>0</v>
      </c>
      <c r="T89" s="463">
        <v>0</v>
      </c>
      <c r="U89" s="463">
        <v>0</v>
      </c>
      <c r="V89" s="463">
        <v>0</v>
      </c>
      <c r="W89" s="463">
        <v>0</v>
      </c>
      <c r="X89" s="463">
        <v>0</v>
      </c>
      <c r="Y89" s="463">
        <v>0</v>
      </c>
      <c r="Z89" s="463">
        <v>0</v>
      </c>
      <c r="AA89" s="463">
        <v>0</v>
      </c>
      <c r="AB89" s="463">
        <v>0</v>
      </c>
      <c r="AC89" s="463">
        <v>0</v>
      </c>
      <c r="AD89" s="463">
        <v>0</v>
      </c>
      <c r="AE89" s="463">
        <v>0</v>
      </c>
      <c r="AF89" s="463">
        <v>0</v>
      </c>
      <c r="AG89" s="463">
        <v>0</v>
      </c>
      <c r="AH89" s="463">
        <v>0</v>
      </c>
      <c r="AI89" s="463">
        <v>0</v>
      </c>
      <c r="AJ89" s="463">
        <v>0</v>
      </c>
      <c r="AK89" s="463">
        <v>0</v>
      </c>
      <c r="AL89" s="463">
        <v>0</v>
      </c>
      <c r="AM89" s="463">
        <v>0</v>
      </c>
      <c r="AN89" s="463">
        <v>0</v>
      </c>
      <c r="AO89" s="463">
        <v>0</v>
      </c>
      <c r="AP89" s="463">
        <v>0</v>
      </c>
      <c r="AQ89" s="463">
        <v>0</v>
      </c>
      <c r="AR89" s="463">
        <v>0</v>
      </c>
      <c r="AS89" s="463">
        <v>0</v>
      </c>
      <c r="AT89" s="463">
        <v>0</v>
      </c>
      <c r="AU89" s="463">
        <v>0</v>
      </c>
      <c r="AV89" s="463">
        <v>0</v>
      </c>
      <c r="AW89" s="463">
        <v>0</v>
      </c>
      <c r="AX89" s="463">
        <v>0</v>
      </c>
      <c r="AY89" s="463">
        <v>0</v>
      </c>
      <c r="AZ89" s="463">
        <v>0</v>
      </c>
      <c r="BA89" s="463">
        <v>0</v>
      </c>
      <c r="BB89" s="463">
        <v>0</v>
      </c>
      <c r="BC89" s="463">
        <v>0</v>
      </c>
      <c r="BD89" s="463">
        <v>0</v>
      </c>
      <c r="BE89" s="463">
        <v>0</v>
      </c>
      <c r="BF89" s="463">
        <v>0</v>
      </c>
      <c r="BG89" s="463">
        <v>0</v>
      </c>
      <c r="BH89" s="463">
        <v>0</v>
      </c>
      <c r="BI89" s="463">
        <v>0</v>
      </c>
      <c r="BJ89" s="463">
        <v>0</v>
      </c>
      <c r="BK89" s="463">
        <v>0</v>
      </c>
      <c r="BL89" s="463">
        <v>0</v>
      </c>
      <c r="BM89" s="463">
        <v>0</v>
      </c>
      <c r="BN89" s="463">
        <v>0</v>
      </c>
      <c r="BO89" s="463">
        <v>0</v>
      </c>
      <c r="BP89" s="463">
        <v>0</v>
      </c>
      <c r="BQ89" s="463">
        <v>0</v>
      </c>
      <c r="BR89" s="463">
        <v>0</v>
      </c>
      <c r="BS89" s="463">
        <v>0</v>
      </c>
      <c r="BT89" s="463">
        <v>0</v>
      </c>
      <c r="BU89" s="463">
        <v>0</v>
      </c>
      <c r="BV89" s="463">
        <v>0</v>
      </c>
      <c r="BW89" s="463">
        <v>0</v>
      </c>
      <c r="BX89" s="463">
        <v>0</v>
      </c>
      <c r="BY89" s="463">
        <v>0</v>
      </c>
      <c r="BZ89" s="463">
        <v>0</v>
      </c>
      <c r="CA89" s="463">
        <v>0</v>
      </c>
      <c r="CB89" s="463">
        <v>0</v>
      </c>
      <c r="CC89" s="463">
        <v>0</v>
      </c>
      <c r="CD89" s="463">
        <v>0</v>
      </c>
      <c r="CE89" s="463">
        <v>0</v>
      </c>
      <c r="CF89" s="463">
        <v>0</v>
      </c>
      <c r="CG89" s="463">
        <v>0</v>
      </c>
      <c r="CH89" s="463">
        <v>0</v>
      </c>
      <c r="CI89" s="463">
        <v>0</v>
      </c>
      <c r="CJ89" s="463">
        <v>0</v>
      </c>
      <c r="CK89" s="463">
        <v>0</v>
      </c>
      <c r="CL89" s="463">
        <v>0</v>
      </c>
      <c r="CM89" s="463">
        <v>0</v>
      </c>
      <c r="CN89" s="463">
        <v>0</v>
      </c>
      <c r="CO89" s="463">
        <v>0</v>
      </c>
      <c r="CP89" s="463">
        <v>0</v>
      </c>
      <c r="CQ89" s="463">
        <v>0</v>
      </c>
      <c r="CR89" s="463">
        <v>0</v>
      </c>
      <c r="CS89" s="463">
        <v>0</v>
      </c>
      <c r="CT89" s="463">
        <f t="array" ref="CT89">IFERROR(TRANSPOSE('2.5 Investeringer + vedlikehold'!$D$13:$D$97-'2.5 Investeringer + vedlikehold'!$C$13:$C$97)*(-KPIJustering_Investering),"")</f>
        <v>0</v>
      </c>
      <c r="CU89" s="463">
        <f t="array" ref="CU89">IFERROR(TRANSPOSE('2.5 Investeringer + vedlikehold'!$D$13:$D$97-'2.5 Investeringer + vedlikehold'!$C$13:$C$97)*(-KPIJustering_Investering),"")</f>
        <v>0</v>
      </c>
      <c r="CV89" s="463">
        <f t="array" ref="CV89">IFERROR(TRANSPOSE('2.5 Investeringer + vedlikehold'!$D$13:$D$97-'2.5 Investeringer + vedlikehold'!$C$13:$C$97)*(-KPIJustering_Investering),"")</f>
        <v>0</v>
      </c>
      <c r="CW89" s="463">
        <f t="array" ref="CW89">IFERROR(TRANSPOSE('2.5 Investeringer + vedlikehold'!$D$13:$D$97-'2.5 Investeringer + vedlikehold'!$C$13:$C$97)*(-KPIJustering_Investering),"")</f>
        <v>0</v>
      </c>
      <c r="CX89" s="463">
        <f t="array" ref="CX89">IFERROR(TRANSPOSE('2.5 Investeringer + vedlikehold'!$D$13:$D$97-'2.5 Investeringer + vedlikehold'!$C$13:$C$97)*(-KPIJustering_Investering),"")</f>
        <v>0</v>
      </c>
      <c r="CY89" s="463">
        <f t="array" ref="CY89">IFERROR(TRANSPOSE('2.5 Investeringer + vedlikehold'!$D$13:$D$97-'2.5 Investeringer + vedlikehold'!$C$13:$C$97)*(-KPIJustering_Investering),"")</f>
        <v>0</v>
      </c>
      <c r="CZ89" s="463">
        <f t="array" ref="CZ89">IFERROR(TRANSPOSE('2.5 Investeringer + vedlikehold'!$D$13:$D$97-'2.5 Investeringer + vedlikehold'!$C$13:$C$97)*(-KPIJustering_Investering),"")</f>
        <v>0</v>
      </c>
      <c r="DA89" s="463">
        <f t="array" ref="DA89">IFERROR(TRANSPOSE('2.5 Investeringer + vedlikehold'!$D$13:$D$97-'2.5 Investeringer + vedlikehold'!$C$13:$C$97)*(-KPIJustering_Investering),"")</f>
        <v>0</v>
      </c>
      <c r="DB89" s="463">
        <f t="array" ref="DB89">IFERROR(TRANSPOSE('2.5 Investeringer + vedlikehold'!$D$13:$D$97-'2.5 Investeringer + vedlikehold'!$C$13:$C$97)*(-KPIJustering_Investering),"")</f>
        <v>0</v>
      </c>
      <c r="DC89" s="463">
        <f t="array" ref="DC89">IFERROR(TRANSPOSE('2.5 Investeringer + vedlikehold'!$D$13:$D$97-'2.5 Investeringer + vedlikehold'!$C$13:$C$97)*(-KPIJustering_Investering),"")</f>
        <v>0</v>
      </c>
      <c r="DD89" s="463">
        <f t="array" ref="DD89">IFERROR(TRANSPOSE('2.5 Investeringer + vedlikehold'!$D$13:$D$97-'2.5 Investeringer + vedlikehold'!$C$13:$C$97)*(-KPIJustering_Investering),"")</f>
        <v>0</v>
      </c>
      <c r="DE89" s="463">
        <f t="array" ref="DE89">IFERROR(TRANSPOSE('2.5 Investeringer + vedlikehold'!$D$13:$D$97-'2.5 Investeringer + vedlikehold'!$C$13:$C$97)*(-KPIJustering_Investering),"")</f>
        <v>0</v>
      </c>
      <c r="DF89" s="463">
        <f t="array" ref="DF89">IFERROR(TRANSPOSE('2.5 Investeringer + vedlikehold'!$D$13:$D$97-'2.5 Investeringer + vedlikehold'!$C$13:$C$97)*(-KPIJustering_Investering),"")</f>
        <v>0</v>
      </c>
      <c r="DG89" s="463">
        <f t="array" ref="DG89">IFERROR(TRANSPOSE('2.5 Investeringer + vedlikehold'!$D$13:$D$97-'2.5 Investeringer + vedlikehold'!$C$13:$C$97)*(-KPIJustering_Investering),"")</f>
        <v>0</v>
      </c>
      <c r="DH89" s="463">
        <f t="array" ref="DH89">IFERROR(TRANSPOSE('2.5 Investeringer + vedlikehold'!$D$13:$D$97-'2.5 Investeringer + vedlikehold'!$C$13:$C$97)*(-KPIJustering_Investering),"")</f>
        <v>0</v>
      </c>
      <c r="DI89" s="463">
        <f t="array" ref="DI89">IFERROR(TRANSPOSE('2.5 Investeringer + vedlikehold'!$D$13:$D$97-'2.5 Investeringer + vedlikehold'!$C$13:$C$97)*(-KPIJustering_Investering),"")</f>
        <v>0</v>
      </c>
      <c r="DJ89" s="463">
        <f t="array" ref="DJ89">IFERROR(TRANSPOSE('2.5 Investeringer + vedlikehold'!$D$13:$D$97-'2.5 Investeringer + vedlikehold'!$C$13:$C$97)*(-KPIJustering_Investering),"")</f>
        <v>0</v>
      </c>
      <c r="DK89" s="463">
        <f t="array" ref="DK89">IFERROR(TRANSPOSE('2.5 Investeringer + vedlikehold'!$D$13:$D$97-'2.5 Investeringer + vedlikehold'!$C$13:$C$97)*(-KPIJustering_Investering),"")</f>
        <v>0</v>
      </c>
      <c r="DL89" s="463">
        <f t="array" ref="DL89">IFERROR(TRANSPOSE('2.5 Investeringer + vedlikehold'!$D$13:$D$97-'2.5 Investeringer + vedlikehold'!$C$13:$C$97)*(-KPIJustering_Investering),"")</f>
        <v>0</v>
      </c>
      <c r="DM89" s="463">
        <f t="array" ref="DM89">IFERROR(TRANSPOSE('2.5 Investeringer + vedlikehold'!$D$13:$D$97-'2.5 Investeringer + vedlikehold'!$C$13:$C$97)*(-KPIJustering_Investering),"")</f>
        <v>0</v>
      </c>
      <c r="DN89" s="463">
        <f t="array" ref="DN89">IFERROR(TRANSPOSE('2.5 Investeringer + vedlikehold'!$D$13:$D$97-'2.5 Investeringer + vedlikehold'!$C$13:$C$97)*(-KPIJustering_Investering),"")</f>
        <v>0</v>
      </c>
      <c r="DO89" s="463">
        <f t="array" ref="DO89">IFERROR(TRANSPOSE('2.5 Investeringer + vedlikehold'!$D$13:$D$97-'2.5 Investeringer + vedlikehold'!$C$13:$C$97)*(-KPIJustering_Investering),"")</f>
        <v>0</v>
      </c>
      <c r="DP89" s="463">
        <f t="array" ref="DP89">IFERROR(TRANSPOSE('2.5 Investeringer + vedlikehold'!$D$13:$D$97-'2.5 Investeringer + vedlikehold'!$C$13:$C$97)*(-KPIJustering_Investering),"")</f>
        <v>0</v>
      </c>
      <c r="DQ89" s="463">
        <f t="array" ref="DQ89">IFERROR(TRANSPOSE('2.5 Investeringer + vedlikehold'!$D$13:$D$97-'2.5 Investeringer + vedlikehold'!$C$13:$C$97)*(-KPIJustering_Investering),"")</f>
        <v>0</v>
      </c>
      <c r="DR89" s="463">
        <f t="array" ref="DR89">IFERROR(TRANSPOSE('2.5 Investeringer + vedlikehold'!$D$13:$D$97-'2.5 Investeringer + vedlikehold'!$C$13:$C$97)*(-KPIJustering_Investering),"")</f>
        <v>0</v>
      </c>
      <c r="DS89" s="801">
        <f ca="1">SUMPRODUCT(('1.5 Prognoser og indekser'!$R$12:OFFSET('1.5 Prognoser og indekser'!$R$12,0,$DS$9)),($M89:OFFSET($M89,0,$DS$9)))</f>
        <v>0</v>
      </c>
      <c r="DT89" s="802">
        <f ca="1">IF($DT$9&lt;1,0,SUMPRODUCT(OFFSET('1.5 Prognoser og indekser'!$R$12,0,$DS$9+1,1,$DT$9),OFFSET($M89,0,$DS$9+1,1,$DT$9)))</f>
        <v>0</v>
      </c>
    </row>
    <row r="90" spans="3:124" x14ac:dyDescent="0.35">
      <c r="C90" s="291" t="s">
        <v>1602</v>
      </c>
      <c r="D90" s="791"/>
      <c r="E90" s="791"/>
      <c r="F90" s="791"/>
      <c r="G90" s="791"/>
      <c r="H90" s="791"/>
      <c r="I90" s="791"/>
      <c r="J90" s="463"/>
      <c r="K90" s="463"/>
      <c r="L90" s="752"/>
      <c r="M90" s="463">
        <f t="array" ref="M90:CS90">IF(Investering_Kroneår="",0,IF(-TRANSPOSE('2.5 Investeringer + vedlikehold'!$M$13:$M$97-'2.5 Investeringer + vedlikehold'!$L$13:$L$97)*KPIJustering_Investering=0,"",-TRANSPOSE('2.5 Investeringer + vedlikehold'!$M$13:$M$97-'2.5 Investeringer + vedlikehold'!$L$13:$L$97)*KPIJustering_Investering))</f>
        <v>0</v>
      </c>
      <c r="N90" s="463">
        <v>0</v>
      </c>
      <c r="O90" s="463">
        <v>0</v>
      </c>
      <c r="P90" s="463">
        <v>0</v>
      </c>
      <c r="Q90" s="463">
        <v>0</v>
      </c>
      <c r="R90" s="463">
        <v>0</v>
      </c>
      <c r="S90" s="463">
        <v>0</v>
      </c>
      <c r="T90" s="463">
        <v>0</v>
      </c>
      <c r="U90" s="463">
        <v>0</v>
      </c>
      <c r="V90" s="463">
        <v>0</v>
      </c>
      <c r="W90" s="463">
        <v>0</v>
      </c>
      <c r="X90" s="463">
        <v>0</v>
      </c>
      <c r="Y90" s="463">
        <v>0</v>
      </c>
      <c r="Z90" s="463">
        <v>0</v>
      </c>
      <c r="AA90" s="463">
        <v>0</v>
      </c>
      <c r="AB90" s="463">
        <v>0</v>
      </c>
      <c r="AC90" s="463">
        <v>0</v>
      </c>
      <c r="AD90" s="463">
        <v>0</v>
      </c>
      <c r="AE90" s="463">
        <v>0</v>
      </c>
      <c r="AF90" s="463">
        <v>0</v>
      </c>
      <c r="AG90" s="463">
        <v>0</v>
      </c>
      <c r="AH90" s="463">
        <v>0</v>
      </c>
      <c r="AI90" s="463">
        <v>0</v>
      </c>
      <c r="AJ90" s="463">
        <v>0</v>
      </c>
      <c r="AK90" s="463">
        <v>0</v>
      </c>
      <c r="AL90" s="463">
        <v>0</v>
      </c>
      <c r="AM90" s="463">
        <v>0</v>
      </c>
      <c r="AN90" s="463">
        <v>0</v>
      </c>
      <c r="AO90" s="463">
        <v>0</v>
      </c>
      <c r="AP90" s="463">
        <v>0</v>
      </c>
      <c r="AQ90" s="463">
        <v>0</v>
      </c>
      <c r="AR90" s="463">
        <v>0</v>
      </c>
      <c r="AS90" s="463">
        <v>0</v>
      </c>
      <c r="AT90" s="463">
        <v>0</v>
      </c>
      <c r="AU90" s="463">
        <v>0</v>
      </c>
      <c r="AV90" s="463">
        <v>0</v>
      </c>
      <c r="AW90" s="463">
        <v>0</v>
      </c>
      <c r="AX90" s="463">
        <v>0</v>
      </c>
      <c r="AY90" s="463">
        <v>0</v>
      </c>
      <c r="AZ90" s="463">
        <v>0</v>
      </c>
      <c r="BA90" s="463">
        <v>0</v>
      </c>
      <c r="BB90" s="463">
        <v>0</v>
      </c>
      <c r="BC90" s="463">
        <v>0</v>
      </c>
      <c r="BD90" s="463">
        <v>0</v>
      </c>
      <c r="BE90" s="463">
        <v>0</v>
      </c>
      <c r="BF90" s="463">
        <v>0</v>
      </c>
      <c r="BG90" s="463">
        <v>0</v>
      </c>
      <c r="BH90" s="463">
        <v>0</v>
      </c>
      <c r="BI90" s="463">
        <v>0</v>
      </c>
      <c r="BJ90" s="463">
        <v>0</v>
      </c>
      <c r="BK90" s="463">
        <v>0</v>
      </c>
      <c r="BL90" s="463">
        <v>0</v>
      </c>
      <c r="BM90" s="463">
        <v>0</v>
      </c>
      <c r="BN90" s="463">
        <v>0</v>
      </c>
      <c r="BO90" s="463">
        <v>0</v>
      </c>
      <c r="BP90" s="463">
        <v>0</v>
      </c>
      <c r="BQ90" s="463">
        <v>0</v>
      </c>
      <c r="BR90" s="463">
        <v>0</v>
      </c>
      <c r="BS90" s="463">
        <v>0</v>
      </c>
      <c r="BT90" s="463">
        <v>0</v>
      </c>
      <c r="BU90" s="463">
        <v>0</v>
      </c>
      <c r="BV90" s="463">
        <v>0</v>
      </c>
      <c r="BW90" s="463">
        <v>0</v>
      </c>
      <c r="BX90" s="463">
        <v>0</v>
      </c>
      <c r="BY90" s="463">
        <v>0</v>
      </c>
      <c r="BZ90" s="463">
        <v>0</v>
      </c>
      <c r="CA90" s="463">
        <v>0</v>
      </c>
      <c r="CB90" s="463">
        <v>0</v>
      </c>
      <c r="CC90" s="463">
        <v>0</v>
      </c>
      <c r="CD90" s="463">
        <v>0</v>
      </c>
      <c r="CE90" s="463">
        <v>0</v>
      </c>
      <c r="CF90" s="463">
        <v>0</v>
      </c>
      <c r="CG90" s="463">
        <v>0</v>
      </c>
      <c r="CH90" s="463">
        <v>0</v>
      </c>
      <c r="CI90" s="463">
        <v>0</v>
      </c>
      <c r="CJ90" s="463">
        <v>0</v>
      </c>
      <c r="CK90" s="463">
        <v>0</v>
      </c>
      <c r="CL90" s="463">
        <v>0</v>
      </c>
      <c r="CM90" s="463">
        <v>0</v>
      </c>
      <c r="CN90" s="463">
        <v>0</v>
      </c>
      <c r="CO90" s="463">
        <v>0</v>
      </c>
      <c r="CP90" s="463">
        <v>0</v>
      </c>
      <c r="CQ90" s="463">
        <v>0</v>
      </c>
      <c r="CR90" s="463">
        <v>0</v>
      </c>
      <c r="CS90" s="463">
        <v>0</v>
      </c>
      <c r="CT90" s="463">
        <f t="array" ref="CT90">IF(Investering_Kroneår="",0,IF(-TRANSPOSE('2.5 Investeringer + vedlikehold'!$M$13:$M$97-'2.5 Investeringer + vedlikehold'!$L$13:$L$97)*KPIJustering_Investering=0,"",-TRANSPOSE('2.5 Investeringer + vedlikehold'!$M$13:$M$97-'2.5 Investeringer + vedlikehold'!$L$13:$L$97)*KPIJustering_Investering))</f>
        <v>0</v>
      </c>
      <c r="CU90" s="463">
        <f t="array" ref="CU90">IF(Investering_Kroneår="",0,IF(-TRANSPOSE('2.5 Investeringer + vedlikehold'!$M$13:$M$97-'2.5 Investeringer + vedlikehold'!$L$13:$L$97)*KPIJustering_Investering=0,"",-TRANSPOSE('2.5 Investeringer + vedlikehold'!$M$13:$M$97-'2.5 Investeringer + vedlikehold'!$L$13:$L$97)*KPIJustering_Investering))</f>
        <v>0</v>
      </c>
      <c r="CV90" s="463">
        <f t="array" ref="CV90">IF(Investering_Kroneår="",0,IF(-TRANSPOSE('2.5 Investeringer + vedlikehold'!$M$13:$M$97-'2.5 Investeringer + vedlikehold'!$L$13:$L$97)*KPIJustering_Investering=0,"",-TRANSPOSE('2.5 Investeringer + vedlikehold'!$M$13:$M$97-'2.5 Investeringer + vedlikehold'!$L$13:$L$97)*KPIJustering_Investering))</f>
        <v>0</v>
      </c>
      <c r="CW90" s="463">
        <f t="array" ref="CW90">IF(Investering_Kroneår="",0,IF(-TRANSPOSE('2.5 Investeringer + vedlikehold'!$M$13:$M$97-'2.5 Investeringer + vedlikehold'!$L$13:$L$97)*KPIJustering_Investering=0,"",-TRANSPOSE('2.5 Investeringer + vedlikehold'!$M$13:$M$97-'2.5 Investeringer + vedlikehold'!$L$13:$L$97)*KPIJustering_Investering))</f>
        <v>0</v>
      </c>
      <c r="CX90" s="463">
        <f t="array" ref="CX90">IF(Investering_Kroneår="",0,IF(-TRANSPOSE('2.5 Investeringer + vedlikehold'!$M$13:$M$97-'2.5 Investeringer + vedlikehold'!$L$13:$L$97)*KPIJustering_Investering=0,"",-TRANSPOSE('2.5 Investeringer + vedlikehold'!$M$13:$M$97-'2.5 Investeringer + vedlikehold'!$L$13:$L$97)*KPIJustering_Investering))</f>
        <v>0</v>
      </c>
      <c r="CY90" s="463">
        <f t="array" ref="CY90">IF(Investering_Kroneår="",0,IF(-TRANSPOSE('2.5 Investeringer + vedlikehold'!$M$13:$M$97-'2.5 Investeringer + vedlikehold'!$L$13:$L$97)*KPIJustering_Investering=0,"",-TRANSPOSE('2.5 Investeringer + vedlikehold'!$M$13:$M$97-'2.5 Investeringer + vedlikehold'!$L$13:$L$97)*KPIJustering_Investering))</f>
        <v>0</v>
      </c>
      <c r="CZ90" s="463">
        <f t="array" ref="CZ90">IF(Investering_Kroneår="",0,IF(-TRANSPOSE('2.5 Investeringer + vedlikehold'!$M$13:$M$97-'2.5 Investeringer + vedlikehold'!$L$13:$L$97)*KPIJustering_Investering=0,"",-TRANSPOSE('2.5 Investeringer + vedlikehold'!$M$13:$M$97-'2.5 Investeringer + vedlikehold'!$L$13:$L$97)*KPIJustering_Investering))</f>
        <v>0</v>
      </c>
      <c r="DA90" s="463">
        <f t="array" ref="DA90">IF(Investering_Kroneår="",0,IF(-TRANSPOSE('2.5 Investeringer + vedlikehold'!$M$13:$M$97-'2.5 Investeringer + vedlikehold'!$L$13:$L$97)*KPIJustering_Investering=0,"",-TRANSPOSE('2.5 Investeringer + vedlikehold'!$M$13:$M$97-'2.5 Investeringer + vedlikehold'!$L$13:$L$97)*KPIJustering_Investering))</f>
        <v>0</v>
      </c>
      <c r="DB90" s="463">
        <f t="array" ref="DB90">IF(Investering_Kroneår="",0,IF(-TRANSPOSE('2.5 Investeringer + vedlikehold'!$M$13:$M$97-'2.5 Investeringer + vedlikehold'!$L$13:$L$97)*KPIJustering_Investering=0,"",-TRANSPOSE('2.5 Investeringer + vedlikehold'!$M$13:$M$97-'2.5 Investeringer + vedlikehold'!$L$13:$L$97)*KPIJustering_Investering))</f>
        <v>0</v>
      </c>
      <c r="DC90" s="463">
        <f t="array" ref="DC90">IF(Investering_Kroneår="",0,IF(-TRANSPOSE('2.5 Investeringer + vedlikehold'!$M$13:$M$97-'2.5 Investeringer + vedlikehold'!$L$13:$L$97)*KPIJustering_Investering=0,"",-TRANSPOSE('2.5 Investeringer + vedlikehold'!$M$13:$M$97-'2.5 Investeringer + vedlikehold'!$L$13:$L$97)*KPIJustering_Investering))</f>
        <v>0</v>
      </c>
      <c r="DD90" s="463">
        <f t="array" ref="DD90">IF(Investering_Kroneår="",0,IF(-TRANSPOSE('2.5 Investeringer + vedlikehold'!$M$13:$M$97-'2.5 Investeringer + vedlikehold'!$L$13:$L$97)*KPIJustering_Investering=0,"",-TRANSPOSE('2.5 Investeringer + vedlikehold'!$M$13:$M$97-'2.5 Investeringer + vedlikehold'!$L$13:$L$97)*KPIJustering_Investering))</f>
        <v>0</v>
      </c>
      <c r="DE90" s="463">
        <f t="array" ref="DE90">IF(Investering_Kroneår="",0,IF(-TRANSPOSE('2.5 Investeringer + vedlikehold'!$M$13:$M$97-'2.5 Investeringer + vedlikehold'!$L$13:$L$97)*KPIJustering_Investering=0,"",-TRANSPOSE('2.5 Investeringer + vedlikehold'!$M$13:$M$97-'2.5 Investeringer + vedlikehold'!$L$13:$L$97)*KPIJustering_Investering))</f>
        <v>0</v>
      </c>
      <c r="DF90" s="463">
        <f t="array" ref="DF90">IF(Investering_Kroneår="",0,IF(-TRANSPOSE('2.5 Investeringer + vedlikehold'!$M$13:$M$97-'2.5 Investeringer + vedlikehold'!$L$13:$L$97)*KPIJustering_Investering=0,"",-TRANSPOSE('2.5 Investeringer + vedlikehold'!$M$13:$M$97-'2.5 Investeringer + vedlikehold'!$L$13:$L$97)*KPIJustering_Investering))</f>
        <v>0</v>
      </c>
      <c r="DG90" s="463">
        <f t="array" ref="DG90">IF(Investering_Kroneår="",0,IF(-TRANSPOSE('2.5 Investeringer + vedlikehold'!$M$13:$M$97-'2.5 Investeringer + vedlikehold'!$L$13:$L$97)*KPIJustering_Investering=0,"",-TRANSPOSE('2.5 Investeringer + vedlikehold'!$M$13:$M$97-'2.5 Investeringer + vedlikehold'!$L$13:$L$97)*KPIJustering_Investering))</f>
        <v>0</v>
      </c>
      <c r="DH90" s="463">
        <f t="array" ref="DH90">IF(Investering_Kroneår="",0,IF(-TRANSPOSE('2.5 Investeringer + vedlikehold'!$M$13:$M$97-'2.5 Investeringer + vedlikehold'!$L$13:$L$97)*KPIJustering_Investering=0,"",-TRANSPOSE('2.5 Investeringer + vedlikehold'!$M$13:$M$97-'2.5 Investeringer + vedlikehold'!$L$13:$L$97)*KPIJustering_Investering))</f>
        <v>0</v>
      </c>
      <c r="DI90" s="463">
        <f t="array" ref="DI90">IF(Investering_Kroneår="",0,IF(-TRANSPOSE('2.5 Investeringer + vedlikehold'!$M$13:$M$97-'2.5 Investeringer + vedlikehold'!$L$13:$L$97)*KPIJustering_Investering=0,"",-TRANSPOSE('2.5 Investeringer + vedlikehold'!$M$13:$M$97-'2.5 Investeringer + vedlikehold'!$L$13:$L$97)*KPIJustering_Investering))</f>
        <v>0</v>
      </c>
      <c r="DJ90" s="463">
        <f t="array" ref="DJ90">IF(Investering_Kroneår="",0,IF(-TRANSPOSE('2.5 Investeringer + vedlikehold'!$M$13:$M$97-'2.5 Investeringer + vedlikehold'!$L$13:$L$97)*KPIJustering_Investering=0,"",-TRANSPOSE('2.5 Investeringer + vedlikehold'!$M$13:$M$97-'2.5 Investeringer + vedlikehold'!$L$13:$L$97)*KPIJustering_Investering))</f>
        <v>0</v>
      </c>
      <c r="DK90" s="463">
        <f t="array" ref="DK90">IF(Investering_Kroneår="",0,IF(-TRANSPOSE('2.5 Investeringer + vedlikehold'!$M$13:$M$97-'2.5 Investeringer + vedlikehold'!$L$13:$L$97)*KPIJustering_Investering=0,"",-TRANSPOSE('2.5 Investeringer + vedlikehold'!$M$13:$M$97-'2.5 Investeringer + vedlikehold'!$L$13:$L$97)*KPIJustering_Investering))</f>
        <v>0</v>
      </c>
      <c r="DL90" s="463">
        <f t="array" ref="DL90">IF(Investering_Kroneår="",0,IF(-TRANSPOSE('2.5 Investeringer + vedlikehold'!$M$13:$M$97-'2.5 Investeringer + vedlikehold'!$L$13:$L$97)*KPIJustering_Investering=0,"",-TRANSPOSE('2.5 Investeringer + vedlikehold'!$M$13:$M$97-'2.5 Investeringer + vedlikehold'!$L$13:$L$97)*KPIJustering_Investering))</f>
        <v>0</v>
      </c>
      <c r="DM90" s="463">
        <f t="array" ref="DM90">IF(Investering_Kroneår="",0,IF(-TRANSPOSE('2.5 Investeringer + vedlikehold'!$M$13:$M$97-'2.5 Investeringer + vedlikehold'!$L$13:$L$97)*KPIJustering_Investering=0,"",-TRANSPOSE('2.5 Investeringer + vedlikehold'!$M$13:$M$97-'2.5 Investeringer + vedlikehold'!$L$13:$L$97)*KPIJustering_Investering))</f>
        <v>0</v>
      </c>
      <c r="DN90" s="463">
        <f t="array" ref="DN90">IF(Investering_Kroneår="",0,IF(-TRANSPOSE('2.5 Investeringer + vedlikehold'!$M$13:$M$97-'2.5 Investeringer + vedlikehold'!$L$13:$L$97)*KPIJustering_Investering=0,"",-TRANSPOSE('2.5 Investeringer + vedlikehold'!$M$13:$M$97-'2.5 Investeringer + vedlikehold'!$L$13:$L$97)*KPIJustering_Investering))</f>
        <v>0</v>
      </c>
      <c r="DO90" s="463">
        <f t="array" ref="DO90">IF(Investering_Kroneår="",0,IF(-TRANSPOSE('2.5 Investeringer + vedlikehold'!$M$13:$M$97-'2.5 Investeringer + vedlikehold'!$L$13:$L$97)*KPIJustering_Investering=0,"",-TRANSPOSE('2.5 Investeringer + vedlikehold'!$M$13:$M$97-'2.5 Investeringer + vedlikehold'!$L$13:$L$97)*KPIJustering_Investering))</f>
        <v>0</v>
      </c>
      <c r="DP90" s="463">
        <f t="array" ref="DP90">IF(Investering_Kroneår="",0,IF(-TRANSPOSE('2.5 Investeringer + vedlikehold'!$M$13:$M$97-'2.5 Investeringer + vedlikehold'!$L$13:$L$97)*KPIJustering_Investering=0,"",-TRANSPOSE('2.5 Investeringer + vedlikehold'!$M$13:$M$97-'2.5 Investeringer + vedlikehold'!$L$13:$L$97)*KPIJustering_Investering))</f>
        <v>0</v>
      </c>
      <c r="DQ90" s="463">
        <f t="array" ref="DQ90">IF(Investering_Kroneår="",0,IF(-TRANSPOSE('2.5 Investeringer + vedlikehold'!$M$13:$M$97-'2.5 Investeringer + vedlikehold'!$L$13:$L$97)*KPIJustering_Investering=0,"",-TRANSPOSE('2.5 Investeringer + vedlikehold'!$M$13:$M$97-'2.5 Investeringer + vedlikehold'!$L$13:$L$97)*KPIJustering_Investering))</f>
        <v>0</v>
      </c>
      <c r="DR90" s="463">
        <f t="array" ref="DR90">IF(Investering_Kroneår="",0,IF(-TRANSPOSE('2.5 Investeringer + vedlikehold'!$M$13:$M$97-'2.5 Investeringer + vedlikehold'!$L$13:$L$97)*KPIJustering_Investering=0,"",-TRANSPOSE('2.5 Investeringer + vedlikehold'!$M$13:$M$97-'2.5 Investeringer + vedlikehold'!$L$13:$L$97)*KPIJustering_Investering))</f>
        <v>0</v>
      </c>
      <c r="DS90" s="801">
        <f ca="1">SUMPRODUCT(('1.5 Prognoser og indekser'!$R$12:OFFSET('1.5 Prognoser og indekser'!$R$12,0,$DS$9)),($M90:OFFSET($M90,0,$DS$9)))</f>
        <v>0</v>
      </c>
      <c r="DT90" s="802">
        <f ca="1">IF($DT$9&lt;1,0,SUMPRODUCT(OFFSET('1.5 Prognoser og indekser'!$R$12,0,$DS$9+1,1,$DT$9),OFFSET($M90,0,$DS$9+1,1,$DT$9)))</f>
        <v>0</v>
      </c>
    </row>
    <row r="91" spans="3:124" x14ac:dyDescent="0.35">
      <c r="C91" s="215" t="s">
        <v>1603</v>
      </c>
      <c r="D91" s="979"/>
      <c r="E91" s="979"/>
      <c r="F91" s="979"/>
      <c r="G91" s="979"/>
      <c r="H91" s="979"/>
      <c r="I91" s="979"/>
      <c r="J91" s="20"/>
      <c r="K91" s="20"/>
      <c r="L91" s="41"/>
      <c r="M91" s="20"/>
      <c r="N91" s="20"/>
      <c r="O91" s="20"/>
      <c r="P91" s="20"/>
      <c r="Q91" s="20"/>
      <c r="R91" s="20"/>
      <c r="S91" s="20"/>
      <c r="T91" s="20"/>
      <c r="U91" s="20"/>
      <c r="V91" s="20"/>
      <c r="W91" s="20"/>
      <c r="X91" s="20"/>
      <c r="Y91" s="20"/>
      <c r="Z91" s="20"/>
      <c r="AA91" s="20"/>
      <c r="AB91" s="20"/>
      <c r="AC91" s="20"/>
      <c r="AD91" s="20"/>
      <c r="AE91" s="20"/>
      <c r="AF91" s="20"/>
      <c r="AG91" s="20"/>
      <c r="AH91" s="20"/>
      <c r="AI91" s="20"/>
      <c r="AJ91" s="20"/>
      <c r="AK91" s="20"/>
      <c r="AL91" s="20"/>
      <c r="AM91" s="20"/>
      <c r="AN91" s="20"/>
      <c r="AO91" s="20"/>
      <c r="AP91" s="20"/>
      <c r="AQ91" s="20"/>
      <c r="AR91" s="20"/>
      <c r="AS91" s="20"/>
      <c r="AT91" s="20"/>
      <c r="AU91" s="20"/>
      <c r="AV91" s="20"/>
      <c r="AW91" s="20"/>
      <c r="AX91" s="20"/>
      <c r="AY91" s="20"/>
      <c r="AZ91" s="20"/>
      <c r="BA91" s="20"/>
      <c r="BB91" s="20"/>
      <c r="BC91" s="20"/>
      <c r="BD91" s="20"/>
      <c r="BE91" s="20"/>
      <c r="BF91" s="20"/>
      <c r="BG91" s="20"/>
      <c r="BH91" s="20"/>
      <c r="BI91" s="20"/>
      <c r="BJ91" s="20"/>
      <c r="BK91" s="20"/>
      <c r="BL91" s="20"/>
      <c r="BM91" s="20"/>
      <c r="BN91" s="20"/>
      <c r="BO91" s="20"/>
      <c r="BP91" s="20"/>
      <c r="BQ91" s="20"/>
      <c r="BR91" s="20"/>
      <c r="BS91" s="20"/>
      <c r="BT91" s="20"/>
      <c r="BU91" s="20"/>
      <c r="BV91" s="20"/>
      <c r="BW91" s="20"/>
      <c r="BX91" s="20"/>
      <c r="BY91" s="20"/>
      <c r="BZ91" s="20"/>
      <c r="CA91" s="20"/>
      <c r="CB91" s="20"/>
      <c r="CC91" s="20"/>
      <c r="CD91" s="20"/>
      <c r="CE91" s="20"/>
      <c r="CF91" s="20"/>
      <c r="CG91" s="20"/>
      <c r="CH91" s="20"/>
      <c r="CI91" s="20"/>
      <c r="CJ91" s="20"/>
      <c r="CK91" s="20"/>
      <c r="CL91" s="20"/>
      <c r="CM91" s="20"/>
      <c r="CN91" s="20"/>
      <c r="CO91" s="20"/>
      <c r="CP91" s="20"/>
      <c r="CQ91" s="20"/>
      <c r="CR91" s="20"/>
      <c r="CS91" s="20"/>
      <c r="CT91" s="20"/>
      <c r="CU91" s="20"/>
      <c r="CV91" s="20"/>
      <c r="CW91" s="20"/>
      <c r="CX91" s="20"/>
      <c r="CY91" s="20"/>
      <c r="CZ91" s="20"/>
      <c r="DA91" s="20"/>
      <c r="DB91" s="20"/>
      <c r="DC91" s="20"/>
      <c r="DD91" s="20"/>
      <c r="DE91" s="20"/>
      <c r="DF91" s="20"/>
      <c r="DG91" s="20"/>
      <c r="DH91" s="20"/>
      <c r="DI91" s="20"/>
      <c r="DJ91" s="20"/>
      <c r="DK91" s="20"/>
      <c r="DL91" s="20"/>
      <c r="DM91" s="20"/>
      <c r="DN91" s="20"/>
      <c r="DO91" s="20"/>
      <c r="DP91" s="20"/>
      <c r="DQ91" s="20"/>
      <c r="DR91" s="20"/>
      <c r="DS91" s="8"/>
      <c r="DT91" s="259"/>
    </row>
    <row r="92" spans="3:124" x14ac:dyDescent="0.35">
      <c r="C92" s="291" t="s">
        <v>1604</v>
      </c>
      <c r="D92" s="463">
        <f>D26*Skattefinansieringsfaktor_utbytte</f>
        <v>0</v>
      </c>
      <c r="E92" s="463">
        <f>E26*Skattefinansieringsfaktor_utbytte</f>
        <v>0</v>
      </c>
      <c r="F92" s="463">
        <f>F26*Skattefinansieringsfaktor_utbytte</f>
        <v>0</v>
      </c>
      <c r="G92" s="463"/>
      <c r="H92" s="791"/>
      <c r="I92" s="791"/>
      <c r="J92" s="463">
        <f>IF(Antall_Beregningsår&lt;2,1,IF(AND(D92=0,E92=0),1,IF(SIGN(D92)=SIGN(E92),(E92/D92)^(1/(AndreBeregningsår-FørsteBeregningsår)),((E92+1.1*ABS(D92-E92))/(D92+1.1*ABS(D92-E92)))^(1/(AndreBeregningsår-FørsteBeregningsår)))))</f>
        <v>1</v>
      </c>
      <c r="K92" s="463">
        <f>IF(Antall_Beregningsår&lt;3,1,IF(AND(E92=0,F92=0),1,IF(SIGN(E92)=SIGN(F92),(F92/E92)^(1/(TredjeBeregningsår-AndreBeregningsår)),((F92+1.1*ABS(E92-F92))/(E92+1.1*ABS(E92-F92)))^(1/(TredjeBeregningsår-AndreBeregningsår)))))</f>
        <v>1</v>
      </c>
      <c r="L92" s="752">
        <f>IF(Framskrivning="Lineær trend",IF(Antall_Beregningsår&gt;2,(F92-E92)/(TredjeBeregningsår-AndreBeregningsår),IF(Antall_Beregningsår&gt;1,(E92-D92)/(AndreBeregningsår-FørsteBeregningsår),0)),0)</f>
        <v>0</v>
      </c>
      <c r="M92" s="463">
        <f>IF(M87&lt;=(Åpningsår+ProsjektetsLevetid-1),SUM('3.1 Nyttestrøm'!M26:M26)*Skattefinansieringsfaktor_utbytte,"")</f>
        <v>0</v>
      </c>
      <c r="N92" s="463">
        <f>IF(N87&lt;=(Åpningsår+ProsjektetsLevetid-1),SUM('3.1 Nyttestrøm'!N26:N26)*Skattefinansieringsfaktor_utbytte,"")</f>
        <v>0</v>
      </c>
      <c r="O92" s="463">
        <f>IF(O87&lt;=(Åpningsår+ProsjektetsLevetid-1),SUM('3.1 Nyttestrøm'!O26:O26)*Skattefinansieringsfaktor_utbytte,"")</f>
        <v>0</v>
      </c>
      <c r="P92" s="463">
        <f>IF(P87&lt;=(Åpningsår+ProsjektetsLevetid-1),SUM('3.1 Nyttestrøm'!P26:P26)*Skattefinansieringsfaktor_utbytte,"")</f>
        <v>0</v>
      </c>
      <c r="Q92" s="463">
        <f>IF(Q87&lt;=(Åpningsår+ProsjektetsLevetid-1),SUM('3.1 Nyttestrøm'!Q26:Q26)*Skattefinansieringsfaktor_utbytte,"")</f>
        <v>0</v>
      </c>
      <c r="R92" s="463">
        <f>IF(R87&lt;=(Åpningsår+ProsjektetsLevetid-1),SUM('3.1 Nyttestrøm'!R26:R26)*Skattefinansieringsfaktor_utbytte,"")</f>
        <v>0</v>
      </c>
      <c r="S92" s="463">
        <f>IF(S87&lt;=(Åpningsår+ProsjektetsLevetid-1),SUM('3.1 Nyttestrøm'!S26:S26)*Skattefinansieringsfaktor_utbytte,"")</f>
        <v>0</v>
      </c>
      <c r="T92" s="463">
        <f>IF(T87&lt;=(Åpningsår+ProsjektetsLevetid-1),SUM('3.1 Nyttestrøm'!T26:T26)*Skattefinansieringsfaktor_utbytte,"")</f>
        <v>0</v>
      </c>
      <c r="U92" s="463">
        <f>IF(U87&lt;=(Åpningsår+ProsjektetsLevetid-1),SUM('3.1 Nyttestrøm'!U26:U26)*Skattefinansieringsfaktor_utbytte,"")</f>
        <v>0</v>
      </c>
      <c r="V92" s="463">
        <f>IF(V87&lt;=(Åpningsår+ProsjektetsLevetid-1),SUM('3.1 Nyttestrøm'!V26:V26)*Skattefinansieringsfaktor_utbytte,"")</f>
        <v>0</v>
      </c>
      <c r="W92" s="463" t="str">
        <f>IF(W87&lt;=(Åpningsår+ProsjektetsLevetid-1),SUM('3.1 Nyttestrøm'!W26:W26)*Skattefinansieringsfaktor_utbytte,"")</f>
        <v/>
      </c>
      <c r="X92" s="463" t="str">
        <f>IF(X87&lt;=(Åpningsår+ProsjektetsLevetid-1),SUM('3.1 Nyttestrøm'!X26:X26)*Skattefinansieringsfaktor_utbytte,"")</f>
        <v/>
      </c>
      <c r="Y92" s="463" t="str">
        <f>IF(Y87&lt;=(Åpningsår+ProsjektetsLevetid-1),SUM('3.1 Nyttestrøm'!Y26:Y26)*Skattefinansieringsfaktor_utbytte,"")</f>
        <v/>
      </c>
      <c r="Z92" s="463" t="str">
        <f>IF(Z87&lt;=(Åpningsår+ProsjektetsLevetid-1),SUM('3.1 Nyttestrøm'!Z26:Z26)*Skattefinansieringsfaktor_utbytte,"")</f>
        <v/>
      </c>
      <c r="AA92" s="463" t="str">
        <f>IF(AA87&lt;=(Åpningsår+ProsjektetsLevetid-1),SUM('3.1 Nyttestrøm'!AA26:AA26)*Skattefinansieringsfaktor_utbytte,"")</f>
        <v/>
      </c>
      <c r="AB92" s="463" t="str">
        <f>IF(AB87&lt;=(Åpningsår+ProsjektetsLevetid-1),SUM('3.1 Nyttestrøm'!AB26:AB26)*Skattefinansieringsfaktor_utbytte,"")</f>
        <v/>
      </c>
      <c r="AC92" s="463" t="str">
        <f>IF(AC87&lt;=(Åpningsår+ProsjektetsLevetid-1),SUM('3.1 Nyttestrøm'!AC26:AC26)*Skattefinansieringsfaktor_utbytte,"")</f>
        <v/>
      </c>
      <c r="AD92" s="463" t="str">
        <f>IF(AD87&lt;=(Åpningsår+ProsjektetsLevetid-1),SUM('3.1 Nyttestrøm'!AD26:AD26)*Skattefinansieringsfaktor_utbytte,"")</f>
        <v/>
      </c>
      <c r="AE92" s="463" t="str">
        <f>IF(AE87&lt;=(Åpningsår+ProsjektetsLevetid-1),SUM('3.1 Nyttestrøm'!AE26:AE26)*Skattefinansieringsfaktor_utbytte,"")</f>
        <v/>
      </c>
      <c r="AF92" s="463" t="str">
        <f>IF(AF87&lt;=(Åpningsår+ProsjektetsLevetid-1),SUM('3.1 Nyttestrøm'!AF26:AF26)*Skattefinansieringsfaktor_utbytte,"")</f>
        <v/>
      </c>
      <c r="AG92" s="463" t="str">
        <f>IF(AG87&lt;=(Åpningsår+ProsjektetsLevetid-1),SUM('3.1 Nyttestrøm'!AG26:AG26)*Skattefinansieringsfaktor_utbytte,"")</f>
        <v/>
      </c>
      <c r="AH92" s="463" t="str">
        <f>IF(AH87&lt;=(Åpningsår+ProsjektetsLevetid-1),SUM('3.1 Nyttestrøm'!AH26:AH26)*Skattefinansieringsfaktor_utbytte,"")</f>
        <v/>
      </c>
      <c r="AI92" s="463" t="str">
        <f>IF(AI87&lt;=(Åpningsår+ProsjektetsLevetid-1),SUM('3.1 Nyttestrøm'!AI26:AI26)*Skattefinansieringsfaktor_utbytte,"")</f>
        <v/>
      </c>
      <c r="AJ92" s="463" t="str">
        <f>IF(AJ87&lt;=(Åpningsår+ProsjektetsLevetid-1),SUM('3.1 Nyttestrøm'!AJ26:AJ26)*Skattefinansieringsfaktor_utbytte,"")</f>
        <v/>
      </c>
      <c r="AK92" s="463" t="str">
        <f>IF(AK87&lt;=(Åpningsår+ProsjektetsLevetid-1),SUM('3.1 Nyttestrøm'!AK26:AK26)*Skattefinansieringsfaktor_utbytte,"")</f>
        <v/>
      </c>
      <c r="AL92" s="463" t="str">
        <f>IF(AL87&lt;=(Åpningsår+ProsjektetsLevetid-1),SUM('3.1 Nyttestrøm'!AL26:AL26)*Skattefinansieringsfaktor_utbytte,"")</f>
        <v/>
      </c>
      <c r="AM92" s="463" t="str">
        <f>IF(AM87&lt;=(Åpningsår+ProsjektetsLevetid-1),SUM('3.1 Nyttestrøm'!AM26:AM26)*Skattefinansieringsfaktor_utbytte,"")</f>
        <v/>
      </c>
      <c r="AN92" s="463" t="str">
        <f>IF(AN87&lt;=(Åpningsår+ProsjektetsLevetid-1),SUM('3.1 Nyttestrøm'!AN26:AN26)*Skattefinansieringsfaktor_utbytte,"")</f>
        <v/>
      </c>
      <c r="AO92" s="463" t="str">
        <f>IF(AO87&lt;=(Åpningsår+ProsjektetsLevetid-1),SUM('3.1 Nyttestrøm'!AO26:AO26)*Skattefinansieringsfaktor_utbytte,"")</f>
        <v/>
      </c>
      <c r="AP92" s="463" t="str">
        <f>IF(AP87&lt;=(Åpningsår+ProsjektetsLevetid-1),SUM('3.1 Nyttestrøm'!AP26:AP26)*Skattefinansieringsfaktor_utbytte,"")</f>
        <v/>
      </c>
      <c r="AQ92" s="463" t="str">
        <f>IF(AQ87&lt;=(Åpningsår+ProsjektetsLevetid-1),SUM('3.1 Nyttestrøm'!AQ26:AQ26)*Skattefinansieringsfaktor_utbytte,"")</f>
        <v/>
      </c>
      <c r="AR92" s="463" t="str">
        <f>IF(AR87&lt;=(Åpningsår+ProsjektetsLevetid-1),SUM('3.1 Nyttestrøm'!AR26:AR26)*Skattefinansieringsfaktor_utbytte,"")</f>
        <v/>
      </c>
      <c r="AS92" s="463" t="str">
        <f>IF(AS87&lt;=(Åpningsår+ProsjektetsLevetid-1),SUM('3.1 Nyttestrøm'!AS26:AS26)*Skattefinansieringsfaktor_utbytte,"")</f>
        <v/>
      </c>
      <c r="AT92" s="463" t="str">
        <f>IF(AT87&lt;=(Åpningsår+ProsjektetsLevetid-1),SUM('3.1 Nyttestrøm'!AT26:AT26)*Skattefinansieringsfaktor_utbytte,"")</f>
        <v/>
      </c>
      <c r="AU92" s="463" t="str">
        <f>IF(AU87&lt;=(Åpningsår+ProsjektetsLevetid-1),SUM('3.1 Nyttestrøm'!AU26:AU26)*Skattefinansieringsfaktor_utbytte,"")</f>
        <v/>
      </c>
      <c r="AV92" s="463" t="str">
        <f>IF(AV87&lt;=(Åpningsår+ProsjektetsLevetid-1),SUM('3.1 Nyttestrøm'!AV26:AV26)*Skattefinansieringsfaktor_utbytte,"")</f>
        <v/>
      </c>
      <c r="AW92" s="463" t="str">
        <f>IF(AW87&lt;=(Åpningsår+ProsjektetsLevetid-1),SUM('3.1 Nyttestrøm'!AW26:AW26)*Skattefinansieringsfaktor_utbytte,"")</f>
        <v/>
      </c>
      <c r="AX92" s="463" t="str">
        <f>IF(AX87&lt;=(Åpningsår+ProsjektetsLevetid-1),SUM('3.1 Nyttestrøm'!AX26:AX26)*Skattefinansieringsfaktor_utbytte,"")</f>
        <v/>
      </c>
      <c r="AY92" s="463" t="str">
        <f>IF(AY87&lt;=(Åpningsår+ProsjektetsLevetid-1),SUM('3.1 Nyttestrøm'!AY26:AY26)*Skattefinansieringsfaktor_utbytte,"")</f>
        <v/>
      </c>
      <c r="AZ92" s="463" t="str">
        <f>IF(AZ87&lt;=(Åpningsår+ProsjektetsLevetid-1),SUM('3.1 Nyttestrøm'!AZ26:AZ26)*Skattefinansieringsfaktor_utbytte,"")</f>
        <v/>
      </c>
      <c r="BA92" s="463" t="str">
        <f>IF(BA87&lt;=(Åpningsår+ProsjektetsLevetid-1),SUM('3.1 Nyttestrøm'!BA26:BA26)*Skattefinansieringsfaktor_utbytte,"")</f>
        <v/>
      </c>
      <c r="BB92" s="463" t="str">
        <f>IF(BB87&lt;=(Åpningsår+ProsjektetsLevetid-1),SUM('3.1 Nyttestrøm'!BB26:BB26)*Skattefinansieringsfaktor_utbytte,"")</f>
        <v/>
      </c>
      <c r="BC92" s="463" t="str">
        <f>IF(BC87&lt;=(Åpningsår+ProsjektetsLevetid-1),SUM('3.1 Nyttestrøm'!BC26:BC26)*Skattefinansieringsfaktor_utbytte,"")</f>
        <v/>
      </c>
      <c r="BD92" s="463" t="str">
        <f>IF(BD87&lt;=(Åpningsår+ProsjektetsLevetid-1),SUM('3.1 Nyttestrøm'!BD26:BD26)*Skattefinansieringsfaktor_utbytte,"")</f>
        <v/>
      </c>
      <c r="BE92" s="463" t="str">
        <f>IF(BE87&lt;=(Åpningsår+ProsjektetsLevetid-1),SUM('3.1 Nyttestrøm'!BE26:BE26)*Skattefinansieringsfaktor_utbytte,"")</f>
        <v/>
      </c>
      <c r="BF92" s="463" t="str">
        <f>IF(BF87&lt;=(Åpningsår+ProsjektetsLevetid-1),SUM('3.1 Nyttestrøm'!BF26:BF26)*Skattefinansieringsfaktor_utbytte,"")</f>
        <v/>
      </c>
      <c r="BG92" s="463" t="str">
        <f>IF(BG87&lt;=(Åpningsår+ProsjektetsLevetid-1),SUM('3.1 Nyttestrøm'!BG26:BG26)*Skattefinansieringsfaktor_utbytte,"")</f>
        <v/>
      </c>
      <c r="BH92" s="463" t="str">
        <f>IF(BH87&lt;=(Åpningsår+ProsjektetsLevetid-1),SUM('3.1 Nyttestrøm'!BH26:BH26)*Skattefinansieringsfaktor_utbytte,"")</f>
        <v/>
      </c>
      <c r="BI92" s="463" t="str">
        <f>IF(BI87&lt;=(Åpningsår+ProsjektetsLevetid-1),SUM('3.1 Nyttestrøm'!BI26:BI26)*Skattefinansieringsfaktor_utbytte,"")</f>
        <v/>
      </c>
      <c r="BJ92" s="463" t="str">
        <f>IF(BJ87&lt;=(Åpningsår+ProsjektetsLevetid-1),SUM('3.1 Nyttestrøm'!BJ26:BJ26)*Skattefinansieringsfaktor_utbytte,"")</f>
        <v/>
      </c>
      <c r="BK92" s="463" t="str">
        <f>IF(BK87&lt;=(Åpningsår+ProsjektetsLevetid-1),SUM('3.1 Nyttestrøm'!BK26:BK26)*Skattefinansieringsfaktor_utbytte,"")</f>
        <v/>
      </c>
      <c r="BL92" s="463" t="str">
        <f>IF(BL87&lt;=(Åpningsår+ProsjektetsLevetid-1),SUM('3.1 Nyttestrøm'!BL26:BL26)*Skattefinansieringsfaktor_utbytte,"")</f>
        <v/>
      </c>
      <c r="BM92" s="463" t="str">
        <f>IF(BM87&lt;=(Åpningsår+ProsjektetsLevetid-1),SUM('3.1 Nyttestrøm'!BM26:BM26)*Skattefinansieringsfaktor_utbytte,"")</f>
        <v/>
      </c>
      <c r="BN92" s="463" t="str">
        <f>IF(BN87&lt;=(Åpningsår+ProsjektetsLevetid-1),SUM('3.1 Nyttestrøm'!BN26:BN26)*Skattefinansieringsfaktor_utbytte,"")</f>
        <v/>
      </c>
      <c r="BO92" s="463" t="str">
        <f>IF(BO87&lt;=(Åpningsår+ProsjektetsLevetid-1),SUM('3.1 Nyttestrøm'!BO26:BO26)*Skattefinansieringsfaktor_utbytte,"")</f>
        <v/>
      </c>
      <c r="BP92" s="463" t="str">
        <f>IF(BP87&lt;=(Åpningsår+ProsjektetsLevetid-1),SUM('3.1 Nyttestrøm'!BP26:BP26)*Skattefinansieringsfaktor_utbytte,"")</f>
        <v/>
      </c>
      <c r="BQ92" s="463" t="str">
        <f>IF(BQ87&lt;=(Åpningsår+ProsjektetsLevetid-1),SUM('3.1 Nyttestrøm'!BQ26:BQ26)*Skattefinansieringsfaktor_utbytte,"")</f>
        <v/>
      </c>
      <c r="BR92" s="463" t="str">
        <f>IF(BR87&lt;=(Åpningsår+ProsjektetsLevetid-1),SUM('3.1 Nyttestrøm'!BR26:BR26)*Skattefinansieringsfaktor_utbytte,"")</f>
        <v/>
      </c>
      <c r="BS92" s="463" t="str">
        <f>IF(BS87&lt;=(Åpningsår+ProsjektetsLevetid-1),SUM('3.1 Nyttestrøm'!BS26:BS26)*Skattefinansieringsfaktor_utbytte,"")</f>
        <v/>
      </c>
      <c r="BT92" s="463" t="str">
        <f>IF(BT87&lt;=(Åpningsår+ProsjektetsLevetid-1),SUM('3.1 Nyttestrøm'!BT26:BT26)*Skattefinansieringsfaktor_utbytte,"")</f>
        <v/>
      </c>
      <c r="BU92" s="463" t="str">
        <f>IF(BU87&lt;=(Åpningsår+ProsjektetsLevetid-1),SUM('3.1 Nyttestrøm'!BU26:BU26)*Skattefinansieringsfaktor_utbytte,"")</f>
        <v/>
      </c>
      <c r="BV92" s="463" t="str">
        <f>IF(BV87&lt;=(Åpningsår+ProsjektetsLevetid-1),SUM('3.1 Nyttestrøm'!BV26:BV26)*Skattefinansieringsfaktor_utbytte,"")</f>
        <v/>
      </c>
      <c r="BW92" s="463" t="str">
        <f>IF(BW87&lt;=(Åpningsår+ProsjektetsLevetid-1),SUM('3.1 Nyttestrøm'!BW26:BW26)*Skattefinansieringsfaktor_utbytte,"")</f>
        <v/>
      </c>
      <c r="BX92" s="463" t="str">
        <f>IF(BX87&lt;=(Åpningsår+ProsjektetsLevetid-1),SUM('3.1 Nyttestrøm'!BX26:BX26)*Skattefinansieringsfaktor_utbytte,"")</f>
        <v/>
      </c>
      <c r="BY92" s="463" t="str">
        <f>IF(BY87&lt;=(Åpningsår+ProsjektetsLevetid-1),SUM('3.1 Nyttestrøm'!BY26:BY26)*Skattefinansieringsfaktor_utbytte,"")</f>
        <v/>
      </c>
      <c r="BZ92" s="463" t="str">
        <f>IF(BZ87&lt;=(Åpningsår+ProsjektetsLevetid-1),SUM('3.1 Nyttestrøm'!BZ26:BZ26)*Skattefinansieringsfaktor_utbytte,"")</f>
        <v/>
      </c>
      <c r="CA92" s="463" t="str">
        <f>IF(CA87&lt;=(Åpningsår+ProsjektetsLevetid-1),SUM('3.1 Nyttestrøm'!CA26:CA26)*Skattefinansieringsfaktor_utbytte,"")</f>
        <v/>
      </c>
      <c r="CB92" s="463" t="str">
        <f>IF(CB87&lt;=(Åpningsår+ProsjektetsLevetid-1),SUM('3.1 Nyttestrøm'!CB26:CB26)*Skattefinansieringsfaktor_utbytte,"")</f>
        <v/>
      </c>
      <c r="CC92" s="463" t="str">
        <f>IF(CC87&lt;=(Åpningsår+ProsjektetsLevetid-1),SUM('3.1 Nyttestrøm'!CC26:CC26)*Skattefinansieringsfaktor_utbytte,"")</f>
        <v/>
      </c>
      <c r="CD92" s="463" t="str">
        <f>IF(CD87&lt;=(Åpningsår+ProsjektetsLevetid-1),SUM('3.1 Nyttestrøm'!CD26:CD26)*Skattefinansieringsfaktor_utbytte,"")</f>
        <v/>
      </c>
      <c r="CE92" s="463" t="str">
        <f>IF(CE87&lt;=(Åpningsår+ProsjektetsLevetid-1),SUM('3.1 Nyttestrøm'!CE26:CE26)*Skattefinansieringsfaktor_utbytte,"")</f>
        <v/>
      </c>
      <c r="CF92" s="463" t="str">
        <f>IF(CF87&lt;=(Åpningsår+ProsjektetsLevetid-1),SUM('3.1 Nyttestrøm'!CF26:CF26)*Skattefinansieringsfaktor_utbytte,"")</f>
        <v/>
      </c>
      <c r="CG92" s="463" t="str">
        <f>IF(CG87&lt;=(Åpningsår+ProsjektetsLevetid-1),SUM('3.1 Nyttestrøm'!CG26:CG26)*Skattefinansieringsfaktor_utbytte,"")</f>
        <v/>
      </c>
      <c r="CH92" s="463" t="str">
        <f>IF(CH87&lt;=(Åpningsår+ProsjektetsLevetid-1),SUM('3.1 Nyttestrøm'!CH26:CH26)*Skattefinansieringsfaktor_utbytte,"")</f>
        <v/>
      </c>
      <c r="CI92" s="463" t="str">
        <f>IF(CI87&lt;=(Åpningsår+ProsjektetsLevetid-1),SUM('3.1 Nyttestrøm'!CI26:CI26)*Skattefinansieringsfaktor_utbytte,"")</f>
        <v/>
      </c>
      <c r="CJ92" s="463" t="str">
        <f>IF(CJ87&lt;=(Åpningsår+ProsjektetsLevetid-1),SUM('3.1 Nyttestrøm'!CJ26:CJ26)*Skattefinansieringsfaktor_utbytte,"")</f>
        <v/>
      </c>
      <c r="CK92" s="463" t="str">
        <f>IF(CK87&lt;=(Åpningsår+ProsjektetsLevetid-1),SUM('3.1 Nyttestrøm'!CK26:CK26)*Skattefinansieringsfaktor_utbytte,"")</f>
        <v/>
      </c>
      <c r="CL92" s="463" t="str">
        <f>IF(CL87&lt;=(Åpningsår+ProsjektetsLevetid-1),SUM('3.1 Nyttestrøm'!CL26:CL26)*Skattefinansieringsfaktor_utbytte,"")</f>
        <v/>
      </c>
      <c r="CM92" s="463" t="str">
        <f>IF(CM87&lt;=(Åpningsår+ProsjektetsLevetid-1),SUM('3.1 Nyttestrøm'!CM26:CM26)*Skattefinansieringsfaktor_utbytte,"")</f>
        <v/>
      </c>
      <c r="CN92" s="463" t="str">
        <f>IF(CN87&lt;=(Åpningsår+ProsjektetsLevetid-1),SUM('3.1 Nyttestrøm'!CN26:CN26)*Skattefinansieringsfaktor_utbytte,"")</f>
        <v/>
      </c>
      <c r="CO92" s="463" t="str">
        <f>IF(CO87&lt;=(Åpningsår+ProsjektetsLevetid-1),SUM('3.1 Nyttestrøm'!CO26:CO26)*Skattefinansieringsfaktor_utbytte,"")</f>
        <v/>
      </c>
      <c r="CP92" s="463" t="str">
        <f>IF(CP87&lt;=(Åpningsår+ProsjektetsLevetid-1),SUM('3.1 Nyttestrøm'!CP26:CP26)*Skattefinansieringsfaktor_utbytte,"")</f>
        <v/>
      </c>
      <c r="CQ92" s="463" t="str">
        <f>IF(CQ87&lt;=(Åpningsår+ProsjektetsLevetid-1),SUM('3.1 Nyttestrøm'!CQ26:CQ26)*Skattefinansieringsfaktor_utbytte,"")</f>
        <v/>
      </c>
      <c r="CR92" s="463" t="str">
        <f>IF(CR87&lt;=(Åpningsår+ProsjektetsLevetid-1),SUM('3.1 Nyttestrøm'!CR26:CR26)*Skattefinansieringsfaktor_utbytte,"")</f>
        <v/>
      </c>
      <c r="CS92" s="463" t="str">
        <f>IF(CS87&lt;=(Åpningsår+ProsjektetsLevetid-1),SUM('3.1 Nyttestrøm'!CS26:CS26)*Skattefinansieringsfaktor_utbytte,"")</f>
        <v/>
      </c>
      <c r="CT92" s="463" t="str">
        <f>IF(CT87&lt;=(Åpningsår+ProsjektetsLevetid-1),SUM('3.1 Nyttestrøm'!CT26:CT26)*Skattefinansieringsfaktor_utbytte,"")</f>
        <v/>
      </c>
      <c r="CU92" s="463" t="str">
        <f>IF(CU87&lt;=(Åpningsår+ProsjektetsLevetid-1),SUM('3.1 Nyttestrøm'!CU26:CU26)*Skattefinansieringsfaktor_utbytte,"")</f>
        <v/>
      </c>
      <c r="CV92" s="463" t="str">
        <f>IF(CV87&lt;=(Åpningsår+ProsjektetsLevetid-1),SUM('3.1 Nyttestrøm'!CV26:CV26)*Skattefinansieringsfaktor_utbytte,"")</f>
        <v/>
      </c>
      <c r="CW92" s="463" t="str">
        <f>IF(CW87&lt;=(Åpningsår+ProsjektetsLevetid-1),SUM('3.1 Nyttestrøm'!CW26:CW26)*Skattefinansieringsfaktor_utbytte,"")</f>
        <v/>
      </c>
      <c r="CX92" s="463" t="str">
        <f>IF(CX87&lt;=(Åpningsår+ProsjektetsLevetid-1),SUM('3.1 Nyttestrøm'!CX26:CX26)*Skattefinansieringsfaktor_utbytte,"")</f>
        <v/>
      </c>
      <c r="CY92" s="463" t="str">
        <f>IF(CY87&lt;=(Åpningsår+ProsjektetsLevetid-1),SUM('3.1 Nyttestrøm'!CY26:CY26)*Skattefinansieringsfaktor_utbytte,"")</f>
        <v/>
      </c>
      <c r="CZ92" s="463" t="str">
        <f>IF(CZ87&lt;=(Åpningsår+ProsjektetsLevetid-1),SUM('3.1 Nyttestrøm'!CZ26:CZ26)*Skattefinansieringsfaktor_utbytte,"")</f>
        <v/>
      </c>
      <c r="DA92" s="463" t="str">
        <f>IF(DA87&lt;=(Åpningsår+ProsjektetsLevetid-1),SUM('3.1 Nyttestrøm'!DA26:DA26)*Skattefinansieringsfaktor_utbytte,"")</f>
        <v/>
      </c>
      <c r="DB92" s="463" t="str">
        <f>IF(DB87&lt;=(Åpningsår+ProsjektetsLevetid-1),SUM('3.1 Nyttestrøm'!DB26:DB26)*Skattefinansieringsfaktor_utbytte,"")</f>
        <v/>
      </c>
      <c r="DC92" s="463" t="str">
        <f>IF(DC87&lt;=(Åpningsår+ProsjektetsLevetid-1),SUM('3.1 Nyttestrøm'!DC26:DC26)*Skattefinansieringsfaktor_utbytte,"")</f>
        <v/>
      </c>
      <c r="DD92" s="463" t="str">
        <f>IF(DD87&lt;=(Åpningsår+ProsjektetsLevetid-1),SUM('3.1 Nyttestrøm'!DD26:DD26)*Skattefinansieringsfaktor_utbytte,"")</f>
        <v/>
      </c>
      <c r="DE92" s="463" t="str">
        <f>IF(DE87&lt;=(Åpningsår+ProsjektetsLevetid-1),SUM('3.1 Nyttestrøm'!DE26:DE26)*Skattefinansieringsfaktor_utbytte,"")</f>
        <v/>
      </c>
      <c r="DF92" s="463" t="str">
        <f>IF(DF87&lt;=(Åpningsår+ProsjektetsLevetid-1),SUM('3.1 Nyttestrøm'!DF26:DF26)*Skattefinansieringsfaktor_utbytte,"")</f>
        <v/>
      </c>
      <c r="DG92" s="463" t="str">
        <f>IF(DG87&lt;=(Åpningsår+ProsjektetsLevetid-1),SUM('3.1 Nyttestrøm'!DG26:DG26)*Skattefinansieringsfaktor_utbytte,"")</f>
        <v/>
      </c>
      <c r="DH92" s="463" t="str">
        <f>IF(DH87&lt;=(Åpningsår+ProsjektetsLevetid-1),SUM('3.1 Nyttestrøm'!DH26:DH26)*Skattefinansieringsfaktor_utbytte,"")</f>
        <v/>
      </c>
      <c r="DI92" s="463" t="str">
        <f>IF(DI87&lt;=(Åpningsår+ProsjektetsLevetid-1),SUM('3.1 Nyttestrøm'!DI26:DI26)*Skattefinansieringsfaktor_utbytte,"")</f>
        <v/>
      </c>
      <c r="DJ92" s="463" t="str">
        <f>IF(DJ87&lt;=(Åpningsår+ProsjektetsLevetid-1),SUM('3.1 Nyttestrøm'!DJ26:DJ26)*Skattefinansieringsfaktor_utbytte,"")</f>
        <v/>
      </c>
      <c r="DK92" s="463" t="str">
        <f>IF(DK87&lt;=(Åpningsår+ProsjektetsLevetid-1),SUM('3.1 Nyttestrøm'!DK26:DK26)*Skattefinansieringsfaktor_utbytte,"")</f>
        <v/>
      </c>
      <c r="DL92" s="463" t="str">
        <f>IF(DL87&lt;=(Åpningsår+ProsjektetsLevetid-1),SUM('3.1 Nyttestrøm'!DL26:DL26)*Skattefinansieringsfaktor_utbytte,"")</f>
        <v/>
      </c>
      <c r="DM92" s="463" t="str">
        <f>IF(DM87&lt;=(Åpningsår+ProsjektetsLevetid-1),SUM('3.1 Nyttestrøm'!DM26:DM26)*Skattefinansieringsfaktor_utbytte,"")</f>
        <v/>
      </c>
      <c r="DN92" s="463" t="str">
        <f>IF(DN87&lt;=(Åpningsår+ProsjektetsLevetid-1),SUM('3.1 Nyttestrøm'!DN26:DN26)*Skattefinansieringsfaktor_utbytte,"")</f>
        <v/>
      </c>
      <c r="DO92" s="463" t="str">
        <f>IF(DO87&lt;=(Åpningsår+ProsjektetsLevetid-1),SUM('3.1 Nyttestrøm'!DO26:DO26)*Skattefinansieringsfaktor_utbytte,"")</f>
        <v/>
      </c>
      <c r="DP92" s="463" t="str">
        <f>IF(DP87&lt;=(Åpningsår+ProsjektetsLevetid-1),SUM('3.1 Nyttestrøm'!DP26:DP26)*Skattefinansieringsfaktor_utbytte,"")</f>
        <v/>
      </c>
      <c r="DQ92" s="463" t="str">
        <f>IF(DQ87&lt;=(Åpningsår+ProsjektetsLevetid-1),SUM('3.1 Nyttestrøm'!DQ26:DQ26)*Skattefinansieringsfaktor_utbytte,"")</f>
        <v/>
      </c>
      <c r="DR92" s="463" t="str">
        <f>IF(DR87&lt;=(Åpningsår+ProsjektetsLevetid-1),SUM('3.1 Nyttestrøm'!DR26:DR26)*Skattefinansieringsfaktor_utbytte,"")</f>
        <v/>
      </c>
      <c r="DS92" s="801">
        <f ca="1">SUMPRODUCT(('1.5 Prognoser og indekser'!$R$12:OFFSET('1.5 Prognoser og indekser'!$R$12,0,$DS$9)),($M92:OFFSET($M92,0,$DS$9)))</f>
        <v>0</v>
      </c>
      <c r="DT92" s="802">
        <f ca="1">IF($DT$9&lt;1,0,SUMPRODUCT(OFFSET('1.5 Prognoser og indekser'!$R$12,0,$DS$9+1,1,$DT$9),OFFSET($M92,0,$DS$9+1,1,$DT$9)))</f>
        <v>0</v>
      </c>
    </row>
    <row r="93" spans="3:124" x14ac:dyDescent="0.35">
      <c r="C93" s="291" t="s">
        <v>1605</v>
      </c>
      <c r="D93" s="791"/>
      <c r="E93" s="791"/>
      <c r="F93" s="791"/>
      <c r="G93" s="791"/>
      <c r="H93" s="791"/>
      <c r="I93" s="791"/>
      <c r="J93" s="463">
        <f>IF(Antall_Beregningsår&lt;2,1,IF(AND(D93=0,E93=0),1,IF(SIGN(D93)=SIGN(E93),(E93/D93)^(1/(AndreBeregningsår-FørsteBeregningsår)),((E93+1.1*ABS(D93-E93))/(D93+1.1*ABS(D93-E93)))^(1/(AndreBeregningsår-FørsteBeregningsår)))))</f>
        <v>1</v>
      </c>
      <c r="K93" s="463">
        <f>IF(Antall_Beregningsår&lt;3,1,IF(AND(E93=0,F93=0),1,IF(SIGN(E93)=SIGN(F93),(F93/E93)^(1/(TredjeBeregningsår-AndreBeregningsår)),((F93+1.1*ABS(E93-F93))/(E93+1.1*ABS(E93-F93)))^(1/(TredjeBeregningsår-AndreBeregningsår)))))</f>
        <v>1</v>
      </c>
      <c r="L93" s="752">
        <f>IF(Framskrivning="Lineær trend",IF(Antall_Beregningsår&gt;2,(F93-E93)/(TredjeBeregningsår-AndreBeregningsår),IF(Antall_Beregningsår&gt;1,(E93-D93)/(AndreBeregningsår-FørsteBeregningsår),0)),0)</f>
        <v>0</v>
      </c>
      <c r="M93" s="463">
        <f t="shared" ref="M93:AR93" si="164">IF(M87&lt;=(Åpningsår+ProsjektetsLevetid-1),SUM(M$89:M$90)*Skattefinansieringsfaktor,"")</f>
        <v>0</v>
      </c>
      <c r="N93" s="463">
        <f t="shared" si="164"/>
        <v>0</v>
      </c>
      <c r="O93" s="463">
        <f t="shared" si="164"/>
        <v>0</v>
      </c>
      <c r="P93" s="463">
        <f t="shared" si="164"/>
        <v>0</v>
      </c>
      <c r="Q93" s="463">
        <f t="shared" si="164"/>
        <v>0</v>
      </c>
      <c r="R93" s="463">
        <f t="shared" si="164"/>
        <v>0</v>
      </c>
      <c r="S93" s="463">
        <f t="shared" si="164"/>
        <v>0</v>
      </c>
      <c r="T93" s="463">
        <f t="shared" si="164"/>
        <v>0</v>
      </c>
      <c r="U93" s="463">
        <f t="shared" si="164"/>
        <v>0</v>
      </c>
      <c r="V93" s="463">
        <f t="shared" si="164"/>
        <v>0</v>
      </c>
      <c r="W93" s="463" t="str">
        <f>IF(W87&lt;=(Åpningsår+ProsjektetsLevetid-1),SUM(W$89:W$90)*Skattefinansieringsfaktor,"")</f>
        <v/>
      </c>
      <c r="X93" s="463" t="str">
        <f t="shared" si="164"/>
        <v/>
      </c>
      <c r="Y93" s="463" t="str">
        <f t="shared" si="164"/>
        <v/>
      </c>
      <c r="Z93" s="463" t="str">
        <f t="shared" si="164"/>
        <v/>
      </c>
      <c r="AA93" s="463" t="str">
        <f t="shared" si="164"/>
        <v/>
      </c>
      <c r="AB93" s="463" t="str">
        <f t="shared" si="164"/>
        <v/>
      </c>
      <c r="AC93" s="463" t="str">
        <f t="shared" si="164"/>
        <v/>
      </c>
      <c r="AD93" s="463" t="str">
        <f t="shared" si="164"/>
        <v/>
      </c>
      <c r="AE93" s="463" t="str">
        <f t="shared" si="164"/>
        <v/>
      </c>
      <c r="AF93" s="463" t="str">
        <f t="shared" si="164"/>
        <v/>
      </c>
      <c r="AG93" s="463" t="str">
        <f t="shared" si="164"/>
        <v/>
      </c>
      <c r="AH93" s="463" t="str">
        <f t="shared" si="164"/>
        <v/>
      </c>
      <c r="AI93" s="463" t="str">
        <f t="shared" si="164"/>
        <v/>
      </c>
      <c r="AJ93" s="463" t="str">
        <f t="shared" si="164"/>
        <v/>
      </c>
      <c r="AK93" s="463" t="str">
        <f t="shared" si="164"/>
        <v/>
      </c>
      <c r="AL93" s="463" t="str">
        <f t="shared" si="164"/>
        <v/>
      </c>
      <c r="AM93" s="463" t="str">
        <f t="shared" si="164"/>
        <v/>
      </c>
      <c r="AN93" s="463" t="str">
        <f t="shared" si="164"/>
        <v/>
      </c>
      <c r="AO93" s="463" t="str">
        <f t="shared" si="164"/>
        <v/>
      </c>
      <c r="AP93" s="463" t="str">
        <f t="shared" si="164"/>
        <v/>
      </c>
      <c r="AQ93" s="463" t="str">
        <f t="shared" si="164"/>
        <v/>
      </c>
      <c r="AR93" s="463" t="str">
        <f t="shared" si="164"/>
        <v/>
      </c>
      <c r="AS93" s="463" t="str">
        <f t="shared" ref="AS93:BX93" si="165">IF(AS87&lt;=(Åpningsår+ProsjektetsLevetid-1),SUM(AS$89:AS$90)*Skattefinansieringsfaktor,"")</f>
        <v/>
      </c>
      <c r="AT93" s="463" t="str">
        <f t="shared" si="165"/>
        <v/>
      </c>
      <c r="AU93" s="463" t="str">
        <f t="shared" si="165"/>
        <v/>
      </c>
      <c r="AV93" s="463" t="str">
        <f t="shared" si="165"/>
        <v/>
      </c>
      <c r="AW93" s="463" t="str">
        <f t="shared" si="165"/>
        <v/>
      </c>
      <c r="AX93" s="463" t="str">
        <f t="shared" si="165"/>
        <v/>
      </c>
      <c r="AY93" s="463" t="str">
        <f t="shared" si="165"/>
        <v/>
      </c>
      <c r="AZ93" s="463" t="str">
        <f t="shared" si="165"/>
        <v/>
      </c>
      <c r="BA93" s="463" t="str">
        <f t="shared" si="165"/>
        <v/>
      </c>
      <c r="BB93" s="463" t="str">
        <f t="shared" si="165"/>
        <v/>
      </c>
      <c r="BC93" s="463" t="str">
        <f t="shared" si="165"/>
        <v/>
      </c>
      <c r="BD93" s="463" t="str">
        <f t="shared" si="165"/>
        <v/>
      </c>
      <c r="BE93" s="463" t="str">
        <f t="shared" si="165"/>
        <v/>
      </c>
      <c r="BF93" s="463" t="str">
        <f t="shared" si="165"/>
        <v/>
      </c>
      <c r="BG93" s="463" t="str">
        <f t="shared" si="165"/>
        <v/>
      </c>
      <c r="BH93" s="463" t="str">
        <f t="shared" si="165"/>
        <v/>
      </c>
      <c r="BI93" s="463" t="str">
        <f t="shared" si="165"/>
        <v/>
      </c>
      <c r="BJ93" s="463" t="str">
        <f t="shared" si="165"/>
        <v/>
      </c>
      <c r="BK93" s="463" t="str">
        <f t="shared" si="165"/>
        <v/>
      </c>
      <c r="BL93" s="463" t="str">
        <f t="shared" si="165"/>
        <v/>
      </c>
      <c r="BM93" s="463" t="str">
        <f t="shared" si="165"/>
        <v/>
      </c>
      <c r="BN93" s="463" t="str">
        <f t="shared" si="165"/>
        <v/>
      </c>
      <c r="BO93" s="463" t="str">
        <f t="shared" si="165"/>
        <v/>
      </c>
      <c r="BP93" s="463" t="str">
        <f t="shared" si="165"/>
        <v/>
      </c>
      <c r="BQ93" s="463" t="str">
        <f t="shared" si="165"/>
        <v/>
      </c>
      <c r="BR93" s="463" t="str">
        <f t="shared" si="165"/>
        <v/>
      </c>
      <c r="BS93" s="463" t="str">
        <f t="shared" si="165"/>
        <v/>
      </c>
      <c r="BT93" s="463" t="str">
        <f t="shared" si="165"/>
        <v/>
      </c>
      <c r="BU93" s="463" t="str">
        <f t="shared" si="165"/>
        <v/>
      </c>
      <c r="BV93" s="463" t="str">
        <f t="shared" si="165"/>
        <v/>
      </c>
      <c r="BW93" s="463" t="str">
        <f t="shared" si="165"/>
        <v/>
      </c>
      <c r="BX93" s="463" t="str">
        <f t="shared" si="165"/>
        <v/>
      </c>
      <c r="BY93" s="463" t="str">
        <f t="shared" ref="BY93:CR93" si="166">IF(BY87&lt;=(Åpningsår+ProsjektetsLevetid-1),SUM(BY$89:BY$90)*Skattefinansieringsfaktor,"")</f>
        <v/>
      </c>
      <c r="BZ93" s="463" t="str">
        <f t="shared" si="166"/>
        <v/>
      </c>
      <c r="CA93" s="463" t="str">
        <f t="shared" si="166"/>
        <v/>
      </c>
      <c r="CB93" s="463" t="str">
        <f t="shared" si="166"/>
        <v/>
      </c>
      <c r="CC93" s="463" t="str">
        <f t="shared" si="166"/>
        <v/>
      </c>
      <c r="CD93" s="463" t="str">
        <f t="shared" si="166"/>
        <v/>
      </c>
      <c r="CE93" s="463" t="str">
        <f t="shared" si="166"/>
        <v/>
      </c>
      <c r="CF93" s="463" t="str">
        <f t="shared" si="166"/>
        <v/>
      </c>
      <c r="CG93" s="463" t="str">
        <f t="shared" si="166"/>
        <v/>
      </c>
      <c r="CH93" s="463" t="str">
        <f t="shared" si="166"/>
        <v/>
      </c>
      <c r="CI93" s="463" t="str">
        <f t="shared" si="166"/>
        <v/>
      </c>
      <c r="CJ93" s="463" t="str">
        <f t="shared" si="166"/>
        <v/>
      </c>
      <c r="CK93" s="463" t="str">
        <f t="shared" si="166"/>
        <v/>
      </c>
      <c r="CL93" s="463" t="str">
        <f t="shared" si="166"/>
        <v/>
      </c>
      <c r="CM93" s="463" t="str">
        <f t="shared" si="166"/>
        <v/>
      </c>
      <c r="CN93" s="463" t="str">
        <f t="shared" si="166"/>
        <v/>
      </c>
      <c r="CO93" s="463" t="str">
        <f t="shared" si="166"/>
        <v/>
      </c>
      <c r="CP93" s="463" t="str">
        <f t="shared" si="166"/>
        <v/>
      </c>
      <c r="CQ93" s="463" t="str">
        <f t="shared" si="166"/>
        <v/>
      </c>
      <c r="CR93" s="463" t="str">
        <f t="shared" si="166"/>
        <v/>
      </c>
      <c r="CS93" s="463" t="str">
        <f t="shared" ref="CS93:DR93" si="167">IF(CS87&lt;=(Åpningsår+ProsjektetsLevetid-1),SUM(CS$89:CS$90)*Skattefinansieringsfaktor,"")</f>
        <v/>
      </c>
      <c r="CT93" s="463" t="str">
        <f t="shared" si="167"/>
        <v/>
      </c>
      <c r="CU93" s="463" t="str">
        <f t="shared" si="167"/>
        <v/>
      </c>
      <c r="CV93" s="463" t="str">
        <f t="shared" si="167"/>
        <v/>
      </c>
      <c r="CW93" s="463" t="str">
        <f t="shared" si="167"/>
        <v/>
      </c>
      <c r="CX93" s="463" t="str">
        <f t="shared" si="167"/>
        <v/>
      </c>
      <c r="CY93" s="463" t="str">
        <f t="shared" si="167"/>
        <v/>
      </c>
      <c r="CZ93" s="463" t="str">
        <f t="shared" si="167"/>
        <v/>
      </c>
      <c r="DA93" s="463" t="str">
        <f t="shared" si="167"/>
        <v/>
      </c>
      <c r="DB93" s="463" t="str">
        <f t="shared" si="167"/>
        <v/>
      </c>
      <c r="DC93" s="463" t="str">
        <f t="shared" si="167"/>
        <v/>
      </c>
      <c r="DD93" s="463" t="str">
        <f t="shared" si="167"/>
        <v/>
      </c>
      <c r="DE93" s="463" t="str">
        <f t="shared" si="167"/>
        <v/>
      </c>
      <c r="DF93" s="463" t="str">
        <f t="shared" si="167"/>
        <v/>
      </c>
      <c r="DG93" s="463" t="str">
        <f t="shared" si="167"/>
        <v/>
      </c>
      <c r="DH93" s="463" t="str">
        <f t="shared" si="167"/>
        <v/>
      </c>
      <c r="DI93" s="463" t="str">
        <f t="shared" si="167"/>
        <v/>
      </c>
      <c r="DJ93" s="463" t="str">
        <f t="shared" si="167"/>
        <v/>
      </c>
      <c r="DK93" s="463" t="str">
        <f t="shared" si="167"/>
        <v/>
      </c>
      <c r="DL93" s="463" t="str">
        <f t="shared" si="167"/>
        <v/>
      </c>
      <c r="DM93" s="463" t="str">
        <f t="shared" si="167"/>
        <v/>
      </c>
      <c r="DN93" s="463" t="str">
        <f t="shared" si="167"/>
        <v/>
      </c>
      <c r="DO93" s="463" t="str">
        <f t="shared" si="167"/>
        <v/>
      </c>
      <c r="DP93" s="463" t="str">
        <f t="shared" si="167"/>
        <v/>
      </c>
      <c r="DQ93" s="463" t="str">
        <f t="shared" si="167"/>
        <v/>
      </c>
      <c r="DR93" s="463" t="str">
        <f t="shared" si="167"/>
        <v/>
      </c>
      <c r="DS93" s="801">
        <f ca="1">SUMPRODUCT(('1.5 Prognoser og indekser'!$R$12:OFFSET('1.5 Prognoser og indekser'!$R$12,0,$DS$9)),($M93:OFFSET($M93,0,$DS$9)))</f>
        <v>0</v>
      </c>
      <c r="DT93" s="802">
        <f ca="1">IF($DT$9&lt;1,0,SUMPRODUCT(OFFSET('1.5 Prognoser og indekser'!$R$12,0,$DS$9+1,1,$DT$9),OFFSET($M93,0,$DS$9+1,1,$DT$9)))</f>
        <v>0</v>
      </c>
    </row>
    <row r="94" spans="3:124" ht="15" thickBot="1" x14ac:dyDescent="0.4">
      <c r="C94" s="292" t="s">
        <v>1606</v>
      </c>
      <c r="D94" s="798">
        <f ca="1">(SUM(D45:D49,D61:D63,D51:D59,D65:D66))*Skattefinansieringsfaktor</f>
        <v>0</v>
      </c>
      <c r="E94" s="798">
        <f ca="1">SUM(E45:E49,E61:E63,E51:E59,E65:E66)*Skattefinansieringsfaktor</f>
        <v>0</v>
      </c>
      <c r="F94" s="798">
        <f ca="1">SUM(F45:F49,F61:F63,F51:F59,F65:F66)*Skattefinansieringsfaktor</f>
        <v>0</v>
      </c>
      <c r="G94" s="798"/>
      <c r="H94" s="798"/>
      <c r="I94" s="798"/>
      <c r="J94" s="799">
        <f ca="1">IF(Antall_Beregningsår&lt;2,1,IF(AND(D94=0,E94=0),1,IF(SIGN(D94)=SIGN(E94),(E94/D94)^(1/(AndreBeregningsår-FørsteBeregningsår)),((E94+1.1*ABS(D94-E94))/(D94+1.1*ABS(D94-E94)))^(1/(AndreBeregningsår-FørsteBeregningsår)))))</f>
        <v>1</v>
      </c>
      <c r="K94" s="799">
        <f ca="1">IF(Antall_Beregningsår&lt;3,1,IF(AND(E94=0,F94=0),1,IF(SIGN(E94)=SIGN(F94),(F94/E94)^(1/(TredjeBeregningsår-AndreBeregningsår)),((F94+1.1*ABS(E94-F94))/(E94+1.1*ABS(E94-F94)))^(1/(TredjeBeregningsår-AndreBeregningsår)))))</f>
        <v>1</v>
      </c>
      <c r="L94" s="716">
        <f>IF(Framskrivning="Lineær trend",IF(Antall_Beregningsår&gt;2,(F94-E94)/(TredjeBeregningsår-AndreBeregningsår),IF(Antall_Beregningsår&gt;1,(E94-D94)/(AndreBeregningsår-FørsteBeregningsår),0)),0)</f>
        <v>0</v>
      </c>
      <c r="M94" s="799">
        <f>IF(M87&lt;=(Åpningsår+ProsjektetsLevetid-1),SUM('3.1 Nyttestrøm'!M$45:M$48,M61:M63,M51:M58,M65:M66)*Skattefinansieringsfaktor,"")</f>
        <v>0</v>
      </c>
      <c r="N94" s="799">
        <f>IF(N87&lt;=(Åpningsår+ProsjektetsLevetid-1),SUM('3.1 Nyttestrøm'!N$45:N$48,N61:N63,N51:N58,N65:N66)*Skattefinansieringsfaktor,"")</f>
        <v>0</v>
      </c>
      <c r="O94" s="799">
        <f>IF(O87&lt;=(Åpningsår+ProsjektetsLevetid-1),SUM('3.1 Nyttestrøm'!O$45:O$48,O61:O63,O51:O58,O65:O66)*Skattefinansieringsfaktor,"")</f>
        <v>0</v>
      </c>
      <c r="P94" s="799">
        <f>IF(P87&lt;=(Åpningsår+ProsjektetsLevetid-1),SUM('3.1 Nyttestrøm'!P$45:P$48,P61:P63,P51:P58,P65:P66)*Skattefinansieringsfaktor,"")</f>
        <v>0</v>
      </c>
      <c r="Q94" s="799">
        <f>IF(Q87&lt;=(Åpningsår+ProsjektetsLevetid-1),SUM('3.1 Nyttestrøm'!Q$45:Q$48,Q61:Q63,Q51:Q58,Q65:Q66)*Skattefinansieringsfaktor,"")</f>
        <v>0</v>
      </c>
      <c r="R94" s="799">
        <f>IF(R87&lt;=(Åpningsår+ProsjektetsLevetid-1),SUM('3.1 Nyttestrøm'!R$45:R$48,R61:R63,R51:R58,R65:R66)*Skattefinansieringsfaktor,"")</f>
        <v>0</v>
      </c>
      <c r="S94" s="799">
        <f>IF(S87&lt;=(Åpningsår+ProsjektetsLevetid-1),SUM('3.1 Nyttestrøm'!S$45:S$48,S61:S63,S51:S58,S65:S66)*Skattefinansieringsfaktor,"")</f>
        <v>0</v>
      </c>
      <c r="T94" s="799">
        <f>IF(T87&lt;=(Åpningsår+ProsjektetsLevetid-1),SUM('3.1 Nyttestrøm'!T$45:T$48,T61:T63,T51:T58,T65:T66)*Skattefinansieringsfaktor,"")</f>
        <v>0</v>
      </c>
      <c r="U94" s="799">
        <f>IF(U87&lt;=(Åpningsår+ProsjektetsLevetid-1),SUM('3.1 Nyttestrøm'!U$45:U$48,U61:U63,U51:U58,U65:U66)*Skattefinansieringsfaktor,"")</f>
        <v>0</v>
      </c>
      <c r="V94" s="799">
        <f>IF(V87&lt;=(Åpningsår+ProsjektetsLevetid-1),SUM('3.1 Nyttestrøm'!V$45:V$48,V61:V63,V51:V58,V65:V66)*Skattefinansieringsfaktor,"")</f>
        <v>0</v>
      </c>
      <c r="W94" s="799" t="str">
        <f>IF(W87&lt;=(Åpningsår+ProsjektetsLevetid-1),SUM('3.1 Nyttestrøm'!W$45:W$48,W61:W63,W51:W58,W65:W66)*Skattefinansieringsfaktor,"")</f>
        <v/>
      </c>
      <c r="X94" s="799" t="str">
        <f>IF(X87&lt;=(Åpningsår+ProsjektetsLevetid-1),SUM('3.1 Nyttestrøm'!X$45:X$48,X61:X63,X51:X58,X65:X66)*Skattefinansieringsfaktor,"")</f>
        <v/>
      </c>
      <c r="Y94" s="799" t="str">
        <f>IF(Y87&lt;=(Åpningsår+ProsjektetsLevetid-1),SUM('3.1 Nyttestrøm'!Y$45:Y$48,Y61:Y63,Y51:Y58,Y65:Y66)*Skattefinansieringsfaktor,"")</f>
        <v/>
      </c>
      <c r="Z94" s="799" t="str">
        <f>IF(Z87&lt;=(Åpningsår+ProsjektetsLevetid-1),SUM('3.1 Nyttestrøm'!Z$45:Z$48,Z61:Z63,Z51:Z58,Z65:Z66)*Skattefinansieringsfaktor,"")</f>
        <v/>
      </c>
      <c r="AA94" s="799" t="str">
        <f>IF(AA87&lt;=(Åpningsår+ProsjektetsLevetid-1),SUM('3.1 Nyttestrøm'!AA$45:AA$48,AA61:AA63,AA51:AA58,AA65:AA66)*Skattefinansieringsfaktor,"")</f>
        <v/>
      </c>
      <c r="AB94" s="799" t="str">
        <f>IF(AB87&lt;=(Åpningsår+ProsjektetsLevetid-1),SUM('3.1 Nyttestrøm'!AB$45:AB$48,AB61:AB63,AB51:AB58,AB65:AB66)*Skattefinansieringsfaktor,"")</f>
        <v/>
      </c>
      <c r="AC94" s="799" t="str">
        <f>IF(AC87&lt;=(Åpningsår+ProsjektetsLevetid-1),SUM('3.1 Nyttestrøm'!AC$45:AC$48,AC61:AC63,AC51:AC58,AC65:AC66)*Skattefinansieringsfaktor,"")</f>
        <v/>
      </c>
      <c r="AD94" s="799" t="str">
        <f>IF(AD87&lt;=(Åpningsår+ProsjektetsLevetid-1),SUM('3.1 Nyttestrøm'!AD$45:AD$48,AD61:AD63,AD51:AD58,AD65:AD66)*Skattefinansieringsfaktor,"")</f>
        <v/>
      </c>
      <c r="AE94" s="799" t="str">
        <f>IF(AE87&lt;=(Åpningsår+ProsjektetsLevetid-1),SUM('3.1 Nyttestrøm'!AE$45:AE$48,AE61:AE63,AE51:AE58,AE65:AE66)*Skattefinansieringsfaktor,"")</f>
        <v/>
      </c>
      <c r="AF94" s="799" t="str">
        <f>IF(AF87&lt;=(Åpningsår+ProsjektetsLevetid-1),SUM('3.1 Nyttestrøm'!AF$45:AF$48,AF61:AF63,AF51:AF58,AF65:AF66)*Skattefinansieringsfaktor,"")</f>
        <v/>
      </c>
      <c r="AG94" s="799" t="str">
        <f>IF(AG87&lt;=(Åpningsår+ProsjektetsLevetid-1),SUM('3.1 Nyttestrøm'!AG$45:AG$48,AG61:AG63,AG51:AG58,AG65:AG66)*Skattefinansieringsfaktor,"")</f>
        <v/>
      </c>
      <c r="AH94" s="799" t="str">
        <f>IF(AH87&lt;=(Åpningsår+ProsjektetsLevetid-1),SUM('3.1 Nyttestrøm'!AH$45:AH$48,AH61:AH63,AH51:AH58,AH65:AH66)*Skattefinansieringsfaktor,"")</f>
        <v/>
      </c>
      <c r="AI94" s="799" t="str">
        <f>IF(AI87&lt;=(Åpningsår+ProsjektetsLevetid-1),SUM('3.1 Nyttestrøm'!AI$45:AI$48,AI61:AI63,AI51:AI58,AI65:AI66)*Skattefinansieringsfaktor,"")</f>
        <v/>
      </c>
      <c r="AJ94" s="799" t="str">
        <f>IF(AJ87&lt;=(Åpningsår+ProsjektetsLevetid-1),SUM('3.1 Nyttestrøm'!AJ$45:AJ$48,AJ61:AJ63,AJ51:AJ58,AJ65:AJ66)*Skattefinansieringsfaktor,"")</f>
        <v/>
      </c>
      <c r="AK94" s="799" t="str">
        <f>IF(AK87&lt;=(Åpningsår+ProsjektetsLevetid-1),SUM('3.1 Nyttestrøm'!AK$45:AK$48,AK61:AK63,AK51:AK58,AK65:AK66)*Skattefinansieringsfaktor,"")</f>
        <v/>
      </c>
      <c r="AL94" s="799" t="str">
        <f>IF(AL87&lt;=(Åpningsår+ProsjektetsLevetid-1),SUM('3.1 Nyttestrøm'!AL$45:AL$48,AL61:AL63,AL51:AL58,AL65:AL66)*Skattefinansieringsfaktor,"")</f>
        <v/>
      </c>
      <c r="AM94" s="799" t="str">
        <f>IF(AM87&lt;=(Åpningsår+ProsjektetsLevetid-1),SUM('3.1 Nyttestrøm'!AM$45:AM$48,AM61:AM63,AM51:AM58,AM65:AM66)*Skattefinansieringsfaktor,"")</f>
        <v/>
      </c>
      <c r="AN94" s="799" t="str">
        <f>IF(AN87&lt;=(Åpningsår+ProsjektetsLevetid-1),SUM('3.1 Nyttestrøm'!AN$45:AN$48,AN61:AN63,AN51:AN58,AN65:AN66)*Skattefinansieringsfaktor,"")</f>
        <v/>
      </c>
      <c r="AO94" s="799" t="str">
        <f>IF(AO87&lt;=(Åpningsår+ProsjektetsLevetid-1),SUM('3.1 Nyttestrøm'!AO$45:AO$48,AO61:AO63,AO51:AO58,AO65:AO66)*Skattefinansieringsfaktor,"")</f>
        <v/>
      </c>
      <c r="AP94" s="799" t="str">
        <f>IF(AP87&lt;=(Åpningsår+ProsjektetsLevetid-1),SUM('3.1 Nyttestrøm'!AP$45:AP$48,AP61:AP63,AP51:AP58,AP65:AP66)*Skattefinansieringsfaktor,"")</f>
        <v/>
      </c>
      <c r="AQ94" s="799" t="str">
        <f>IF(AQ87&lt;=(Åpningsår+ProsjektetsLevetid-1),SUM('3.1 Nyttestrøm'!AQ$45:AQ$48,AQ61:AQ63,AQ51:AQ58,AQ65:AQ66)*Skattefinansieringsfaktor,"")</f>
        <v/>
      </c>
      <c r="AR94" s="799" t="str">
        <f>IF(AR87&lt;=(Åpningsår+ProsjektetsLevetid-1),SUM('3.1 Nyttestrøm'!AR$45:AR$48,AR61:AR63,AR51:AR58,AR65:AR66)*Skattefinansieringsfaktor,"")</f>
        <v/>
      </c>
      <c r="AS94" s="799" t="str">
        <f>IF(AS87&lt;=(Åpningsår+ProsjektetsLevetid-1),SUM('3.1 Nyttestrøm'!AS$45:AS$48,AS61:AS63,AS51:AS58,AS65:AS66)*Skattefinansieringsfaktor,"")</f>
        <v/>
      </c>
      <c r="AT94" s="799" t="str">
        <f>IF(AT87&lt;=(Åpningsår+ProsjektetsLevetid-1),SUM('3.1 Nyttestrøm'!AT$45:AT$48,AT61:AT63,AT51:AT58,AT65:AT66)*Skattefinansieringsfaktor,"")</f>
        <v/>
      </c>
      <c r="AU94" s="799" t="str">
        <f>IF(AU87&lt;=(Åpningsår+ProsjektetsLevetid-1),SUM('3.1 Nyttestrøm'!AU$45:AU$48,AU61:AU63,AU51:AU58,AU65:AU66)*Skattefinansieringsfaktor,"")</f>
        <v/>
      </c>
      <c r="AV94" s="799" t="str">
        <f>IF(AV87&lt;=(Åpningsår+ProsjektetsLevetid-1),SUM('3.1 Nyttestrøm'!AV$45:AV$48,AV61:AV63,AV51:AV58,AV65:AV66)*Skattefinansieringsfaktor,"")</f>
        <v/>
      </c>
      <c r="AW94" s="799" t="str">
        <f>IF(AW87&lt;=(Åpningsår+ProsjektetsLevetid-1),SUM('3.1 Nyttestrøm'!AW$45:AW$48,AW61:AW63,AW51:AW58,AW65:AW66)*Skattefinansieringsfaktor,"")</f>
        <v/>
      </c>
      <c r="AX94" s="799" t="str">
        <f>IF(AX87&lt;=(Åpningsår+ProsjektetsLevetid-1),SUM('3.1 Nyttestrøm'!AX$45:AX$48,AX61:AX63,AX51:AX58,AX65:AX66)*Skattefinansieringsfaktor,"")</f>
        <v/>
      </c>
      <c r="AY94" s="799" t="str">
        <f>IF(AY87&lt;=(Åpningsår+ProsjektetsLevetid-1),SUM('3.1 Nyttestrøm'!AY$45:AY$48,AY61:AY63,AY51:AY58,AY65:AY66)*Skattefinansieringsfaktor,"")</f>
        <v/>
      </c>
      <c r="AZ94" s="799" t="str">
        <f>IF(AZ87&lt;=(Åpningsår+ProsjektetsLevetid-1),SUM('3.1 Nyttestrøm'!AZ$45:AZ$48,AZ61:AZ63,AZ51:AZ58,AZ65:AZ66)*Skattefinansieringsfaktor,"")</f>
        <v/>
      </c>
      <c r="BA94" s="799" t="str">
        <f>IF(BA87&lt;=(Åpningsår+ProsjektetsLevetid-1),SUM('3.1 Nyttestrøm'!BA$45:BA$48,BA61:BA63,BA51:BA58,BA65:BA66)*Skattefinansieringsfaktor,"")</f>
        <v/>
      </c>
      <c r="BB94" s="799" t="str">
        <f>IF(BB87&lt;=(Åpningsår+ProsjektetsLevetid-1),SUM('3.1 Nyttestrøm'!BB$45:BB$48,BB61:BB63,BB51:BB58,BB65:BB66)*Skattefinansieringsfaktor,"")</f>
        <v/>
      </c>
      <c r="BC94" s="799" t="str">
        <f>IF(BC87&lt;=(Åpningsår+ProsjektetsLevetid-1),SUM('3.1 Nyttestrøm'!BC$45:BC$48,BC61:BC63,BC51:BC58,BC65:BC66)*Skattefinansieringsfaktor,"")</f>
        <v/>
      </c>
      <c r="BD94" s="799" t="str">
        <f>IF(BD87&lt;=(Åpningsår+ProsjektetsLevetid-1),SUM('3.1 Nyttestrøm'!BD$45:BD$48,BD61:BD63,BD51:BD58,BD65:BD66)*Skattefinansieringsfaktor,"")</f>
        <v/>
      </c>
      <c r="BE94" s="799" t="str">
        <f>IF(BE87&lt;=(Åpningsår+ProsjektetsLevetid-1),SUM('3.1 Nyttestrøm'!BE$45:BE$48,BE61:BE63,BE51:BE58,BE65:BE66)*Skattefinansieringsfaktor,"")</f>
        <v/>
      </c>
      <c r="BF94" s="799" t="str">
        <f>IF(BF87&lt;=(Åpningsår+ProsjektetsLevetid-1),SUM('3.1 Nyttestrøm'!BF$45:BF$48,BF61:BF63,BF51:BF58,BF65:BF66)*Skattefinansieringsfaktor,"")</f>
        <v/>
      </c>
      <c r="BG94" s="799" t="str">
        <f>IF(BG87&lt;=(Åpningsår+ProsjektetsLevetid-1),SUM('3.1 Nyttestrøm'!BG$45:BG$48,BG61:BG63,BG51:BG58,BG65:BG66)*Skattefinansieringsfaktor,"")</f>
        <v/>
      </c>
      <c r="BH94" s="799" t="str">
        <f>IF(BH87&lt;=(Åpningsår+ProsjektetsLevetid-1),SUM('3.1 Nyttestrøm'!BH$45:BH$48,BH61:BH63,BH51:BH58,BH65:BH66)*Skattefinansieringsfaktor,"")</f>
        <v/>
      </c>
      <c r="BI94" s="799" t="str">
        <f>IF(BI87&lt;=(Åpningsår+ProsjektetsLevetid-1),SUM('3.1 Nyttestrøm'!BI$45:BI$48,BI61:BI63,BI51:BI58,BI65:BI66)*Skattefinansieringsfaktor,"")</f>
        <v/>
      </c>
      <c r="BJ94" s="799" t="str">
        <f>IF(BJ87&lt;=(Åpningsår+ProsjektetsLevetid-1),SUM('3.1 Nyttestrøm'!BJ$45:BJ$48,BJ61:BJ63,BJ51:BJ58,BJ65:BJ66)*Skattefinansieringsfaktor,"")</f>
        <v/>
      </c>
      <c r="BK94" s="799" t="str">
        <f>IF(BK87&lt;=(Åpningsår+ProsjektetsLevetid-1),SUM('3.1 Nyttestrøm'!BK$45:BK$48,BK61:BK63,BK51:BK58,BK65:BK66)*Skattefinansieringsfaktor,"")</f>
        <v/>
      </c>
      <c r="BL94" s="799" t="str">
        <f>IF(BL87&lt;=(Åpningsår+ProsjektetsLevetid-1),SUM('3.1 Nyttestrøm'!BL$45:BL$48,BL61:BL63,BL51:BL58,BL65:BL66)*Skattefinansieringsfaktor,"")</f>
        <v/>
      </c>
      <c r="BM94" s="799" t="str">
        <f>IF(BM87&lt;=(Åpningsår+ProsjektetsLevetid-1),SUM('3.1 Nyttestrøm'!BM$45:BM$48,BM61:BM63,BM51:BM58,BM65:BM66)*Skattefinansieringsfaktor,"")</f>
        <v/>
      </c>
      <c r="BN94" s="799" t="str">
        <f>IF(BN87&lt;=(Åpningsår+ProsjektetsLevetid-1),SUM('3.1 Nyttestrøm'!BN$45:BN$48,BN61:BN63,BN51:BN58,BN65:BN66)*Skattefinansieringsfaktor,"")</f>
        <v/>
      </c>
      <c r="BO94" s="799" t="str">
        <f>IF(BO87&lt;=(Åpningsår+ProsjektetsLevetid-1),SUM('3.1 Nyttestrøm'!BO$45:BO$48,BO61:BO63,BO51:BO58,BO65:BO66)*Skattefinansieringsfaktor,"")</f>
        <v/>
      </c>
      <c r="BP94" s="799" t="str">
        <f>IF(BP87&lt;=(Åpningsår+ProsjektetsLevetid-1),SUM('3.1 Nyttestrøm'!BP$45:BP$48,BP61:BP63,BP51:BP58,BP65:BP66)*Skattefinansieringsfaktor,"")</f>
        <v/>
      </c>
      <c r="BQ94" s="799" t="str">
        <f>IF(BQ87&lt;=(Åpningsår+ProsjektetsLevetid-1),SUM('3.1 Nyttestrøm'!BQ$45:BQ$48,BQ61:BQ63,BQ51:BQ58,BQ65:BQ66)*Skattefinansieringsfaktor,"")</f>
        <v/>
      </c>
      <c r="BR94" s="799" t="str">
        <f>IF(BR87&lt;=(Åpningsår+ProsjektetsLevetid-1),SUM('3.1 Nyttestrøm'!BR$45:BR$48,BR61:BR63,BR51:BR58,BR65:BR66)*Skattefinansieringsfaktor,"")</f>
        <v/>
      </c>
      <c r="BS94" s="799" t="str">
        <f>IF(BS87&lt;=(Åpningsår+ProsjektetsLevetid-1),SUM('3.1 Nyttestrøm'!BS$45:BS$48,BS61:BS63,BS51:BS58,BS65:BS66)*Skattefinansieringsfaktor,"")</f>
        <v/>
      </c>
      <c r="BT94" s="799" t="str">
        <f>IF(BT87&lt;=(Åpningsår+ProsjektetsLevetid-1),SUM('3.1 Nyttestrøm'!BT$45:BT$48,BT61:BT63,BT51:BT58,BT65:BT66)*Skattefinansieringsfaktor,"")</f>
        <v/>
      </c>
      <c r="BU94" s="799" t="str">
        <f>IF(BU87&lt;=(Åpningsår+ProsjektetsLevetid-1),SUM('3.1 Nyttestrøm'!BU$45:BU$48,BU61:BU63,BU51:BU58,BU65:BU66)*Skattefinansieringsfaktor,"")</f>
        <v/>
      </c>
      <c r="BV94" s="799" t="str">
        <f>IF(BV87&lt;=(Åpningsår+ProsjektetsLevetid-1),SUM('3.1 Nyttestrøm'!BV$45:BV$48,BV61:BV63,BV51:BV58,BV65:BV66)*Skattefinansieringsfaktor,"")</f>
        <v/>
      </c>
      <c r="BW94" s="799" t="str">
        <f>IF(BW87&lt;=(Åpningsår+ProsjektetsLevetid-1),SUM('3.1 Nyttestrøm'!BW$45:BW$48,BW61:BW63,BW51:BW58,BW65:BW66)*Skattefinansieringsfaktor,"")</f>
        <v/>
      </c>
      <c r="BX94" s="799" t="str">
        <f>IF(BX87&lt;=(Åpningsår+ProsjektetsLevetid-1),SUM('3.1 Nyttestrøm'!BX$45:BX$48,BX61:BX63,BX51:BX58,BX65:BX66)*Skattefinansieringsfaktor,"")</f>
        <v/>
      </c>
      <c r="BY94" s="799" t="str">
        <f>IF(BY87&lt;=(Åpningsår+ProsjektetsLevetid-1),SUM('3.1 Nyttestrøm'!BY$45:BY$48,BY61:BY63,BY51:BY58,BY65:BY66)*Skattefinansieringsfaktor,"")</f>
        <v/>
      </c>
      <c r="BZ94" s="799" t="str">
        <f>IF(BZ87&lt;=(Åpningsår+ProsjektetsLevetid-1),SUM('3.1 Nyttestrøm'!BZ$45:BZ$48,BZ61:BZ63,BZ51:BZ58,BZ65:BZ66)*Skattefinansieringsfaktor,"")</f>
        <v/>
      </c>
      <c r="CA94" s="799" t="str">
        <f>IF(CA87&lt;=(Åpningsår+ProsjektetsLevetid-1),SUM('3.1 Nyttestrøm'!CA$45:CA$48,CA61:CA63,CA51:CA58,CA65:CA66)*Skattefinansieringsfaktor,"")</f>
        <v/>
      </c>
      <c r="CB94" s="799" t="str">
        <f>IF(CB87&lt;=(Åpningsår+ProsjektetsLevetid-1),SUM('3.1 Nyttestrøm'!CB$45:CB$48,CB61:CB63,CB51:CB58,CB65:CB66)*Skattefinansieringsfaktor,"")</f>
        <v/>
      </c>
      <c r="CC94" s="799" t="str">
        <f>IF(CC87&lt;=(Åpningsår+ProsjektetsLevetid-1),SUM('3.1 Nyttestrøm'!CC$45:CC$48,CC61:CC63,CC51:CC58,CC65:CC66)*Skattefinansieringsfaktor,"")</f>
        <v/>
      </c>
      <c r="CD94" s="799" t="str">
        <f>IF(CD87&lt;=(Åpningsår+ProsjektetsLevetid-1),SUM('3.1 Nyttestrøm'!CD$45:CD$48,CD61:CD63,CD51:CD58,CD65:CD66)*Skattefinansieringsfaktor,"")</f>
        <v/>
      </c>
      <c r="CE94" s="799" t="str">
        <f>IF(CE87&lt;=(Åpningsår+ProsjektetsLevetid-1),SUM('3.1 Nyttestrøm'!CE$45:CE$48,CE61:CE63,CE51:CE58,CE65:CE66)*Skattefinansieringsfaktor,"")</f>
        <v/>
      </c>
      <c r="CF94" s="799" t="str">
        <f>IF(CF87&lt;=(Åpningsår+ProsjektetsLevetid-1),SUM('3.1 Nyttestrøm'!CF$45:CF$48,CF61:CF63,CF51:CF58,CF65:CF66)*Skattefinansieringsfaktor,"")</f>
        <v/>
      </c>
      <c r="CG94" s="799" t="str">
        <f>IF(CG87&lt;=(Åpningsår+ProsjektetsLevetid-1),SUM('3.1 Nyttestrøm'!CG$45:CG$48,CG61:CG63,CG51:CG58,CG65:CG66)*Skattefinansieringsfaktor,"")</f>
        <v/>
      </c>
      <c r="CH94" s="799" t="str">
        <f>IF(CH87&lt;=(Åpningsår+ProsjektetsLevetid-1),SUM('3.1 Nyttestrøm'!CH$45:CH$48,CH61:CH63,CH51:CH58,CH65:CH66)*Skattefinansieringsfaktor,"")</f>
        <v/>
      </c>
      <c r="CI94" s="799" t="str">
        <f>IF(CI87&lt;=(Åpningsår+ProsjektetsLevetid-1),SUM('3.1 Nyttestrøm'!CI$45:CI$48,CI61:CI63,CI51:CI58,CI65:CI66)*Skattefinansieringsfaktor,"")</f>
        <v/>
      </c>
      <c r="CJ94" s="799" t="str">
        <f>IF(CJ87&lt;=(Åpningsår+ProsjektetsLevetid-1),SUM('3.1 Nyttestrøm'!CJ$45:CJ$48,CJ61:CJ63,CJ51:CJ58,CJ65:CJ66)*Skattefinansieringsfaktor,"")</f>
        <v/>
      </c>
      <c r="CK94" s="799" t="str">
        <f>IF(CK87&lt;=(Åpningsår+ProsjektetsLevetid-1),SUM('3.1 Nyttestrøm'!CK$45:CK$48,CK61:CK63,CK51:CK58,CK65:CK66)*Skattefinansieringsfaktor,"")</f>
        <v/>
      </c>
      <c r="CL94" s="799" t="str">
        <f>IF(CL87&lt;=(Åpningsår+ProsjektetsLevetid-1),SUM('3.1 Nyttestrøm'!CL$45:CL$48,CL61:CL63,CL51:CL58,CL65:CL66)*Skattefinansieringsfaktor,"")</f>
        <v/>
      </c>
      <c r="CM94" s="799" t="str">
        <f>IF(CM87&lt;=(Åpningsår+ProsjektetsLevetid-1),SUM('3.1 Nyttestrøm'!CM$45:CM$48,CM61:CM63,CM51:CM58,CM65:CM66)*Skattefinansieringsfaktor,"")</f>
        <v/>
      </c>
      <c r="CN94" s="799" t="str">
        <f>IF(CN87&lt;=(Åpningsår+ProsjektetsLevetid-1),SUM('3.1 Nyttestrøm'!CN$45:CN$48,CN61:CN63,CN51:CN58,CN65:CN66)*Skattefinansieringsfaktor,"")</f>
        <v/>
      </c>
      <c r="CO94" s="799" t="str">
        <f>IF(CO87&lt;=(Åpningsår+ProsjektetsLevetid-1),SUM('3.1 Nyttestrøm'!CO$45:CO$48,CO61:CO63,CO51:CO58,CO65:CO66)*Skattefinansieringsfaktor,"")</f>
        <v/>
      </c>
      <c r="CP94" s="799" t="str">
        <f>IF(CP87&lt;=(Åpningsår+ProsjektetsLevetid-1),SUM('3.1 Nyttestrøm'!CP$45:CP$48,CP61:CP63,CP51:CP58,CP65:CP66)*Skattefinansieringsfaktor,"")</f>
        <v/>
      </c>
      <c r="CQ94" s="799" t="str">
        <f>IF(CQ87&lt;=(Åpningsår+ProsjektetsLevetid-1),SUM('3.1 Nyttestrøm'!CQ$45:CQ$48,CQ61:CQ63,CQ51:CQ58,CQ65:CQ66)*Skattefinansieringsfaktor,"")</f>
        <v/>
      </c>
      <c r="CR94" s="799" t="str">
        <f>IF(CR87&lt;=(Åpningsår+ProsjektetsLevetid-1),SUM('3.1 Nyttestrøm'!CR$45:CR$48,CR61:CR63,CR51:CR58,CR65:CR66)*Skattefinansieringsfaktor,"")</f>
        <v/>
      </c>
      <c r="CS94" s="799" t="str">
        <f>IF(CS87&lt;=(Åpningsår+ProsjektetsLevetid-1),SUM('3.1 Nyttestrøm'!CS$45:CS$48,CS61:CS63,CS51:CS58,CS65:CS66)*Skattefinansieringsfaktor,"")</f>
        <v/>
      </c>
      <c r="CT94" s="799" t="str">
        <f>IF(CT87&lt;=(Åpningsår+ProsjektetsLevetid-1),SUM('3.1 Nyttestrøm'!CT$45:CT$48,CT61:CT63,CT51:CT58,CT65:CT66)*Skattefinansieringsfaktor,"")</f>
        <v/>
      </c>
      <c r="CU94" s="799" t="str">
        <f>IF(CU87&lt;=(Åpningsår+ProsjektetsLevetid-1),SUM('3.1 Nyttestrøm'!CU$45:CU$48,CU61:CU63,CU51:CU58,CU65:CU66)*Skattefinansieringsfaktor,"")</f>
        <v/>
      </c>
      <c r="CV94" s="799" t="str">
        <f>IF(CV87&lt;=(Åpningsår+ProsjektetsLevetid-1),SUM('3.1 Nyttestrøm'!CV$45:CV$48,CV61:CV63,CV51:CV58,CV65:CV66)*Skattefinansieringsfaktor,"")</f>
        <v/>
      </c>
      <c r="CW94" s="799" t="str">
        <f>IF(CW87&lt;=(Åpningsår+ProsjektetsLevetid-1),SUM('3.1 Nyttestrøm'!CW$45:CW$48,CW61:CW63,CW51:CW58,CW65:CW66)*Skattefinansieringsfaktor,"")</f>
        <v/>
      </c>
      <c r="CX94" s="799" t="str">
        <f>IF(CX87&lt;=(Åpningsår+ProsjektetsLevetid-1),SUM('3.1 Nyttestrøm'!CX$45:CX$48,CX61:CX63,CX51:CX58,CX65:CX66)*Skattefinansieringsfaktor,"")</f>
        <v/>
      </c>
      <c r="CY94" s="799" t="str">
        <f>IF(CY87&lt;=(Åpningsår+ProsjektetsLevetid-1),SUM('3.1 Nyttestrøm'!CY$45:CY$48,CY61:CY63,CY51:CY58,CY65:CY66)*Skattefinansieringsfaktor,"")</f>
        <v/>
      </c>
      <c r="CZ94" s="799" t="str">
        <f>IF(CZ87&lt;=(Åpningsår+ProsjektetsLevetid-1),SUM('3.1 Nyttestrøm'!CZ$45:CZ$48,CZ61:CZ63,CZ51:CZ58,CZ65:CZ66)*Skattefinansieringsfaktor,"")</f>
        <v/>
      </c>
      <c r="DA94" s="799" t="str">
        <f>IF(DA87&lt;=(Åpningsår+ProsjektetsLevetid-1),SUM('3.1 Nyttestrøm'!DA$45:DA$48,DA61:DA63,DA51:DA58,DA65:DA66)*Skattefinansieringsfaktor,"")</f>
        <v/>
      </c>
      <c r="DB94" s="799" t="str">
        <f>IF(DB87&lt;=(Åpningsår+ProsjektetsLevetid-1),SUM('3.1 Nyttestrøm'!DB$45:DB$48,DB61:DB63,DB51:DB58,DB65:DB66)*Skattefinansieringsfaktor,"")</f>
        <v/>
      </c>
      <c r="DC94" s="799" t="str">
        <f>IF(DC87&lt;=(Åpningsår+ProsjektetsLevetid-1),SUM('3.1 Nyttestrøm'!DC$45:DC$48,DC61:DC63,DC51:DC58,DC65:DC66)*Skattefinansieringsfaktor,"")</f>
        <v/>
      </c>
      <c r="DD94" s="799" t="str">
        <f>IF(DD87&lt;=(Åpningsår+ProsjektetsLevetid-1),SUM('3.1 Nyttestrøm'!DD$45:DD$48,DD61:DD63,DD51:DD58,DD65:DD66)*Skattefinansieringsfaktor,"")</f>
        <v/>
      </c>
      <c r="DE94" s="799" t="str">
        <f>IF(DE87&lt;=(Åpningsår+ProsjektetsLevetid-1),SUM('3.1 Nyttestrøm'!DE$45:DE$48,DE61:DE63,DE51:DE58,DE65:DE66)*Skattefinansieringsfaktor,"")</f>
        <v/>
      </c>
      <c r="DF94" s="799" t="str">
        <f>IF(DF87&lt;=(Åpningsår+ProsjektetsLevetid-1),SUM('3.1 Nyttestrøm'!DF$45:DF$48,DF61:DF63,DF51:DF58,DF65:DF66)*Skattefinansieringsfaktor,"")</f>
        <v/>
      </c>
      <c r="DG94" s="799" t="str">
        <f>IF(DG87&lt;=(Åpningsår+ProsjektetsLevetid-1),SUM('3.1 Nyttestrøm'!DG$45:DG$48,DG61:DG63,DG51:DG58,DG65:DG66)*Skattefinansieringsfaktor,"")</f>
        <v/>
      </c>
      <c r="DH94" s="799" t="str">
        <f>IF(DH87&lt;=(Åpningsår+ProsjektetsLevetid-1),SUM('3.1 Nyttestrøm'!DH$45:DH$48,DH61:DH63,DH51:DH58,DH65:DH66)*Skattefinansieringsfaktor,"")</f>
        <v/>
      </c>
      <c r="DI94" s="799" t="str">
        <f>IF(DI87&lt;=(Åpningsår+ProsjektetsLevetid-1),SUM('3.1 Nyttestrøm'!DI$45:DI$48,DI61:DI63,DI51:DI58,DI65:DI66)*Skattefinansieringsfaktor,"")</f>
        <v/>
      </c>
      <c r="DJ94" s="799" t="str">
        <f>IF(DJ87&lt;=(Åpningsår+ProsjektetsLevetid-1),SUM('3.1 Nyttestrøm'!DJ$45:DJ$48,DJ61:DJ63,DJ51:DJ58,DJ65:DJ66)*Skattefinansieringsfaktor,"")</f>
        <v/>
      </c>
      <c r="DK94" s="799" t="str">
        <f>IF(DK87&lt;=(Åpningsår+ProsjektetsLevetid-1),SUM('3.1 Nyttestrøm'!DK$45:DK$48,DK61:DK63,DK51:DK58,DK65:DK66)*Skattefinansieringsfaktor,"")</f>
        <v/>
      </c>
      <c r="DL94" s="799" t="str">
        <f>IF(DL87&lt;=(Åpningsår+ProsjektetsLevetid-1),SUM('3.1 Nyttestrøm'!DL$45:DL$48,DL61:DL63,DL51:DL58,DL65:DL66)*Skattefinansieringsfaktor,"")</f>
        <v/>
      </c>
      <c r="DM94" s="799" t="str">
        <f>IF(DM87&lt;=(Åpningsår+ProsjektetsLevetid-1),SUM('3.1 Nyttestrøm'!DM$45:DM$48,DM61:DM63,DM51:DM58,DM65:DM66)*Skattefinansieringsfaktor,"")</f>
        <v/>
      </c>
      <c r="DN94" s="799" t="str">
        <f>IF(DN87&lt;=(Åpningsår+ProsjektetsLevetid-1),SUM('3.1 Nyttestrøm'!DN$45:DN$48,DN61:DN63,DN51:DN58,DN65:DN66)*Skattefinansieringsfaktor,"")</f>
        <v/>
      </c>
      <c r="DO94" s="799" t="str">
        <f>IF(DO87&lt;=(Åpningsår+ProsjektetsLevetid-1),SUM('3.1 Nyttestrøm'!DO$45:DO$48,DO61:DO63,DO51:DO58,DO65:DO66)*Skattefinansieringsfaktor,"")</f>
        <v/>
      </c>
      <c r="DP94" s="799" t="str">
        <f>IF(DP87&lt;=(Åpningsår+ProsjektetsLevetid-1),SUM('3.1 Nyttestrøm'!DP$45:DP$48,DP61:DP63,DP51:DP58,DP65:DP66)*Skattefinansieringsfaktor,"")</f>
        <v/>
      </c>
      <c r="DQ94" s="799" t="str">
        <f>IF(DQ87&lt;=(Åpningsår+ProsjektetsLevetid-1),SUM('3.1 Nyttestrøm'!DQ$45:DQ$48,DQ61:DQ63,DQ51:DQ58,DQ65:DQ66)*Skattefinansieringsfaktor,"")</f>
        <v/>
      </c>
      <c r="DR94" s="799" t="str">
        <f>IF(DR87&lt;=(Åpningsår+ProsjektetsLevetid-1),SUM('3.1 Nyttestrøm'!DR$45:DR$48,DR61:DR63,DR51:DR58,DR65:DR66)*Skattefinansieringsfaktor,"")</f>
        <v/>
      </c>
      <c r="DS94" s="1022">
        <f ca="1">SUMPRODUCT(('1.5 Prognoser og indekser'!$R$12:OFFSET('1.5 Prognoser og indekser'!$R$12,0,$DS$9)),($M94:OFFSET($M94,0,$DS$9)))</f>
        <v>0</v>
      </c>
      <c r="DT94" s="1023">
        <f ca="1">IF($DT$9&lt;1,0,SUMPRODUCT(OFFSET('1.5 Prognoser og indekser'!$R$12,0,$DS$9+1,1,$DT$9),OFFSET($M94,0,$DS$9+1,1,$DT$9)))</f>
        <v>0</v>
      </c>
    </row>
    <row r="95" spans="3:124" x14ac:dyDescent="0.35">
      <c r="J95"/>
      <c r="K95"/>
      <c r="L95"/>
      <c r="CT95" s="56"/>
    </row>
    <row r="96" spans="3:124" x14ac:dyDescent="0.35">
      <c r="CT96" s="56"/>
    </row>
    <row r="97" spans="10:98" x14ac:dyDescent="0.35">
      <c r="J97" s="521"/>
      <c r="L97" s="562"/>
      <c r="M97" s="518"/>
      <c r="CT97" s="56"/>
    </row>
    <row r="98" spans="10:98" x14ac:dyDescent="0.35">
      <c r="N98" s="202"/>
    </row>
    <row r="99" spans="10:98" x14ac:dyDescent="0.35">
      <c r="L99" s="563"/>
    </row>
    <row r="100" spans="10:98" x14ac:dyDescent="0.35">
      <c r="J100" s="522"/>
      <c r="N100" s="202"/>
    </row>
    <row r="101" spans="10:98" x14ac:dyDescent="0.35">
      <c r="CT101" s="5"/>
    </row>
    <row r="104" spans="10:98" x14ac:dyDescent="0.35">
      <c r="J104"/>
      <c r="K104"/>
      <c r="L104"/>
    </row>
  </sheetData>
  <mergeCells count="15">
    <mergeCell ref="D10:F10"/>
    <mergeCell ref="J10:K10"/>
    <mergeCell ref="D29:F29"/>
    <mergeCell ref="J29:K29"/>
    <mergeCell ref="D87:F87"/>
    <mergeCell ref="J87:K87"/>
    <mergeCell ref="D43:F43"/>
    <mergeCell ref="J43:K43"/>
    <mergeCell ref="D67:F67"/>
    <mergeCell ref="J67:K67"/>
    <mergeCell ref="G10:I10"/>
    <mergeCell ref="G29:I29"/>
    <mergeCell ref="G43:I43"/>
    <mergeCell ref="G67:I67"/>
    <mergeCell ref="G87:I87"/>
  </mergeCells>
  <pageMargins left="0.7" right="0.7" top="0.75" bottom="0.75" header="0.3" footer="0.3"/>
  <pageSetup paperSize="9" orientation="landscape" r:id="rId1"/>
  <drawing r:id="rId2"/>
  <legacyDrawing r:id="rId3"/>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DD2252-8750-4C36-9692-6E27E3F1266D}">
  <sheetPr codeName="Ark23">
    <tabColor theme="3"/>
  </sheetPr>
  <dimension ref="B3:S47"/>
  <sheetViews>
    <sheetView showGridLines="0" zoomScaleNormal="100" workbookViewId="0"/>
  </sheetViews>
  <sheetFormatPr baseColWidth="10" defaultColWidth="11.453125" defaultRowHeight="14.5" x14ac:dyDescent="0.35"/>
  <cols>
    <col min="2" max="2" width="50.26953125" bestFit="1" customWidth="1"/>
    <col min="3" max="3" width="51.7265625" bestFit="1" customWidth="1"/>
    <col min="4" max="4" width="17.81640625" bestFit="1" customWidth="1"/>
    <col min="5" max="5" width="17.54296875" customWidth="1"/>
    <col min="6" max="6" width="13.54296875" customWidth="1"/>
    <col min="7" max="7" width="12" customWidth="1"/>
    <col min="8" max="8" width="17.7265625" customWidth="1"/>
    <col min="9" max="9" width="17.26953125" customWidth="1"/>
    <col min="10" max="10" width="17.7265625" bestFit="1" customWidth="1"/>
    <col min="11" max="11" width="17.7265625" customWidth="1"/>
    <col min="12" max="12" width="13.81640625" customWidth="1"/>
    <col min="13" max="13" width="13.7265625" customWidth="1"/>
    <col min="14" max="14" width="17.7265625" bestFit="1" customWidth="1"/>
    <col min="15" max="15" width="17.7265625" customWidth="1"/>
    <col min="16" max="16" width="23.54296875" bestFit="1" customWidth="1"/>
    <col min="17" max="17" width="13.54296875" bestFit="1" customWidth="1"/>
    <col min="18" max="18" width="13.54296875" customWidth="1"/>
    <col min="19" max="19" width="11.54296875" bestFit="1" customWidth="1"/>
    <col min="20" max="20" width="20" customWidth="1"/>
    <col min="21" max="21" width="23.7265625" customWidth="1"/>
    <col min="22" max="22" width="22.81640625" customWidth="1"/>
    <col min="23" max="23" width="28.81640625" customWidth="1"/>
    <col min="24" max="24" width="28.7265625" customWidth="1"/>
  </cols>
  <sheetData>
    <row r="3" spans="2:19" ht="15" thickBot="1" x14ac:dyDescent="0.4"/>
    <row r="4" spans="2:19" ht="18.5" x14ac:dyDescent="0.45">
      <c r="B4" s="290" t="s">
        <v>717</v>
      </c>
      <c r="C4" s="209"/>
    </row>
    <row r="5" spans="2:19" x14ac:dyDescent="0.35">
      <c r="B5" s="212" t="s">
        <v>1607</v>
      </c>
      <c r="C5" s="1029" t="s">
        <v>721</v>
      </c>
    </row>
    <row r="6" spans="2:19" x14ac:dyDescent="0.35">
      <c r="B6" s="212" t="s">
        <v>1608</v>
      </c>
      <c r="C6" s="700" t="s">
        <v>1609</v>
      </c>
    </row>
    <row r="7" spans="2:19" ht="15" thickBot="1" x14ac:dyDescent="0.4">
      <c r="B7" s="252" t="s">
        <v>1610</v>
      </c>
      <c r="C7" s="1043" t="s">
        <v>1611</v>
      </c>
    </row>
    <row r="10" spans="2:19" ht="15" thickBot="1" x14ac:dyDescent="0.4"/>
    <row r="11" spans="2:19" ht="21" x14ac:dyDescent="0.5">
      <c r="C11" s="207" t="s">
        <v>1612</v>
      </c>
      <c r="D11" s="208"/>
      <c r="E11" s="208"/>
      <c r="F11" s="208"/>
      <c r="G11" s="208"/>
      <c r="H11" s="208"/>
      <c r="I11" s="208"/>
      <c r="J11" s="208"/>
      <c r="K11" s="208"/>
      <c r="L11" s="208"/>
      <c r="M11" s="208"/>
      <c r="N11" s="208"/>
      <c r="O11" s="208"/>
      <c r="P11" s="208"/>
      <c r="Q11" s="208"/>
      <c r="R11" s="208"/>
      <c r="S11" s="209"/>
    </row>
    <row r="12" spans="2:19" ht="18.5" x14ac:dyDescent="0.45">
      <c r="C12" s="247"/>
      <c r="D12" s="1261" t="s">
        <v>1613</v>
      </c>
      <c r="E12" s="1261"/>
      <c r="F12" s="1261" t="s">
        <v>1614</v>
      </c>
      <c r="G12" s="1261"/>
      <c r="H12" s="1261"/>
      <c r="I12" s="1261"/>
      <c r="J12" s="10"/>
      <c r="K12" s="10"/>
      <c r="L12" s="10"/>
      <c r="M12" s="10"/>
      <c r="N12" s="1261" t="s">
        <v>1615</v>
      </c>
      <c r="O12" s="1261"/>
      <c r="P12" s="10" t="s">
        <v>534</v>
      </c>
      <c r="Q12" s="1261" t="s">
        <v>1616</v>
      </c>
      <c r="R12" s="1261"/>
      <c r="S12" s="241" t="s">
        <v>1339</v>
      </c>
    </row>
    <row r="13" spans="2:19" x14ac:dyDescent="0.35">
      <c r="C13" s="1027" t="s">
        <v>1617</v>
      </c>
      <c r="D13" s="450"/>
      <c r="E13" s="450"/>
      <c r="F13" s="450"/>
      <c r="G13" s="450"/>
      <c r="H13" s="450"/>
      <c r="I13" s="450"/>
      <c r="J13" s="17"/>
      <c r="K13" s="17"/>
      <c r="L13" s="17"/>
      <c r="M13" s="17"/>
      <c r="N13" s="450"/>
      <c r="O13" s="450"/>
      <c r="P13" s="23"/>
      <c r="Q13" s="23"/>
      <c r="R13" s="23"/>
      <c r="S13" s="376"/>
    </row>
    <row r="14" spans="2:19" x14ac:dyDescent="0.35">
      <c r="C14" s="229" t="s">
        <v>1618</v>
      </c>
      <c r="D14" s="1026"/>
      <c r="E14" s="1040"/>
      <c r="F14" s="1026"/>
      <c r="G14" s="1040"/>
      <c r="H14" s="17"/>
      <c r="I14" s="17"/>
      <c r="J14" s="17"/>
      <c r="K14" s="17"/>
      <c r="L14" s="17"/>
      <c r="M14" s="17"/>
      <c r="N14" s="1033">
        <f>D14*F14</f>
        <v>0</v>
      </c>
      <c r="O14" s="1033">
        <f>E14*G14</f>
        <v>0</v>
      </c>
      <c r="P14" s="17" t="s">
        <v>1619</v>
      </c>
      <c r="Q14" s="1262" t="s">
        <v>1620</v>
      </c>
      <c r="R14" s="1263" t="s">
        <v>1621</v>
      </c>
      <c r="S14" s="1265"/>
    </row>
    <row r="15" spans="2:19" x14ac:dyDescent="0.35">
      <c r="C15" s="229" t="s">
        <v>1622</v>
      </c>
      <c r="D15" s="1026"/>
      <c r="E15" s="1040"/>
      <c r="F15" s="1026"/>
      <c r="G15" s="1040"/>
      <c r="H15" s="17"/>
      <c r="I15" s="17"/>
      <c r="J15" s="17"/>
      <c r="K15" s="17"/>
      <c r="L15" s="17"/>
      <c r="M15" s="17"/>
      <c r="N15" s="1044">
        <f>D15*F15</f>
        <v>0</v>
      </c>
      <c r="O15" s="1044">
        <f>E15*G15</f>
        <v>0</v>
      </c>
      <c r="P15" s="17" t="s">
        <v>1619</v>
      </c>
      <c r="Q15" s="1262"/>
      <c r="R15" s="1263"/>
      <c r="S15" s="1265"/>
    </row>
    <row r="16" spans="2:19" x14ac:dyDescent="0.35">
      <c r="C16" s="229" t="s">
        <v>1623</v>
      </c>
      <c r="D16" s="1026"/>
      <c r="E16" s="1040"/>
      <c r="F16" s="1026"/>
      <c r="G16" s="1040"/>
      <c r="H16" s="1026"/>
      <c r="I16" s="1040"/>
      <c r="J16" s="17"/>
      <c r="K16" s="17"/>
      <c r="L16" s="17"/>
      <c r="M16" s="17"/>
      <c r="N16" s="1044">
        <f>D16*H16*F16</f>
        <v>0</v>
      </c>
      <c r="O16" s="1033">
        <f>E16*I16*G16</f>
        <v>0</v>
      </c>
      <c r="P16" s="17" t="s">
        <v>1624</v>
      </c>
      <c r="Q16" s="1034" t="s">
        <v>1620</v>
      </c>
      <c r="R16" s="1034" t="s">
        <v>1621</v>
      </c>
      <c r="S16" s="376"/>
    </row>
    <row r="17" spans="3:19" x14ac:dyDescent="0.35">
      <c r="C17" s="229" t="s">
        <v>1625</v>
      </c>
      <c r="D17" s="17"/>
      <c r="E17" s="17"/>
      <c r="F17" s="1026"/>
      <c r="G17" s="1040"/>
      <c r="H17" s="17"/>
      <c r="I17" s="17"/>
      <c r="J17" s="17"/>
      <c r="K17" s="17"/>
      <c r="L17" s="17"/>
      <c r="M17" s="17"/>
      <c r="N17" s="1033">
        <f t="shared" ref="N17:O19" si="0">F17</f>
        <v>0</v>
      </c>
      <c r="O17" s="1033">
        <f t="shared" si="0"/>
        <v>0</v>
      </c>
      <c r="P17" s="17" t="s">
        <v>1626</v>
      </c>
      <c r="Q17" s="1034" t="s">
        <v>1620</v>
      </c>
      <c r="R17" s="1034" t="s">
        <v>1621</v>
      </c>
      <c r="S17" s="376"/>
    </row>
    <row r="18" spans="3:19" x14ac:dyDescent="0.35">
      <c r="C18" s="229" t="s">
        <v>1627</v>
      </c>
      <c r="D18" s="23"/>
      <c r="E18" s="23"/>
      <c r="F18" s="1026"/>
      <c r="G18" s="1040"/>
      <c r="H18" s="17"/>
      <c r="I18" s="17"/>
      <c r="J18" s="17"/>
      <c r="K18" s="17"/>
      <c r="L18" s="17"/>
      <c r="M18" s="17"/>
      <c r="N18" s="1033">
        <f t="shared" si="0"/>
        <v>0</v>
      </c>
      <c r="O18" s="1033">
        <f t="shared" si="0"/>
        <v>0</v>
      </c>
      <c r="P18" s="17" t="s">
        <v>1628</v>
      </c>
      <c r="Q18" s="1034" t="s">
        <v>1620</v>
      </c>
      <c r="R18" s="1034" t="s">
        <v>1621</v>
      </c>
      <c r="S18" s="376"/>
    </row>
    <row r="19" spans="3:19" x14ac:dyDescent="0.35">
      <c r="C19" s="229" t="s">
        <v>1629</v>
      </c>
      <c r="D19" s="17"/>
      <c r="E19" s="17"/>
      <c r="F19" s="1026"/>
      <c r="G19" s="1040"/>
      <c r="H19" s="17"/>
      <c r="I19" s="17"/>
      <c r="J19" s="17"/>
      <c r="K19" s="17"/>
      <c r="L19" s="17"/>
      <c r="M19" s="17"/>
      <c r="N19" s="1033">
        <f t="shared" si="0"/>
        <v>0</v>
      </c>
      <c r="O19" s="1033">
        <f t="shared" si="0"/>
        <v>0</v>
      </c>
      <c r="P19" s="17" t="s">
        <v>1628</v>
      </c>
      <c r="Q19" s="1034" t="s">
        <v>1620</v>
      </c>
      <c r="R19" s="1034" t="s">
        <v>1621</v>
      </c>
      <c r="S19" s="376"/>
    </row>
    <row r="20" spans="3:19" ht="18.5" x14ac:dyDescent="0.45">
      <c r="C20" s="247"/>
      <c r="D20" s="1261"/>
      <c r="E20" s="1261"/>
      <c r="F20" s="1261"/>
      <c r="G20" s="1261"/>
      <c r="H20" s="1261"/>
      <c r="I20" s="1261"/>
      <c r="J20" s="1261"/>
      <c r="K20" s="1261"/>
      <c r="L20" s="1261"/>
      <c r="M20" s="1261"/>
      <c r="N20" s="10"/>
      <c r="O20" s="10"/>
      <c r="P20" s="10"/>
      <c r="Q20" s="134"/>
      <c r="R20" s="134"/>
      <c r="S20" s="241"/>
    </row>
    <row r="21" spans="3:19" x14ac:dyDescent="0.35">
      <c r="C21" s="1027" t="s">
        <v>1630</v>
      </c>
      <c r="D21" s="1035"/>
      <c r="E21" s="1035"/>
      <c r="F21" s="1035"/>
      <c r="G21" s="1035"/>
      <c r="H21" s="1035"/>
      <c r="I21" s="1035"/>
      <c r="J21" s="1035"/>
      <c r="K21" s="1035"/>
      <c r="L21" s="1035"/>
      <c r="M21" s="1035"/>
      <c r="N21" s="450"/>
      <c r="O21" s="450"/>
      <c r="P21" s="23"/>
      <c r="Q21" s="450"/>
      <c r="R21" s="450"/>
      <c r="S21" s="376"/>
    </row>
    <row r="22" spans="3:19" x14ac:dyDescent="0.35">
      <c r="C22" s="229" t="s">
        <v>1631</v>
      </c>
      <c r="D22" s="1028"/>
      <c r="E22" s="1039"/>
      <c r="F22" s="1026"/>
      <c r="G22" s="1040"/>
      <c r="H22" s="1026"/>
      <c r="I22" s="1040"/>
      <c r="J22" s="1026"/>
      <c r="K22" s="1040"/>
      <c r="L22" s="204"/>
      <c r="M22" s="204"/>
      <c r="N22" s="1037">
        <f t="shared" ref="N22:O25" si="1">(D22*F22*H22*J22)/1000000</f>
        <v>0</v>
      </c>
      <c r="O22" s="1030">
        <f t="shared" si="1"/>
        <v>0</v>
      </c>
      <c r="P22" s="17" t="s">
        <v>1632</v>
      </c>
      <c r="Q22" s="1262" t="s">
        <v>1620</v>
      </c>
      <c r="R22" s="1263" t="s">
        <v>1621</v>
      </c>
      <c r="S22" s="1265"/>
    </row>
    <row r="23" spans="3:19" x14ac:dyDescent="0.35">
      <c r="C23" s="229" t="s">
        <v>1633</v>
      </c>
      <c r="D23" s="1028"/>
      <c r="E23" s="1039"/>
      <c r="F23" s="1026"/>
      <c r="G23" s="1040"/>
      <c r="H23" s="1026"/>
      <c r="I23" s="1040"/>
      <c r="J23" s="1026"/>
      <c r="K23" s="1040"/>
      <c r="L23" s="204"/>
      <c r="M23" s="204"/>
      <c r="N23" s="1037">
        <f t="shared" si="1"/>
        <v>0</v>
      </c>
      <c r="O23" s="1030">
        <f t="shared" si="1"/>
        <v>0</v>
      </c>
      <c r="P23" s="17" t="s">
        <v>1632</v>
      </c>
      <c r="Q23" s="1262"/>
      <c r="R23" s="1263"/>
      <c r="S23" s="1265"/>
    </row>
    <row r="24" spans="3:19" x14ac:dyDescent="0.35">
      <c r="C24" s="229" t="s">
        <v>1634</v>
      </c>
      <c r="D24" s="1026"/>
      <c r="E24" s="1040"/>
      <c r="F24" s="1026"/>
      <c r="G24" s="1040"/>
      <c r="H24" s="1026"/>
      <c r="I24" s="1040"/>
      <c r="J24" s="1026"/>
      <c r="K24" s="1040"/>
      <c r="L24" s="204"/>
      <c r="M24" s="204"/>
      <c r="N24" s="1037">
        <f t="shared" si="1"/>
        <v>0</v>
      </c>
      <c r="O24" s="1030">
        <f t="shared" si="1"/>
        <v>0</v>
      </c>
      <c r="P24" s="17" t="s">
        <v>1632</v>
      </c>
      <c r="Q24" s="1262" t="s">
        <v>1620</v>
      </c>
      <c r="R24" s="1263" t="s">
        <v>1621</v>
      </c>
      <c r="S24" s="1265"/>
    </row>
    <row r="25" spans="3:19" x14ac:dyDescent="0.35">
      <c r="C25" s="229" t="s">
        <v>1635</v>
      </c>
      <c r="D25" s="1028"/>
      <c r="E25" s="1039"/>
      <c r="F25" s="1026"/>
      <c r="G25" s="1040"/>
      <c r="H25" s="1026"/>
      <c r="I25" s="1040"/>
      <c r="J25" s="1026"/>
      <c r="K25" s="1040"/>
      <c r="L25" s="204"/>
      <c r="M25" s="204"/>
      <c r="N25" s="1037">
        <f t="shared" si="1"/>
        <v>0</v>
      </c>
      <c r="O25" s="1030">
        <f t="shared" si="1"/>
        <v>0</v>
      </c>
      <c r="P25" s="17" t="s">
        <v>1632</v>
      </c>
      <c r="Q25" s="1262"/>
      <c r="R25" s="1263"/>
      <c r="S25" s="1265"/>
    </row>
    <row r="26" spans="3:19" x14ac:dyDescent="0.35">
      <c r="C26" s="229" t="s">
        <v>1636</v>
      </c>
      <c r="D26" s="1028"/>
      <c r="E26" s="1039"/>
      <c r="F26" s="1026"/>
      <c r="G26" s="1040"/>
      <c r="H26" s="1026"/>
      <c r="I26" s="1040"/>
      <c r="J26" s="1026"/>
      <c r="K26" s="1040"/>
      <c r="L26" s="1026"/>
      <c r="M26" s="1040"/>
      <c r="N26" s="1037">
        <f>(D26*F26*H26*J26*L26)/1000000</f>
        <v>0</v>
      </c>
      <c r="O26" s="1030">
        <f>(E26*G26*I26*K26*M26)/1000000</f>
        <v>0</v>
      </c>
      <c r="P26" s="17" t="s">
        <v>1632</v>
      </c>
      <c r="Q26" s="1262" t="s">
        <v>1620</v>
      </c>
      <c r="R26" s="1263" t="s">
        <v>1621</v>
      </c>
      <c r="S26" s="1265"/>
    </row>
    <row r="27" spans="3:19" x14ac:dyDescent="0.35">
      <c r="C27" s="229" t="s">
        <v>1637</v>
      </c>
      <c r="D27" s="1028"/>
      <c r="E27" s="1039"/>
      <c r="F27" s="1026"/>
      <c r="G27" s="1040"/>
      <c r="H27" s="1026"/>
      <c r="I27" s="1040"/>
      <c r="J27" s="1026"/>
      <c r="K27" s="1040"/>
      <c r="L27" s="1026"/>
      <c r="M27" s="1040"/>
      <c r="N27" s="1038">
        <f>D27*F27*H27*J27*L27/1000000</f>
        <v>0</v>
      </c>
      <c r="O27" s="1036">
        <f>E27*G27*I27*K27*M27/1000000</f>
        <v>0</v>
      </c>
      <c r="P27" s="17" t="s">
        <v>1632</v>
      </c>
      <c r="Q27" s="1262"/>
      <c r="R27" s="1263"/>
      <c r="S27" s="1265"/>
    </row>
    <row r="28" spans="3:19" x14ac:dyDescent="0.35">
      <c r="C28" s="229" t="s">
        <v>1638</v>
      </c>
      <c r="D28" s="1028"/>
      <c r="E28" s="1039"/>
      <c r="F28" s="204"/>
      <c r="G28" s="204"/>
      <c r="H28" s="1026"/>
      <c r="I28" s="1040"/>
      <c r="J28" s="204"/>
      <c r="K28" s="204"/>
      <c r="L28" s="204"/>
      <c r="M28" s="204"/>
      <c r="N28" s="1037">
        <f>(D28*H28)/1000000</f>
        <v>0</v>
      </c>
      <c r="O28" s="1030">
        <f>(E28*I28)/1000000</f>
        <v>0</v>
      </c>
      <c r="P28" s="17" t="s">
        <v>1632</v>
      </c>
      <c r="Q28" s="1061" t="s">
        <v>1620</v>
      </c>
      <c r="R28" s="1062" t="s">
        <v>1621</v>
      </c>
      <c r="S28" s="376"/>
    </row>
    <row r="29" spans="3:19" x14ac:dyDescent="0.35">
      <c r="C29" s="229" t="s">
        <v>1639</v>
      </c>
      <c r="D29" s="1028"/>
      <c r="E29" s="1039"/>
      <c r="F29" s="1032"/>
      <c r="G29" s="1041"/>
      <c r="H29" s="1026"/>
      <c r="I29" s="1040"/>
      <c r="J29" s="204"/>
      <c r="K29" s="204"/>
      <c r="L29" s="204"/>
      <c r="M29" s="204"/>
      <c r="N29" s="1037">
        <f>(D29*F29*H29)/1000000</f>
        <v>0</v>
      </c>
      <c r="O29" s="1030">
        <f>(E29*G29*I29)/1000000</f>
        <v>0</v>
      </c>
      <c r="P29" s="17" t="s">
        <v>1632</v>
      </c>
      <c r="Q29" s="1061" t="s">
        <v>1620</v>
      </c>
      <c r="R29" s="1062" t="s">
        <v>1621</v>
      </c>
      <c r="S29" s="376"/>
    </row>
    <row r="30" spans="3:19" x14ac:dyDescent="0.35">
      <c r="C30" s="229" t="s">
        <v>1640</v>
      </c>
      <c r="D30" s="1028"/>
      <c r="E30" s="1039"/>
      <c r="F30" s="1031"/>
      <c r="G30" s="1042"/>
      <c r="H30" s="1026"/>
      <c r="I30" s="1040"/>
      <c r="J30" s="204"/>
      <c r="K30" s="204"/>
      <c r="L30" s="204"/>
      <c r="M30" s="204"/>
      <c r="N30" s="1037">
        <f>(D30*F30*H30)/1000000</f>
        <v>0</v>
      </c>
      <c r="O30" s="1030">
        <f>(E30*G30*I30)/1000000</f>
        <v>0</v>
      </c>
      <c r="P30" s="17" t="s">
        <v>1632</v>
      </c>
      <c r="Q30" s="1263" t="s">
        <v>1620</v>
      </c>
      <c r="R30" s="1263" t="s">
        <v>1621</v>
      </c>
      <c r="S30" s="1266"/>
    </row>
    <row r="31" spans="3:19" ht="15" thickBot="1" x14ac:dyDescent="0.4">
      <c r="C31" s="1063" t="s">
        <v>1641</v>
      </c>
      <c r="D31" s="1064"/>
      <c r="E31" s="1065"/>
      <c r="F31" s="1066"/>
      <c r="G31" s="1067"/>
      <c r="H31" s="1066"/>
      <c r="I31" s="1067"/>
      <c r="J31" s="1068"/>
      <c r="K31" s="1068"/>
      <c r="L31" s="1068"/>
      <c r="M31" s="1068"/>
      <c r="N31" s="1069">
        <f>-(D31*F31*H31)/1000000</f>
        <v>0</v>
      </c>
      <c r="O31" s="1070">
        <f>-(E31*G31*I31)/1000000</f>
        <v>0</v>
      </c>
      <c r="P31" s="301" t="s">
        <v>1632</v>
      </c>
      <c r="Q31" s="1264"/>
      <c r="R31" s="1264"/>
      <c r="S31" s="1267"/>
    </row>
    <row r="32" spans="3:19" ht="15" thickBot="1" x14ac:dyDescent="0.4"/>
    <row r="33" spans="3:18" ht="18.5" x14ac:dyDescent="0.45">
      <c r="C33" s="290" t="s">
        <v>1642</v>
      </c>
      <c r="D33" s="257" t="s">
        <v>1643</v>
      </c>
      <c r="E33" s="257"/>
      <c r="F33" s="257" t="s">
        <v>1616</v>
      </c>
      <c r="G33" s="257"/>
      <c r="H33" s="257"/>
      <c r="I33" s="1050"/>
    </row>
    <row r="34" spans="3:18" ht="15" customHeight="1" x14ac:dyDescent="0.35">
      <c r="C34" s="685" t="s">
        <v>1644</v>
      </c>
      <c r="D34" s="1045" cm="1">
        <f t="array" ref="D34">_xlfn.IFS(AND(O14=0,O15=0),N14+N15,AND(O14=0,O15&gt;0),CONCATENATE(ROUND(N14+N15,0),"-",ROUND(N14+O15,0)),AND(O14&gt;0,O15=0),CONCATENATE(ROUND(N14+N15,0),"-",ROUND(O14+N15,0)),AND(O14&gt;0,O15&gt;0),CONCATENATE(ROUND(N14+N15,0),"-",ROUND(O14+O15,0)))</f>
        <v>0</v>
      </c>
      <c r="E34" t="s">
        <v>1619</v>
      </c>
      <c r="F34" cm="1">
        <f t="array" ref="F34">_xlfn.IFS(Q14="Lav",-1,Q14="Moderat",0,Q14="Høy",1)</f>
        <v>0</v>
      </c>
      <c r="G34" s="1053" t="str" cm="1">
        <f t="array" ref="G34">_xlfn.IFS(R14="Symmetrisk","Uvisst om estimatet er under- eller overvurdert",R14="Venstreskjev","Mulig mindre nytte/kostnad",R14="Høyreskjev","Mulig større nytte/Kostnad")</f>
        <v>Uvisst om estimatet er under- eller overvurdert</v>
      </c>
      <c r="I34" s="1052"/>
    </row>
    <row r="35" spans="3:18" ht="15" customHeight="1" x14ac:dyDescent="0.35">
      <c r="C35" s="685" t="s">
        <v>1623</v>
      </c>
      <c r="D35" s="1045">
        <f>IF(O16=0,ROUND(N16,0),CONCATENATE(ROUND(N16,0),"-",ROUND(O16,0)))</f>
        <v>0</v>
      </c>
      <c r="E35" t="s">
        <v>1624</v>
      </c>
      <c r="F35" cm="1">
        <f t="array" ref="F35">_xlfn.IFS(Q16="Lav",-1,Q16="Moderat",0,Q16="Høy",1)</f>
        <v>0</v>
      </c>
      <c r="G35" s="1053" t="str" cm="1">
        <f t="array" ref="G35">_xlfn.IFS(R16="Symmetrisk","Uvisst om estimatet er under- eller overvurdert",R16="Venstreskjev","Mulig mindre nytte/kostnad",R16="Høyreskjev","Mulig større nytte/Kostnad")</f>
        <v>Uvisst om estimatet er under- eller overvurdert</v>
      </c>
      <c r="I35" s="1052"/>
      <c r="N35" s="73"/>
      <c r="O35" s="73"/>
      <c r="P35" s="73"/>
      <c r="Q35" s="73"/>
      <c r="R35" s="73"/>
    </row>
    <row r="36" spans="3:18" ht="15" customHeight="1" x14ac:dyDescent="0.35">
      <c r="C36" s="685" t="s">
        <v>1625</v>
      </c>
      <c r="D36" s="1045">
        <f>IF(O17=0,ROUND(N17,0),CONCATENATE(ROUND(N17,0),"-",ROUND(O17,0)))</f>
        <v>0</v>
      </c>
      <c r="E36" t="s">
        <v>1626</v>
      </c>
      <c r="F36" cm="1">
        <f t="array" ref="F36">_xlfn.IFS(Q17="Lav",-1,Q17="Moderat",0,Q17="Høy",1)</f>
        <v>0</v>
      </c>
      <c r="G36" s="1053" t="str" cm="1">
        <f t="array" ref="G36">_xlfn.IFS(R17="Symmetrisk","Uvisst om estimatet er under- eller overvurdert",R17="Venstreskjev","Mulig mindre nytte/kostnad",R17="Høyreskjev","Mulig større nytte/Kostnad")</f>
        <v>Uvisst om estimatet er under- eller overvurdert</v>
      </c>
      <c r="I36" s="1052"/>
      <c r="N36" s="73"/>
      <c r="O36" s="73"/>
      <c r="P36" s="73"/>
      <c r="Q36" s="73"/>
      <c r="R36" s="73"/>
    </row>
    <row r="37" spans="3:18" ht="15" customHeight="1" x14ac:dyDescent="0.35">
      <c r="C37" s="685" t="s">
        <v>1627</v>
      </c>
      <c r="D37" s="1046">
        <f>IF(O18=0,ROUND(N18,1),CONCATENATE(ROUND(N18,1),"-",ROUND(O18,1)))</f>
        <v>0</v>
      </c>
      <c r="E37" t="s">
        <v>1628</v>
      </c>
      <c r="F37" cm="1">
        <f t="array" ref="F37">_xlfn.IFS(Q18="Lav",-1,Q18="Moderat",0,Q18="Høy",1)</f>
        <v>0</v>
      </c>
      <c r="G37" s="1053" t="str" cm="1">
        <f t="array" ref="G37">_xlfn.IFS(R18="Symmetrisk","Uvisst om estimatet er under- eller overvurdert",R18="Venstreskjev","Mulig mindre nytte/kostnad",R18="Høyreskjev","Mulig større nytte/Kostnad")</f>
        <v>Uvisst om estimatet er under- eller overvurdert</v>
      </c>
      <c r="I37" s="1052"/>
      <c r="N37" s="73"/>
      <c r="O37" s="73"/>
      <c r="P37" s="73"/>
    </row>
    <row r="38" spans="3:18" ht="15" customHeight="1" x14ac:dyDescent="0.35">
      <c r="C38" s="685" t="s">
        <v>1629</v>
      </c>
      <c r="D38" s="1046">
        <f>IF(O19=0,ROUND(N19,1),CONCATENATE(ROUND(N19,1),"-",ROUND(O19,1)))</f>
        <v>0</v>
      </c>
      <c r="E38" t="s">
        <v>1628</v>
      </c>
      <c r="F38" cm="1">
        <f t="array" ref="F38">_xlfn.IFS(Q19="Lav",-1,Q19="Moderat",0,Q19="Høy",1)</f>
        <v>0</v>
      </c>
      <c r="G38" s="1053" t="str" cm="1">
        <f t="array" ref="G38">_xlfn.IFS(R19="Symmetrisk","Uvisst om estimatet er under- eller overvurdert",R19="Venstreskjev","Mulig mindre nytte/kostnad",R19="Høyreskjev","Mulig større nytte/Kostnad")</f>
        <v>Uvisst om estimatet er under- eller overvurdert</v>
      </c>
      <c r="I38" s="1052"/>
    </row>
    <row r="39" spans="3:18" ht="15" customHeight="1" x14ac:dyDescent="0.35">
      <c r="C39" s="685" t="s">
        <v>1645</v>
      </c>
      <c r="D39" s="1047" cm="1">
        <f t="array" ref="D39">_xlfn.IFS(AND(O22=0,O23=0),N22+N23,AND(O22=0,O23&gt;0),CONCATENATE(ROUND(N22+N23,2),"-",ROUND(N22+O23,2)),AND(O22&gt;0,O23=0),CONCATENATE(ROUND(N22+N23,2),"-",ROUND(O22+N23,2)),AND(O22&gt;0,O23&gt;0),CONCATENATE(ROUND(N22+N23,2),"-",ROUND(O22+O23,2)))</f>
        <v>0</v>
      </c>
      <c r="E39" t="s">
        <v>1632</v>
      </c>
      <c r="F39" cm="1">
        <f t="array" ref="F39">_xlfn.IFS(Q22="Lav",-1,Q22="Moderat",0,Q22="Høy",1)</f>
        <v>0</v>
      </c>
      <c r="G39" s="1053" t="str" cm="1">
        <f t="array" ref="G39">_xlfn.IFS(R22="Symmetrisk","Uvisst om estimatet er under- eller overvurdert",R22="Venstreskjev","Mulig mindre nytte/kostnad",R22="Høyreskjev","Mulig større nytte/Kostnad")</f>
        <v>Uvisst om estimatet er under- eller overvurdert</v>
      </c>
      <c r="I39" s="1052"/>
      <c r="N39" s="73"/>
      <c r="O39" s="73"/>
      <c r="P39" s="73"/>
      <c r="Q39" s="73"/>
      <c r="R39" s="73"/>
    </row>
    <row r="40" spans="3:18" ht="15" customHeight="1" x14ac:dyDescent="0.35">
      <c r="C40" s="685" t="s">
        <v>1646</v>
      </c>
      <c r="D40" s="1047" cm="1">
        <f t="array" ref="D40">_xlfn.IFS(AND(O24=0,O25=0),N24+N25,AND(O24=0,O25&gt;0),CONCATENATE(ROUND(N24+N25,2),"-",ROUND(N24+O25,2)),AND(O24&gt;0,O25=0),CONCATENATE(ROUND(N24+N25,2),"-",ROUND(O24+N25,2)),AND(O24&gt;0,O25&gt;0),CONCATENATE(ROUND(N24+N25,2),"-",ROUND(O24+O25,2)))</f>
        <v>0</v>
      </c>
      <c r="E40" t="s">
        <v>1632</v>
      </c>
      <c r="F40" cm="1">
        <f t="array" ref="F40">_xlfn.IFS(Q24="Lav",-1,Q24="Moderat",0,Q24="Høy",1)</f>
        <v>0</v>
      </c>
      <c r="G40" s="1053" t="str" cm="1">
        <f t="array" ref="G40">_xlfn.IFS(R24="Symmetrisk","Uvisst om estimatet er under- eller overvurdert",R24="Venstreskjev","Mulig mindre nytte/kostnad",R24="Høyreskjev","Mulig større nytte/Kostnad")</f>
        <v>Uvisst om estimatet er under- eller overvurdert</v>
      </c>
      <c r="I40" s="1052"/>
      <c r="N40" s="73"/>
      <c r="O40" s="73"/>
      <c r="P40" s="73"/>
      <c r="Q40" s="73"/>
      <c r="R40" s="73"/>
    </row>
    <row r="41" spans="3:18" ht="15" customHeight="1" x14ac:dyDescent="0.35">
      <c r="C41" s="685" t="s">
        <v>1647</v>
      </c>
      <c r="D41" s="1047" cm="1">
        <f t="array" ref="D41">_xlfn.IFS(AND(O26=0,O27=0),N26+N27,AND(O26=0,O27&gt;0),CONCATENATE(ROUND(N26+N27,2),"-",ROUND(N26+O27,2)),AND(O26&gt;0,O27=0),CONCATENATE(ROUND(N26+N27,2),"-",ROUND(O26+N27,2)),AND(O26&gt;0,O27&gt;0),CONCATENATE(ROUND(N26+N27,2),"-",ROUND(O26+O27,2)))</f>
        <v>0</v>
      </c>
      <c r="E41" t="s">
        <v>1632</v>
      </c>
      <c r="F41" cm="1">
        <f t="array" ref="F41">_xlfn.IFS(Q26="Lav",-1,Q26="Moderat",0,Q26="Høy",1)</f>
        <v>0</v>
      </c>
      <c r="G41" s="1053" t="str" cm="1">
        <f t="array" ref="G41">_xlfn.IFS(R26="Symmetrisk","Uvisst om estimatet er under- eller overvurdert",R26="Venstreskjev","Mulig mindre nytte/kostnad",R26="Høyreskjev","Mulig større nytte/Kostnad")</f>
        <v>Uvisst om estimatet er under- eller overvurdert</v>
      </c>
      <c r="I41" s="1052"/>
      <c r="N41" s="73"/>
      <c r="O41" s="73"/>
      <c r="P41" s="73"/>
      <c r="Q41" s="73"/>
      <c r="R41" s="73"/>
    </row>
    <row r="42" spans="3:18" ht="15" customHeight="1" x14ac:dyDescent="0.35">
      <c r="C42" s="685" t="s">
        <v>1638</v>
      </c>
      <c r="D42" s="1047">
        <f>IF(O28=0,ROUND(N28,2),CONCATENATE(ROUND(N28,2),"-",ROUND(O28,2)))</f>
        <v>0</v>
      </c>
      <c r="E42" t="s">
        <v>1632</v>
      </c>
      <c r="F42" cm="1">
        <f t="array" ref="F42">_xlfn.IFS(Q28="Lav",-1,Q28="Moderat",0,Q28="Høy",1)</f>
        <v>0</v>
      </c>
      <c r="G42" s="1053" t="str" cm="1">
        <f t="array" ref="G42">_xlfn.IFS(R28="Symmetrisk","Uvisst om estimatet er under- eller overvurdert",R28="Venstreskjev","Mulig mindre nytte/kostnad",R28="Høyreskjev","Mulig større nytte/Kostnad")</f>
        <v>Uvisst om estimatet er under- eller overvurdert</v>
      </c>
      <c r="I42" s="1052"/>
    </row>
    <row r="43" spans="3:18" ht="15" customHeight="1" x14ac:dyDescent="0.35">
      <c r="C43" s="685" t="s">
        <v>1639</v>
      </c>
      <c r="D43" s="1047">
        <f>IF(O29=0,ROUND(N29,2),CONCATENATE(ROUND(N29,2),"-",ROUND(O29,2)))</f>
        <v>0</v>
      </c>
      <c r="E43" t="s">
        <v>1632</v>
      </c>
      <c r="F43" cm="1">
        <f t="array" ref="F43">_xlfn.IFS(Q29="Lav",-1,Q29="Moderat",0,Q29="Høy",1)</f>
        <v>0</v>
      </c>
      <c r="G43" s="1053" t="str" cm="1">
        <f t="array" ref="G43">_xlfn.IFS(R29="Symmetrisk","Uvisst om estimatet er under- eller overvurdert",R29="Venstreskjev","Mulig mindre nytte/kostnad",R29="Høyreskjev","Mulig større nytte/Kostnad")</f>
        <v>Uvisst om estimatet er under- eller overvurdert</v>
      </c>
      <c r="I43" s="1052"/>
    </row>
    <row r="44" spans="3:18" ht="15" customHeight="1" x14ac:dyDescent="0.35">
      <c r="C44" s="685" t="s">
        <v>1648</v>
      </c>
      <c r="D44" s="1047" cm="1">
        <f t="array" ref="D44">_xlfn.IFS(AND(O30=0,O31=0),N30+N31,AND(O30=0,O31&gt;0),CONCATENATE(ROUND(N30+N31,2),"-",ROUND(N30+O31,2)),AND(O30&gt;0,O31=0),CONCATENATE(ROUND(N30+N31,2),"-",ROUND(O30+N31,2)),AND(O30&gt;0,O31&gt;0),CONCATENATE(ROUND(N30+N31,2),"-",ROUND(O30+O31,2)))</f>
        <v>0</v>
      </c>
      <c r="E44" t="s">
        <v>1632</v>
      </c>
      <c r="F44" cm="1">
        <f t="array" ref="F44">_xlfn.IFS(Q30="Lav",-1,Q30="Moderat",0,Q30="Høy",1)</f>
        <v>0</v>
      </c>
      <c r="G44" s="1053" t="str" cm="1">
        <f t="array" ref="G44">_xlfn.IFS(R30="Symmetrisk","Uvisst om estimatet er under- eller overvurdert",R30="Venstreskjev","Mulig mindre nytte/kostnad",R30="Høyreskjev","Mulig større nytte/Kostnad")</f>
        <v>Uvisst om estimatet er under- eller overvurdert</v>
      </c>
      <c r="I44" s="1052"/>
    </row>
    <row r="45" spans="3:18" ht="15" thickBot="1" x14ac:dyDescent="0.4">
      <c r="C45" s="1024"/>
      <c r="D45" s="1025"/>
      <c r="E45" s="1025"/>
      <c r="F45" s="1025"/>
      <c r="G45" s="1025"/>
      <c r="H45" s="1025"/>
      <c r="I45" s="1051"/>
    </row>
    <row r="46" spans="3:18" x14ac:dyDescent="0.35">
      <c r="D46" s="5"/>
      <c r="E46" s="5"/>
    </row>
    <row r="47" spans="3:18" x14ac:dyDescent="0.35">
      <c r="D47" s="5"/>
      <c r="E47" s="5"/>
    </row>
  </sheetData>
  <mergeCells count="25">
    <mergeCell ref="S14:S15"/>
    <mergeCell ref="S22:S23"/>
    <mergeCell ref="S24:S25"/>
    <mergeCell ref="S26:S27"/>
    <mergeCell ref="S30:S31"/>
    <mergeCell ref="R22:R23"/>
    <mergeCell ref="R24:R25"/>
    <mergeCell ref="R26:R27"/>
    <mergeCell ref="R30:R31"/>
    <mergeCell ref="Q30:Q31"/>
    <mergeCell ref="Q22:Q23"/>
    <mergeCell ref="Q24:Q25"/>
    <mergeCell ref="Q26:Q27"/>
    <mergeCell ref="N12:O12"/>
    <mergeCell ref="D12:E12"/>
    <mergeCell ref="F12:G12"/>
    <mergeCell ref="H12:I12"/>
    <mergeCell ref="Q14:Q15"/>
    <mergeCell ref="Q12:R12"/>
    <mergeCell ref="R14:R15"/>
    <mergeCell ref="D20:E20"/>
    <mergeCell ref="F20:G20"/>
    <mergeCell ref="H20:I20"/>
    <mergeCell ref="J20:K20"/>
    <mergeCell ref="L20:M20"/>
  </mergeCells>
  <conditionalFormatting sqref="D34:D38">
    <cfRule type="cellIs" dxfId="591" priority="145" operator="lessThan">
      <formula>0</formula>
    </cfRule>
    <cfRule type="cellIs" dxfId="590" priority="146" operator="greaterThan">
      <formula>0</formula>
    </cfRule>
  </conditionalFormatting>
  <conditionalFormatting sqref="D39:D44">
    <cfRule type="cellIs" dxfId="589" priority="147" operator="lessThan">
      <formula>0</formula>
    </cfRule>
    <cfRule type="cellIs" dxfId="588" priority="148" operator="greaterThan">
      <formula>0</formula>
    </cfRule>
  </conditionalFormatting>
  <conditionalFormatting sqref="F34:F44 G46:G47">
    <cfRule type="iconSet" priority="520">
      <iconSet iconSet="3ArrowsGray" showValue="0">
        <cfvo type="percent" val="0"/>
        <cfvo type="num" val="0"/>
        <cfvo type="num" val="0" gte="0"/>
      </iconSet>
    </cfRule>
  </conditionalFormatting>
  <dataValidations count="2">
    <dataValidation type="list" allowBlank="1" sqref="Q14 Q22 Q24 Q16:Q19 Q26 Q28:Q30" xr:uid="{A91BD0C8-2BE0-4070-866E-E2CBCF87BDC7}">
      <formula1>"Høy, Moderat, Lav"</formula1>
    </dataValidation>
    <dataValidation type="list" allowBlank="1" sqref="R14:R19 R22:R31" xr:uid="{90FBC266-DE68-47FD-80F2-163B7382F404}">
      <formula1>"Symmetrisk,Venstreskjev,Høyreskjev"</formula1>
    </dataValidation>
  </dataValidations>
  <pageMargins left="0.7" right="0.7" top="0.75" bottom="0.75" header="0.3" footer="0.3"/>
  <pageSetup orientation="portrait" r:id="rId1"/>
  <drawing r:id="rId2"/>
  <legacyDrawing r:id="rId3"/>
  <extLst>
    <ext xmlns:x14="http://schemas.microsoft.com/office/spreadsheetml/2009/9/main" uri="{78C0D931-6437-407d-A8EE-F0AAD7539E65}">
      <x14:conditionalFormattings>
        <x14:conditionalFormatting xmlns:xm="http://schemas.microsoft.com/office/excel/2006/main">
          <x14:cfRule type="beginsWith" priority="134" operator="beginsWith" id="{B6D4262E-64E2-4143-8D37-ECFCF0A0E790}">
            <xm:f>LEFT(D45,LEN("+"))="+"</xm:f>
            <xm:f>"+"</xm:f>
            <x14:dxf>
              <fill>
                <patternFill>
                  <bgColor rgb="FF92D050"/>
                </patternFill>
              </fill>
            </x14:dxf>
          </x14:cfRule>
          <x14:cfRule type="beginsWith" priority="135" operator="beginsWith" id="{55BB4A9C-8895-404D-AAD5-46E1A560A16D}">
            <xm:f>LEFT(D45,LEN("-"))="-"</xm:f>
            <xm:f>"-"</xm:f>
            <x14:dxf>
              <fill>
                <patternFill>
                  <bgColor rgb="FFFF0000"/>
                </patternFill>
              </fill>
            </x14:dxf>
          </x14:cfRule>
          <xm:sqref>D45:E47</xm:sqref>
        </x14:conditionalFormatting>
      </x14:conditionalFormattings>
    </ext>
  </extLs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Ark12">
    <tabColor theme="4" tint="-0.249977111117893"/>
  </sheetPr>
  <dimension ref="A3:R117"/>
  <sheetViews>
    <sheetView zoomScaleNormal="100" workbookViewId="0"/>
  </sheetViews>
  <sheetFormatPr baseColWidth="10" defaultColWidth="11.453125" defaultRowHeight="14.5" x14ac:dyDescent="0.35"/>
  <cols>
    <col min="1" max="1" width="11.453125" style="1"/>
    <col min="2" max="2" width="58.81640625" style="1" customWidth="1"/>
    <col min="3" max="3" width="20.453125" style="1" customWidth="1"/>
    <col min="4" max="4" width="22.453125" style="1" customWidth="1"/>
    <col min="5" max="5" width="11.453125" style="1"/>
    <col min="6" max="6" width="70.453125" style="1" customWidth="1"/>
    <col min="7" max="7" width="17.453125" style="1" bestFit="1" customWidth="1"/>
    <col min="8" max="8" width="19.453125" style="1" customWidth="1"/>
    <col min="9" max="9" width="42" style="1" customWidth="1"/>
    <col min="10" max="10" width="66.26953125" style="1" bestFit="1" customWidth="1"/>
    <col min="11" max="11" width="11.453125" style="1"/>
    <col min="12" max="12" width="14.453125" style="1" bestFit="1" customWidth="1"/>
    <col min="13" max="16384" width="11.453125" style="1"/>
  </cols>
  <sheetData>
    <row r="3" spans="2:18" ht="26" x14ac:dyDescent="0.6">
      <c r="B3" s="98" t="s">
        <v>1649</v>
      </c>
    </row>
    <row r="5" spans="2:18" ht="15" thickBot="1" x14ac:dyDescent="0.4"/>
    <row r="6" spans="2:18" ht="21" x14ac:dyDescent="0.5">
      <c r="B6" s="207" t="s">
        <v>1650</v>
      </c>
      <c r="C6" s="374"/>
      <c r="D6" s="209"/>
      <c r="F6" s="207" t="s">
        <v>1651</v>
      </c>
      <c r="G6" s="377"/>
      <c r="H6" s="352"/>
      <c r="I6" s="378"/>
      <c r="M6" s="3"/>
      <c r="R6" s="3"/>
    </row>
    <row r="7" spans="2:18" ht="18.5" x14ac:dyDescent="0.45">
      <c r="B7" s="247" t="s">
        <v>1587</v>
      </c>
      <c r="C7" s="967" t="str">
        <f>CONCATENATE("Mill."," ",KroneårIBeregninger,"-kroner"," i ",Diskonteringsår)</f>
        <v xml:space="preserve">Mill. -kroner i </v>
      </c>
      <c r="D7" s="248"/>
      <c r="F7" s="247" t="s">
        <v>1652</v>
      </c>
      <c r="G7" s="10"/>
      <c r="H7" s="74" t="s">
        <v>534</v>
      </c>
      <c r="I7" s="241" t="s">
        <v>1339</v>
      </c>
      <c r="M7" s="3"/>
      <c r="R7" s="3"/>
    </row>
    <row r="8" spans="2:18" x14ac:dyDescent="0.35">
      <c r="B8" s="375" t="str">
        <f>'3.1 Nyttestrøm'!C10</f>
        <v>Trafikanter</v>
      </c>
      <c r="C8" s="23" t="s">
        <v>1653</v>
      </c>
      <c r="D8" s="376" t="s">
        <v>1654</v>
      </c>
      <c r="F8" s="328" t="s">
        <v>1655</v>
      </c>
      <c r="G8" s="8"/>
      <c r="H8" s="8"/>
      <c r="I8" s="259"/>
      <c r="J8" s="2"/>
    </row>
    <row r="9" spans="2:18" x14ac:dyDescent="0.35">
      <c r="B9" s="212" t="str">
        <f>'3.1 Nyttestrøm'!C12</f>
        <v>Trafikantnytte, referanse</v>
      </c>
      <c r="C9" s="83">
        <f ca="1">'3.1 Nyttestrøm'!$DS$12</f>
        <v>0</v>
      </c>
      <c r="D9" s="262"/>
      <c r="E9" s="502"/>
      <c r="F9" s="212" t="str">
        <f>'1.2 Forutsetninger'!B36</f>
        <v>Åpningsår</v>
      </c>
      <c r="G9" s="65">
        <f>Åpningsår</f>
        <v>0</v>
      </c>
      <c r="H9" s="17" t="s">
        <v>1140</v>
      </c>
      <c r="I9" s="213"/>
    </row>
    <row r="10" spans="2:18" x14ac:dyDescent="0.35">
      <c r="B10" s="212" t="s">
        <v>1656</v>
      </c>
      <c r="C10" s="83">
        <f ca="1">SUM('3.1 Nyttestrøm'!DS13:DS16)</f>
        <v>0</v>
      </c>
      <c r="D10" s="262"/>
      <c r="E10" s="502"/>
      <c r="F10" s="212" t="str">
        <f>'1.2 Forutsetninger'!B37</f>
        <v>Første beregningsår</v>
      </c>
      <c r="G10" s="65">
        <f>FørsteBeregningsår</f>
        <v>0</v>
      </c>
      <c r="H10" s="17" t="s">
        <v>1140</v>
      </c>
      <c r="I10" s="213"/>
    </row>
    <row r="11" spans="2:18" x14ac:dyDescent="0.35">
      <c r="B11" s="218" t="str">
        <f>'3.1 Nyttestrøm'!C21</f>
        <v>Andre transportmidler (bil, buss, fly)</v>
      </c>
      <c r="C11" s="83" cm="1">
        <f t="array" aca="1" ref="C11" ca="1">SUM('3.1 Nyttestrøm'!DS18:DS20+'3.1 Nyttestrøm'!DS22:DS24)</f>
        <v>0</v>
      </c>
      <c r="D11" s="262"/>
      <c r="E11" s="502"/>
      <c r="F11" s="212" t="str">
        <f>'1.2 Forutsetninger'!B40</f>
        <v>Diskonteringsår</v>
      </c>
      <c r="G11" s="65">
        <f>Diskonteringsår</f>
        <v>0</v>
      </c>
      <c r="H11" s="17" t="s">
        <v>1140</v>
      </c>
      <c r="I11" s="213"/>
    </row>
    <row r="12" spans="2:18" x14ac:dyDescent="0.35">
      <c r="B12" s="212" t="str">
        <f>'3.1 Nyttestrøm'!C25</f>
        <v>Godskunder</v>
      </c>
      <c r="C12" s="83">
        <f ca="1">'3.1 Nyttestrøm'!DS26</f>
        <v>0</v>
      </c>
      <c r="D12" s="262"/>
      <c r="E12" s="502"/>
      <c r="F12" s="212" t="str">
        <f>'1.2 Forutsetninger'!B49</f>
        <v>Prosjektets levetid</v>
      </c>
      <c r="G12" s="65">
        <f>ProsjektetsLevetid</f>
        <v>0</v>
      </c>
      <c r="H12" s="17" t="s">
        <v>1140</v>
      </c>
      <c r="I12" s="213"/>
    </row>
    <row r="13" spans="2:18" x14ac:dyDescent="0.35">
      <c r="B13" s="212" t="s">
        <v>1657</v>
      </c>
      <c r="C13" s="83">
        <f ca="1">'3.1 Nyttestrøm'!DS$28</f>
        <v>0</v>
      </c>
      <c r="D13" s="262"/>
      <c r="E13" s="502"/>
      <c r="F13" s="212" t="str">
        <f>'1.2 Forutsetninger'!B50</f>
        <v xml:space="preserve">Analyseperiodens lengde </v>
      </c>
      <c r="G13" s="65">
        <f>AnalyseperiodensLengde</f>
        <v>0</v>
      </c>
      <c r="H13" s="17" t="s">
        <v>1140</v>
      </c>
      <c r="I13" s="213"/>
    </row>
    <row r="14" spans="2:18" x14ac:dyDescent="0.35">
      <c r="B14" s="215" t="s">
        <v>1658</v>
      </c>
      <c r="C14" s="95">
        <f ca="1">SUBTOTAL(9,C9:C13)</f>
        <v>0</v>
      </c>
      <c r="D14" s="1163"/>
      <c r="E14" s="502"/>
      <c r="F14" s="212" t="str">
        <f>'1.2 Forutsetninger'!B41</f>
        <v>Kroneår i beregninger</v>
      </c>
      <c r="G14" s="65">
        <f>KroneårIBeregninger</f>
        <v>0</v>
      </c>
      <c r="H14" s="17" t="s">
        <v>1140</v>
      </c>
      <c r="I14" s="213"/>
    </row>
    <row r="15" spans="2:18" x14ac:dyDescent="0.35">
      <c r="B15" s="375" t="str">
        <f>'3.1 Nyttestrøm'!C29</f>
        <v>Operatører</v>
      </c>
      <c r="C15" s="83"/>
      <c r="D15" s="262"/>
      <c r="E15" s="502"/>
      <c r="F15" s="212" t="str">
        <f>'1.2 Forutsetninger'!B52</f>
        <v>Kroneår - Investeringskostnader</v>
      </c>
      <c r="G15" s="65">
        <f>Investering_Kroneår</f>
        <v>0</v>
      </c>
      <c r="H15" s="17" t="s">
        <v>1140</v>
      </c>
      <c r="I15" s="213"/>
    </row>
    <row r="16" spans="2:18" x14ac:dyDescent="0.35">
      <c r="B16" s="672" t="s">
        <v>1659</v>
      </c>
      <c r="C16" s="83">
        <f ca="1">'3.1 Nyttestrøm'!$DS$31</f>
        <v>0</v>
      </c>
      <c r="D16" s="262"/>
      <c r="E16" s="502"/>
      <c r="F16" s="212" t="s">
        <v>1660</v>
      </c>
      <c r="G16" s="90">
        <f>PunktlighetRef</f>
        <v>0</v>
      </c>
      <c r="H16" s="17" t="s">
        <v>570</v>
      </c>
      <c r="I16" s="213"/>
    </row>
    <row r="17" spans="1:10" x14ac:dyDescent="0.35">
      <c r="B17" s="218" t="s">
        <v>1661</v>
      </c>
      <c r="C17" s="83">
        <f ca="1">'3.1 Nyttestrøm'!$DS$32</f>
        <v>0</v>
      </c>
      <c r="D17" s="261"/>
      <c r="E17" s="502"/>
      <c r="F17" s="212" t="s">
        <v>1662</v>
      </c>
      <c r="G17" s="90">
        <f>PunktlighetTiltak</f>
        <v>0</v>
      </c>
      <c r="H17" s="17" t="s">
        <v>570</v>
      </c>
      <c r="I17" s="213"/>
    </row>
    <row r="18" spans="1:10" x14ac:dyDescent="0.35">
      <c r="B18" s="218" t="s">
        <v>1663</v>
      </c>
      <c r="C18" s="83">
        <f ca="1">SUM('3.1 Nyttestrøm'!$DS$33:'3.1 Nyttestrøm'!$DS$35)</f>
        <v>0</v>
      </c>
      <c r="D18" s="262"/>
      <c r="E18" s="502"/>
      <c r="F18" s="328" t="s">
        <v>1531</v>
      </c>
      <c r="G18" s="8"/>
      <c r="H18" s="8"/>
      <c r="I18" s="259"/>
    </row>
    <row r="19" spans="1:10" x14ac:dyDescent="0.35">
      <c r="B19" s="218" t="s">
        <v>1664</v>
      </c>
      <c r="C19" s="83">
        <f ca="1">SUM('3.1 Nyttestrøm'!$DS$36)</f>
        <v>0</v>
      </c>
      <c r="D19" s="262"/>
      <c r="E19" s="502"/>
      <c r="F19" s="212" t="s">
        <v>1665</v>
      </c>
      <c r="G19" s="17">
        <f>-Investering_Tiltak</f>
        <v>0</v>
      </c>
      <c r="H19" s="91" t="s">
        <v>1666</v>
      </c>
      <c r="I19" s="213"/>
    </row>
    <row r="20" spans="1:10" x14ac:dyDescent="0.35">
      <c r="A20" s="2"/>
      <c r="B20" s="218" t="s">
        <v>1667</v>
      </c>
      <c r="C20" s="83">
        <f ca="1">SUM('3.1 Nyttestrøm'!$DS$38:$DS$40,'3.1 Nyttestrøm'!$DS$42:$DS$42)</f>
        <v>0</v>
      </c>
      <c r="D20" s="262"/>
      <c r="E20" s="502"/>
      <c r="F20" s="218" t="s">
        <v>1668</v>
      </c>
      <c r="G20" s="81" t="str">
        <f>LOOKUP(Åpningsår,'3.1 Nyttestrøm'!M10:CS10,'3.1 Nyttestrøm'!M65:CS65)</f>
        <v/>
      </c>
      <c r="H20" s="91" t="str">
        <f>"mill. kr per år "&amp;Åpningsår</f>
        <v xml:space="preserve">mill. kr per år </v>
      </c>
      <c r="I20" s="232"/>
      <c r="J20" s="2"/>
    </row>
    <row r="21" spans="1:10" x14ac:dyDescent="0.35">
      <c r="B21" s="215" t="s">
        <v>1669</v>
      </c>
      <c r="C21" s="95">
        <f ca="1">SUBTOTAL(9,C16:C20)</f>
        <v>0</v>
      </c>
      <c r="D21" s="1163"/>
      <c r="E21" s="502"/>
      <c r="F21" s="212" t="s">
        <v>1670</v>
      </c>
      <c r="G21" s="17">
        <f>Togsett_Tiltak-Togsett_Ref</f>
        <v>0</v>
      </c>
      <c r="H21" s="17" t="s">
        <v>1671</v>
      </c>
      <c r="I21" s="213"/>
    </row>
    <row r="22" spans="1:10" x14ac:dyDescent="0.35">
      <c r="B22" s="375" t="str">
        <f>'3.1 Nyttestrøm'!C43</f>
        <v>Det offentlige</v>
      </c>
      <c r="C22" s="80"/>
      <c r="D22" s="262"/>
      <c r="E22" s="502"/>
      <c r="F22" s="218" t="s">
        <v>1672</v>
      </c>
      <c r="G22" s="537" t="e">
        <f ca="1">IF(C39=0,0,C39/-C28)</f>
        <v>#N/A</v>
      </c>
      <c r="H22" s="91" t="s">
        <v>1666</v>
      </c>
      <c r="I22" s="232"/>
      <c r="J22" s="2"/>
    </row>
    <row r="23" spans="1:10" x14ac:dyDescent="0.35">
      <c r="B23" s="212" t="s">
        <v>1673</v>
      </c>
      <c r="C23" s="83">
        <f ca="1">SUM('3.1 Nyttestrøm'!$DS$45:$DS$49)+SUM('3.1 Nyttestrøm'!$DS$51:$DS$59)</f>
        <v>0</v>
      </c>
      <c r="D23" s="261"/>
      <c r="E23" s="502"/>
      <c r="F23" s="328" t="s">
        <v>1674</v>
      </c>
      <c r="G23" s="8"/>
      <c r="H23" s="8"/>
      <c r="I23" s="259"/>
    </row>
    <row r="24" spans="1:10" x14ac:dyDescent="0.35">
      <c r="A24" s="2"/>
      <c r="B24" s="212" t="s">
        <v>1675</v>
      </c>
      <c r="C24" s="83">
        <f ca="1">SUM('3.1 Nyttestrøm'!$DS$61:$DS$63)</f>
        <v>0</v>
      </c>
      <c r="D24" s="262"/>
      <c r="E24" s="502"/>
      <c r="F24" s="212" t="s">
        <v>1676</v>
      </c>
      <c r="G24" s="26">
        <f ca="1">SUM(C9:C11)</f>
        <v>0</v>
      </c>
      <c r="H24" s="91" t="s">
        <v>1666</v>
      </c>
      <c r="I24" s="213"/>
    </row>
    <row r="25" spans="1:10" x14ac:dyDescent="0.35">
      <c r="B25" s="218" t="s">
        <v>1677</v>
      </c>
      <c r="C25" s="83">
        <f ca="1">SUM('3.1 Nyttestrøm'!DS65:DS66)</f>
        <v>0</v>
      </c>
      <c r="D25" s="262"/>
      <c r="E25" s="503"/>
      <c r="F25" s="218" t="s">
        <v>1678</v>
      </c>
      <c r="G25" s="26">
        <f ca="1">C12</f>
        <v>0</v>
      </c>
      <c r="H25" s="91" t="s">
        <v>1666</v>
      </c>
      <c r="I25" s="213"/>
    </row>
    <row r="26" spans="1:10" x14ac:dyDescent="0.35">
      <c r="B26" s="212" t="s">
        <v>1601</v>
      </c>
      <c r="C26" s="26">
        <f ca="1">SUM('3.1 Nyttestrøm'!$DS$89)</f>
        <v>0</v>
      </c>
      <c r="D26" s="262"/>
      <c r="E26" s="502"/>
      <c r="F26" s="218" t="s">
        <v>1679</v>
      </c>
      <c r="G26" s="17">
        <v>0</v>
      </c>
      <c r="H26" s="91" t="s">
        <v>1666</v>
      </c>
      <c r="I26" s="213"/>
    </row>
    <row r="27" spans="1:10" ht="18" customHeight="1" x14ac:dyDescent="0.45">
      <c r="B27" s="212" t="s">
        <v>1602</v>
      </c>
      <c r="C27" s="26">
        <f ca="1">SUM('3.1 Nyttestrøm'!$DS$90)</f>
        <v>0</v>
      </c>
      <c r="D27" s="262"/>
      <c r="E27" s="502"/>
      <c r="F27" s="247" t="str">
        <f>CONCATENATE("Transportarbeid og trafikkdata, per år (",FørsteBeregningsår,")")</f>
        <v>Transportarbeid og trafikkdata, per år ()</v>
      </c>
      <c r="G27" s="11"/>
      <c r="H27" s="11"/>
      <c r="I27" s="249"/>
    </row>
    <row r="28" spans="1:10" x14ac:dyDescent="0.35">
      <c r="B28" s="215" t="s">
        <v>1680</v>
      </c>
      <c r="C28" s="95">
        <f ca="1">SUBTOTAL(9,C23:C27)</f>
        <v>0</v>
      </c>
      <c r="D28" s="1163"/>
      <c r="E28" s="502"/>
      <c r="F28" s="328" t="str">
        <f>CONCATENATE("Persontrafikk, ",FørsteBeregningsår)</f>
        <v xml:space="preserve">Persontrafikk, </v>
      </c>
      <c r="G28" s="1071"/>
      <c r="H28" s="1071"/>
      <c r="I28" s="379"/>
    </row>
    <row r="29" spans="1:10" x14ac:dyDescent="0.35">
      <c r="A29" s="2"/>
      <c r="B29" s="375" t="str">
        <f>'3.1 Nyttestrøm'!C67</f>
        <v>Samfunnet for øvrig</v>
      </c>
      <c r="C29" s="83"/>
      <c r="D29" s="262"/>
      <c r="E29" s="502"/>
      <c r="F29" s="215" t="s">
        <v>813</v>
      </c>
      <c r="G29" s="1071"/>
      <c r="H29" s="1071"/>
      <c r="I29" s="379"/>
    </row>
    <row r="30" spans="1:10" x14ac:dyDescent="0.35">
      <c r="A30" s="2"/>
      <c r="B30" s="212" t="s">
        <v>1681</v>
      </c>
      <c r="C30" s="83">
        <f ca="1">'3.1 Nyttestrøm'!$DS$69+'3.1 Nyttestrøm'!$DS$72</f>
        <v>0</v>
      </c>
      <c r="D30" s="262"/>
      <c r="E30" s="502"/>
      <c r="F30" s="212" t="s">
        <v>1682</v>
      </c>
      <c r="G30" s="1072">
        <f>Togreiser_RefÅr1/1000000</f>
        <v>0</v>
      </c>
      <c r="H30" s="537" t="s">
        <v>1683</v>
      </c>
      <c r="I30" s="213"/>
    </row>
    <row r="31" spans="1:10" x14ac:dyDescent="0.35">
      <c r="B31" s="212" t="s">
        <v>1684</v>
      </c>
      <c r="C31" s="83">
        <f ca="1">'3.1 Nyttestrøm'!$DS$70+'3.1 Nyttestrøm'!$DS$73</f>
        <v>0</v>
      </c>
      <c r="D31" s="262"/>
      <c r="E31" s="502"/>
      <c r="F31" s="212" t="s">
        <v>1685</v>
      </c>
      <c r="G31" s="1072">
        <f>Togreiser_TiltakÅr1/1000000</f>
        <v>0</v>
      </c>
      <c r="H31" s="537" t="s">
        <v>1686</v>
      </c>
      <c r="I31" s="213"/>
    </row>
    <row r="32" spans="1:10" x14ac:dyDescent="0.35">
      <c r="B32" s="212" t="s">
        <v>1687</v>
      </c>
      <c r="C32" s="83">
        <f ca="1">'3.1 Nyttestrøm'!$DS$71+'3.1 Nyttestrøm'!$DS$74</f>
        <v>0</v>
      </c>
      <c r="D32" s="262"/>
      <c r="E32" s="502"/>
      <c r="F32" s="212" t="s">
        <v>1688</v>
      </c>
      <c r="G32" s="26">
        <f>Togreiser_År1</f>
        <v>0</v>
      </c>
      <c r="H32" s="537" t="s">
        <v>1689</v>
      </c>
      <c r="I32" s="213"/>
    </row>
    <row r="33" spans="1:9" x14ac:dyDescent="0.35">
      <c r="B33" s="212" t="s">
        <v>1690</v>
      </c>
      <c r="C33" s="83">
        <f ca="1">SUM('3.1 Nyttestrøm'!DS76:DS84)</f>
        <v>0</v>
      </c>
      <c r="D33" s="262"/>
      <c r="E33" s="502"/>
      <c r="F33" s="212" t="s">
        <v>1688</v>
      </c>
      <c r="G33" s="1073">
        <f>IF(G30=0,0,G32/(G30*1000000))</f>
        <v>0</v>
      </c>
      <c r="H33" s="17" t="s">
        <v>570</v>
      </c>
      <c r="I33" s="213"/>
    </row>
    <row r="34" spans="1:9" x14ac:dyDescent="0.35">
      <c r="B34" s="212" t="s">
        <v>1691</v>
      </c>
      <c r="C34" s="83" t="e">
        <f ca="1">SUM('3.1 Nyttestrøm'!DS85)</f>
        <v>#N/A</v>
      </c>
      <c r="D34" s="262"/>
      <c r="E34" s="502"/>
      <c r="F34" s="212" t="s">
        <v>1692</v>
      </c>
      <c r="G34" s="26">
        <f>(TogkmEL_År1+TogkmBiEl_År1+TogkmBiDi_År1+TogkmD_År1)</f>
        <v>0</v>
      </c>
      <c r="H34" s="17" t="s">
        <v>1693</v>
      </c>
      <c r="I34" s="213"/>
    </row>
    <row r="35" spans="1:9" x14ac:dyDescent="0.35">
      <c r="B35" s="212" t="s">
        <v>1694</v>
      </c>
      <c r="C35" s="83" t="e">
        <f ca="1">SUM('3.1 Nyttestrøm'!DS86)</f>
        <v>#N/A</v>
      </c>
      <c r="D35" s="262"/>
      <c r="E35" s="502"/>
      <c r="F35" s="212" t="s">
        <v>1695</v>
      </c>
      <c r="G35" s="26">
        <f>Passasjerkm_TogÅr1/1000</f>
        <v>0</v>
      </c>
      <c r="H35" s="17" t="s">
        <v>1696</v>
      </c>
      <c r="I35" s="213"/>
    </row>
    <row r="36" spans="1:9" x14ac:dyDescent="0.35">
      <c r="A36" s="2"/>
      <c r="B36" s="212" t="s">
        <v>1697</v>
      </c>
      <c r="C36" s="83">
        <f ca="1">SUM('3.1 Nyttestrøm'!DT12:DT94)</f>
        <v>0</v>
      </c>
      <c r="D36" s="262"/>
      <c r="E36" s="502"/>
      <c r="F36" s="212" t="s">
        <v>1698</v>
      </c>
      <c r="G36" s="26">
        <f>Settkm_År1</f>
        <v>0</v>
      </c>
      <c r="H36" s="17" t="s">
        <v>1699</v>
      </c>
      <c r="I36" s="213"/>
    </row>
    <row r="37" spans="1:9" x14ac:dyDescent="0.35">
      <c r="B37" s="212" t="s">
        <v>1700</v>
      </c>
      <c r="C37" s="83">
        <f ca="1">SUM('3.1 Nyttestrøm'!$DS$92:$DS$94)</f>
        <v>0</v>
      </c>
      <c r="D37" s="262"/>
      <c r="E37" s="502"/>
      <c r="F37" s="215" t="s">
        <v>1701</v>
      </c>
      <c r="G37" s="8"/>
      <c r="H37" s="8"/>
      <c r="I37" s="259"/>
    </row>
    <row r="38" spans="1:9" x14ac:dyDescent="0.35">
      <c r="A38" s="2"/>
      <c r="B38" s="215" t="s">
        <v>1702</v>
      </c>
      <c r="C38" s="95" t="e">
        <f ca="1">SUBTOTAL(9,C30:C37)</f>
        <v>#N/A</v>
      </c>
      <c r="D38" s="1163"/>
      <c r="E38" s="502"/>
      <c r="F38" s="212" t="s">
        <v>1703</v>
      </c>
      <c r="G38" s="26">
        <f>-Bilreiser_År1</f>
        <v>0</v>
      </c>
      <c r="H38" s="91" t="s">
        <v>1704</v>
      </c>
      <c r="I38" s="213"/>
    </row>
    <row r="39" spans="1:9" x14ac:dyDescent="0.35">
      <c r="B39" s="212" t="s">
        <v>1705</v>
      </c>
      <c r="C39" s="26" t="e">
        <f ca="1">Resultat_NNV-C26-C27-SUM('3.1 Nyttestrøm'!DS93:DT93)</f>
        <v>#N/A</v>
      </c>
      <c r="D39" s="262"/>
      <c r="E39" s="502"/>
      <c r="F39" s="212" t="s">
        <v>1706</v>
      </c>
      <c r="G39" s="26">
        <f>-Bussreiser_År1</f>
        <v>0</v>
      </c>
      <c r="H39" s="91" t="s">
        <v>1704</v>
      </c>
      <c r="I39" s="213"/>
    </row>
    <row r="40" spans="1:9" x14ac:dyDescent="0.35">
      <c r="B40" s="258" t="s">
        <v>1707</v>
      </c>
      <c r="C40" s="1205" t="e">
        <f ca="1">SUBTOTAL(9,C9:C38)</f>
        <v>#N/A</v>
      </c>
      <c r="D40" s="1164"/>
      <c r="F40" s="212" t="s">
        <v>1708</v>
      </c>
      <c r="G40" s="26">
        <f>NyskapteReiser_År1</f>
        <v>0</v>
      </c>
      <c r="H40" s="91" t="s">
        <v>1704</v>
      </c>
      <c r="I40" s="213"/>
    </row>
    <row r="41" spans="1:9" ht="15" thickBot="1" x14ac:dyDescent="0.4">
      <c r="B41" s="1054" t="s">
        <v>1709</v>
      </c>
      <c r="C41" s="1206">
        <f ca="1">IF(C28&lt;0,C40/-(C28),0)</f>
        <v>0</v>
      </c>
      <c r="D41" s="1207"/>
      <c r="F41" s="212" t="s">
        <v>1710</v>
      </c>
      <c r="G41" s="941">
        <f>IFERROR(-G38/(AntallDøgn_Materiell*Bilbelegg_Gjennomsnitt),0)</f>
        <v>0</v>
      </c>
      <c r="H41" s="65" t="s">
        <v>1711</v>
      </c>
      <c r="I41" s="213"/>
    </row>
    <row r="42" spans="1:9" x14ac:dyDescent="0.35">
      <c r="F42" s="328" t="str">
        <f>"Godstrafikk, "&amp;FørsteBeregningsår</f>
        <v xml:space="preserve">Godstrafikk, </v>
      </c>
      <c r="G42" s="1071"/>
      <c r="H42" s="1071"/>
      <c r="I42" s="379"/>
    </row>
    <row r="43" spans="1:9" ht="15" thickBot="1" x14ac:dyDescent="0.4">
      <c r="F43" s="215" t="s">
        <v>813</v>
      </c>
      <c r="G43" s="1071"/>
      <c r="H43" s="1071"/>
      <c r="I43" s="379"/>
    </row>
    <row r="44" spans="1:9" ht="18.5" x14ac:dyDescent="0.45">
      <c r="B44" s="290" t="s">
        <v>1712</v>
      </c>
      <c r="C44" s="1055" t="s">
        <v>1643</v>
      </c>
      <c r="D44" s="1056" t="s">
        <v>1654</v>
      </c>
      <c r="F44" s="212" t="s">
        <v>1713</v>
      </c>
      <c r="G44" s="26">
        <f>(TonnM_GodstogEL_RefÅr1+TonnM_GodstogD_RefÅr1)</f>
        <v>0</v>
      </c>
      <c r="H44" s="17" t="s">
        <v>1714</v>
      </c>
      <c r="I44" s="213"/>
    </row>
    <row r="45" spans="1:9" x14ac:dyDescent="0.35">
      <c r="B45" s="212" t="str">
        <f>'3.2 Ikke-prissatte virkninger'!C34</f>
        <v>Landskapsbilde</v>
      </c>
      <c r="C45" s="940">
        <f>'3.2 Ikke-prissatte virkninger'!D34</f>
        <v>0</v>
      </c>
      <c r="D45" s="213" t="str">
        <f>'3.2 Ikke-prissatte virkninger'!E34</f>
        <v>Husstandskm.</v>
      </c>
      <c r="F45" s="212" t="s">
        <v>1715</v>
      </c>
      <c r="G45" s="26">
        <f>(TonnM_GodstogEL_TiltakÅr1+TonnM_GodstogD_TiltakÅr1)</f>
        <v>0</v>
      </c>
      <c r="H45" s="17" t="s">
        <v>1714</v>
      </c>
      <c r="I45" s="341"/>
    </row>
    <row r="46" spans="1:9" x14ac:dyDescent="0.35">
      <c r="B46" s="212" t="str">
        <f>'3.2 Ikke-prissatte virkninger'!C35</f>
        <v>Friluftsliv/by- og bygdeliv</v>
      </c>
      <c r="C46" s="940">
        <f>'3.2 Ikke-prissatte virkninger'!D35</f>
        <v>0</v>
      </c>
      <c r="D46" s="213" t="str">
        <f>'3.2 Ikke-prissatte virkninger'!E35</f>
        <v>Rekreasjonsdager</v>
      </c>
      <c r="F46" s="212" t="s">
        <v>1716</v>
      </c>
      <c r="G46" s="26">
        <f>(TonnM_GodstogEL_År1+TonnM_GodsTogD_År1)</f>
        <v>0</v>
      </c>
      <c r="H46" s="17" t="s">
        <v>1714</v>
      </c>
      <c r="I46" s="213"/>
    </row>
    <row r="47" spans="1:9" x14ac:dyDescent="0.35">
      <c r="B47" s="212" t="str">
        <f>'3.2 Ikke-prissatte virkninger'!C36</f>
        <v>Kulturarv</v>
      </c>
      <c r="C47" s="940">
        <f>'3.2 Ikke-prissatte virkninger'!D36</f>
        <v>0</v>
      </c>
      <c r="D47" s="213" t="str">
        <f>'3.2 Ikke-prissatte virkninger'!E36</f>
        <v>Kartlagte kulturminner</v>
      </c>
      <c r="F47" s="212" t="s">
        <v>1716</v>
      </c>
      <c r="G47" s="1074">
        <f>IF(G44=0,0,G46/G44)</f>
        <v>0</v>
      </c>
      <c r="H47" s="17" t="s">
        <v>570</v>
      </c>
      <c r="I47" s="213"/>
    </row>
    <row r="48" spans="1:9" x14ac:dyDescent="0.35">
      <c r="B48" s="212" t="str">
        <f>'3.2 Ikke-prissatte virkninger'!C37</f>
        <v>Naturmangfold</v>
      </c>
      <c r="C48" s="91">
        <f>'3.2 Ikke-prissatte virkninger'!D37</f>
        <v>0</v>
      </c>
      <c r="D48" s="213" t="str">
        <f>'3.2 Ikke-prissatte virkninger'!E37</f>
        <v>Km2</v>
      </c>
      <c r="F48" s="212" t="s">
        <v>1717</v>
      </c>
      <c r="G48" s="83">
        <f>(TonnMkm_GodstogEL_RefÅr1+TonnMkm_GodstogD_RefÅr1)</f>
        <v>0</v>
      </c>
      <c r="H48" s="17" t="s">
        <v>1718</v>
      </c>
      <c r="I48" s="213"/>
    </row>
    <row r="49" spans="2:10" x14ac:dyDescent="0.35">
      <c r="B49" s="212" t="str">
        <f>'3.2 Ikke-prissatte virkninger'!C38</f>
        <v>Naturressurser</v>
      </c>
      <c r="C49" s="91">
        <f>'3.2 Ikke-prissatte virkninger'!D38</f>
        <v>0</v>
      </c>
      <c r="D49" s="213" t="str">
        <f>'3.2 Ikke-prissatte virkninger'!E38</f>
        <v>Km2</v>
      </c>
      <c r="F49" s="212" t="s">
        <v>1719</v>
      </c>
      <c r="G49" s="83">
        <f>(TonnMkm_GodstogEL_TiltakÅr1+TonnMkm_GodstogD_TiltakÅr1)</f>
        <v>0</v>
      </c>
      <c r="H49" s="17" t="s">
        <v>1718</v>
      </c>
      <c r="I49" s="213"/>
    </row>
    <row r="50" spans="2:10" x14ac:dyDescent="0.35">
      <c r="B50" s="212" t="str">
        <f>'3.2 Ikke-prissatte virkninger'!C39</f>
        <v>Pålitelighet (togtetthet/buffertider)</v>
      </c>
      <c r="C50" s="91">
        <f>'3.2 Ikke-prissatte virkninger'!D39</f>
        <v>0</v>
      </c>
      <c r="D50" s="213" t="str">
        <f>'3.2 Ikke-prissatte virkninger'!E39</f>
        <v>mill. kr. per år</v>
      </c>
      <c r="F50" s="212" t="s">
        <v>1720</v>
      </c>
      <c r="G50" s="83">
        <f>(TonnMkm_GodstogEL_År1+TonnMkm_GodstogD_År1)</f>
        <v>0</v>
      </c>
      <c r="H50" s="17" t="s">
        <v>1718</v>
      </c>
      <c r="I50" s="341"/>
    </row>
    <row r="51" spans="2:10" x14ac:dyDescent="0.35">
      <c r="B51" s="212" t="str">
        <f>'3.2 Ikke-prissatte virkninger'!C40</f>
        <v>Pålitelighet (hvite tider)</v>
      </c>
      <c r="C51" s="91">
        <f>'3.2 Ikke-prissatte virkninger'!D40</f>
        <v>0</v>
      </c>
      <c r="D51" s="213" t="str">
        <f>'3.2 Ikke-prissatte virkninger'!E40</f>
        <v>mill. kr. per år</v>
      </c>
      <c r="F51" s="212" t="s">
        <v>1721</v>
      </c>
      <c r="G51" s="1074">
        <f>IF(G48=0,0,G50/G48)</f>
        <v>0</v>
      </c>
      <c r="H51" s="17" t="s">
        <v>544</v>
      </c>
      <c r="I51" s="213"/>
    </row>
    <row r="52" spans="2:10" x14ac:dyDescent="0.35">
      <c r="B52" s="212" t="str">
        <f>'3.2 Ikke-prissatte virkninger'!C41</f>
        <v>Pålitelighet (naturfare)</v>
      </c>
      <c r="C52" s="146">
        <f>'3.2 Ikke-prissatte virkninger'!D41</f>
        <v>0</v>
      </c>
      <c r="D52" s="213" t="str">
        <f>'3.2 Ikke-prissatte virkninger'!E41</f>
        <v>mill. kr. per år</v>
      </c>
      <c r="E52" s="2"/>
      <c r="F52" s="215" t="s">
        <v>1701</v>
      </c>
      <c r="G52" s="8"/>
      <c r="H52" s="8"/>
      <c r="I52" s="259"/>
    </row>
    <row r="53" spans="2:10" x14ac:dyDescent="0.35">
      <c r="B53" s="212" t="str">
        <f>'3.2 Ikke-prissatte virkninger'!C42</f>
        <v>Knutepunktutvikling (reiseopplevelse)</v>
      </c>
      <c r="C53" s="91">
        <f>'3.2 Ikke-prissatte virkninger'!D42</f>
        <v>0</v>
      </c>
      <c r="D53" s="213" t="str">
        <f>'3.2 Ikke-prissatte virkninger'!E42</f>
        <v>mill. kr. per år</v>
      </c>
      <c r="F53" s="212" t="s">
        <v>1722</v>
      </c>
      <c r="G53" s="65">
        <f>TonnMkm_LettlastebilÅr1+TonnMkm_TunglastebilÅr1+TonnMkm_ModulvogntogÅr1</f>
        <v>0</v>
      </c>
      <c r="H53" s="17" t="str">
        <f>CONCATENATE("mill. tonnkm per år i ",FørsteBeregningsår)</f>
        <v xml:space="preserve">mill. tonnkm per år i </v>
      </c>
      <c r="I53" s="213"/>
    </row>
    <row r="54" spans="2:10" x14ac:dyDescent="0.35">
      <c r="B54" s="212" t="str">
        <f>'3.2 Ikke-prissatte virkninger'!C43</f>
        <v>Knutepunktutvikling (vareflyt)</v>
      </c>
      <c r="C54" s="91">
        <f>'3.2 Ikke-prissatte virkninger'!D43</f>
        <v>0</v>
      </c>
      <c r="D54" s="213" t="str">
        <f>'3.2 Ikke-prissatte virkninger'!E43</f>
        <v>mill. kr. per år</v>
      </c>
      <c r="F54" s="212" t="s">
        <v>1723</v>
      </c>
      <c r="G54" s="83">
        <f>(KjøretøyMkm_Lettlastebil_År1+KjøretøyMkm_Tunglastebil_År1+KjøretøyMkm_Modulvogntog_År1)*1000000/365</f>
        <v>0</v>
      </c>
      <c r="H54" s="17" t="s">
        <v>1724</v>
      </c>
      <c r="I54" s="213"/>
      <c r="J54" s="159"/>
    </row>
    <row r="55" spans="2:10" ht="19" thickBot="1" x14ac:dyDescent="0.5">
      <c r="B55" s="252" t="str">
        <f>'3.2 Ikke-prissatte virkninger'!C44</f>
        <v>Knutepunktutvikling (reisetid)</v>
      </c>
      <c r="C55" s="359">
        <f>'3.2 Ikke-prissatte virkninger'!D44</f>
        <v>0</v>
      </c>
      <c r="D55" s="302" t="str">
        <f>'3.2 Ikke-prissatte virkninger'!E44</f>
        <v>mill. kr. per år</v>
      </c>
      <c r="F55" s="247" t="str">
        <f>CONCATENATE("Sikkerhetseffekter, per år (",FørsteBeregningsår,")")</f>
        <v>Sikkerhetseffekter, per år ()</v>
      </c>
      <c r="G55" s="11"/>
      <c r="H55" s="11"/>
      <c r="I55" s="249"/>
    </row>
    <row r="56" spans="2:10" x14ac:dyDescent="0.35">
      <c r="B56" s="499"/>
      <c r="F56" s="328" t="s">
        <v>1725</v>
      </c>
      <c r="G56" s="1071"/>
      <c r="H56" s="1071"/>
      <c r="I56" s="380"/>
    </row>
    <row r="57" spans="2:10" ht="15" thickBot="1" x14ac:dyDescent="0.4">
      <c r="F57" s="218" t="s">
        <v>1726</v>
      </c>
      <c r="G57" s="133">
        <f>((TogkmEL_År1+TogkmBiEl_År1+TogkmBiDi_År1+TogkmD_År1)/1000000)*UlykkesfrekvensPersontog_Død+(GodstogMkmEL_År1+GodstogMkmD_År1)*UlykkesfrekvensGodstog_Død</f>
        <v>0</v>
      </c>
      <c r="H57" s="65" t="s">
        <v>1727</v>
      </c>
      <c r="I57" s="577"/>
    </row>
    <row r="58" spans="2:10" ht="21" x14ac:dyDescent="0.5">
      <c r="B58" s="207" t="s">
        <v>1728</v>
      </c>
      <c r="C58" s="209"/>
      <c r="F58" s="218" t="s">
        <v>1729</v>
      </c>
      <c r="G58" s="941">
        <f>((TogkmEL_År1+TogkmBiEl_År1+TogkmBiDi_År1+TogkmD_År1)/1000000)*UlykkesfrekvensPersontog_HardtSkadet+(GodstogMkmEL_År1+GodstogMkmD_År1)*UlykkesfrekvensGodstog_HardtSkadet</f>
        <v>0</v>
      </c>
      <c r="H58" s="65" t="s">
        <v>1727</v>
      </c>
      <c r="I58" s="577"/>
    </row>
    <row r="59" spans="2:10" ht="18.5" x14ac:dyDescent="0.45">
      <c r="B59" s="247" t="s">
        <v>1587</v>
      </c>
      <c r="C59" s="248"/>
      <c r="F59" s="218" t="s">
        <v>1730</v>
      </c>
      <c r="G59" s="941">
        <f>((TogkmEL_År1+TogkmBiEl_År1+TogkmBiDi_År1+TogkmD_År1)/1000000)*UlykkesfrekvensPersontog_LettereSkadet+(GodstogMkmEL_År1+GodstogMkmD_År1)*UlykkesfrekvensGodstog_LettereSkadet</f>
        <v>0</v>
      </c>
      <c r="H59" s="65" t="s">
        <v>1727</v>
      </c>
      <c r="I59" s="577"/>
    </row>
    <row r="60" spans="2:10" x14ac:dyDescent="0.35">
      <c r="B60" s="375" t="s">
        <v>1731</v>
      </c>
      <c r="C60" s="376" t="s">
        <v>1653</v>
      </c>
      <c r="D60" s="3"/>
      <c r="F60" s="218" t="s">
        <v>1732</v>
      </c>
      <c r="G60" s="941">
        <f>G57+G58</f>
        <v>0</v>
      </c>
      <c r="H60" s="65" t="s">
        <v>1727</v>
      </c>
      <c r="I60" s="577"/>
    </row>
    <row r="61" spans="2:10" x14ac:dyDescent="0.35">
      <c r="B61" s="212" t="s">
        <v>1733</v>
      </c>
      <c r="C61" s="1005">
        <f ca="1">RES_Endring_for_trafikanter</f>
        <v>0</v>
      </c>
      <c r="F61" s="328" t="s">
        <v>1734</v>
      </c>
      <c r="G61" s="1075"/>
      <c r="H61" s="1071"/>
      <c r="I61" s="381"/>
    </row>
    <row r="62" spans="2:10" x14ac:dyDescent="0.35">
      <c r="B62" s="212" t="s">
        <v>1669</v>
      </c>
      <c r="C62" s="1005">
        <f ca="1">RES_Endring_for_operatører</f>
        <v>0</v>
      </c>
      <c r="F62" s="212" t="s">
        <v>1735</v>
      </c>
      <c r="G62" s="940">
        <f>(Kjøretøykm_Bil_År1*UlykkesfrekvensBil_Død+Kjøretøykm_Buss_År1*UlykkesfrekvensBuss_Død)/1000000</f>
        <v>0</v>
      </c>
      <c r="H62" s="17" t="s">
        <v>1727</v>
      </c>
      <c r="I62" s="382"/>
    </row>
    <row r="63" spans="2:10" x14ac:dyDescent="0.35">
      <c r="B63" s="212" t="s">
        <v>1680</v>
      </c>
      <c r="C63" s="1005">
        <f ca="1">RES_Endring_for_det_offentlige</f>
        <v>0</v>
      </c>
      <c r="F63" s="212" t="s">
        <v>1736</v>
      </c>
      <c r="G63" s="940">
        <f>(Kjøretøykm_Bil_År1*UlykkesfrekvensBil_HardtSkadet+Kjøretøykm_Buss_År1*UlykkesfrekvensBuss_HardtSkadet)/1000000</f>
        <v>0</v>
      </c>
      <c r="H63" s="17" t="s">
        <v>1727</v>
      </c>
      <c r="I63" s="382"/>
    </row>
    <row r="64" spans="2:10" x14ac:dyDescent="0.35">
      <c r="B64" s="212" t="s">
        <v>1702</v>
      </c>
      <c r="C64" s="1005" t="e">
        <f ca="1">RES_Endring_for_samfunnet_for_øvrig</f>
        <v>#N/A</v>
      </c>
      <c r="F64" s="212" t="s">
        <v>1737</v>
      </c>
      <c r="G64" s="940">
        <f>(Kjøretøykm_Bil_År1*UlykkesfrekvensBil_LettereSkadet+Kjøretøykm_Buss_År1*UlykkesfrekvensBuss_LettereSkadet)/1000000</f>
        <v>0</v>
      </c>
      <c r="H64" s="17" t="s">
        <v>1727</v>
      </c>
      <c r="I64" s="382"/>
    </row>
    <row r="65" spans="2:9" x14ac:dyDescent="0.35">
      <c r="B65" s="1003" t="s">
        <v>1738</v>
      </c>
      <c r="C65" s="1011" t="e">
        <f ca="1">Resultat_NNV</f>
        <v>#N/A</v>
      </c>
      <c r="F65" s="212" t="s">
        <v>1739</v>
      </c>
      <c r="G65" s="940">
        <f>G62+G63</f>
        <v>0</v>
      </c>
      <c r="H65" s="17" t="s">
        <v>1727</v>
      </c>
      <c r="I65" s="382"/>
    </row>
    <row r="66" spans="2:9" ht="15" thickBot="1" x14ac:dyDescent="0.4">
      <c r="B66" s="1004" t="s">
        <v>1709</v>
      </c>
      <c r="C66" s="1006">
        <f ca="1">Resultat_NNB</f>
        <v>0</v>
      </c>
      <c r="F66" s="328" t="s">
        <v>1740</v>
      </c>
      <c r="G66" s="1075"/>
      <c r="H66" s="1071"/>
      <c r="I66" s="381"/>
    </row>
    <row r="67" spans="2:9" x14ac:dyDescent="0.35">
      <c r="F67" s="212" t="s">
        <v>1741</v>
      </c>
      <c r="G67" s="940">
        <f>KjøretøyMkm_Lettlastebil_År1*UlykkesfrekvensLettLastebil_Død+(KjøretøyMkm_Modulvogntog_År1+KjøretøyMkm_Tunglastebil_År1)*UlykkesfrekvensTungLastebil_Død+FartøyMkm_Skip_År1*UlykkesfrekvensSkip_Død</f>
        <v>0</v>
      </c>
      <c r="H67" s="17" t="s">
        <v>1727</v>
      </c>
      <c r="I67" s="382"/>
    </row>
    <row r="68" spans="2:9" x14ac:dyDescent="0.35">
      <c r="E68" s="557"/>
      <c r="F68" s="212" t="s">
        <v>1742</v>
      </c>
      <c r="G68" s="940">
        <f>KjøretøyMkm_Lettlastebil_År1*UlykkesfrekvensLettLastebil_HardtSkadet+(KjøretøyMkm_Modulvogntog_År1+KjøretøyMkm_Tunglastebil_År1)*UlykkesfrekvensTungLasetbil_HardtSkadet+FartøyMkm_Skip_År1*UlykkesfrekvensSkip_HardtSkadet</f>
        <v>0</v>
      </c>
      <c r="H68" s="17" t="s">
        <v>1727</v>
      </c>
      <c r="I68" s="382"/>
    </row>
    <row r="69" spans="2:9" x14ac:dyDescent="0.35">
      <c r="E69" s="557"/>
      <c r="F69" s="212" t="s">
        <v>1743</v>
      </c>
      <c r="G69" s="940">
        <f>KjøretøyMkm_Lettlastebil_År1*UlykkesfrekvensLettLastebil_LettereSkadet+(KjøretøyMkm_Modulvogntog_År1+KjøretøyMkm_Tunglastebil_År1)*UlykkesfrekvensTungLastebil_LettereSkadet+FartøyMkm_Skip_År1*UlykkesfrekvensSkip_LettereSkadet</f>
        <v>0</v>
      </c>
      <c r="H69" s="17" t="s">
        <v>1727</v>
      </c>
      <c r="I69" s="382"/>
    </row>
    <row r="70" spans="2:9" x14ac:dyDescent="0.35">
      <c r="E70" s="557"/>
      <c r="F70" s="212" t="s">
        <v>1744</v>
      </c>
      <c r="G70" s="940">
        <f>G67+G68</f>
        <v>0</v>
      </c>
      <c r="H70" s="17" t="s">
        <v>1727</v>
      </c>
      <c r="I70" s="382"/>
    </row>
    <row r="71" spans="2:9" x14ac:dyDescent="0.35">
      <c r="E71" s="557"/>
      <c r="F71" s="328" t="s">
        <v>1745</v>
      </c>
      <c r="G71" s="1075"/>
      <c r="H71" s="1071"/>
      <c r="I71" s="381"/>
    </row>
    <row r="72" spans="2:9" x14ac:dyDescent="0.35">
      <c r="F72" s="212" t="s">
        <v>1746</v>
      </c>
      <c r="G72" s="940">
        <f>G57+G62+G67</f>
        <v>0</v>
      </c>
      <c r="H72" s="17" t="s">
        <v>1727</v>
      </c>
      <c r="I72" s="382"/>
    </row>
    <row r="73" spans="2:9" x14ac:dyDescent="0.35">
      <c r="F73" s="212" t="s">
        <v>1747</v>
      </c>
      <c r="G73" s="940">
        <f>G58+G63+G68</f>
        <v>0</v>
      </c>
      <c r="H73" s="17" t="s">
        <v>1727</v>
      </c>
      <c r="I73" s="382"/>
    </row>
    <row r="74" spans="2:9" x14ac:dyDescent="0.35">
      <c r="F74" s="212" t="s">
        <v>1748</v>
      </c>
      <c r="G74" s="940">
        <f>G59+G64+G69</f>
        <v>0</v>
      </c>
      <c r="H74" s="17" t="s">
        <v>1727</v>
      </c>
      <c r="I74" s="382"/>
    </row>
    <row r="75" spans="2:9" x14ac:dyDescent="0.35">
      <c r="F75" s="212" t="s">
        <v>1749</v>
      </c>
      <c r="G75" s="940">
        <f>G60+G65+G70</f>
        <v>0</v>
      </c>
      <c r="H75" s="17" t="s">
        <v>1727</v>
      </c>
      <c r="I75" s="382"/>
    </row>
    <row r="76" spans="2:9" ht="18.5" x14ac:dyDescent="0.45">
      <c r="F76" s="247" t="str">
        <f>CONCATENATE("Sikkerhetseffekter i åpningsåret (",Åpningsår,")")</f>
        <v>Sikkerhetseffekter i åpningsåret ()</v>
      </c>
      <c r="G76" s="11"/>
      <c r="H76" s="11"/>
      <c r="I76" s="249"/>
    </row>
    <row r="77" spans="2:9" x14ac:dyDescent="0.35">
      <c r="F77" s="328" t="s">
        <v>1725</v>
      </c>
      <c r="G77" s="1071"/>
      <c r="H77" s="1071"/>
      <c r="I77" s="380"/>
    </row>
    <row r="78" spans="2:9" x14ac:dyDescent="0.35">
      <c r="F78" s="218" t="s">
        <v>1726</v>
      </c>
      <c r="G78" s="133" t="e">
        <f>(_xlfn.XLOOKUP(Åpningsår,'4.3.2 Data_Tidsseriefigurer'!M105:CS105,'4.3.2 Data_Tidsseriefigurer'!M107:CS107))/1000000*UlykkesfrekvensPersontog_Død+(_xlfn.XLOOKUP(Åpningsår,'4.3.2 Data_Tidsseriefigurer'!M105:CS105,'4.3.2 Data_Tidsseriefigurer'!M108:CS108))/1000000*UlykkesfrekvensGodstog_Død</f>
        <v>#N/A</v>
      </c>
      <c r="H78" s="65" t="s">
        <v>1727</v>
      </c>
      <c r="I78" s="577"/>
    </row>
    <row r="79" spans="2:9" x14ac:dyDescent="0.35">
      <c r="F79" s="218" t="s">
        <v>1729</v>
      </c>
      <c r="G79" s="941" t="e">
        <f>((SUM(_xlfn.XLOOKUP(Åpningsår,'4.3.2 Data_Tidsseriefigurer'!M105:CS105,'4.3.2 Data_Tidsseriefigurer'!M107:CS107)/1000000)*UlykkesfrekvensPersontog_HardtSkadet+(_xlfn.XLOOKUP(Åpningsår,'4.3.2 Data_Tidsseriefigurer'!M105:CS105,'4.3.2 Data_Tidsseriefigurer'!M108:CS108))/1000000*UlykkesfrekvensGodstog_HardtSkadet))</f>
        <v>#N/A</v>
      </c>
      <c r="H79" s="65" t="s">
        <v>1727</v>
      </c>
      <c r="I79" s="577"/>
    </row>
    <row r="80" spans="2:9" x14ac:dyDescent="0.35">
      <c r="F80" s="218" t="s">
        <v>1730</v>
      </c>
      <c r="G80" s="941" t="e">
        <f>((SUM(_xlfn.XLOOKUP(Åpningsår,'4.3.2 Data_Tidsseriefigurer'!M105:CS105,'4.3.2 Data_Tidsseriefigurer'!M107:CS107))/1000000)*UlykkesfrekvensPersontog_LettereSkadet+(_xlfn.XLOOKUP(Åpningsår,'4.3.2 Data_Tidsseriefigurer'!M105:CS105,'4.3.2 Data_Tidsseriefigurer'!M108:CS108))/1000000*UlykkesfrekvensGodstog_LettereSkadet)</f>
        <v>#N/A</v>
      </c>
      <c r="H80" s="65" t="s">
        <v>1727</v>
      </c>
      <c r="I80" s="577"/>
    </row>
    <row r="81" spans="6:10" x14ac:dyDescent="0.35">
      <c r="F81" s="218" t="s">
        <v>1732</v>
      </c>
      <c r="G81" s="941" t="e">
        <f>G78+G79</f>
        <v>#N/A</v>
      </c>
      <c r="H81" s="65" t="s">
        <v>1727</v>
      </c>
      <c r="I81" s="577"/>
    </row>
    <row r="82" spans="6:10" x14ac:dyDescent="0.35">
      <c r="F82" s="328" t="s">
        <v>1734</v>
      </c>
      <c r="G82" s="1075"/>
      <c r="H82" s="1071"/>
      <c r="I82" s="381"/>
    </row>
    <row r="83" spans="6:10" x14ac:dyDescent="0.35">
      <c r="F83" s="212" t="s">
        <v>1735</v>
      </c>
      <c r="G83" s="940" t="e">
        <f>(((_xlfn.XLOOKUP(Åpningsår,'4.3.2 Data_Tidsseriefigurer'!M105:CS105,'4.3.2 Data_Tidsseriefigurer'!M109:CS109)*UlykkesfrekvensBil_Død+(_xlfn.XLOOKUP(Åpningsår,'4.3.2 Data_Tidsseriefigurer'!M105:CS105,'4.3.2 Data_Tidsseriefigurer'!M110:CS110)*UlykkesfrekvensBuss_Død))/1000000))</f>
        <v>#N/A</v>
      </c>
      <c r="H83" s="17" t="s">
        <v>1727</v>
      </c>
      <c r="I83" s="382"/>
    </row>
    <row r="84" spans="6:10" x14ac:dyDescent="0.35">
      <c r="F84" s="212" t="s">
        <v>1736</v>
      </c>
      <c r="G84" s="940" t="e">
        <f>(((_xlfn.XLOOKUP(Åpningsår,'4.3.2 Data_Tidsseriefigurer'!M105:CS105,'4.3.2 Data_Tidsseriefigurer'!M109:CS109)*UlykkesfrekvensBil_HardtSkadet+(_xlfn.XLOOKUP(Åpningsår,'4.3.2 Data_Tidsseriefigurer'!M105:CS105,'4.3.2 Data_Tidsseriefigurer'!M110:CS110)*UlykkesfrekvensBuss_HardtSkadet))/1000000))</f>
        <v>#N/A</v>
      </c>
      <c r="H84" s="17" t="s">
        <v>1727</v>
      </c>
      <c r="I84" s="382"/>
    </row>
    <row r="85" spans="6:10" x14ac:dyDescent="0.35">
      <c r="F85" s="212" t="s">
        <v>1737</v>
      </c>
      <c r="G85" s="940" t="e">
        <f>(((_xlfn.XLOOKUP(Åpningsår,'4.3.2 Data_Tidsseriefigurer'!M105:CS105,'4.3.2 Data_Tidsseriefigurer'!M109:CS109)*UlykkesfrekvensBil_LettereSkadet+(_xlfn.XLOOKUP(Åpningsår,'4.3.2 Data_Tidsseriefigurer'!M105:CS105,'4.3.2 Data_Tidsseriefigurer'!M110:CS110)*UlykkesfrekvensBuss_LettereSkadet))/1000000))</f>
        <v>#N/A</v>
      </c>
      <c r="H85" s="17" t="s">
        <v>1727</v>
      </c>
      <c r="I85" s="382"/>
    </row>
    <row r="86" spans="6:10" x14ac:dyDescent="0.35">
      <c r="F86" s="212" t="s">
        <v>1739</v>
      </c>
      <c r="G86" s="940" t="e">
        <f>G83+G84</f>
        <v>#N/A</v>
      </c>
      <c r="H86" s="17" t="s">
        <v>1727</v>
      </c>
      <c r="I86" s="382"/>
    </row>
    <row r="87" spans="6:10" x14ac:dyDescent="0.35">
      <c r="F87" s="328" t="s">
        <v>1740</v>
      </c>
      <c r="G87" s="1075"/>
      <c r="H87" s="1071"/>
      <c r="I87" s="381"/>
    </row>
    <row r="88" spans="6:10" x14ac:dyDescent="0.35">
      <c r="F88" s="212" t="s">
        <v>1741</v>
      </c>
      <c r="G88" s="940" t="e">
        <f>(((_xlfn.XLOOKUP(Åpningsår,'4.3.2 Data_Tidsseriefigurer'!M105:CS105,'4.3.2 Data_Tidsseriefigurer'!M113:CS113)*UlykkesfrekvensLettLastebil_Død+((_xlfn.XLOOKUP(Åpningsår,'4.3.2 Data_Tidsseriefigurer'!M105:CS105,'4.3.2 Data_Tidsseriefigurer'!M112:CS112))*UlykkesfrekvensTungLastebil_Død+(_xlfn.XLOOKUP(Åpningsår,'4.3.2 Data_Tidsseriefigurer'!M105:CS105,'4.3.2 Data_Tidsseriefigurer'!M114:CS114)*UlykkesfrekvensSkip_Død)))/1000000))</f>
        <v>#N/A</v>
      </c>
      <c r="H88" s="17" t="s">
        <v>1727</v>
      </c>
      <c r="I88" s="382"/>
    </row>
    <row r="89" spans="6:10" x14ac:dyDescent="0.35">
      <c r="F89" s="212" t="s">
        <v>1742</v>
      </c>
      <c r="G89" s="940" t="e">
        <f>((_xlfn.XLOOKUP(Åpningsår,'4.3.2 Data_Tidsseriefigurer'!M105:CS105,'4.3.2 Data_Tidsseriefigurer'!M113:CS113)*UlykkesfrekvensLettLastebil_HardtSkadet+((_xlfn.XLOOKUP(Åpningsår,'4.3.2 Data_Tidsseriefigurer'!M105:CS105,'4.3.2 Data_Tidsseriefigurer'!M112:CS112))*UlykkesfrekvensTungLasetbil_HardtSkadet+(_xlfn.XLOOKUP(Åpningsår,'4.3.2 Data_Tidsseriefigurer'!M105:CS105,'4.3.2 Data_Tidsseriefigurer'!M114:CS114)*UlykkesfrekvensSkip_HardtSkadet))))/1000000</f>
        <v>#N/A</v>
      </c>
      <c r="H89" s="17" t="s">
        <v>1727</v>
      </c>
      <c r="I89" s="382"/>
      <c r="J89" s="2"/>
    </row>
    <row r="90" spans="6:10" x14ac:dyDescent="0.35">
      <c r="F90" s="212" t="s">
        <v>1743</v>
      </c>
      <c r="G90" s="940" t="e">
        <f>((_xlfn.XLOOKUP(Åpningsår,'4.3.2 Data_Tidsseriefigurer'!M105:CS105,'4.3.2 Data_Tidsseriefigurer'!M113:CS113)*UlykkesfrekvensLettLastebil_LettereSkadet+((_xlfn.XLOOKUP(Åpningsår,'4.3.2 Data_Tidsseriefigurer'!M105:CS105,'4.3.2 Data_Tidsseriefigurer'!M112:CS112))*UlykkesfrekvensTungLastebil_LettereSkadet+(_xlfn.XLOOKUP(Åpningsår,'4.3.2 Data_Tidsseriefigurer'!M105:CS105,'4.3.2 Data_Tidsseriefigurer'!M114:CS114)*UlykkesfrekvensSkip_LettereSkadet))))/1000000</f>
        <v>#N/A</v>
      </c>
      <c r="H90" s="17" t="s">
        <v>1727</v>
      </c>
      <c r="I90" s="382"/>
    </row>
    <row r="91" spans="6:10" x14ac:dyDescent="0.35">
      <c r="F91" s="212" t="s">
        <v>1744</v>
      </c>
      <c r="G91" s="940" t="e">
        <f>G88+G89</f>
        <v>#N/A</v>
      </c>
      <c r="H91" s="17" t="s">
        <v>1727</v>
      </c>
      <c r="I91" s="382"/>
    </row>
    <row r="92" spans="6:10" x14ac:dyDescent="0.35">
      <c r="F92" s="328" t="s">
        <v>1745</v>
      </c>
      <c r="G92" s="1075"/>
      <c r="H92" s="1071"/>
      <c r="I92" s="381"/>
    </row>
    <row r="93" spans="6:10" x14ac:dyDescent="0.35">
      <c r="F93" s="212" t="s">
        <v>1746</v>
      </c>
      <c r="G93" s="940" t="e">
        <f>G78+G83+G88</f>
        <v>#N/A</v>
      </c>
      <c r="H93" s="17" t="s">
        <v>1727</v>
      </c>
      <c r="I93" s="382"/>
    </row>
    <row r="94" spans="6:10" x14ac:dyDescent="0.35">
      <c r="F94" s="212" t="s">
        <v>1747</v>
      </c>
      <c r="G94" s="940" t="e">
        <f>G79+G84+G89</f>
        <v>#N/A</v>
      </c>
      <c r="H94" s="17" t="s">
        <v>1727</v>
      </c>
      <c r="I94" s="382"/>
    </row>
    <row r="95" spans="6:10" x14ac:dyDescent="0.35">
      <c r="F95" s="212" t="s">
        <v>1748</v>
      </c>
      <c r="G95" s="940" t="e">
        <f>G80+G85+G90</f>
        <v>#N/A</v>
      </c>
      <c r="H95" s="17" t="s">
        <v>1727</v>
      </c>
      <c r="I95" s="382"/>
    </row>
    <row r="96" spans="6:10" x14ac:dyDescent="0.35">
      <c r="F96" s="212" t="s">
        <v>1749</v>
      </c>
      <c r="G96" s="940" t="e">
        <f>G81+G86+G91</f>
        <v>#N/A</v>
      </c>
      <c r="H96" s="17" t="s">
        <v>1727</v>
      </c>
      <c r="I96" s="382"/>
    </row>
    <row r="97" spans="6:9" ht="18.5" x14ac:dyDescent="0.45">
      <c r="F97" s="247" t="s">
        <v>1750</v>
      </c>
      <c r="G97" s="11"/>
      <c r="H97" s="11"/>
      <c r="I97" s="249"/>
    </row>
    <row r="98" spans="6:9" x14ac:dyDescent="0.35">
      <c r="F98" s="328" t="s">
        <v>1751</v>
      </c>
      <c r="G98" s="1071"/>
      <c r="H98" s="1071"/>
      <c r="I98" s="379"/>
    </row>
    <row r="99" spans="6:9" x14ac:dyDescent="0.35">
      <c r="F99" s="212" t="str">
        <f>CONCATENATE("Reduksjon i lokale utslipp (NOx) i store tettsteder, år ",FørsteBeregningsår,"")</f>
        <v xml:space="preserve">Reduksjon i lokale utslipp (NOx) i store tettsteder, år </v>
      </c>
      <c r="G99" s="83">
        <f>-(NOxÅr1_Godstog+NOxÅr1_Persontog+NOxÅr1_Bil+NOxÅr1_Buss+NOxÅr1_Fly+NOxÅr1_Lastebil+NOxÅr1_Skip)</f>
        <v>0</v>
      </c>
      <c r="H99" s="17" t="s">
        <v>1752</v>
      </c>
      <c r="I99" s="213"/>
    </row>
    <row r="100" spans="6:9" x14ac:dyDescent="0.35">
      <c r="F100" s="212" t="str">
        <f>CONCATENATE("Endring i støy (udiskontert), år ",FørsteBeregningsår)</f>
        <v xml:space="preserve">Endring i støy (udiskontert), år </v>
      </c>
      <c r="G100" s="91" t="str">
        <f ca="1">LOOKUP(FørsteBeregningsår,'3.1 Nyttestrøm'!M67:CS67,'3.1 Nyttestrøm'!M70:CS70)</f>
        <v/>
      </c>
      <c r="H100" s="91" t="s">
        <v>1753</v>
      </c>
      <c r="I100" s="213"/>
    </row>
    <row r="101" spans="6:9" x14ac:dyDescent="0.35">
      <c r="F101" s="328" t="s">
        <v>1754</v>
      </c>
      <c r="G101" s="1071"/>
      <c r="H101" s="1071"/>
      <c r="I101" s="379"/>
    </row>
    <row r="102" spans="6:9" x14ac:dyDescent="0.35">
      <c r="F102" s="212" t="str">
        <f>CONCATENATE("Reduksjon i CO2 utslipp fra drift, år ", FørsteBeregningsår)</f>
        <v xml:space="preserve">Reduksjon i CO2 utslipp fra drift, år </v>
      </c>
      <c r="G102" s="83">
        <f>-(CO2År1_Tog+CO2År1_AndreTransportmidler)</f>
        <v>0</v>
      </c>
      <c r="H102" s="17" t="s">
        <v>1755</v>
      </c>
      <c r="I102" s="213"/>
    </row>
    <row r="103" spans="6:9" x14ac:dyDescent="0.35">
      <c r="F103" s="212" t="str">
        <f>CONCATENATE("Pris per redusert CO2-tonn (udiskontert), år ", FørsteBeregningsår)</f>
        <v xml:space="preserve">Pris per redusert CO2-tonn (udiskontert), år </v>
      </c>
      <c r="G103" s="83">
        <f>IF(G102=0,0,-G19/(G102*ProsjektetsLevetid)*1000000)</f>
        <v>0</v>
      </c>
      <c r="H103" s="537" t="s">
        <v>1481</v>
      </c>
      <c r="I103" s="213"/>
    </row>
    <row r="104" spans="6:9" x14ac:dyDescent="0.35">
      <c r="F104" s="212" t="str">
        <f>CONCATENATE("Endring i CO2-utslipp i åpningsåret ", Åpningsår)</f>
        <v xml:space="preserve">Endring i CO2-utslipp i åpningsåret </v>
      </c>
      <c r="G104" s="512" t="e">
        <f>SUM(_xlfn.XLOOKUP(Åpningsår,'4.3.2 Data_Tidsseriefigurer'!M105:CS105,'4.3.2 Data_Tidsseriefigurer'!M124:CS134))/1000</f>
        <v>#N/A</v>
      </c>
      <c r="H104" s="537" t="s">
        <v>1755</v>
      </c>
      <c r="I104" s="213"/>
    </row>
    <row r="105" spans="6:9" x14ac:dyDescent="0.35">
      <c r="F105" s="328" t="s">
        <v>1756</v>
      </c>
      <c r="G105" s="1071"/>
      <c r="H105" s="1071"/>
      <c r="I105" s="379"/>
    </row>
    <row r="106" spans="6:9" x14ac:dyDescent="0.35">
      <c r="F106" s="212" t="str">
        <f>_xlfn.CONCAT("CO2-utslipp - ",'3.1 Nyttestrøm'!C76," - ",ProsjektetsLevetid," år")</f>
        <v>CO2-utslipp - Jernbane - Persontog -  år</v>
      </c>
      <c r="G106" s="1104" cm="1">
        <f t="array" aca="1" ref="G106" ca="1">SUM(IF(ISERROR('4.3.2 Data_Tidsseriefigurer'!C124:CS124),"",'4.3.2 Data_Tidsseriefigurer'!C124:CS124))/1000</f>
        <v>0</v>
      </c>
      <c r="H106" s="537" t="s">
        <v>1755</v>
      </c>
      <c r="I106" s="213"/>
    </row>
    <row r="107" spans="6:9" x14ac:dyDescent="0.35">
      <c r="F107" s="212" t="str">
        <f>_xlfn.CONCAT("CO2-utslipp - ",'3.1 Nyttestrøm'!C77," - ",ProsjektetsLevetid," år")</f>
        <v>CO2-utslipp - Jernbane - Godstog -  år</v>
      </c>
      <c r="G107" s="1104" cm="1">
        <f t="array" aca="1" ref="G107" ca="1">SUM(IF(ISERROR('4.3.2 Data_Tidsseriefigurer'!C125:CS125),"",'4.3.2 Data_Tidsseriefigurer'!C125:CS125))/1000</f>
        <v>0</v>
      </c>
      <c r="H107" s="537" t="s">
        <v>1755</v>
      </c>
      <c r="I107" s="213"/>
    </row>
    <row r="108" spans="6:9" x14ac:dyDescent="0.35">
      <c r="F108" s="212" t="str">
        <f>_xlfn.CONCAT("CO2-utslipp - ",'3.1 Nyttestrøm'!C78," - ",ProsjektetsLevetid," år")</f>
        <v>CO2-utslipp - Personbil -  år</v>
      </c>
      <c r="G108" s="1104" cm="1">
        <f t="array" aca="1" ref="G108" ca="1">SUM(IF(ISERROR('4.3.2 Data_Tidsseriefigurer'!C126:CS126),"",'4.3.2 Data_Tidsseriefigurer'!C126:CS126))/1000</f>
        <v>0</v>
      </c>
      <c r="H108" s="537" t="s">
        <v>1755</v>
      </c>
      <c r="I108" s="213"/>
    </row>
    <row r="109" spans="6:9" x14ac:dyDescent="0.35">
      <c r="F109" s="212" t="str">
        <f>_xlfn.CONCAT("CO2-utslipp - ",'3.1 Nyttestrøm'!C79," - ",ProsjektetsLevetid," år")</f>
        <v>CO2-utslipp - Buss -  år</v>
      </c>
      <c r="G109" s="1104" cm="1">
        <f t="array" aca="1" ref="G109" ca="1">SUM(IF(ISERROR('4.3.2 Data_Tidsseriefigurer'!C127:CS127),"",'4.3.2 Data_Tidsseriefigurer'!C127:CS127))/1000</f>
        <v>0</v>
      </c>
      <c r="H109" s="537" t="s">
        <v>1755</v>
      </c>
      <c r="I109" s="213"/>
    </row>
    <row r="110" spans="6:9" x14ac:dyDescent="0.35">
      <c r="F110" s="212" t="str">
        <f>_xlfn.CONCAT("CO2-utslipp - ",'3.1 Nyttestrøm'!C80," - ",ProsjektetsLevetid," år")</f>
        <v>CO2-utslipp - Passasjerfly -  år</v>
      </c>
      <c r="G110" s="1104" cm="1">
        <f t="array" aca="1" ref="G110" ca="1">SUM(IF(ISERROR('4.3.2 Data_Tidsseriefigurer'!C128:CS128),"",'4.3.2 Data_Tidsseriefigurer'!C128:CS128))/1000</f>
        <v>0</v>
      </c>
      <c r="H110" s="537" t="s">
        <v>1755</v>
      </c>
      <c r="I110" s="213"/>
    </row>
    <row r="111" spans="6:9" x14ac:dyDescent="0.35">
      <c r="F111" s="212" t="str">
        <f>_xlfn.CONCAT("CO2-utslipp - ",'3.1 Nyttestrøm'!C81," - ",ProsjektetsLevetid," år")</f>
        <v>CO2-utslipp - Lastebil -  år</v>
      </c>
      <c r="G111" s="1104" cm="1">
        <f t="array" aca="1" ref="G111" ca="1">SUM(IF(ISERROR('4.3.2 Data_Tidsseriefigurer'!C129:CS129),"",'4.3.2 Data_Tidsseriefigurer'!C129:CS129))/1000</f>
        <v>0</v>
      </c>
      <c r="H111" s="537" t="s">
        <v>1755</v>
      </c>
      <c r="I111" s="213"/>
    </row>
    <row r="112" spans="6:9" x14ac:dyDescent="0.35">
      <c r="F112" s="212" t="str">
        <f>_xlfn.CONCAT("CO2-utslipp - ",'3.1 Nyttestrøm'!C82," - ",ProsjektetsLevetid," år")</f>
        <v>CO2-utslipp - Lett Lastebil -  år</v>
      </c>
      <c r="G112" s="1104" cm="1">
        <f t="array" aca="1" ref="G112" ca="1">SUM(IF(ISERROR('4.3.2 Data_Tidsseriefigurer'!C130:CS130),"",'4.3.2 Data_Tidsseriefigurer'!C130:CS130))/1000</f>
        <v>0</v>
      </c>
      <c r="H112" s="537" t="s">
        <v>1755</v>
      </c>
      <c r="I112" s="213"/>
    </row>
    <row r="113" spans="6:9" x14ac:dyDescent="0.35">
      <c r="F113" s="212" t="str">
        <f>_xlfn.CONCAT("CO2-utslipp - ",'3.1 Nyttestrøm'!C83," - ",ProsjektetsLevetid," år")</f>
        <v>CO2-utslipp - Skip -  år</v>
      </c>
      <c r="G113" s="1104" cm="1">
        <f t="array" aca="1" ref="G113" ca="1">SUM(IF(ISERROR('4.3.2 Data_Tidsseriefigurer'!C131:CS131),"",'4.3.2 Data_Tidsseriefigurer'!C131:CS131))/1000</f>
        <v>0</v>
      </c>
      <c r="H113" s="537" t="s">
        <v>1755</v>
      </c>
      <c r="I113" s="213"/>
    </row>
    <row r="114" spans="6:9" x14ac:dyDescent="0.35">
      <c r="F114" s="212" t="str">
        <f>_xlfn.CONCAT("CO2-utslipp - ",'3.1 Nyttestrøm'!C84," - ",ProsjektetsLevetid," år")</f>
        <v>CO2-utslipp - Godsfly -  år</v>
      </c>
      <c r="G114" s="1104" cm="1">
        <f t="array" aca="1" ref="G114" ca="1">SUM(IF(ISERROR('4.3.2 Data_Tidsseriefigurer'!C132:CS132),"",'4.3.2 Data_Tidsseriefigurer'!C132:CS132))/1000</f>
        <v>0</v>
      </c>
      <c r="H114" s="537" t="s">
        <v>1755</v>
      </c>
      <c r="I114" s="213"/>
    </row>
    <row r="115" spans="6:9" x14ac:dyDescent="0.35">
      <c r="F115" s="212" t="str">
        <f>_xlfn.CONCAT("CO2-utslipp - ",'3.1 Nyttestrøm'!C85," - ",ProsjektetsLevetid," år")</f>
        <v>CO2-utslipp - Utslipp i byggefasen -  år</v>
      </c>
      <c r="G115" s="1104" cm="1">
        <f t="array" ref="G115">SUM(IF(ISERROR('4.3.2 Data_Tidsseriefigurer'!C133:CS133),"",'4.3.2 Data_Tidsseriefigurer'!C133:CS133))/1000</f>
        <v>0</v>
      </c>
      <c r="H115" s="537" t="s">
        <v>1755</v>
      </c>
      <c r="I115" s="213"/>
    </row>
    <row r="116" spans="6:9" x14ac:dyDescent="0.35">
      <c r="F116" s="212" t="str">
        <f>_xlfn.CONCAT("CO2-utslipp - ",'3.1 Nyttestrøm'!C86," - ",ProsjektetsLevetid," år")</f>
        <v>CO2-utslipp - Utslipp arealbeslag -  år</v>
      </c>
      <c r="G116" s="1104" cm="1">
        <f t="array" ref="G116">SUM(IF(ISERROR('4.3.2 Data_Tidsseriefigurer'!C134:CS134),"",'4.3.2 Data_Tidsseriefigurer'!C134:CS134))/1000</f>
        <v>0</v>
      </c>
      <c r="H116" s="537" t="s">
        <v>1755</v>
      </c>
      <c r="I116" s="213"/>
    </row>
    <row r="117" spans="6:9" ht="15" thickBot="1" x14ac:dyDescent="0.4">
      <c r="F117" s="252" t="s">
        <v>594</v>
      </c>
      <c r="G117" s="1076">
        <f ca="1">SUM(G106:G116)</f>
        <v>0</v>
      </c>
      <c r="H117" s="383" t="s">
        <v>1755</v>
      </c>
      <c r="I117" s="302"/>
    </row>
  </sheetData>
  <phoneticPr fontId="64" type="noConversion"/>
  <conditionalFormatting sqref="C45:C49">
    <cfRule type="cellIs" dxfId="585" priority="3" operator="lessThan">
      <formula>0</formula>
    </cfRule>
    <cfRule type="cellIs" dxfId="584" priority="4" operator="greaterThan">
      <formula>0</formula>
    </cfRule>
  </conditionalFormatting>
  <conditionalFormatting sqref="C50:C55">
    <cfRule type="cellIs" dxfId="583" priority="1" operator="lessThan">
      <formula>0</formula>
    </cfRule>
    <cfRule type="cellIs" dxfId="582" priority="2" operator="greaterThan">
      <formula>0</formula>
    </cfRule>
  </conditionalFormatting>
  <conditionalFormatting sqref="C61:C66">
    <cfRule type="iconSet" priority="523">
      <iconSet iconSet="3Arrows">
        <cfvo type="percent" val="0"/>
        <cfvo type="num" val="-1E-3"/>
        <cfvo type="num" val="1E-3"/>
      </iconSet>
    </cfRule>
  </conditionalFormatting>
  <conditionalFormatting sqref="C9:C41">
    <cfRule type="iconSet" priority="524">
      <iconSet iconSet="3Arrows">
        <cfvo type="percent" val="0"/>
        <cfvo type="num" val="-1E-3"/>
        <cfvo type="num" val="1E-3" gte="0"/>
      </iconSet>
    </cfRule>
  </conditionalFormatting>
  <pageMargins left="0.7" right="0.7" top="0.75" bottom="0.75" header="0.3" footer="0.3"/>
  <pageSetup paperSize="9" orientation="portrait" r:id="rId1"/>
  <drawing r:id="rId2"/>
  <legacyDrawing r:id="rId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A63BD1-69F1-4603-9193-8BE1AA21D03C}">
  <sheetPr codeName="Ark25">
    <tabColor theme="4" tint="-0.249977111117893"/>
  </sheetPr>
  <dimension ref="A3:N63"/>
  <sheetViews>
    <sheetView showGridLines="0" zoomScaleNormal="100" workbookViewId="0"/>
  </sheetViews>
  <sheetFormatPr baseColWidth="10" defaultColWidth="11.453125" defaultRowHeight="14.5" x14ac:dyDescent="0.35"/>
  <cols>
    <col min="2" max="2" width="9.453125" customWidth="1"/>
    <col min="3" max="3" width="9.7265625" customWidth="1"/>
    <col min="4" max="4" width="8.54296875" customWidth="1"/>
    <col min="5" max="5" width="9.81640625" customWidth="1"/>
    <col min="6" max="6" width="8.453125" customWidth="1"/>
    <col min="7" max="7" width="7.1796875" customWidth="1"/>
    <col min="8" max="8" width="6.7265625" customWidth="1"/>
    <col min="9" max="9" width="7.54296875" customWidth="1"/>
    <col min="10" max="10" width="9.1796875" customWidth="1"/>
    <col min="11" max="11" width="7.81640625" customWidth="1"/>
    <col min="12" max="12" width="10.81640625" customWidth="1"/>
    <col min="13" max="13" width="9.54296875" customWidth="1"/>
  </cols>
  <sheetData>
    <row r="3" spans="2:13" ht="15" thickBot="1" x14ac:dyDescent="0.4"/>
    <row r="4" spans="2:13" ht="18.75" customHeight="1" thickTop="1" x14ac:dyDescent="0.35">
      <c r="B4" s="1420" t="s">
        <v>1757</v>
      </c>
      <c r="C4" s="1421"/>
      <c r="D4" s="1421"/>
      <c r="E4" s="1421"/>
      <c r="F4" s="1421"/>
      <c r="G4" s="1421"/>
      <c r="H4" s="1421"/>
      <c r="I4" s="1421"/>
      <c r="J4" s="1421"/>
      <c r="K4" s="1089"/>
      <c r="L4" s="1422" t="s">
        <v>1517</v>
      </c>
      <c r="M4" s="1423"/>
    </row>
    <row r="5" spans="2:13" x14ac:dyDescent="0.35">
      <c r="B5" s="1424" t="s">
        <v>1758</v>
      </c>
      <c r="C5" s="1425"/>
      <c r="D5" s="1425"/>
      <c r="E5" s="1425"/>
      <c r="F5" s="1425"/>
      <c r="G5" s="1425"/>
      <c r="H5" s="1425"/>
      <c r="I5" s="1425"/>
      <c r="J5" s="1425"/>
      <c r="K5" s="1425"/>
      <c r="L5" s="1425"/>
      <c r="M5" s="1426"/>
    </row>
    <row r="6" spans="2:13" x14ac:dyDescent="0.35">
      <c r="B6" s="1427" t="s">
        <v>1759</v>
      </c>
      <c r="C6" s="1428"/>
      <c r="D6" s="1428"/>
      <c r="E6" s="1428"/>
      <c r="F6" s="1428"/>
      <c r="G6" s="1429"/>
      <c r="H6" s="1430" t="s">
        <v>1760</v>
      </c>
      <c r="I6" s="1428"/>
      <c r="J6" s="1428"/>
      <c r="K6" s="1428"/>
      <c r="L6" s="1428"/>
      <c r="M6" s="1431"/>
    </row>
    <row r="7" spans="2:13" x14ac:dyDescent="0.35">
      <c r="B7" s="1408" t="s">
        <v>1761</v>
      </c>
      <c r="C7" s="1409"/>
      <c r="D7" s="1409"/>
      <c r="E7" s="1409"/>
      <c r="F7" s="1409"/>
      <c r="G7" s="1410"/>
      <c r="H7" s="1415" t="s">
        <v>1762</v>
      </c>
      <c r="I7" s="1416"/>
      <c r="J7" s="1416"/>
      <c r="K7" s="1416"/>
      <c r="L7" s="1416"/>
      <c r="M7" s="1417"/>
    </row>
    <row r="8" spans="2:13" x14ac:dyDescent="0.35">
      <c r="B8" s="1408"/>
      <c r="C8" s="1409"/>
      <c r="D8" s="1409"/>
      <c r="E8" s="1409"/>
      <c r="F8" s="1409"/>
      <c r="G8" s="1410"/>
      <c r="H8" s="1418" t="s">
        <v>1763</v>
      </c>
      <c r="I8" s="1409"/>
      <c r="J8" s="1409"/>
      <c r="K8" s="1409"/>
      <c r="L8" s="1409"/>
      <c r="M8" s="1419"/>
    </row>
    <row r="9" spans="2:13" x14ac:dyDescent="0.35">
      <c r="B9" s="1408"/>
      <c r="C9" s="1409"/>
      <c r="D9" s="1409"/>
      <c r="E9" s="1409"/>
      <c r="F9" s="1409"/>
      <c r="G9" s="1410"/>
      <c r="H9" s="1418" t="s">
        <v>1764</v>
      </c>
      <c r="I9" s="1409"/>
      <c r="J9" s="1409"/>
      <c r="K9" s="1409"/>
      <c r="L9" s="1409"/>
      <c r="M9" s="1419"/>
    </row>
    <row r="10" spans="2:13" x14ac:dyDescent="0.35">
      <c r="B10" s="1408"/>
      <c r="C10" s="1409"/>
      <c r="D10" s="1409"/>
      <c r="E10" s="1409"/>
      <c r="F10" s="1409"/>
      <c r="G10" s="1410"/>
      <c r="H10" s="1418" t="s">
        <v>1765</v>
      </c>
      <c r="I10" s="1409"/>
      <c r="J10" s="1409"/>
      <c r="K10" s="1409"/>
      <c r="L10" s="1409"/>
      <c r="M10" s="1419"/>
    </row>
    <row r="11" spans="2:13" x14ac:dyDescent="0.35">
      <c r="B11" s="1408"/>
      <c r="C11" s="1409"/>
      <c r="D11" s="1409"/>
      <c r="E11" s="1409"/>
      <c r="F11" s="1409"/>
      <c r="G11" s="1410"/>
      <c r="H11" s="1418" t="s">
        <v>1766</v>
      </c>
      <c r="I11" s="1409"/>
      <c r="J11" s="1409"/>
      <c r="K11" s="1409"/>
      <c r="L11" s="1409"/>
      <c r="M11" s="1419"/>
    </row>
    <row r="12" spans="2:13" x14ac:dyDescent="0.35">
      <c r="B12" s="1080"/>
      <c r="C12" s="1081"/>
      <c r="D12" s="1081"/>
      <c r="E12" s="1081"/>
      <c r="F12" s="1081"/>
      <c r="G12" s="1082"/>
      <c r="H12" s="1418" t="s">
        <v>1767</v>
      </c>
      <c r="I12" s="1409"/>
      <c r="J12" s="1409"/>
      <c r="K12" s="1409"/>
      <c r="L12" s="1409"/>
      <c r="M12" s="1419"/>
    </row>
    <row r="13" spans="2:13" x14ac:dyDescent="0.35">
      <c r="B13" s="1080"/>
      <c r="C13" s="1081"/>
      <c r="D13" s="1081"/>
      <c r="E13" s="1081"/>
      <c r="F13" s="1081"/>
      <c r="G13" s="1082"/>
      <c r="H13" s="1418" t="s">
        <v>1768</v>
      </c>
      <c r="I13" s="1409"/>
      <c r="J13" s="1409"/>
      <c r="K13" s="1409"/>
      <c r="L13" s="1409"/>
      <c r="M13" s="1419"/>
    </row>
    <row r="14" spans="2:13" x14ac:dyDescent="0.35">
      <c r="B14" s="1080"/>
      <c r="C14" s="1081"/>
      <c r="D14" s="1081"/>
      <c r="E14" s="1081"/>
      <c r="F14" s="1081"/>
      <c r="G14" s="1082"/>
      <c r="H14" s="1411"/>
      <c r="I14" s="1411"/>
      <c r="J14" s="1411"/>
      <c r="K14" s="1411"/>
      <c r="L14" s="1411"/>
      <c r="M14" s="1412"/>
    </row>
    <row r="15" spans="2:13" x14ac:dyDescent="0.35">
      <c r="B15" s="1408" t="s">
        <v>1769</v>
      </c>
      <c r="C15" s="1409"/>
      <c r="D15" s="1409"/>
      <c r="E15" s="1409"/>
      <c r="F15" s="1409"/>
      <c r="G15" s="1410"/>
      <c r="H15" s="1411"/>
      <c r="I15" s="1411"/>
      <c r="J15" s="1411"/>
      <c r="K15" s="1411"/>
      <c r="L15" s="1411"/>
      <c r="M15" s="1412"/>
    </row>
    <row r="16" spans="2:13" x14ac:dyDescent="0.35">
      <c r="B16" s="1408" t="s">
        <v>1770</v>
      </c>
      <c r="C16" s="1409"/>
      <c r="D16" s="1409"/>
      <c r="E16" s="1409"/>
      <c r="F16" s="1409"/>
      <c r="G16" s="1410"/>
      <c r="H16" s="1411"/>
      <c r="I16" s="1411"/>
      <c r="J16" s="1411"/>
      <c r="K16" s="1411"/>
      <c r="L16" s="1411"/>
      <c r="M16" s="1412"/>
    </row>
    <row r="17" spans="1:13" ht="15" thickBot="1" x14ac:dyDescent="0.4">
      <c r="B17" s="1432" t="s">
        <v>1771</v>
      </c>
      <c r="C17" s="1433"/>
      <c r="D17" s="1433"/>
      <c r="E17" s="1433"/>
      <c r="F17" s="1433"/>
      <c r="G17" s="1434"/>
      <c r="H17" s="1411"/>
      <c r="I17" s="1411"/>
      <c r="J17" s="1411"/>
      <c r="K17" s="1411"/>
      <c r="L17" s="1411"/>
      <c r="M17" s="1412"/>
    </row>
    <row r="18" spans="1:13" x14ac:dyDescent="0.35">
      <c r="B18" s="1435" t="s">
        <v>1772</v>
      </c>
      <c r="C18" s="1436"/>
      <c r="D18" s="1436"/>
      <c r="E18" s="1436"/>
      <c r="F18" s="1436"/>
      <c r="G18" s="1437"/>
      <c r="H18" s="1411"/>
      <c r="I18" s="1411"/>
      <c r="J18" s="1411"/>
      <c r="K18" s="1411"/>
      <c r="L18" s="1411"/>
      <c r="M18" s="1412"/>
    </row>
    <row r="19" spans="1:13" x14ac:dyDescent="0.35">
      <c r="B19" s="1408" t="s">
        <v>1773</v>
      </c>
      <c r="C19" s="1409"/>
      <c r="D19" s="1409"/>
      <c r="E19" s="1409"/>
      <c r="F19" s="1409"/>
      <c r="G19" s="1410"/>
      <c r="H19" s="1411"/>
      <c r="I19" s="1411"/>
      <c r="J19" s="1411"/>
      <c r="K19" s="1411"/>
      <c r="L19" s="1411"/>
      <c r="M19" s="1412"/>
    </row>
    <row r="20" spans="1:13" x14ac:dyDescent="0.35">
      <c r="B20" s="1408"/>
      <c r="C20" s="1409"/>
      <c r="D20" s="1409"/>
      <c r="E20" s="1409"/>
      <c r="F20" s="1409"/>
      <c r="G20" s="1410"/>
      <c r="H20" s="1411"/>
      <c r="I20" s="1411"/>
      <c r="J20" s="1411"/>
      <c r="K20" s="1411"/>
      <c r="L20" s="1411"/>
      <c r="M20" s="1412"/>
    </row>
    <row r="21" spans="1:13" x14ac:dyDescent="0.35">
      <c r="B21" s="1408"/>
      <c r="C21" s="1409"/>
      <c r="D21" s="1409"/>
      <c r="E21" s="1409"/>
      <c r="F21" s="1409"/>
      <c r="G21" s="1410"/>
      <c r="H21" s="1411"/>
      <c r="I21" s="1411"/>
      <c r="J21" s="1411"/>
      <c r="K21" s="1411"/>
      <c r="L21" s="1411"/>
      <c r="M21" s="1412"/>
    </row>
    <row r="22" spans="1:13" ht="15" thickBot="1" x14ac:dyDescent="0.4">
      <c r="B22" s="1432"/>
      <c r="C22" s="1433"/>
      <c r="D22" s="1433"/>
      <c r="E22" s="1433"/>
      <c r="F22" s="1433"/>
      <c r="G22" s="1434"/>
      <c r="H22" s="1411"/>
      <c r="I22" s="1411"/>
      <c r="J22" s="1411"/>
      <c r="K22" s="1411"/>
      <c r="L22" s="1411"/>
      <c r="M22" s="1412"/>
    </row>
    <row r="23" spans="1:13" ht="15" customHeight="1" x14ac:dyDescent="0.35">
      <c r="B23" s="1408" t="s">
        <v>1774</v>
      </c>
      <c r="C23" s="1409"/>
      <c r="D23" s="1409"/>
      <c r="E23" s="1409"/>
      <c r="F23" s="1409"/>
      <c r="G23" s="1410"/>
      <c r="H23" s="1411"/>
      <c r="I23" s="1411"/>
      <c r="J23" s="1411"/>
      <c r="K23" s="1411"/>
      <c r="L23" s="1411"/>
      <c r="M23" s="1412"/>
    </row>
    <row r="24" spans="1:13" x14ac:dyDescent="0.35">
      <c r="B24" s="1408"/>
      <c r="C24" s="1409"/>
      <c r="D24" s="1409"/>
      <c r="E24" s="1409"/>
      <c r="F24" s="1409"/>
      <c r="G24" s="1410"/>
      <c r="H24" s="1411"/>
      <c r="I24" s="1411"/>
      <c r="J24" s="1411"/>
      <c r="K24" s="1411"/>
      <c r="L24" s="1411"/>
      <c r="M24" s="1412"/>
    </row>
    <row r="25" spans="1:13" ht="15" thickBot="1" x14ac:dyDescent="0.4">
      <c r="B25" s="1408"/>
      <c r="C25" s="1409"/>
      <c r="D25" s="1409"/>
      <c r="E25" s="1409"/>
      <c r="F25" s="1409"/>
      <c r="G25" s="1410"/>
      <c r="H25" s="1413"/>
      <c r="I25" s="1413"/>
      <c r="J25" s="1413"/>
      <c r="K25" s="1413"/>
      <c r="L25" s="1413"/>
      <c r="M25" s="1414"/>
    </row>
    <row r="26" spans="1:13" ht="18.5" thickTop="1" x14ac:dyDescent="0.35">
      <c r="B26" s="1369" t="s">
        <v>1775</v>
      </c>
      <c r="C26" s="1370"/>
      <c r="D26" s="1370"/>
      <c r="E26" s="1370"/>
      <c r="F26" s="1370"/>
      <c r="G26" s="1370"/>
      <c r="H26" s="1370"/>
      <c r="I26" s="1370"/>
      <c r="J26" s="1370"/>
      <c r="K26" s="1370"/>
      <c r="L26" s="1370"/>
      <c r="M26" s="1371"/>
    </row>
    <row r="27" spans="1:13" ht="17.149999999999999" customHeight="1" x14ac:dyDescent="0.35">
      <c r="B27" s="1394" t="s">
        <v>1776</v>
      </c>
      <c r="C27" s="1383"/>
      <c r="D27" s="1383"/>
      <c r="E27" s="1383"/>
      <c r="F27" s="1395" t="s">
        <v>1777</v>
      </c>
      <c r="G27" s="1383"/>
      <c r="H27" s="1396"/>
      <c r="I27" s="1383" t="s">
        <v>1778</v>
      </c>
      <c r="J27" s="1397"/>
      <c r="K27" s="1382" t="s">
        <v>1779</v>
      </c>
      <c r="L27" s="1383"/>
      <c r="M27" s="1384"/>
    </row>
    <row r="28" spans="1:13" x14ac:dyDescent="0.35">
      <c r="B28" s="1394"/>
      <c r="C28" s="1383"/>
      <c r="D28" s="1383"/>
      <c r="E28" s="1383"/>
      <c r="F28" s="1395"/>
      <c r="G28" s="1383"/>
      <c r="H28" s="1396"/>
      <c r="I28" s="1383"/>
      <c r="J28" s="1397"/>
      <c r="K28" s="1382"/>
      <c r="L28" s="1383"/>
      <c r="M28" s="1384"/>
    </row>
    <row r="29" spans="1:13" x14ac:dyDescent="0.35">
      <c r="A29" s="1114"/>
      <c r="B29" s="1113" t="s">
        <v>1780</v>
      </c>
      <c r="C29" s="1113" t="s">
        <v>1781</v>
      </c>
      <c r="D29" s="1113" t="s">
        <v>1782</v>
      </c>
      <c r="E29" s="1113" t="s">
        <v>1783</v>
      </c>
      <c r="F29" s="1395"/>
      <c r="G29" s="1383"/>
      <c r="H29" s="1396"/>
      <c r="I29" s="1383"/>
      <c r="J29" s="1397"/>
      <c r="K29" s="1382"/>
      <c r="L29" s="1383"/>
      <c r="M29" s="1384"/>
    </row>
    <row r="30" spans="1:13" ht="15.65" customHeight="1" x14ac:dyDescent="0.35">
      <c r="A30" s="1114"/>
      <c r="B30" s="1374" t="e">
        <f ca="1">'4.1 Resultatark'!C40</f>
        <v>#N/A</v>
      </c>
      <c r="C30" s="1376">
        <v>0</v>
      </c>
      <c r="D30" s="1376">
        <v>0</v>
      </c>
      <c r="E30" s="1372">
        <v>0</v>
      </c>
      <c r="F30" s="1402">
        <f ca="1">'4.1 Resultatark'!C41</f>
        <v>0</v>
      </c>
      <c r="G30" s="1403"/>
      <c r="H30" s="1404"/>
      <c r="I30" s="1398" t="e">
        <f>'4.1 Resultatark'!#REF!</f>
        <v>#REF!</v>
      </c>
      <c r="J30" s="1399"/>
      <c r="K30" s="1385"/>
      <c r="L30" s="1386"/>
      <c r="M30" s="1387"/>
    </row>
    <row r="31" spans="1:13" ht="15.75" customHeight="1" thickBot="1" x14ac:dyDescent="0.4">
      <c r="A31" s="1114"/>
      <c r="B31" s="1375"/>
      <c r="C31" s="1377"/>
      <c r="D31" s="1377"/>
      <c r="E31" s="1373"/>
      <c r="F31" s="1405"/>
      <c r="G31" s="1406"/>
      <c r="H31" s="1407"/>
      <c r="I31" s="1400"/>
      <c r="J31" s="1401"/>
      <c r="K31" s="1388"/>
      <c r="L31" s="1389"/>
      <c r="M31" s="1390"/>
    </row>
    <row r="32" spans="1:13" ht="16.5" thickTop="1" thickBot="1" x14ac:dyDescent="0.4">
      <c r="B32" s="1378" t="s">
        <v>1784</v>
      </c>
      <c r="C32" s="1379"/>
      <c r="D32" s="1380"/>
      <c r="E32" s="1380"/>
      <c r="F32" s="1380"/>
      <c r="G32" s="1380"/>
      <c r="H32" s="1380"/>
      <c r="I32" s="1379"/>
      <c r="J32" s="1379"/>
      <c r="K32" s="1379"/>
      <c r="L32" s="1380"/>
      <c r="M32" s="1381"/>
    </row>
    <row r="33" spans="2:13" ht="15" thickBot="1" x14ac:dyDescent="0.4">
      <c r="B33" s="1391" t="s">
        <v>1785</v>
      </c>
      <c r="C33" s="1392"/>
      <c r="D33" s="1392"/>
      <c r="E33" s="1367" t="s">
        <v>1786</v>
      </c>
      <c r="F33" s="1367"/>
      <c r="G33" s="1367"/>
      <c r="H33" s="1393"/>
      <c r="I33" s="1366" t="s">
        <v>1787</v>
      </c>
      <c r="J33" s="1367"/>
      <c r="K33" s="1367"/>
      <c r="L33" s="1367"/>
      <c r="M33" s="1368"/>
    </row>
    <row r="34" spans="2:13" ht="15" thickBot="1" x14ac:dyDescent="0.4">
      <c r="B34" s="1270" t="s">
        <v>1788</v>
      </c>
      <c r="C34" s="1271"/>
      <c r="D34" s="1271"/>
      <c r="E34" s="1360" t="str">
        <f ca="1">IF('4.1 Resultatark'!C14&lt;0,ROUND('4.1 Resultatark'!C14,0), " ")</f>
        <v xml:space="preserve"> </v>
      </c>
      <c r="F34" s="1361"/>
      <c r="G34" s="1348" t="str">
        <f ca="1">IF('4.1 Resultatark'!C14&gt;0,ROUND('4.1 Resultatark'!C14,0), " ")</f>
        <v xml:space="preserve"> </v>
      </c>
      <c r="H34" s="1349"/>
      <c r="I34" s="1357" t="s">
        <v>1789</v>
      </c>
      <c r="J34" s="1358"/>
      <c r="K34" s="1088"/>
      <c r="L34" s="1358" t="s">
        <v>1790</v>
      </c>
      <c r="M34" s="1359"/>
    </row>
    <row r="35" spans="2:13" ht="15" thickBot="1" x14ac:dyDescent="0.4">
      <c r="B35" s="1270" t="s">
        <v>1791</v>
      </c>
      <c r="C35" s="1271"/>
      <c r="D35" s="1271"/>
      <c r="E35" s="1360"/>
      <c r="F35" s="1361"/>
      <c r="G35" s="1362">
        <v>0</v>
      </c>
      <c r="H35" s="1363"/>
      <c r="I35" s="1336" t="s">
        <v>1792</v>
      </c>
      <c r="J35" s="1271"/>
      <c r="K35" s="1364"/>
      <c r="L35" s="1364"/>
      <c r="M35" s="1365"/>
    </row>
    <row r="36" spans="2:13" ht="15" thickBot="1" x14ac:dyDescent="0.4">
      <c r="B36" s="1270" t="s">
        <v>1553</v>
      </c>
      <c r="C36" s="1271"/>
      <c r="D36" s="1271"/>
      <c r="E36" s="1344" t="str">
        <f ca="1">IF('4.1 Resultatark'!C28&lt;0,ROUND('4.1 Resultatark'!C28,0), " ")</f>
        <v xml:space="preserve"> </v>
      </c>
      <c r="F36" s="1345"/>
      <c r="G36" s="1348" t="str">
        <f ca="1">IF('4.1 Resultatark'!C28&gt;0,ROUND('4.1 Resultatark'!C28,0), " ")</f>
        <v xml:space="preserve"> </v>
      </c>
      <c r="H36" s="1349"/>
      <c r="I36" s="1336" t="s">
        <v>1793</v>
      </c>
      <c r="J36" s="1271"/>
      <c r="K36" s="1352">
        <f>'1.2 Forutsetninger'!C54</f>
        <v>0</v>
      </c>
      <c r="L36" s="1353"/>
      <c r="M36" s="1354"/>
    </row>
    <row r="37" spans="2:13" ht="15" thickBot="1" x14ac:dyDescent="0.4">
      <c r="B37" s="1337" t="s">
        <v>1561</v>
      </c>
      <c r="C37" s="1338"/>
      <c r="D37" s="1338"/>
      <c r="E37" s="1346" t="e">
        <f ca="1">IF('4.1 Resultatark'!C38&lt;0,ROUND('4.1 Resultatark'!C38,0), " ")</f>
        <v>#N/A</v>
      </c>
      <c r="F37" s="1347"/>
      <c r="G37" s="1350" t="e">
        <f ca="1">IF('4.1 Resultatark'!C38&gt;0,ROUND('4.1 Resultatark'!C38,0), " ")</f>
        <v>#N/A</v>
      </c>
      <c r="H37" s="1351"/>
      <c r="I37" s="1339" t="s">
        <v>1794</v>
      </c>
      <c r="J37" s="1338"/>
      <c r="K37" s="1355"/>
      <c r="L37" s="1355"/>
      <c r="M37" s="1356"/>
    </row>
    <row r="38" spans="2:13" ht="15" thickBot="1" x14ac:dyDescent="0.4">
      <c r="B38" s="1340" t="s">
        <v>1712</v>
      </c>
      <c r="C38" s="1341"/>
      <c r="D38" s="1341"/>
      <c r="E38" s="1342" t="s">
        <v>1795</v>
      </c>
      <c r="F38" s="1342"/>
      <c r="G38" s="1342"/>
      <c r="H38" s="1342"/>
      <c r="I38" s="1342"/>
      <c r="J38" s="1342"/>
      <c r="K38" s="1342"/>
      <c r="L38" s="1342"/>
      <c r="M38" s="1343"/>
    </row>
    <row r="39" spans="2:13" x14ac:dyDescent="0.35">
      <c r="B39" s="1319" t="s">
        <v>1796</v>
      </c>
      <c r="C39" s="1320"/>
      <c r="D39" s="1320"/>
      <c r="E39" s="1321"/>
      <c r="F39" s="1321"/>
      <c r="G39" s="1323"/>
      <c r="H39" s="1323"/>
      <c r="I39" s="1323"/>
      <c r="J39" s="1323"/>
      <c r="K39" s="1323"/>
      <c r="L39" s="1323"/>
      <c r="M39" s="1324"/>
    </row>
    <row r="40" spans="2:13" ht="15" thickBot="1" x14ac:dyDescent="0.4">
      <c r="B40" s="1328" t="s">
        <v>1797</v>
      </c>
      <c r="C40" s="1329"/>
      <c r="D40" s="1329"/>
      <c r="E40" s="1322"/>
      <c r="F40" s="1322"/>
      <c r="G40" s="1325"/>
      <c r="H40" s="1325"/>
      <c r="I40" s="1326"/>
      <c r="J40" s="1325"/>
      <c r="K40" s="1325"/>
      <c r="L40" s="1325"/>
      <c r="M40" s="1327"/>
    </row>
    <row r="41" spans="2:13" x14ac:dyDescent="0.35">
      <c r="B41" s="1304" t="s">
        <v>1798</v>
      </c>
      <c r="C41" s="1306"/>
      <c r="D41" s="1317" t="s">
        <v>1623</v>
      </c>
      <c r="E41" s="1330"/>
      <c r="F41" s="1306"/>
      <c r="G41" s="1317" t="s">
        <v>1627</v>
      </c>
      <c r="H41" s="1330"/>
      <c r="I41" s="1306"/>
      <c r="J41" s="1317" t="s">
        <v>1799</v>
      </c>
      <c r="K41" s="1335"/>
      <c r="L41" s="1317" t="s">
        <v>1800</v>
      </c>
      <c r="M41" s="1333"/>
    </row>
    <row r="42" spans="2:13" ht="15" thickBot="1" x14ac:dyDescent="0.4">
      <c r="B42" s="1305"/>
      <c r="C42" s="1307"/>
      <c r="D42" s="1318"/>
      <c r="E42" s="1316"/>
      <c r="F42" s="1307"/>
      <c r="G42" s="1318"/>
      <c r="H42" s="1316"/>
      <c r="I42" s="1307"/>
      <c r="J42" s="1318"/>
      <c r="K42" s="1331"/>
      <c r="L42" s="1318"/>
      <c r="M42" s="1334"/>
    </row>
    <row r="43" spans="2:13" x14ac:dyDescent="0.35">
      <c r="B43" s="1304" t="s">
        <v>1801</v>
      </c>
      <c r="C43" s="1306"/>
      <c r="D43" s="1317" t="s">
        <v>1802</v>
      </c>
      <c r="E43" s="1330"/>
      <c r="F43" s="1306"/>
      <c r="G43" s="1317" t="s">
        <v>1803</v>
      </c>
      <c r="H43" s="1330"/>
      <c r="I43" s="1306"/>
      <c r="J43" s="1317" t="s">
        <v>1804</v>
      </c>
      <c r="K43" s="1331"/>
      <c r="L43" s="1317" t="s">
        <v>1805</v>
      </c>
      <c r="M43" s="1333"/>
    </row>
    <row r="44" spans="2:13" ht="15" thickBot="1" x14ac:dyDescent="0.4">
      <c r="B44" s="1305"/>
      <c r="C44" s="1307"/>
      <c r="D44" s="1318"/>
      <c r="E44" s="1316"/>
      <c r="F44" s="1307"/>
      <c r="G44" s="1318"/>
      <c r="H44" s="1316"/>
      <c r="I44" s="1307"/>
      <c r="J44" s="1318"/>
      <c r="K44" s="1332"/>
      <c r="L44" s="1318"/>
      <c r="M44" s="1334"/>
    </row>
    <row r="45" spans="2:13" ht="14.5" customHeight="1" x14ac:dyDescent="0.35">
      <c r="B45" s="1311" t="s">
        <v>1806</v>
      </c>
      <c r="C45" s="1309"/>
      <c r="D45" s="1309"/>
      <c r="E45" s="1309"/>
      <c r="F45" s="1309"/>
      <c r="G45" s="1309"/>
      <c r="H45" s="1312"/>
      <c r="I45" s="1308" t="s">
        <v>1807</v>
      </c>
      <c r="J45" s="1309"/>
      <c r="K45" s="1309"/>
      <c r="L45" s="1309"/>
      <c r="M45" s="1310"/>
    </row>
    <row r="46" spans="2:13" x14ac:dyDescent="0.35">
      <c r="B46" s="1315" t="s">
        <v>1808</v>
      </c>
      <c r="C46" s="1283"/>
      <c r="D46" s="1283"/>
      <c r="E46" s="1282" t="s">
        <v>1809</v>
      </c>
      <c r="F46" s="1283"/>
      <c r="G46" s="1283"/>
      <c r="H46" s="1284"/>
      <c r="I46" s="1282" t="s">
        <v>1810</v>
      </c>
      <c r="J46" s="1283"/>
      <c r="K46" s="1283"/>
      <c r="L46" s="1283"/>
      <c r="M46" s="1298"/>
    </row>
    <row r="47" spans="2:13" ht="15" thickBot="1" x14ac:dyDescent="0.4">
      <c r="B47" s="1305" t="s">
        <v>1811</v>
      </c>
      <c r="C47" s="1316"/>
      <c r="D47" s="1316"/>
      <c r="E47" s="1282" t="s">
        <v>1812</v>
      </c>
      <c r="F47" s="1283"/>
      <c r="G47" s="1283"/>
      <c r="H47" s="1284"/>
      <c r="I47" s="1282" t="s">
        <v>1813</v>
      </c>
      <c r="J47" s="1283"/>
      <c r="K47" s="1283"/>
      <c r="L47" s="1109" t="s">
        <v>1814</v>
      </c>
      <c r="M47" s="1110" t="s">
        <v>1815</v>
      </c>
    </row>
    <row r="48" spans="2:13" ht="15" thickBot="1" x14ac:dyDescent="0.4">
      <c r="B48" s="1270" t="s">
        <v>1816</v>
      </c>
      <c r="C48" s="1271"/>
      <c r="D48" s="1103">
        <f>'4.1 Resultatark'!G115/1000</f>
        <v>0</v>
      </c>
      <c r="E48" s="1285" t="e">
        <f>'4.1 Resultatark'!G104/1000</f>
        <v>#N/A</v>
      </c>
      <c r="F48" s="1286"/>
      <c r="G48" s="1286"/>
      <c r="H48" s="1287"/>
      <c r="I48" s="1313"/>
      <c r="J48" s="1314"/>
      <c r="K48" s="1314"/>
      <c r="L48" s="1111"/>
      <c r="M48" s="1112"/>
    </row>
    <row r="49" spans="2:14" ht="15" thickBot="1" x14ac:dyDescent="0.4">
      <c r="B49" s="1270" t="s">
        <v>1817</v>
      </c>
      <c r="C49" s="1271"/>
      <c r="D49" s="1083">
        <f>'4.1 Resultatark'!G116/1000</f>
        <v>0</v>
      </c>
      <c r="E49" s="1282" t="s">
        <v>1818</v>
      </c>
      <c r="F49" s="1283"/>
      <c r="G49" s="1283"/>
      <c r="H49" s="1284"/>
      <c r="I49" s="1282" t="s">
        <v>1819</v>
      </c>
      <c r="J49" s="1283"/>
      <c r="K49" s="1283"/>
      <c r="L49" s="1283"/>
      <c r="M49" s="1298"/>
    </row>
    <row r="50" spans="2:14" ht="15" thickBot="1" x14ac:dyDescent="0.4">
      <c r="B50" s="1270" t="s">
        <v>1820</v>
      </c>
      <c r="C50" s="1271"/>
      <c r="D50" s="1102">
        <f ca="1">SUM('4.1 Resultatark'!G106:G107)/1000</f>
        <v>0</v>
      </c>
      <c r="E50" s="1282" t="s">
        <v>1790</v>
      </c>
      <c r="F50" s="1283"/>
      <c r="G50" s="1283"/>
      <c r="H50" s="1284"/>
      <c r="I50" s="1299" t="e">
        <f>'4.1 Resultatark'!G96</f>
        <v>#N/A</v>
      </c>
      <c r="J50" s="1300"/>
      <c r="K50" s="1300"/>
      <c r="L50" s="1300"/>
      <c r="M50" s="1301"/>
    </row>
    <row r="51" spans="2:14" ht="15" thickBot="1" x14ac:dyDescent="0.4">
      <c r="B51" s="1272" t="s">
        <v>1821</v>
      </c>
      <c r="C51" s="1273"/>
      <c r="D51" s="1084">
        <f ca="1">SUM('4.1 Resultatark'!G108:G114)/1000</f>
        <v>0</v>
      </c>
      <c r="E51" s="1288" t="s">
        <v>1822</v>
      </c>
      <c r="F51" s="1289"/>
      <c r="G51" s="1292"/>
      <c r="H51" s="1293"/>
      <c r="I51" s="1302" t="s">
        <v>1823</v>
      </c>
      <c r="J51" s="1303"/>
      <c r="K51" s="1090"/>
      <c r="L51" s="1274" t="s">
        <v>1824</v>
      </c>
      <c r="M51" s="1275"/>
    </row>
    <row r="52" spans="2:14" ht="15" thickBot="1" x14ac:dyDescent="0.4">
      <c r="B52" s="1276" t="s">
        <v>1825</v>
      </c>
      <c r="C52" s="1277"/>
      <c r="D52" s="1106">
        <f ca="1">SUM(D48:D51)</f>
        <v>0</v>
      </c>
      <c r="E52" s="1288" t="s">
        <v>1826</v>
      </c>
      <c r="F52" s="1289"/>
      <c r="G52" s="1294"/>
      <c r="H52" s="1295"/>
      <c r="I52" s="1302" t="s">
        <v>1827</v>
      </c>
      <c r="J52" s="1303"/>
      <c r="K52" s="1090"/>
      <c r="L52" s="1274"/>
      <c r="M52" s="1275"/>
    </row>
    <row r="53" spans="2:14" ht="15" thickBot="1" x14ac:dyDescent="0.4">
      <c r="B53" s="1268" t="s">
        <v>1828</v>
      </c>
      <c r="C53" s="1269"/>
      <c r="D53" s="1085"/>
      <c r="E53" s="1290" t="s">
        <v>1829</v>
      </c>
      <c r="F53" s="1291"/>
      <c r="G53" s="1296"/>
      <c r="H53" s="1297"/>
      <c r="I53" s="1278" t="s">
        <v>1830</v>
      </c>
      <c r="J53" s="1279"/>
      <c r="K53" s="1280" t="s">
        <v>1831</v>
      </c>
      <c r="L53" s="1280"/>
      <c r="M53" s="1281"/>
    </row>
    <row r="54" spans="2:14" ht="15" thickTop="1" x14ac:dyDescent="0.35">
      <c r="B54" s="1086"/>
      <c r="C54" s="1086"/>
      <c r="D54" s="1086"/>
      <c r="E54" s="1086"/>
      <c r="F54" s="1086"/>
      <c r="G54" s="1086"/>
      <c r="H54" s="1086"/>
      <c r="I54" s="1086"/>
      <c r="J54" s="1086"/>
      <c r="K54" s="1086"/>
      <c r="L54" s="1086"/>
      <c r="M54" s="1086"/>
    </row>
    <row r="55" spans="2:14" x14ac:dyDescent="0.35">
      <c r="B55" s="1087" t="s">
        <v>1832</v>
      </c>
    </row>
    <row r="58" spans="2:14" ht="15" thickBot="1" x14ac:dyDescent="0.4"/>
    <row r="59" spans="2:14" ht="18.75" customHeight="1" thickTop="1" x14ac:dyDescent="0.35">
      <c r="B59" s="1439" t="s">
        <v>1833</v>
      </c>
      <c r="C59" s="1440"/>
      <c r="D59" s="1440"/>
      <c r="E59" s="1440"/>
      <c r="F59" s="1440"/>
      <c r="G59" s="1440"/>
      <c r="H59" s="1440"/>
      <c r="I59" s="1440"/>
      <c r="J59" s="1440"/>
      <c r="K59" s="1440"/>
      <c r="L59" s="1440"/>
      <c r="M59" s="1441"/>
    </row>
    <row r="60" spans="2:14" x14ac:dyDescent="0.35">
      <c r="B60" s="1442" t="s">
        <v>969</v>
      </c>
      <c r="C60" s="1443"/>
      <c r="D60" s="1469">
        <f>Åpningsår</f>
        <v>0</v>
      </c>
      <c r="E60" s="1470"/>
      <c r="F60" s="1455" t="s">
        <v>1834</v>
      </c>
      <c r="G60" s="1456"/>
      <c r="H60" s="1457">
        <f>'1.2 Forutsetninger'!C49</f>
        <v>0</v>
      </c>
      <c r="I60" s="1458"/>
      <c r="J60" s="1448" t="s">
        <v>1835</v>
      </c>
      <c r="K60" s="1459"/>
      <c r="L60" s="1463"/>
      <c r="M60" s="1464"/>
      <c r="N60" s="1101"/>
    </row>
    <row r="61" spans="2:14" x14ac:dyDescent="0.35">
      <c r="B61" s="1444" t="s">
        <v>1836</v>
      </c>
      <c r="C61" s="1445"/>
      <c r="D61" s="1471">
        <f>Diskonteringsår</f>
        <v>0</v>
      </c>
      <c r="E61" s="1471"/>
      <c r="F61" s="1448" t="s">
        <v>1837</v>
      </c>
      <c r="G61" s="1449"/>
      <c r="H61" s="1450"/>
      <c r="I61" s="1451"/>
      <c r="J61" s="1460"/>
      <c r="K61" s="1461"/>
      <c r="L61" s="1465"/>
      <c r="M61" s="1466"/>
    </row>
    <row r="62" spans="2:14" ht="15" thickBot="1" x14ac:dyDescent="0.4">
      <c r="B62" s="1446" t="s">
        <v>1838</v>
      </c>
      <c r="C62" s="1447"/>
      <c r="D62" s="1438">
        <f>KroneårIBeregninger</f>
        <v>0</v>
      </c>
      <c r="E62" s="1438"/>
      <c r="F62" s="1452" t="s">
        <v>1839</v>
      </c>
      <c r="G62" s="1453"/>
      <c r="H62" s="1453"/>
      <c r="I62" s="1454"/>
      <c r="J62" s="1462"/>
      <c r="K62" s="1438"/>
      <c r="L62" s="1467"/>
      <c r="M62" s="1468"/>
    </row>
    <row r="63" spans="2:14" ht="15" thickTop="1" x14ac:dyDescent="0.35"/>
  </sheetData>
  <mergeCells count="130">
    <mergeCell ref="D62:E62"/>
    <mergeCell ref="B59:M59"/>
    <mergeCell ref="B60:C60"/>
    <mergeCell ref="B61:C61"/>
    <mergeCell ref="B62:C62"/>
    <mergeCell ref="F61:I61"/>
    <mergeCell ref="F62:I62"/>
    <mergeCell ref="F60:G60"/>
    <mergeCell ref="H60:I60"/>
    <mergeCell ref="J60:K60"/>
    <mergeCell ref="J61:K61"/>
    <mergeCell ref="J62:K62"/>
    <mergeCell ref="L60:M60"/>
    <mergeCell ref="L61:M61"/>
    <mergeCell ref="L62:M62"/>
    <mergeCell ref="D60:E60"/>
    <mergeCell ref="D61:E61"/>
    <mergeCell ref="B23:G25"/>
    <mergeCell ref="H14:M25"/>
    <mergeCell ref="B7:G11"/>
    <mergeCell ref="H7:M7"/>
    <mergeCell ref="H8:M8"/>
    <mergeCell ref="H9:M9"/>
    <mergeCell ref="H10:M10"/>
    <mergeCell ref="H11:M11"/>
    <mergeCell ref="B4:J4"/>
    <mergeCell ref="L4:M4"/>
    <mergeCell ref="B5:M5"/>
    <mergeCell ref="B6:G6"/>
    <mergeCell ref="H6:M6"/>
    <mergeCell ref="B17:G17"/>
    <mergeCell ref="B18:G18"/>
    <mergeCell ref="B19:G22"/>
    <mergeCell ref="H12:M12"/>
    <mergeCell ref="H13:M13"/>
    <mergeCell ref="B15:G15"/>
    <mergeCell ref="B16:G16"/>
    <mergeCell ref="I33:M33"/>
    <mergeCell ref="B26:M26"/>
    <mergeCell ref="E30:E31"/>
    <mergeCell ref="B30:B31"/>
    <mergeCell ref="D30:D31"/>
    <mergeCell ref="B32:M32"/>
    <mergeCell ref="K27:M29"/>
    <mergeCell ref="K30:M31"/>
    <mergeCell ref="B33:D33"/>
    <mergeCell ref="E33:H33"/>
    <mergeCell ref="C30:C31"/>
    <mergeCell ref="B27:E28"/>
    <mergeCell ref="F27:H29"/>
    <mergeCell ref="I27:J29"/>
    <mergeCell ref="I30:J31"/>
    <mergeCell ref="F30:H31"/>
    <mergeCell ref="B34:D34"/>
    <mergeCell ref="I34:J34"/>
    <mergeCell ref="L34:M34"/>
    <mergeCell ref="B35:D35"/>
    <mergeCell ref="I35:J35"/>
    <mergeCell ref="E34:F34"/>
    <mergeCell ref="E35:F35"/>
    <mergeCell ref="G34:H34"/>
    <mergeCell ref="G35:H35"/>
    <mergeCell ref="K35:M35"/>
    <mergeCell ref="B36:D36"/>
    <mergeCell ref="I36:J36"/>
    <mergeCell ref="B37:D37"/>
    <mergeCell ref="I37:J37"/>
    <mergeCell ref="B38:D38"/>
    <mergeCell ref="E38:M38"/>
    <mergeCell ref="E36:F36"/>
    <mergeCell ref="E37:F37"/>
    <mergeCell ref="G36:H36"/>
    <mergeCell ref="G37:H37"/>
    <mergeCell ref="K36:M36"/>
    <mergeCell ref="K37:M37"/>
    <mergeCell ref="B39:D39"/>
    <mergeCell ref="E39:F40"/>
    <mergeCell ref="G39:M40"/>
    <mergeCell ref="B40:D40"/>
    <mergeCell ref="B41:B42"/>
    <mergeCell ref="F41:F42"/>
    <mergeCell ref="D41:E42"/>
    <mergeCell ref="C43:C44"/>
    <mergeCell ref="I41:I42"/>
    <mergeCell ref="I43:I44"/>
    <mergeCell ref="K43:K44"/>
    <mergeCell ref="M41:M42"/>
    <mergeCell ref="M43:M44"/>
    <mergeCell ref="D43:E44"/>
    <mergeCell ref="L41:L42"/>
    <mergeCell ref="G41:H42"/>
    <mergeCell ref="G43:H44"/>
    <mergeCell ref="K41:K42"/>
    <mergeCell ref="I52:J52"/>
    <mergeCell ref="B43:B44"/>
    <mergeCell ref="F43:F44"/>
    <mergeCell ref="C41:C42"/>
    <mergeCell ref="I45:M45"/>
    <mergeCell ref="B45:H45"/>
    <mergeCell ref="I47:K47"/>
    <mergeCell ref="I48:K48"/>
    <mergeCell ref="B46:D46"/>
    <mergeCell ref="B47:D47"/>
    <mergeCell ref="J43:J44"/>
    <mergeCell ref="L43:L44"/>
    <mergeCell ref="J41:J42"/>
    <mergeCell ref="B53:C53"/>
    <mergeCell ref="B50:C50"/>
    <mergeCell ref="B51:C51"/>
    <mergeCell ref="L51:M52"/>
    <mergeCell ref="B52:C52"/>
    <mergeCell ref="I53:J53"/>
    <mergeCell ref="K53:M53"/>
    <mergeCell ref="E46:H46"/>
    <mergeCell ref="E47:H47"/>
    <mergeCell ref="E48:H48"/>
    <mergeCell ref="E49:H49"/>
    <mergeCell ref="E50:H50"/>
    <mergeCell ref="E51:F51"/>
    <mergeCell ref="E52:F52"/>
    <mergeCell ref="E53:F53"/>
    <mergeCell ref="G51:H51"/>
    <mergeCell ref="G52:H52"/>
    <mergeCell ref="G53:H53"/>
    <mergeCell ref="I46:M46"/>
    <mergeCell ref="B48:C48"/>
    <mergeCell ref="B49:C49"/>
    <mergeCell ref="I49:M49"/>
    <mergeCell ref="I50:M50"/>
    <mergeCell ref="I51:J51"/>
  </mergeCells>
  <conditionalFormatting sqref="G34:H37">
    <cfRule type="dataBar" priority="23">
      <dataBar>
        <cfvo type="min"/>
        <cfvo type="max"/>
        <color rgb="FFD8FCC8"/>
      </dataBar>
      <extLst>
        <ext xmlns:x14="http://schemas.microsoft.com/office/spreadsheetml/2009/9/main" uri="{B025F937-C7B1-47D3-B67F-A62EFF666E3E}">
          <x14:id>{8CA486D5-735A-4149-BCCC-4F85AA18D626}</x14:id>
        </ext>
      </extLst>
    </cfRule>
  </conditionalFormatting>
  <conditionalFormatting sqref="E34:F37">
    <cfRule type="dataBar" priority="22">
      <dataBar>
        <cfvo type="min"/>
        <cfvo type="max"/>
        <color rgb="FFFFD5D5"/>
      </dataBar>
      <extLst>
        <ext xmlns:x14="http://schemas.microsoft.com/office/spreadsheetml/2009/9/main" uri="{B025F937-C7B1-47D3-B67F-A62EFF666E3E}">
          <x14:id>{A36B8B80-1DC5-40D4-A625-1002B9008905}</x14:id>
        </ext>
      </extLst>
    </cfRule>
  </conditionalFormatting>
  <conditionalFormatting sqref="K35:M37">
    <cfRule type="dataBar" priority="21">
      <dataBar>
        <cfvo type="min"/>
        <cfvo type="max"/>
        <color rgb="FFC0DFE2"/>
      </dataBar>
      <extLst>
        <ext xmlns:x14="http://schemas.microsoft.com/office/spreadsheetml/2009/9/main" uri="{B025F937-C7B1-47D3-B67F-A62EFF666E3E}">
          <x14:id>{68F5F665-24CC-4F82-AFE2-6ABADF7BDC73}</x14:id>
        </ext>
      </extLst>
    </cfRule>
  </conditionalFormatting>
  <conditionalFormatting sqref="E39">
    <cfRule type="containsText" dxfId="581" priority="19" operator="containsText" text="Positiv">
      <formula>NOT(ISERROR(SEARCH("Positiv",E39)))</formula>
    </cfRule>
    <cfRule type="containsText" dxfId="580" priority="20" operator="containsText" text="Negativ">
      <formula>NOT(ISERROR(SEARCH("Negativ",E39)))</formula>
    </cfRule>
  </conditionalFormatting>
  <conditionalFormatting sqref="C41 C43 F41 F43 K41 K43 M41 M43">
    <cfRule type="containsText" dxfId="579" priority="13" operator="containsText" text="Noe positiv">
      <formula>NOT(ISERROR(SEARCH("Noe positiv",C41)))</formula>
    </cfRule>
    <cfRule type="containsText" dxfId="578" priority="14" operator="containsText" text="Noe negativ">
      <formula>NOT(ISERROR(SEARCH("Noe negativ",C41)))</formula>
    </cfRule>
    <cfRule type="containsText" dxfId="577" priority="15" operator="containsText" text="Stor positiv">
      <formula>NOT(ISERROR(SEARCH("Stor positiv",C41)))</formula>
    </cfRule>
    <cfRule type="containsText" dxfId="576" priority="16" operator="containsText" text="Stor negativ">
      <formula>NOT(ISERROR(SEARCH("Stor negativ",C41)))</formula>
    </cfRule>
    <cfRule type="containsText" dxfId="575" priority="17" operator="containsText" text="Middels positiv">
      <formula>NOT(ISERROR(SEARCH("Middels positiv",C41)))</formula>
    </cfRule>
    <cfRule type="containsText" dxfId="574" priority="18" operator="containsText" text="Middels negativ">
      <formula>NOT(ISERROR(SEARCH("Middels negativ",C41)))</formula>
    </cfRule>
  </conditionalFormatting>
  <conditionalFormatting sqref="D48:D53 E48 I50">
    <cfRule type="cellIs" dxfId="573" priority="11" operator="lessThan">
      <formula>0</formula>
    </cfRule>
    <cfRule type="cellIs" dxfId="572" priority="12" operator="greaterThan">
      <formula>0</formula>
    </cfRule>
  </conditionalFormatting>
  <conditionalFormatting sqref="G51:H53">
    <cfRule type="cellIs" dxfId="571" priority="9" operator="lessThan">
      <formula>0</formula>
    </cfRule>
    <cfRule type="cellIs" dxfId="570" priority="10" operator="greaterThan">
      <formula>0</formula>
    </cfRule>
  </conditionalFormatting>
  <conditionalFormatting sqref="B30 F30 I30">
    <cfRule type="cellIs" dxfId="569" priority="30" operator="lessThan">
      <formula>0</formula>
    </cfRule>
    <cfRule type="cellIs" dxfId="568" priority="32" operator="greaterThan">
      <formula>0</formula>
    </cfRule>
  </conditionalFormatting>
  <conditionalFormatting sqref="C30:E31">
    <cfRule type="cellIs" dxfId="567" priority="1" operator="greaterThanOrEqual">
      <formula>0</formula>
    </cfRule>
    <cfRule type="cellIs" dxfId="566" priority="2" operator="lessThan">
      <formula>0</formula>
    </cfRule>
  </conditionalFormatting>
  <pageMargins left="0.7" right="0.7" top="0.75" bottom="0.75" header="0.3" footer="0.3"/>
  <pageSetup paperSize="9" orientation="portrait" horizontalDpi="300" verticalDpi="300" r:id="rId1"/>
  <drawing r:id="rId2"/>
  <extLst>
    <ext xmlns:x14="http://schemas.microsoft.com/office/spreadsheetml/2009/9/main" uri="{78C0D931-6437-407d-A8EE-F0AAD7539E65}">
      <x14:conditionalFormattings>
        <x14:conditionalFormatting xmlns:xm="http://schemas.microsoft.com/office/excel/2006/main">
          <x14:cfRule type="dataBar" id="{8CA486D5-735A-4149-BCCC-4F85AA18D626}">
            <x14:dataBar minLength="0" maxLength="100" gradient="0">
              <x14:cfvo type="autoMin"/>
              <x14:cfvo type="autoMax"/>
              <x14:negativeFillColor rgb="FFFF0000"/>
              <x14:axisColor rgb="FF000000"/>
            </x14:dataBar>
          </x14:cfRule>
          <xm:sqref>G34:H37</xm:sqref>
        </x14:conditionalFormatting>
        <x14:conditionalFormatting xmlns:xm="http://schemas.microsoft.com/office/excel/2006/main">
          <x14:cfRule type="dataBar" id="{A36B8B80-1DC5-40D4-A625-1002B9008905}">
            <x14:dataBar minLength="0" maxLength="100" gradient="0">
              <x14:cfvo type="autoMin"/>
              <x14:cfvo type="autoMax"/>
              <x14:negativeFillColor rgb="FFFFD5D5"/>
              <x14:axisColor rgb="FF000000"/>
            </x14:dataBar>
          </x14:cfRule>
          <xm:sqref>E34:F37</xm:sqref>
        </x14:conditionalFormatting>
        <x14:conditionalFormatting xmlns:xm="http://schemas.microsoft.com/office/excel/2006/main">
          <x14:cfRule type="dataBar" id="{68F5F665-24CC-4F82-AFE2-6ABADF7BDC73}">
            <x14:dataBar minLength="0" maxLength="100" gradient="0">
              <x14:cfvo type="autoMin"/>
              <x14:cfvo type="autoMax"/>
              <x14:negativeFillColor rgb="FFFFD5D5"/>
              <x14:axisColor rgb="FF000000"/>
            </x14:dataBar>
          </x14:cfRule>
          <xm:sqref>K35:M37</xm:sqref>
        </x14:conditionalFormatting>
      </x14:conditionalFormattings>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AA0B57-CEE2-4D89-9143-7190BE18C2E4}">
  <sheetPr>
    <tabColor theme="4" tint="-0.249977111117893"/>
  </sheetPr>
  <dimension ref="B4:K52"/>
  <sheetViews>
    <sheetView showGridLines="0" workbookViewId="0">
      <selection activeCell="P22" sqref="P22"/>
    </sheetView>
  </sheetViews>
  <sheetFormatPr baseColWidth="10" defaultRowHeight="14.5" x14ac:dyDescent="0.35"/>
  <sheetData>
    <row r="4" spans="2:11" ht="20" customHeight="1" x14ac:dyDescent="0.45">
      <c r="B4" s="1508" t="s">
        <v>2539</v>
      </c>
      <c r="C4" s="1508"/>
      <c r="D4" s="1508"/>
      <c r="E4" s="1508"/>
      <c r="F4" s="1508"/>
      <c r="G4" s="1508"/>
      <c r="H4" s="1502" t="s">
        <v>1517</v>
      </c>
      <c r="I4" s="1502"/>
      <c r="J4" s="1250"/>
      <c r="K4" s="1249"/>
    </row>
    <row r="5" spans="2:11" ht="20" customHeight="1" x14ac:dyDescent="0.35">
      <c r="B5" s="1509" t="s">
        <v>2540</v>
      </c>
      <c r="C5" s="1509"/>
      <c r="D5" s="1509"/>
      <c r="E5" s="1509"/>
      <c r="F5" s="1509"/>
      <c r="G5" s="1509"/>
      <c r="H5" s="1503" t="s">
        <v>2541</v>
      </c>
      <c r="I5" s="1503"/>
      <c r="J5" s="1249"/>
      <c r="K5" s="1249"/>
    </row>
    <row r="6" spans="2:11" x14ac:dyDescent="0.35">
      <c r="B6" s="1510" t="s">
        <v>2545</v>
      </c>
      <c r="C6" s="1511"/>
      <c r="D6" s="1511"/>
      <c r="E6" s="1511"/>
      <c r="F6" s="1511"/>
      <c r="G6" s="1511"/>
      <c r="H6" s="1504" t="s">
        <v>2542</v>
      </c>
      <c r="I6" s="1504"/>
      <c r="J6" s="1504"/>
      <c r="K6" s="1504"/>
    </row>
    <row r="7" spans="2:11" x14ac:dyDescent="0.35">
      <c r="B7" s="1511"/>
      <c r="C7" s="1511"/>
      <c r="D7" s="1511"/>
      <c r="E7" s="1511"/>
      <c r="F7" s="1511"/>
      <c r="G7" s="1511"/>
      <c r="H7" s="1504"/>
      <c r="I7" s="1504"/>
      <c r="J7" s="1504"/>
      <c r="K7" s="1504"/>
    </row>
    <row r="8" spans="2:11" x14ac:dyDescent="0.35">
      <c r="B8" s="1511"/>
      <c r="C8" s="1511"/>
      <c r="D8" s="1511"/>
      <c r="E8" s="1511"/>
      <c r="F8" s="1511"/>
      <c r="G8" s="1511"/>
      <c r="H8" s="1504"/>
      <c r="I8" s="1504"/>
      <c r="J8" s="1504"/>
      <c r="K8" s="1504"/>
    </row>
    <row r="9" spans="2:11" x14ac:dyDescent="0.35">
      <c r="B9" s="1511"/>
      <c r="C9" s="1511"/>
      <c r="D9" s="1511"/>
      <c r="E9" s="1511"/>
      <c r="F9" s="1511"/>
      <c r="G9" s="1511"/>
      <c r="H9" s="1504"/>
      <c r="I9" s="1504"/>
      <c r="J9" s="1504"/>
      <c r="K9" s="1504"/>
    </row>
    <row r="10" spans="2:11" x14ac:dyDescent="0.35">
      <c r="B10" s="1511"/>
      <c r="C10" s="1511"/>
      <c r="D10" s="1511"/>
      <c r="E10" s="1511"/>
      <c r="F10" s="1511"/>
      <c r="G10" s="1511"/>
      <c r="H10" s="1504"/>
      <c r="I10" s="1504"/>
      <c r="J10" s="1504"/>
      <c r="K10" s="1504"/>
    </row>
    <row r="11" spans="2:11" x14ac:dyDescent="0.35">
      <c r="B11" s="1511"/>
      <c r="C11" s="1511"/>
      <c r="D11" s="1511"/>
      <c r="E11" s="1511"/>
      <c r="F11" s="1511"/>
      <c r="G11" s="1511"/>
      <c r="H11" s="1504"/>
      <c r="I11" s="1504"/>
      <c r="J11" s="1504"/>
      <c r="K11" s="1504"/>
    </row>
    <row r="12" spans="2:11" x14ac:dyDescent="0.35">
      <c r="B12" s="1511"/>
      <c r="C12" s="1511"/>
      <c r="D12" s="1511"/>
      <c r="E12" s="1511"/>
      <c r="F12" s="1511"/>
      <c r="G12" s="1511"/>
      <c r="H12" s="1504"/>
      <c r="I12" s="1504"/>
      <c r="J12" s="1504"/>
      <c r="K12" s="1504"/>
    </row>
    <row r="13" spans="2:11" x14ac:dyDescent="0.35">
      <c r="B13" s="1511"/>
      <c r="C13" s="1511"/>
      <c r="D13" s="1511"/>
      <c r="E13" s="1511"/>
      <c r="F13" s="1511"/>
      <c r="G13" s="1511"/>
      <c r="H13" s="1504"/>
      <c r="I13" s="1504"/>
      <c r="J13" s="1504"/>
      <c r="K13" s="1504"/>
    </row>
    <row r="14" spans="2:11" x14ac:dyDescent="0.35">
      <c r="B14" s="1511"/>
      <c r="C14" s="1511"/>
      <c r="D14" s="1511"/>
      <c r="E14" s="1511"/>
      <c r="F14" s="1511"/>
      <c r="G14" s="1511"/>
      <c r="H14" s="1504"/>
      <c r="I14" s="1504"/>
      <c r="J14" s="1504"/>
      <c r="K14" s="1504"/>
    </row>
    <row r="15" spans="2:11" x14ac:dyDescent="0.35">
      <c r="B15" s="1511"/>
      <c r="C15" s="1511"/>
      <c r="D15" s="1511"/>
      <c r="E15" s="1511"/>
      <c r="F15" s="1511"/>
      <c r="G15" s="1511"/>
      <c r="H15" s="1504"/>
      <c r="I15" s="1504"/>
      <c r="J15" s="1504"/>
      <c r="K15" s="1504"/>
    </row>
    <row r="16" spans="2:11" x14ac:dyDescent="0.35">
      <c r="B16" s="1511"/>
      <c r="C16" s="1511"/>
      <c r="D16" s="1511"/>
      <c r="E16" s="1511"/>
      <c r="F16" s="1511"/>
      <c r="G16" s="1511"/>
      <c r="H16" s="1504"/>
      <c r="I16" s="1504"/>
      <c r="J16" s="1504"/>
      <c r="K16" s="1504"/>
    </row>
    <row r="17" spans="2:11" x14ac:dyDescent="0.35">
      <c r="B17" s="1511"/>
      <c r="C17" s="1511"/>
      <c r="D17" s="1511"/>
      <c r="E17" s="1511"/>
      <c r="F17" s="1511"/>
      <c r="G17" s="1511"/>
      <c r="H17" s="1504"/>
      <c r="I17" s="1504"/>
      <c r="J17" s="1504"/>
      <c r="K17" s="1504"/>
    </row>
    <row r="18" spans="2:11" x14ac:dyDescent="0.35">
      <c r="B18" s="1511"/>
      <c r="C18" s="1511"/>
      <c r="D18" s="1511"/>
      <c r="E18" s="1511"/>
      <c r="F18" s="1511"/>
      <c r="G18" s="1511"/>
      <c r="H18" s="1504"/>
      <c r="I18" s="1504"/>
      <c r="J18" s="1504"/>
      <c r="K18" s="1504"/>
    </row>
    <row r="19" spans="2:11" x14ac:dyDescent="0.35">
      <c r="B19" s="1511"/>
      <c r="C19" s="1511"/>
      <c r="D19" s="1511"/>
      <c r="E19" s="1511"/>
      <c r="F19" s="1511"/>
      <c r="G19" s="1511"/>
      <c r="H19" s="1504"/>
      <c r="I19" s="1504"/>
      <c r="J19" s="1504"/>
      <c r="K19" s="1504"/>
    </row>
    <row r="20" spans="2:11" x14ac:dyDescent="0.35">
      <c r="B20" s="1511"/>
      <c r="C20" s="1511"/>
      <c r="D20" s="1511"/>
      <c r="E20" s="1511"/>
      <c r="F20" s="1511"/>
      <c r="G20" s="1511"/>
      <c r="H20" s="1504"/>
      <c r="I20" s="1504"/>
      <c r="J20" s="1504"/>
      <c r="K20" s="1504"/>
    </row>
    <row r="21" spans="2:11" x14ac:dyDescent="0.35">
      <c r="B21" s="1511"/>
      <c r="C21" s="1511"/>
      <c r="D21" s="1511"/>
      <c r="E21" s="1511"/>
      <c r="F21" s="1511"/>
      <c r="G21" s="1511"/>
      <c r="H21" s="1505" t="s">
        <v>2543</v>
      </c>
      <c r="I21" s="1505"/>
      <c r="J21" s="1506" t="s">
        <v>2562</v>
      </c>
      <c r="K21" s="1505"/>
    </row>
    <row r="22" spans="2:11" x14ac:dyDescent="0.35">
      <c r="B22" s="1511"/>
      <c r="C22" s="1511"/>
      <c r="D22" s="1511"/>
      <c r="E22" s="1511"/>
      <c r="F22" s="1511"/>
      <c r="G22" s="1511"/>
      <c r="H22" s="1505"/>
      <c r="I22" s="1505"/>
      <c r="J22" s="1506"/>
      <c r="K22" s="1505"/>
    </row>
    <row r="23" spans="2:11" x14ac:dyDescent="0.35">
      <c r="B23" s="1511"/>
      <c r="C23" s="1511"/>
      <c r="D23" s="1511"/>
      <c r="E23" s="1511"/>
      <c r="F23" s="1511"/>
      <c r="G23" s="1511"/>
      <c r="H23" s="1505"/>
      <c r="I23" s="1505"/>
      <c r="J23" s="1506"/>
      <c r="K23" s="1505"/>
    </row>
    <row r="24" spans="2:11" x14ac:dyDescent="0.35">
      <c r="H24" s="1505"/>
      <c r="I24" s="1505"/>
      <c r="J24" s="1506"/>
      <c r="K24" s="1505"/>
    </row>
    <row r="25" spans="2:11" ht="18" customHeight="1" x14ac:dyDescent="0.35">
      <c r="B25" s="1507" t="s">
        <v>1764</v>
      </c>
      <c r="C25" s="1507"/>
      <c r="D25" s="1507"/>
      <c r="E25" s="1507"/>
      <c r="F25" s="1507"/>
      <c r="G25" s="1507"/>
      <c r="H25" s="1505"/>
      <c r="I25" s="1505"/>
      <c r="J25" s="1506"/>
      <c r="K25" s="1505"/>
    </row>
    <row r="26" spans="2:11" ht="18" customHeight="1" x14ac:dyDescent="0.35">
      <c r="B26" s="1507" t="s">
        <v>1763</v>
      </c>
      <c r="C26" s="1507"/>
      <c r="D26" s="1507"/>
      <c r="E26" s="1507"/>
      <c r="F26" s="1507"/>
      <c r="G26" s="1507"/>
      <c r="H26" s="1505"/>
      <c r="I26" s="1505"/>
      <c r="J26" s="1506"/>
      <c r="K26" s="1505"/>
    </row>
    <row r="27" spans="2:11" ht="18" customHeight="1" x14ac:dyDescent="0.35">
      <c r="B27" s="1507" t="s">
        <v>1766</v>
      </c>
      <c r="C27" s="1507"/>
      <c r="D27" s="1507"/>
      <c r="E27" s="1507"/>
      <c r="F27" s="1507"/>
      <c r="G27" s="1507"/>
      <c r="H27" s="1505"/>
      <c r="I27" s="1505"/>
      <c r="J27" s="1506"/>
      <c r="K27" s="1505"/>
    </row>
    <row r="28" spans="2:11" ht="18" customHeight="1" x14ac:dyDescent="0.35">
      <c r="B28" s="1507" t="s">
        <v>2544</v>
      </c>
      <c r="C28" s="1507"/>
      <c r="D28" s="1507"/>
      <c r="E28" s="1507"/>
      <c r="F28" s="1507"/>
      <c r="G28" s="1507"/>
      <c r="H28" s="1505"/>
      <c r="I28" s="1505"/>
      <c r="J28" s="1506"/>
      <c r="K28" s="1505"/>
    </row>
    <row r="29" spans="2:11" ht="10" customHeight="1" x14ac:dyDescent="0.35">
      <c r="B29" s="1493"/>
      <c r="C29" s="1493"/>
      <c r="D29" s="1493"/>
      <c r="E29" s="1493"/>
      <c r="F29" s="1493"/>
      <c r="G29" s="1493"/>
      <c r="H29" s="1493"/>
      <c r="I29" s="1493"/>
      <c r="J29" s="1493"/>
      <c r="K29" s="1493"/>
    </row>
    <row r="30" spans="2:11" ht="22" customHeight="1" x14ac:dyDescent="0.35">
      <c r="B30" s="1479" t="s">
        <v>2546</v>
      </c>
      <c r="C30" s="1479"/>
      <c r="D30" s="1479"/>
      <c r="E30" s="1479"/>
      <c r="F30" s="1479"/>
      <c r="G30" s="1479"/>
      <c r="H30" s="1479"/>
      <c r="I30" s="1479"/>
      <c r="J30" s="1479"/>
      <c r="K30" s="1479"/>
    </row>
    <row r="31" spans="2:11" ht="18" customHeight="1" thickBot="1" x14ac:dyDescent="0.4">
      <c r="B31" s="1492" t="s">
        <v>2547</v>
      </c>
      <c r="C31" s="1492"/>
      <c r="D31" s="1492"/>
      <c r="E31" s="1492"/>
      <c r="F31" s="1492"/>
      <c r="G31" s="1492"/>
      <c r="H31" s="1497"/>
      <c r="I31" s="1497"/>
      <c r="J31" s="1497"/>
      <c r="K31" s="1497"/>
    </row>
    <row r="32" spans="2:11" ht="18" customHeight="1" thickBot="1" x14ac:dyDescent="0.4">
      <c r="B32" s="1512" t="s">
        <v>2548</v>
      </c>
      <c r="C32" s="1512"/>
      <c r="D32" s="1512"/>
      <c r="E32" s="1512"/>
      <c r="F32" s="1512"/>
      <c r="G32" s="1512"/>
      <c r="H32" s="1498"/>
      <c r="I32" s="1498"/>
      <c r="J32" s="1498"/>
      <c r="K32" s="1498"/>
    </row>
    <row r="33" spans="2:11" ht="18" customHeight="1" thickBot="1" x14ac:dyDescent="0.4">
      <c r="B33" s="1492" t="s">
        <v>2549</v>
      </c>
      <c r="C33" s="1492"/>
      <c r="D33" s="1492"/>
      <c r="E33" s="1492"/>
      <c r="F33" s="1492"/>
      <c r="G33" s="1492"/>
      <c r="H33" s="1499" t="e">
        <f ca="1">'4.1 Resultatark'!C40</f>
        <v>#N/A</v>
      </c>
      <c r="I33" s="1498"/>
      <c r="J33" s="1498"/>
      <c r="K33" s="1498"/>
    </row>
    <row r="34" spans="2:11" ht="18" customHeight="1" thickBot="1" x14ac:dyDescent="0.4">
      <c r="B34" s="1496" t="s">
        <v>2563</v>
      </c>
      <c r="C34" s="1496"/>
      <c r="D34" s="1496"/>
      <c r="E34" s="1496"/>
      <c r="F34" s="1496"/>
      <c r="G34" s="1496"/>
      <c r="H34" s="1500">
        <f ca="1">'4.1 Resultatark'!C41</f>
        <v>0</v>
      </c>
      <c r="I34" s="1498"/>
      <c r="J34" s="1498"/>
      <c r="K34" s="1498"/>
    </row>
    <row r="35" spans="2:11" ht="18" customHeight="1" x14ac:dyDescent="0.35">
      <c r="B35" s="1496" t="s">
        <v>2550</v>
      </c>
      <c r="C35" s="1496"/>
      <c r="D35" s="1496"/>
      <c r="E35" s="1496"/>
      <c r="F35" s="1496"/>
      <c r="G35" s="1496"/>
      <c r="H35" s="1491" t="s">
        <v>2564</v>
      </c>
      <c r="I35" s="1491"/>
      <c r="J35" s="1491"/>
      <c r="K35" s="1491"/>
    </row>
    <row r="36" spans="2:11" ht="10" customHeight="1" x14ac:dyDescent="0.35">
      <c r="B36" s="1493"/>
      <c r="C36" s="1493"/>
      <c r="D36" s="1493"/>
      <c r="E36" s="1493"/>
      <c r="F36" s="1493"/>
      <c r="G36" s="1493"/>
      <c r="H36" s="1493"/>
      <c r="I36" s="1493"/>
      <c r="J36" s="1493"/>
      <c r="K36" s="1493"/>
    </row>
    <row r="37" spans="2:11" ht="17" x14ac:dyDescent="0.4">
      <c r="B37" s="1495" t="s">
        <v>2551</v>
      </c>
      <c r="C37" s="1495"/>
      <c r="D37" s="1495"/>
      <c r="E37" s="1495"/>
      <c r="F37" s="1495"/>
      <c r="G37" s="1494" t="s">
        <v>2552</v>
      </c>
      <c r="H37" s="1495"/>
      <c r="I37" s="1495"/>
      <c r="J37" s="1495"/>
      <c r="K37" s="1495"/>
    </row>
    <row r="38" spans="2:11" x14ac:dyDescent="0.35">
      <c r="B38" s="1489" t="s">
        <v>1788</v>
      </c>
      <c r="C38" s="1489"/>
      <c r="D38" s="1489"/>
      <c r="E38" s="1490">
        <f ca="1">'4.1 Resultatark'!C14</f>
        <v>0</v>
      </c>
      <c r="F38" s="1491"/>
      <c r="G38" s="1487" t="s">
        <v>2553</v>
      </c>
      <c r="H38" s="1488"/>
      <c r="I38" s="1488"/>
      <c r="J38" s="1488"/>
      <c r="K38" s="1248"/>
    </row>
    <row r="39" spans="2:11" x14ac:dyDescent="0.35">
      <c r="B39" s="1489" t="s">
        <v>1791</v>
      </c>
      <c r="C39" s="1489"/>
      <c r="D39" s="1489"/>
      <c r="E39" s="1490">
        <f ca="1">'4.1 Resultatark'!C21</f>
        <v>0</v>
      </c>
      <c r="F39" s="1491"/>
      <c r="G39" s="1487" t="s">
        <v>2554</v>
      </c>
      <c r="H39" s="1488"/>
      <c r="I39" s="1488"/>
      <c r="J39" s="1488"/>
      <c r="K39" s="1248"/>
    </row>
    <row r="40" spans="2:11" x14ac:dyDescent="0.35">
      <c r="B40" s="1489" t="s">
        <v>1553</v>
      </c>
      <c r="C40" s="1489"/>
      <c r="D40" s="1489"/>
      <c r="E40" s="1490">
        <f ca="1">'4.1 Resultatark'!C28</f>
        <v>0</v>
      </c>
      <c r="F40" s="1491"/>
      <c r="G40" s="1487" t="s">
        <v>2555</v>
      </c>
      <c r="H40" s="1488"/>
      <c r="I40" s="1488"/>
      <c r="J40" s="1488"/>
      <c r="K40" s="1248"/>
    </row>
    <row r="41" spans="2:11" x14ac:dyDescent="0.35">
      <c r="B41" s="1489" t="s">
        <v>1561</v>
      </c>
      <c r="C41" s="1489"/>
      <c r="D41" s="1489"/>
      <c r="E41" s="1490" t="e">
        <f ca="1">'4.1 Resultatark'!C38</f>
        <v>#N/A</v>
      </c>
      <c r="F41" s="1491"/>
      <c r="G41" s="1487" t="s">
        <v>2556</v>
      </c>
      <c r="H41" s="1488"/>
      <c r="I41" s="1488"/>
      <c r="J41" s="1488"/>
      <c r="K41" s="1248"/>
    </row>
    <row r="42" spans="2:11" ht="10" customHeight="1" x14ac:dyDescent="0.35"/>
    <row r="43" spans="2:11" ht="17" x14ac:dyDescent="0.35">
      <c r="B43" s="1479" t="s">
        <v>1712</v>
      </c>
      <c r="C43" s="1479"/>
      <c r="D43" s="1479"/>
      <c r="E43" s="1479"/>
      <c r="F43" s="1479"/>
      <c r="G43" s="1479"/>
      <c r="H43" s="1479"/>
      <c r="I43" s="1479"/>
      <c r="J43" s="1479"/>
      <c r="K43" s="1479"/>
    </row>
    <row r="44" spans="2:11" x14ac:dyDescent="0.35">
      <c r="B44" s="1480" t="s">
        <v>2557</v>
      </c>
      <c r="C44" s="1482"/>
      <c r="D44" s="1472" t="s">
        <v>2559</v>
      </c>
      <c r="E44" s="1472"/>
      <c r="F44" s="1472"/>
      <c r="G44" s="1472"/>
      <c r="H44" s="1472"/>
      <c r="I44" s="1472"/>
      <c r="J44" s="1472"/>
      <c r="K44" s="1472"/>
    </row>
    <row r="45" spans="2:11" ht="15" thickBot="1" x14ac:dyDescent="0.4">
      <c r="B45" s="1481"/>
      <c r="C45" s="1483"/>
      <c r="D45" s="1472"/>
      <c r="E45" s="1472"/>
      <c r="F45" s="1472"/>
      <c r="G45" s="1472"/>
      <c r="H45" s="1472"/>
      <c r="I45" s="1472"/>
      <c r="J45" s="1472"/>
      <c r="K45" s="1472"/>
    </row>
    <row r="46" spans="2:11" x14ac:dyDescent="0.35">
      <c r="B46" s="1484" t="s">
        <v>2558</v>
      </c>
      <c r="C46" s="1485"/>
      <c r="D46" s="1472"/>
      <c r="E46" s="1472"/>
      <c r="F46" s="1472"/>
      <c r="G46" s="1472"/>
      <c r="H46" s="1472"/>
      <c r="I46" s="1472"/>
      <c r="J46" s="1472"/>
      <c r="K46" s="1472"/>
    </row>
    <row r="47" spans="2:11" ht="15" thickBot="1" x14ac:dyDescent="0.4">
      <c r="B47" s="1481"/>
      <c r="C47" s="1486"/>
      <c r="D47" s="1473"/>
      <c r="E47" s="1473"/>
      <c r="F47" s="1473"/>
      <c r="G47" s="1473"/>
      <c r="H47" s="1473"/>
      <c r="I47" s="1473"/>
      <c r="J47" s="1473"/>
      <c r="K47" s="1473"/>
    </row>
    <row r="48" spans="2:11" ht="14.5" customHeight="1" x14ac:dyDescent="0.35">
      <c r="B48" s="1474" t="s">
        <v>2561</v>
      </c>
      <c r="C48" s="1474"/>
      <c r="D48" s="1476" t="s">
        <v>2560</v>
      </c>
      <c r="E48" s="1477"/>
      <c r="F48" s="1477"/>
      <c r="G48" s="1477"/>
      <c r="H48" s="1477"/>
      <c r="I48" s="1477"/>
      <c r="J48" s="1477"/>
      <c r="K48" s="1477"/>
    </row>
    <row r="49" spans="2:11" x14ac:dyDescent="0.35">
      <c r="B49" s="1475"/>
      <c r="C49" s="1475"/>
      <c r="D49" s="1478"/>
      <c r="E49" s="1478"/>
      <c r="F49" s="1478"/>
      <c r="G49" s="1478"/>
      <c r="H49" s="1478"/>
      <c r="I49" s="1478"/>
      <c r="J49" s="1478"/>
      <c r="K49" s="1478"/>
    </row>
    <row r="50" spans="2:11" x14ac:dyDescent="0.35">
      <c r="B50" s="1475"/>
      <c r="C50" s="1475"/>
      <c r="D50" s="1478"/>
      <c r="E50" s="1478"/>
      <c r="F50" s="1478"/>
      <c r="G50" s="1478"/>
      <c r="H50" s="1478"/>
      <c r="I50" s="1478"/>
      <c r="J50" s="1478"/>
      <c r="K50" s="1478"/>
    </row>
    <row r="51" spans="2:11" x14ac:dyDescent="0.35">
      <c r="B51" s="1475"/>
      <c r="C51" s="1475"/>
      <c r="D51" s="1478"/>
      <c r="E51" s="1478"/>
      <c r="F51" s="1478"/>
      <c r="G51" s="1478"/>
      <c r="H51" s="1478"/>
      <c r="I51" s="1478"/>
      <c r="J51" s="1478"/>
      <c r="K51" s="1478"/>
    </row>
    <row r="52" spans="2:11" x14ac:dyDescent="0.35">
      <c r="B52" s="1501" t="s">
        <v>2565</v>
      </c>
      <c r="C52" s="1501"/>
      <c r="D52" s="1501"/>
      <c r="E52" s="1501"/>
      <c r="F52" s="1501"/>
      <c r="G52" s="1501"/>
      <c r="H52" s="1501"/>
      <c r="I52" s="1501"/>
      <c r="J52" s="1501"/>
      <c r="K52" s="1501"/>
    </row>
  </sheetData>
  <mergeCells count="48">
    <mergeCell ref="B52:K52"/>
    <mergeCell ref="H4:I4"/>
    <mergeCell ref="H5:I5"/>
    <mergeCell ref="H6:K20"/>
    <mergeCell ref="H21:I28"/>
    <mergeCell ref="J21:K28"/>
    <mergeCell ref="B25:G25"/>
    <mergeCell ref="B4:G4"/>
    <mergeCell ref="B5:G5"/>
    <mergeCell ref="B6:G23"/>
    <mergeCell ref="B27:G27"/>
    <mergeCell ref="B26:G26"/>
    <mergeCell ref="B28:G28"/>
    <mergeCell ref="B30:K30"/>
    <mergeCell ref="B31:G31"/>
    <mergeCell ref="B32:G32"/>
    <mergeCell ref="B33:G33"/>
    <mergeCell ref="B36:K36"/>
    <mergeCell ref="B29:K29"/>
    <mergeCell ref="G37:K37"/>
    <mergeCell ref="B37:F37"/>
    <mergeCell ref="B35:G35"/>
    <mergeCell ref="H31:K31"/>
    <mergeCell ref="H32:K32"/>
    <mergeCell ref="H33:K33"/>
    <mergeCell ref="H34:K34"/>
    <mergeCell ref="H35:K35"/>
    <mergeCell ref="B34:G34"/>
    <mergeCell ref="G38:J38"/>
    <mergeCell ref="G39:J39"/>
    <mergeCell ref="G40:J40"/>
    <mergeCell ref="G41:J41"/>
    <mergeCell ref="B39:D39"/>
    <mergeCell ref="E39:F39"/>
    <mergeCell ref="B40:D40"/>
    <mergeCell ref="E40:F40"/>
    <mergeCell ref="B41:D41"/>
    <mergeCell ref="E41:F41"/>
    <mergeCell ref="E38:F38"/>
    <mergeCell ref="B38:D38"/>
    <mergeCell ref="D44:K47"/>
    <mergeCell ref="B48:C51"/>
    <mergeCell ref="D48:K51"/>
    <mergeCell ref="B43:K43"/>
    <mergeCell ref="B44:B45"/>
    <mergeCell ref="C44:C45"/>
    <mergeCell ref="B46:B47"/>
    <mergeCell ref="C46:C47"/>
  </mergeCells>
  <conditionalFormatting sqref="H34:K34">
    <cfRule type="cellIs" dxfId="565" priority="3" operator="greaterThan">
      <formula>0</formula>
    </cfRule>
    <cfRule type="cellIs" dxfId="564" priority="4" operator="lessThan">
      <formula>0</formula>
    </cfRule>
  </conditionalFormatting>
  <conditionalFormatting sqref="H35:K35">
    <cfRule type="containsText" dxfId="563" priority="1" operator="containsText" text="Ikke samfunnsøkonomisk lønnsomt">
      <formula>NOT(ISERROR(SEARCH("Ikke samfunnsøkonomisk lønnsomt",H35)))</formula>
    </cfRule>
    <cfRule type="containsText" dxfId="562" priority="2" stopIfTrue="1" operator="containsText" text="Samfunnsøkonomisk lønnsomt">
      <formula>NOT(ISERROR(SEARCH("Samfunnsøkonomisk lønnsomt",H35)))</formula>
    </cfRule>
  </conditionalFormatting>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23FDB7-D261-430E-8755-8EECC75AD678}">
  <sheetPr codeName="Ark26">
    <tabColor theme="4" tint="-0.249977111117893"/>
  </sheetPr>
  <dimension ref="A1:I22"/>
  <sheetViews>
    <sheetView zoomScaleNormal="100" workbookViewId="0"/>
  </sheetViews>
  <sheetFormatPr baseColWidth="10" defaultColWidth="11.453125" defaultRowHeight="14.5" x14ac:dyDescent="0.35"/>
  <cols>
    <col min="2" max="2" width="48.453125" customWidth="1"/>
    <col min="3" max="3" width="17.54296875" bestFit="1" customWidth="1"/>
  </cols>
  <sheetData>
    <row r="1" spans="1:9" x14ac:dyDescent="0.35">
      <c r="A1" s="4" t="s">
        <v>1840</v>
      </c>
      <c r="B1" s="4" t="s">
        <v>1841</v>
      </c>
      <c r="C1" s="4" t="s">
        <v>1842</v>
      </c>
      <c r="D1" s="4" t="s">
        <v>1843</v>
      </c>
      <c r="E1" s="4" t="s">
        <v>1844</v>
      </c>
      <c r="F1" s="4" t="s">
        <v>1845</v>
      </c>
      <c r="H1" s="4"/>
      <c r="I1" s="4" t="s">
        <v>1846</v>
      </c>
    </row>
    <row r="2" spans="1:9" x14ac:dyDescent="0.35">
      <c r="A2" t="s">
        <v>1489</v>
      </c>
      <c r="B2" t="s">
        <v>1311</v>
      </c>
      <c r="C2" s="150">
        <f ca="1">IF(D2="Diskontert",RES_Trafikantnytte__referanse+RES_Trafikantnytte__overført_og_nyskapt,SUM('3.1 Nyttestrøm'!D12:D16))*1000000</f>
        <v>0</v>
      </c>
      <c r="D2" t="str">
        <f>IF($I$2="Diskontert","Diskontert","Snapshot")</f>
        <v>Diskontert</v>
      </c>
      <c r="E2" t="s">
        <v>1847</v>
      </c>
      <c r="F2">
        <f>KroneårIBeregninger</f>
        <v>0</v>
      </c>
      <c r="I2" s="1096" t="s">
        <v>1848</v>
      </c>
    </row>
    <row r="3" spans="1:9" x14ac:dyDescent="0.35">
      <c r="A3" t="s">
        <v>1489</v>
      </c>
      <c r="B3" t="s">
        <v>1502</v>
      </c>
      <c r="C3" s="150">
        <f ca="1">IF(D3="Diskontert",RES_Andre_transportmidler__bil__buss__fly,(SUM('3.1 Nyttestrøm'!D18:D20)+SUM('3.1 Nyttestrøm'!D22:D24)))*1000000</f>
        <v>0</v>
      </c>
      <c r="D3" t="str">
        <f t="shared" ref="D3:D21" si="0">IF($I$2="Diskontert","Diskontert","Snapshot")</f>
        <v>Diskontert</v>
      </c>
      <c r="E3" t="s">
        <v>1847</v>
      </c>
    </row>
    <row r="4" spans="1:9" x14ac:dyDescent="0.35">
      <c r="A4" t="s">
        <v>1489</v>
      </c>
      <c r="B4" t="s">
        <v>1506</v>
      </c>
      <c r="C4" s="150">
        <f ca="1">IF(D4="Diskontert",RES_Godskunder,'3.1 Nyttestrøm'!D26)*1000000</f>
        <v>0</v>
      </c>
      <c r="D4" t="str">
        <f t="shared" si="0"/>
        <v>Diskontert</v>
      </c>
      <c r="E4" t="s">
        <v>1847</v>
      </c>
    </row>
    <row r="5" spans="1:9" x14ac:dyDescent="0.35">
      <c r="A5" t="s">
        <v>1489</v>
      </c>
      <c r="B5" t="s">
        <v>1657</v>
      </c>
      <c r="C5" s="150">
        <f ca="1">IF(D5="Diskontert",RES_Helsevirkninger_for_gående_og_syklende__overført_fra_bil,'3.1 Nyttestrøm'!D28)*1000000</f>
        <v>0</v>
      </c>
      <c r="D5" t="str">
        <f t="shared" si="0"/>
        <v>Diskontert</v>
      </c>
      <c r="E5" t="s">
        <v>1847</v>
      </c>
    </row>
    <row r="6" spans="1:9" x14ac:dyDescent="0.35">
      <c r="A6" t="s">
        <v>1512</v>
      </c>
      <c r="B6" t="s">
        <v>1659</v>
      </c>
      <c r="C6" s="150">
        <f ca="1">IF(D6="Diskontert",RES_Markedsinntekter__persontog,'3.1 Nyttestrøm'!D31)*1000000</f>
        <v>0</v>
      </c>
      <c r="D6" t="str">
        <f t="shared" si="0"/>
        <v>Diskontert</v>
      </c>
      <c r="E6" t="s">
        <v>1849</v>
      </c>
    </row>
    <row r="7" spans="1:9" x14ac:dyDescent="0.35">
      <c r="A7" t="s">
        <v>1512</v>
      </c>
      <c r="B7" t="s">
        <v>1661</v>
      </c>
      <c r="C7" s="150">
        <f ca="1">IF(D7="Diskontert",RES_Offentlig_kjøp_av_persontransport__persontog,'3.1 Nyttestrøm'!D32)*1000000</f>
        <v>0</v>
      </c>
      <c r="D7" t="str">
        <f t="shared" si="0"/>
        <v>Diskontert</v>
      </c>
      <c r="E7" t="s">
        <v>1849</v>
      </c>
    </row>
    <row r="8" spans="1:9" x14ac:dyDescent="0.35">
      <c r="A8" t="s">
        <v>1512</v>
      </c>
      <c r="B8" t="s">
        <v>1850</v>
      </c>
      <c r="C8" s="150">
        <f ca="1">IF(D8="Diskontert",RES_Endring_i_drift_og_avgifter__persontog,('3.1 Nyttestrøm'!$D$33+'3.1 Nyttestrøm'!$D$35))*1000000</f>
        <v>0</v>
      </c>
      <c r="D8" t="str">
        <f t="shared" si="0"/>
        <v>Diskontert</v>
      </c>
      <c r="E8" t="s">
        <v>1849</v>
      </c>
    </row>
    <row r="9" spans="1:9" x14ac:dyDescent="0.35">
      <c r="A9" t="s">
        <v>1512</v>
      </c>
      <c r="B9" t="s">
        <v>1851</v>
      </c>
      <c r="C9" s="1100">
        <f ca="1">IF(D9="Diskontert",RES_Endring_i_materiell__persontog,'3.1 Nyttestrøm'!D36)*1000000</f>
        <v>0</v>
      </c>
      <c r="D9" t="str">
        <f t="shared" si="0"/>
        <v>Diskontert</v>
      </c>
      <c r="E9" t="s">
        <v>1849</v>
      </c>
    </row>
    <row r="10" spans="1:9" x14ac:dyDescent="0.35">
      <c r="A10" t="s">
        <v>1512</v>
      </c>
      <c r="B10" t="s">
        <v>1667</v>
      </c>
      <c r="C10" s="1098">
        <f ca="1">IF(D10="Diskontert",RES_Endring_i_avgifter_og_offentlig_kjøp__buss_og_fly,SUM('3.1 Nyttestrøm'!D38:D40)+('3.1 Nyttestrøm'!D42))*1000000</f>
        <v>0</v>
      </c>
      <c r="D10" t="str">
        <f t="shared" si="0"/>
        <v>Diskontert</v>
      </c>
      <c r="E10" t="s">
        <v>1849</v>
      </c>
    </row>
    <row r="11" spans="1:9" x14ac:dyDescent="0.35">
      <c r="A11" t="s">
        <v>1553</v>
      </c>
      <c r="B11" t="s">
        <v>1673</v>
      </c>
      <c r="C11" s="1097">
        <f ca="1">IF(D11="Diskontert",RES_Endring_i_avgifter__herunder_bom__og_fergeavgifter,(SUM('3.1 Nyttestrøm'!D45:D49)+SUM('3.1 Nyttestrøm'!D51:D59)))*1000000</f>
        <v>0</v>
      </c>
      <c r="D11" t="str">
        <f t="shared" si="0"/>
        <v>Diskontert</v>
      </c>
      <c r="E11" t="s">
        <v>1849</v>
      </c>
    </row>
    <row r="12" spans="1:9" x14ac:dyDescent="0.35">
      <c r="A12" t="s">
        <v>1553</v>
      </c>
      <c r="B12" t="s">
        <v>1675</v>
      </c>
      <c r="C12" s="1097">
        <f ca="1">IF(D12="Diskontert",RES_Endring_i_vedlikehold_av_infrastruktur,SUM('3.1 Nyttestrøm'!D61:D63))*1000000</f>
        <v>0</v>
      </c>
      <c r="D12" t="str">
        <f t="shared" si="0"/>
        <v>Diskontert</v>
      </c>
      <c r="E12" t="s">
        <v>1849</v>
      </c>
    </row>
    <row r="13" spans="1:9" x14ac:dyDescent="0.35">
      <c r="A13" t="s">
        <v>1553</v>
      </c>
      <c r="B13" t="s">
        <v>1677</v>
      </c>
      <c r="C13" s="150">
        <f ca="1">IF(D13="Diskontert",RES_Offentlig_kjøp_av_persontransport_på_tog_og_buss,(SUM('3.1 Nyttestrøm'!D65:D66)))*1000000</f>
        <v>0</v>
      </c>
      <c r="D13" t="str">
        <f t="shared" si="0"/>
        <v>Diskontert</v>
      </c>
      <c r="E13" t="s">
        <v>1849</v>
      </c>
    </row>
    <row r="14" spans="1:9" x14ac:dyDescent="0.35">
      <c r="A14" t="s">
        <v>1553</v>
      </c>
      <c r="B14" t="s">
        <v>1852</v>
      </c>
      <c r="C14" s="150">
        <f ca="1">(RES_Investering+RES_Reinvestering)*1000000</f>
        <v>0</v>
      </c>
      <c r="D14" t="s">
        <v>1848</v>
      </c>
      <c r="E14" t="s">
        <v>1853</v>
      </c>
    </row>
    <row r="15" spans="1:9" x14ac:dyDescent="0.35">
      <c r="A15" t="s">
        <v>1553</v>
      </c>
      <c r="B15" t="s">
        <v>1852</v>
      </c>
      <c r="C15" s="150">
        <f ca="1">(RES_Investering+RES_Reinvestering)*1000000</f>
        <v>0</v>
      </c>
      <c r="D15" t="s">
        <v>1848</v>
      </c>
      <c r="E15" t="s">
        <v>1853</v>
      </c>
    </row>
    <row r="16" spans="1:9" x14ac:dyDescent="0.35">
      <c r="A16" t="s">
        <v>1561</v>
      </c>
      <c r="B16" t="s">
        <v>1681</v>
      </c>
      <c r="C16" s="150">
        <f ca="1">IF(D16="Diskontert",RES_Endring_i_ulykker,'3.1 Nyttestrøm'!D69)*1000000</f>
        <v>0</v>
      </c>
      <c r="D16" t="str">
        <f t="shared" si="0"/>
        <v>Diskontert</v>
      </c>
      <c r="E16" t="s">
        <v>1847</v>
      </c>
    </row>
    <row r="17" spans="1:5" x14ac:dyDescent="0.35">
      <c r="A17" t="s">
        <v>1561</v>
      </c>
      <c r="B17" t="s">
        <v>1684</v>
      </c>
      <c r="C17" s="150">
        <f ca="1">IF(D17="Diskontert",RES_Endring_i_støy,'3.1 Nyttestrøm'!D70)*1000000</f>
        <v>0</v>
      </c>
      <c r="D17" t="str">
        <f t="shared" si="0"/>
        <v>Diskontert</v>
      </c>
      <c r="E17" s="59" t="s">
        <v>1847</v>
      </c>
    </row>
    <row r="18" spans="1:5" x14ac:dyDescent="0.35">
      <c r="A18" t="s">
        <v>1561</v>
      </c>
      <c r="B18" t="s">
        <v>1687</v>
      </c>
      <c r="C18" s="150">
        <f ca="1">IF(D18="Diskontert",RES_Endring_i_lokale_utslipp,'3.1 Nyttestrøm'!D71)*1000000</f>
        <v>0</v>
      </c>
      <c r="D18" t="str">
        <f t="shared" si="0"/>
        <v>Diskontert</v>
      </c>
      <c r="E18" s="59" t="s">
        <v>1847</v>
      </c>
    </row>
    <row r="19" spans="1:5" x14ac:dyDescent="0.35">
      <c r="A19" t="s">
        <v>1561</v>
      </c>
      <c r="B19" t="s">
        <v>1690</v>
      </c>
      <c r="C19" s="1097" t="e">
        <f ca="1">IF(D19="Diskontert",RES_Endring_i_CO2_utslipp+RES_Endring_i_CO2_utslipp_byggefasen+RES_Endring_i_CO2_utslipp_areal,SUM('3.1 Nyttestrøm'!D76:D86))*1000000</f>
        <v>#N/A</v>
      </c>
      <c r="D19" t="str">
        <f t="shared" si="0"/>
        <v>Diskontert</v>
      </c>
      <c r="E19" s="59" t="s">
        <v>1849</v>
      </c>
    </row>
    <row r="20" spans="1:5" x14ac:dyDescent="0.35">
      <c r="A20" t="s">
        <v>1561</v>
      </c>
      <c r="B20" t="s">
        <v>1588</v>
      </c>
      <c r="C20" s="1097">
        <f ca="1">RES_Restverdi_av_tiltak*1000000</f>
        <v>0</v>
      </c>
      <c r="D20" t="s">
        <v>1848</v>
      </c>
      <c r="E20" s="59" t="s">
        <v>1588</v>
      </c>
    </row>
    <row r="21" spans="1:5" x14ac:dyDescent="0.35">
      <c r="A21" t="s">
        <v>1561</v>
      </c>
      <c r="B21" t="s">
        <v>1700</v>
      </c>
      <c r="C21" s="1097">
        <f ca="1">IF(D21="Diskontert",RES_Endring_i_skattefinansiering,SUM('3.1 Nyttestrøm'!D92:D94))*1000000</f>
        <v>0</v>
      </c>
      <c r="D21" t="str">
        <f t="shared" si="0"/>
        <v>Diskontert</v>
      </c>
      <c r="E21" t="s">
        <v>1849</v>
      </c>
    </row>
    <row r="22" spans="1:5" x14ac:dyDescent="0.35">
      <c r="A22" t="s">
        <v>1561</v>
      </c>
      <c r="B22" t="s">
        <v>1588</v>
      </c>
      <c r="C22" s="1097">
        <f ca="1">RES_Restverdi_av_tiltak*1000000</f>
        <v>0</v>
      </c>
      <c r="D22" t="s">
        <v>1848</v>
      </c>
      <c r="E22" t="s">
        <v>1588</v>
      </c>
    </row>
  </sheetData>
  <dataValidations count="1">
    <dataValidation type="list" allowBlank="1" showInputMessage="1" showErrorMessage="1" sqref="I2" xr:uid="{CA1755CE-E9CB-46A7-AC10-5206F4151CA9}">
      <formula1>"Diskontert,Snapshot"</formula1>
    </dataValidation>
  </dataValidations>
  <pageMargins left="0.7" right="0.7" top="0.75" bottom="0.75" header="0.3" footer="0.3"/>
  <pageSetup orientation="portrait" r:id="rId1"/>
  <drawing r:id="rId2"/>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3510E3-82C9-4009-8F9D-6A4C3704931A}">
  <sheetPr codeName="Sheet2">
    <tabColor theme="4" tint="-0.249977111117893"/>
    <pageSetUpPr autoPageBreaks="0"/>
  </sheetPr>
  <dimension ref="A3:U120"/>
  <sheetViews>
    <sheetView zoomScaleNormal="100" workbookViewId="0"/>
  </sheetViews>
  <sheetFormatPr baseColWidth="10" defaultColWidth="10.81640625" defaultRowHeight="14.5" x14ac:dyDescent="0.35"/>
  <cols>
    <col min="1" max="1" width="17.26953125" customWidth="1"/>
    <col min="2" max="2" width="3.7265625" customWidth="1"/>
    <col min="3" max="3" width="3.453125" customWidth="1"/>
    <col min="4" max="4" width="31" customWidth="1"/>
    <col min="5" max="12" width="9.453125" customWidth="1"/>
    <col min="13" max="17" width="13.54296875" customWidth="1"/>
    <col min="18" max="18" width="4" customWidth="1"/>
    <col min="20" max="20" width="40.81640625" customWidth="1"/>
    <col min="21" max="21" width="62.7265625" customWidth="1"/>
    <col min="22" max="22" width="26.26953125" bestFit="1" customWidth="1"/>
    <col min="29" max="29" width="15.81640625" bestFit="1" customWidth="1"/>
  </cols>
  <sheetData>
    <row r="3" spans="1:21" ht="15" thickBot="1" x14ac:dyDescent="0.4"/>
    <row r="4" spans="1:21" ht="18.5" x14ac:dyDescent="0.45">
      <c r="A4" s="290" t="s">
        <v>717</v>
      </c>
      <c r="B4" s="1513"/>
      <c r="C4" s="1513"/>
      <c r="D4" s="1514"/>
    </row>
    <row r="5" spans="1:21" x14ac:dyDescent="0.35">
      <c r="A5" s="1521" t="s">
        <v>1854</v>
      </c>
      <c r="B5" s="1522"/>
      <c r="C5" s="1515" t="s">
        <v>1855</v>
      </c>
      <c r="D5" s="1516"/>
    </row>
    <row r="6" spans="1:21" x14ac:dyDescent="0.35">
      <c r="A6" s="1521" t="s">
        <v>916</v>
      </c>
      <c r="B6" s="1522"/>
      <c r="C6" s="1517" t="s">
        <v>1856</v>
      </c>
      <c r="D6" s="1518"/>
    </row>
    <row r="7" spans="1:21" ht="15" thickBot="1" x14ac:dyDescent="0.4">
      <c r="A7" s="1523" t="s">
        <v>916</v>
      </c>
      <c r="B7" s="1524"/>
      <c r="C7" s="1519" t="s">
        <v>1857</v>
      </c>
      <c r="D7" s="1520"/>
    </row>
    <row r="8" spans="1:21" ht="15" thickBot="1" x14ac:dyDescent="0.4"/>
    <row r="9" spans="1:21" ht="21" x14ac:dyDescent="0.5">
      <c r="C9" s="207" t="s">
        <v>1858</v>
      </c>
      <c r="D9" s="377"/>
      <c r="E9" s="377"/>
      <c r="F9" s="377"/>
      <c r="G9" s="377"/>
      <c r="H9" s="208"/>
      <c r="I9" s="298"/>
      <c r="J9" s="208"/>
      <c r="K9" s="208"/>
      <c r="L9" s="377"/>
      <c r="M9" s="377"/>
      <c r="N9" s="208"/>
      <c r="O9" s="298"/>
      <c r="P9" s="208"/>
      <c r="Q9" s="208"/>
      <c r="R9" s="209"/>
      <c r="T9" s="207" t="s">
        <v>1859</v>
      </c>
      <c r="U9" s="378" t="s">
        <v>1860</v>
      </c>
    </row>
    <row r="10" spans="1:21" ht="18.5" x14ac:dyDescent="0.45">
      <c r="C10" s="247"/>
      <c r="D10" s="11"/>
      <c r="E10" s="11"/>
      <c r="F10" s="11"/>
      <c r="G10" s="11"/>
      <c r="H10" s="14"/>
      <c r="I10" s="10"/>
      <c r="J10" s="10"/>
      <c r="K10" s="10"/>
      <c r="L10" s="11"/>
      <c r="M10" s="11"/>
      <c r="N10" s="14"/>
      <c r="O10" s="10"/>
      <c r="P10" s="10"/>
      <c r="Q10" s="10"/>
      <c r="R10" s="241"/>
      <c r="T10" s="283"/>
      <c r="U10" s="248"/>
    </row>
    <row r="11" spans="1:21" x14ac:dyDescent="0.35">
      <c r="C11" s="212"/>
      <c r="D11" s="17"/>
      <c r="E11" s="17"/>
      <c r="F11" s="17"/>
      <c r="G11" s="17"/>
      <c r="H11" s="17"/>
      <c r="I11" s="17"/>
      <c r="J11" s="17"/>
      <c r="K11" s="17"/>
      <c r="L11" s="17"/>
      <c r="M11" s="17"/>
      <c r="N11" s="17"/>
      <c r="O11" s="17"/>
      <c r="P11" s="17"/>
      <c r="Q11" s="17"/>
      <c r="R11" s="213"/>
      <c r="S11" s="685"/>
      <c r="T11" s="212" t="s">
        <v>1008</v>
      </c>
      <c r="U11" s="213"/>
    </row>
    <row r="12" spans="1:21" x14ac:dyDescent="0.35">
      <c r="C12" s="212"/>
      <c r="D12" s="34" t="s">
        <v>1861</v>
      </c>
      <c r="E12" s="17"/>
      <c r="F12" s="1558" t="s">
        <v>1862</v>
      </c>
      <c r="G12" s="1559"/>
      <c r="H12" s="1560"/>
      <c r="I12" s="17"/>
      <c r="J12" s="17"/>
      <c r="K12" s="17"/>
      <c r="L12" s="17"/>
      <c r="M12" s="17"/>
      <c r="N12" s="17"/>
      <c r="O12" s="17"/>
      <c r="P12" s="17"/>
      <c r="Q12" s="17"/>
      <c r="R12" s="213"/>
      <c r="T12" s="212" t="s">
        <v>1012</v>
      </c>
      <c r="U12" s="213"/>
    </row>
    <row r="13" spans="1:21" ht="14.5" customHeight="1" x14ac:dyDescent="0.35">
      <c r="C13" s="212"/>
      <c r="D13" s="34"/>
      <c r="E13" s="17"/>
      <c r="F13" s="1567" t="s">
        <v>1863</v>
      </c>
      <c r="G13" s="1567"/>
      <c r="H13" s="1567"/>
      <c r="I13" s="1568" t="s">
        <v>1864</v>
      </c>
      <c r="J13" s="1568"/>
      <c r="K13" s="1568"/>
      <c r="L13" s="17"/>
      <c r="M13" s="17"/>
      <c r="N13" s="17"/>
      <c r="O13" s="17"/>
      <c r="P13" s="17"/>
      <c r="Q13" s="17"/>
      <c r="R13" s="213"/>
      <c r="S13" s="685"/>
      <c r="T13" s="212" t="s">
        <v>1865</v>
      </c>
      <c r="U13" s="213" t="s">
        <v>1866</v>
      </c>
    </row>
    <row r="14" spans="1:21" x14ac:dyDescent="0.35">
      <c r="C14" s="212"/>
      <c r="D14" s="34" t="s">
        <v>1867</v>
      </c>
      <c r="E14" s="17"/>
      <c r="F14" s="1561" t="s">
        <v>1862</v>
      </c>
      <c r="G14" s="1562"/>
      <c r="H14" s="1563"/>
      <c r="I14" s="1561" t="s">
        <v>1862</v>
      </c>
      <c r="J14" s="1562"/>
      <c r="K14" s="1563"/>
      <c r="L14" s="17"/>
      <c r="M14" s="17"/>
      <c r="N14" s="17"/>
      <c r="O14" s="17"/>
      <c r="P14" s="17"/>
      <c r="Q14" s="17"/>
      <c r="R14" s="213"/>
      <c r="S14" s="685"/>
      <c r="T14" s="212" t="s">
        <v>1311</v>
      </c>
      <c r="U14" s="213" t="s">
        <v>1868</v>
      </c>
    </row>
    <row r="15" spans="1:21" x14ac:dyDescent="0.35">
      <c r="C15" s="212"/>
      <c r="D15" s="34"/>
      <c r="E15" s="17"/>
      <c r="F15" s="17"/>
      <c r="G15" s="17"/>
      <c r="H15" s="17"/>
      <c r="I15" s="17"/>
      <c r="J15" s="17"/>
      <c r="K15" s="17"/>
      <c r="L15" s="17"/>
      <c r="M15" s="17"/>
      <c r="N15" s="17"/>
      <c r="O15" s="447"/>
      <c r="P15" s="447"/>
      <c r="Q15" s="447"/>
      <c r="R15" s="448"/>
      <c r="T15" s="212" t="s">
        <v>1869</v>
      </c>
      <c r="U15" s="213" t="s">
        <v>1870</v>
      </c>
    </row>
    <row r="16" spans="1:21" ht="30" customHeight="1" x14ac:dyDescent="0.35">
      <c r="C16" s="212"/>
      <c r="D16" s="461" t="s">
        <v>1871</v>
      </c>
      <c r="E16" s="17"/>
      <c r="F16" s="1564" t="s">
        <v>1862</v>
      </c>
      <c r="G16" s="1565"/>
      <c r="H16" s="1566"/>
      <c r="I16" s="1564" t="s">
        <v>1862</v>
      </c>
      <c r="J16" s="1565"/>
      <c r="K16" s="1566"/>
      <c r="L16" s="17"/>
      <c r="M16" s="17"/>
      <c r="N16" s="17"/>
      <c r="O16" s="17"/>
      <c r="P16" s="17"/>
      <c r="Q16" s="17"/>
      <c r="R16" s="213"/>
      <c r="T16" s="212" t="s">
        <v>1872</v>
      </c>
      <c r="U16" s="213" t="s">
        <v>1873</v>
      </c>
    </row>
    <row r="17" spans="3:21" ht="31.5" customHeight="1" x14ac:dyDescent="0.35">
      <c r="C17" s="212"/>
      <c r="D17" s="461" t="s">
        <v>1874</v>
      </c>
      <c r="E17" s="17"/>
      <c r="F17" s="1564" t="s">
        <v>1875</v>
      </c>
      <c r="G17" s="1565"/>
      <c r="H17" s="1566"/>
      <c r="I17" s="1564" t="s">
        <v>1862</v>
      </c>
      <c r="J17" s="1565"/>
      <c r="K17" s="1566"/>
      <c r="L17" s="17"/>
      <c r="M17" s="17"/>
      <c r="N17" s="17"/>
      <c r="O17" s="446"/>
      <c r="P17" s="17"/>
      <c r="Q17" s="17"/>
      <c r="R17" s="213"/>
      <c r="T17" s="212" t="s">
        <v>1876</v>
      </c>
      <c r="U17" s="213"/>
    </row>
    <row r="18" spans="3:21" x14ac:dyDescent="0.35">
      <c r="C18" s="212"/>
      <c r="D18" s="34" t="s">
        <v>1877</v>
      </c>
      <c r="E18" s="17"/>
      <c r="F18" s="1554" t="str">
        <f>IF(parameter1_sens="-Velg-","",OpprinneligVerdi(parameter1_sens))</f>
        <v/>
      </c>
      <c r="G18" s="1554"/>
      <c r="H18" s="1554"/>
      <c r="I18" s="1555" t="str">
        <f>IF(parameter2_sens="-Velg-","",OpprinneligVerdi(parameter2_sens))</f>
        <v/>
      </c>
      <c r="J18" s="1556"/>
      <c r="K18" s="1557"/>
      <c r="L18" s="17"/>
      <c r="M18" s="17"/>
      <c r="N18" s="17"/>
      <c r="O18" s="17"/>
      <c r="P18" s="17"/>
      <c r="Q18" s="17"/>
      <c r="R18" s="213"/>
      <c r="T18" s="212" t="s">
        <v>1878</v>
      </c>
      <c r="U18" s="213" t="s">
        <v>1879</v>
      </c>
    </row>
    <row r="19" spans="3:21" x14ac:dyDescent="0.35">
      <c r="C19" s="212"/>
      <c r="D19" s="17"/>
      <c r="E19" s="17"/>
      <c r="F19" s="17"/>
      <c r="G19" s="478"/>
      <c r="H19" s="478"/>
      <c r="I19" s="478"/>
      <c r="J19" s="478"/>
      <c r="K19" s="478"/>
      <c r="L19" s="17"/>
      <c r="M19" s="17"/>
      <c r="N19" s="17"/>
      <c r="O19" s="17"/>
      <c r="P19" s="17"/>
      <c r="Q19" s="17"/>
      <c r="R19" s="213"/>
      <c r="T19" s="212" t="s">
        <v>1880</v>
      </c>
      <c r="U19" s="213" t="s">
        <v>1881</v>
      </c>
    </row>
    <row r="20" spans="3:21" x14ac:dyDescent="0.35">
      <c r="C20" s="212"/>
      <c r="D20" s="478" t="s">
        <v>1882</v>
      </c>
      <c r="E20" s="17"/>
      <c r="F20" s="1525"/>
      <c r="G20" s="1525"/>
      <c r="H20" s="1525"/>
      <c r="I20" s="1525"/>
      <c r="J20" s="1525"/>
      <c r="K20" s="1525"/>
      <c r="L20" s="17"/>
      <c r="M20" s="17"/>
      <c r="N20" s="17"/>
      <c r="O20" s="17"/>
      <c r="P20" s="17"/>
      <c r="Q20" s="17"/>
      <c r="R20" s="213"/>
      <c r="T20" s="212" t="s">
        <v>1883</v>
      </c>
      <c r="U20" s="213" t="s">
        <v>1881</v>
      </c>
    </row>
    <row r="21" spans="3:21" x14ac:dyDescent="0.35">
      <c r="C21" s="212"/>
      <c r="D21" s="478" t="s">
        <v>1884</v>
      </c>
      <c r="E21" s="17"/>
      <c r="F21" s="1525"/>
      <c r="G21" s="1525"/>
      <c r="H21" s="1525"/>
      <c r="I21" s="1550"/>
      <c r="J21" s="1525"/>
      <c r="K21" s="1525"/>
      <c r="L21" s="17"/>
      <c r="M21" s="90"/>
      <c r="N21" s="17"/>
      <c r="O21" s="17"/>
      <c r="P21" s="17"/>
      <c r="Q21" s="17"/>
      <c r="R21" s="213"/>
      <c r="T21" s="212" t="s">
        <v>1885</v>
      </c>
      <c r="U21" s="213" t="s">
        <v>1881</v>
      </c>
    </row>
    <row r="22" spans="3:21" x14ac:dyDescent="0.35">
      <c r="C22" s="212"/>
      <c r="D22" s="478" t="s">
        <v>1886</v>
      </c>
      <c r="E22" s="17"/>
      <c r="F22" s="1525"/>
      <c r="G22" s="1525"/>
      <c r="H22" s="1525"/>
      <c r="I22" s="1525"/>
      <c r="J22" s="1525"/>
      <c r="K22" s="1525"/>
      <c r="L22" s="17"/>
      <c r="M22" s="17"/>
      <c r="N22" s="17"/>
      <c r="O22" s="446"/>
      <c r="P22" s="17"/>
      <c r="Q22" s="17"/>
      <c r="R22" s="213"/>
      <c r="T22" s="212" t="s">
        <v>1887</v>
      </c>
      <c r="U22" s="213" t="s">
        <v>1881</v>
      </c>
    </row>
    <row r="23" spans="3:21" x14ac:dyDescent="0.35">
      <c r="C23" s="212"/>
      <c r="D23" s="478" t="s">
        <v>1888</v>
      </c>
      <c r="E23" s="17"/>
      <c r="F23" s="1551"/>
      <c r="G23" s="1552"/>
      <c r="H23" s="1553"/>
      <c r="I23" s="1525"/>
      <c r="J23" s="1525"/>
      <c r="K23" s="1525"/>
      <c r="L23" s="17"/>
      <c r="M23" s="17"/>
      <c r="N23" s="17"/>
      <c r="O23" s="17"/>
      <c r="P23" s="455"/>
      <c r="Q23" s="455"/>
      <c r="R23" s="460"/>
      <c r="S23" s="454"/>
      <c r="T23" s="212" t="s">
        <v>1889</v>
      </c>
      <c r="U23" s="213" t="s">
        <v>1890</v>
      </c>
    </row>
    <row r="24" spans="3:21" x14ac:dyDescent="0.35">
      <c r="C24" s="212"/>
      <c r="D24" s="478" t="s">
        <v>1891</v>
      </c>
      <c r="E24" s="17"/>
      <c r="F24" s="1551"/>
      <c r="G24" s="1552"/>
      <c r="H24" s="1553"/>
      <c r="I24" s="1525"/>
      <c r="J24" s="1525"/>
      <c r="K24" s="1525"/>
      <c r="L24" s="17"/>
      <c r="M24" s="17"/>
      <c r="N24" s="17"/>
      <c r="O24" s="17"/>
      <c r="P24" s="17"/>
      <c r="Q24" s="17"/>
      <c r="R24" s="213"/>
      <c r="T24" s="212" t="s">
        <v>1892</v>
      </c>
      <c r="U24" s="213" t="s">
        <v>1893</v>
      </c>
    </row>
    <row r="25" spans="3:21" x14ac:dyDescent="0.35">
      <c r="C25" s="212"/>
      <c r="D25" s="478" t="s">
        <v>1894</v>
      </c>
      <c r="E25" s="17"/>
      <c r="F25" s="1551"/>
      <c r="G25" s="1552"/>
      <c r="H25" s="1553"/>
      <c r="I25" s="1525"/>
      <c r="J25" s="1525"/>
      <c r="K25" s="1525"/>
      <c r="L25" s="17"/>
      <c r="M25" s="17"/>
      <c r="N25" s="17"/>
      <c r="O25" s="17"/>
      <c r="P25" s="17"/>
      <c r="Q25" s="17"/>
      <c r="R25" s="213"/>
      <c r="T25" s="212" t="s">
        <v>1895</v>
      </c>
      <c r="U25" s="213" t="s">
        <v>1893</v>
      </c>
    </row>
    <row r="26" spans="3:21" x14ac:dyDescent="0.35">
      <c r="C26" s="212"/>
      <c r="D26" s="478" t="s">
        <v>1896</v>
      </c>
      <c r="E26" s="17"/>
      <c r="F26" s="1525"/>
      <c r="G26" s="1525"/>
      <c r="H26" s="1525"/>
      <c r="I26" s="1525"/>
      <c r="J26" s="1525"/>
      <c r="K26" s="1525"/>
      <c r="L26" s="17"/>
      <c r="M26" s="17"/>
      <c r="N26" s="17"/>
      <c r="O26" s="17"/>
      <c r="P26" s="17"/>
      <c r="Q26" s="17"/>
      <c r="R26" s="213"/>
      <c r="T26" s="212" t="s">
        <v>1897</v>
      </c>
      <c r="U26" s="213" t="s">
        <v>1898</v>
      </c>
    </row>
    <row r="27" spans="3:21" x14ac:dyDescent="0.35">
      <c r="C27" s="212"/>
      <c r="D27" s="478" t="s">
        <v>1899</v>
      </c>
      <c r="E27" s="446"/>
      <c r="F27" s="478"/>
      <c r="G27" s="479"/>
      <c r="H27" s="479"/>
      <c r="I27" s="479"/>
      <c r="J27" s="479"/>
      <c r="K27" s="479"/>
      <c r="L27" s="17"/>
      <c r="M27" s="17"/>
      <c r="N27" s="17"/>
      <c r="O27" s="17"/>
      <c r="P27" s="17"/>
      <c r="Q27" s="17"/>
      <c r="R27" s="213"/>
      <c r="T27" s="212" t="s">
        <v>1900</v>
      </c>
      <c r="U27" s="213" t="s">
        <v>1901</v>
      </c>
    </row>
    <row r="28" spans="3:21" x14ac:dyDescent="0.35">
      <c r="C28" s="212"/>
      <c r="D28" s="17"/>
      <c r="E28" s="1538" t="s">
        <v>1902</v>
      </c>
      <c r="F28" s="1539"/>
      <c r="G28" s="1539"/>
      <c r="H28" s="1539"/>
      <c r="I28" s="1539"/>
      <c r="J28" s="1539"/>
      <c r="K28" s="1539"/>
      <c r="L28" s="1540"/>
      <c r="M28" s="17"/>
      <c r="N28" s="17"/>
      <c r="O28" s="17"/>
      <c r="P28" s="17"/>
      <c r="Q28" s="17"/>
      <c r="R28" s="213"/>
      <c r="T28" s="212" t="s">
        <v>1903</v>
      </c>
      <c r="U28" s="213" t="s">
        <v>1901</v>
      </c>
    </row>
    <row r="29" spans="3:21" x14ac:dyDescent="0.35">
      <c r="C29" s="212"/>
      <c r="D29" s="17"/>
      <c r="E29" s="1572" t="str">
        <f>parameter1_sens</f>
        <v>-Velg-</v>
      </c>
      <c r="F29" s="1573"/>
      <c r="G29" s="1573"/>
      <c r="H29" s="1574"/>
      <c r="I29" s="1572" t="str">
        <f>parameter2_sens</f>
        <v>-Velg-</v>
      </c>
      <c r="J29" s="1573"/>
      <c r="K29" s="1573"/>
      <c r="L29" s="1574"/>
      <c r="M29" s="17"/>
      <c r="N29" s="17"/>
      <c r="O29" s="17"/>
      <c r="P29" s="17"/>
      <c r="Q29" s="17"/>
      <c r="R29" s="213"/>
      <c r="T29" s="212" t="s">
        <v>1904</v>
      </c>
      <c r="U29" s="213" t="s">
        <v>1901</v>
      </c>
    </row>
    <row r="30" spans="3:21" ht="15" customHeight="1" x14ac:dyDescent="0.35">
      <c r="C30" s="212"/>
      <c r="D30" s="17"/>
      <c r="E30" s="1541" t="s">
        <v>1905</v>
      </c>
      <c r="F30" s="1542"/>
      <c r="G30" s="1542"/>
      <c r="H30" s="1543"/>
      <c r="I30" s="1541" t="s">
        <v>1905</v>
      </c>
      <c r="J30" s="1542"/>
      <c r="K30" s="1542"/>
      <c r="L30" s="1543"/>
      <c r="M30" s="17"/>
      <c r="N30" s="17"/>
      <c r="O30" s="17"/>
      <c r="P30" s="17"/>
      <c r="Q30" s="17"/>
      <c r="R30" s="213"/>
      <c r="T30" s="212" t="s">
        <v>1906</v>
      </c>
      <c r="U30" s="213" t="s">
        <v>1901</v>
      </c>
    </row>
    <row r="31" spans="3:21" ht="15" thickBot="1" x14ac:dyDescent="0.4">
      <c r="C31" s="212"/>
      <c r="D31" s="17"/>
      <c r="E31" s="1544"/>
      <c r="F31" s="1545"/>
      <c r="G31" s="1545"/>
      <c r="H31" s="1546"/>
      <c r="I31" s="1544"/>
      <c r="J31" s="1545"/>
      <c r="K31" s="1545"/>
      <c r="L31" s="1546"/>
      <c r="M31" s="17"/>
      <c r="N31" s="17"/>
      <c r="O31" s="17"/>
      <c r="P31" s="17"/>
      <c r="Q31" s="17"/>
      <c r="R31" s="213"/>
      <c r="T31" s="252" t="s">
        <v>1907</v>
      </c>
      <c r="U31" s="302" t="s">
        <v>1901</v>
      </c>
    </row>
    <row r="32" spans="3:21" x14ac:dyDescent="0.35">
      <c r="C32" s="212"/>
      <c r="D32" s="17"/>
      <c r="E32" s="1544"/>
      <c r="F32" s="1545"/>
      <c r="G32" s="1545"/>
      <c r="H32" s="1546"/>
      <c r="I32" s="1544"/>
      <c r="J32" s="1545"/>
      <c r="K32" s="1545"/>
      <c r="L32" s="1546"/>
      <c r="M32" s="17"/>
      <c r="N32" s="17"/>
      <c r="O32" s="17"/>
      <c r="P32" s="17"/>
      <c r="Q32" s="17"/>
      <c r="R32" s="213"/>
    </row>
    <row r="33" spans="3:18" x14ac:dyDescent="0.35">
      <c r="C33" s="212"/>
      <c r="D33" s="17"/>
      <c r="E33" s="1544"/>
      <c r="F33" s="1545"/>
      <c r="G33" s="1545"/>
      <c r="H33" s="1546"/>
      <c r="I33" s="1544"/>
      <c r="J33" s="1545"/>
      <c r="K33" s="1545"/>
      <c r="L33" s="1546"/>
      <c r="M33" s="17"/>
      <c r="N33" s="17"/>
      <c r="O33" s="17"/>
      <c r="P33" s="17"/>
      <c r="Q33" s="17"/>
      <c r="R33" s="213"/>
    </row>
    <row r="34" spans="3:18" x14ac:dyDescent="0.35">
      <c r="C34" s="212"/>
      <c r="D34" s="17"/>
      <c r="E34" s="1547"/>
      <c r="F34" s="1548"/>
      <c r="G34" s="1548"/>
      <c r="H34" s="1549"/>
      <c r="I34" s="1547"/>
      <c r="J34" s="1548"/>
      <c r="K34" s="1548"/>
      <c r="L34" s="1549"/>
      <c r="M34" s="17"/>
      <c r="N34" s="17"/>
      <c r="O34" s="17"/>
      <c r="P34" s="17"/>
      <c r="Q34" s="17"/>
      <c r="R34" s="213"/>
    </row>
    <row r="35" spans="3:18" x14ac:dyDescent="0.35">
      <c r="C35" s="212"/>
      <c r="D35" s="17"/>
      <c r="E35" s="17"/>
      <c r="F35" s="17"/>
      <c r="G35" s="17"/>
      <c r="H35" s="17"/>
      <c r="I35" s="17"/>
      <c r="J35" s="17"/>
      <c r="K35" s="17"/>
      <c r="L35" s="17"/>
      <c r="M35" s="17"/>
      <c r="N35" s="17"/>
      <c r="O35" s="17"/>
      <c r="P35" s="17"/>
      <c r="Q35" s="17"/>
      <c r="R35" s="213"/>
    </row>
    <row r="36" spans="3:18" x14ac:dyDescent="0.35">
      <c r="C36" s="212"/>
      <c r="D36" s="498"/>
      <c r="E36" s="17"/>
      <c r="F36" s="17"/>
      <c r="G36" s="17"/>
      <c r="H36" s="17"/>
      <c r="I36" s="17"/>
      <c r="J36" s="17"/>
      <c r="K36" s="17"/>
      <c r="L36" s="17"/>
      <c r="M36" s="17"/>
      <c r="N36" s="17"/>
      <c r="O36" s="17"/>
      <c r="P36" s="17"/>
      <c r="Q36" s="17"/>
      <c r="R36" s="213"/>
    </row>
    <row r="37" spans="3:18" x14ac:dyDescent="0.35">
      <c r="C37" s="212"/>
      <c r="D37" s="456"/>
      <c r="E37" s="17"/>
      <c r="F37" s="17"/>
      <c r="G37" s="17"/>
      <c r="H37" s="17"/>
      <c r="I37" s="17"/>
      <c r="J37" s="17"/>
      <c r="K37" s="17"/>
      <c r="L37" s="17"/>
      <c r="M37" s="17"/>
      <c r="N37" s="17"/>
      <c r="O37" s="17"/>
      <c r="P37" s="17"/>
      <c r="Q37" s="17"/>
      <c r="R37" s="213"/>
    </row>
    <row r="38" spans="3:18" x14ac:dyDescent="0.35">
      <c r="C38" s="218"/>
      <c r="D38" s="65"/>
      <c r="E38" s="17"/>
      <c r="F38" s="17"/>
      <c r="G38" s="17"/>
      <c r="H38" s="17"/>
      <c r="I38" s="17"/>
      <c r="J38" s="478" t="b">
        <v>1</v>
      </c>
      <c r="K38" s="17"/>
      <c r="L38" s="65"/>
      <c r="M38" s="17"/>
      <c r="N38" s="17"/>
      <c r="O38" s="17"/>
      <c r="P38" s="17"/>
      <c r="Q38" s="17"/>
      <c r="R38" s="213"/>
    </row>
    <row r="39" spans="3:18" ht="15" thickBot="1" x14ac:dyDescent="0.4">
      <c r="C39" s="252"/>
      <c r="D39" s="301"/>
      <c r="E39" s="301"/>
      <c r="F39" s="301"/>
      <c r="G39" s="301"/>
      <c r="H39" s="301"/>
      <c r="I39" s="301"/>
      <c r="J39" s="301"/>
      <c r="K39" s="301"/>
      <c r="L39" s="301"/>
      <c r="M39" s="301"/>
      <c r="N39" s="301"/>
      <c r="O39" s="301"/>
      <c r="P39" s="301"/>
      <c r="Q39" s="301"/>
      <c r="R39" s="302"/>
    </row>
    <row r="40" spans="3:18" ht="15" thickBot="1" x14ac:dyDescent="0.4"/>
    <row r="41" spans="3:18" ht="19" thickBot="1" x14ac:dyDescent="0.5">
      <c r="C41" s="434" t="s">
        <v>1908</v>
      </c>
      <c r="D41" s="435"/>
      <c r="E41" s="435"/>
      <c r="F41" s="435"/>
      <c r="G41" s="435"/>
      <c r="H41" s="435"/>
      <c r="I41" s="436"/>
      <c r="J41" s="436"/>
      <c r="K41" s="437"/>
      <c r="M41" s="434" t="s">
        <v>1909</v>
      </c>
      <c r="N41" s="435"/>
      <c r="O41" s="435"/>
      <c r="P41" s="436"/>
      <c r="Q41" s="436"/>
      <c r="R41" s="437"/>
    </row>
    <row r="42" spans="3:18" ht="15" thickBot="1" x14ac:dyDescent="0.4"/>
    <row r="43" spans="3:18" ht="21" x14ac:dyDescent="0.5">
      <c r="C43" s="481"/>
      <c r="D43" s="487" t="s">
        <v>1910</v>
      </c>
      <c r="E43" s="487" t="str">
        <f>IF(parameter1_sens="-Velg-","",parameter1_sens)</f>
        <v/>
      </c>
      <c r="F43" s="482"/>
      <c r="G43" s="482"/>
      <c r="H43" s="482"/>
      <c r="I43" s="482"/>
      <c r="J43" s="482"/>
      <c r="K43" s="482"/>
      <c r="L43" s="482"/>
      <c r="M43" s="482"/>
      <c r="N43" s="482"/>
      <c r="O43" s="482"/>
      <c r="P43" s="482"/>
      <c r="Q43" s="482"/>
      <c r="R43" s="483"/>
    </row>
    <row r="44" spans="3:18" x14ac:dyDescent="0.35">
      <c r="C44" s="484"/>
      <c r="D44" s="485"/>
      <c r="E44" s="485"/>
      <c r="F44" s="485"/>
      <c r="G44" s="485"/>
      <c r="H44" s="485"/>
      <c r="I44" s="485"/>
      <c r="J44" s="485"/>
      <c r="K44" s="485"/>
      <c r="L44" s="485"/>
      <c r="M44" s="485"/>
      <c r="N44" s="485"/>
      <c r="O44" s="485"/>
      <c r="P44" s="485"/>
      <c r="Q44" s="485"/>
      <c r="R44" s="486"/>
    </row>
    <row r="45" spans="3:18" x14ac:dyDescent="0.35">
      <c r="C45" s="212"/>
      <c r="D45" s="17"/>
      <c r="E45" s="17"/>
      <c r="F45" s="17"/>
      <c r="G45" s="17"/>
      <c r="H45" s="17"/>
      <c r="I45" s="17"/>
      <c r="J45" s="17"/>
      <c r="K45" s="17"/>
      <c r="L45" s="17"/>
      <c r="M45" s="17"/>
      <c r="N45" s="17"/>
      <c r="O45" s="17"/>
      <c r="P45" s="17"/>
      <c r="Q45" s="17"/>
      <c r="R45" s="213"/>
    </row>
    <row r="46" spans="3:18" x14ac:dyDescent="0.35">
      <c r="C46" s="212"/>
      <c r="D46" s="1538" t="s">
        <v>1911</v>
      </c>
      <c r="E46" s="1539"/>
      <c r="F46" s="1539"/>
      <c r="G46" s="1539"/>
      <c r="H46" s="1539"/>
      <c r="I46" s="1539"/>
      <c r="J46" s="1540"/>
      <c r="K46" s="91"/>
      <c r="L46" s="91"/>
      <c r="M46" s="1575" t="str">
        <f>parameter1_sens</f>
        <v>-Velg-</v>
      </c>
      <c r="N46" s="1576"/>
      <c r="O46" s="1576"/>
      <c r="P46" s="1576"/>
      <c r="Q46" s="1577"/>
      <c r="R46" s="346"/>
    </row>
    <row r="47" spans="3:18" x14ac:dyDescent="0.35">
      <c r="C47" s="212"/>
      <c r="D47" s="1575" t="str">
        <f>parameter1_sens</f>
        <v>-Velg-</v>
      </c>
      <c r="E47" s="1576"/>
      <c r="F47" s="1576"/>
      <c r="G47" s="1576"/>
      <c r="H47" s="1576"/>
      <c r="I47" s="1576"/>
      <c r="J47" s="1577"/>
      <c r="K47" s="91"/>
      <c r="L47" s="91"/>
      <c r="M47" s="1572" t="s">
        <v>1912</v>
      </c>
      <c r="N47" s="1573"/>
      <c r="O47" s="1573"/>
      <c r="P47" s="1573"/>
      <c r="Q47" s="1574"/>
      <c r="R47" s="346"/>
    </row>
    <row r="48" spans="3:18" x14ac:dyDescent="0.35">
      <c r="C48" s="212"/>
      <c r="D48" s="1526" t="str">
        <f>IF(Hypotese_parameter1="","",Hypotese_parameter1)</f>
        <v>[Beskriv hvorfor følsomhetsanalyse av den/de valgte variabelen(e) er relevant for analysen, og hvorfor de valgte verdiene kan være mulige utfall]</v>
      </c>
      <c r="E48" s="1532"/>
      <c r="F48" s="1532"/>
      <c r="G48" s="1532"/>
      <c r="H48" s="1532"/>
      <c r="I48" s="1532"/>
      <c r="J48" s="1527"/>
      <c r="K48" s="91"/>
      <c r="L48" s="91"/>
      <c r="M48" s="438"/>
      <c r="N48" s="439"/>
      <c r="O48" s="439"/>
      <c r="P48" s="439"/>
      <c r="Q48" s="457"/>
      <c r="R48" s="346"/>
    </row>
    <row r="49" spans="1:18" x14ac:dyDescent="0.35">
      <c r="C49" s="212"/>
      <c r="D49" s="1528"/>
      <c r="E49" s="1533"/>
      <c r="F49" s="1533"/>
      <c r="G49" s="1533"/>
      <c r="H49" s="1533"/>
      <c r="I49" s="1533"/>
      <c r="J49" s="1529"/>
      <c r="K49" s="91"/>
      <c r="L49" s="91"/>
      <c r="M49" s="438"/>
      <c r="N49" s="439"/>
      <c r="O49" s="439"/>
      <c r="P49" s="439"/>
      <c r="Q49" s="457"/>
      <c r="R49" s="346"/>
    </row>
    <row r="50" spans="1:18" x14ac:dyDescent="0.35">
      <c r="C50" s="212"/>
      <c r="D50" s="1528"/>
      <c r="E50" s="1533"/>
      <c r="F50" s="1533"/>
      <c r="G50" s="1533"/>
      <c r="H50" s="1533"/>
      <c r="I50" s="1533"/>
      <c r="J50" s="1529"/>
      <c r="K50" s="91"/>
      <c r="L50" s="91"/>
      <c r="M50" s="438"/>
      <c r="N50" s="439"/>
      <c r="O50" s="439"/>
      <c r="P50" s="439"/>
      <c r="Q50" s="457"/>
      <c r="R50" s="346"/>
    </row>
    <row r="51" spans="1:18" x14ac:dyDescent="0.35">
      <c r="C51" s="212"/>
      <c r="D51" s="1530"/>
      <c r="E51" s="1534"/>
      <c r="F51" s="1534"/>
      <c r="G51" s="1534"/>
      <c r="H51" s="1534"/>
      <c r="I51" s="1534"/>
      <c r="J51" s="1531"/>
      <c r="K51" s="91"/>
      <c r="L51" s="91"/>
      <c r="M51" s="438"/>
      <c r="N51" s="439"/>
      <c r="O51" s="439"/>
      <c r="P51" s="439"/>
      <c r="Q51" s="457"/>
      <c r="R51" s="346"/>
    </row>
    <row r="52" spans="1:18" x14ac:dyDescent="0.35">
      <c r="C52" s="212"/>
      <c r="D52" s="17"/>
      <c r="E52" s="17"/>
      <c r="F52" s="17"/>
      <c r="G52" s="110"/>
      <c r="H52" s="110"/>
      <c r="I52" s="110"/>
      <c r="J52" s="91"/>
      <c r="K52" s="91"/>
      <c r="L52" s="91"/>
      <c r="M52" s="16"/>
      <c r="N52" s="110"/>
      <c r="O52" s="110"/>
      <c r="P52" s="110"/>
      <c r="Q52" s="440"/>
      <c r="R52" s="346"/>
    </row>
    <row r="53" spans="1:18" ht="28" customHeight="1" x14ac:dyDescent="0.35">
      <c r="C53" s="212"/>
      <c r="D53" s="476" t="s">
        <v>1913</v>
      </c>
      <c r="E53" s="1569" t="str">
        <f>$F$16</f>
        <v>-Velg-</v>
      </c>
      <c r="F53" s="1570"/>
      <c r="G53" s="1570"/>
      <c r="H53" s="1570"/>
      <c r="I53" s="1570"/>
      <c r="J53" s="1570"/>
      <c r="K53" s="1571"/>
      <c r="L53" s="91"/>
      <c r="M53" s="16"/>
      <c r="N53" s="91"/>
      <c r="O53" s="91"/>
      <c r="P53" s="91"/>
      <c r="Q53" s="441"/>
      <c r="R53" s="346"/>
    </row>
    <row r="54" spans="1:18" ht="28.5" customHeight="1" x14ac:dyDescent="0.35">
      <c r="C54" s="212"/>
      <c r="D54" s="471" t="str">
        <f>"Opprinnelig NNV ved: " &amp; CHAR(10) &amp; Opprinnelig_verdi_parameter1</f>
        <v xml:space="preserve">Opprinnelig NNV ved: 
</v>
      </c>
      <c r="E54" s="494"/>
      <c r="F54" s="495"/>
      <c r="G54" s="495"/>
      <c r="H54" s="495"/>
      <c r="I54" s="495"/>
      <c r="J54" s="495"/>
      <c r="K54" s="495"/>
      <c r="L54" s="91"/>
      <c r="M54" s="16"/>
      <c r="N54" s="91"/>
      <c r="O54" s="91"/>
      <c r="P54" s="91"/>
      <c r="Q54" s="441"/>
      <c r="R54" s="346"/>
    </row>
    <row r="55" spans="1:18" x14ac:dyDescent="0.35">
      <c r="C55" s="212"/>
      <c r="D55" s="490"/>
      <c r="E55" s="491"/>
      <c r="F55" s="492"/>
      <c r="G55" s="492"/>
      <c r="H55" s="492"/>
      <c r="I55" s="492"/>
      <c r="J55" s="492"/>
      <c r="K55" s="492"/>
      <c r="L55" s="91"/>
      <c r="M55" s="16"/>
      <c r="N55" s="91"/>
      <c r="O55" s="91"/>
      <c r="P55" s="91"/>
      <c r="Q55" s="441"/>
      <c r="R55" s="346"/>
    </row>
    <row r="56" spans="1:18" x14ac:dyDescent="0.35">
      <c r="C56" s="212"/>
      <c r="D56" s="462" t="s">
        <v>1914</v>
      </c>
      <c r="E56" s="464" t="str">
        <f t="shared" ref="E56:K56" si="0">IF(Opprinnelig_NNV_parameter1="","",(E55-Opprinnelig_NNV_parameter1)/ABS(Opprinnelig_NNV_parameter1))</f>
        <v/>
      </c>
      <c r="F56" s="464" t="str">
        <f t="shared" si="0"/>
        <v/>
      </c>
      <c r="G56" s="464" t="str">
        <f t="shared" si="0"/>
        <v/>
      </c>
      <c r="H56" s="464" t="str">
        <f t="shared" si="0"/>
        <v/>
      </c>
      <c r="I56" s="464" t="str">
        <f t="shared" si="0"/>
        <v/>
      </c>
      <c r="J56" s="464" t="str">
        <f t="shared" si="0"/>
        <v/>
      </c>
      <c r="K56" s="464" t="str">
        <f t="shared" si="0"/>
        <v/>
      </c>
      <c r="L56" s="91"/>
      <c r="M56" s="16"/>
      <c r="N56" s="91"/>
      <c r="O56" s="91"/>
      <c r="P56" s="91"/>
      <c r="Q56" s="441"/>
      <c r="R56" s="346"/>
    </row>
    <row r="57" spans="1:18" x14ac:dyDescent="0.35">
      <c r="C57" s="212"/>
      <c r="D57" s="17"/>
      <c r="E57" s="17"/>
      <c r="F57" s="17"/>
      <c r="G57" s="91"/>
      <c r="H57" s="91"/>
      <c r="I57" s="91"/>
      <c r="J57" s="91"/>
      <c r="K57" s="91"/>
      <c r="L57" s="91"/>
      <c r="M57" s="16"/>
      <c r="N57" s="91"/>
      <c r="O57" s="91"/>
      <c r="P57" s="91"/>
      <c r="Q57" s="441"/>
      <c r="R57" s="346"/>
    </row>
    <row r="58" spans="1:18" ht="28" customHeight="1" x14ac:dyDescent="0.35">
      <c r="C58" s="212"/>
      <c r="D58" s="477" t="s">
        <v>1915</v>
      </c>
      <c r="E58" s="1569" t="str">
        <f>$F$16</f>
        <v>-Velg-</v>
      </c>
      <c r="F58" s="1570"/>
      <c r="G58" s="1570"/>
      <c r="H58" s="1570"/>
      <c r="I58" s="1570"/>
      <c r="J58" s="1570"/>
      <c r="K58" s="1571"/>
      <c r="L58" s="91"/>
      <c r="M58" s="16"/>
      <c r="N58" s="91"/>
      <c r="O58" s="91"/>
      <c r="P58" s="91"/>
      <c r="Q58" s="441"/>
      <c r="R58" s="346"/>
    </row>
    <row r="59" spans="1:18" ht="29" x14ac:dyDescent="0.35">
      <c r="C59" s="212"/>
      <c r="D59" s="472" t="str">
        <f>"Opprinnelig NNB ved: " &amp; CHAR(10) &amp; Opprinnelig_verdi_parameter1</f>
        <v xml:space="preserve">Opprinnelig NNB ved: 
</v>
      </c>
      <c r="E59" s="494"/>
      <c r="F59" s="495"/>
      <c r="G59" s="495"/>
      <c r="H59" s="495"/>
      <c r="I59" s="495"/>
      <c r="J59" s="495"/>
      <c r="K59" s="495"/>
      <c r="L59" s="470"/>
      <c r="M59" s="16"/>
      <c r="N59" s="91"/>
      <c r="O59" s="91"/>
      <c r="P59" s="91"/>
      <c r="Q59" s="441"/>
      <c r="R59" s="346"/>
    </row>
    <row r="60" spans="1:18" x14ac:dyDescent="0.35">
      <c r="C60" s="212"/>
      <c r="D60" s="474"/>
      <c r="E60" s="468"/>
      <c r="F60" s="469"/>
      <c r="G60" s="469"/>
      <c r="H60" s="469"/>
      <c r="I60" s="469"/>
      <c r="J60" s="469"/>
      <c r="K60" s="467"/>
      <c r="L60" s="91"/>
      <c r="M60" s="16"/>
      <c r="N60" s="91"/>
      <c r="O60" s="91"/>
      <c r="P60" s="91"/>
      <c r="Q60" s="441"/>
      <c r="R60" s="346"/>
    </row>
    <row r="61" spans="1:18" x14ac:dyDescent="0.35">
      <c r="C61" s="212"/>
      <c r="D61" s="475" t="s">
        <v>1916</v>
      </c>
      <c r="E61" s="464" t="str">
        <f t="shared" ref="E61:K61" si="1">IF(Opprinnelig_NNB_parameter1="","",(E60-Opprinnelig_NNB_parameter1)/ABS(Opprinnelig_NNB_parameter1))</f>
        <v/>
      </c>
      <c r="F61" s="464" t="str">
        <f t="shared" si="1"/>
        <v/>
      </c>
      <c r="G61" s="464" t="str">
        <f t="shared" si="1"/>
        <v/>
      </c>
      <c r="H61" s="464" t="str">
        <f t="shared" si="1"/>
        <v/>
      </c>
      <c r="I61" s="464" t="str">
        <f t="shared" si="1"/>
        <v/>
      </c>
      <c r="J61" s="464" t="str">
        <f t="shared" si="1"/>
        <v/>
      </c>
      <c r="K61" s="464" t="str">
        <f t="shared" si="1"/>
        <v/>
      </c>
      <c r="L61" s="91"/>
      <c r="M61" s="16"/>
      <c r="N61" s="91"/>
      <c r="O61" s="91"/>
      <c r="P61" s="91"/>
      <c r="Q61" s="441"/>
      <c r="R61" s="346"/>
    </row>
    <row r="62" spans="1:18" x14ac:dyDescent="0.35">
      <c r="C62" s="212"/>
      <c r="D62" s="17"/>
      <c r="E62" s="17"/>
      <c r="F62" s="17"/>
      <c r="G62" s="91"/>
      <c r="H62" s="91"/>
      <c r="I62" s="91"/>
      <c r="J62" s="91"/>
      <c r="K62" s="91"/>
      <c r="L62" s="91"/>
      <c r="M62" s="16"/>
      <c r="N62" s="91"/>
      <c r="O62" s="91"/>
      <c r="P62" s="91"/>
      <c r="Q62" s="441"/>
      <c r="R62" s="346"/>
    </row>
    <row r="63" spans="1:18" x14ac:dyDescent="0.35">
      <c r="C63" s="212"/>
      <c r="D63" s="477" t="s">
        <v>1899</v>
      </c>
      <c r="E63" s="17"/>
      <c r="F63" s="17"/>
      <c r="G63" s="91"/>
      <c r="H63" s="91"/>
      <c r="I63" s="91"/>
      <c r="J63" s="91"/>
      <c r="K63" s="91"/>
      <c r="L63" s="91"/>
      <c r="M63" s="16"/>
      <c r="N63" s="91"/>
      <c r="O63" s="91"/>
      <c r="P63" s="91"/>
      <c r="Q63" s="441"/>
      <c r="R63" s="346"/>
    </row>
    <row r="64" spans="1:18" x14ac:dyDescent="0.35">
      <c r="A64" s="6"/>
      <c r="C64" s="212"/>
      <c r="D64" s="480"/>
      <c r="E64" s="17"/>
      <c r="F64" s="17"/>
      <c r="G64" s="91"/>
      <c r="H64" s="91"/>
      <c r="I64" s="91"/>
      <c r="J64" s="91"/>
      <c r="K64" s="91"/>
      <c r="L64" s="91"/>
      <c r="M64" s="442"/>
      <c r="N64" s="19"/>
      <c r="O64" s="19"/>
      <c r="P64" s="19"/>
      <c r="Q64" s="443"/>
      <c r="R64" s="346"/>
    </row>
    <row r="65" spans="3:18" ht="15" thickBot="1" x14ac:dyDescent="0.4">
      <c r="C65" s="252"/>
      <c r="D65" s="301"/>
      <c r="E65" s="301"/>
      <c r="F65" s="301"/>
      <c r="G65" s="301"/>
      <c r="H65" s="301"/>
      <c r="I65" s="301"/>
      <c r="J65" s="301"/>
      <c r="K65" s="359"/>
      <c r="L65" s="359"/>
      <c r="M65" s="359"/>
      <c r="N65" s="301"/>
      <c r="O65" s="301"/>
      <c r="P65" s="301"/>
      <c r="Q65" s="301"/>
      <c r="R65" s="459"/>
    </row>
    <row r="66" spans="3:18" ht="15" thickBot="1" x14ac:dyDescent="0.4"/>
    <row r="67" spans="3:18" ht="21" x14ac:dyDescent="0.5">
      <c r="C67" s="481"/>
      <c r="D67" s="487" t="s">
        <v>1910</v>
      </c>
      <c r="E67" s="487" t="str">
        <f>IF(parameter2_sens="-Velg-","",parameter2_sens)</f>
        <v/>
      </c>
      <c r="F67" s="482"/>
      <c r="G67" s="482"/>
      <c r="H67" s="482"/>
      <c r="I67" s="482"/>
      <c r="J67" s="482"/>
      <c r="K67" s="482"/>
      <c r="L67" s="482"/>
      <c r="M67" s="482"/>
      <c r="N67" s="482"/>
      <c r="O67" s="482"/>
      <c r="P67" s="482"/>
      <c r="Q67" s="482"/>
      <c r="R67" s="483"/>
    </row>
    <row r="68" spans="3:18" x14ac:dyDescent="0.35">
      <c r="C68" s="484"/>
      <c r="D68" s="485"/>
      <c r="E68" s="485"/>
      <c r="F68" s="485"/>
      <c r="G68" s="485"/>
      <c r="H68" s="485"/>
      <c r="I68" s="485"/>
      <c r="J68" s="485"/>
      <c r="K68" s="485"/>
      <c r="L68" s="485"/>
      <c r="M68" s="485"/>
      <c r="N68" s="485"/>
      <c r="O68" s="485"/>
      <c r="P68" s="485"/>
      <c r="Q68" s="485"/>
      <c r="R68" s="486"/>
    </row>
    <row r="69" spans="3:18" x14ac:dyDescent="0.35">
      <c r="C69" s="212"/>
      <c r="D69" s="17"/>
      <c r="E69" s="17"/>
      <c r="F69" s="17"/>
      <c r="G69" s="17"/>
      <c r="H69" s="17"/>
      <c r="I69" s="17"/>
      <c r="J69" s="17"/>
      <c r="K69" s="17"/>
      <c r="L69" s="17"/>
      <c r="M69" s="17"/>
      <c r="N69" s="17"/>
      <c r="O69" s="17"/>
      <c r="P69" s="17"/>
      <c r="Q69" s="17"/>
      <c r="R69" s="213"/>
    </row>
    <row r="70" spans="3:18" x14ac:dyDescent="0.35">
      <c r="C70" s="212"/>
      <c r="D70" s="1538" t="s">
        <v>1911</v>
      </c>
      <c r="E70" s="1539"/>
      <c r="F70" s="1539"/>
      <c r="G70" s="1539"/>
      <c r="H70" s="1539"/>
      <c r="I70" s="1539"/>
      <c r="J70" s="1540"/>
      <c r="K70" s="91"/>
      <c r="L70" s="91"/>
      <c r="M70" s="1575" t="str">
        <f>parameter2_sens</f>
        <v>-Velg-</v>
      </c>
      <c r="N70" s="1576"/>
      <c r="O70" s="1576"/>
      <c r="P70" s="1576"/>
      <c r="Q70" s="1577"/>
      <c r="R70" s="346"/>
    </row>
    <row r="71" spans="3:18" x14ac:dyDescent="0.35">
      <c r="C71" s="212"/>
      <c r="D71" s="1575" t="str">
        <f>parameter2_sens</f>
        <v>-Velg-</v>
      </c>
      <c r="E71" s="1576"/>
      <c r="F71" s="1576"/>
      <c r="G71" s="1576"/>
      <c r="H71" s="1576"/>
      <c r="I71" s="1576"/>
      <c r="J71" s="1577"/>
      <c r="K71" s="91"/>
      <c r="L71" s="91"/>
      <c r="M71" s="1572" t="s">
        <v>1912</v>
      </c>
      <c r="N71" s="1573"/>
      <c r="O71" s="1573"/>
      <c r="P71" s="1573"/>
      <c r="Q71" s="1574"/>
      <c r="R71" s="346"/>
    </row>
    <row r="72" spans="3:18" x14ac:dyDescent="0.35">
      <c r="C72" s="212"/>
      <c r="D72" s="1526" t="str">
        <f>IF(Hypotese_parameter2="","",Hypotese_parameter2)</f>
        <v>[Beskriv hvorfor følsomhetsanalyse av den/de valgte variabelen(e) er relevant for analysen, og hvorfor de valgte verdiene kan være mulige utfall]</v>
      </c>
      <c r="E72" s="1532"/>
      <c r="F72" s="1532"/>
      <c r="G72" s="1532"/>
      <c r="H72" s="1532"/>
      <c r="I72" s="1532"/>
      <c r="J72" s="1527"/>
      <c r="K72" s="91"/>
      <c r="L72" s="91"/>
      <c r="M72" s="438"/>
      <c r="N72" s="439"/>
      <c r="O72" s="439"/>
      <c r="P72" s="439"/>
      <c r="Q72" s="457"/>
      <c r="R72" s="346"/>
    </row>
    <row r="73" spans="3:18" x14ac:dyDescent="0.35">
      <c r="C73" s="212"/>
      <c r="D73" s="1528"/>
      <c r="E73" s="1533"/>
      <c r="F73" s="1533"/>
      <c r="G73" s="1533"/>
      <c r="H73" s="1533"/>
      <c r="I73" s="1533"/>
      <c r="J73" s="1529"/>
      <c r="K73" s="91"/>
      <c r="L73" s="91"/>
      <c r="M73" s="438"/>
      <c r="N73" s="439"/>
      <c r="O73" s="439"/>
      <c r="P73" s="439"/>
      <c r="Q73" s="457"/>
      <c r="R73" s="346"/>
    </row>
    <row r="74" spans="3:18" x14ac:dyDescent="0.35">
      <c r="C74" s="212"/>
      <c r="D74" s="1528"/>
      <c r="E74" s="1533"/>
      <c r="F74" s="1533"/>
      <c r="G74" s="1533"/>
      <c r="H74" s="1533"/>
      <c r="I74" s="1533"/>
      <c r="J74" s="1529"/>
      <c r="K74" s="91"/>
      <c r="L74" s="91"/>
      <c r="M74" s="438"/>
      <c r="N74" s="439"/>
      <c r="O74" s="439"/>
      <c r="P74" s="439"/>
      <c r="Q74" s="457"/>
      <c r="R74" s="346"/>
    </row>
    <row r="75" spans="3:18" x14ac:dyDescent="0.35">
      <c r="C75" s="212"/>
      <c r="D75" s="1530"/>
      <c r="E75" s="1534"/>
      <c r="F75" s="1534"/>
      <c r="G75" s="1534"/>
      <c r="H75" s="1534"/>
      <c r="I75" s="1534"/>
      <c r="J75" s="1531"/>
      <c r="K75" s="91"/>
      <c r="L75" s="91"/>
      <c r="M75" s="438"/>
      <c r="N75" s="439"/>
      <c r="O75" s="439"/>
      <c r="P75" s="439"/>
      <c r="Q75" s="457"/>
      <c r="R75" s="346"/>
    </row>
    <row r="76" spans="3:18" x14ac:dyDescent="0.35">
      <c r="C76" s="212"/>
      <c r="D76" s="17"/>
      <c r="E76" s="17"/>
      <c r="F76" s="17"/>
      <c r="G76" s="110"/>
      <c r="H76" s="110"/>
      <c r="I76" s="110"/>
      <c r="J76" s="91"/>
      <c r="K76" s="91"/>
      <c r="L76" s="91"/>
      <c r="M76" s="16"/>
      <c r="N76" s="110"/>
      <c r="O76" s="110"/>
      <c r="P76" s="110"/>
      <c r="Q76" s="440"/>
      <c r="R76" s="346"/>
    </row>
    <row r="77" spans="3:18" ht="28" customHeight="1" x14ac:dyDescent="0.35">
      <c r="C77" s="212"/>
      <c r="D77" s="476" t="s">
        <v>1913</v>
      </c>
      <c r="E77" s="1569" t="str">
        <f>$I$16</f>
        <v>-Velg-</v>
      </c>
      <c r="F77" s="1570"/>
      <c r="G77" s="1570"/>
      <c r="H77" s="1570"/>
      <c r="I77" s="1570"/>
      <c r="J77" s="1570"/>
      <c r="K77" s="1571"/>
      <c r="L77" s="91"/>
      <c r="M77" s="16"/>
      <c r="N77" s="91"/>
      <c r="O77" s="91"/>
      <c r="P77" s="91"/>
      <c r="Q77" s="441"/>
      <c r="R77" s="346"/>
    </row>
    <row r="78" spans="3:18" ht="29" x14ac:dyDescent="0.35">
      <c r="C78" s="212"/>
      <c r="D78" s="471" t="str">
        <f>"Opprinnelig NNV ved: " &amp; CHAR(10) &amp; Opprinnelig_verdi_parameter2</f>
        <v xml:space="preserve">Opprinnelig NNV ved: 
</v>
      </c>
      <c r="E78" s="15"/>
      <c r="F78" s="15"/>
      <c r="G78" s="15"/>
      <c r="H78" s="15"/>
      <c r="I78" s="15"/>
      <c r="J78" s="15"/>
      <c r="K78" s="15"/>
      <c r="L78" s="91"/>
      <c r="M78" s="16"/>
      <c r="N78" s="91"/>
      <c r="O78" s="91"/>
      <c r="P78" s="91"/>
      <c r="Q78" s="441"/>
      <c r="R78" s="346"/>
    </row>
    <row r="79" spans="3:18" x14ac:dyDescent="0.35">
      <c r="C79" s="212"/>
      <c r="D79" s="473"/>
      <c r="E79" s="467"/>
      <c r="F79" s="467"/>
      <c r="G79" s="467"/>
      <c r="H79" s="467"/>
      <c r="I79" s="467"/>
      <c r="J79" s="467"/>
      <c r="K79" s="467"/>
      <c r="L79" s="91"/>
      <c r="M79" s="16"/>
      <c r="N79" s="91"/>
      <c r="O79" s="91"/>
      <c r="P79" s="91"/>
      <c r="Q79" s="441"/>
      <c r="R79" s="346"/>
    </row>
    <row r="80" spans="3:18" x14ac:dyDescent="0.35">
      <c r="C80" s="212"/>
      <c r="D80" s="462" t="s">
        <v>1914</v>
      </c>
      <c r="E80" s="464" t="str">
        <f t="shared" ref="E80:K80" si="2">IF(Opprinnelig_NNV_parameter2="","",(E79-Opprinnelig_NNV_parameter2)/ABS(Opprinnelig_NNV_parameter2))</f>
        <v/>
      </c>
      <c r="F80" s="464" t="str">
        <f t="shared" si="2"/>
        <v/>
      </c>
      <c r="G80" s="464" t="str">
        <f t="shared" si="2"/>
        <v/>
      </c>
      <c r="H80" s="464" t="str">
        <f t="shared" si="2"/>
        <v/>
      </c>
      <c r="I80" s="464" t="str">
        <f t="shared" si="2"/>
        <v/>
      </c>
      <c r="J80" s="464" t="str">
        <f t="shared" si="2"/>
        <v/>
      </c>
      <c r="K80" s="464" t="str">
        <f t="shared" si="2"/>
        <v/>
      </c>
      <c r="L80" s="91"/>
      <c r="M80" s="16"/>
      <c r="N80" s="91"/>
      <c r="O80" s="91"/>
      <c r="P80" s="91"/>
      <c r="Q80" s="441"/>
      <c r="R80" s="346"/>
    </row>
    <row r="81" spans="3:18" x14ac:dyDescent="0.35">
      <c r="C81" s="212"/>
      <c r="D81" s="17"/>
      <c r="E81" s="17"/>
      <c r="F81" s="17"/>
      <c r="G81" s="91"/>
      <c r="H81" s="91"/>
      <c r="I81" s="91"/>
      <c r="J81" s="91"/>
      <c r="K81" s="91"/>
      <c r="L81" s="91"/>
      <c r="M81" s="16"/>
      <c r="N81" s="91"/>
      <c r="O81" s="91"/>
      <c r="P81" s="91"/>
      <c r="Q81" s="441"/>
      <c r="R81" s="346"/>
    </row>
    <row r="82" spans="3:18" ht="28" customHeight="1" x14ac:dyDescent="0.35">
      <c r="C82" s="212"/>
      <c r="D82" s="477" t="s">
        <v>1915</v>
      </c>
      <c r="E82" s="1569" t="str">
        <f>$I$16</f>
        <v>-Velg-</v>
      </c>
      <c r="F82" s="1570"/>
      <c r="G82" s="1570"/>
      <c r="H82" s="1570"/>
      <c r="I82" s="1570"/>
      <c r="J82" s="1570"/>
      <c r="K82" s="1571"/>
      <c r="L82" s="91"/>
      <c r="M82" s="16"/>
      <c r="N82" s="91"/>
      <c r="O82" s="91"/>
      <c r="P82" s="91"/>
      <c r="Q82" s="441"/>
      <c r="R82" s="346"/>
    </row>
    <row r="83" spans="3:18" ht="29" x14ac:dyDescent="0.35">
      <c r="C83" s="212"/>
      <c r="D83" s="471" t="str">
        <f>"Opprinnelig NNB ved: " &amp; CHAR(10) &amp; Opprinnelig_verdi_parameter2</f>
        <v xml:space="preserve">Opprinnelig NNB ved: 
</v>
      </c>
      <c r="E83" s="496"/>
      <c r="F83" s="497"/>
      <c r="G83" s="497"/>
      <c r="H83" s="497"/>
      <c r="I83" s="497"/>
      <c r="J83" s="497"/>
      <c r="K83" s="497"/>
      <c r="L83" s="91"/>
      <c r="M83" s="16"/>
      <c r="N83" s="91"/>
      <c r="O83" s="91"/>
      <c r="P83" s="91"/>
      <c r="Q83" s="441"/>
      <c r="R83" s="346"/>
    </row>
    <row r="84" spans="3:18" x14ac:dyDescent="0.35">
      <c r="C84" s="212"/>
      <c r="D84" s="474"/>
      <c r="E84" s="468"/>
      <c r="F84" s="469"/>
      <c r="G84" s="469"/>
      <c r="H84" s="469"/>
      <c r="I84" s="469"/>
      <c r="J84" s="469"/>
      <c r="K84" s="469"/>
      <c r="L84" s="91"/>
      <c r="M84" s="16"/>
      <c r="N84" s="91"/>
      <c r="O84" s="91"/>
      <c r="P84" s="91"/>
      <c r="Q84" s="441"/>
      <c r="R84" s="346"/>
    </row>
    <row r="85" spans="3:18" x14ac:dyDescent="0.35">
      <c r="C85" s="212"/>
      <c r="D85" s="475" t="s">
        <v>1916</v>
      </c>
      <c r="E85" s="464" t="str">
        <f t="shared" ref="E85:K85" si="3">IF(Opprinnelig_NNB_parameter2="","",(E84-Opprinnelig_NNB_parameter2)/ABS(Opprinnelig_NNB_parameter2))</f>
        <v/>
      </c>
      <c r="F85" s="464" t="str">
        <f t="shared" si="3"/>
        <v/>
      </c>
      <c r="G85" s="464" t="str">
        <f t="shared" si="3"/>
        <v/>
      </c>
      <c r="H85" s="464" t="str">
        <f t="shared" si="3"/>
        <v/>
      </c>
      <c r="I85" s="464" t="str">
        <f t="shared" si="3"/>
        <v/>
      </c>
      <c r="J85" s="464" t="str">
        <f t="shared" si="3"/>
        <v/>
      </c>
      <c r="K85" s="464" t="str">
        <f t="shared" si="3"/>
        <v/>
      </c>
      <c r="L85" s="91"/>
      <c r="M85" s="16"/>
      <c r="N85" s="91"/>
      <c r="O85" s="91"/>
      <c r="P85" s="91"/>
      <c r="Q85" s="441"/>
      <c r="R85" s="346"/>
    </row>
    <row r="86" spans="3:18" x14ac:dyDescent="0.35">
      <c r="C86" s="212"/>
      <c r="D86" s="17"/>
      <c r="E86" s="17"/>
      <c r="F86" s="17"/>
      <c r="G86" s="91"/>
      <c r="H86" s="91"/>
      <c r="I86" s="91"/>
      <c r="J86" s="91"/>
      <c r="K86" s="91"/>
      <c r="L86" s="91"/>
      <c r="M86" s="16"/>
      <c r="N86" s="91"/>
      <c r="O86" s="91"/>
      <c r="P86" s="91"/>
      <c r="Q86" s="441"/>
      <c r="R86" s="346"/>
    </row>
    <row r="87" spans="3:18" x14ac:dyDescent="0.35">
      <c r="C87" s="212"/>
      <c r="D87" s="477" t="s">
        <v>1899</v>
      </c>
      <c r="E87" s="17"/>
      <c r="F87" s="17"/>
      <c r="G87" s="91"/>
      <c r="H87" s="91"/>
      <c r="I87" s="91"/>
      <c r="J87" s="91"/>
      <c r="K87" s="91"/>
      <c r="L87" s="91"/>
      <c r="M87" s="16"/>
      <c r="N87" s="91"/>
      <c r="O87" s="91"/>
      <c r="P87" s="91"/>
      <c r="Q87" s="441"/>
      <c r="R87" s="346"/>
    </row>
    <row r="88" spans="3:18" x14ac:dyDescent="0.35">
      <c r="C88" s="212"/>
      <c r="D88" s="480"/>
      <c r="E88" s="17"/>
      <c r="F88" s="17"/>
      <c r="G88" s="91"/>
      <c r="H88" s="91"/>
      <c r="I88" s="91"/>
      <c r="J88" s="91"/>
      <c r="K88" s="91"/>
      <c r="L88" s="91"/>
      <c r="M88" s="442"/>
      <c r="N88" s="19"/>
      <c r="O88" s="19"/>
      <c r="P88" s="19"/>
      <c r="Q88" s="443"/>
      <c r="R88" s="346"/>
    </row>
    <row r="89" spans="3:18" ht="15" thickBot="1" x14ac:dyDescent="0.4">
      <c r="C89" s="252"/>
      <c r="D89" s="301"/>
      <c r="E89" s="301"/>
      <c r="F89" s="301"/>
      <c r="G89" s="301"/>
      <c r="H89" s="301"/>
      <c r="I89" s="301"/>
      <c r="J89" s="301"/>
      <c r="K89" s="359"/>
      <c r="L89" s="359"/>
      <c r="M89" s="359"/>
      <c r="N89" s="301"/>
      <c r="O89" s="301"/>
      <c r="P89" s="301"/>
      <c r="Q89" s="301"/>
      <c r="R89" s="459"/>
    </row>
    <row r="90" spans="3:18" ht="15" thickBot="1" x14ac:dyDescent="0.4"/>
    <row r="91" spans="3:18" ht="21" x14ac:dyDescent="0.5">
      <c r="C91" s="481"/>
      <c r="D91" s="487" t="s">
        <v>1917</v>
      </c>
      <c r="E91" s="487"/>
      <c r="F91" s="488"/>
      <c r="G91" s="488"/>
      <c r="H91" s="488"/>
      <c r="I91" s="488"/>
      <c r="J91" s="487" t="str">
        <f>IF(parameter1_sens="-Velg-","",parameter1_sens )&amp;IF(parameter2_sens="-Velg-",""," og "&amp;parameter2_sens)</f>
        <v/>
      </c>
      <c r="K91" s="487"/>
      <c r="L91" s="488"/>
      <c r="M91" s="488"/>
      <c r="N91" s="489"/>
      <c r="O91" s="487"/>
      <c r="P91" s="487"/>
      <c r="Q91" s="487"/>
      <c r="R91" s="483"/>
    </row>
    <row r="92" spans="3:18" ht="21" x14ac:dyDescent="0.5">
      <c r="C92" s="484"/>
      <c r="D92" s="485"/>
      <c r="E92" s="485"/>
      <c r="F92" s="485"/>
      <c r="G92" s="485"/>
      <c r="H92" s="485"/>
      <c r="I92" s="493"/>
      <c r="J92" s="493"/>
      <c r="K92" s="485"/>
      <c r="L92" s="485"/>
      <c r="M92" s="485"/>
      <c r="N92" s="485"/>
      <c r="O92" s="485"/>
      <c r="P92" s="485"/>
      <c r="Q92" s="485"/>
      <c r="R92" s="486"/>
    </row>
    <row r="93" spans="3:18" x14ac:dyDescent="0.35">
      <c r="C93" s="212"/>
      <c r="D93" s="17"/>
      <c r="E93" s="17"/>
      <c r="F93" s="17"/>
      <c r="G93" s="17"/>
      <c r="H93" s="17"/>
      <c r="I93" s="17"/>
      <c r="J93" s="17"/>
      <c r="K93" s="17"/>
      <c r="L93" s="17"/>
      <c r="M93" s="17"/>
      <c r="N93" s="17"/>
      <c r="O93" s="17"/>
      <c r="P93" s="17"/>
      <c r="Q93" s="17"/>
      <c r="R93" s="213"/>
    </row>
    <row r="94" spans="3:18" x14ac:dyDescent="0.35">
      <c r="C94" s="212"/>
      <c r="D94" s="1538" t="s">
        <v>1911</v>
      </c>
      <c r="E94" s="1539"/>
      <c r="F94" s="1539"/>
      <c r="G94" s="1539"/>
      <c r="H94" s="1539"/>
      <c r="I94" s="1540"/>
      <c r="J94" s="91"/>
      <c r="K94" s="91"/>
      <c r="L94" s="91"/>
      <c r="M94" s="17"/>
      <c r="N94" s="17"/>
      <c r="O94" s="17"/>
      <c r="P94" s="23"/>
      <c r="Q94" s="23"/>
      <c r="R94" s="376"/>
    </row>
    <row r="95" spans="3:18" ht="29.15" customHeight="1" x14ac:dyDescent="0.35">
      <c r="C95" s="212"/>
      <c r="D95" s="1535" t="str">
        <f>parameter1_sens</f>
        <v>-Velg-</v>
      </c>
      <c r="E95" s="1537"/>
      <c r="F95" s="1535" t="str">
        <f>parameter2_sens</f>
        <v>-Velg-</v>
      </c>
      <c r="G95" s="1536"/>
      <c r="H95" s="1536"/>
      <c r="I95" s="1537"/>
      <c r="J95" s="91"/>
      <c r="K95" s="91"/>
      <c r="L95" s="91"/>
      <c r="M95" s="450"/>
      <c r="N95" s="450"/>
      <c r="O95" s="450"/>
      <c r="P95" s="451"/>
      <c r="Q95" s="451"/>
      <c r="R95" s="452"/>
    </row>
    <row r="96" spans="3:18" ht="14.5" customHeight="1" x14ac:dyDescent="0.35">
      <c r="C96" s="212"/>
      <c r="D96" s="1526" t="str">
        <f>IF(Hypotese_parameter1="","",Hypotese_parameter1)</f>
        <v>[Beskriv hvorfor følsomhetsanalyse av den/de valgte variabelen(e) er relevant for analysen, og hvorfor de valgte verdiene kan være mulige utfall]</v>
      </c>
      <c r="E96" s="1527"/>
      <c r="F96" s="1526" t="str">
        <f>IF(Hypotese_parameter2="","",Hypotese_parameter2)</f>
        <v>[Beskriv hvorfor følsomhetsanalyse av den/de valgte variabelen(e) er relevant for analysen, og hvorfor de valgte verdiene kan være mulige utfall]</v>
      </c>
      <c r="G96" s="1532"/>
      <c r="H96" s="1532"/>
      <c r="I96" s="1527"/>
      <c r="J96" s="91"/>
      <c r="K96" s="91"/>
      <c r="L96" s="91"/>
      <c r="M96" s="439"/>
      <c r="N96" s="439"/>
      <c r="O96" s="439"/>
      <c r="P96" s="439"/>
      <c r="Q96" s="439"/>
      <c r="R96" s="458"/>
    </row>
    <row r="97" spans="3:18" x14ac:dyDescent="0.35">
      <c r="C97" s="212"/>
      <c r="D97" s="1528"/>
      <c r="E97" s="1529"/>
      <c r="F97" s="1528"/>
      <c r="G97" s="1533"/>
      <c r="H97" s="1533"/>
      <c r="I97" s="1529"/>
      <c r="J97" s="91"/>
      <c r="K97" s="91"/>
      <c r="L97" s="91"/>
      <c r="M97" s="439"/>
      <c r="N97" s="439"/>
      <c r="O97" s="439"/>
      <c r="P97" s="439"/>
      <c r="Q97" s="439"/>
      <c r="R97" s="458"/>
    </row>
    <row r="98" spans="3:18" x14ac:dyDescent="0.35">
      <c r="C98" s="212"/>
      <c r="D98" s="1528"/>
      <c r="E98" s="1529"/>
      <c r="F98" s="1528"/>
      <c r="G98" s="1533"/>
      <c r="H98" s="1533"/>
      <c r="I98" s="1529"/>
      <c r="J98" s="91"/>
      <c r="K98" s="91"/>
      <c r="L98" s="91"/>
      <c r="M98" s="439"/>
      <c r="N98" s="439"/>
      <c r="O98" s="439"/>
      <c r="P98" s="439"/>
      <c r="Q98" s="439"/>
      <c r="R98" s="458"/>
    </row>
    <row r="99" spans="3:18" x14ac:dyDescent="0.35">
      <c r="C99" s="212"/>
      <c r="D99" s="1530"/>
      <c r="E99" s="1531"/>
      <c r="F99" s="1530"/>
      <c r="G99" s="1534"/>
      <c r="H99" s="1534"/>
      <c r="I99" s="1531"/>
      <c r="J99" s="91"/>
      <c r="K99" s="91"/>
      <c r="L99" s="91"/>
      <c r="M99" s="439"/>
      <c r="N99" s="439"/>
      <c r="O99" s="439"/>
      <c r="P99" s="439"/>
      <c r="Q99" s="439"/>
      <c r="R99" s="458"/>
    </row>
    <row r="100" spans="3:18" x14ac:dyDescent="0.35">
      <c r="C100" s="212"/>
      <c r="D100" s="17"/>
      <c r="E100" s="17"/>
      <c r="F100" s="17"/>
      <c r="G100" s="110"/>
      <c r="H100" s="110"/>
      <c r="I100" s="110"/>
      <c r="J100" s="91"/>
      <c r="K100" s="91"/>
      <c r="L100" s="91"/>
      <c r="M100" s="17"/>
      <c r="N100" s="110"/>
      <c r="O100" s="110"/>
      <c r="P100" s="110"/>
      <c r="Q100" s="110"/>
      <c r="R100" s="453"/>
    </row>
    <row r="101" spans="3:18" ht="28.5" customHeight="1" x14ac:dyDescent="0.35">
      <c r="C101" s="212"/>
      <c r="D101" s="476" t="s">
        <v>1912</v>
      </c>
      <c r="E101" s="1569" t="str">
        <f>$I$16</f>
        <v>-Velg-</v>
      </c>
      <c r="F101" s="1570"/>
      <c r="G101" s="1570"/>
      <c r="H101" s="1570"/>
      <c r="I101" s="1570"/>
      <c r="J101" s="1570"/>
      <c r="K101" s="1571"/>
      <c r="L101" s="91"/>
      <c r="M101" s="17"/>
      <c r="N101" s="91"/>
      <c r="O101" s="91"/>
      <c r="P101" s="91"/>
      <c r="Q101" s="91"/>
      <c r="R101" s="346"/>
    </row>
    <row r="102" spans="3:18" ht="28.5" customHeight="1" x14ac:dyDescent="0.35">
      <c r="C102" s="212"/>
      <c r="D102" s="449" t="str">
        <f>$F$16</f>
        <v>-Velg-</v>
      </c>
      <c r="E102" s="497"/>
      <c r="F102" s="497"/>
      <c r="G102" s="497"/>
      <c r="H102" s="497"/>
      <c r="I102" s="497"/>
      <c r="J102" s="497"/>
      <c r="K102" s="497"/>
      <c r="L102" s="91"/>
      <c r="M102" s="17"/>
      <c r="N102" s="91"/>
      <c r="O102" s="91"/>
      <c r="P102" s="91"/>
      <c r="Q102" s="91"/>
      <c r="R102" s="346"/>
    </row>
    <row r="103" spans="3:18" x14ac:dyDescent="0.35">
      <c r="C103" s="212"/>
      <c r="D103" s="495"/>
      <c r="E103" s="467"/>
      <c r="F103" s="467"/>
      <c r="G103" s="467"/>
      <c r="H103" s="467"/>
      <c r="I103" s="467"/>
      <c r="J103" s="467"/>
      <c r="K103" s="467"/>
      <c r="L103" s="91"/>
      <c r="M103" s="17"/>
      <c r="N103" s="91"/>
      <c r="O103" s="91"/>
      <c r="P103" s="91"/>
      <c r="Q103" s="91"/>
      <c r="R103" s="346"/>
    </row>
    <row r="104" spans="3:18" x14ac:dyDescent="0.35">
      <c r="C104" s="212"/>
      <c r="D104" s="495"/>
      <c r="E104" s="467"/>
      <c r="F104" s="467"/>
      <c r="G104" s="467"/>
      <c r="H104" s="467"/>
      <c r="I104" s="467"/>
      <c r="J104" s="467"/>
      <c r="K104" s="467"/>
      <c r="L104" s="91"/>
      <c r="M104" s="17"/>
      <c r="N104" s="91"/>
      <c r="O104" s="91"/>
      <c r="P104" s="91"/>
      <c r="Q104" s="91"/>
      <c r="R104" s="346"/>
    </row>
    <row r="105" spans="3:18" x14ac:dyDescent="0.35">
      <c r="C105" s="212"/>
      <c r="D105" s="495"/>
      <c r="E105" s="467"/>
      <c r="F105" s="467"/>
      <c r="G105" s="467"/>
      <c r="H105" s="467"/>
      <c r="I105" s="467"/>
      <c r="J105" s="467"/>
      <c r="K105" s="467"/>
      <c r="L105" s="91"/>
      <c r="M105" s="17"/>
      <c r="N105" s="91"/>
      <c r="O105" s="91"/>
      <c r="P105" s="91"/>
      <c r="Q105" s="91"/>
      <c r="R105" s="346"/>
    </row>
    <row r="106" spans="3:18" x14ac:dyDescent="0.35">
      <c r="C106" s="212"/>
      <c r="D106" s="495"/>
      <c r="E106" s="467"/>
      <c r="F106" s="467"/>
      <c r="G106" s="467"/>
      <c r="H106" s="467"/>
      <c r="I106" s="467"/>
      <c r="J106" s="467"/>
      <c r="K106" s="467"/>
      <c r="L106" s="91"/>
      <c r="M106" s="17"/>
      <c r="N106" s="91"/>
      <c r="O106" s="91"/>
      <c r="P106" s="91"/>
      <c r="Q106" s="91"/>
      <c r="R106" s="346"/>
    </row>
    <row r="107" spans="3:18" x14ac:dyDescent="0.35">
      <c r="C107" s="212"/>
      <c r="D107" s="495"/>
      <c r="E107" s="467"/>
      <c r="F107" s="467"/>
      <c r="G107" s="467"/>
      <c r="H107" s="467"/>
      <c r="I107" s="467"/>
      <c r="J107" s="467"/>
      <c r="K107" s="467"/>
      <c r="L107" s="91"/>
      <c r="M107" s="17"/>
      <c r="N107" s="91"/>
      <c r="O107" s="91"/>
      <c r="P107" s="91"/>
      <c r="Q107" s="91"/>
      <c r="R107" s="346"/>
    </row>
    <row r="108" spans="3:18" x14ac:dyDescent="0.35">
      <c r="C108" s="212"/>
      <c r="D108" s="495"/>
      <c r="E108" s="467"/>
      <c r="F108" s="467"/>
      <c r="G108" s="467"/>
      <c r="H108" s="467"/>
      <c r="I108" s="467"/>
      <c r="J108" s="467"/>
      <c r="K108" s="467"/>
      <c r="L108" s="91"/>
      <c r="M108" s="17"/>
      <c r="N108" s="91"/>
      <c r="O108" s="91"/>
      <c r="P108" s="91"/>
      <c r="Q108" s="91"/>
      <c r="R108" s="346"/>
    </row>
    <row r="109" spans="3:18" x14ac:dyDescent="0.35">
      <c r="C109" s="212"/>
      <c r="D109" s="495"/>
      <c r="E109" s="467"/>
      <c r="F109" s="467"/>
      <c r="G109" s="467"/>
      <c r="H109" s="467"/>
      <c r="I109" s="467"/>
      <c r="J109" s="467"/>
      <c r="K109" s="467"/>
      <c r="L109" s="91"/>
      <c r="M109" s="17"/>
      <c r="N109" s="91"/>
      <c r="O109" s="91"/>
      <c r="P109" s="91"/>
      <c r="Q109" s="91"/>
      <c r="R109" s="346"/>
    </row>
    <row r="110" spans="3:18" x14ac:dyDescent="0.35">
      <c r="C110" s="212"/>
      <c r="D110" s="17"/>
      <c r="E110" s="17"/>
      <c r="F110" s="17"/>
      <c r="G110" s="91"/>
      <c r="H110" s="91"/>
      <c r="I110" s="91"/>
      <c r="J110" s="91"/>
      <c r="K110" s="91"/>
      <c r="L110" s="91"/>
      <c r="M110" s="17"/>
      <c r="N110" s="91"/>
      <c r="O110" s="91"/>
      <c r="P110" s="91"/>
      <c r="Q110" s="91"/>
      <c r="R110" s="346"/>
    </row>
    <row r="111" spans="3:18" ht="28.5" customHeight="1" x14ac:dyDescent="0.35">
      <c r="C111" s="212"/>
      <c r="D111" s="476" t="s">
        <v>1915</v>
      </c>
      <c r="E111" s="1569" t="str">
        <f>$I$16</f>
        <v>-Velg-</v>
      </c>
      <c r="F111" s="1570"/>
      <c r="G111" s="1570"/>
      <c r="H111" s="1570"/>
      <c r="I111" s="1570"/>
      <c r="J111" s="1570"/>
      <c r="K111" s="1571"/>
      <c r="L111" s="444"/>
      <c r="M111" s="17"/>
      <c r="N111" s="91"/>
      <c r="O111" s="91"/>
      <c r="P111" s="91"/>
      <c r="Q111" s="91"/>
      <c r="R111" s="346"/>
    </row>
    <row r="112" spans="3:18" ht="28.5" customHeight="1" x14ac:dyDescent="0.35">
      <c r="C112" s="212"/>
      <c r="D112" s="449" t="str">
        <f>$F$16</f>
        <v>-Velg-</v>
      </c>
      <c r="E112" s="497"/>
      <c r="F112" s="497"/>
      <c r="G112" s="497"/>
      <c r="H112" s="497"/>
      <c r="I112" s="497"/>
      <c r="J112" s="497"/>
      <c r="K112" s="497"/>
      <c r="L112" s="91"/>
      <c r="M112" s="17"/>
      <c r="N112" s="91"/>
      <c r="O112" s="91"/>
      <c r="P112" s="91"/>
      <c r="Q112" s="91"/>
      <c r="R112" s="346"/>
    </row>
    <row r="113" spans="3:18" x14ac:dyDescent="0.35">
      <c r="C113" s="212"/>
      <c r="D113" s="495"/>
      <c r="E113" s="21"/>
      <c r="F113" s="21"/>
      <c r="G113" s="21"/>
      <c r="H113" s="21"/>
      <c r="I113" s="21"/>
      <c r="J113" s="21"/>
      <c r="K113" s="21"/>
      <c r="L113" s="91"/>
      <c r="M113" s="17"/>
      <c r="N113" s="91"/>
      <c r="O113" s="91"/>
      <c r="P113" s="91"/>
      <c r="Q113" s="91"/>
      <c r="R113" s="346"/>
    </row>
    <row r="114" spans="3:18" x14ac:dyDescent="0.35">
      <c r="C114" s="212"/>
      <c r="D114" s="495"/>
      <c r="E114" s="21"/>
      <c r="F114" s="21"/>
      <c r="G114" s="21"/>
      <c r="H114" s="21"/>
      <c r="I114" s="21"/>
      <c r="J114" s="21"/>
      <c r="K114" s="21"/>
      <c r="L114" s="91"/>
      <c r="M114" s="17"/>
      <c r="N114" s="91"/>
      <c r="O114" s="91"/>
      <c r="P114" s="91"/>
      <c r="Q114" s="91"/>
      <c r="R114" s="346"/>
    </row>
    <row r="115" spans="3:18" x14ac:dyDescent="0.35">
      <c r="C115" s="212"/>
      <c r="D115" s="495"/>
      <c r="E115" s="21"/>
      <c r="F115" s="21"/>
      <c r="G115" s="21"/>
      <c r="H115" s="21"/>
      <c r="I115" s="21"/>
      <c r="J115" s="21"/>
      <c r="K115" s="21"/>
      <c r="L115" s="91"/>
      <c r="M115" s="17"/>
      <c r="N115" s="91"/>
      <c r="O115" s="91"/>
      <c r="P115" s="91"/>
      <c r="Q115" s="91"/>
      <c r="R115" s="346"/>
    </row>
    <row r="116" spans="3:18" x14ac:dyDescent="0.35">
      <c r="C116" s="212"/>
      <c r="D116" s="495"/>
      <c r="E116" s="21"/>
      <c r="F116" s="21"/>
      <c r="G116" s="21"/>
      <c r="H116" s="21"/>
      <c r="I116" s="21"/>
      <c r="J116" s="21"/>
      <c r="K116" s="21"/>
      <c r="L116" s="91"/>
      <c r="M116" s="17"/>
      <c r="N116" s="17"/>
      <c r="O116" s="17"/>
      <c r="P116" s="17"/>
      <c r="Q116" s="17"/>
      <c r="R116" s="213"/>
    </row>
    <row r="117" spans="3:18" x14ac:dyDescent="0.35">
      <c r="C117" s="212"/>
      <c r="D117" s="495"/>
      <c r="E117" s="21"/>
      <c r="F117" s="21"/>
      <c r="G117" s="21"/>
      <c r="H117" s="21"/>
      <c r="I117" s="21"/>
      <c r="J117" s="21"/>
      <c r="K117" s="21"/>
      <c r="L117" s="91"/>
      <c r="M117" s="17"/>
      <c r="N117" s="17"/>
      <c r="O117" s="17"/>
      <c r="P117" s="17"/>
      <c r="Q117" s="17"/>
      <c r="R117" s="213"/>
    </row>
    <row r="118" spans="3:18" x14ac:dyDescent="0.35">
      <c r="C118" s="212"/>
      <c r="D118" s="495"/>
      <c r="E118" s="21"/>
      <c r="F118" s="21"/>
      <c r="G118" s="21"/>
      <c r="H118" s="21"/>
      <c r="I118" s="21"/>
      <c r="J118" s="21"/>
      <c r="K118" s="21"/>
      <c r="L118" s="91"/>
      <c r="M118" s="17"/>
      <c r="N118" s="17"/>
      <c r="O118" s="17"/>
      <c r="P118" s="17"/>
      <c r="Q118" s="17"/>
      <c r="R118" s="213"/>
    </row>
    <row r="119" spans="3:18" x14ac:dyDescent="0.35">
      <c r="C119" s="212"/>
      <c r="D119" s="495"/>
      <c r="E119" s="21"/>
      <c r="F119" s="21"/>
      <c r="G119" s="21"/>
      <c r="H119" s="21"/>
      <c r="I119" s="21"/>
      <c r="J119" s="21"/>
      <c r="K119" s="21"/>
      <c r="L119" s="91"/>
      <c r="M119" s="17"/>
      <c r="N119" s="17"/>
      <c r="O119" s="17"/>
      <c r="P119" s="17"/>
      <c r="Q119" s="17"/>
      <c r="R119" s="213"/>
    </row>
    <row r="120" spans="3:18" ht="15" thickBot="1" x14ac:dyDescent="0.4">
      <c r="C120" s="252"/>
      <c r="D120" s="301"/>
      <c r="E120" s="301"/>
      <c r="F120" s="301"/>
      <c r="G120" s="301"/>
      <c r="H120" s="301"/>
      <c r="I120" s="301"/>
      <c r="J120" s="301"/>
      <c r="K120" s="359"/>
      <c r="L120" s="359"/>
      <c r="M120" s="359"/>
      <c r="N120" s="301"/>
      <c r="O120" s="301"/>
      <c r="P120" s="301"/>
      <c r="Q120" s="301"/>
      <c r="R120" s="302"/>
    </row>
  </sheetData>
  <dataConsolidate/>
  <mergeCells count="58">
    <mergeCell ref="M46:Q46"/>
    <mergeCell ref="M47:Q47"/>
    <mergeCell ref="E77:K77"/>
    <mergeCell ref="E82:K82"/>
    <mergeCell ref="M70:Q70"/>
    <mergeCell ref="M71:Q71"/>
    <mergeCell ref="E53:K53"/>
    <mergeCell ref="E58:K58"/>
    <mergeCell ref="D72:J75"/>
    <mergeCell ref="D48:J51"/>
    <mergeCell ref="D70:J70"/>
    <mergeCell ref="D71:J71"/>
    <mergeCell ref="D46:J46"/>
    <mergeCell ref="D47:J47"/>
    <mergeCell ref="F25:H25"/>
    <mergeCell ref="I25:K25"/>
    <mergeCell ref="F26:H26"/>
    <mergeCell ref="E111:K111"/>
    <mergeCell ref="E101:K101"/>
    <mergeCell ref="I26:K26"/>
    <mergeCell ref="E29:H29"/>
    <mergeCell ref="D95:E95"/>
    <mergeCell ref="I29:L29"/>
    <mergeCell ref="E28:L28"/>
    <mergeCell ref="F18:H18"/>
    <mergeCell ref="I18:K18"/>
    <mergeCell ref="F12:H12"/>
    <mergeCell ref="F14:H14"/>
    <mergeCell ref="F16:H16"/>
    <mergeCell ref="I16:K16"/>
    <mergeCell ref="F17:H17"/>
    <mergeCell ref="I17:K17"/>
    <mergeCell ref="I14:K14"/>
    <mergeCell ref="F13:H13"/>
    <mergeCell ref="I13:K13"/>
    <mergeCell ref="F20:H20"/>
    <mergeCell ref="I20:K20"/>
    <mergeCell ref="F21:H21"/>
    <mergeCell ref="D96:E99"/>
    <mergeCell ref="F96:I99"/>
    <mergeCell ref="F95:I95"/>
    <mergeCell ref="D94:I94"/>
    <mergeCell ref="E30:H34"/>
    <mergeCell ref="I30:L34"/>
    <mergeCell ref="I21:K21"/>
    <mergeCell ref="F22:H22"/>
    <mergeCell ref="I22:K22"/>
    <mergeCell ref="F23:H23"/>
    <mergeCell ref="I23:K23"/>
    <mergeCell ref="F24:H24"/>
    <mergeCell ref="I24:K24"/>
    <mergeCell ref="B4:D4"/>
    <mergeCell ref="C5:D5"/>
    <mergeCell ref="C6:D6"/>
    <mergeCell ref="C7:D7"/>
    <mergeCell ref="A5:B5"/>
    <mergeCell ref="A6:B6"/>
    <mergeCell ref="A7:B7"/>
  </mergeCells>
  <conditionalFormatting sqref="F26:H26">
    <cfRule type="expression" dxfId="561" priority="284">
      <formula>$F$14&gt;=7</formula>
    </cfRule>
    <cfRule type="expression" dxfId="560" priority="487">
      <formula>$F$14&lt;7</formula>
    </cfRule>
  </conditionalFormatting>
  <conditionalFormatting sqref="F25:H25">
    <cfRule type="expression" dxfId="559" priority="285">
      <formula>$F$14&gt;=6</formula>
    </cfRule>
    <cfRule type="expression" dxfId="558" priority="486">
      <formula>$F$14&lt;6</formula>
    </cfRule>
  </conditionalFormatting>
  <conditionalFormatting sqref="F24:H24">
    <cfRule type="expression" dxfId="557" priority="286">
      <formula>$F$14&gt;=5</formula>
    </cfRule>
    <cfRule type="expression" dxfId="556" priority="485">
      <formula>$F$14&lt;5</formula>
    </cfRule>
  </conditionalFormatting>
  <conditionalFormatting sqref="F23:H23">
    <cfRule type="expression" dxfId="555" priority="287">
      <formula>$F$14&gt;=4</formula>
    </cfRule>
    <cfRule type="expression" dxfId="554" priority="483">
      <formula>$F$14&lt;4</formula>
    </cfRule>
  </conditionalFormatting>
  <conditionalFormatting sqref="F22:H22">
    <cfRule type="expression" dxfId="553" priority="288">
      <formula>$F$14&gt;=3</formula>
    </cfRule>
    <cfRule type="expression" dxfId="552" priority="482">
      <formula>$F$14&lt;3</formula>
    </cfRule>
  </conditionalFormatting>
  <conditionalFormatting sqref="I26:K26">
    <cfRule type="expression" dxfId="551" priority="292">
      <formula>$I$14&gt;=7</formula>
    </cfRule>
    <cfRule type="expression" dxfId="550" priority="479">
      <formula>$I$14&lt;7</formula>
    </cfRule>
  </conditionalFormatting>
  <conditionalFormatting sqref="I25:K25">
    <cfRule type="expression" dxfId="549" priority="293">
      <formula>$I$14&gt;=6</formula>
    </cfRule>
    <cfRule type="expression" dxfId="548" priority="478">
      <formula>$I$14&lt;6</formula>
    </cfRule>
  </conditionalFormatting>
  <conditionalFormatting sqref="I24:K24">
    <cfRule type="expression" dxfId="547" priority="294">
      <formula>$I$14&gt;=5</formula>
    </cfRule>
    <cfRule type="expression" dxfId="546" priority="477">
      <formula>$I$14&lt;5</formula>
    </cfRule>
  </conditionalFormatting>
  <conditionalFormatting sqref="I23:K23">
    <cfRule type="expression" dxfId="545" priority="295">
      <formula>$I$14&gt;=4</formula>
    </cfRule>
    <cfRule type="expression" dxfId="544" priority="475">
      <formula>$I$14&lt;4</formula>
    </cfRule>
  </conditionalFormatting>
  <conditionalFormatting sqref="I22:K22">
    <cfRule type="expression" dxfId="543" priority="297">
      <formula>$I$14&gt;=3</formula>
    </cfRule>
    <cfRule type="expression" dxfId="542" priority="474">
      <formula>$I$14&lt;3</formula>
    </cfRule>
  </conditionalFormatting>
  <conditionalFormatting sqref="I21:K21">
    <cfRule type="expression" dxfId="541" priority="471">
      <formula>$I$14&gt;=2</formula>
    </cfRule>
    <cfRule type="expression" dxfId="540" priority="473">
      <formula>$I$14&lt;2</formula>
    </cfRule>
  </conditionalFormatting>
  <conditionalFormatting sqref="I20:K26">
    <cfRule type="expression" dxfId="539" priority="35">
      <formula>$I$14="-Velg-"</formula>
    </cfRule>
  </conditionalFormatting>
  <conditionalFormatting sqref="F21:H21">
    <cfRule type="expression" dxfId="538" priority="289">
      <formula>$F$14&gt;=2</formula>
    </cfRule>
    <cfRule type="expression" dxfId="537" priority="469">
      <formula>$F$14&lt;2</formula>
    </cfRule>
  </conditionalFormatting>
  <conditionalFormatting sqref="D104:K104">
    <cfRule type="expression" dxfId="536" priority="448">
      <formula>$F$14&lt;2</formula>
    </cfRule>
  </conditionalFormatting>
  <conditionalFormatting sqref="D105:K105">
    <cfRule type="expression" dxfId="535" priority="464">
      <formula>$F$14&lt;3</formula>
    </cfRule>
  </conditionalFormatting>
  <conditionalFormatting sqref="D109:K109">
    <cfRule type="expression" dxfId="534" priority="264">
      <formula>$F$14&lt;7</formula>
    </cfRule>
  </conditionalFormatting>
  <conditionalFormatting sqref="D108:K108">
    <cfRule type="expression" dxfId="533" priority="463">
      <formula>$F$14&lt;6</formula>
    </cfRule>
  </conditionalFormatting>
  <conditionalFormatting sqref="D106:K106">
    <cfRule type="expression" dxfId="532" priority="462">
      <formula>$F$14&lt;4</formula>
    </cfRule>
  </conditionalFormatting>
  <conditionalFormatting sqref="O94">
    <cfRule type="expression" dxfId="531" priority="461">
      <formula>"$E$12 &lt; 5"</formula>
    </cfRule>
  </conditionalFormatting>
  <conditionalFormatting sqref="D107:K107">
    <cfRule type="expression" dxfId="530" priority="460">
      <formula>$F$14&lt;5</formula>
    </cfRule>
  </conditionalFormatting>
  <conditionalFormatting sqref="K102:K109">
    <cfRule type="expression" dxfId="529" priority="447">
      <formula>$I$14&lt;7</formula>
    </cfRule>
  </conditionalFormatting>
  <conditionalFormatting sqref="O15">
    <cfRule type="expression" dxfId="528" priority="449">
      <formula>$F$17="Prosent endring fra basisverdi"</formula>
    </cfRule>
  </conditionalFormatting>
  <conditionalFormatting sqref="I20:K20">
    <cfRule type="expression" dxfId="527" priority="296">
      <formula>$I$14&gt;=1 &amp; $F$12&gt;1</formula>
    </cfRule>
  </conditionalFormatting>
  <conditionalFormatting sqref="F20:H20">
    <cfRule type="expression" dxfId="526" priority="290">
      <formula>$F$14&gt;=1</formula>
    </cfRule>
  </conditionalFormatting>
  <conditionalFormatting sqref="E29:H29">
    <cfRule type="expression" dxfId="525" priority="49">
      <formula>$F$12&lt;2</formula>
    </cfRule>
  </conditionalFormatting>
  <conditionalFormatting sqref="F14:H14">
    <cfRule type="expression" dxfId="524" priority="281">
      <formula>$F$12&lt;2</formula>
    </cfRule>
  </conditionalFormatting>
  <conditionalFormatting sqref="F17:H17">
    <cfRule type="expression" dxfId="523" priority="280">
      <formula>$F$12&lt;2</formula>
    </cfRule>
  </conditionalFormatting>
  <conditionalFormatting sqref="F16:H16">
    <cfRule type="expression" dxfId="522" priority="278">
      <formula>$F$12&lt;2</formula>
    </cfRule>
  </conditionalFormatting>
  <conditionalFormatting sqref="D96">
    <cfRule type="expression" dxfId="521" priority="275">
      <formula>$F$12&lt;2</formula>
    </cfRule>
  </conditionalFormatting>
  <conditionalFormatting sqref="F102:F109">
    <cfRule type="expression" dxfId="520" priority="272">
      <formula>$I$14&lt;2</formula>
    </cfRule>
  </conditionalFormatting>
  <conditionalFormatting sqref="G102:G109">
    <cfRule type="expression" dxfId="519" priority="271">
      <formula>$I$14&lt;3</formula>
    </cfRule>
  </conditionalFormatting>
  <conditionalFormatting sqref="H102:H109">
    <cfRule type="expression" dxfId="518" priority="270">
      <formula>$I$14&lt;4</formula>
    </cfRule>
  </conditionalFormatting>
  <conditionalFormatting sqref="I102:I109">
    <cfRule type="expression" dxfId="517" priority="262">
      <formula>$I$14&lt;5</formula>
    </cfRule>
  </conditionalFormatting>
  <conditionalFormatting sqref="J102:J109">
    <cfRule type="expression" dxfId="516" priority="268">
      <formula>$I$14&lt;6</formula>
    </cfRule>
  </conditionalFormatting>
  <conditionalFormatting sqref="E101:K101">
    <cfRule type="expression" dxfId="515" priority="267">
      <formula>$I$14&lt;=7</formula>
    </cfRule>
  </conditionalFormatting>
  <conditionalFormatting sqref="D103">
    <cfRule type="expression" dxfId="514" priority="266">
      <formula>$F$14&lt;7</formula>
    </cfRule>
  </conditionalFormatting>
  <conditionalFormatting sqref="D104:D109">
    <cfRule type="expression" dxfId="513" priority="466">
      <formula>$F$14&lt;=7</formula>
    </cfRule>
  </conditionalFormatting>
  <conditionalFormatting sqref="E103:K109">
    <cfRule type="colorScale" priority="17">
      <colorScale>
        <cfvo type="min"/>
        <cfvo type="num" val="0"/>
        <cfvo type="max"/>
        <color rgb="FFC65D5A"/>
        <color theme="0"/>
        <color rgb="FF85A644"/>
      </colorScale>
    </cfRule>
    <cfRule type="expression" dxfId="512" priority="465">
      <formula>$F$14&lt;=7</formula>
    </cfRule>
  </conditionalFormatting>
  <conditionalFormatting sqref="E102">
    <cfRule type="expression" dxfId="511" priority="263">
      <formula>$I$14&lt;=7</formula>
    </cfRule>
  </conditionalFormatting>
  <conditionalFormatting sqref="F102:K102">
    <cfRule type="expression" dxfId="510" priority="452">
      <formula>$I$14&lt;=7</formula>
    </cfRule>
  </conditionalFormatting>
  <conditionalFormatting sqref="D114:K114">
    <cfRule type="expression" dxfId="509" priority="254">
      <formula>$F$14&lt;2</formula>
    </cfRule>
  </conditionalFormatting>
  <conditionalFormatting sqref="D115:K115">
    <cfRule type="expression" dxfId="508" priority="259">
      <formula>$F$14&lt;3</formula>
    </cfRule>
  </conditionalFormatting>
  <conditionalFormatting sqref="D119:K119">
    <cfRule type="expression" dxfId="507" priority="243">
      <formula>$F$14&lt;7</formula>
    </cfRule>
  </conditionalFormatting>
  <conditionalFormatting sqref="D118:K118">
    <cfRule type="expression" dxfId="506" priority="258">
      <formula>$F$14&lt;6</formula>
    </cfRule>
  </conditionalFormatting>
  <conditionalFormatting sqref="D116:K116">
    <cfRule type="expression" dxfId="505" priority="257">
      <formula>$F$14&lt;4</formula>
    </cfRule>
  </conditionalFormatting>
  <conditionalFormatting sqref="D117:K117">
    <cfRule type="expression" dxfId="504" priority="256">
      <formula>$F$14&lt;5</formula>
    </cfRule>
  </conditionalFormatting>
  <conditionalFormatting sqref="K112:K119">
    <cfRule type="expression" dxfId="503" priority="253">
      <formula>$I$14&lt;7</formula>
    </cfRule>
  </conditionalFormatting>
  <conditionalFormatting sqref="F112:F119">
    <cfRule type="expression" dxfId="502" priority="251">
      <formula>$I$14&lt;2</formula>
    </cfRule>
  </conditionalFormatting>
  <conditionalFormatting sqref="G112:G119">
    <cfRule type="expression" dxfId="501" priority="250">
      <formula>$I$14&lt;3</formula>
    </cfRule>
  </conditionalFormatting>
  <conditionalFormatting sqref="H112:H119">
    <cfRule type="expression" dxfId="500" priority="249">
      <formula>$I$14&lt;4</formula>
    </cfRule>
  </conditionalFormatting>
  <conditionalFormatting sqref="I112:I119">
    <cfRule type="expression" dxfId="499" priority="241">
      <formula>$I$14&lt;5</formula>
    </cfRule>
  </conditionalFormatting>
  <conditionalFormatting sqref="J112:J119">
    <cfRule type="expression" dxfId="498" priority="247">
      <formula>$I$14&lt;6</formula>
    </cfRule>
  </conditionalFormatting>
  <conditionalFormatting sqref="E111:K111 E101:K101">
    <cfRule type="expression" dxfId="497" priority="246">
      <formula>OR($I$14&lt;=7,$I$14="-Velg-")</formula>
    </cfRule>
  </conditionalFormatting>
  <conditionalFormatting sqref="D113">
    <cfRule type="expression" dxfId="496" priority="245">
      <formula>$F$14&lt;7</formula>
    </cfRule>
  </conditionalFormatting>
  <conditionalFormatting sqref="D114:D119">
    <cfRule type="expression" dxfId="495" priority="261">
      <formula>$F$14&lt;=7</formula>
    </cfRule>
  </conditionalFormatting>
  <conditionalFormatting sqref="E113:K119">
    <cfRule type="colorScale" priority="7">
      <colorScale>
        <cfvo type="min"/>
        <cfvo type="num" val="0"/>
        <cfvo type="max"/>
        <color rgb="FFC65D5A"/>
        <color theme="0"/>
        <color rgb="FF85A644"/>
      </colorScale>
    </cfRule>
    <cfRule type="expression" dxfId="494" priority="260">
      <formula>$F$14&lt;=7</formula>
    </cfRule>
  </conditionalFormatting>
  <conditionalFormatting sqref="E112">
    <cfRule type="expression" dxfId="493" priority="242">
      <formula>$I$14&lt;=7</formula>
    </cfRule>
  </conditionalFormatting>
  <conditionalFormatting sqref="F112:K112">
    <cfRule type="expression" dxfId="492" priority="255">
      <formula>$I$14&lt;=7</formula>
    </cfRule>
  </conditionalFormatting>
  <conditionalFormatting sqref="K54:K55">
    <cfRule type="expression" dxfId="491" priority="222">
      <formula>$F$14&lt;7</formula>
    </cfRule>
  </conditionalFormatting>
  <conditionalFormatting sqref="F54:F55">
    <cfRule type="expression" dxfId="490" priority="234">
      <formula>$F$14&lt;2</formula>
    </cfRule>
  </conditionalFormatting>
  <conditionalFormatting sqref="G54:G55">
    <cfRule type="expression" dxfId="489" priority="233">
      <formula>$F$14&lt;3</formula>
    </cfRule>
  </conditionalFormatting>
  <conditionalFormatting sqref="H54:H55">
    <cfRule type="expression" dxfId="488" priority="232">
      <formula>$F$14&lt;4</formula>
    </cfRule>
  </conditionalFormatting>
  <conditionalFormatting sqref="I54:I55">
    <cfRule type="expression" dxfId="487" priority="230">
      <formula>$F$14&lt;5</formula>
    </cfRule>
  </conditionalFormatting>
  <conditionalFormatting sqref="J54:J55">
    <cfRule type="expression" dxfId="486" priority="231">
      <formula>$F$14&lt;6</formula>
    </cfRule>
  </conditionalFormatting>
  <conditionalFormatting sqref="F55:K55">
    <cfRule type="expression" dxfId="485" priority="237">
      <formula>$F$14&lt;=7</formula>
    </cfRule>
  </conditionalFormatting>
  <conditionalFormatting sqref="F54:K54">
    <cfRule type="expression" dxfId="484" priority="235">
      <formula>$F$14&lt;=7</formula>
    </cfRule>
  </conditionalFormatting>
  <conditionalFormatting sqref="E58:K58">
    <cfRule type="expression" dxfId="483" priority="205">
      <formula>$F$14&lt;=7</formula>
    </cfRule>
  </conditionalFormatting>
  <conditionalFormatting sqref="E53:K53">
    <cfRule type="expression" dxfId="482" priority="25">
      <formula>$F$14&lt;=7</formula>
    </cfRule>
  </conditionalFormatting>
  <conditionalFormatting sqref="K79:K80">
    <cfRule type="expression" dxfId="481" priority="203">
      <formula>$I$14&lt;7</formula>
    </cfRule>
  </conditionalFormatting>
  <conditionalFormatting sqref="F79:F80">
    <cfRule type="expression" dxfId="480" priority="202">
      <formula>$I$14&lt;2</formula>
    </cfRule>
  </conditionalFormatting>
  <conditionalFormatting sqref="G79:G80">
    <cfRule type="expression" dxfId="479" priority="201">
      <formula>$I$14&lt;3</formula>
    </cfRule>
  </conditionalFormatting>
  <conditionalFormatting sqref="H79:H80">
    <cfRule type="expression" dxfId="478" priority="200">
      <formula>$I$14&lt;4</formula>
    </cfRule>
  </conditionalFormatting>
  <conditionalFormatting sqref="I79:I80">
    <cfRule type="expression" dxfId="477" priority="198">
      <formula>$I$14&lt;5</formula>
    </cfRule>
  </conditionalFormatting>
  <conditionalFormatting sqref="J79:J80">
    <cfRule type="expression" dxfId="476" priority="199">
      <formula>$I$14&lt;6</formula>
    </cfRule>
  </conditionalFormatting>
  <conditionalFormatting sqref="F79:K80">
    <cfRule type="expression" dxfId="475" priority="204">
      <formula>$I$14&lt;=7</formula>
    </cfRule>
  </conditionalFormatting>
  <conditionalFormatting sqref="E77:K77">
    <cfRule type="expression" dxfId="474" priority="174">
      <formula>$I$14&lt;=7</formula>
    </cfRule>
  </conditionalFormatting>
  <conditionalFormatting sqref="E82:K82">
    <cfRule type="expression" dxfId="473" priority="173">
      <formula>$I$14&lt;=7</formula>
    </cfRule>
  </conditionalFormatting>
  <conditionalFormatting sqref="K78">
    <cfRule type="expression" dxfId="472" priority="169">
      <formula>$I$14&lt;7</formula>
    </cfRule>
  </conditionalFormatting>
  <conditionalFormatting sqref="F78">
    <cfRule type="expression" dxfId="471" priority="168">
      <formula>$I$14&lt;2</formula>
    </cfRule>
  </conditionalFormatting>
  <conditionalFormatting sqref="G78">
    <cfRule type="expression" dxfId="470" priority="167">
      <formula>$I$14&lt;3</formula>
    </cfRule>
  </conditionalFormatting>
  <conditionalFormatting sqref="H78">
    <cfRule type="expression" dxfId="469" priority="166">
      <formula>$I$14&lt;4</formula>
    </cfRule>
  </conditionalFormatting>
  <conditionalFormatting sqref="I78">
    <cfRule type="expression" dxfId="468" priority="163">
      <formula>$I$14&lt;5</formula>
    </cfRule>
  </conditionalFormatting>
  <conditionalFormatting sqref="J78">
    <cfRule type="expression" dxfId="467" priority="164">
      <formula>$I$14&lt;6</formula>
    </cfRule>
  </conditionalFormatting>
  <conditionalFormatting sqref="F78:K78">
    <cfRule type="expression" dxfId="466" priority="170">
      <formula>$I$14&lt;=7</formula>
    </cfRule>
  </conditionalFormatting>
  <conditionalFormatting sqref="E55">
    <cfRule type="expression" dxfId="465" priority="146">
      <formula>$F$14&lt;=7</formula>
    </cfRule>
  </conditionalFormatting>
  <conditionalFormatting sqref="E54">
    <cfRule type="expression" dxfId="464" priority="144">
      <formula>$F$14&lt;=7</formula>
    </cfRule>
  </conditionalFormatting>
  <conditionalFormatting sqref="E60">
    <cfRule type="expression" dxfId="463" priority="143">
      <formula>$F$14&lt;=7</formula>
    </cfRule>
  </conditionalFormatting>
  <conditionalFormatting sqref="E79:E80 E84:E85">
    <cfRule type="expression" dxfId="462" priority="137">
      <formula>$I$14&lt;=7</formula>
    </cfRule>
  </conditionalFormatting>
  <conditionalFormatting sqref="E78 E83">
    <cfRule type="expression" dxfId="461" priority="135">
      <formula>$I$14&lt;=7</formula>
    </cfRule>
  </conditionalFormatting>
  <conditionalFormatting sqref="E59">
    <cfRule type="expression" dxfId="460" priority="133">
      <formula>$F$14&lt;=7</formula>
    </cfRule>
  </conditionalFormatting>
  <conditionalFormatting sqref="K60">
    <cfRule type="expression" dxfId="459" priority="125">
      <formula>$F$14&lt;7</formula>
    </cfRule>
  </conditionalFormatting>
  <conditionalFormatting sqref="F60">
    <cfRule type="expression" dxfId="458" priority="130">
      <formula>$F$14&lt;2</formula>
    </cfRule>
  </conditionalFormatting>
  <conditionalFormatting sqref="G60">
    <cfRule type="expression" dxfId="457" priority="129">
      <formula>$F$14&lt;3</formula>
    </cfRule>
  </conditionalFormatting>
  <conditionalFormatting sqref="H60">
    <cfRule type="expression" dxfId="456" priority="128">
      <formula>$F$14&lt;4</formula>
    </cfRule>
  </conditionalFormatting>
  <conditionalFormatting sqref="I60">
    <cfRule type="expression" dxfId="455" priority="126">
      <formula>$F$14&lt;5</formula>
    </cfRule>
  </conditionalFormatting>
  <conditionalFormatting sqref="J60">
    <cfRule type="expression" dxfId="454" priority="127">
      <formula>$F$14&lt;6</formula>
    </cfRule>
  </conditionalFormatting>
  <conditionalFormatting sqref="F60:K60">
    <cfRule type="expression" dxfId="453" priority="132">
      <formula>$F$14&lt;=7</formula>
    </cfRule>
  </conditionalFormatting>
  <conditionalFormatting sqref="D94">
    <cfRule type="expression" dxfId="452" priority="123">
      <formula>$F$12&lt;2</formula>
    </cfRule>
  </conditionalFormatting>
  <conditionalFormatting sqref="K59">
    <cfRule type="expression" dxfId="451" priority="116">
      <formula>$F$14&lt;7</formula>
    </cfRule>
  </conditionalFormatting>
  <conditionalFormatting sqref="F59">
    <cfRule type="expression" dxfId="450" priority="121">
      <formula>$F$14&lt;2</formula>
    </cfRule>
  </conditionalFormatting>
  <conditionalFormatting sqref="G59">
    <cfRule type="expression" dxfId="449" priority="120">
      <formula>$F$14&lt;3</formula>
    </cfRule>
  </conditionalFormatting>
  <conditionalFormatting sqref="H59">
    <cfRule type="expression" dxfId="448" priority="119">
      <formula>$F$14&lt;4</formula>
    </cfRule>
  </conditionalFormatting>
  <conditionalFormatting sqref="I59">
    <cfRule type="expression" dxfId="447" priority="117">
      <formula>$F$14&lt;5</formula>
    </cfRule>
  </conditionalFormatting>
  <conditionalFormatting sqref="J59">
    <cfRule type="expression" dxfId="446" priority="118">
      <formula>$F$14&lt;6</formula>
    </cfRule>
  </conditionalFormatting>
  <conditionalFormatting sqref="F59:K59">
    <cfRule type="expression" dxfId="445" priority="122">
      <formula>$F$14&lt;=7</formula>
    </cfRule>
  </conditionalFormatting>
  <conditionalFormatting sqref="K83">
    <cfRule type="expression" dxfId="444" priority="112">
      <formula>$I$14&lt;7</formula>
    </cfRule>
  </conditionalFormatting>
  <conditionalFormatting sqref="F83">
    <cfRule type="expression" dxfId="443" priority="113">
      <formula>$I$14&lt;2</formula>
    </cfRule>
  </conditionalFormatting>
  <conditionalFormatting sqref="G83">
    <cfRule type="expression" dxfId="442" priority="110">
      <formula>$I$14&lt;3</formula>
    </cfRule>
  </conditionalFormatting>
  <conditionalFormatting sqref="H83">
    <cfRule type="expression" dxfId="441" priority="111">
      <formula>$I$14&lt;4</formula>
    </cfRule>
  </conditionalFormatting>
  <conditionalFormatting sqref="I83">
    <cfRule type="expression" dxfId="440" priority="108">
      <formula>$I$14&lt;5</formula>
    </cfRule>
  </conditionalFormatting>
  <conditionalFormatting sqref="J83">
    <cfRule type="expression" dxfId="439" priority="109">
      <formula>$I$14&lt;6</formula>
    </cfRule>
  </conditionalFormatting>
  <conditionalFormatting sqref="F83:K85">
    <cfRule type="expression" dxfId="438" priority="114">
      <formula>$I$14&lt;=7</formula>
    </cfRule>
  </conditionalFormatting>
  <conditionalFormatting sqref="K84">
    <cfRule type="expression" dxfId="437" priority="107">
      <formula>$I$14&lt;7</formula>
    </cfRule>
  </conditionalFormatting>
  <conditionalFormatting sqref="F84">
    <cfRule type="expression" dxfId="436" priority="105">
      <formula>$I$14&lt;2</formula>
    </cfRule>
  </conditionalFormatting>
  <conditionalFormatting sqref="G84">
    <cfRule type="expression" dxfId="435" priority="104">
      <formula>$I$14&lt;3</formula>
    </cfRule>
  </conditionalFormatting>
  <conditionalFormatting sqref="H84">
    <cfRule type="expression" dxfId="434" priority="103">
      <formula>$I$14&lt;4</formula>
    </cfRule>
  </conditionalFormatting>
  <conditionalFormatting sqref="I84">
    <cfRule type="expression" dxfId="433" priority="101">
      <formula>$I$14&lt;5</formula>
    </cfRule>
  </conditionalFormatting>
  <conditionalFormatting sqref="J84">
    <cfRule type="expression" dxfId="432" priority="102">
      <formula>$I$14&lt;6</formula>
    </cfRule>
  </conditionalFormatting>
  <conditionalFormatting sqref="I29:L34">
    <cfRule type="expression" dxfId="431" priority="97">
      <formula>$F$12&lt;2</formula>
    </cfRule>
  </conditionalFormatting>
  <conditionalFormatting sqref="F95">
    <cfRule type="expression" dxfId="430" priority="96">
      <formula>$F$12&lt;2</formula>
    </cfRule>
  </conditionalFormatting>
  <conditionalFormatting sqref="K56">
    <cfRule type="expression" dxfId="429" priority="89">
      <formula>$F$14&lt;7</formula>
    </cfRule>
  </conditionalFormatting>
  <conditionalFormatting sqref="F56">
    <cfRule type="expression" dxfId="428" priority="94">
      <formula>$F$14&lt;2</formula>
    </cfRule>
  </conditionalFormatting>
  <conditionalFormatting sqref="G56">
    <cfRule type="expression" dxfId="427" priority="93">
      <formula>$F$14&lt;3</formula>
    </cfRule>
  </conditionalFormatting>
  <conditionalFormatting sqref="H56">
    <cfRule type="expression" dxfId="426" priority="92">
      <formula>$F$14&lt;4</formula>
    </cfRule>
  </conditionalFormatting>
  <conditionalFormatting sqref="I56">
    <cfRule type="expression" dxfId="425" priority="90">
      <formula>$F$14&lt;5</formula>
    </cfRule>
  </conditionalFormatting>
  <conditionalFormatting sqref="J56">
    <cfRule type="expression" dxfId="424" priority="91">
      <formula>$F$14&lt;6</formula>
    </cfRule>
  </conditionalFormatting>
  <conditionalFormatting sqref="F56:K56">
    <cfRule type="expression" dxfId="423" priority="95">
      <formula>$F$14&lt;=7</formula>
    </cfRule>
  </conditionalFormatting>
  <conditionalFormatting sqref="E56">
    <cfRule type="expression" dxfId="422" priority="88">
      <formula>$F$14&lt;=7</formula>
    </cfRule>
  </conditionalFormatting>
  <conditionalFormatting sqref="K61">
    <cfRule type="expression" dxfId="421" priority="81">
      <formula>$F$14&lt;7</formula>
    </cfRule>
  </conditionalFormatting>
  <conditionalFormatting sqref="F61">
    <cfRule type="expression" dxfId="420" priority="86">
      <formula>$F$14&lt;2</formula>
    </cfRule>
  </conditionalFormatting>
  <conditionalFormatting sqref="G61">
    <cfRule type="expression" dxfId="419" priority="85">
      <formula>$F$14&lt;3</formula>
    </cfRule>
  </conditionalFormatting>
  <conditionalFormatting sqref="H61">
    <cfRule type="expression" dxfId="418" priority="84">
      <formula>$F$14&lt;4</formula>
    </cfRule>
  </conditionalFormatting>
  <conditionalFormatting sqref="I61">
    <cfRule type="expression" dxfId="417" priority="82">
      <formula>$F$14&lt;5</formula>
    </cfRule>
  </conditionalFormatting>
  <conditionalFormatting sqref="J61">
    <cfRule type="expression" dxfId="416" priority="83">
      <formula>$F$14&lt;6</formula>
    </cfRule>
  </conditionalFormatting>
  <conditionalFormatting sqref="F61:K61">
    <cfRule type="expression" dxfId="415" priority="87">
      <formula>$F$14&lt;=7</formula>
    </cfRule>
  </conditionalFormatting>
  <conditionalFormatting sqref="E61">
    <cfRule type="expression" dxfId="414" priority="80">
      <formula>$F$14&lt;=7</formula>
    </cfRule>
  </conditionalFormatting>
  <conditionalFormatting sqref="K85">
    <cfRule type="expression" dxfId="413" priority="100">
      <formula>$I$14&lt;7</formula>
    </cfRule>
  </conditionalFormatting>
  <conditionalFormatting sqref="F85">
    <cfRule type="expression" dxfId="412" priority="70">
      <formula>$I$14&lt;2</formula>
    </cfRule>
  </conditionalFormatting>
  <conditionalFormatting sqref="G85">
    <cfRule type="expression" dxfId="411" priority="69">
      <formula>$I$14&lt;3</formula>
    </cfRule>
  </conditionalFormatting>
  <conditionalFormatting sqref="H85">
    <cfRule type="expression" dxfId="410" priority="68">
      <formula>$I$14&lt;4</formula>
    </cfRule>
  </conditionalFormatting>
  <conditionalFormatting sqref="I85">
    <cfRule type="expression" dxfId="409" priority="66">
      <formula>$I$14&lt;5</formula>
    </cfRule>
  </conditionalFormatting>
  <conditionalFormatting sqref="J85">
    <cfRule type="expression" dxfId="408" priority="67">
      <formula>$I$14&lt;6</formula>
    </cfRule>
  </conditionalFormatting>
  <conditionalFormatting sqref="I14:K26">
    <cfRule type="expression" dxfId="407" priority="57">
      <formula>$F$12&lt;2</formula>
    </cfRule>
  </conditionalFormatting>
  <conditionalFormatting sqref="F18:H18">
    <cfRule type="expression" dxfId="406" priority="56">
      <formula>$F$12=1</formula>
    </cfRule>
  </conditionalFormatting>
  <conditionalFormatting sqref="I13:K13">
    <cfRule type="expression" dxfId="405" priority="55">
      <formula>$F$12&lt;2</formula>
    </cfRule>
  </conditionalFormatting>
  <conditionalFormatting sqref="F12:H12">
    <cfRule type="expression" dxfId="404" priority="53">
      <formula>$F$12="-Velg-"</formula>
    </cfRule>
  </conditionalFormatting>
  <conditionalFormatting sqref="C91:R120">
    <cfRule type="expression" dxfId="403" priority="24">
      <formula>$F$12&lt;&gt;2</formula>
    </cfRule>
  </conditionalFormatting>
  <conditionalFormatting sqref="C67:R89">
    <cfRule type="expression" dxfId="402" priority="28">
      <formula>$F$12&lt;&gt;2</formula>
    </cfRule>
  </conditionalFormatting>
  <conditionalFormatting sqref="C43:R65">
    <cfRule type="expression" dxfId="401" priority="30">
      <formula>$F$12="-Velg-"</formula>
    </cfRule>
  </conditionalFormatting>
  <conditionalFormatting sqref="E28:L28">
    <cfRule type="expression" dxfId="400" priority="48">
      <formula>$F$12=1</formula>
    </cfRule>
  </conditionalFormatting>
  <conditionalFormatting sqref="E30:H34">
    <cfRule type="expression" dxfId="399" priority="45">
      <formula>$F$12&lt;2</formula>
    </cfRule>
  </conditionalFormatting>
  <conditionalFormatting sqref="D63">
    <cfRule type="expression" dxfId="398" priority="32">
      <formula>$F$12="-Velg-"</formula>
    </cfRule>
  </conditionalFormatting>
  <conditionalFormatting sqref="D88">
    <cfRule type="expression" dxfId="397" priority="39">
      <formula>$I$17="Tallverdi"</formula>
    </cfRule>
    <cfRule type="expression" dxfId="396" priority="40">
      <formula>$I$17="Prosent endring fra basisverdi"</formula>
    </cfRule>
  </conditionalFormatting>
  <conditionalFormatting sqref="D64">
    <cfRule type="expression" dxfId="395" priority="38">
      <formula>$F$12="-Velg-"</formula>
    </cfRule>
  </conditionalFormatting>
  <conditionalFormatting sqref="D64">
    <cfRule type="expression" dxfId="394" priority="36">
      <formula>$F$17="Tallverdi"</formula>
    </cfRule>
    <cfRule type="expression" dxfId="393" priority="37">
      <formula>$F$17="Prosent endring fra basisverdi"</formula>
    </cfRule>
  </conditionalFormatting>
  <conditionalFormatting sqref="F20:H26">
    <cfRule type="expression" dxfId="392" priority="34">
      <formula>$F$14="-Velg-"</formula>
    </cfRule>
  </conditionalFormatting>
  <conditionalFormatting sqref="D82">
    <cfRule type="expression" dxfId="391" priority="33">
      <formula>$F$12="-Velg-"</formula>
    </cfRule>
  </conditionalFormatting>
  <conditionalFormatting sqref="E54:K56 E59:K61">
    <cfRule type="expression" dxfId="390" priority="50">
      <formula>$F$14="-Velg-"</formula>
    </cfRule>
  </conditionalFormatting>
  <conditionalFormatting sqref="E53:K53 D54:D56 E58:K58 D59:D61">
    <cfRule type="expression" dxfId="389" priority="172">
      <formula>$F$14="-Velg-"</formula>
    </cfRule>
  </conditionalFormatting>
  <conditionalFormatting sqref="E77:K77 E82:K82 D78:D80 D83:D85">
    <cfRule type="expression" dxfId="388" priority="29">
      <formula>$I$14="-Velg-"</formula>
    </cfRule>
  </conditionalFormatting>
  <conditionalFormatting sqref="E78:K80 E83:K85">
    <cfRule type="expression" dxfId="387" priority="51">
      <formula>$I$14="-Velg-"</formula>
    </cfRule>
  </conditionalFormatting>
  <conditionalFormatting sqref="E102:K102 E112:K112 D113:K119 D103:K109">
    <cfRule type="expression" dxfId="386" priority="27">
      <formula>OR($F$14="-Velg-",$I$14="-Velg-")</formula>
    </cfRule>
  </conditionalFormatting>
  <conditionalFormatting sqref="D63:D64 D87:D88">
    <cfRule type="expression" dxfId="385" priority="41">
      <formula>$J$38=FALSE</formula>
    </cfRule>
  </conditionalFormatting>
  <conditionalFormatting sqref="D102 D112">
    <cfRule type="expression" dxfId="384" priority="26">
      <formula>OR($F$14&lt;=7,$F$14="-Velg-")</formula>
    </cfRule>
  </conditionalFormatting>
  <conditionalFormatting sqref="D13:L34">
    <cfRule type="expression" dxfId="383" priority="18">
      <formula>$F$12="-Velg-"</formula>
    </cfRule>
  </conditionalFormatting>
  <conditionalFormatting sqref="D20">
    <cfRule type="expression" dxfId="382" priority="16">
      <formula>OR($F$14&gt;=1,$I$14&gt;=1)</formula>
    </cfRule>
  </conditionalFormatting>
  <conditionalFormatting sqref="D20:D26">
    <cfRule type="expression" dxfId="381" priority="8">
      <formula>AND($F$14="-Velg-",$I$14="-Velg-")</formula>
    </cfRule>
  </conditionalFormatting>
  <conditionalFormatting sqref="D21">
    <cfRule type="expression" dxfId="380" priority="14">
      <formula>OR(AND($F$14&gt;=2,$F$14&lt;&gt;"-Velg-"),AND($I$14&gt;=2,$I$14&lt;&gt;"-Velg-"))</formula>
    </cfRule>
  </conditionalFormatting>
  <conditionalFormatting sqref="D22">
    <cfRule type="expression" dxfId="379" priority="13">
      <formula>OR(AND($F$14&gt;=3,$F$14&lt;&gt;"-Velg-"),AND($I$14&gt;=3,$I$14&lt;&gt;"-Velg-"))</formula>
    </cfRule>
  </conditionalFormatting>
  <conditionalFormatting sqref="D23">
    <cfRule type="expression" dxfId="378" priority="12">
      <formula>OR(AND($F$14&gt;=4,$F$14&lt;&gt;"-Velg-"),AND($I$14&gt;=4,$I$14&lt;&gt;"-Velg-"))</formula>
    </cfRule>
  </conditionalFormatting>
  <conditionalFormatting sqref="D24">
    <cfRule type="expression" dxfId="377" priority="11">
      <formula>OR(AND($F$14&gt;=5,$F$14&lt;&gt;"-Velg-"),AND($I$14&gt;=5,$I$14&lt;&gt;"-Velg-"))</formula>
    </cfRule>
  </conditionalFormatting>
  <conditionalFormatting sqref="D25">
    <cfRule type="expression" dxfId="376" priority="10">
      <formula>OR(AND($F$14&gt;=6,$F$14&lt;&gt;"-Velg-"),AND($I$14&gt;=6,$I$14&lt;&gt;"-Velg-"))</formula>
    </cfRule>
  </conditionalFormatting>
  <conditionalFormatting sqref="D26">
    <cfRule type="expression" dxfId="375" priority="9">
      <formula>OR(AND($F$14&gt;=7,$F$14&lt;&gt;"-Velg-"),AND($I$14&gt;=7,$I$14&lt;&gt;"-Velg-"))</formula>
    </cfRule>
  </conditionalFormatting>
  <conditionalFormatting sqref="E54:K54 E59:K59 D103:D109 D113:D119">
    <cfRule type="expression" dxfId="374" priority="6">
      <formula>INDEX(parameter_units,MATCH(parameter1_sens,parameters,0))="Prosent"</formula>
    </cfRule>
  </conditionalFormatting>
  <conditionalFormatting sqref="E78:K78 E83:K83 E102:K102 E112:K112">
    <cfRule type="expression" dxfId="373" priority="5">
      <formula>INDEX(parameter_units,MATCH(parameter2_sens,parameters,0))</formula>
    </cfRule>
  </conditionalFormatting>
  <dataValidations count="7">
    <dataValidation type="list" allowBlank="1" showInputMessage="1" showErrorMessage="1" sqref="F12:H12" xr:uid="{82FD3BB4-DCCF-4241-9E86-A989FE3B5EE8}">
      <formula1>Antall_samtidige_liste</formula1>
    </dataValidation>
    <dataValidation type="list" allowBlank="1" showInputMessage="1" showErrorMessage="1" sqref="F14:K14" xr:uid="{C1B65FA5-5D2E-F44F-8188-27E46661D6F9}">
      <formula1>Antall_mulige_verdier</formula1>
    </dataValidation>
    <dataValidation type="list" allowBlank="1" showInputMessage="1" showErrorMessage="1" sqref="I17:K17" xr:uid="{4D5A72CC-B39B-409D-908D-E78BE48CB0C7}">
      <formula1>INDIRECT(VLOOKUP(parameter2_sens,Oppslagsliste_parametere,5,FALSE))</formula1>
    </dataValidation>
    <dataValidation type="list" allowBlank="1" showErrorMessage="1" sqref="F16:K16" xr:uid="{8391C5BB-1E1C-A34C-8FB3-A22C9BDC724E}">
      <formula1>parameters</formula1>
    </dataValidation>
    <dataValidation type="list" allowBlank="1" showInputMessage="1" sqref="I16:K16" xr:uid="{5AD50335-CD33-4669-BA84-C507087E4ADD}">
      <formula1>parameters</formula1>
    </dataValidation>
    <dataValidation type="list" allowBlank="1" showInputMessage="1" showErrorMessage="1" sqref="F17:H17" xr:uid="{F01166CC-7E17-554A-BE08-3E0F4810AF3B}">
      <formula1>INDIRECT(VLOOKUP(parameter1_sens,Oppslagsliste_parametere,5,FALSE))</formula1>
    </dataValidation>
    <dataValidation type="list" allowBlank="1" showInputMessage="1" promptTitle="sag" prompt="asg" sqref="F16:H16" xr:uid="{2CAB2584-DBFE-444C-B85C-3526D8D154CE}">
      <formula1>parameters</formula1>
    </dataValidation>
  </dataValidations>
  <pageMargins left="0.7" right="0.7" top="0.75" bottom="0.75" header="0.3" footer="0.3"/>
  <pageSetup paperSize="9" orientation="portrait" r:id="rId1"/>
  <drawing r:id="rId2"/>
  <legacyDrawing r:id="rId3"/>
  <controls>
    <mc:AlternateContent xmlns:mc="http://schemas.openxmlformats.org/markup-compatibility/2006">
      <mc:Choice Requires="x14">
        <control shapeId="2" r:id="rId4" name="break_even_check">
          <controlPr defaultSize="0" autoLine="0" r:id="rId5">
            <anchor moveWithCells="1">
              <from>
                <xdr:col>5</xdr:col>
                <xdr:colOff>184150</xdr:colOff>
                <xdr:row>36</xdr:row>
                <xdr:rowOff>38100</xdr:rowOff>
              </from>
              <to>
                <xdr:col>8</xdr:col>
                <xdr:colOff>622300</xdr:colOff>
                <xdr:row>38</xdr:row>
                <xdr:rowOff>44450</xdr:rowOff>
              </to>
            </anchor>
          </controlPr>
        </control>
      </mc:Choice>
      <mc:Fallback>
        <control shapeId="30732" r:id="rId4" name="break_even_check"/>
      </mc:Fallback>
    </mc:AlternateContent>
    <mc:AlternateContent xmlns:mc="http://schemas.openxmlformats.org/markup-compatibility/2006">
      <mc:Choice Requires="x14">
        <control shapeId="3" r:id="rId6" name="Button 1">
          <controlPr defaultSize="0" print="0" autoFill="0" autoPict="0" macro="[0]!Sensitivitet">
            <anchor moveWithCells="1" sizeWithCells="1">
              <from>
                <xdr:col>3</xdr:col>
                <xdr:colOff>12700</xdr:colOff>
                <xdr:row>36</xdr:row>
                <xdr:rowOff>50800</xdr:rowOff>
              </from>
              <to>
                <xdr:col>5</xdr:col>
                <xdr:colOff>88900</xdr:colOff>
                <xdr:row>38</xdr:row>
                <xdr:rowOff>50800</xdr:rowOff>
              </to>
            </anchor>
          </controlPr>
        </control>
      </mc:Choice>
    </mc:AlternateContent>
    <mc:AlternateContent xmlns:mc="http://schemas.openxmlformats.org/markup-compatibility/2006">
      <mc:Choice Requires="x14">
        <control shapeId="4" r:id="rId7" name="nullstill_input">
          <controlPr defaultSize="0" print="0" autoFill="0" autoPict="0" macro="[0]!nullstill_input">
            <anchor moveWithCells="1" sizeWithCells="1">
              <from>
                <xdr:col>9</xdr:col>
                <xdr:colOff>31750</xdr:colOff>
                <xdr:row>36</xdr:row>
                <xdr:rowOff>50800</xdr:rowOff>
              </from>
              <to>
                <xdr:col>12</xdr:col>
                <xdr:colOff>31750</xdr:colOff>
                <xdr:row>38</xdr:row>
                <xdr:rowOff>50800</xdr:rowOff>
              </to>
            </anchor>
          </controlPr>
        </control>
      </mc:Choice>
    </mc:AlternateContent>
    <mc:AlternateContent xmlns:mc="http://schemas.openxmlformats.org/markup-compatibility/2006">
      <mc:Choice Requires="x14">
        <control shapeId="5" r:id="rId8" name="nullstill_output">
          <controlPr defaultSize="0" print="0" autoFill="0" autoPict="0" macro="[0]!nullstill_output">
            <anchor moveWithCells="1" sizeWithCells="1">
              <from>
                <xdr:col>12</xdr:col>
                <xdr:colOff>190500</xdr:colOff>
                <xdr:row>36</xdr:row>
                <xdr:rowOff>50800</xdr:rowOff>
              </from>
              <to>
                <xdr:col>14</xdr:col>
                <xdr:colOff>438150</xdr:colOff>
                <xdr:row>38</xdr:row>
                <xdr:rowOff>50800</xdr:rowOff>
              </to>
            </anchor>
          </controlPr>
        </control>
      </mc:Choice>
    </mc:AlternateContent>
  </controls>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4BB448-AE12-46CE-9C93-BB7E1C1C9FEE}">
  <sheetPr codeName="Ark22">
    <tabColor theme="4" tint="-0.249977111117893"/>
  </sheetPr>
  <dimension ref="A1:AR37"/>
  <sheetViews>
    <sheetView zoomScaleNormal="100" workbookViewId="0"/>
  </sheetViews>
  <sheetFormatPr baseColWidth="10" defaultColWidth="10.81640625" defaultRowHeight="14.5" x14ac:dyDescent="0.35"/>
  <cols>
    <col min="1" max="1" width="1.26953125" style="823" customWidth="1"/>
    <col min="2" max="2" width="37" style="823" customWidth="1"/>
    <col min="3" max="3" width="25.81640625" style="823" customWidth="1"/>
    <col min="4" max="4" width="25.1796875" style="823" bestFit="1" customWidth="1"/>
    <col min="5" max="5" width="13.1796875" style="823" bestFit="1" customWidth="1"/>
    <col min="6" max="6" width="9.1796875" style="823" bestFit="1" customWidth="1"/>
    <col min="7" max="7" width="12.7265625" style="823" bestFit="1" customWidth="1"/>
    <col min="8" max="8" width="10.1796875" style="823" bestFit="1" customWidth="1"/>
    <col min="9" max="9" width="11.81640625" style="823" bestFit="1" customWidth="1"/>
    <col min="10" max="10" width="11.81640625" style="823" customWidth="1"/>
    <col min="11" max="11" width="20.81640625" style="823" customWidth="1"/>
    <col min="12" max="12" width="11.1796875" style="823" bestFit="1" customWidth="1"/>
    <col min="13" max="13" width="15.26953125" style="823" customWidth="1"/>
    <col min="14" max="14" width="20.54296875" style="823" bestFit="1" customWidth="1"/>
    <col min="15" max="15" width="31.26953125" style="823" customWidth="1"/>
    <col min="16" max="16" width="2.453125" style="823" customWidth="1"/>
    <col min="17" max="17" width="15.1796875" style="823" customWidth="1"/>
    <col min="18" max="18" width="37" style="823" customWidth="1"/>
    <col min="19" max="19" width="22.26953125" style="823" customWidth="1"/>
    <col min="20" max="20" width="4.81640625" style="823" customWidth="1"/>
    <col min="21" max="21" width="9.81640625" style="823" customWidth="1"/>
    <col min="22" max="22" width="2.453125" style="823" customWidth="1"/>
    <col min="23" max="23" width="47.81640625" style="823" bestFit="1" customWidth="1"/>
    <col min="24" max="24" width="17.1796875" style="823" bestFit="1" customWidth="1"/>
    <col min="25" max="25" width="17.453125" style="823" bestFit="1" customWidth="1"/>
    <col min="26" max="26" width="3.1796875" style="823" customWidth="1"/>
    <col min="27" max="27" width="46.1796875" style="823" bestFit="1" customWidth="1"/>
    <col min="28" max="28" width="47.1796875" style="823" bestFit="1" customWidth="1"/>
    <col min="29" max="29" width="1.81640625" style="823" customWidth="1"/>
    <col min="30" max="30" width="43.453125" style="823" customWidth="1"/>
    <col min="31" max="32" width="11.1796875" style="823" customWidth="1"/>
    <col min="33" max="33" width="11.54296875" style="823" customWidth="1"/>
    <col min="34" max="34" width="2.453125" style="823" customWidth="1"/>
    <col min="35" max="35" width="26" style="823" customWidth="1"/>
    <col min="36" max="36" width="11.1796875" style="823" customWidth="1"/>
    <col min="37" max="37" width="12.81640625" style="823" customWidth="1"/>
    <col min="38" max="38" width="15.7265625" style="823" customWidth="1"/>
    <col min="39" max="39" width="10.81640625" style="823"/>
    <col min="40" max="40" width="2.453125" style="823" customWidth="1"/>
    <col min="41" max="41" width="42.81640625" style="823" customWidth="1"/>
    <col min="42" max="42" width="10.81640625" style="823"/>
    <col min="43" max="43" width="13.1796875" style="823" customWidth="1"/>
    <col min="44" max="44" width="11.1796875" style="823" customWidth="1"/>
    <col min="45" max="16384" width="10.81640625" style="823"/>
  </cols>
  <sheetData>
    <row r="1" spans="1:44" x14ac:dyDescent="0.35">
      <c r="E1" s="916"/>
      <c r="F1" s="916"/>
      <c r="G1" s="916"/>
      <c r="H1" s="916"/>
      <c r="I1" s="916"/>
      <c r="J1" s="916"/>
      <c r="K1" s="916"/>
      <c r="L1" s="916"/>
    </row>
    <row r="4" spans="1:44" ht="15" thickBot="1" x14ac:dyDescent="0.4"/>
    <row r="5" spans="1:44" ht="18.5" x14ac:dyDescent="0.45">
      <c r="B5" s="824" t="s">
        <v>717</v>
      </c>
      <c r="C5" s="827"/>
      <c r="D5" s="829"/>
      <c r="X5" s="935"/>
    </row>
    <row r="6" spans="1:44" x14ac:dyDescent="0.35">
      <c r="B6" s="841"/>
      <c r="C6" s="1515" t="s">
        <v>912</v>
      </c>
      <c r="D6" s="1516"/>
      <c r="X6" s="935"/>
    </row>
    <row r="7" spans="1:44" ht="16" x14ac:dyDescent="0.4">
      <c r="B7" s="841"/>
      <c r="C7" s="1586" t="s">
        <v>1918</v>
      </c>
      <c r="D7" s="1587"/>
      <c r="AI7" s="890"/>
    </row>
    <row r="8" spans="1:44" ht="15" thickBot="1" x14ac:dyDescent="0.4">
      <c r="B8" s="842"/>
      <c r="C8" s="1588" t="s">
        <v>916</v>
      </c>
      <c r="D8" s="1589"/>
      <c r="AO8" s="892"/>
    </row>
    <row r="9" spans="1:44" ht="10" customHeight="1" x14ac:dyDescent="0.35"/>
    <row r="10" spans="1:44" ht="26" x14ac:dyDescent="0.6">
      <c r="B10" s="98" t="s">
        <v>1919</v>
      </c>
      <c r="Y10" s="896"/>
    </row>
    <row r="11" spans="1:44" ht="15" thickBot="1" x14ac:dyDescent="0.4">
      <c r="O11" s="869"/>
      <c r="AD11" s="869"/>
      <c r="AE11" s="869"/>
      <c r="AF11" s="869"/>
      <c r="AG11" s="869"/>
    </row>
    <row r="12" spans="1:44" ht="18.649999999999999" customHeight="1" x14ac:dyDescent="0.5">
      <c r="A12" s="825"/>
      <c r="B12" s="1590" t="s">
        <v>1920</v>
      </c>
      <c r="C12" s="1591"/>
      <c r="D12" s="1591"/>
      <c r="E12" s="826"/>
      <c r="F12" s="826"/>
      <c r="G12" s="826"/>
      <c r="H12" s="827"/>
      <c r="I12" s="827"/>
      <c r="J12" s="827"/>
      <c r="K12" s="828"/>
      <c r="L12" s="828"/>
      <c r="M12" s="827"/>
      <c r="N12" s="827"/>
      <c r="O12" s="829"/>
      <c r="Q12" s="1580" t="s">
        <v>1921</v>
      </c>
      <c r="R12" s="1581"/>
      <c r="S12" s="1581"/>
      <c r="T12" s="1581"/>
      <c r="U12" s="1582"/>
      <c r="W12" s="1590" t="s">
        <v>1922</v>
      </c>
      <c r="X12" s="1591"/>
      <c r="Y12" s="1592"/>
      <c r="Z12" s="825"/>
      <c r="AA12" s="1590" t="s">
        <v>1923</v>
      </c>
      <c r="AB12" s="1592"/>
      <c r="AC12" s="848"/>
      <c r="AD12" s="1583" t="str">
        <f>"Kumulativ fordeling"</f>
        <v>Kumulativ fordeling</v>
      </c>
      <c r="AE12" s="1584"/>
      <c r="AF12" s="1584"/>
      <c r="AG12" s="1585"/>
      <c r="AI12" s="1583" t="s">
        <v>1924</v>
      </c>
      <c r="AJ12" s="1584"/>
      <c r="AK12" s="1584"/>
      <c r="AL12" s="1584"/>
      <c r="AM12" s="1585"/>
      <c r="AO12" s="1583" t="s">
        <v>1925</v>
      </c>
      <c r="AP12" s="1584"/>
      <c r="AQ12" s="1584"/>
      <c r="AR12" s="1585"/>
    </row>
    <row r="13" spans="1:44" ht="14.5" customHeight="1" x14ac:dyDescent="0.45">
      <c r="A13" s="825"/>
      <c r="B13" s="830"/>
      <c r="C13" s="830"/>
      <c r="D13" s="830"/>
      <c r="E13" s="830"/>
      <c r="F13" s="830"/>
      <c r="G13" s="830"/>
      <c r="H13" s="831"/>
      <c r="I13" s="831"/>
      <c r="J13" s="831"/>
      <c r="K13" s="832"/>
      <c r="L13" s="832"/>
      <c r="M13" s="832"/>
      <c r="N13" s="832"/>
      <c r="O13" s="833"/>
      <c r="P13" s="899"/>
      <c r="Q13" s="901"/>
      <c r="R13" s="832"/>
      <c r="S13" s="832"/>
      <c r="T13" s="832"/>
      <c r="U13" s="833"/>
      <c r="W13" s="847"/>
      <c r="X13" s="830"/>
      <c r="Y13" s="833"/>
      <c r="Z13" s="825"/>
      <c r="AA13" s="847"/>
      <c r="AB13" s="846"/>
      <c r="AC13" s="848"/>
      <c r="AD13" s="870"/>
      <c r="AE13" s="871"/>
      <c r="AF13" s="871"/>
      <c r="AG13" s="872"/>
      <c r="AI13" s="873"/>
      <c r="AJ13" s="874"/>
      <c r="AK13" s="874"/>
      <c r="AL13" s="874"/>
      <c r="AM13" s="875"/>
      <c r="AO13" s="870"/>
      <c r="AP13" s="871"/>
      <c r="AQ13" s="871"/>
      <c r="AR13" s="872"/>
    </row>
    <row r="14" spans="1:44" ht="14.5" customHeight="1" x14ac:dyDescent="0.45">
      <c r="A14" s="825"/>
      <c r="B14" s="835"/>
      <c r="C14" s="834"/>
      <c r="D14" s="834"/>
      <c r="E14" s="834"/>
      <c r="F14" s="834"/>
      <c r="G14" s="834"/>
      <c r="H14" s="835"/>
      <c r="I14" s="835"/>
      <c r="J14" s="835"/>
      <c r="K14" s="836"/>
      <c r="L14" s="836"/>
      <c r="M14" s="836"/>
      <c r="N14" s="836"/>
      <c r="O14" s="837"/>
      <c r="P14" s="899"/>
      <c r="Q14" s="902"/>
      <c r="R14" s="836"/>
      <c r="S14" s="836"/>
      <c r="T14" s="836"/>
      <c r="U14" s="837"/>
      <c r="W14" s="894"/>
      <c r="X14" s="834"/>
      <c r="Y14" s="837"/>
      <c r="Z14" s="825"/>
      <c r="AA14" s="920" t="s">
        <v>1926</v>
      </c>
      <c r="AB14" s="854" t="s">
        <v>1491</v>
      </c>
      <c r="AC14" s="848"/>
      <c r="AD14" s="886" t="s">
        <v>1927</v>
      </c>
      <c r="AE14" s="884" t="s">
        <v>1928</v>
      </c>
      <c r="AF14" s="885" cm="1">
        <f t="array" aca="1" ref="AF14" ca="1">IFERROR(_xlfn.PERCENTILE.EXC(MonteCarlo_Figurer_Valgt_Serie,MonteCarlo_Figurer_Persentil1),"")</f>
        <v>0</v>
      </c>
      <c r="AG14" s="853"/>
      <c r="AI14" s="841" t="s">
        <v>1929</v>
      </c>
      <c r="AJ14" s="876" t="s">
        <v>1082</v>
      </c>
      <c r="AK14" s="835"/>
      <c r="AL14" s="835"/>
      <c r="AM14" s="861"/>
      <c r="AO14" s="893" t="s">
        <v>1930</v>
      </c>
      <c r="AP14" s="857"/>
      <c r="AQ14" s="857"/>
      <c r="AR14" s="853"/>
    </row>
    <row r="15" spans="1:44" ht="14.5" customHeight="1" x14ac:dyDescent="0.45">
      <c r="A15" s="825"/>
      <c r="B15" s="835" t="s">
        <v>1931</v>
      </c>
      <c r="C15" s="851"/>
      <c r="D15" s="834"/>
      <c r="E15" s="834"/>
      <c r="F15" s="834"/>
      <c r="G15" s="834"/>
      <c r="H15" s="835"/>
      <c r="I15" s="835"/>
      <c r="J15" s="835"/>
      <c r="K15" s="836"/>
      <c r="L15" s="836"/>
      <c r="M15" s="836"/>
      <c r="N15" s="836"/>
      <c r="O15" s="837"/>
      <c r="P15" s="899"/>
      <c r="Q15" s="841" t="s">
        <v>1932</v>
      </c>
      <c r="R15" s="867" t="s">
        <v>1862</v>
      </c>
      <c r="S15" s="835"/>
      <c r="T15" s="836"/>
      <c r="U15" s="837"/>
      <c r="W15" s="841"/>
      <c r="X15" s="835"/>
      <c r="Y15" s="837"/>
      <c r="Z15" s="825"/>
      <c r="AA15" s="921" t="s">
        <v>1933</v>
      </c>
      <c r="AB15" s="922" t="s">
        <v>1934</v>
      </c>
      <c r="AC15" s="848"/>
      <c r="AD15" s="841"/>
      <c r="AE15" s="884" t="s">
        <v>1792</v>
      </c>
      <c r="AF15" s="885" cm="1">
        <f t="array" aca="1" ref="AF15" ca="1">IFERROR(_xlfn.PERCENTILE.EXC(MonteCarlo_Figurer_Valgt_Serie,MonteCarlo_Figurer_Persentil2),"")</f>
        <v>0</v>
      </c>
      <c r="AG15" s="861"/>
      <c r="AI15" s="841" t="s">
        <v>1935</v>
      </c>
      <c r="AJ15" s="867">
        <v>20</v>
      </c>
      <c r="AK15" s="835"/>
      <c r="AL15" s="835"/>
      <c r="AM15" s="861"/>
      <c r="AO15" s="291" t="s">
        <v>1936</v>
      </c>
      <c r="AP15" s="891" t="str">
        <f ca="1">IFERROR(_xlfn.NORM.INV(0.9725,0,1)*$AB$20/(($AB$17)^0.5)/AB19,"")</f>
        <v/>
      </c>
      <c r="AQ15" s="835"/>
      <c r="AR15" s="861"/>
    </row>
    <row r="16" spans="1:44" ht="14.5" customHeight="1" x14ac:dyDescent="0.45">
      <c r="A16" s="825"/>
      <c r="B16" s="835" t="s">
        <v>1937</v>
      </c>
      <c r="C16" s="682"/>
      <c r="D16" s="834"/>
      <c r="E16" s="834"/>
      <c r="F16" s="834"/>
      <c r="G16" s="834"/>
      <c r="H16" s="835"/>
      <c r="I16" s="835"/>
      <c r="J16" s="835"/>
      <c r="K16" s="836"/>
      <c r="L16" s="836"/>
      <c r="M16" s="836"/>
      <c r="N16" s="836"/>
      <c r="O16" s="837"/>
      <c r="P16" s="899"/>
      <c r="Q16" s="841" t="s">
        <v>1938</v>
      </c>
      <c r="R16" s="867" t="s">
        <v>1939</v>
      </c>
      <c r="S16" s="836"/>
      <c r="T16" s="836"/>
      <c r="U16" s="837"/>
      <c r="W16" s="841" t="s">
        <v>1940</v>
      </c>
      <c r="X16" s="12"/>
      <c r="Y16" s="837"/>
      <c r="Z16" s="825"/>
      <c r="AA16" s="882" t="s">
        <v>1941</v>
      </c>
      <c r="AB16" s="855">
        <f>IFERROR(MATCH($AB$14,'4.2.3 Monte Carlo resultater'!1:1,0),0)</f>
        <v>1</v>
      </c>
      <c r="AC16" s="848"/>
      <c r="AD16" s="841"/>
      <c r="AE16" s="884" t="s">
        <v>1942</v>
      </c>
      <c r="AF16" s="885" cm="1">
        <f t="array" aca="1" ref="AF16" ca="1">IFERROR(_xlfn.PERCENTILE.EXC(MonteCarlo_Figurer_Valgt_Serie,MonteCarlo_Figurer_Persentil3),"")</f>
        <v>0</v>
      </c>
      <c r="AG16" s="861"/>
      <c r="AI16" s="841" t="s">
        <v>1943</v>
      </c>
      <c r="AJ16" s="867">
        <v>0</v>
      </c>
      <c r="AK16" s="835"/>
      <c r="AL16" s="835"/>
      <c r="AM16" s="861"/>
      <c r="AO16" s="841" t="s">
        <v>1944</v>
      </c>
      <c r="AP16" s="885" t="str">
        <f ca="1">IFERROR((1-$AP$15)*$AB$19,"")</f>
        <v/>
      </c>
      <c r="AQ16" s="835"/>
      <c r="AR16" s="861"/>
    </row>
    <row r="17" spans="1:44" ht="14.5" customHeight="1" x14ac:dyDescent="0.45">
      <c r="A17" s="825"/>
      <c r="B17" s="835"/>
      <c r="C17" s="834"/>
      <c r="D17" s="834"/>
      <c r="E17" s="834"/>
      <c r="F17" s="834"/>
      <c r="G17" s="834"/>
      <c r="H17" s="835"/>
      <c r="I17" s="835"/>
      <c r="J17" s="835"/>
      <c r="K17" s="836"/>
      <c r="L17" s="836"/>
      <c r="M17" s="836"/>
      <c r="N17" s="836"/>
      <c r="O17" s="837"/>
      <c r="P17" s="899"/>
      <c r="Q17" s="887"/>
      <c r="R17" s="903"/>
      <c r="S17" s="903"/>
      <c r="T17" s="903"/>
      <c r="U17" s="904"/>
      <c r="W17" s="841"/>
      <c r="X17" s="834"/>
      <c r="Y17" s="837"/>
      <c r="Z17" s="825"/>
      <c r="AA17" s="883" t="s">
        <v>1945</v>
      </c>
      <c r="AB17" s="856">
        <f>COUNTA('4.2.3 Monte Carlo resultater'!A:A)-IF(COUNTA('4.2.3 Monte Carlo resultater'!A:A)&gt;0,1,0)</f>
        <v>1000</v>
      </c>
      <c r="AC17" s="848"/>
      <c r="AD17" s="879" t="str">
        <f>"Sannsynlighet for mindre eller lik 0 "&amp;AB18</f>
        <v>Sannsynlighet for mindre eller lik 0 Mill kr</v>
      </c>
      <c r="AE17" s="911"/>
      <c r="AF17" s="910">
        <f ca="1">IF(MonteCarlo_Figurer_Valgt="","",IFERROR('4.2.3 Monte Carlo resultater'!BN2,0))</f>
        <v>0</v>
      </c>
      <c r="AG17" s="878"/>
      <c r="AI17" s="879" t="str">
        <f>AB18&amp;" per bolk"</f>
        <v>Mill kr per bolk</v>
      </c>
      <c r="AJ17" s="867">
        <v>0.01</v>
      </c>
      <c r="AK17" s="877"/>
      <c r="AL17" s="877"/>
      <c r="AM17" s="878"/>
      <c r="AO17" s="887" t="s">
        <v>1946</v>
      </c>
      <c r="AP17" s="885" t="str">
        <f ca="1">IFERROR((1+$AP$15)*$AB$19,"")</f>
        <v/>
      </c>
      <c r="AQ17" s="877"/>
      <c r="AR17" s="878"/>
    </row>
    <row r="18" spans="1:44" ht="14.5" customHeight="1" x14ac:dyDescent="0.35">
      <c r="A18" s="825"/>
      <c r="B18" s="838" t="s">
        <v>1932</v>
      </c>
      <c r="C18" s="839" t="s">
        <v>1947</v>
      </c>
      <c r="D18" s="839" t="s">
        <v>1948</v>
      </c>
      <c r="E18" s="1578" t="s">
        <v>1949</v>
      </c>
      <c r="F18" s="1579"/>
      <c r="G18" s="1578" t="s">
        <v>1950</v>
      </c>
      <c r="H18" s="1579"/>
      <c r="I18" s="1578" t="s">
        <v>1951</v>
      </c>
      <c r="J18" s="1579"/>
      <c r="K18" s="1578" t="s">
        <v>1952</v>
      </c>
      <c r="L18" s="1579"/>
      <c r="M18" s="839" t="s">
        <v>1877</v>
      </c>
      <c r="N18" s="839" t="s">
        <v>534</v>
      </c>
      <c r="O18" s="897" t="s">
        <v>1953</v>
      </c>
      <c r="P18" s="900"/>
      <c r="Q18" s="905"/>
      <c r="R18" s="900"/>
      <c r="S18" s="900"/>
      <c r="T18" s="900"/>
      <c r="U18" s="825"/>
      <c r="W18" s="888" t="s">
        <v>1932</v>
      </c>
      <c r="X18" s="849" t="s">
        <v>1954</v>
      </c>
      <c r="Y18" s="850" t="s">
        <v>1955</v>
      </c>
      <c r="Z18" s="825"/>
      <c r="AA18" s="841"/>
      <c r="AB18" s="868" t="str">
        <f>IFERROR(INDEX(MonteCarlo_Resultater_Mulige_Benevning,MATCH(MonteCarlo_Figurer_Valgt,MonteCarlo_Resultater_Forklaring_Mulige,0)),"")</f>
        <v>Mill kr</v>
      </c>
      <c r="AD18" s="848"/>
      <c r="AG18" s="825"/>
      <c r="AI18" s="848"/>
      <c r="AM18" s="825"/>
      <c r="AO18" s="848"/>
      <c r="AR18" s="825"/>
    </row>
    <row r="19" spans="1:44" ht="14.5" customHeight="1" x14ac:dyDescent="0.35">
      <c r="A19" s="825"/>
      <c r="B19" s="843" t="s">
        <v>1862</v>
      </c>
      <c r="C19" s="844" t="s">
        <v>1862</v>
      </c>
      <c r="D19" s="844" t="s">
        <v>1862</v>
      </c>
      <c r="E19" s="912" t="s">
        <v>1862</v>
      </c>
      <c r="F19" s="1159"/>
      <c r="G19" s="917" t="s">
        <v>795</v>
      </c>
      <c r="H19" s="925"/>
      <c r="I19" s="913"/>
      <c r="J19" s="926"/>
      <c r="K19" s="918" t="s">
        <v>1862</v>
      </c>
      <c r="L19" s="927"/>
      <c r="M19" s="928" t="str" cm="1">
        <f t="array" ref="M19">IFERROR(OpprinneligVerdi_UtenBenevning(B19),"")</f>
        <v/>
      </c>
      <c r="N19" s="919" t="str">
        <f>IF(INDEX(parameter_units,MATCH(_xlfn.SINGLE(MonteCarlo_Parametere),parameters,0))="","",INDEX(parameter_units,MATCH(_xlfn.SINGLE(MonteCarlo_Parametere),parameters,0)))</f>
        <v/>
      </c>
      <c r="O19" s="898" t="str">
        <f>IF(INDEX(parameters_forklaring,MATCH(_xlfn.SINGLE(MonteCarlo_Parametere),parameters,0))="","",INDEX(parameters_forklaring,MATCH(_xlfn.SINGLE(MonteCarlo_Parametere),parameters,0)))</f>
        <v/>
      </c>
      <c r="P19" s="128"/>
      <c r="Q19" s="906"/>
      <c r="R19" s="128"/>
      <c r="S19" s="128"/>
      <c r="T19" s="128"/>
      <c r="U19" s="825"/>
      <c r="W19" s="895" t="s">
        <v>1862</v>
      </c>
      <c r="X19" s="923" t="str">
        <f ca="1">IFERROR(AVERAGE(OFFSET('4.2.3 Monte Carlo resultater'!$A$2,0,MATCH($W19,'4.2.3 Monte Carlo resultater'!$1:$1,0)-1,$AB$17,1)),"")</f>
        <v/>
      </c>
      <c r="Y19" s="924" t="str" cm="1">
        <f t="array" aca="1" ref="Y19" ca="1">IFERROR(INDIRECT(INDEX(MonteCarlo_Resultater_Omraader_Mulige,MATCH(W19,MonteCarlo_Resultater_Forklaring_Mulige,0))),"")</f>
        <v/>
      </c>
      <c r="Z19" s="825"/>
      <c r="AA19" s="212" t="s">
        <v>795</v>
      </c>
      <c r="AB19" s="858">
        <f ca="1">IFERROR(AVERAGE(MonteCarlo_Figurer_Valgt_Serie),"")</f>
        <v>0</v>
      </c>
      <c r="AD19" s="848"/>
      <c r="AG19" s="825"/>
      <c r="AI19" s="848"/>
      <c r="AM19" s="825"/>
      <c r="AO19" s="848"/>
      <c r="AR19" s="825"/>
    </row>
    <row r="20" spans="1:44" ht="14.5" customHeight="1" x14ac:dyDescent="0.35">
      <c r="P20" s="128"/>
      <c r="Q20" s="906"/>
      <c r="R20" s="128"/>
      <c r="S20" s="128"/>
      <c r="T20" s="128"/>
      <c r="U20" s="825"/>
      <c r="Z20" s="825"/>
      <c r="AA20" s="212" t="s">
        <v>1956</v>
      </c>
      <c r="AB20" s="858">
        <f ca="1">IFERROR(_xlfn.STDEV.S(MonteCarlo_Figurer_Valgt_Serie),"")</f>
        <v>0</v>
      </c>
      <c r="AD20" s="848"/>
      <c r="AG20" s="825"/>
      <c r="AI20" s="848"/>
      <c r="AM20" s="825"/>
      <c r="AO20" s="848"/>
      <c r="AR20" s="825"/>
    </row>
    <row r="21" spans="1:44" ht="14.5" customHeight="1" x14ac:dyDescent="0.35">
      <c r="Q21" s="848"/>
      <c r="U21" s="825"/>
      <c r="Z21" s="825"/>
      <c r="AA21" s="212" t="s">
        <v>1957</v>
      </c>
      <c r="AB21" s="858">
        <f ca="1">IFERROR(MEDIAN(MonteCarlo_Figurer_Valgt_Serie),"")</f>
        <v>0</v>
      </c>
      <c r="AD21" s="848"/>
      <c r="AG21" s="825"/>
      <c r="AI21" s="848"/>
      <c r="AM21" s="825"/>
      <c r="AO21" s="848"/>
      <c r="AR21" s="825"/>
    </row>
    <row r="22" spans="1:44" x14ac:dyDescent="0.35">
      <c r="Q22" s="848"/>
      <c r="U22" s="825"/>
      <c r="Z22" s="825"/>
      <c r="AA22" s="212" t="s">
        <v>1958</v>
      </c>
      <c r="AB22" s="858">
        <f ca="1">IFERROR(MINA(MonteCarlo_Figurer_Valgt_Serie),"")</f>
        <v>0</v>
      </c>
      <c r="AD22" s="848"/>
      <c r="AG22" s="825"/>
      <c r="AI22" s="848"/>
      <c r="AM22" s="825"/>
      <c r="AO22" s="848"/>
      <c r="AR22" s="825"/>
    </row>
    <row r="23" spans="1:44" ht="15" thickBot="1" x14ac:dyDescent="0.4">
      <c r="Q23" s="848"/>
      <c r="U23" s="825"/>
      <c r="Z23" s="825"/>
      <c r="AA23" s="252" t="s">
        <v>1959</v>
      </c>
      <c r="AB23" s="859">
        <f ca="1">IFERROR(MAXA(MonteCarlo_Figurer_Valgt_Serie),"")</f>
        <v>0</v>
      </c>
      <c r="AD23" s="848"/>
      <c r="AG23" s="825"/>
      <c r="AI23" s="848"/>
      <c r="AM23" s="825"/>
      <c r="AO23" s="848"/>
      <c r="AR23" s="825"/>
    </row>
    <row r="24" spans="1:44" x14ac:dyDescent="0.35">
      <c r="Q24" s="848"/>
      <c r="U24" s="825"/>
      <c r="AD24" s="848"/>
      <c r="AG24" s="825"/>
      <c r="AI24" s="848"/>
      <c r="AM24" s="825"/>
      <c r="AO24" s="848"/>
      <c r="AR24" s="825"/>
    </row>
    <row r="25" spans="1:44" x14ac:dyDescent="0.35">
      <c r="Q25" s="848"/>
      <c r="U25" s="825"/>
      <c r="AD25" s="848"/>
      <c r="AG25" s="825"/>
      <c r="AI25" s="848"/>
      <c r="AM25" s="825"/>
      <c r="AO25" s="848"/>
      <c r="AR25" s="825"/>
    </row>
    <row r="26" spans="1:44" x14ac:dyDescent="0.35">
      <c r="Q26" s="848"/>
      <c r="U26" s="825"/>
      <c r="AD26" s="848"/>
      <c r="AG26" s="825"/>
      <c r="AI26" s="848"/>
      <c r="AM26" s="825"/>
      <c r="AO26" s="848"/>
      <c r="AR26" s="825"/>
    </row>
    <row r="27" spans="1:44" x14ac:dyDescent="0.35">
      <c r="Q27" s="848"/>
      <c r="U27" s="825"/>
      <c r="AD27" s="848"/>
      <c r="AG27" s="825"/>
      <c r="AI27" s="848"/>
      <c r="AM27" s="825"/>
      <c r="AO27" s="848"/>
      <c r="AR27" s="825"/>
    </row>
    <row r="28" spans="1:44" x14ac:dyDescent="0.35">
      <c r="Q28" s="848"/>
      <c r="U28" s="825"/>
      <c r="AD28" s="848"/>
      <c r="AG28" s="825"/>
      <c r="AI28" s="848"/>
      <c r="AM28" s="825"/>
      <c r="AO28" s="848"/>
      <c r="AR28" s="825"/>
    </row>
    <row r="29" spans="1:44" x14ac:dyDescent="0.35">
      <c r="Q29" s="848"/>
      <c r="U29" s="825"/>
      <c r="AD29" s="848"/>
      <c r="AG29" s="825"/>
      <c r="AI29" s="848"/>
      <c r="AM29" s="825"/>
      <c r="AO29" s="848"/>
      <c r="AR29" s="825"/>
    </row>
    <row r="30" spans="1:44" x14ac:dyDescent="0.35">
      <c r="Q30" s="848"/>
      <c r="U30" s="825"/>
      <c r="AD30" s="848"/>
      <c r="AG30" s="825"/>
      <c r="AI30" s="848"/>
      <c r="AM30" s="825"/>
      <c r="AO30" s="848"/>
      <c r="AR30" s="825"/>
    </row>
    <row r="31" spans="1:44" x14ac:dyDescent="0.35">
      <c r="Q31" s="848"/>
      <c r="U31" s="825"/>
      <c r="AB31" s="862"/>
      <c r="AD31" s="848"/>
      <c r="AG31" s="825"/>
      <c r="AI31" s="848"/>
      <c r="AM31" s="825"/>
      <c r="AO31" s="848"/>
      <c r="AR31" s="825"/>
    </row>
    <row r="32" spans="1:44" x14ac:dyDescent="0.35">
      <c r="Q32" s="848"/>
      <c r="U32" s="825"/>
      <c r="AD32" s="848"/>
      <c r="AG32" s="825"/>
      <c r="AI32" s="848"/>
      <c r="AM32" s="825"/>
      <c r="AO32" s="848"/>
      <c r="AR32" s="825"/>
    </row>
    <row r="33" spans="17:44" x14ac:dyDescent="0.35">
      <c r="Q33" s="848"/>
      <c r="U33" s="825"/>
      <c r="AD33" s="848"/>
      <c r="AG33" s="825"/>
      <c r="AI33" s="848"/>
      <c r="AM33" s="825"/>
      <c r="AO33" s="848"/>
      <c r="AR33" s="825"/>
    </row>
    <row r="34" spans="17:44" x14ac:dyDescent="0.35">
      <c r="Q34" s="848"/>
      <c r="U34" s="825"/>
      <c r="AD34" s="848"/>
      <c r="AG34" s="825"/>
      <c r="AI34" s="848"/>
      <c r="AK34" s="864"/>
      <c r="AM34" s="825"/>
      <c r="AO34" s="848"/>
      <c r="AR34" s="825"/>
    </row>
    <row r="35" spans="17:44" x14ac:dyDescent="0.35">
      <c r="Q35" s="848"/>
      <c r="U35" s="825"/>
      <c r="AD35" s="848"/>
      <c r="AG35" s="825"/>
      <c r="AI35" s="848"/>
      <c r="AM35" s="825"/>
      <c r="AO35" s="848"/>
      <c r="AR35" s="825"/>
    </row>
    <row r="36" spans="17:44" x14ac:dyDescent="0.35">
      <c r="Q36" s="848"/>
      <c r="U36" s="825"/>
      <c r="AD36" s="848"/>
      <c r="AG36" s="825"/>
      <c r="AI36" s="848"/>
      <c r="AM36" s="825"/>
      <c r="AO36" s="848"/>
      <c r="AR36" s="825"/>
    </row>
    <row r="37" spans="17:44" ht="15" thickBot="1" x14ac:dyDescent="0.4">
      <c r="Q37" s="880"/>
      <c r="R37" s="869"/>
      <c r="S37" s="869"/>
      <c r="T37" s="869"/>
      <c r="U37" s="881"/>
      <c r="AD37" s="880"/>
      <c r="AE37" s="869"/>
      <c r="AF37" s="869"/>
      <c r="AG37" s="881"/>
      <c r="AI37" s="880"/>
      <c r="AJ37" s="869"/>
      <c r="AK37" s="869"/>
      <c r="AL37" s="869"/>
      <c r="AM37" s="881"/>
      <c r="AO37" s="880"/>
      <c r="AP37" s="869"/>
      <c r="AQ37" s="869"/>
      <c r="AR37" s="881"/>
    </row>
  </sheetData>
  <mergeCells count="14">
    <mergeCell ref="AO12:AR12"/>
    <mergeCell ref="AI12:AM12"/>
    <mergeCell ref="C7:D7"/>
    <mergeCell ref="C6:D6"/>
    <mergeCell ref="C8:D8"/>
    <mergeCell ref="AD12:AG12"/>
    <mergeCell ref="W12:Y12"/>
    <mergeCell ref="AA12:AB12"/>
    <mergeCell ref="B12:D12"/>
    <mergeCell ref="I18:J18"/>
    <mergeCell ref="E18:F18"/>
    <mergeCell ref="G18:H18"/>
    <mergeCell ref="K18:L18"/>
    <mergeCell ref="Q12:U12"/>
  </mergeCells>
  <conditionalFormatting sqref="E19">
    <cfRule type="expression" dxfId="372" priority="65">
      <formula>IF($D19="Triangulærfordeling",1,0)</formula>
    </cfRule>
  </conditionalFormatting>
  <conditionalFormatting sqref="G19">
    <cfRule type="expression" dxfId="371" priority="33">
      <formula>IF($D19="Triangulærfordeling",1,0)</formula>
    </cfRule>
  </conditionalFormatting>
  <conditionalFormatting sqref="I19">
    <cfRule type="expression" dxfId="370" priority="30">
      <formula>IF($D19="Triangulærfordeling",1,0)</formula>
    </cfRule>
  </conditionalFormatting>
  <conditionalFormatting sqref="J19">
    <cfRule type="expression" dxfId="369" priority="11">
      <formula>IF($D19="Triangulærfordeling",1,0)</formula>
    </cfRule>
  </conditionalFormatting>
  <conditionalFormatting sqref="J19">
    <cfRule type="expression" dxfId="368" priority="10">
      <formula>IF($D19="Triangulærfordeling",1,0)</formula>
    </cfRule>
  </conditionalFormatting>
  <conditionalFormatting sqref="AJ15:AJ17">
    <cfRule type="expression" dxfId="367" priority="7">
      <formula>IF($AJ$14="Nei",1,0)</formula>
    </cfRule>
  </conditionalFormatting>
  <conditionalFormatting sqref="AB19:AB23 AF14:AF16 AP16:AP17">
    <cfRule type="expression" dxfId="366" priority="5">
      <formula>IF(AND(MonteCarlo_Figurer_AutoFormat="Ja",OR(MonteCarlo_Figurer_Valgt="Netto nåverdi per budsjettkrone (NNB)",MonteCarlo_Figurer_Valgt="Netto nåverdi per investerte krone",MonteCarlo_Figurer_Valgt="Test - Gjennomsnitt av kostnad")),1,0)</formula>
    </cfRule>
  </conditionalFormatting>
  <conditionalFormatting sqref="X19:Y19">
    <cfRule type="expression" dxfId="365" priority="4">
      <formula>IF(AND(MonteCarlo_Figurer_AutoFormat="Ja",OR($W19="Netto nåverdi per budsjettkrone (NNB)",$W19="Netto nåverdi per investerte krone",$W19="Test - Gjennomsnitt av kostnad")),1,0)</formula>
    </cfRule>
  </conditionalFormatting>
  <conditionalFormatting sqref="F19 H19 J19 L19">
    <cfRule type="expression" dxfId="364" priority="15">
      <formula>IF(OR($C19="Prosent endring fra basisverdi",$N19="Prosent"),1)</formula>
    </cfRule>
  </conditionalFormatting>
  <conditionalFormatting sqref="F19 H19 J19 L19">
    <cfRule type="expression" dxfId="363" priority="1">
      <formula>IF(OR($C19="Prosent endring fra basisverdi",$N19="Prosent"),0,1)</formula>
    </cfRule>
  </conditionalFormatting>
  <dataValidations xWindow="428" yWindow="778" count="13">
    <dataValidation type="list" allowBlank="1" showInputMessage="1" showErrorMessage="1" sqref="D19" xr:uid="{5ED81A98-C8C7-40D8-9E0F-0AC0FC73EC43}">
      <formula1>Sannsynlighetsfordelinger</formula1>
    </dataValidation>
    <dataValidation type="list" allowBlank="1" showInputMessage="1" showErrorMessage="1" sqref="B19" xr:uid="{9FF14359-5F46-4114-9954-E75594F40241}">
      <formula1>parameters</formula1>
    </dataValidation>
    <dataValidation type="list" allowBlank="1" showInputMessage="1" showErrorMessage="1" sqref="C19" xr:uid="{D32B5DEB-06A0-4975-AA89-FF7D35B5D813}">
      <formula1>INDIRECT(VLOOKUP(B19,Oppslagsliste_parametere,5,FALSE))</formula1>
    </dataValidation>
    <dataValidation type="whole" allowBlank="1" showInputMessage="1" showErrorMessage="1" sqref="C16" xr:uid="{98E7B5A3-D891-4CAC-8196-5F736E622E78}">
      <formula1>1</formula1>
      <formula2>COUNTA(parameters)</formula2>
    </dataValidation>
    <dataValidation type="whole" operator="greaterThanOrEqual" allowBlank="1" showInputMessage="1" showErrorMessage="1" sqref="C15" xr:uid="{54087AB1-BA95-45F0-96A0-3695120C8BF0}">
      <formula1>1</formula1>
    </dataValidation>
    <dataValidation type="list" allowBlank="1" showInputMessage="1" showErrorMessage="1" sqref="W19" xr:uid="{0D282370-89B6-4FCF-B4C0-A56F7773CF82}">
      <formula1>MonteCarlo_Resultater_Forklaring_Mulige</formula1>
    </dataValidation>
    <dataValidation type="list" allowBlank="1" showInputMessage="1" showErrorMessage="1" sqref="K19" xr:uid="{45F95A2B-8D57-41A5-B4F4-CF2B4498566B}">
      <formula1>MonteCarlo_Verdi3_Mulige</formula1>
    </dataValidation>
    <dataValidation type="list" allowBlank="1" showInputMessage="1" showErrorMessage="1" sqref="AE14:AE16" xr:uid="{90DC203F-560D-4745-9B9E-1AAF7908A5D9}">
      <formula1>OFFSET(MonteCarlo_Verdi1_Mulige,2,0)</formula1>
    </dataValidation>
    <dataValidation type="list" allowBlank="1" showInputMessage="1" showErrorMessage="1" sqref="AJ14 AB15" xr:uid="{AAE668CE-2D2B-4CA9-8362-0A4FC49293F8}">
      <formula1>"Ja,Nei"</formula1>
    </dataValidation>
    <dataValidation type="whole" allowBlank="1" showInputMessage="1" showErrorMessage="1" sqref="X16" xr:uid="{983BAE4D-147A-46D8-B18A-1299E44DE0F4}">
      <formula1>1</formula1>
      <formula2>COUNTA(MonteCarlo_Resultater_Forklaring_Mulige)-1</formula2>
    </dataValidation>
    <dataValidation type="list" allowBlank="1" showInputMessage="1" showErrorMessage="1" sqref="R15" xr:uid="{992F4510-696D-4BE2-A0F7-98E3F560F367}">
      <formula1>MonteCarlo_Parametere</formula1>
    </dataValidation>
    <dataValidation type="list" allowBlank="1" showInputMessage="1" showErrorMessage="1" sqref="R16" xr:uid="{05B82E88-F34D-40FE-97FA-4EF192301D4C}">
      <formula1>"Sannsynlighetstetthet, Kumulativ fordeling"</formula1>
    </dataValidation>
    <dataValidation type="list" allowBlank="1" showInputMessage="1" showErrorMessage="1" sqref="E19" xr:uid="{EDEE139B-E6D1-41D6-8EA4-9522778ACE18}">
      <formula1>MonteCarlo_Verdi1_Mulige</formula1>
    </dataValidation>
  </dataValidations>
  <pageMargins left="0.7" right="0.7" top="0.75" bottom="0.75" header="0.3" footer="0.3"/>
  <pageSetup paperSize="9" orientation="portrait" r:id="rId1"/>
  <drawing r:id="rId2"/>
  <legacyDrawing r:id="rId3"/>
  <controls>
    <mc:AlternateContent xmlns:mc="http://schemas.openxmlformats.org/markup-compatibility/2006">
      <mc:Choice Requires="x14">
        <control shapeId="4" r:id="rId4" name="SpinButton1">
          <controlPr defaultSize="0" autoLine="0" autoPict="0" r:id="rId5">
            <anchor moveWithCells="1">
              <from>
                <xdr:col>3</xdr:col>
                <xdr:colOff>50800</xdr:colOff>
                <xdr:row>15</xdr:row>
                <xdr:rowOff>0</xdr:rowOff>
              </from>
              <to>
                <xdr:col>3</xdr:col>
                <xdr:colOff>533400</xdr:colOff>
                <xdr:row>16</xdr:row>
                <xdr:rowOff>0</xdr:rowOff>
              </to>
            </anchor>
          </controlPr>
        </control>
      </mc:Choice>
      <mc:Fallback>
        <control shapeId="38934" r:id="rId4" name="SpinButton1"/>
      </mc:Fallback>
    </mc:AlternateContent>
    <mc:AlternateContent xmlns:mc="http://schemas.openxmlformats.org/markup-compatibility/2006">
      <mc:Choice Requires="x14">
        <control shapeId="5" r:id="rId6" name="SpinButton2">
          <controlPr defaultSize="0" autoLine="0" autoPict="0" r:id="rId7">
            <anchor moveWithCells="1">
              <from>
                <xdr:col>24</xdr:col>
                <xdr:colOff>31750</xdr:colOff>
                <xdr:row>15</xdr:row>
                <xdr:rowOff>0</xdr:rowOff>
              </from>
              <to>
                <xdr:col>24</xdr:col>
                <xdr:colOff>565150</xdr:colOff>
                <xdr:row>16</xdr:row>
                <xdr:rowOff>0</xdr:rowOff>
              </to>
            </anchor>
          </controlPr>
        </control>
      </mc:Choice>
      <mc:Fallback>
        <control shapeId="38963" r:id="rId6" name="SpinButton2"/>
      </mc:Fallback>
    </mc:AlternateContent>
    <mc:AlternateContent xmlns:mc="http://schemas.openxmlformats.org/markup-compatibility/2006">
      <mc:Choice Requires="x14">
        <control shapeId="6" r:id="rId8" name="Button 92">
          <controlPr defaultSize="0" print="0" autoFill="0" autoPict="0" macro="[0]!Velg_Alle_Hovedresultater">
            <anchor moveWithCells="1" sizeWithCells="1">
              <from>
                <xdr:col>23</xdr:col>
                <xdr:colOff>12700</xdr:colOff>
                <xdr:row>13</xdr:row>
                <xdr:rowOff>19050</xdr:rowOff>
              </from>
              <to>
                <xdr:col>24</xdr:col>
                <xdr:colOff>1193800</xdr:colOff>
                <xdr:row>14</xdr:row>
                <xdr:rowOff>152400</xdr:rowOff>
              </to>
            </anchor>
          </controlPr>
        </control>
      </mc:Choice>
    </mc:AlternateContent>
    <mc:AlternateContent xmlns:mc="http://schemas.openxmlformats.org/markup-compatibility/2006">
      <mc:Choice Requires="x14">
        <control shapeId="7" r:id="rId9" name="Knapp_Simuler">
          <controlPr defaultSize="0" print="0" autoFill="0" autoPict="0" macro="[0]!Knapp_Simuler_Klikk">
            <anchor moveWithCells="1" sizeWithCells="1">
              <from>
                <xdr:col>23</xdr:col>
                <xdr:colOff>0</xdr:colOff>
                <xdr:row>8</xdr:row>
                <xdr:rowOff>38100</xdr:rowOff>
              </from>
              <to>
                <xdr:col>25</xdr:col>
                <xdr:colOff>0</xdr:colOff>
                <xdr:row>10</xdr:row>
                <xdr:rowOff>0</xdr:rowOff>
              </to>
            </anchor>
          </controlPr>
        </control>
      </mc:Choice>
    </mc:AlternateContent>
  </controls>
  <extLst>
    <ext xmlns:x14="http://schemas.microsoft.com/office/spreadsheetml/2009/9/main" uri="{CCE6A557-97BC-4b89-ADB6-D9C93CAAB3DF}">
      <x14:dataValidations xmlns:xm="http://schemas.microsoft.com/office/excel/2006/main" xWindow="428" yWindow="778" count="1">
        <x14:dataValidation type="list" allowBlank="1" showInputMessage="1" showErrorMessage="1" xr:uid="{2DE95BF7-B635-49EB-B4ED-A1FC5CCBA36B}">
          <x14:formula1>
            <xm:f>OFFSET('4.2.3 Monte Carlo resultater'!$A1,0,0,1,COUNTA(OFFSET('4.2.3 Monte Carlo resultater'!$A1,0,0,1,COUNTA(MonteCarlo_Resultater_Forklaring_Mulige)-1)))</xm:f>
          </x14:formula1>
          <xm:sqref>AB14</xm:sqref>
        </x14:dataValidation>
      </x14:dataValidations>
    </ext>
  </extLs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204610-3F19-4875-A45A-595306F048F5}">
  <sheetPr codeName="Ark24">
    <tabColor theme="4" tint="-0.249977111117893"/>
  </sheetPr>
  <dimension ref="A1:BZ1001"/>
  <sheetViews>
    <sheetView workbookViewId="0">
      <selection activeCell="BQ2" sqref="BQ2:BQ21"/>
    </sheetView>
  </sheetViews>
  <sheetFormatPr baseColWidth="10" defaultColWidth="11.453125" defaultRowHeight="14.5" x14ac:dyDescent="0.35"/>
  <cols>
    <col min="1" max="1" width="16.54296875" bestFit="1" customWidth="1"/>
    <col min="2" max="2" width="26.81640625" bestFit="1" customWidth="1"/>
    <col min="3" max="22" width="26.81640625" customWidth="1"/>
    <col min="61" max="62" width="38.81640625" bestFit="1" customWidth="1"/>
    <col min="63" max="63" width="11.1796875" customWidth="1"/>
    <col min="64" max="64" width="26.1796875" customWidth="1"/>
    <col min="65" max="65" width="21.1796875" customWidth="1"/>
    <col min="67" max="67" width="20.81640625" bestFit="1" customWidth="1"/>
    <col min="72" max="72" width="43.54296875" bestFit="1" customWidth="1"/>
  </cols>
  <sheetData>
    <row r="1" spans="1:78" x14ac:dyDescent="0.35">
      <c r="A1" t="s">
        <v>1491</v>
      </c>
      <c r="B1" t="s">
        <v>1656</v>
      </c>
      <c r="C1" t="s">
        <v>1502</v>
      </c>
      <c r="D1" t="s">
        <v>1506</v>
      </c>
      <c r="E1" t="s">
        <v>1657</v>
      </c>
      <c r="F1" t="s">
        <v>1658</v>
      </c>
      <c r="G1" t="s">
        <v>1659</v>
      </c>
      <c r="H1" t="s">
        <v>1661</v>
      </c>
      <c r="I1" t="s">
        <v>1663</v>
      </c>
      <c r="J1" t="s">
        <v>1664</v>
      </c>
      <c r="K1" t="s">
        <v>1667</v>
      </c>
      <c r="L1" t="s">
        <v>1669</v>
      </c>
      <c r="M1" t="s">
        <v>1673</v>
      </c>
      <c r="N1" t="s">
        <v>1675</v>
      </c>
      <c r="O1" t="s">
        <v>1677</v>
      </c>
      <c r="P1" t="s">
        <v>1601</v>
      </c>
      <c r="Q1" t="s">
        <v>1602</v>
      </c>
      <c r="R1" t="s">
        <v>1680</v>
      </c>
      <c r="S1" t="s">
        <v>1681</v>
      </c>
      <c r="T1" t="s">
        <v>1684</v>
      </c>
      <c r="U1" t="s">
        <v>1687</v>
      </c>
      <c r="V1" t="s">
        <v>1690</v>
      </c>
      <c r="W1" t="s">
        <v>1691</v>
      </c>
      <c r="X1" t="s">
        <v>1702</v>
      </c>
      <c r="Y1" t="s">
        <v>1697</v>
      </c>
      <c r="Z1" t="s">
        <v>1700</v>
      </c>
      <c r="AA1" t="s">
        <v>1705</v>
      </c>
      <c r="AB1" t="s">
        <v>1707</v>
      </c>
      <c r="AC1" t="s">
        <v>1709</v>
      </c>
      <c r="AD1" t="s">
        <v>1960</v>
      </c>
      <c r="AF1" t="s">
        <v>1961</v>
      </c>
      <c r="AG1" t="s">
        <v>1962</v>
      </c>
      <c r="AH1" t="s">
        <v>1963</v>
      </c>
      <c r="AI1" t="s">
        <v>1964</v>
      </c>
      <c r="AJ1" t="s">
        <v>1965</v>
      </c>
      <c r="AK1" t="s">
        <v>1966</v>
      </c>
      <c r="AL1" t="s">
        <v>1967</v>
      </c>
      <c r="AM1" t="s">
        <v>1968</v>
      </c>
      <c r="AN1" t="s">
        <v>1969</v>
      </c>
      <c r="AO1" t="s">
        <v>1970</v>
      </c>
      <c r="AP1" t="s">
        <v>1971</v>
      </c>
      <c r="AQ1" t="s">
        <v>1972</v>
      </c>
      <c r="AR1" t="s">
        <v>1973</v>
      </c>
      <c r="AS1" t="s">
        <v>1974</v>
      </c>
      <c r="AT1" t="s">
        <v>1975</v>
      </c>
      <c r="AU1" t="s">
        <v>1976</v>
      </c>
      <c r="AV1" t="s">
        <v>1977</v>
      </c>
      <c r="AW1" t="s">
        <v>1978</v>
      </c>
      <c r="AX1" t="s">
        <v>1979</v>
      </c>
      <c r="AY1" t="s">
        <v>1980</v>
      </c>
      <c r="AZ1" t="s">
        <v>1981</v>
      </c>
      <c r="BA1" t="s">
        <v>1982</v>
      </c>
      <c r="BB1" t="s">
        <v>1983</v>
      </c>
      <c r="BC1" t="s">
        <v>1984</v>
      </c>
      <c r="BD1" t="s">
        <v>1985</v>
      </c>
      <c r="BE1" t="s">
        <v>1986</v>
      </c>
      <c r="BF1" t="s">
        <v>1987</v>
      </c>
      <c r="BG1" t="s">
        <v>1988</v>
      </c>
      <c r="BH1" t="s">
        <v>1989</v>
      </c>
      <c r="BI1" t="s">
        <v>1990</v>
      </c>
      <c r="BK1" s="889"/>
      <c r="BL1" s="1593" t="str">
        <f>"Kumulativ fordeling for "&amp;MonteCarlo_Figurer_Valgt</f>
        <v>Kumulativ fordeling for Trafikantnytte, referanse</v>
      </c>
      <c r="BM1" s="1593"/>
      <c r="BN1" s="865" t="s">
        <v>1991</v>
      </c>
      <c r="BO1" s="865" t="s">
        <v>1992</v>
      </c>
      <c r="BP1" s="865"/>
      <c r="BQ1" s="889" t="str">
        <f>"Histogram for "&amp;MonteCarlo_Figurer_Valgt</f>
        <v>Histogram for Trafikantnytte, referanse</v>
      </c>
      <c r="BR1" s="889"/>
      <c r="BS1" s="889"/>
      <c r="BT1" s="865"/>
      <c r="BU1" s="889"/>
      <c r="BW1" s="823"/>
      <c r="BX1" s="823"/>
      <c r="BY1" s="823"/>
      <c r="BZ1" s="823"/>
    </row>
    <row r="2" spans="1:78" x14ac:dyDescent="0.35">
      <c r="A2">
        <v>0</v>
      </c>
      <c r="B2">
        <v>0</v>
      </c>
      <c r="C2">
        <v>0</v>
      </c>
      <c r="D2">
        <v>0</v>
      </c>
      <c r="E2">
        <v>0</v>
      </c>
      <c r="F2">
        <v>0</v>
      </c>
      <c r="G2">
        <v>0</v>
      </c>
      <c r="H2">
        <v>0</v>
      </c>
      <c r="I2">
        <v>0</v>
      </c>
      <c r="J2">
        <v>0</v>
      </c>
      <c r="K2">
        <v>0</v>
      </c>
      <c r="L2">
        <v>0</v>
      </c>
      <c r="M2">
        <v>0</v>
      </c>
      <c r="N2">
        <v>0</v>
      </c>
      <c r="O2">
        <v>0</v>
      </c>
      <c r="P2">
        <v>0</v>
      </c>
      <c r="Q2">
        <v>0</v>
      </c>
      <c r="R2">
        <v>0</v>
      </c>
      <c r="S2">
        <v>0</v>
      </c>
      <c r="T2">
        <v>0</v>
      </c>
      <c r="U2">
        <v>0</v>
      </c>
      <c r="V2">
        <v>0</v>
      </c>
      <c r="W2">
        <v>0</v>
      </c>
      <c r="X2">
        <v>0</v>
      </c>
      <c r="Y2">
        <v>0</v>
      </c>
      <c r="Z2">
        <v>0</v>
      </c>
      <c r="AA2">
        <v>0</v>
      </c>
      <c r="AB2">
        <v>0</v>
      </c>
      <c r="AC2">
        <v>0</v>
      </c>
      <c r="AD2">
        <v>0</v>
      </c>
      <c r="AF2">
        <v>0</v>
      </c>
      <c r="AG2">
        <v>0</v>
      </c>
      <c r="AH2">
        <v>0</v>
      </c>
      <c r="AI2">
        <v>0</v>
      </c>
      <c r="AJ2">
        <v>0</v>
      </c>
      <c r="AK2">
        <v>0</v>
      </c>
      <c r="AL2">
        <v>0</v>
      </c>
      <c r="AM2">
        <v>0</v>
      </c>
      <c r="AN2">
        <v>0</v>
      </c>
      <c r="AO2">
        <v>0</v>
      </c>
      <c r="AP2">
        <v>0</v>
      </c>
      <c r="AQ2">
        <v>0</v>
      </c>
      <c r="AR2">
        <v>0</v>
      </c>
      <c r="AS2">
        <v>0</v>
      </c>
      <c r="AT2">
        <v>0</v>
      </c>
      <c r="AU2">
        <v>0</v>
      </c>
      <c r="AV2">
        <v>0</v>
      </c>
      <c r="AW2">
        <v>0</v>
      </c>
      <c r="AX2">
        <v>0</v>
      </c>
      <c r="AY2">
        <v>0</v>
      </c>
      <c r="AZ2">
        <v>0</v>
      </c>
      <c r="BA2">
        <v>0</v>
      </c>
      <c r="BB2">
        <v>0</v>
      </c>
      <c r="BC2">
        <v>0</v>
      </c>
      <c r="BD2">
        <v>0</v>
      </c>
      <c r="BE2">
        <v>0</v>
      </c>
      <c r="BF2">
        <v>0</v>
      </c>
      <c r="BG2">
        <v>0</v>
      </c>
      <c r="BH2">
        <v>0</v>
      </c>
      <c r="BI2">
        <v>0</v>
      </c>
      <c r="BK2" s="151"/>
      <c r="BL2" s="68">
        <v>0.01</v>
      </c>
      <c r="BM2" s="852">
        <f ca="1">_xlfn.PERCENTILE.EXC(OFFSET('4.2.3 Monte Carlo resultater'!$A$2,0,'4.2.2 Monte Carlo-simulering'!$AB$16-1,'4.2.2 Monte Carlo-simulering'!$AB$17,1),BL2)</f>
        <v>0</v>
      </c>
      <c r="BN2" s="909" t="e" cm="1">
        <f t="array" aca="1" ref="BN2" ca="1">INDEX($BL$2:$BL$100,$BO$2)+1%/(INDEX($BM$2:$BM$100,$BO$2+1)-INDEX($BM$2:$BM$100,$BO$2))*ABS(INDEX($BM$2:$BM$100,$BO$2))</f>
        <v>#REF!</v>
      </c>
      <c r="BO2" s="823">
        <f ca="1">MATCH(0,$BM$2:$BM$100,1)</f>
        <v>99</v>
      </c>
      <c r="BP2" s="823"/>
      <c r="BQ2" s="931" t="str">
        <f>"-∞"</f>
        <v>-∞</v>
      </c>
      <c r="BR2" s="68" cm="1">
        <f t="array" aca="1" ref="BR2" ca="1">COUNTIF(MonteCarlo_Figurer_Valgt_Serie,"&lt;"&amp;BQ3)/'4.2.2 Monte Carlo-simulering'!$AB$17</f>
        <v>0</v>
      </c>
      <c r="BS2" s="862"/>
      <c r="BT2" s="863" t="s">
        <v>1993</v>
      </c>
      <c r="BU2" s="866">
        <f>IF('4.2.2 Monte Carlo-simulering'!$AJ$14="Ja",'4.2.2 Monte Carlo-simulering'!$AJ$15,20)</f>
        <v>20</v>
      </c>
      <c r="BV2" s="823"/>
      <c r="BW2" s="823"/>
      <c r="BX2" s="823"/>
    </row>
    <row r="3" spans="1:78" x14ac:dyDescent="0.35">
      <c r="A3">
        <v>0</v>
      </c>
      <c r="B3">
        <v>0</v>
      </c>
      <c r="C3">
        <v>0</v>
      </c>
      <c r="D3">
        <v>0</v>
      </c>
      <c r="E3">
        <v>0</v>
      </c>
      <c r="F3">
        <v>0</v>
      </c>
      <c r="G3">
        <v>0</v>
      </c>
      <c r="H3">
        <v>0</v>
      </c>
      <c r="I3">
        <v>0</v>
      </c>
      <c r="J3">
        <v>0</v>
      </c>
      <c r="K3">
        <v>0</v>
      </c>
      <c r="L3">
        <v>0</v>
      </c>
      <c r="M3">
        <v>0</v>
      </c>
      <c r="N3">
        <v>0</v>
      </c>
      <c r="O3">
        <v>0</v>
      </c>
      <c r="P3">
        <v>0</v>
      </c>
      <c r="Q3">
        <v>0</v>
      </c>
      <c r="R3">
        <v>0</v>
      </c>
      <c r="S3">
        <v>0</v>
      </c>
      <c r="T3">
        <v>0</v>
      </c>
      <c r="U3">
        <v>0</v>
      </c>
      <c r="V3">
        <v>0</v>
      </c>
      <c r="W3">
        <v>0</v>
      </c>
      <c r="X3">
        <v>0</v>
      </c>
      <c r="Y3">
        <v>0</v>
      </c>
      <c r="Z3">
        <v>0</v>
      </c>
      <c r="AA3">
        <v>0</v>
      </c>
      <c r="AB3">
        <v>0</v>
      </c>
      <c r="AC3">
        <v>0</v>
      </c>
      <c r="AD3">
        <v>0</v>
      </c>
      <c r="AF3">
        <v>0</v>
      </c>
      <c r="AG3">
        <v>0</v>
      </c>
      <c r="AH3">
        <v>0</v>
      </c>
      <c r="AI3">
        <v>0</v>
      </c>
      <c r="AJ3">
        <v>0</v>
      </c>
      <c r="AK3">
        <v>0</v>
      </c>
      <c r="AL3">
        <v>0</v>
      </c>
      <c r="AM3">
        <v>0</v>
      </c>
      <c r="AN3">
        <v>0</v>
      </c>
      <c r="AO3">
        <v>0</v>
      </c>
      <c r="AP3">
        <v>0</v>
      </c>
      <c r="AQ3">
        <v>0</v>
      </c>
      <c r="AR3">
        <v>0</v>
      </c>
      <c r="AS3">
        <v>0</v>
      </c>
      <c r="AT3">
        <v>0</v>
      </c>
      <c r="AU3">
        <v>0</v>
      </c>
      <c r="AV3">
        <v>0</v>
      </c>
      <c r="AW3">
        <v>0</v>
      </c>
      <c r="AX3">
        <v>0</v>
      </c>
      <c r="AY3">
        <v>0</v>
      </c>
      <c r="AZ3">
        <v>0</v>
      </c>
      <c r="BA3">
        <v>0</v>
      </c>
      <c r="BB3">
        <v>0</v>
      </c>
      <c r="BC3">
        <v>0</v>
      </c>
      <c r="BD3">
        <v>0</v>
      </c>
      <c r="BE3">
        <v>0</v>
      </c>
      <c r="BF3">
        <v>0</v>
      </c>
      <c r="BG3">
        <v>0</v>
      </c>
      <c r="BH3">
        <v>0</v>
      </c>
      <c r="BI3">
        <v>0</v>
      </c>
      <c r="BK3" s="151"/>
      <c r="BL3" s="68">
        <f t="shared" ref="BL3:BL34" si="0">+BL2+0.01</f>
        <v>0.02</v>
      </c>
      <c r="BM3" s="852">
        <f ca="1">_xlfn.PERCENTILE.EXC(OFFSET('4.2.3 Monte Carlo resultater'!$A$2,0,'4.2.2 Monte Carlo-simulering'!$AB$16-1,'4.2.2 Monte Carlo-simulering'!$AB$17,1),BL3)</f>
        <v>0</v>
      </c>
      <c r="BN3" s="908"/>
      <c r="BO3" s="823"/>
      <c r="BP3" s="823"/>
      <c r="BQ3" s="932">
        <f ca="1">IFERROR(IF('4.2.2 Monte Carlo-simulering'!$AJ$14="Ja",'4.2.2 Monte Carlo-simulering'!$AJ$16,MROUND(ABS(_xlfn.PERCENTILE.EXC(MonteCarlo_Figurer_Valgt_Serie,0.02)),BU4)*SIGN(_xlfn.PERCENTILE.EXC(MonteCarlo_Figurer_Valgt_Serie,0.02))),0)</f>
        <v>0</v>
      </c>
      <c r="BR3" s="68" cm="1">
        <f t="array" aca="1" ref="BR3" ca="1">(COUNTIF(MonteCarlo_Figurer_Valgt_Serie,"&gt;="&amp;BQ3)-COUNTIF(MonteCarlo_Figurer_Valgt_Serie,"&gt;="&amp;BQ4))/'4.2.2 Monte Carlo-simulering'!$AB$17</f>
        <v>1</v>
      </c>
      <c r="BS3" s="862"/>
      <c r="BT3" s="863" t="s">
        <v>1994</v>
      </c>
      <c r="BU3" s="866">
        <f ca="1">(_xlfn.PERCENTILE.EXC(MonteCarlo_Figurer_Valgt_Serie,0.98)-_xlfn.PERCENTILE.EXC(MonteCarlo_Figurer_Valgt_Serie,0.02))/BU2</f>
        <v>0</v>
      </c>
      <c r="BV3" s="823"/>
      <c r="BW3" s="823"/>
      <c r="BX3" s="823"/>
    </row>
    <row r="4" spans="1:78" x14ac:dyDescent="0.35">
      <c r="A4">
        <v>0</v>
      </c>
      <c r="B4">
        <v>0</v>
      </c>
      <c r="C4">
        <v>0</v>
      </c>
      <c r="D4">
        <v>0</v>
      </c>
      <c r="E4">
        <v>0</v>
      </c>
      <c r="F4">
        <v>0</v>
      </c>
      <c r="G4">
        <v>0</v>
      </c>
      <c r="H4">
        <v>0</v>
      </c>
      <c r="I4">
        <v>0</v>
      </c>
      <c r="J4">
        <v>0</v>
      </c>
      <c r="K4">
        <v>0</v>
      </c>
      <c r="L4">
        <v>0</v>
      </c>
      <c r="M4">
        <v>0</v>
      </c>
      <c r="N4">
        <v>0</v>
      </c>
      <c r="O4">
        <v>0</v>
      </c>
      <c r="P4">
        <v>0</v>
      </c>
      <c r="Q4">
        <v>0</v>
      </c>
      <c r="R4">
        <v>0</v>
      </c>
      <c r="S4">
        <v>0</v>
      </c>
      <c r="T4">
        <v>0</v>
      </c>
      <c r="U4">
        <v>0</v>
      </c>
      <c r="V4">
        <v>0</v>
      </c>
      <c r="W4">
        <v>0</v>
      </c>
      <c r="X4">
        <v>0</v>
      </c>
      <c r="Y4">
        <v>0</v>
      </c>
      <c r="Z4">
        <v>0</v>
      </c>
      <c r="AA4">
        <v>0</v>
      </c>
      <c r="AB4">
        <v>0</v>
      </c>
      <c r="AC4">
        <v>0</v>
      </c>
      <c r="AD4">
        <v>0</v>
      </c>
      <c r="AF4">
        <v>0</v>
      </c>
      <c r="AG4">
        <v>0</v>
      </c>
      <c r="AH4">
        <v>0</v>
      </c>
      <c r="AI4">
        <v>0</v>
      </c>
      <c r="AJ4">
        <v>0</v>
      </c>
      <c r="AK4">
        <v>0</v>
      </c>
      <c r="AL4">
        <v>0</v>
      </c>
      <c r="AM4">
        <v>0</v>
      </c>
      <c r="AN4">
        <v>0</v>
      </c>
      <c r="AO4">
        <v>0</v>
      </c>
      <c r="AP4">
        <v>0</v>
      </c>
      <c r="AQ4">
        <v>0</v>
      </c>
      <c r="AR4">
        <v>0</v>
      </c>
      <c r="AS4">
        <v>0</v>
      </c>
      <c r="AT4">
        <v>0</v>
      </c>
      <c r="AU4">
        <v>0</v>
      </c>
      <c r="AV4">
        <v>0</v>
      </c>
      <c r="AW4">
        <v>0</v>
      </c>
      <c r="AX4">
        <v>0</v>
      </c>
      <c r="AY4">
        <v>0</v>
      </c>
      <c r="AZ4">
        <v>0</v>
      </c>
      <c r="BA4">
        <v>0</v>
      </c>
      <c r="BB4">
        <v>0</v>
      </c>
      <c r="BC4">
        <v>0</v>
      </c>
      <c r="BD4">
        <v>0</v>
      </c>
      <c r="BE4">
        <v>0</v>
      </c>
      <c r="BF4">
        <v>0</v>
      </c>
      <c r="BG4">
        <v>0</v>
      </c>
      <c r="BH4">
        <v>0</v>
      </c>
      <c r="BI4">
        <v>0</v>
      </c>
      <c r="BK4" s="151"/>
      <c r="BL4" s="68">
        <f t="shared" si="0"/>
        <v>0.03</v>
      </c>
      <c r="BM4" s="852">
        <f ca="1">_xlfn.PERCENTILE.EXC(OFFSET('4.2.3 Monte Carlo resultater'!$A$2,0,'4.2.2 Monte Carlo-simulering'!$AB$16-1,'4.2.2 Monte Carlo-simulering'!$AB$17,1),BL4)</f>
        <v>0</v>
      </c>
      <c r="BN4" s="823"/>
      <c r="BO4" s="823"/>
      <c r="BP4" s="823"/>
      <c r="BQ4" s="933" t="str">
        <f ca="1">IFERROR(IF(COUNTA($BQ$2:BQ3)=$BU$2,"-∞",BQ3+$BU$4),"-")</f>
        <v>-</v>
      </c>
      <c r="BR4" s="68" cm="1">
        <f t="array" aca="1" ref="BR4" ca="1">(COUNTIF(MonteCarlo_Figurer_Valgt_Serie,"&gt;="&amp;BQ4)-COUNTIF(MonteCarlo_Figurer_Valgt_Serie,"&gt;="&amp;BQ5))/'4.2.2 Monte Carlo-simulering'!$AB$17</f>
        <v>0</v>
      </c>
      <c r="BS4" s="862"/>
      <c r="BT4" s="128" t="s">
        <v>1995</v>
      </c>
      <c r="BU4" s="934" t="e">
        <f ca="1">IF('4.2.2 Monte Carlo-simulering'!$AJ$14="Ja",'4.2.2 Monte Carlo-simulering'!$AJ$17,IF(OR(MonteCarlo_Figurer_Valgt="Netto nåverdi per budsjettkrone (NNB)",MonteCarlo_Figurer_Valgt="Netto nåverdi per investerte krone",MonteCarlo_Figurer_Valgt="Test - Gjennomsnitt av kostnad"),ROUNDUP(BU3,1),ROUNDUP(BU3/(10^(FIND(",",BU3)-2)),0)*(10^(FIND(",",BU3)-2))))</f>
        <v>#VALUE!</v>
      </c>
      <c r="BV4" s="823"/>
      <c r="BW4" s="823"/>
      <c r="BX4" s="823"/>
    </row>
    <row r="5" spans="1:78" x14ac:dyDescent="0.35">
      <c r="A5">
        <v>0</v>
      </c>
      <c r="B5">
        <v>0</v>
      </c>
      <c r="C5">
        <v>0</v>
      </c>
      <c r="D5">
        <v>0</v>
      </c>
      <c r="E5">
        <v>0</v>
      </c>
      <c r="F5">
        <v>0</v>
      </c>
      <c r="G5">
        <v>0</v>
      </c>
      <c r="H5">
        <v>0</v>
      </c>
      <c r="I5">
        <v>0</v>
      </c>
      <c r="J5">
        <v>0</v>
      </c>
      <c r="K5">
        <v>0</v>
      </c>
      <c r="L5">
        <v>0</v>
      </c>
      <c r="M5">
        <v>0</v>
      </c>
      <c r="N5">
        <v>0</v>
      </c>
      <c r="O5">
        <v>0</v>
      </c>
      <c r="P5">
        <v>0</v>
      </c>
      <c r="Q5">
        <v>0</v>
      </c>
      <c r="R5">
        <v>0</v>
      </c>
      <c r="S5">
        <v>0</v>
      </c>
      <c r="T5">
        <v>0</v>
      </c>
      <c r="U5">
        <v>0</v>
      </c>
      <c r="V5">
        <v>0</v>
      </c>
      <c r="W5">
        <v>0</v>
      </c>
      <c r="X5">
        <v>0</v>
      </c>
      <c r="Y5">
        <v>0</v>
      </c>
      <c r="Z5">
        <v>0</v>
      </c>
      <c r="AA5">
        <v>0</v>
      </c>
      <c r="AB5">
        <v>0</v>
      </c>
      <c r="AC5">
        <v>0</v>
      </c>
      <c r="AD5">
        <v>0</v>
      </c>
      <c r="AF5">
        <v>0</v>
      </c>
      <c r="AG5">
        <v>0</v>
      </c>
      <c r="AH5">
        <v>0</v>
      </c>
      <c r="AI5">
        <v>0</v>
      </c>
      <c r="AJ5">
        <v>0</v>
      </c>
      <c r="AK5">
        <v>0</v>
      </c>
      <c r="AL5">
        <v>0</v>
      </c>
      <c r="AM5">
        <v>0</v>
      </c>
      <c r="AN5">
        <v>0</v>
      </c>
      <c r="AO5">
        <v>0</v>
      </c>
      <c r="AP5">
        <v>0</v>
      </c>
      <c r="AQ5">
        <v>0</v>
      </c>
      <c r="AR5">
        <v>0</v>
      </c>
      <c r="AS5">
        <v>0</v>
      </c>
      <c r="AT5">
        <v>0</v>
      </c>
      <c r="AU5">
        <v>0</v>
      </c>
      <c r="AV5">
        <v>0</v>
      </c>
      <c r="AW5">
        <v>0</v>
      </c>
      <c r="AX5">
        <v>0</v>
      </c>
      <c r="AY5">
        <v>0</v>
      </c>
      <c r="AZ5">
        <v>0</v>
      </c>
      <c r="BA5">
        <v>0</v>
      </c>
      <c r="BB5">
        <v>0</v>
      </c>
      <c r="BC5">
        <v>0</v>
      </c>
      <c r="BD5">
        <v>0</v>
      </c>
      <c r="BE5">
        <v>0</v>
      </c>
      <c r="BF5">
        <v>0</v>
      </c>
      <c r="BG5">
        <v>0</v>
      </c>
      <c r="BH5">
        <v>0</v>
      </c>
      <c r="BI5">
        <v>0</v>
      </c>
      <c r="BK5" s="151"/>
      <c r="BL5" s="68">
        <f t="shared" si="0"/>
        <v>0.04</v>
      </c>
      <c r="BM5" s="852">
        <f ca="1">_xlfn.PERCENTILE.EXC(OFFSET('4.2.3 Monte Carlo resultater'!$A$2,0,'4.2.2 Monte Carlo-simulering'!$AB$16-1,'4.2.2 Monte Carlo-simulering'!$AB$17,1),BL5)</f>
        <v>0</v>
      </c>
      <c r="BN5" s="823"/>
      <c r="BO5" s="823"/>
      <c r="BP5" s="823"/>
      <c r="BQ5" s="933" t="str">
        <f ca="1">IFERROR(IF(COUNTA($BQ$2:BQ4)=$BU$2,"-∞",BQ4+$BU$4),"-")</f>
        <v>-</v>
      </c>
      <c r="BR5" s="68" cm="1">
        <f t="array" aca="1" ref="BR5" ca="1">(COUNTIF(MonteCarlo_Figurer_Valgt_Serie,"&gt;="&amp;BQ5)-COUNTIF(MonteCarlo_Figurer_Valgt_Serie,"&gt;="&amp;BQ6))/'4.2.2 Monte Carlo-simulering'!$AB$17</f>
        <v>0</v>
      </c>
      <c r="BS5" s="862"/>
      <c r="BT5" s="862"/>
    </row>
    <row r="6" spans="1:78" x14ac:dyDescent="0.35">
      <c r="A6">
        <v>0</v>
      </c>
      <c r="B6">
        <v>0</v>
      </c>
      <c r="C6">
        <v>0</v>
      </c>
      <c r="D6">
        <v>0</v>
      </c>
      <c r="E6">
        <v>0</v>
      </c>
      <c r="F6">
        <v>0</v>
      </c>
      <c r="G6">
        <v>0</v>
      </c>
      <c r="H6">
        <v>0</v>
      </c>
      <c r="I6">
        <v>0</v>
      </c>
      <c r="J6">
        <v>0</v>
      </c>
      <c r="K6">
        <v>0</v>
      </c>
      <c r="L6">
        <v>0</v>
      </c>
      <c r="M6">
        <v>0</v>
      </c>
      <c r="N6">
        <v>0</v>
      </c>
      <c r="O6">
        <v>0</v>
      </c>
      <c r="P6">
        <v>0</v>
      </c>
      <c r="Q6">
        <v>0</v>
      </c>
      <c r="R6">
        <v>0</v>
      </c>
      <c r="S6">
        <v>0</v>
      </c>
      <c r="T6">
        <v>0</v>
      </c>
      <c r="U6">
        <v>0</v>
      </c>
      <c r="V6">
        <v>0</v>
      </c>
      <c r="W6">
        <v>0</v>
      </c>
      <c r="X6">
        <v>0</v>
      </c>
      <c r="Y6">
        <v>0</v>
      </c>
      <c r="Z6">
        <v>0</v>
      </c>
      <c r="AA6">
        <v>0</v>
      </c>
      <c r="AB6">
        <v>0</v>
      </c>
      <c r="AC6">
        <v>0</v>
      </c>
      <c r="AD6">
        <v>0</v>
      </c>
      <c r="AF6">
        <v>0</v>
      </c>
      <c r="AG6">
        <v>0</v>
      </c>
      <c r="AH6">
        <v>0</v>
      </c>
      <c r="AI6">
        <v>0</v>
      </c>
      <c r="AJ6">
        <v>0</v>
      </c>
      <c r="AK6">
        <v>0</v>
      </c>
      <c r="AL6">
        <v>0</v>
      </c>
      <c r="AM6">
        <v>0</v>
      </c>
      <c r="AN6">
        <v>0</v>
      </c>
      <c r="AO6">
        <v>0</v>
      </c>
      <c r="AP6">
        <v>0</v>
      </c>
      <c r="AQ6">
        <v>0</v>
      </c>
      <c r="AR6">
        <v>0</v>
      </c>
      <c r="AS6">
        <v>0</v>
      </c>
      <c r="AT6">
        <v>0</v>
      </c>
      <c r="AU6">
        <v>0</v>
      </c>
      <c r="AV6">
        <v>0</v>
      </c>
      <c r="AW6">
        <v>0</v>
      </c>
      <c r="AX6">
        <v>0</v>
      </c>
      <c r="AY6">
        <v>0</v>
      </c>
      <c r="AZ6">
        <v>0</v>
      </c>
      <c r="BA6">
        <v>0</v>
      </c>
      <c r="BB6">
        <v>0</v>
      </c>
      <c r="BC6">
        <v>0</v>
      </c>
      <c r="BD6">
        <v>0</v>
      </c>
      <c r="BE6">
        <v>0</v>
      </c>
      <c r="BF6">
        <v>0</v>
      </c>
      <c r="BG6">
        <v>0</v>
      </c>
      <c r="BH6">
        <v>0</v>
      </c>
      <c r="BI6">
        <v>0</v>
      </c>
      <c r="BK6" s="151"/>
      <c r="BL6" s="68">
        <f t="shared" si="0"/>
        <v>0.05</v>
      </c>
      <c r="BM6" s="852">
        <f ca="1">_xlfn.PERCENTILE.EXC(OFFSET('4.2.3 Monte Carlo resultater'!$A$2,0,'4.2.2 Monte Carlo-simulering'!$AB$16-1,'4.2.2 Monte Carlo-simulering'!$AB$17,1),BL6)</f>
        <v>0</v>
      </c>
      <c r="BN6" s="823"/>
      <c r="BO6" s="823"/>
      <c r="BP6" s="823"/>
      <c r="BQ6" s="933" t="str">
        <f ca="1">IFERROR(IF(COUNTA($BQ$2:BQ5)=$BU$2,"-∞",BQ5+$BU$4),"-")</f>
        <v>-</v>
      </c>
      <c r="BR6" s="68" cm="1">
        <f t="array" aca="1" ref="BR6" ca="1">(COUNTIF(MonteCarlo_Figurer_Valgt_Serie,"&gt;="&amp;BQ6)-COUNTIF(MonteCarlo_Figurer_Valgt_Serie,"&gt;="&amp;BQ7))/'4.2.2 Monte Carlo-simulering'!$AB$17</f>
        <v>0</v>
      </c>
      <c r="BS6" s="862"/>
      <c r="BT6" s="862"/>
      <c r="BV6" s="860"/>
      <c r="BW6" s="823"/>
      <c r="BX6" s="823"/>
      <c r="BY6" s="823"/>
      <c r="BZ6" s="823"/>
    </row>
    <row r="7" spans="1:78" x14ac:dyDescent="0.35">
      <c r="A7">
        <v>0</v>
      </c>
      <c r="B7">
        <v>0</v>
      </c>
      <c r="C7">
        <v>0</v>
      </c>
      <c r="D7">
        <v>0</v>
      </c>
      <c r="E7">
        <v>0</v>
      </c>
      <c r="F7">
        <v>0</v>
      </c>
      <c r="G7">
        <v>0</v>
      </c>
      <c r="H7">
        <v>0</v>
      </c>
      <c r="I7">
        <v>0</v>
      </c>
      <c r="J7">
        <v>0</v>
      </c>
      <c r="K7">
        <v>0</v>
      </c>
      <c r="L7">
        <v>0</v>
      </c>
      <c r="M7">
        <v>0</v>
      </c>
      <c r="N7">
        <v>0</v>
      </c>
      <c r="O7">
        <v>0</v>
      </c>
      <c r="P7">
        <v>0</v>
      </c>
      <c r="Q7">
        <v>0</v>
      </c>
      <c r="R7">
        <v>0</v>
      </c>
      <c r="S7">
        <v>0</v>
      </c>
      <c r="T7">
        <v>0</v>
      </c>
      <c r="U7">
        <v>0</v>
      </c>
      <c r="V7">
        <v>0</v>
      </c>
      <c r="W7">
        <v>0</v>
      </c>
      <c r="X7">
        <v>0</v>
      </c>
      <c r="Y7">
        <v>0</v>
      </c>
      <c r="Z7">
        <v>0</v>
      </c>
      <c r="AA7">
        <v>0</v>
      </c>
      <c r="AB7">
        <v>0</v>
      </c>
      <c r="AC7">
        <v>0</v>
      </c>
      <c r="AD7">
        <v>0</v>
      </c>
      <c r="AF7">
        <v>0</v>
      </c>
      <c r="AG7">
        <v>0</v>
      </c>
      <c r="AH7">
        <v>0</v>
      </c>
      <c r="AI7">
        <v>0</v>
      </c>
      <c r="AJ7">
        <v>0</v>
      </c>
      <c r="AK7">
        <v>0</v>
      </c>
      <c r="AL7">
        <v>0</v>
      </c>
      <c r="AM7">
        <v>0</v>
      </c>
      <c r="AN7">
        <v>0</v>
      </c>
      <c r="AO7">
        <v>0</v>
      </c>
      <c r="AP7">
        <v>0</v>
      </c>
      <c r="AQ7">
        <v>0</v>
      </c>
      <c r="AR7">
        <v>0</v>
      </c>
      <c r="AS7">
        <v>0</v>
      </c>
      <c r="AT7">
        <v>0</v>
      </c>
      <c r="AU7">
        <v>0</v>
      </c>
      <c r="AV7">
        <v>0</v>
      </c>
      <c r="AW7">
        <v>0</v>
      </c>
      <c r="AX7">
        <v>0</v>
      </c>
      <c r="AY7">
        <v>0</v>
      </c>
      <c r="AZ7">
        <v>0</v>
      </c>
      <c r="BA7">
        <v>0</v>
      </c>
      <c r="BB7">
        <v>0</v>
      </c>
      <c r="BC7">
        <v>0</v>
      </c>
      <c r="BD7">
        <v>0</v>
      </c>
      <c r="BE7">
        <v>0</v>
      </c>
      <c r="BF7">
        <v>0</v>
      </c>
      <c r="BG7">
        <v>0</v>
      </c>
      <c r="BH7">
        <v>0</v>
      </c>
      <c r="BI7">
        <v>0</v>
      </c>
      <c r="BK7" s="151"/>
      <c r="BL7" s="68">
        <f t="shared" si="0"/>
        <v>6.0000000000000005E-2</v>
      </c>
      <c r="BM7" s="852">
        <f ca="1">_xlfn.PERCENTILE.EXC(OFFSET('4.2.3 Monte Carlo resultater'!$A$2,0,'4.2.2 Monte Carlo-simulering'!$AB$16-1,'4.2.2 Monte Carlo-simulering'!$AB$17,1),BL7)</f>
        <v>0</v>
      </c>
      <c r="BN7" s="823"/>
      <c r="BO7" s="823"/>
      <c r="BP7" s="823"/>
      <c r="BQ7" s="933" t="str">
        <f ca="1">IFERROR(IF(COUNTA($BQ$2:BQ6)=$BU$2,"-∞",BQ6+$BU$4),"-")</f>
        <v>-</v>
      </c>
      <c r="BR7" s="68" cm="1">
        <f t="array" aca="1" ref="BR7" ca="1">(COUNTIF(MonteCarlo_Figurer_Valgt_Serie,"&gt;="&amp;BQ7)-COUNTIF(MonteCarlo_Figurer_Valgt_Serie,"&gt;="&amp;BQ8))/'4.2.2 Monte Carlo-simulering'!$AB$17</f>
        <v>0</v>
      </c>
      <c r="BS7" s="862"/>
      <c r="BT7" s="862"/>
      <c r="BV7" s="823"/>
      <c r="BW7" s="823"/>
      <c r="BX7" s="823"/>
      <c r="BY7" s="823"/>
      <c r="BZ7" s="823"/>
    </row>
    <row r="8" spans="1:78" x14ac:dyDescent="0.35">
      <c r="A8">
        <v>0</v>
      </c>
      <c r="B8">
        <v>0</v>
      </c>
      <c r="C8">
        <v>0</v>
      </c>
      <c r="D8">
        <v>0</v>
      </c>
      <c r="E8">
        <v>0</v>
      </c>
      <c r="F8">
        <v>0</v>
      </c>
      <c r="G8">
        <v>0</v>
      </c>
      <c r="H8">
        <v>0</v>
      </c>
      <c r="I8">
        <v>0</v>
      </c>
      <c r="J8">
        <v>0</v>
      </c>
      <c r="K8">
        <v>0</v>
      </c>
      <c r="L8">
        <v>0</v>
      </c>
      <c r="M8">
        <v>0</v>
      </c>
      <c r="N8">
        <v>0</v>
      </c>
      <c r="O8">
        <v>0</v>
      </c>
      <c r="P8">
        <v>0</v>
      </c>
      <c r="Q8">
        <v>0</v>
      </c>
      <c r="R8">
        <v>0</v>
      </c>
      <c r="S8">
        <v>0</v>
      </c>
      <c r="T8">
        <v>0</v>
      </c>
      <c r="U8">
        <v>0</v>
      </c>
      <c r="V8">
        <v>0</v>
      </c>
      <c r="W8">
        <v>0</v>
      </c>
      <c r="X8">
        <v>0</v>
      </c>
      <c r="Y8">
        <v>0</v>
      </c>
      <c r="Z8">
        <v>0</v>
      </c>
      <c r="AA8">
        <v>0</v>
      </c>
      <c r="AB8">
        <v>0</v>
      </c>
      <c r="AC8">
        <v>0</v>
      </c>
      <c r="AD8">
        <v>0</v>
      </c>
      <c r="AF8">
        <v>0</v>
      </c>
      <c r="AG8">
        <v>0</v>
      </c>
      <c r="AH8">
        <v>0</v>
      </c>
      <c r="AI8">
        <v>0</v>
      </c>
      <c r="AJ8">
        <v>0</v>
      </c>
      <c r="AK8">
        <v>0</v>
      </c>
      <c r="AL8">
        <v>0</v>
      </c>
      <c r="AM8">
        <v>0</v>
      </c>
      <c r="AN8">
        <v>0</v>
      </c>
      <c r="AO8">
        <v>0</v>
      </c>
      <c r="AP8">
        <v>0</v>
      </c>
      <c r="AQ8">
        <v>0</v>
      </c>
      <c r="AR8">
        <v>0</v>
      </c>
      <c r="AS8">
        <v>0</v>
      </c>
      <c r="AT8">
        <v>0</v>
      </c>
      <c r="AU8">
        <v>0</v>
      </c>
      <c r="AV8">
        <v>0</v>
      </c>
      <c r="AW8">
        <v>0</v>
      </c>
      <c r="AX8">
        <v>0</v>
      </c>
      <c r="AY8">
        <v>0</v>
      </c>
      <c r="AZ8">
        <v>0</v>
      </c>
      <c r="BA8">
        <v>0</v>
      </c>
      <c r="BB8">
        <v>0</v>
      </c>
      <c r="BC8">
        <v>0</v>
      </c>
      <c r="BD8">
        <v>0</v>
      </c>
      <c r="BE8">
        <v>0</v>
      </c>
      <c r="BF8">
        <v>0</v>
      </c>
      <c r="BG8">
        <v>0</v>
      </c>
      <c r="BH8">
        <v>0</v>
      </c>
      <c r="BI8">
        <v>0</v>
      </c>
      <c r="BK8" s="151"/>
      <c r="BL8" s="68">
        <f t="shared" si="0"/>
        <v>7.0000000000000007E-2</v>
      </c>
      <c r="BM8" s="852">
        <f ca="1">_xlfn.PERCENTILE.EXC(OFFSET('4.2.3 Monte Carlo resultater'!$A$2,0,'4.2.2 Monte Carlo-simulering'!$AB$16-1,'4.2.2 Monte Carlo-simulering'!$AB$17,1),BL8)</f>
        <v>0</v>
      </c>
      <c r="BN8" s="823"/>
      <c r="BO8" s="823"/>
      <c r="BP8" s="823"/>
      <c r="BQ8" s="933" t="str">
        <f ca="1">IFERROR(IF(COUNTA($BQ$2:BQ7)=$BU$2,"-∞",BQ7+$BU$4),"-")</f>
        <v>-</v>
      </c>
      <c r="BR8" s="68" cm="1">
        <f t="array" aca="1" ref="BR8" ca="1">(COUNTIF(MonteCarlo_Figurer_Valgt_Serie,"&gt;="&amp;BQ8)-COUNTIF(MonteCarlo_Figurer_Valgt_Serie,"&gt;="&amp;BQ9))/'4.2.2 Monte Carlo-simulering'!$AB$17</f>
        <v>0</v>
      </c>
      <c r="BS8" s="862"/>
      <c r="BT8" s="862"/>
      <c r="BV8" s="860"/>
      <c r="BW8" s="860"/>
      <c r="BX8" s="823"/>
      <c r="BY8" s="823"/>
      <c r="BZ8" s="823"/>
    </row>
    <row r="9" spans="1:78" x14ac:dyDescent="0.35">
      <c r="A9">
        <v>0</v>
      </c>
      <c r="B9">
        <v>0</v>
      </c>
      <c r="C9">
        <v>0</v>
      </c>
      <c r="D9">
        <v>0</v>
      </c>
      <c r="E9">
        <v>0</v>
      </c>
      <c r="F9">
        <v>0</v>
      </c>
      <c r="G9">
        <v>0</v>
      </c>
      <c r="H9">
        <v>0</v>
      </c>
      <c r="I9">
        <v>0</v>
      </c>
      <c r="J9">
        <v>0</v>
      </c>
      <c r="K9">
        <v>0</v>
      </c>
      <c r="L9">
        <v>0</v>
      </c>
      <c r="M9">
        <v>0</v>
      </c>
      <c r="N9">
        <v>0</v>
      </c>
      <c r="O9">
        <v>0</v>
      </c>
      <c r="P9">
        <v>0</v>
      </c>
      <c r="Q9">
        <v>0</v>
      </c>
      <c r="R9">
        <v>0</v>
      </c>
      <c r="S9">
        <v>0</v>
      </c>
      <c r="T9">
        <v>0</v>
      </c>
      <c r="U9">
        <v>0</v>
      </c>
      <c r="V9">
        <v>0</v>
      </c>
      <c r="W9">
        <v>0</v>
      </c>
      <c r="X9">
        <v>0</v>
      </c>
      <c r="Y9">
        <v>0</v>
      </c>
      <c r="Z9">
        <v>0</v>
      </c>
      <c r="AA9">
        <v>0</v>
      </c>
      <c r="AB9">
        <v>0</v>
      </c>
      <c r="AC9">
        <v>0</v>
      </c>
      <c r="AD9">
        <v>0</v>
      </c>
      <c r="AF9">
        <v>0</v>
      </c>
      <c r="AG9">
        <v>0</v>
      </c>
      <c r="AH9">
        <v>0</v>
      </c>
      <c r="AI9">
        <v>0</v>
      </c>
      <c r="AJ9">
        <v>0</v>
      </c>
      <c r="AK9">
        <v>0</v>
      </c>
      <c r="AL9">
        <v>0</v>
      </c>
      <c r="AM9">
        <v>0</v>
      </c>
      <c r="AN9">
        <v>0</v>
      </c>
      <c r="AO9">
        <v>0</v>
      </c>
      <c r="AP9">
        <v>0</v>
      </c>
      <c r="AQ9">
        <v>0</v>
      </c>
      <c r="AR9">
        <v>0</v>
      </c>
      <c r="AS9">
        <v>0</v>
      </c>
      <c r="AT9">
        <v>0</v>
      </c>
      <c r="AU9">
        <v>0</v>
      </c>
      <c r="AV9">
        <v>0</v>
      </c>
      <c r="AW9">
        <v>0</v>
      </c>
      <c r="AX9">
        <v>0</v>
      </c>
      <c r="AY9">
        <v>0</v>
      </c>
      <c r="AZ9">
        <v>0</v>
      </c>
      <c r="BA9">
        <v>0</v>
      </c>
      <c r="BB9">
        <v>0</v>
      </c>
      <c r="BC9">
        <v>0</v>
      </c>
      <c r="BD9">
        <v>0</v>
      </c>
      <c r="BE9">
        <v>0</v>
      </c>
      <c r="BF9">
        <v>0</v>
      </c>
      <c r="BG9">
        <v>0</v>
      </c>
      <c r="BH9">
        <v>0</v>
      </c>
      <c r="BI9">
        <v>0</v>
      </c>
      <c r="BK9" s="151"/>
      <c r="BL9" s="68">
        <f t="shared" si="0"/>
        <v>0.08</v>
      </c>
      <c r="BM9" s="852">
        <f ca="1">_xlfn.PERCENTILE.EXC(OFFSET('4.2.3 Monte Carlo resultater'!$A$2,0,'4.2.2 Monte Carlo-simulering'!$AB$16-1,'4.2.2 Monte Carlo-simulering'!$AB$17,1),BL9)</f>
        <v>0</v>
      </c>
      <c r="BN9" s="823"/>
      <c r="BO9" s="823"/>
      <c r="BP9" s="823"/>
      <c r="BQ9" s="933" t="str">
        <f ca="1">IFERROR(IF(COUNTA($BQ$2:BQ8)=$BU$2,"-∞",BQ8+$BU$4),"-")</f>
        <v>-</v>
      </c>
      <c r="BR9" s="68" cm="1">
        <f t="array" aca="1" ref="BR9" ca="1">(COUNTIF(MonteCarlo_Figurer_Valgt_Serie,"&gt;="&amp;BQ9)-COUNTIF(MonteCarlo_Figurer_Valgt_Serie,"&gt;="&amp;BQ10))/'4.2.2 Monte Carlo-simulering'!$AB$17</f>
        <v>0</v>
      </c>
      <c r="BS9" s="862"/>
      <c r="BT9" s="862"/>
      <c r="BV9" s="823"/>
      <c r="BW9" s="823"/>
      <c r="BX9" s="823"/>
      <c r="BY9" s="823"/>
      <c r="BZ9" s="823"/>
    </row>
    <row r="10" spans="1:78" x14ac:dyDescent="0.35">
      <c r="A10">
        <v>0</v>
      </c>
      <c r="B10">
        <v>0</v>
      </c>
      <c r="C10">
        <v>0</v>
      </c>
      <c r="D10">
        <v>0</v>
      </c>
      <c r="E10">
        <v>0</v>
      </c>
      <c r="F10">
        <v>0</v>
      </c>
      <c r="G10">
        <v>0</v>
      </c>
      <c r="H10">
        <v>0</v>
      </c>
      <c r="I10">
        <v>0</v>
      </c>
      <c r="J10">
        <v>0</v>
      </c>
      <c r="K10">
        <v>0</v>
      </c>
      <c r="L10">
        <v>0</v>
      </c>
      <c r="M10">
        <v>0</v>
      </c>
      <c r="N10">
        <v>0</v>
      </c>
      <c r="O10">
        <v>0</v>
      </c>
      <c r="P10">
        <v>0</v>
      </c>
      <c r="Q10">
        <v>0</v>
      </c>
      <c r="R10">
        <v>0</v>
      </c>
      <c r="S10">
        <v>0</v>
      </c>
      <c r="T10">
        <v>0</v>
      </c>
      <c r="U10">
        <v>0</v>
      </c>
      <c r="V10">
        <v>0</v>
      </c>
      <c r="W10">
        <v>0</v>
      </c>
      <c r="X10">
        <v>0</v>
      </c>
      <c r="Y10">
        <v>0</v>
      </c>
      <c r="Z10">
        <v>0</v>
      </c>
      <c r="AA10">
        <v>0</v>
      </c>
      <c r="AB10">
        <v>0</v>
      </c>
      <c r="AC10">
        <v>0</v>
      </c>
      <c r="AD10">
        <v>0</v>
      </c>
      <c r="AF10">
        <v>0</v>
      </c>
      <c r="AG10">
        <v>0</v>
      </c>
      <c r="AH10">
        <v>0</v>
      </c>
      <c r="AI10">
        <v>0</v>
      </c>
      <c r="AJ10">
        <v>0</v>
      </c>
      <c r="AK10">
        <v>0</v>
      </c>
      <c r="AL10">
        <v>0</v>
      </c>
      <c r="AM10">
        <v>0</v>
      </c>
      <c r="AN10">
        <v>0</v>
      </c>
      <c r="AO10">
        <v>0</v>
      </c>
      <c r="AP10">
        <v>0</v>
      </c>
      <c r="AQ10">
        <v>0</v>
      </c>
      <c r="AR10">
        <v>0</v>
      </c>
      <c r="AS10">
        <v>0</v>
      </c>
      <c r="AT10">
        <v>0</v>
      </c>
      <c r="AU10">
        <v>0</v>
      </c>
      <c r="AV10">
        <v>0</v>
      </c>
      <c r="AW10">
        <v>0</v>
      </c>
      <c r="AX10">
        <v>0</v>
      </c>
      <c r="AY10">
        <v>0</v>
      </c>
      <c r="AZ10">
        <v>0</v>
      </c>
      <c r="BA10">
        <v>0</v>
      </c>
      <c r="BB10">
        <v>0</v>
      </c>
      <c r="BC10">
        <v>0</v>
      </c>
      <c r="BD10">
        <v>0</v>
      </c>
      <c r="BE10">
        <v>0</v>
      </c>
      <c r="BF10">
        <v>0</v>
      </c>
      <c r="BG10">
        <v>0</v>
      </c>
      <c r="BH10">
        <v>0</v>
      </c>
      <c r="BI10">
        <v>0</v>
      </c>
      <c r="BK10" s="151"/>
      <c r="BL10" s="68">
        <f t="shared" si="0"/>
        <v>0.09</v>
      </c>
      <c r="BM10" s="852">
        <f ca="1">_xlfn.PERCENTILE.EXC(OFFSET('4.2.3 Monte Carlo resultater'!$A$2,0,'4.2.2 Monte Carlo-simulering'!$AB$16-1,'4.2.2 Monte Carlo-simulering'!$AB$17,1),BL10)</f>
        <v>0</v>
      </c>
      <c r="BN10" s="823"/>
      <c r="BO10" s="823"/>
      <c r="BP10" s="823"/>
      <c r="BQ10" s="933" t="str">
        <f ca="1">IFERROR(IF(COUNTA($BQ$2:BQ9)=$BU$2,"-∞",BQ9+$BU$4),"-")</f>
        <v>-</v>
      </c>
      <c r="BR10" s="68" cm="1">
        <f t="array" aca="1" ref="BR10" ca="1">(COUNTIF(MonteCarlo_Figurer_Valgt_Serie,"&gt;="&amp;BQ10)-COUNTIF(MonteCarlo_Figurer_Valgt_Serie,"&gt;="&amp;BQ11))/'4.2.2 Monte Carlo-simulering'!$AB$17</f>
        <v>0</v>
      </c>
      <c r="BS10" s="862"/>
      <c r="BT10" s="862"/>
      <c r="BV10" s="823"/>
      <c r="BW10" s="823"/>
      <c r="BX10" s="823"/>
      <c r="BY10" s="823"/>
      <c r="BZ10" s="823"/>
    </row>
    <row r="11" spans="1:78" x14ac:dyDescent="0.35">
      <c r="A11">
        <v>0</v>
      </c>
      <c r="B11">
        <v>0</v>
      </c>
      <c r="C11">
        <v>0</v>
      </c>
      <c r="D11">
        <v>0</v>
      </c>
      <c r="E11">
        <v>0</v>
      </c>
      <c r="F11">
        <v>0</v>
      </c>
      <c r="G11">
        <v>0</v>
      </c>
      <c r="H11">
        <v>0</v>
      </c>
      <c r="I11">
        <v>0</v>
      </c>
      <c r="J11">
        <v>0</v>
      </c>
      <c r="K11">
        <v>0</v>
      </c>
      <c r="L11">
        <v>0</v>
      </c>
      <c r="M11">
        <v>0</v>
      </c>
      <c r="N11">
        <v>0</v>
      </c>
      <c r="O11">
        <v>0</v>
      </c>
      <c r="P11">
        <v>0</v>
      </c>
      <c r="Q11">
        <v>0</v>
      </c>
      <c r="R11">
        <v>0</v>
      </c>
      <c r="S11">
        <v>0</v>
      </c>
      <c r="T11">
        <v>0</v>
      </c>
      <c r="U11">
        <v>0</v>
      </c>
      <c r="V11">
        <v>0</v>
      </c>
      <c r="W11">
        <v>0</v>
      </c>
      <c r="X11">
        <v>0</v>
      </c>
      <c r="Y11">
        <v>0</v>
      </c>
      <c r="Z11">
        <v>0</v>
      </c>
      <c r="AA11">
        <v>0</v>
      </c>
      <c r="AB11">
        <v>0</v>
      </c>
      <c r="AC11">
        <v>0</v>
      </c>
      <c r="AD11">
        <v>0</v>
      </c>
      <c r="AF11">
        <v>0</v>
      </c>
      <c r="AG11">
        <v>0</v>
      </c>
      <c r="AH11">
        <v>0</v>
      </c>
      <c r="AI11">
        <v>0</v>
      </c>
      <c r="AJ11">
        <v>0</v>
      </c>
      <c r="AK11">
        <v>0</v>
      </c>
      <c r="AL11">
        <v>0</v>
      </c>
      <c r="AM11">
        <v>0</v>
      </c>
      <c r="AN11">
        <v>0</v>
      </c>
      <c r="AO11">
        <v>0</v>
      </c>
      <c r="AP11">
        <v>0</v>
      </c>
      <c r="AQ11">
        <v>0</v>
      </c>
      <c r="AR11">
        <v>0</v>
      </c>
      <c r="AS11">
        <v>0</v>
      </c>
      <c r="AT11">
        <v>0</v>
      </c>
      <c r="AU11">
        <v>0</v>
      </c>
      <c r="AV11">
        <v>0</v>
      </c>
      <c r="AW11">
        <v>0</v>
      </c>
      <c r="AX11">
        <v>0</v>
      </c>
      <c r="AY11">
        <v>0</v>
      </c>
      <c r="AZ11">
        <v>0</v>
      </c>
      <c r="BA11">
        <v>0</v>
      </c>
      <c r="BB11">
        <v>0</v>
      </c>
      <c r="BC11">
        <v>0</v>
      </c>
      <c r="BD11">
        <v>0</v>
      </c>
      <c r="BE11">
        <v>0</v>
      </c>
      <c r="BF11">
        <v>0</v>
      </c>
      <c r="BG11">
        <v>0</v>
      </c>
      <c r="BH11">
        <v>0</v>
      </c>
      <c r="BI11">
        <v>0</v>
      </c>
      <c r="BK11" s="151"/>
      <c r="BL11" s="68">
        <f t="shared" si="0"/>
        <v>9.9999999999999992E-2</v>
      </c>
      <c r="BM11" s="852">
        <f ca="1">_xlfn.PERCENTILE.EXC(OFFSET('4.2.3 Monte Carlo resultater'!$A$2,0,'4.2.2 Monte Carlo-simulering'!$AB$16-1,'4.2.2 Monte Carlo-simulering'!$AB$17,1),BL11)</f>
        <v>0</v>
      </c>
      <c r="BN11" s="823"/>
      <c r="BO11" s="823"/>
      <c r="BP11" s="823"/>
      <c r="BQ11" s="933" t="str">
        <f ca="1">IFERROR(IF(COUNTA($BQ$2:BQ10)=$BU$2,"-∞",BQ10+$BU$4),"-")</f>
        <v>-</v>
      </c>
      <c r="BR11" s="68" cm="1">
        <f t="array" aca="1" ref="BR11" ca="1">(COUNTIF(MonteCarlo_Figurer_Valgt_Serie,"&gt;="&amp;BQ11)-COUNTIF(MonteCarlo_Figurer_Valgt_Serie,"&gt;="&amp;BQ12))/'4.2.2 Monte Carlo-simulering'!$AB$17</f>
        <v>0</v>
      </c>
      <c r="BS11" s="862"/>
      <c r="BT11" s="862"/>
      <c r="BV11" s="823"/>
      <c r="BW11" s="823"/>
      <c r="BX11" s="823"/>
      <c r="BY11" s="823"/>
      <c r="BZ11" s="823"/>
    </row>
    <row r="12" spans="1:78" x14ac:dyDescent="0.35">
      <c r="A12">
        <v>0</v>
      </c>
      <c r="B12">
        <v>0</v>
      </c>
      <c r="C12">
        <v>0</v>
      </c>
      <c r="D12">
        <v>0</v>
      </c>
      <c r="E12">
        <v>0</v>
      </c>
      <c r="F12">
        <v>0</v>
      </c>
      <c r="G12">
        <v>0</v>
      </c>
      <c r="H12">
        <v>0</v>
      </c>
      <c r="I12">
        <v>0</v>
      </c>
      <c r="J12">
        <v>0</v>
      </c>
      <c r="K12">
        <v>0</v>
      </c>
      <c r="L12">
        <v>0</v>
      </c>
      <c r="M12">
        <v>0</v>
      </c>
      <c r="N12">
        <v>0</v>
      </c>
      <c r="O12">
        <v>0</v>
      </c>
      <c r="P12">
        <v>0</v>
      </c>
      <c r="Q12">
        <v>0</v>
      </c>
      <c r="R12">
        <v>0</v>
      </c>
      <c r="S12">
        <v>0</v>
      </c>
      <c r="T12">
        <v>0</v>
      </c>
      <c r="U12">
        <v>0</v>
      </c>
      <c r="V12">
        <v>0</v>
      </c>
      <c r="W12">
        <v>0</v>
      </c>
      <c r="X12">
        <v>0</v>
      </c>
      <c r="Y12">
        <v>0</v>
      </c>
      <c r="Z12">
        <v>0</v>
      </c>
      <c r="AA12">
        <v>0</v>
      </c>
      <c r="AB12">
        <v>0</v>
      </c>
      <c r="AC12">
        <v>0</v>
      </c>
      <c r="AD12">
        <v>0</v>
      </c>
      <c r="AF12">
        <v>0</v>
      </c>
      <c r="AG12">
        <v>0</v>
      </c>
      <c r="AH12">
        <v>0</v>
      </c>
      <c r="AI12">
        <v>0</v>
      </c>
      <c r="AJ12">
        <v>0</v>
      </c>
      <c r="AK12">
        <v>0</v>
      </c>
      <c r="AL12">
        <v>0</v>
      </c>
      <c r="AM12">
        <v>0</v>
      </c>
      <c r="AN12">
        <v>0</v>
      </c>
      <c r="AO12">
        <v>0</v>
      </c>
      <c r="AP12">
        <v>0</v>
      </c>
      <c r="AQ12">
        <v>0</v>
      </c>
      <c r="AR12">
        <v>0</v>
      </c>
      <c r="AS12">
        <v>0</v>
      </c>
      <c r="AT12">
        <v>0</v>
      </c>
      <c r="AU12">
        <v>0</v>
      </c>
      <c r="AV12">
        <v>0</v>
      </c>
      <c r="AW12">
        <v>0</v>
      </c>
      <c r="AX12">
        <v>0</v>
      </c>
      <c r="AY12">
        <v>0</v>
      </c>
      <c r="AZ12">
        <v>0</v>
      </c>
      <c r="BA12">
        <v>0</v>
      </c>
      <c r="BB12">
        <v>0</v>
      </c>
      <c r="BC12">
        <v>0</v>
      </c>
      <c r="BD12">
        <v>0</v>
      </c>
      <c r="BE12">
        <v>0</v>
      </c>
      <c r="BF12">
        <v>0</v>
      </c>
      <c r="BG12">
        <v>0</v>
      </c>
      <c r="BH12">
        <v>0</v>
      </c>
      <c r="BI12">
        <v>0</v>
      </c>
      <c r="BK12" s="151"/>
      <c r="BL12" s="68">
        <f t="shared" si="0"/>
        <v>0.10999999999999999</v>
      </c>
      <c r="BM12" s="852">
        <f ca="1">_xlfn.PERCENTILE.EXC(OFFSET('4.2.3 Monte Carlo resultater'!$A$2,0,'4.2.2 Monte Carlo-simulering'!$AB$16-1,'4.2.2 Monte Carlo-simulering'!$AB$17,1),BL12)</f>
        <v>0</v>
      </c>
      <c r="BN12" s="823"/>
      <c r="BO12" s="823"/>
      <c r="BP12" s="823"/>
      <c r="BQ12" s="933" t="str">
        <f ca="1">IFERROR(IF(COUNTA($BQ$2:BQ11)=$BU$2,"-∞",BQ11+$BU$4),"-")</f>
        <v>-</v>
      </c>
      <c r="BR12" s="68" cm="1">
        <f t="array" aca="1" ref="BR12" ca="1">(COUNTIF(MonteCarlo_Figurer_Valgt_Serie,"&gt;="&amp;BQ12)-COUNTIF(MonteCarlo_Figurer_Valgt_Serie,"&gt;="&amp;BQ13))/'4.2.2 Monte Carlo-simulering'!$AB$17</f>
        <v>0</v>
      </c>
      <c r="BS12" s="862"/>
      <c r="BT12" s="862"/>
      <c r="BV12" s="823"/>
      <c r="BW12" s="823"/>
      <c r="BX12" s="823"/>
      <c r="BY12" s="823"/>
      <c r="BZ12" s="823"/>
    </row>
    <row r="13" spans="1:78" x14ac:dyDescent="0.35">
      <c r="A13">
        <v>0</v>
      </c>
      <c r="B13">
        <v>0</v>
      </c>
      <c r="C13">
        <v>0</v>
      </c>
      <c r="D13">
        <v>0</v>
      </c>
      <c r="E13">
        <v>0</v>
      </c>
      <c r="F13">
        <v>0</v>
      </c>
      <c r="G13">
        <v>0</v>
      </c>
      <c r="H13">
        <v>0</v>
      </c>
      <c r="I13">
        <v>0</v>
      </c>
      <c r="J13">
        <v>0</v>
      </c>
      <c r="K13">
        <v>0</v>
      </c>
      <c r="L13">
        <v>0</v>
      </c>
      <c r="M13">
        <v>0</v>
      </c>
      <c r="N13">
        <v>0</v>
      </c>
      <c r="O13">
        <v>0</v>
      </c>
      <c r="P13">
        <v>0</v>
      </c>
      <c r="Q13">
        <v>0</v>
      </c>
      <c r="R13">
        <v>0</v>
      </c>
      <c r="S13">
        <v>0</v>
      </c>
      <c r="T13">
        <v>0</v>
      </c>
      <c r="U13">
        <v>0</v>
      </c>
      <c r="V13">
        <v>0</v>
      </c>
      <c r="W13">
        <v>0</v>
      </c>
      <c r="X13">
        <v>0</v>
      </c>
      <c r="Y13">
        <v>0</v>
      </c>
      <c r="Z13">
        <v>0</v>
      </c>
      <c r="AA13">
        <v>0</v>
      </c>
      <c r="AB13">
        <v>0</v>
      </c>
      <c r="AC13">
        <v>0</v>
      </c>
      <c r="AD13">
        <v>0</v>
      </c>
      <c r="AF13">
        <v>0</v>
      </c>
      <c r="AG13">
        <v>0</v>
      </c>
      <c r="AH13">
        <v>0</v>
      </c>
      <c r="AI13">
        <v>0</v>
      </c>
      <c r="AJ13">
        <v>0</v>
      </c>
      <c r="AK13">
        <v>0</v>
      </c>
      <c r="AL13">
        <v>0</v>
      </c>
      <c r="AM13">
        <v>0</v>
      </c>
      <c r="AN13">
        <v>0</v>
      </c>
      <c r="AO13">
        <v>0</v>
      </c>
      <c r="AP13">
        <v>0</v>
      </c>
      <c r="AQ13">
        <v>0</v>
      </c>
      <c r="AR13">
        <v>0</v>
      </c>
      <c r="AS13">
        <v>0</v>
      </c>
      <c r="AT13">
        <v>0</v>
      </c>
      <c r="AU13">
        <v>0</v>
      </c>
      <c r="AV13">
        <v>0</v>
      </c>
      <c r="AW13">
        <v>0</v>
      </c>
      <c r="AX13">
        <v>0</v>
      </c>
      <c r="AY13">
        <v>0</v>
      </c>
      <c r="AZ13">
        <v>0</v>
      </c>
      <c r="BA13">
        <v>0</v>
      </c>
      <c r="BB13">
        <v>0</v>
      </c>
      <c r="BC13">
        <v>0</v>
      </c>
      <c r="BD13">
        <v>0</v>
      </c>
      <c r="BE13">
        <v>0</v>
      </c>
      <c r="BF13">
        <v>0</v>
      </c>
      <c r="BG13">
        <v>0</v>
      </c>
      <c r="BH13">
        <v>0</v>
      </c>
      <c r="BI13">
        <v>0</v>
      </c>
      <c r="BK13" s="151"/>
      <c r="BL13" s="68">
        <f t="shared" si="0"/>
        <v>0.11999999999999998</v>
      </c>
      <c r="BM13" s="852">
        <f ca="1">_xlfn.PERCENTILE.EXC(OFFSET('4.2.3 Monte Carlo resultater'!$A$2,0,'4.2.2 Monte Carlo-simulering'!$AB$16-1,'4.2.2 Monte Carlo-simulering'!$AB$17,1),BL13)</f>
        <v>0</v>
      </c>
      <c r="BN13" s="823"/>
      <c r="BO13" s="823"/>
      <c r="BP13" s="823"/>
      <c r="BQ13" s="933" t="str">
        <f ca="1">IFERROR(IF(COUNTA($BQ$2:BQ12)=$BU$2,"-∞",BQ12+$BU$4),"-")</f>
        <v>-</v>
      </c>
      <c r="BR13" s="68" cm="1">
        <f t="array" aca="1" ref="BR13" ca="1">(COUNTIF(MonteCarlo_Figurer_Valgt_Serie,"&gt;="&amp;BQ13)-COUNTIF(MonteCarlo_Figurer_Valgt_Serie,"&gt;="&amp;BQ14))/'4.2.2 Monte Carlo-simulering'!$AB$17</f>
        <v>0</v>
      </c>
      <c r="BS13" s="862"/>
      <c r="BT13" s="862"/>
      <c r="BV13" s="823"/>
      <c r="BW13" s="823"/>
      <c r="BX13" s="823"/>
      <c r="BY13" s="823"/>
      <c r="BZ13" s="823"/>
    </row>
    <row r="14" spans="1:78" x14ac:dyDescent="0.35">
      <c r="A14">
        <v>0</v>
      </c>
      <c r="B14">
        <v>0</v>
      </c>
      <c r="C14">
        <v>0</v>
      </c>
      <c r="D14">
        <v>0</v>
      </c>
      <c r="E14">
        <v>0</v>
      </c>
      <c r="F14">
        <v>0</v>
      </c>
      <c r="G14">
        <v>0</v>
      </c>
      <c r="H14">
        <v>0</v>
      </c>
      <c r="I14">
        <v>0</v>
      </c>
      <c r="J14">
        <v>0</v>
      </c>
      <c r="K14">
        <v>0</v>
      </c>
      <c r="L14">
        <v>0</v>
      </c>
      <c r="M14">
        <v>0</v>
      </c>
      <c r="N14">
        <v>0</v>
      </c>
      <c r="O14">
        <v>0</v>
      </c>
      <c r="P14">
        <v>0</v>
      </c>
      <c r="Q14">
        <v>0</v>
      </c>
      <c r="R14">
        <v>0</v>
      </c>
      <c r="S14">
        <v>0</v>
      </c>
      <c r="T14">
        <v>0</v>
      </c>
      <c r="U14">
        <v>0</v>
      </c>
      <c r="V14">
        <v>0</v>
      </c>
      <c r="W14">
        <v>0</v>
      </c>
      <c r="X14">
        <v>0</v>
      </c>
      <c r="Y14">
        <v>0</v>
      </c>
      <c r="Z14">
        <v>0</v>
      </c>
      <c r="AA14">
        <v>0</v>
      </c>
      <c r="AB14">
        <v>0</v>
      </c>
      <c r="AC14">
        <v>0</v>
      </c>
      <c r="AD14">
        <v>0</v>
      </c>
      <c r="AF14">
        <v>0</v>
      </c>
      <c r="AG14">
        <v>0</v>
      </c>
      <c r="AH14">
        <v>0</v>
      </c>
      <c r="AI14">
        <v>0</v>
      </c>
      <c r="AJ14">
        <v>0</v>
      </c>
      <c r="AK14">
        <v>0</v>
      </c>
      <c r="AL14">
        <v>0</v>
      </c>
      <c r="AM14">
        <v>0</v>
      </c>
      <c r="AN14">
        <v>0</v>
      </c>
      <c r="AO14">
        <v>0</v>
      </c>
      <c r="AP14">
        <v>0</v>
      </c>
      <c r="AQ14">
        <v>0</v>
      </c>
      <c r="AR14">
        <v>0</v>
      </c>
      <c r="AS14">
        <v>0</v>
      </c>
      <c r="AT14">
        <v>0</v>
      </c>
      <c r="AU14">
        <v>0</v>
      </c>
      <c r="AV14">
        <v>0</v>
      </c>
      <c r="AW14">
        <v>0</v>
      </c>
      <c r="AX14">
        <v>0</v>
      </c>
      <c r="AY14">
        <v>0</v>
      </c>
      <c r="AZ14">
        <v>0</v>
      </c>
      <c r="BA14">
        <v>0</v>
      </c>
      <c r="BB14">
        <v>0</v>
      </c>
      <c r="BC14">
        <v>0</v>
      </c>
      <c r="BD14">
        <v>0</v>
      </c>
      <c r="BE14">
        <v>0</v>
      </c>
      <c r="BF14">
        <v>0</v>
      </c>
      <c r="BG14">
        <v>0</v>
      </c>
      <c r="BH14">
        <v>0</v>
      </c>
      <c r="BI14">
        <v>0</v>
      </c>
      <c r="BK14" s="151"/>
      <c r="BL14" s="68">
        <f t="shared" si="0"/>
        <v>0.12999999999999998</v>
      </c>
      <c r="BM14" s="852">
        <f ca="1">_xlfn.PERCENTILE.EXC(OFFSET('4.2.3 Monte Carlo resultater'!$A$2,0,'4.2.2 Monte Carlo-simulering'!$AB$16-1,'4.2.2 Monte Carlo-simulering'!$AB$17,1),BL14)</f>
        <v>0</v>
      </c>
      <c r="BN14" s="823"/>
      <c r="BO14" s="823"/>
      <c r="BP14" s="823"/>
      <c r="BQ14" s="933" t="str">
        <f ca="1">IFERROR(IF(COUNTA($BQ$2:BQ13)=$BU$2,"-∞",BQ13+$BU$4),"-")</f>
        <v>-</v>
      </c>
      <c r="BR14" s="68" cm="1">
        <f t="array" aca="1" ref="BR14" ca="1">(COUNTIF(MonteCarlo_Figurer_Valgt_Serie,"&gt;="&amp;BQ14)-COUNTIF(MonteCarlo_Figurer_Valgt_Serie,"&gt;="&amp;BQ15))/'4.2.2 Monte Carlo-simulering'!$AB$17</f>
        <v>0</v>
      </c>
      <c r="BS14" s="862"/>
      <c r="BT14" s="862"/>
      <c r="BV14" s="823"/>
      <c r="BW14" s="823"/>
      <c r="BX14" s="823"/>
      <c r="BY14" s="823"/>
      <c r="BZ14" s="823"/>
    </row>
    <row r="15" spans="1:78" x14ac:dyDescent="0.35">
      <c r="A15">
        <v>0</v>
      </c>
      <c r="B15">
        <v>0</v>
      </c>
      <c r="C15">
        <v>0</v>
      </c>
      <c r="D15">
        <v>0</v>
      </c>
      <c r="E15">
        <v>0</v>
      </c>
      <c r="F15">
        <v>0</v>
      </c>
      <c r="G15">
        <v>0</v>
      </c>
      <c r="H15">
        <v>0</v>
      </c>
      <c r="I15">
        <v>0</v>
      </c>
      <c r="J15">
        <v>0</v>
      </c>
      <c r="K15">
        <v>0</v>
      </c>
      <c r="L15">
        <v>0</v>
      </c>
      <c r="M15">
        <v>0</v>
      </c>
      <c r="N15">
        <v>0</v>
      </c>
      <c r="O15">
        <v>0</v>
      </c>
      <c r="P15">
        <v>0</v>
      </c>
      <c r="Q15">
        <v>0</v>
      </c>
      <c r="R15">
        <v>0</v>
      </c>
      <c r="S15">
        <v>0</v>
      </c>
      <c r="T15">
        <v>0</v>
      </c>
      <c r="U15">
        <v>0</v>
      </c>
      <c r="V15">
        <v>0</v>
      </c>
      <c r="W15">
        <v>0</v>
      </c>
      <c r="X15">
        <v>0</v>
      </c>
      <c r="Y15">
        <v>0</v>
      </c>
      <c r="Z15">
        <v>0</v>
      </c>
      <c r="AA15">
        <v>0</v>
      </c>
      <c r="AB15">
        <v>0</v>
      </c>
      <c r="AC15">
        <v>0</v>
      </c>
      <c r="AD15">
        <v>0</v>
      </c>
      <c r="AF15">
        <v>0</v>
      </c>
      <c r="AG15">
        <v>0</v>
      </c>
      <c r="AH15">
        <v>0</v>
      </c>
      <c r="AI15">
        <v>0</v>
      </c>
      <c r="AJ15">
        <v>0</v>
      </c>
      <c r="AK15">
        <v>0</v>
      </c>
      <c r="AL15">
        <v>0</v>
      </c>
      <c r="AM15">
        <v>0</v>
      </c>
      <c r="AN15">
        <v>0</v>
      </c>
      <c r="AO15">
        <v>0</v>
      </c>
      <c r="AP15">
        <v>0</v>
      </c>
      <c r="AQ15">
        <v>0</v>
      </c>
      <c r="AR15">
        <v>0</v>
      </c>
      <c r="AS15">
        <v>0</v>
      </c>
      <c r="AT15">
        <v>0</v>
      </c>
      <c r="AU15">
        <v>0</v>
      </c>
      <c r="AV15">
        <v>0</v>
      </c>
      <c r="AW15">
        <v>0</v>
      </c>
      <c r="AX15">
        <v>0</v>
      </c>
      <c r="AY15">
        <v>0</v>
      </c>
      <c r="AZ15">
        <v>0</v>
      </c>
      <c r="BA15">
        <v>0</v>
      </c>
      <c r="BB15">
        <v>0</v>
      </c>
      <c r="BC15">
        <v>0</v>
      </c>
      <c r="BD15">
        <v>0</v>
      </c>
      <c r="BE15">
        <v>0</v>
      </c>
      <c r="BF15">
        <v>0</v>
      </c>
      <c r="BG15">
        <v>0</v>
      </c>
      <c r="BH15">
        <v>0</v>
      </c>
      <c r="BI15">
        <v>0</v>
      </c>
      <c r="BK15" s="151"/>
      <c r="BL15" s="68">
        <f t="shared" si="0"/>
        <v>0.13999999999999999</v>
      </c>
      <c r="BM15" s="852">
        <f ca="1">_xlfn.PERCENTILE.EXC(OFFSET('4.2.3 Monte Carlo resultater'!$A$2,0,'4.2.2 Monte Carlo-simulering'!$AB$16-1,'4.2.2 Monte Carlo-simulering'!$AB$17,1),BL15)</f>
        <v>0</v>
      </c>
      <c r="BN15" s="823"/>
      <c r="BO15" s="823"/>
      <c r="BP15" s="823"/>
      <c r="BQ15" s="933" t="str">
        <f ca="1">IFERROR(IF(COUNTA($BQ$2:BQ14)=$BU$2,"-∞",BQ14+$BU$4),"-")</f>
        <v>-</v>
      </c>
      <c r="BR15" s="68" cm="1">
        <f t="array" aca="1" ref="BR15" ca="1">(COUNTIF(MonteCarlo_Figurer_Valgt_Serie,"&gt;="&amp;BQ15)-COUNTIF(MonteCarlo_Figurer_Valgt_Serie,"&gt;="&amp;BQ16))/'4.2.2 Monte Carlo-simulering'!$AB$17</f>
        <v>0</v>
      </c>
      <c r="BS15" s="862"/>
      <c r="BT15" s="862"/>
      <c r="BV15" s="823"/>
      <c r="BW15" s="823"/>
      <c r="BX15" s="823"/>
      <c r="BY15" s="823"/>
      <c r="BZ15" s="823"/>
    </row>
    <row r="16" spans="1:78" x14ac:dyDescent="0.35">
      <c r="A16">
        <v>0</v>
      </c>
      <c r="B16">
        <v>0</v>
      </c>
      <c r="C16">
        <v>0</v>
      </c>
      <c r="D16">
        <v>0</v>
      </c>
      <c r="E16">
        <v>0</v>
      </c>
      <c r="F16">
        <v>0</v>
      </c>
      <c r="G16">
        <v>0</v>
      </c>
      <c r="H16">
        <v>0</v>
      </c>
      <c r="I16">
        <v>0</v>
      </c>
      <c r="J16">
        <v>0</v>
      </c>
      <c r="K16">
        <v>0</v>
      </c>
      <c r="L16">
        <v>0</v>
      </c>
      <c r="M16">
        <v>0</v>
      </c>
      <c r="N16">
        <v>0</v>
      </c>
      <c r="O16">
        <v>0</v>
      </c>
      <c r="P16">
        <v>0</v>
      </c>
      <c r="Q16">
        <v>0</v>
      </c>
      <c r="R16">
        <v>0</v>
      </c>
      <c r="S16">
        <v>0</v>
      </c>
      <c r="T16">
        <v>0</v>
      </c>
      <c r="U16">
        <v>0</v>
      </c>
      <c r="V16">
        <v>0</v>
      </c>
      <c r="W16">
        <v>0</v>
      </c>
      <c r="X16">
        <v>0</v>
      </c>
      <c r="Y16">
        <v>0</v>
      </c>
      <c r="Z16">
        <v>0</v>
      </c>
      <c r="AA16">
        <v>0</v>
      </c>
      <c r="AB16">
        <v>0</v>
      </c>
      <c r="AC16">
        <v>0</v>
      </c>
      <c r="AD16">
        <v>0</v>
      </c>
      <c r="AF16">
        <v>0</v>
      </c>
      <c r="AG16">
        <v>0</v>
      </c>
      <c r="AH16">
        <v>0</v>
      </c>
      <c r="AI16">
        <v>0</v>
      </c>
      <c r="AJ16">
        <v>0</v>
      </c>
      <c r="AK16">
        <v>0</v>
      </c>
      <c r="AL16">
        <v>0</v>
      </c>
      <c r="AM16">
        <v>0</v>
      </c>
      <c r="AN16">
        <v>0</v>
      </c>
      <c r="AO16">
        <v>0</v>
      </c>
      <c r="AP16">
        <v>0</v>
      </c>
      <c r="AQ16">
        <v>0</v>
      </c>
      <c r="AR16">
        <v>0</v>
      </c>
      <c r="AS16">
        <v>0</v>
      </c>
      <c r="AT16">
        <v>0</v>
      </c>
      <c r="AU16">
        <v>0</v>
      </c>
      <c r="AV16">
        <v>0</v>
      </c>
      <c r="AW16">
        <v>0</v>
      </c>
      <c r="AX16">
        <v>0</v>
      </c>
      <c r="AY16">
        <v>0</v>
      </c>
      <c r="AZ16">
        <v>0</v>
      </c>
      <c r="BA16">
        <v>0</v>
      </c>
      <c r="BB16">
        <v>0</v>
      </c>
      <c r="BC16">
        <v>0</v>
      </c>
      <c r="BD16">
        <v>0</v>
      </c>
      <c r="BE16">
        <v>0</v>
      </c>
      <c r="BF16">
        <v>0</v>
      </c>
      <c r="BG16">
        <v>0</v>
      </c>
      <c r="BH16">
        <v>0</v>
      </c>
      <c r="BI16">
        <v>0</v>
      </c>
      <c r="BK16" s="151"/>
      <c r="BL16" s="68">
        <f t="shared" si="0"/>
        <v>0.15</v>
      </c>
      <c r="BM16" s="852">
        <f ca="1">_xlfn.PERCENTILE.EXC(OFFSET('4.2.3 Monte Carlo resultater'!$A$2,0,'4.2.2 Monte Carlo-simulering'!$AB$16-1,'4.2.2 Monte Carlo-simulering'!$AB$17,1),BL16)</f>
        <v>0</v>
      </c>
      <c r="BN16" s="823"/>
      <c r="BO16" s="823"/>
      <c r="BP16" s="823"/>
      <c r="BQ16" s="933" t="str">
        <f ca="1">IFERROR(IF(COUNTA($BQ$2:BQ15)=$BU$2,"-∞",BQ15+$BU$4),"-")</f>
        <v>-</v>
      </c>
      <c r="BR16" s="68" cm="1">
        <f t="array" aca="1" ref="BR16" ca="1">(COUNTIF(MonteCarlo_Figurer_Valgt_Serie,"&gt;="&amp;BQ16)-COUNTIF(MonteCarlo_Figurer_Valgt_Serie,"&gt;="&amp;BQ17))/'4.2.2 Monte Carlo-simulering'!$AB$17</f>
        <v>0</v>
      </c>
      <c r="BS16" s="862"/>
      <c r="BT16" s="862"/>
      <c r="BV16" s="823"/>
      <c r="BW16" s="823"/>
      <c r="BX16" s="823"/>
      <c r="BY16" s="823"/>
      <c r="BZ16" s="823"/>
    </row>
    <row r="17" spans="1:78" x14ac:dyDescent="0.35">
      <c r="A17">
        <v>0</v>
      </c>
      <c r="B17">
        <v>0</v>
      </c>
      <c r="C17">
        <v>0</v>
      </c>
      <c r="D17">
        <v>0</v>
      </c>
      <c r="E17">
        <v>0</v>
      </c>
      <c r="F17">
        <v>0</v>
      </c>
      <c r="G17">
        <v>0</v>
      </c>
      <c r="H17">
        <v>0</v>
      </c>
      <c r="I17">
        <v>0</v>
      </c>
      <c r="J17">
        <v>0</v>
      </c>
      <c r="K17">
        <v>0</v>
      </c>
      <c r="L17">
        <v>0</v>
      </c>
      <c r="M17">
        <v>0</v>
      </c>
      <c r="N17">
        <v>0</v>
      </c>
      <c r="O17">
        <v>0</v>
      </c>
      <c r="P17">
        <v>0</v>
      </c>
      <c r="Q17">
        <v>0</v>
      </c>
      <c r="R17">
        <v>0</v>
      </c>
      <c r="S17">
        <v>0</v>
      </c>
      <c r="T17">
        <v>0</v>
      </c>
      <c r="U17">
        <v>0</v>
      </c>
      <c r="V17">
        <v>0</v>
      </c>
      <c r="W17">
        <v>0</v>
      </c>
      <c r="X17">
        <v>0</v>
      </c>
      <c r="Y17">
        <v>0</v>
      </c>
      <c r="Z17">
        <v>0</v>
      </c>
      <c r="AA17">
        <v>0</v>
      </c>
      <c r="AB17">
        <v>0</v>
      </c>
      <c r="AC17">
        <v>0</v>
      </c>
      <c r="AD17">
        <v>0</v>
      </c>
      <c r="AF17">
        <v>0</v>
      </c>
      <c r="AG17">
        <v>0</v>
      </c>
      <c r="AH17">
        <v>0</v>
      </c>
      <c r="AI17">
        <v>0</v>
      </c>
      <c r="AJ17">
        <v>0</v>
      </c>
      <c r="AK17">
        <v>0</v>
      </c>
      <c r="AL17">
        <v>0</v>
      </c>
      <c r="AM17">
        <v>0</v>
      </c>
      <c r="AN17">
        <v>0</v>
      </c>
      <c r="AO17">
        <v>0</v>
      </c>
      <c r="AP17">
        <v>0</v>
      </c>
      <c r="AQ17">
        <v>0</v>
      </c>
      <c r="AR17">
        <v>0</v>
      </c>
      <c r="AS17">
        <v>0</v>
      </c>
      <c r="AT17">
        <v>0</v>
      </c>
      <c r="AU17">
        <v>0</v>
      </c>
      <c r="AV17">
        <v>0</v>
      </c>
      <c r="AW17">
        <v>0</v>
      </c>
      <c r="AX17">
        <v>0</v>
      </c>
      <c r="AY17">
        <v>0</v>
      </c>
      <c r="AZ17">
        <v>0</v>
      </c>
      <c r="BA17">
        <v>0</v>
      </c>
      <c r="BB17">
        <v>0</v>
      </c>
      <c r="BC17">
        <v>0</v>
      </c>
      <c r="BD17">
        <v>0</v>
      </c>
      <c r="BE17">
        <v>0</v>
      </c>
      <c r="BF17">
        <v>0</v>
      </c>
      <c r="BG17">
        <v>0</v>
      </c>
      <c r="BH17">
        <v>0</v>
      </c>
      <c r="BI17">
        <v>0</v>
      </c>
      <c r="BK17" s="151"/>
      <c r="BL17" s="68">
        <f t="shared" si="0"/>
        <v>0.16</v>
      </c>
      <c r="BM17" s="852">
        <f ca="1">_xlfn.PERCENTILE.EXC(OFFSET('4.2.3 Monte Carlo resultater'!$A$2,0,'4.2.2 Monte Carlo-simulering'!$AB$16-1,'4.2.2 Monte Carlo-simulering'!$AB$17,1),BL17)</f>
        <v>0</v>
      </c>
      <c r="BN17" s="823"/>
      <c r="BO17" s="823"/>
      <c r="BP17" s="823"/>
      <c r="BQ17" s="933" t="str">
        <f ca="1">IFERROR(IF(COUNTA($BQ$2:BQ16)=$BU$2,"-∞",BQ16+$BU$4),"-")</f>
        <v>-</v>
      </c>
      <c r="BR17" s="68" cm="1">
        <f t="array" aca="1" ref="BR17" ca="1">(COUNTIF(MonteCarlo_Figurer_Valgt_Serie,"&gt;="&amp;BQ17)-COUNTIF(MonteCarlo_Figurer_Valgt_Serie,"&gt;="&amp;BQ18))/'4.2.2 Monte Carlo-simulering'!$AB$17</f>
        <v>0</v>
      </c>
      <c r="BS17" s="862"/>
      <c r="BT17" s="862"/>
      <c r="BV17" s="823"/>
      <c r="BW17" s="823"/>
      <c r="BX17" s="823"/>
      <c r="BY17" s="823"/>
      <c r="BZ17" s="823"/>
    </row>
    <row r="18" spans="1:78" x14ac:dyDescent="0.35">
      <c r="A18">
        <v>0</v>
      </c>
      <c r="B18">
        <v>0</v>
      </c>
      <c r="C18">
        <v>0</v>
      </c>
      <c r="D18">
        <v>0</v>
      </c>
      <c r="E18">
        <v>0</v>
      </c>
      <c r="F18">
        <v>0</v>
      </c>
      <c r="G18">
        <v>0</v>
      </c>
      <c r="H18">
        <v>0</v>
      </c>
      <c r="I18">
        <v>0</v>
      </c>
      <c r="J18">
        <v>0</v>
      </c>
      <c r="K18">
        <v>0</v>
      </c>
      <c r="L18">
        <v>0</v>
      </c>
      <c r="M18">
        <v>0</v>
      </c>
      <c r="N18">
        <v>0</v>
      </c>
      <c r="O18">
        <v>0</v>
      </c>
      <c r="P18">
        <v>0</v>
      </c>
      <c r="Q18">
        <v>0</v>
      </c>
      <c r="R18">
        <v>0</v>
      </c>
      <c r="S18">
        <v>0</v>
      </c>
      <c r="T18">
        <v>0</v>
      </c>
      <c r="U18">
        <v>0</v>
      </c>
      <c r="V18">
        <v>0</v>
      </c>
      <c r="W18">
        <v>0</v>
      </c>
      <c r="X18">
        <v>0</v>
      </c>
      <c r="Y18">
        <v>0</v>
      </c>
      <c r="Z18">
        <v>0</v>
      </c>
      <c r="AA18">
        <v>0</v>
      </c>
      <c r="AB18">
        <v>0</v>
      </c>
      <c r="AC18">
        <v>0</v>
      </c>
      <c r="AD18">
        <v>0</v>
      </c>
      <c r="AF18">
        <v>0</v>
      </c>
      <c r="AG18">
        <v>0</v>
      </c>
      <c r="AH18">
        <v>0</v>
      </c>
      <c r="AI18">
        <v>0</v>
      </c>
      <c r="AJ18">
        <v>0</v>
      </c>
      <c r="AK18">
        <v>0</v>
      </c>
      <c r="AL18">
        <v>0</v>
      </c>
      <c r="AM18">
        <v>0</v>
      </c>
      <c r="AN18">
        <v>0</v>
      </c>
      <c r="AO18">
        <v>0</v>
      </c>
      <c r="AP18">
        <v>0</v>
      </c>
      <c r="AQ18">
        <v>0</v>
      </c>
      <c r="AR18">
        <v>0</v>
      </c>
      <c r="AS18">
        <v>0</v>
      </c>
      <c r="AT18">
        <v>0</v>
      </c>
      <c r="AU18">
        <v>0</v>
      </c>
      <c r="AV18">
        <v>0</v>
      </c>
      <c r="AW18">
        <v>0</v>
      </c>
      <c r="AX18">
        <v>0</v>
      </c>
      <c r="AY18">
        <v>0</v>
      </c>
      <c r="AZ18">
        <v>0</v>
      </c>
      <c r="BA18">
        <v>0</v>
      </c>
      <c r="BB18">
        <v>0</v>
      </c>
      <c r="BC18">
        <v>0</v>
      </c>
      <c r="BD18">
        <v>0</v>
      </c>
      <c r="BE18">
        <v>0</v>
      </c>
      <c r="BF18">
        <v>0</v>
      </c>
      <c r="BG18">
        <v>0</v>
      </c>
      <c r="BH18">
        <v>0</v>
      </c>
      <c r="BI18">
        <v>0</v>
      </c>
      <c r="BK18" s="151"/>
      <c r="BL18" s="68">
        <f t="shared" si="0"/>
        <v>0.17</v>
      </c>
      <c r="BM18" s="852">
        <f ca="1">_xlfn.PERCENTILE.EXC(OFFSET('4.2.3 Monte Carlo resultater'!$A$2,0,'4.2.2 Monte Carlo-simulering'!$AB$16-1,'4.2.2 Monte Carlo-simulering'!$AB$17,1),BL18)</f>
        <v>0</v>
      </c>
      <c r="BN18" s="823"/>
      <c r="BO18" s="823"/>
      <c r="BP18" s="823"/>
      <c r="BQ18" s="933" t="str">
        <f ca="1">IFERROR(IF(COUNTA($BQ$2:BQ17)=$BU$2,"-∞",BQ17+$BU$4),"-")</f>
        <v>-</v>
      </c>
      <c r="BR18" s="68" cm="1">
        <f t="array" aca="1" ref="BR18" ca="1">(COUNTIF(MonteCarlo_Figurer_Valgt_Serie,"&gt;="&amp;BQ18)-COUNTIF(MonteCarlo_Figurer_Valgt_Serie,"&gt;="&amp;BQ19))/'4.2.2 Monte Carlo-simulering'!$AB$17</f>
        <v>0</v>
      </c>
      <c r="BS18" s="862"/>
      <c r="BT18" s="862"/>
      <c r="BV18" s="823"/>
      <c r="BW18" s="823"/>
      <c r="BX18" s="823"/>
      <c r="BY18" s="823"/>
      <c r="BZ18" s="823"/>
    </row>
    <row r="19" spans="1:78" x14ac:dyDescent="0.35">
      <c r="A19">
        <v>0</v>
      </c>
      <c r="B19">
        <v>0</v>
      </c>
      <c r="C19">
        <v>0</v>
      </c>
      <c r="D19">
        <v>0</v>
      </c>
      <c r="E19">
        <v>0</v>
      </c>
      <c r="F19">
        <v>0</v>
      </c>
      <c r="G19">
        <v>0</v>
      </c>
      <c r="H19">
        <v>0</v>
      </c>
      <c r="I19">
        <v>0</v>
      </c>
      <c r="J19">
        <v>0</v>
      </c>
      <c r="K19">
        <v>0</v>
      </c>
      <c r="L19">
        <v>0</v>
      </c>
      <c r="M19">
        <v>0</v>
      </c>
      <c r="N19">
        <v>0</v>
      </c>
      <c r="O19">
        <v>0</v>
      </c>
      <c r="P19">
        <v>0</v>
      </c>
      <c r="Q19">
        <v>0</v>
      </c>
      <c r="R19">
        <v>0</v>
      </c>
      <c r="S19">
        <v>0</v>
      </c>
      <c r="T19">
        <v>0</v>
      </c>
      <c r="U19">
        <v>0</v>
      </c>
      <c r="V19">
        <v>0</v>
      </c>
      <c r="W19">
        <v>0</v>
      </c>
      <c r="X19">
        <v>0</v>
      </c>
      <c r="Y19">
        <v>0</v>
      </c>
      <c r="Z19">
        <v>0</v>
      </c>
      <c r="AA19">
        <v>0</v>
      </c>
      <c r="AB19">
        <v>0</v>
      </c>
      <c r="AC19">
        <v>0</v>
      </c>
      <c r="AD19">
        <v>0</v>
      </c>
      <c r="AF19">
        <v>0</v>
      </c>
      <c r="AG19">
        <v>0</v>
      </c>
      <c r="AH19">
        <v>0</v>
      </c>
      <c r="AI19">
        <v>0</v>
      </c>
      <c r="AJ19">
        <v>0</v>
      </c>
      <c r="AK19">
        <v>0</v>
      </c>
      <c r="AL19">
        <v>0</v>
      </c>
      <c r="AM19">
        <v>0</v>
      </c>
      <c r="AN19">
        <v>0</v>
      </c>
      <c r="AO19">
        <v>0</v>
      </c>
      <c r="AP19">
        <v>0</v>
      </c>
      <c r="AQ19">
        <v>0</v>
      </c>
      <c r="AR19">
        <v>0</v>
      </c>
      <c r="AS19">
        <v>0</v>
      </c>
      <c r="AT19">
        <v>0</v>
      </c>
      <c r="AU19">
        <v>0</v>
      </c>
      <c r="AV19">
        <v>0</v>
      </c>
      <c r="AW19">
        <v>0</v>
      </c>
      <c r="AX19">
        <v>0</v>
      </c>
      <c r="AY19">
        <v>0</v>
      </c>
      <c r="AZ19">
        <v>0</v>
      </c>
      <c r="BA19">
        <v>0</v>
      </c>
      <c r="BB19">
        <v>0</v>
      </c>
      <c r="BC19">
        <v>0</v>
      </c>
      <c r="BD19">
        <v>0</v>
      </c>
      <c r="BE19">
        <v>0</v>
      </c>
      <c r="BF19">
        <v>0</v>
      </c>
      <c r="BG19">
        <v>0</v>
      </c>
      <c r="BH19">
        <v>0</v>
      </c>
      <c r="BI19">
        <v>0</v>
      </c>
      <c r="BK19" s="151"/>
      <c r="BL19" s="68">
        <f t="shared" si="0"/>
        <v>0.18000000000000002</v>
      </c>
      <c r="BM19" s="852">
        <f ca="1">_xlfn.PERCENTILE.EXC(OFFSET('4.2.3 Monte Carlo resultater'!$A$2,0,'4.2.2 Monte Carlo-simulering'!$AB$16-1,'4.2.2 Monte Carlo-simulering'!$AB$17,1),BL19)</f>
        <v>0</v>
      </c>
      <c r="BN19" s="823"/>
      <c r="BO19" s="823"/>
      <c r="BP19" s="823"/>
      <c r="BQ19" s="933" t="str">
        <f ca="1">IFERROR(IF(COUNTA($BQ$2:BQ18)=$BU$2,"-∞",BQ18+$BU$4),"-")</f>
        <v>-</v>
      </c>
      <c r="BR19" s="68" cm="1">
        <f t="array" aca="1" ref="BR19" ca="1">(COUNTIF(MonteCarlo_Figurer_Valgt_Serie,"&gt;="&amp;BQ19)-COUNTIF(MonteCarlo_Figurer_Valgt_Serie,"&gt;="&amp;BQ20))/'4.2.2 Monte Carlo-simulering'!$AB$17</f>
        <v>0</v>
      </c>
      <c r="BS19" s="862"/>
      <c r="BT19" s="862"/>
      <c r="BV19" s="823"/>
      <c r="BW19" s="823"/>
      <c r="BX19" s="823"/>
      <c r="BY19" s="823"/>
      <c r="BZ19" s="823"/>
    </row>
    <row r="20" spans="1:78" x14ac:dyDescent="0.35">
      <c r="A20">
        <v>0</v>
      </c>
      <c r="B20">
        <v>0</v>
      </c>
      <c r="C20">
        <v>0</v>
      </c>
      <c r="D20">
        <v>0</v>
      </c>
      <c r="E20">
        <v>0</v>
      </c>
      <c r="F20">
        <v>0</v>
      </c>
      <c r="G20">
        <v>0</v>
      </c>
      <c r="H20">
        <v>0</v>
      </c>
      <c r="I20">
        <v>0</v>
      </c>
      <c r="J20">
        <v>0</v>
      </c>
      <c r="K20">
        <v>0</v>
      </c>
      <c r="L20">
        <v>0</v>
      </c>
      <c r="M20">
        <v>0</v>
      </c>
      <c r="N20">
        <v>0</v>
      </c>
      <c r="O20">
        <v>0</v>
      </c>
      <c r="P20">
        <v>0</v>
      </c>
      <c r="Q20">
        <v>0</v>
      </c>
      <c r="R20">
        <v>0</v>
      </c>
      <c r="S20">
        <v>0</v>
      </c>
      <c r="T20">
        <v>0</v>
      </c>
      <c r="U20">
        <v>0</v>
      </c>
      <c r="V20">
        <v>0</v>
      </c>
      <c r="W20">
        <v>0</v>
      </c>
      <c r="X20">
        <v>0</v>
      </c>
      <c r="Y20">
        <v>0</v>
      </c>
      <c r="Z20">
        <v>0</v>
      </c>
      <c r="AA20">
        <v>0</v>
      </c>
      <c r="AB20">
        <v>0</v>
      </c>
      <c r="AC20">
        <v>0</v>
      </c>
      <c r="AD20">
        <v>0</v>
      </c>
      <c r="AF20">
        <v>0</v>
      </c>
      <c r="AG20">
        <v>0</v>
      </c>
      <c r="AH20">
        <v>0</v>
      </c>
      <c r="AI20">
        <v>0</v>
      </c>
      <c r="AJ20">
        <v>0</v>
      </c>
      <c r="AK20">
        <v>0</v>
      </c>
      <c r="AL20">
        <v>0</v>
      </c>
      <c r="AM20">
        <v>0</v>
      </c>
      <c r="AN20">
        <v>0</v>
      </c>
      <c r="AO20">
        <v>0</v>
      </c>
      <c r="AP20">
        <v>0</v>
      </c>
      <c r="AQ20">
        <v>0</v>
      </c>
      <c r="AR20">
        <v>0</v>
      </c>
      <c r="AS20">
        <v>0</v>
      </c>
      <c r="AT20">
        <v>0</v>
      </c>
      <c r="AU20">
        <v>0</v>
      </c>
      <c r="AV20">
        <v>0</v>
      </c>
      <c r="AW20">
        <v>0</v>
      </c>
      <c r="AX20">
        <v>0</v>
      </c>
      <c r="AY20">
        <v>0</v>
      </c>
      <c r="AZ20">
        <v>0</v>
      </c>
      <c r="BA20">
        <v>0</v>
      </c>
      <c r="BB20">
        <v>0</v>
      </c>
      <c r="BC20">
        <v>0</v>
      </c>
      <c r="BD20">
        <v>0</v>
      </c>
      <c r="BE20">
        <v>0</v>
      </c>
      <c r="BF20">
        <v>0</v>
      </c>
      <c r="BG20">
        <v>0</v>
      </c>
      <c r="BH20">
        <v>0</v>
      </c>
      <c r="BI20">
        <v>0</v>
      </c>
      <c r="BK20" s="151"/>
      <c r="BL20" s="68">
        <f t="shared" si="0"/>
        <v>0.19000000000000003</v>
      </c>
      <c r="BM20" s="852">
        <f ca="1">_xlfn.PERCENTILE.EXC(OFFSET('4.2.3 Monte Carlo resultater'!$A$2,0,'4.2.2 Monte Carlo-simulering'!$AB$16-1,'4.2.2 Monte Carlo-simulering'!$AB$17,1),BL20)</f>
        <v>0</v>
      </c>
      <c r="BN20" s="823"/>
      <c r="BO20" s="823"/>
      <c r="BP20" s="823"/>
      <c r="BQ20" s="933" t="str">
        <f ca="1">IFERROR(IF(COUNTA($BQ$2:BQ19)=$BU$2,"-∞",BQ19+$BU$4),"-")</f>
        <v>-</v>
      </c>
      <c r="BR20" s="68" cm="1">
        <f t="array" aca="1" ref="BR20" ca="1">(COUNTIF(MonteCarlo_Figurer_Valgt_Serie,"&gt;="&amp;BQ20)-COUNTIF(MonteCarlo_Figurer_Valgt_Serie,"&gt;="&amp;BQ21))/'4.2.2 Monte Carlo-simulering'!$AB$17</f>
        <v>0</v>
      </c>
      <c r="BS20" s="862"/>
      <c r="BT20" s="862"/>
      <c r="BV20" s="823"/>
      <c r="BW20" s="823"/>
      <c r="BX20" s="823"/>
      <c r="BY20" s="823"/>
      <c r="BZ20" s="823"/>
    </row>
    <row r="21" spans="1:78" x14ac:dyDescent="0.35">
      <c r="A21">
        <v>0</v>
      </c>
      <c r="B21">
        <v>0</v>
      </c>
      <c r="C21">
        <v>0</v>
      </c>
      <c r="D21">
        <v>0</v>
      </c>
      <c r="E21">
        <v>0</v>
      </c>
      <c r="F21">
        <v>0</v>
      </c>
      <c r="G21">
        <v>0</v>
      </c>
      <c r="H21">
        <v>0</v>
      </c>
      <c r="I21">
        <v>0</v>
      </c>
      <c r="J21">
        <v>0</v>
      </c>
      <c r="K21">
        <v>0</v>
      </c>
      <c r="L21">
        <v>0</v>
      </c>
      <c r="M21">
        <v>0</v>
      </c>
      <c r="N21">
        <v>0</v>
      </c>
      <c r="O21">
        <v>0</v>
      </c>
      <c r="P21">
        <v>0</v>
      </c>
      <c r="Q21">
        <v>0</v>
      </c>
      <c r="R21">
        <v>0</v>
      </c>
      <c r="S21">
        <v>0</v>
      </c>
      <c r="T21">
        <v>0</v>
      </c>
      <c r="U21">
        <v>0</v>
      </c>
      <c r="V21">
        <v>0</v>
      </c>
      <c r="W21">
        <v>0</v>
      </c>
      <c r="X21">
        <v>0</v>
      </c>
      <c r="Y21">
        <v>0</v>
      </c>
      <c r="Z21">
        <v>0</v>
      </c>
      <c r="AA21">
        <v>0</v>
      </c>
      <c r="AB21">
        <v>0</v>
      </c>
      <c r="AC21">
        <v>0</v>
      </c>
      <c r="AD21">
        <v>0</v>
      </c>
      <c r="AF21">
        <v>0</v>
      </c>
      <c r="AG21">
        <v>0</v>
      </c>
      <c r="AH21">
        <v>0</v>
      </c>
      <c r="AI21">
        <v>0</v>
      </c>
      <c r="AJ21">
        <v>0</v>
      </c>
      <c r="AK21">
        <v>0</v>
      </c>
      <c r="AL21">
        <v>0</v>
      </c>
      <c r="AM21">
        <v>0</v>
      </c>
      <c r="AN21">
        <v>0</v>
      </c>
      <c r="AO21">
        <v>0</v>
      </c>
      <c r="AP21">
        <v>0</v>
      </c>
      <c r="AQ21">
        <v>0</v>
      </c>
      <c r="AR21">
        <v>0</v>
      </c>
      <c r="AS21">
        <v>0</v>
      </c>
      <c r="AT21">
        <v>0</v>
      </c>
      <c r="AU21">
        <v>0</v>
      </c>
      <c r="AV21">
        <v>0</v>
      </c>
      <c r="AW21">
        <v>0</v>
      </c>
      <c r="AX21">
        <v>0</v>
      </c>
      <c r="AY21">
        <v>0</v>
      </c>
      <c r="AZ21">
        <v>0</v>
      </c>
      <c r="BA21">
        <v>0</v>
      </c>
      <c r="BB21">
        <v>0</v>
      </c>
      <c r="BC21">
        <v>0</v>
      </c>
      <c r="BD21">
        <v>0</v>
      </c>
      <c r="BE21">
        <v>0</v>
      </c>
      <c r="BF21">
        <v>0</v>
      </c>
      <c r="BG21">
        <v>0</v>
      </c>
      <c r="BH21">
        <v>0</v>
      </c>
      <c r="BI21">
        <v>0</v>
      </c>
      <c r="BK21" s="151"/>
      <c r="BL21" s="68">
        <f t="shared" si="0"/>
        <v>0.20000000000000004</v>
      </c>
      <c r="BM21" s="852">
        <f ca="1">_xlfn.PERCENTILE.EXC(OFFSET('4.2.3 Monte Carlo resultater'!$A$2,0,'4.2.2 Monte Carlo-simulering'!$AB$16-1,'4.2.2 Monte Carlo-simulering'!$AB$17,1),BL21)</f>
        <v>0</v>
      </c>
      <c r="BN21" s="823"/>
      <c r="BO21" s="823"/>
      <c r="BP21" s="823"/>
      <c r="BQ21" s="933" t="str">
        <f ca="1">IFERROR(IF(COUNTA($BQ$2:BQ20)=$BU$2,"-∞",BQ20+$BU$4),"-")</f>
        <v>-</v>
      </c>
      <c r="BR21" s="68" cm="1">
        <f t="array" aca="1" ref="BR21" ca="1">(COUNTIF(MonteCarlo_Figurer_Valgt_Serie,"&gt;="&amp;BQ21)-COUNTIF(MonteCarlo_Figurer_Valgt_Serie,"&gt;="&amp;BQ22))/'4.2.2 Monte Carlo-simulering'!$AB$17</f>
        <v>0</v>
      </c>
      <c r="BS21" s="862"/>
      <c r="BT21" s="862"/>
      <c r="BV21" s="823"/>
      <c r="BW21" s="823"/>
      <c r="BX21" s="823"/>
      <c r="BY21" s="823"/>
      <c r="BZ21" s="823"/>
    </row>
    <row r="22" spans="1:78" x14ac:dyDescent="0.35">
      <c r="A22">
        <v>0</v>
      </c>
      <c r="B22">
        <v>0</v>
      </c>
      <c r="C22">
        <v>0</v>
      </c>
      <c r="D22">
        <v>0</v>
      </c>
      <c r="E22">
        <v>0</v>
      </c>
      <c r="F22">
        <v>0</v>
      </c>
      <c r="G22">
        <v>0</v>
      </c>
      <c r="H22">
        <v>0</v>
      </c>
      <c r="I22">
        <v>0</v>
      </c>
      <c r="J22">
        <v>0</v>
      </c>
      <c r="K22">
        <v>0</v>
      </c>
      <c r="L22">
        <v>0</v>
      </c>
      <c r="M22">
        <v>0</v>
      </c>
      <c r="N22">
        <v>0</v>
      </c>
      <c r="O22">
        <v>0</v>
      </c>
      <c r="P22">
        <v>0</v>
      </c>
      <c r="Q22">
        <v>0</v>
      </c>
      <c r="R22">
        <v>0</v>
      </c>
      <c r="S22">
        <v>0</v>
      </c>
      <c r="T22">
        <v>0</v>
      </c>
      <c r="U22">
        <v>0</v>
      </c>
      <c r="V22">
        <v>0</v>
      </c>
      <c r="W22">
        <v>0</v>
      </c>
      <c r="X22">
        <v>0</v>
      </c>
      <c r="Y22">
        <v>0</v>
      </c>
      <c r="Z22">
        <v>0</v>
      </c>
      <c r="AA22">
        <v>0</v>
      </c>
      <c r="AB22">
        <v>0</v>
      </c>
      <c r="AC22">
        <v>0</v>
      </c>
      <c r="AD22">
        <v>0</v>
      </c>
      <c r="AF22">
        <v>0</v>
      </c>
      <c r="AG22">
        <v>0</v>
      </c>
      <c r="AH22">
        <v>0</v>
      </c>
      <c r="AI22">
        <v>0</v>
      </c>
      <c r="AJ22">
        <v>0</v>
      </c>
      <c r="AK22">
        <v>0</v>
      </c>
      <c r="AL22">
        <v>0</v>
      </c>
      <c r="AM22">
        <v>0</v>
      </c>
      <c r="AN22">
        <v>0</v>
      </c>
      <c r="AO22">
        <v>0</v>
      </c>
      <c r="AP22">
        <v>0</v>
      </c>
      <c r="AQ22">
        <v>0</v>
      </c>
      <c r="AR22">
        <v>0</v>
      </c>
      <c r="AS22">
        <v>0</v>
      </c>
      <c r="AT22">
        <v>0</v>
      </c>
      <c r="AU22">
        <v>0</v>
      </c>
      <c r="AV22">
        <v>0</v>
      </c>
      <c r="AW22">
        <v>0</v>
      </c>
      <c r="AX22">
        <v>0</v>
      </c>
      <c r="AY22">
        <v>0</v>
      </c>
      <c r="AZ22">
        <v>0</v>
      </c>
      <c r="BA22">
        <v>0</v>
      </c>
      <c r="BB22">
        <v>0</v>
      </c>
      <c r="BC22">
        <v>0</v>
      </c>
      <c r="BD22">
        <v>0</v>
      </c>
      <c r="BE22">
        <v>0</v>
      </c>
      <c r="BF22">
        <v>0</v>
      </c>
      <c r="BG22">
        <v>0</v>
      </c>
      <c r="BH22">
        <v>0</v>
      </c>
      <c r="BI22">
        <v>0</v>
      </c>
      <c r="BK22" s="151"/>
      <c r="BL22" s="68">
        <f t="shared" si="0"/>
        <v>0.21000000000000005</v>
      </c>
      <c r="BM22" s="852">
        <f ca="1">_xlfn.PERCENTILE.EXC(OFFSET('4.2.3 Monte Carlo resultater'!$A$2,0,'4.2.2 Monte Carlo-simulering'!$AB$16-1,'4.2.2 Monte Carlo-simulering'!$AB$17,1),BL22)</f>
        <v>0</v>
      </c>
      <c r="BN22" s="823"/>
      <c r="BO22" s="823"/>
      <c r="BP22" s="823"/>
      <c r="BQ22" s="930" t="str">
        <f ca="1">IFERROR(IF(COUNTA($BQ$2:BQ21)=$BU$2,"-∞",BQ21+$BU$4),"-")</f>
        <v>-∞</v>
      </c>
      <c r="BR22" s="68" cm="1">
        <f t="array" aca="1" ref="BR22" ca="1">(COUNTIF(MonteCarlo_Figurer_Valgt_Serie,"&gt;="&amp;BQ22)-COUNTIF(MonteCarlo_Figurer_Valgt_Serie,"&gt;="&amp;BQ23))/'4.2.2 Monte Carlo-simulering'!$AB$17</f>
        <v>0</v>
      </c>
      <c r="BS22" s="862"/>
      <c r="BT22" s="862"/>
      <c r="BV22" s="823"/>
      <c r="BW22" s="823"/>
      <c r="BX22" s="823"/>
      <c r="BY22" s="823"/>
      <c r="BZ22" s="823"/>
    </row>
    <row r="23" spans="1:78" x14ac:dyDescent="0.35">
      <c r="A23">
        <v>0</v>
      </c>
      <c r="B23">
        <v>0</v>
      </c>
      <c r="C23">
        <v>0</v>
      </c>
      <c r="D23">
        <v>0</v>
      </c>
      <c r="E23">
        <v>0</v>
      </c>
      <c r="F23">
        <v>0</v>
      </c>
      <c r="G23">
        <v>0</v>
      </c>
      <c r="H23">
        <v>0</v>
      </c>
      <c r="I23">
        <v>0</v>
      </c>
      <c r="J23">
        <v>0</v>
      </c>
      <c r="K23">
        <v>0</v>
      </c>
      <c r="L23">
        <v>0</v>
      </c>
      <c r="M23">
        <v>0</v>
      </c>
      <c r="N23">
        <v>0</v>
      </c>
      <c r="O23">
        <v>0</v>
      </c>
      <c r="P23">
        <v>0</v>
      </c>
      <c r="Q23">
        <v>0</v>
      </c>
      <c r="R23">
        <v>0</v>
      </c>
      <c r="S23">
        <v>0</v>
      </c>
      <c r="T23">
        <v>0</v>
      </c>
      <c r="U23">
        <v>0</v>
      </c>
      <c r="V23">
        <v>0</v>
      </c>
      <c r="W23">
        <v>0</v>
      </c>
      <c r="X23">
        <v>0</v>
      </c>
      <c r="Y23">
        <v>0</v>
      </c>
      <c r="Z23">
        <v>0</v>
      </c>
      <c r="AA23">
        <v>0</v>
      </c>
      <c r="AB23">
        <v>0</v>
      </c>
      <c r="AC23">
        <v>0</v>
      </c>
      <c r="AD23">
        <v>0</v>
      </c>
      <c r="AF23">
        <v>0</v>
      </c>
      <c r="AG23">
        <v>0</v>
      </c>
      <c r="AH23">
        <v>0</v>
      </c>
      <c r="AI23">
        <v>0</v>
      </c>
      <c r="AJ23">
        <v>0</v>
      </c>
      <c r="AK23">
        <v>0</v>
      </c>
      <c r="AL23">
        <v>0</v>
      </c>
      <c r="AM23">
        <v>0</v>
      </c>
      <c r="AN23">
        <v>0</v>
      </c>
      <c r="AO23">
        <v>0</v>
      </c>
      <c r="AP23">
        <v>0</v>
      </c>
      <c r="AQ23">
        <v>0</v>
      </c>
      <c r="AR23">
        <v>0</v>
      </c>
      <c r="AS23">
        <v>0</v>
      </c>
      <c r="AT23">
        <v>0</v>
      </c>
      <c r="AU23">
        <v>0</v>
      </c>
      <c r="AV23">
        <v>0</v>
      </c>
      <c r="AW23">
        <v>0</v>
      </c>
      <c r="AX23">
        <v>0</v>
      </c>
      <c r="AY23">
        <v>0</v>
      </c>
      <c r="AZ23">
        <v>0</v>
      </c>
      <c r="BA23">
        <v>0</v>
      </c>
      <c r="BB23">
        <v>0</v>
      </c>
      <c r="BC23">
        <v>0</v>
      </c>
      <c r="BD23">
        <v>0</v>
      </c>
      <c r="BE23">
        <v>0</v>
      </c>
      <c r="BF23">
        <v>0</v>
      </c>
      <c r="BG23">
        <v>0</v>
      </c>
      <c r="BH23">
        <v>0</v>
      </c>
      <c r="BI23">
        <v>0</v>
      </c>
      <c r="BK23" s="151"/>
      <c r="BL23" s="68">
        <f t="shared" si="0"/>
        <v>0.22000000000000006</v>
      </c>
      <c r="BM23" s="852">
        <f ca="1">_xlfn.PERCENTILE.EXC(OFFSET('4.2.3 Monte Carlo resultater'!$A$2,0,'4.2.2 Monte Carlo-simulering'!$AB$16-1,'4.2.2 Monte Carlo-simulering'!$AB$17,1),BL23)</f>
        <v>0</v>
      </c>
      <c r="BN23" s="823"/>
      <c r="BO23" s="823"/>
      <c r="BP23" s="823"/>
      <c r="BQ23" s="929" t="str">
        <f ca="1">IFERROR(IF(COUNTA($BQ$2:BQ22)=$BU$2,"-∞",BQ22+$BU$4),"-")</f>
        <v>-</v>
      </c>
      <c r="BR23" s="68" cm="1">
        <f t="array" aca="1" ref="BR23" ca="1">(COUNTIF(MonteCarlo_Figurer_Valgt_Serie,"&gt;="&amp;BQ23)-COUNTIF(MonteCarlo_Figurer_Valgt_Serie,"&gt;="&amp;BQ24))/'4.2.2 Monte Carlo-simulering'!$AB$17</f>
        <v>0</v>
      </c>
      <c r="BS23" s="823"/>
      <c r="BT23" s="862"/>
      <c r="BV23" s="823"/>
      <c r="BW23" s="823"/>
      <c r="BX23" s="823"/>
      <c r="BY23" s="823"/>
      <c r="BZ23" s="823"/>
    </row>
    <row r="24" spans="1:78" x14ac:dyDescent="0.35">
      <c r="A24">
        <v>0</v>
      </c>
      <c r="B24">
        <v>0</v>
      </c>
      <c r="C24">
        <v>0</v>
      </c>
      <c r="D24">
        <v>0</v>
      </c>
      <c r="E24">
        <v>0</v>
      </c>
      <c r="F24">
        <v>0</v>
      </c>
      <c r="G24">
        <v>0</v>
      </c>
      <c r="H24">
        <v>0</v>
      </c>
      <c r="I24">
        <v>0</v>
      </c>
      <c r="J24">
        <v>0</v>
      </c>
      <c r="K24">
        <v>0</v>
      </c>
      <c r="L24">
        <v>0</v>
      </c>
      <c r="M24">
        <v>0</v>
      </c>
      <c r="N24">
        <v>0</v>
      </c>
      <c r="O24">
        <v>0</v>
      </c>
      <c r="P24">
        <v>0</v>
      </c>
      <c r="Q24">
        <v>0</v>
      </c>
      <c r="R24">
        <v>0</v>
      </c>
      <c r="S24">
        <v>0</v>
      </c>
      <c r="T24">
        <v>0</v>
      </c>
      <c r="U24">
        <v>0</v>
      </c>
      <c r="V24">
        <v>0</v>
      </c>
      <c r="W24">
        <v>0</v>
      </c>
      <c r="X24">
        <v>0</v>
      </c>
      <c r="Y24">
        <v>0</v>
      </c>
      <c r="Z24">
        <v>0</v>
      </c>
      <c r="AA24">
        <v>0</v>
      </c>
      <c r="AB24">
        <v>0</v>
      </c>
      <c r="AC24">
        <v>0</v>
      </c>
      <c r="AD24">
        <v>0</v>
      </c>
      <c r="AF24">
        <v>0</v>
      </c>
      <c r="AG24">
        <v>0</v>
      </c>
      <c r="AH24">
        <v>0</v>
      </c>
      <c r="AI24">
        <v>0</v>
      </c>
      <c r="AJ24">
        <v>0</v>
      </c>
      <c r="AK24">
        <v>0</v>
      </c>
      <c r="AL24">
        <v>0</v>
      </c>
      <c r="AM24">
        <v>0</v>
      </c>
      <c r="AN24">
        <v>0</v>
      </c>
      <c r="AO24">
        <v>0</v>
      </c>
      <c r="AP24">
        <v>0</v>
      </c>
      <c r="AQ24">
        <v>0</v>
      </c>
      <c r="AR24">
        <v>0</v>
      </c>
      <c r="AS24">
        <v>0</v>
      </c>
      <c r="AT24">
        <v>0</v>
      </c>
      <c r="AU24">
        <v>0</v>
      </c>
      <c r="AV24">
        <v>0</v>
      </c>
      <c r="AW24">
        <v>0</v>
      </c>
      <c r="AX24">
        <v>0</v>
      </c>
      <c r="AY24">
        <v>0</v>
      </c>
      <c r="AZ24">
        <v>0</v>
      </c>
      <c r="BA24">
        <v>0</v>
      </c>
      <c r="BB24">
        <v>0</v>
      </c>
      <c r="BC24">
        <v>0</v>
      </c>
      <c r="BD24">
        <v>0</v>
      </c>
      <c r="BE24">
        <v>0</v>
      </c>
      <c r="BF24">
        <v>0</v>
      </c>
      <c r="BG24">
        <v>0</v>
      </c>
      <c r="BH24">
        <v>0</v>
      </c>
      <c r="BI24">
        <v>0</v>
      </c>
      <c r="BK24" s="151"/>
      <c r="BL24" s="68">
        <f t="shared" si="0"/>
        <v>0.23000000000000007</v>
      </c>
      <c r="BM24" s="852">
        <f ca="1">_xlfn.PERCENTILE.EXC(OFFSET('4.2.3 Monte Carlo resultater'!$A$2,0,'4.2.2 Monte Carlo-simulering'!$AB$16-1,'4.2.2 Monte Carlo-simulering'!$AB$17,1),BL24)</f>
        <v>0</v>
      </c>
      <c r="BN24" s="823"/>
      <c r="BO24" s="823"/>
      <c r="BP24" s="823"/>
      <c r="BQ24" s="929" t="str">
        <f ca="1">IFERROR(IF(COUNTA($BQ$2:BQ23)=$BU$2,"-∞",BQ23+$BU$4),"-")</f>
        <v>-</v>
      </c>
      <c r="BR24" s="68" cm="1">
        <f t="array" aca="1" ref="BR24" ca="1">(COUNTIF(MonteCarlo_Figurer_Valgt_Serie,"&gt;="&amp;BQ24)-COUNTIF(MonteCarlo_Figurer_Valgt_Serie,"&gt;="&amp;BQ25))/'4.2.2 Monte Carlo-simulering'!$AB$17</f>
        <v>0</v>
      </c>
      <c r="BS24" s="823"/>
      <c r="BT24" s="862"/>
      <c r="BV24" s="823"/>
      <c r="BW24" s="823"/>
      <c r="BX24" s="823"/>
      <c r="BY24" s="823"/>
      <c r="BZ24" s="823"/>
    </row>
    <row r="25" spans="1:78" x14ac:dyDescent="0.35">
      <c r="A25">
        <v>0</v>
      </c>
      <c r="B25">
        <v>0</v>
      </c>
      <c r="C25">
        <v>0</v>
      </c>
      <c r="D25">
        <v>0</v>
      </c>
      <c r="E25">
        <v>0</v>
      </c>
      <c r="F25">
        <v>0</v>
      </c>
      <c r="G25">
        <v>0</v>
      </c>
      <c r="H25">
        <v>0</v>
      </c>
      <c r="I25">
        <v>0</v>
      </c>
      <c r="J25">
        <v>0</v>
      </c>
      <c r="K25">
        <v>0</v>
      </c>
      <c r="L25">
        <v>0</v>
      </c>
      <c r="M25">
        <v>0</v>
      </c>
      <c r="N25">
        <v>0</v>
      </c>
      <c r="O25">
        <v>0</v>
      </c>
      <c r="P25">
        <v>0</v>
      </c>
      <c r="Q25">
        <v>0</v>
      </c>
      <c r="R25">
        <v>0</v>
      </c>
      <c r="S25">
        <v>0</v>
      </c>
      <c r="T25">
        <v>0</v>
      </c>
      <c r="U25">
        <v>0</v>
      </c>
      <c r="V25">
        <v>0</v>
      </c>
      <c r="W25">
        <v>0</v>
      </c>
      <c r="X25">
        <v>0</v>
      </c>
      <c r="Y25">
        <v>0</v>
      </c>
      <c r="Z25">
        <v>0</v>
      </c>
      <c r="AA25">
        <v>0</v>
      </c>
      <c r="AB25">
        <v>0</v>
      </c>
      <c r="AC25">
        <v>0</v>
      </c>
      <c r="AD25">
        <v>0</v>
      </c>
      <c r="AF25">
        <v>0</v>
      </c>
      <c r="AG25">
        <v>0</v>
      </c>
      <c r="AH25">
        <v>0</v>
      </c>
      <c r="AI25">
        <v>0</v>
      </c>
      <c r="AJ25">
        <v>0</v>
      </c>
      <c r="AK25">
        <v>0</v>
      </c>
      <c r="AL25">
        <v>0</v>
      </c>
      <c r="AM25">
        <v>0</v>
      </c>
      <c r="AN25">
        <v>0</v>
      </c>
      <c r="AO25">
        <v>0</v>
      </c>
      <c r="AP25">
        <v>0</v>
      </c>
      <c r="AQ25">
        <v>0</v>
      </c>
      <c r="AR25">
        <v>0</v>
      </c>
      <c r="AS25">
        <v>0</v>
      </c>
      <c r="AT25">
        <v>0</v>
      </c>
      <c r="AU25">
        <v>0</v>
      </c>
      <c r="AV25">
        <v>0</v>
      </c>
      <c r="AW25">
        <v>0</v>
      </c>
      <c r="AX25">
        <v>0</v>
      </c>
      <c r="AY25">
        <v>0</v>
      </c>
      <c r="AZ25">
        <v>0</v>
      </c>
      <c r="BA25">
        <v>0</v>
      </c>
      <c r="BB25">
        <v>0</v>
      </c>
      <c r="BC25">
        <v>0</v>
      </c>
      <c r="BD25">
        <v>0</v>
      </c>
      <c r="BE25">
        <v>0</v>
      </c>
      <c r="BF25">
        <v>0</v>
      </c>
      <c r="BG25">
        <v>0</v>
      </c>
      <c r="BH25">
        <v>0</v>
      </c>
      <c r="BI25">
        <v>0</v>
      </c>
      <c r="BK25" s="151"/>
      <c r="BL25" s="68">
        <f t="shared" si="0"/>
        <v>0.24000000000000007</v>
      </c>
      <c r="BM25" s="852">
        <f ca="1">_xlfn.PERCENTILE.EXC(OFFSET('4.2.3 Monte Carlo resultater'!$A$2,0,'4.2.2 Monte Carlo-simulering'!$AB$16-1,'4.2.2 Monte Carlo-simulering'!$AB$17,1),BL25)</f>
        <v>0</v>
      </c>
      <c r="BN25" s="823"/>
      <c r="BO25" s="823"/>
      <c r="BP25" s="823"/>
      <c r="BQ25" s="929" t="str">
        <f ca="1">IFERROR(IF(COUNTA($BQ$2:BQ24)=$BU$2,"-∞",BQ24+$BU$4),"-")</f>
        <v>-</v>
      </c>
      <c r="BR25" s="68" cm="1">
        <f t="array" aca="1" ref="BR25" ca="1">(COUNTIF(MonteCarlo_Figurer_Valgt_Serie,"&gt;="&amp;BQ25)-COUNTIF(MonteCarlo_Figurer_Valgt_Serie,"&gt;="&amp;BQ26))/'4.2.2 Monte Carlo-simulering'!$AB$17</f>
        <v>0</v>
      </c>
      <c r="BS25" s="823"/>
      <c r="BT25" s="862"/>
      <c r="BV25" s="823"/>
      <c r="BW25" s="823"/>
      <c r="BX25" s="823"/>
      <c r="BY25" s="823"/>
      <c r="BZ25" s="823"/>
    </row>
    <row r="26" spans="1:78" x14ac:dyDescent="0.35">
      <c r="A26">
        <v>0</v>
      </c>
      <c r="B26">
        <v>0</v>
      </c>
      <c r="C26">
        <v>0</v>
      </c>
      <c r="D26">
        <v>0</v>
      </c>
      <c r="E26">
        <v>0</v>
      </c>
      <c r="F26">
        <v>0</v>
      </c>
      <c r="G26">
        <v>0</v>
      </c>
      <c r="H26">
        <v>0</v>
      </c>
      <c r="I26">
        <v>0</v>
      </c>
      <c r="J26">
        <v>0</v>
      </c>
      <c r="K26">
        <v>0</v>
      </c>
      <c r="L26">
        <v>0</v>
      </c>
      <c r="M26">
        <v>0</v>
      </c>
      <c r="N26">
        <v>0</v>
      </c>
      <c r="O26">
        <v>0</v>
      </c>
      <c r="P26">
        <v>0</v>
      </c>
      <c r="Q26">
        <v>0</v>
      </c>
      <c r="R26">
        <v>0</v>
      </c>
      <c r="S26">
        <v>0</v>
      </c>
      <c r="T26">
        <v>0</v>
      </c>
      <c r="U26">
        <v>0</v>
      </c>
      <c r="V26">
        <v>0</v>
      </c>
      <c r="W26">
        <v>0</v>
      </c>
      <c r="X26">
        <v>0</v>
      </c>
      <c r="Y26">
        <v>0</v>
      </c>
      <c r="Z26">
        <v>0</v>
      </c>
      <c r="AA26">
        <v>0</v>
      </c>
      <c r="AB26">
        <v>0</v>
      </c>
      <c r="AC26">
        <v>0</v>
      </c>
      <c r="AD26">
        <v>0</v>
      </c>
      <c r="AF26">
        <v>0</v>
      </c>
      <c r="AG26">
        <v>0</v>
      </c>
      <c r="AH26">
        <v>0</v>
      </c>
      <c r="AI26">
        <v>0</v>
      </c>
      <c r="AJ26">
        <v>0</v>
      </c>
      <c r="AK26">
        <v>0</v>
      </c>
      <c r="AL26">
        <v>0</v>
      </c>
      <c r="AM26">
        <v>0</v>
      </c>
      <c r="AN26">
        <v>0</v>
      </c>
      <c r="AO26">
        <v>0</v>
      </c>
      <c r="AP26">
        <v>0</v>
      </c>
      <c r="AQ26">
        <v>0</v>
      </c>
      <c r="AR26">
        <v>0</v>
      </c>
      <c r="AS26">
        <v>0</v>
      </c>
      <c r="AT26">
        <v>0</v>
      </c>
      <c r="AU26">
        <v>0</v>
      </c>
      <c r="AV26">
        <v>0</v>
      </c>
      <c r="AW26">
        <v>0</v>
      </c>
      <c r="AX26">
        <v>0</v>
      </c>
      <c r="AY26">
        <v>0</v>
      </c>
      <c r="AZ26">
        <v>0</v>
      </c>
      <c r="BA26">
        <v>0</v>
      </c>
      <c r="BB26">
        <v>0</v>
      </c>
      <c r="BC26">
        <v>0</v>
      </c>
      <c r="BD26">
        <v>0</v>
      </c>
      <c r="BE26">
        <v>0</v>
      </c>
      <c r="BF26">
        <v>0</v>
      </c>
      <c r="BG26">
        <v>0</v>
      </c>
      <c r="BH26">
        <v>0</v>
      </c>
      <c r="BI26">
        <v>0</v>
      </c>
      <c r="BK26" s="151"/>
      <c r="BL26" s="68">
        <f t="shared" si="0"/>
        <v>0.25000000000000006</v>
      </c>
      <c r="BM26" s="852">
        <f ca="1">_xlfn.PERCENTILE.EXC(OFFSET('4.2.3 Monte Carlo resultater'!$A$2,0,'4.2.2 Monte Carlo-simulering'!$AB$16-1,'4.2.2 Monte Carlo-simulering'!$AB$17,1),BL26)</f>
        <v>0</v>
      </c>
      <c r="BN26" s="823"/>
      <c r="BO26" s="823"/>
      <c r="BP26" s="823"/>
      <c r="BQ26" s="929" t="str">
        <f ca="1">IFERROR(IF(COUNTA($BQ$2:BQ25)=$BU$2,"-∞",BQ25+$BU$4),"-")</f>
        <v>-</v>
      </c>
      <c r="BR26" s="68" cm="1">
        <f t="array" aca="1" ref="BR26" ca="1">(COUNTIF(MonteCarlo_Figurer_Valgt_Serie,"&gt;="&amp;BQ26)-COUNTIF(MonteCarlo_Figurer_Valgt_Serie,"&gt;="&amp;BQ27))/'4.2.2 Monte Carlo-simulering'!$AB$17</f>
        <v>0</v>
      </c>
      <c r="BS26" s="823"/>
      <c r="BT26" s="862"/>
      <c r="BU26" s="823"/>
      <c r="BV26" s="823"/>
      <c r="BW26" s="823"/>
      <c r="BX26" s="823"/>
      <c r="BY26" s="823"/>
      <c r="BZ26" s="823"/>
    </row>
    <row r="27" spans="1:78" x14ac:dyDescent="0.35">
      <c r="A27">
        <v>0</v>
      </c>
      <c r="B27">
        <v>0</v>
      </c>
      <c r="C27">
        <v>0</v>
      </c>
      <c r="D27">
        <v>0</v>
      </c>
      <c r="E27">
        <v>0</v>
      </c>
      <c r="F27">
        <v>0</v>
      </c>
      <c r="G27">
        <v>0</v>
      </c>
      <c r="H27">
        <v>0</v>
      </c>
      <c r="I27">
        <v>0</v>
      </c>
      <c r="J27">
        <v>0</v>
      </c>
      <c r="K27">
        <v>0</v>
      </c>
      <c r="L27">
        <v>0</v>
      </c>
      <c r="M27">
        <v>0</v>
      </c>
      <c r="N27">
        <v>0</v>
      </c>
      <c r="O27">
        <v>0</v>
      </c>
      <c r="P27">
        <v>0</v>
      </c>
      <c r="Q27">
        <v>0</v>
      </c>
      <c r="R27">
        <v>0</v>
      </c>
      <c r="S27">
        <v>0</v>
      </c>
      <c r="T27">
        <v>0</v>
      </c>
      <c r="U27">
        <v>0</v>
      </c>
      <c r="V27">
        <v>0</v>
      </c>
      <c r="W27">
        <v>0</v>
      </c>
      <c r="X27">
        <v>0</v>
      </c>
      <c r="Y27">
        <v>0</v>
      </c>
      <c r="Z27">
        <v>0</v>
      </c>
      <c r="AA27">
        <v>0</v>
      </c>
      <c r="AB27">
        <v>0</v>
      </c>
      <c r="AC27">
        <v>0</v>
      </c>
      <c r="AD27">
        <v>0</v>
      </c>
      <c r="AF27">
        <v>0</v>
      </c>
      <c r="AG27">
        <v>0</v>
      </c>
      <c r="AH27">
        <v>0</v>
      </c>
      <c r="AI27">
        <v>0</v>
      </c>
      <c r="AJ27">
        <v>0</v>
      </c>
      <c r="AK27">
        <v>0</v>
      </c>
      <c r="AL27">
        <v>0</v>
      </c>
      <c r="AM27">
        <v>0</v>
      </c>
      <c r="AN27">
        <v>0</v>
      </c>
      <c r="AO27">
        <v>0</v>
      </c>
      <c r="AP27">
        <v>0</v>
      </c>
      <c r="AQ27">
        <v>0</v>
      </c>
      <c r="AR27">
        <v>0</v>
      </c>
      <c r="AS27">
        <v>0</v>
      </c>
      <c r="AT27">
        <v>0</v>
      </c>
      <c r="AU27">
        <v>0</v>
      </c>
      <c r="AV27">
        <v>0</v>
      </c>
      <c r="AW27">
        <v>0</v>
      </c>
      <c r="AX27">
        <v>0</v>
      </c>
      <c r="AY27">
        <v>0</v>
      </c>
      <c r="AZ27">
        <v>0</v>
      </c>
      <c r="BA27">
        <v>0</v>
      </c>
      <c r="BB27">
        <v>0</v>
      </c>
      <c r="BC27">
        <v>0</v>
      </c>
      <c r="BD27">
        <v>0</v>
      </c>
      <c r="BE27">
        <v>0</v>
      </c>
      <c r="BF27">
        <v>0</v>
      </c>
      <c r="BG27">
        <v>0</v>
      </c>
      <c r="BH27">
        <v>0</v>
      </c>
      <c r="BI27">
        <v>0</v>
      </c>
      <c r="BK27" s="151"/>
      <c r="BL27" s="68">
        <f t="shared" si="0"/>
        <v>0.26000000000000006</v>
      </c>
      <c r="BM27" s="852">
        <f ca="1">_xlfn.PERCENTILE.EXC(OFFSET('4.2.3 Monte Carlo resultater'!$A$2,0,'4.2.2 Monte Carlo-simulering'!$AB$16-1,'4.2.2 Monte Carlo-simulering'!$AB$17,1),BL27)</f>
        <v>0</v>
      </c>
      <c r="BN27" s="823"/>
      <c r="BO27" s="823"/>
      <c r="BP27" s="823"/>
      <c r="BQ27" s="929" t="str">
        <f ca="1">IFERROR(IF(COUNTA($BQ$2:BQ26)=$BU$2,"-∞",BQ26+$BU$4),"-")</f>
        <v>-</v>
      </c>
      <c r="BR27" s="68" cm="1">
        <f t="array" aca="1" ref="BR27" ca="1">(COUNTIF(MonteCarlo_Figurer_Valgt_Serie,"&gt;="&amp;BQ27)-COUNTIF(MonteCarlo_Figurer_Valgt_Serie,"&gt;="&amp;BQ28))/'4.2.2 Monte Carlo-simulering'!$AB$17</f>
        <v>0</v>
      </c>
      <c r="BS27" s="823"/>
      <c r="BT27" s="823"/>
      <c r="BU27" s="823"/>
      <c r="BV27" s="823"/>
      <c r="BW27" s="823"/>
      <c r="BX27" s="823"/>
      <c r="BY27" s="823"/>
      <c r="BZ27" s="823"/>
    </row>
    <row r="28" spans="1:78" x14ac:dyDescent="0.35">
      <c r="A28">
        <v>0</v>
      </c>
      <c r="B28">
        <v>0</v>
      </c>
      <c r="C28">
        <v>0</v>
      </c>
      <c r="D28">
        <v>0</v>
      </c>
      <c r="E28">
        <v>0</v>
      </c>
      <c r="F28">
        <v>0</v>
      </c>
      <c r="G28">
        <v>0</v>
      </c>
      <c r="H28">
        <v>0</v>
      </c>
      <c r="I28">
        <v>0</v>
      </c>
      <c r="J28">
        <v>0</v>
      </c>
      <c r="K28">
        <v>0</v>
      </c>
      <c r="L28">
        <v>0</v>
      </c>
      <c r="M28">
        <v>0</v>
      </c>
      <c r="N28">
        <v>0</v>
      </c>
      <c r="O28">
        <v>0</v>
      </c>
      <c r="P28">
        <v>0</v>
      </c>
      <c r="Q28">
        <v>0</v>
      </c>
      <c r="R28">
        <v>0</v>
      </c>
      <c r="S28">
        <v>0</v>
      </c>
      <c r="T28">
        <v>0</v>
      </c>
      <c r="U28">
        <v>0</v>
      </c>
      <c r="V28">
        <v>0</v>
      </c>
      <c r="W28">
        <v>0</v>
      </c>
      <c r="X28">
        <v>0</v>
      </c>
      <c r="Y28">
        <v>0</v>
      </c>
      <c r="Z28">
        <v>0</v>
      </c>
      <c r="AA28">
        <v>0</v>
      </c>
      <c r="AB28">
        <v>0</v>
      </c>
      <c r="AC28">
        <v>0</v>
      </c>
      <c r="AD28">
        <v>0</v>
      </c>
      <c r="AF28">
        <v>0</v>
      </c>
      <c r="AG28">
        <v>0</v>
      </c>
      <c r="AH28">
        <v>0</v>
      </c>
      <c r="AI28">
        <v>0</v>
      </c>
      <c r="AJ28">
        <v>0</v>
      </c>
      <c r="AK28">
        <v>0</v>
      </c>
      <c r="AL28">
        <v>0</v>
      </c>
      <c r="AM28">
        <v>0</v>
      </c>
      <c r="AN28">
        <v>0</v>
      </c>
      <c r="AO28">
        <v>0</v>
      </c>
      <c r="AP28">
        <v>0</v>
      </c>
      <c r="AQ28">
        <v>0</v>
      </c>
      <c r="AR28">
        <v>0</v>
      </c>
      <c r="AS28">
        <v>0</v>
      </c>
      <c r="AT28">
        <v>0</v>
      </c>
      <c r="AU28">
        <v>0</v>
      </c>
      <c r="AV28">
        <v>0</v>
      </c>
      <c r="AW28">
        <v>0</v>
      </c>
      <c r="AX28">
        <v>0</v>
      </c>
      <c r="AY28">
        <v>0</v>
      </c>
      <c r="AZ28">
        <v>0</v>
      </c>
      <c r="BA28">
        <v>0</v>
      </c>
      <c r="BB28">
        <v>0</v>
      </c>
      <c r="BC28">
        <v>0</v>
      </c>
      <c r="BD28">
        <v>0</v>
      </c>
      <c r="BE28">
        <v>0</v>
      </c>
      <c r="BF28">
        <v>0</v>
      </c>
      <c r="BG28">
        <v>0</v>
      </c>
      <c r="BH28">
        <v>0</v>
      </c>
      <c r="BI28">
        <v>0</v>
      </c>
      <c r="BK28" s="151"/>
      <c r="BL28" s="68">
        <f t="shared" si="0"/>
        <v>0.27000000000000007</v>
      </c>
      <c r="BM28" s="852">
        <f ca="1">_xlfn.PERCENTILE.EXC(OFFSET('4.2.3 Monte Carlo resultater'!$A$2,0,'4.2.2 Monte Carlo-simulering'!$AB$16-1,'4.2.2 Monte Carlo-simulering'!$AB$17,1),BL28)</f>
        <v>0</v>
      </c>
      <c r="BN28" s="823"/>
      <c r="BO28" s="823"/>
      <c r="BP28" s="823"/>
      <c r="BQ28" s="929" t="str">
        <f ca="1">IFERROR(IF(COUNTA($BQ$2:BQ27)=$BU$2,"-∞",BQ27+$BU$4),"-")</f>
        <v>-</v>
      </c>
      <c r="BR28" s="68" cm="1">
        <f t="array" aca="1" ref="BR28" ca="1">(COUNTIF(MonteCarlo_Figurer_Valgt_Serie,"&gt;="&amp;BQ28)-COUNTIF(MonteCarlo_Figurer_Valgt_Serie,"&gt;="&amp;BQ29))/'4.2.2 Monte Carlo-simulering'!$AB$17</f>
        <v>0</v>
      </c>
      <c r="BS28" s="823"/>
      <c r="BT28" s="823"/>
      <c r="BU28" s="823"/>
      <c r="BV28" s="823"/>
      <c r="BW28" s="823"/>
      <c r="BX28" s="823"/>
      <c r="BY28" s="823"/>
      <c r="BZ28" s="823"/>
    </row>
    <row r="29" spans="1:78" x14ac:dyDescent="0.35">
      <c r="A29">
        <v>0</v>
      </c>
      <c r="B29">
        <v>0</v>
      </c>
      <c r="C29">
        <v>0</v>
      </c>
      <c r="D29">
        <v>0</v>
      </c>
      <c r="E29">
        <v>0</v>
      </c>
      <c r="F29">
        <v>0</v>
      </c>
      <c r="G29">
        <v>0</v>
      </c>
      <c r="H29">
        <v>0</v>
      </c>
      <c r="I29">
        <v>0</v>
      </c>
      <c r="J29">
        <v>0</v>
      </c>
      <c r="K29">
        <v>0</v>
      </c>
      <c r="L29">
        <v>0</v>
      </c>
      <c r="M29">
        <v>0</v>
      </c>
      <c r="N29">
        <v>0</v>
      </c>
      <c r="O29">
        <v>0</v>
      </c>
      <c r="P29">
        <v>0</v>
      </c>
      <c r="Q29">
        <v>0</v>
      </c>
      <c r="R29">
        <v>0</v>
      </c>
      <c r="S29">
        <v>0</v>
      </c>
      <c r="T29">
        <v>0</v>
      </c>
      <c r="U29">
        <v>0</v>
      </c>
      <c r="V29">
        <v>0</v>
      </c>
      <c r="W29">
        <v>0</v>
      </c>
      <c r="X29">
        <v>0</v>
      </c>
      <c r="Y29">
        <v>0</v>
      </c>
      <c r="Z29">
        <v>0</v>
      </c>
      <c r="AA29">
        <v>0</v>
      </c>
      <c r="AB29">
        <v>0</v>
      </c>
      <c r="AC29">
        <v>0</v>
      </c>
      <c r="AD29">
        <v>0</v>
      </c>
      <c r="AF29">
        <v>0</v>
      </c>
      <c r="AG29">
        <v>0</v>
      </c>
      <c r="AH29">
        <v>0</v>
      </c>
      <c r="AI29">
        <v>0</v>
      </c>
      <c r="AJ29">
        <v>0</v>
      </c>
      <c r="AK29">
        <v>0</v>
      </c>
      <c r="AL29">
        <v>0</v>
      </c>
      <c r="AM29">
        <v>0</v>
      </c>
      <c r="AN29">
        <v>0</v>
      </c>
      <c r="AO29">
        <v>0</v>
      </c>
      <c r="AP29">
        <v>0</v>
      </c>
      <c r="AQ29">
        <v>0</v>
      </c>
      <c r="AR29">
        <v>0</v>
      </c>
      <c r="AS29">
        <v>0</v>
      </c>
      <c r="AT29">
        <v>0</v>
      </c>
      <c r="AU29">
        <v>0</v>
      </c>
      <c r="AV29">
        <v>0</v>
      </c>
      <c r="AW29">
        <v>0</v>
      </c>
      <c r="AX29">
        <v>0</v>
      </c>
      <c r="AY29">
        <v>0</v>
      </c>
      <c r="AZ29">
        <v>0</v>
      </c>
      <c r="BA29">
        <v>0</v>
      </c>
      <c r="BB29">
        <v>0</v>
      </c>
      <c r="BC29">
        <v>0</v>
      </c>
      <c r="BD29">
        <v>0</v>
      </c>
      <c r="BE29">
        <v>0</v>
      </c>
      <c r="BF29">
        <v>0</v>
      </c>
      <c r="BG29">
        <v>0</v>
      </c>
      <c r="BH29">
        <v>0</v>
      </c>
      <c r="BI29">
        <v>0</v>
      </c>
      <c r="BK29" s="151"/>
      <c r="BL29" s="68">
        <f t="shared" si="0"/>
        <v>0.28000000000000008</v>
      </c>
      <c r="BM29" s="852">
        <f ca="1">_xlfn.PERCENTILE.EXC(OFFSET('4.2.3 Monte Carlo resultater'!$A$2,0,'4.2.2 Monte Carlo-simulering'!$AB$16-1,'4.2.2 Monte Carlo-simulering'!$AB$17,1),BL29)</f>
        <v>0</v>
      </c>
      <c r="BN29" s="823"/>
      <c r="BO29" s="823"/>
      <c r="BP29" s="823"/>
      <c r="BQ29" s="929" t="str">
        <f ca="1">IFERROR(IF(COUNTA($BQ$2:BQ28)=$BU$2,"-∞",BQ28+$BU$4),"-")</f>
        <v>-</v>
      </c>
      <c r="BR29" s="68" cm="1">
        <f t="array" aca="1" ref="BR29" ca="1">(COUNTIF(MonteCarlo_Figurer_Valgt_Serie,"&gt;="&amp;BQ29)-COUNTIF(MonteCarlo_Figurer_Valgt_Serie,"&gt;="&amp;BQ30))/'4.2.2 Monte Carlo-simulering'!$AB$17</f>
        <v>0</v>
      </c>
      <c r="BS29" s="823"/>
      <c r="BT29" s="823"/>
      <c r="BU29" s="823"/>
      <c r="BV29" s="823"/>
      <c r="BW29" s="823"/>
      <c r="BX29" s="823"/>
      <c r="BY29" s="823"/>
      <c r="BZ29" s="823"/>
    </row>
    <row r="30" spans="1:78" x14ac:dyDescent="0.35">
      <c r="A30">
        <v>0</v>
      </c>
      <c r="B30">
        <v>0</v>
      </c>
      <c r="C30">
        <v>0</v>
      </c>
      <c r="D30">
        <v>0</v>
      </c>
      <c r="E30">
        <v>0</v>
      </c>
      <c r="F30">
        <v>0</v>
      </c>
      <c r="G30">
        <v>0</v>
      </c>
      <c r="H30">
        <v>0</v>
      </c>
      <c r="I30">
        <v>0</v>
      </c>
      <c r="J30">
        <v>0</v>
      </c>
      <c r="K30">
        <v>0</v>
      </c>
      <c r="L30">
        <v>0</v>
      </c>
      <c r="M30">
        <v>0</v>
      </c>
      <c r="N30">
        <v>0</v>
      </c>
      <c r="O30">
        <v>0</v>
      </c>
      <c r="P30">
        <v>0</v>
      </c>
      <c r="Q30">
        <v>0</v>
      </c>
      <c r="R30">
        <v>0</v>
      </c>
      <c r="S30">
        <v>0</v>
      </c>
      <c r="T30">
        <v>0</v>
      </c>
      <c r="U30">
        <v>0</v>
      </c>
      <c r="V30">
        <v>0</v>
      </c>
      <c r="W30">
        <v>0</v>
      </c>
      <c r="X30">
        <v>0</v>
      </c>
      <c r="Y30">
        <v>0</v>
      </c>
      <c r="Z30">
        <v>0</v>
      </c>
      <c r="AA30">
        <v>0</v>
      </c>
      <c r="AB30">
        <v>0</v>
      </c>
      <c r="AC30">
        <v>0</v>
      </c>
      <c r="AD30">
        <v>0</v>
      </c>
      <c r="AF30">
        <v>0</v>
      </c>
      <c r="AG30">
        <v>0</v>
      </c>
      <c r="AH30">
        <v>0</v>
      </c>
      <c r="AI30">
        <v>0</v>
      </c>
      <c r="AJ30">
        <v>0</v>
      </c>
      <c r="AK30">
        <v>0</v>
      </c>
      <c r="AL30">
        <v>0</v>
      </c>
      <c r="AM30">
        <v>0</v>
      </c>
      <c r="AN30">
        <v>0</v>
      </c>
      <c r="AO30">
        <v>0</v>
      </c>
      <c r="AP30">
        <v>0</v>
      </c>
      <c r="AQ30">
        <v>0</v>
      </c>
      <c r="AR30">
        <v>0</v>
      </c>
      <c r="AS30">
        <v>0</v>
      </c>
      <c r="AT30">
        <v>0</v>
      </c>
      <c r="AU30">
        <v>0</v>
      </c>
      <c r="AV30">
        <v>0</v>
      </c>
      <c r="AW30">
        <v>0</v>
      </c>
      <c r="AX30">
        <v>0</v>
      </c>
      <c r="AY30">
        <v>0</v>
      </c>
      <c r="AZ30">
        <v>0</v>
      </c>
      <c r="BA30">
        <v>0</v>
      </c>
      <c r="BB30">
        <v>0</v>
      </c>
      <c r="BC30">
        <v>0</v>
      </c>
      <c r="BD30">
        <v>0</v>
      </c>
      <c r="BE30">
        <v>0</v>
      </c>
      <c r="BF30">
        <v>0</v>
      </c>
      <c r="BG30">
        <v>0</v>
      </c>
      <c r="BH30">
        <v>0</v>
      </c>
      <c r="BI30">
        <v>0</v>
      </c>
      <c r="BK30" s="151"/>
      <c r="BL30" s="68">
        <f t="shared" si="0"/>
        <v>0.29000000000000009</v>
      </c>
      <c r="BM30" s="852">
        <f ca="1">_xlfn.PERCENTILE.EXC(OFFSET('4.2.3 Monte Carlo resultater'!$A$2,0,'4.2.2 Monte Carlo-simulering'!$AB$16-1,'4.2.2 Monte Carlo-simulering'!$AB$17,1),BL30)</f>
        <v>0</v>
      </c>
      <c r="BN30" s="823"/>
      <c r="BO30" s="823"/>
      <c r="BP30" s="823"/>
      <c r="BQ30" s="929" t="str">
        <f ca="1">IFERROR(IF(COUNTA($BQ$2:BQ29)=$BU$2,"-∞",BQ29+$BU$4),"-")</f>
        <v>-</v>
      </c>
      <c r="BR30" s="68" cm="1">
        <f t="array" aca="1" ref="BR30" ca="1">(COUNTIF(MonteCarlo_Figurer_Valgt_Serie,"&gt;="&amp;BQ30)-COUNTIF(MonteCarlo_Figurer_Valgt_Serie,"&gt;="&amp;BQ31))/'4.2.2 Monte Carlo-simulering'!$AB$17</f>
        <v>0</v>
      </c>
      <c r="BS30" s="823"/>
      <c r="BT30" s="823"/>
      <c r="BU30" s="823"/>
      <c r="BV30" s="823"/>
      <c r="BW30" s="823"/>
      <c r="BX30" s="823"/>
      <c r="BY30" s="823"/>
      <c r="BZ30" s="823"/>
    </row>
    <row r="31" spans="1:78" x14ac:dyDescent="0.35">
      <c r="A31">
        <v>0</v>
      </c>
      <c r="B31">
        <v>0</v>
      </c>
      <c r="C31">
        <v>0</v>
      </c>
      <c r="D31">
        <v>0</v>
      </c>
      <c r="E31">
        <v>0</v>
      </c>
      <c r="F31">
        <v>0</v>
      </c>
      <c r="G31">
        <v>0</v>
      </c>
      <c r="H31">
        <v>0</v>
      </c>
      <c r="I31">
        <v>0</v>
      </c>
      <c r="J31">
        <v>0</v>
      </c>
      <c r="K31">
        <v>0</v>
      </c>
      <c r="L31">
        <v>0</v>
      </c>
      <c r="M31">
        <v>0</v>
      </c>
      <c r="N31">
        <v>0</v>
      </c>
      <c r="O31">
        <v>0</v>
      </c>
      <c r="P31">
        <v>0</v>
      </c>
      <c r="Q31">
        <v>0</v>
      </c>
      <c r="R31">
        <v>0</v>
      </c>
      <c r="S31">
        <v>0</v>
      </c>
      <c r="T31">
        <v>0</v>
      </c>
      <c r="U31">
        <v>0</v>
      </c>
      <c r="V31">
        <v>0</v>
      </c>
      <c r="W31">
        <v>0</v>
      </c>
      <c r="X31">
        <v>0</v>
      </c>
      <c r="Y31">
        <v>0</v>
      </c>
      <c r="Z31">
        <v>0</v>
      </c>
      <c r="AA31">
        <v>0</v>
      </c>
      <c r="AB31">
        <v>0</v>
      </c>
      <c r="AC31">
        <v>0</v>
      </c>
      <c r="AD31">
        <v>0</v>
      </c>
      <c r="AF31">
        <v>0</v>
      </c>
      <c r="AG31">
        <v>0</v>
      </c>
      <c r="AH31">
        <v>0</v>
      </c>
      <c r="AI31">
        <v>0</v>
      </c>
      <c r="AJ31">
        <v>0</v>
      </c>
      <c r="AK31">
        <v>0</v>
      </c>
      <c r="AL31">
        <v>0</v>
      </c>
      <c r="AM31">
        <v>0</v>
      </c>
      <c r="AN31">
        <v>0</v>
      </c>
      <c r="AO31">
        <v>0</v>
      </c>
      <c r="AP31">
        <v>0</v>
      </c>
      <c r="AQ31">
        <v>0</v>
      </c>
      <c r="AR31">
        <v>0</v>
      </c>
      <c r="AS31">
        <v>0</v>
      </c>
      <c r="AT31">
        <v>0</v>
      </c>
      <c r="AU31">
        <v>0</v>
      </c>
      <c r="AV31">
        <v>0</v>
      </c>
      <c r="AW31">
        <v>0</v>
      </c>
      <c r="AX31">
        <v>0</v>
      </c>
      <c r="AY31">
        <v>0</v>
      </c>
      <c r="AZ31">
        <v>0</v>
      </c>
      <c r="BA31">
        <v>0</v>
      </c>
      <c r="BB31">
        <v>0</v>
      </c>
      <c r="BC31">
        <v>0</v>
      </c>
      <c r="BD31">
        <v>0</v>
      </c>
      <c r="BE31">
        <v>0</v>
      </c>
      <c r="BF31">
        <v>0</v>
      </c>
      <c r="BG31">
        <v>0</v>
      </c>
      <c r="BH31">
        <v>0</v>
      </c>
      <c r="BI31">
        <v>0</v>
      </c>
      <c r="BK31" s="151"/>
      <c r="BL31" s="68">
        <f t="shared" si="0"/>
        <v>0.3000000000000001</v>
      </c>
      <c r="BM31" s="852">
        <f ca="1">_xlfn.PERCENTILE.EXC(OFFSET('4.2.3 Monte Carlo resultater'!$A$2,0,'4.2.2 Monte Carlo-simulering'!$AB$16-1,'4.2.2 Monte Carlo-simulering'!$AB$17,1),BL31)</f>
        <v>0</v>
      </c>
      <c r="BN31" s="823"/>
      <c r="BO31" s="823"/>
      <c r="BP31" s="823"/>
      <c r="BQ31" s="929" t="str">
        <f ca="1">IFERROR(IF(COUNTA($BQ$2:BQ30)=$BU$2,"-∞",BQ30+$BU$4),"-")</f>
        <v>-</v>
      </c>
      <c r="BR31" s="68" cm="1">
        <f t="array" aca="1" ref="BR31" ca="1">(COUNTIF(MonteCarlo_Figurer_Valgt_Serie,"&gt;="&amp;BQ31)-COUNTIF(MonteCarlo_Figurer_Valgt_Serie,"&gt;="&amp;BQ32))/'4.2.2 Monte Carlo-simulering'!$AB$17</f>
        <v>0</v>
      </c>
      <c r="BS31" s="823"/>
      <c r="BT31" s="823"/>
      <c r="BU31" s="823"/>
      <c r="BV31" s="823"/>
      <c r="BW31" s="823"/>
      <c r="BX31" s="823"/>
      <c r="BY31" s="823"/>
      <c r="BZ31" s="823"/>
    </row>
    <row r="32" spans="1:78" x14ac:dyDescent="0.35">
      <c r="A32">
        <v>0</v>
      </c>
      <c r="B32">
        <v>0</v>
      </c>
      <c r="C32">
        <v>0</v>
      </c>
      <c r="D32">
        <v>0</v>
      </c>
      <c r="E32">
        <v>0</v>
      </c>
      <c r="F32">
        <v>0</v>
      </c>
      <c r="G32">
        <v>0</v>
      </c>
      <c r="H32">
        <v>0</v>
      </c>
      <c r="I32">
        <v>0</v>
      </c>
      <c r="J32">
        <v>0</v>
      </c>
      <c r="K32">
        <v>0</v>
      </c>
      <c r="L32">
        <v>0</v>
      </c>
      <c r="M32">
        <v>0</v>
      </c>
      <c r="N32">
        <v>0</v>
      </c>
      <c r="O32">
        <v>0</v>
      </c>
      <c r="P32">
        <v>0</v>
      </c>
      <c r="Q32">
        <v>0</v>
      </c>
      <c r="R32">
        <v>0</v>
      </c>
      <c r="S32">
        <v>0</v>
      </c>
      <c r="T32">
        <v>0</v>
      </c>
      <c r="U32">
        <v>0</v>
      </c>
      <c r="V32">
        <v>0</v>
      </c>
      <c r="W32">
        <v>0</v>
      </c>
      <c r="X32">
        <v>0</v>
      </c>
      <c r="Y32">
        <v>0</v>
      </c>
      <c r="Z32">
        <v>0</v>
      </c>
      <c r="AA32">
        <v>0</v>
      </c>
      <c r="AB32">
        <v>0</v>
      </c>
      <c r="AC32">
        <v>0</v>
      </c>
      <c r="AD32">
        <v>0</v>
      </c>
      <c r="AF32">
        <v>0</v>
      </c>
      <c r="AG32">
        <v>0</v>
      </c>
      <c r="AH32">
        <v>0</v>
      </c>
      <c r="AI32">
        <v>0</v>
      </c>
      <c r="AJ32">
        <v>0</v>
      </c>
      <c r="AK32">
        <v>0</v>
      </c>
      <c r="AL32">
        <v>0</v>
      </c>
      <c r="AM32">
        <v>0</v>
      </c>
      <c r="AN32">
        <v>0</v>
      </c>
      <c r="AO32">
        <v>0</v>
      </c>
      <c r="AP32">
        <v>0</v>
      </c>
      <c r="AQ32">
        <v>0</v>
      </c>
      <c r="AR32">
        <v>0</v>
      </c>
      <c r="AS32">
        <v>0</v>
      </c>
      <c r="AT32">
        <v>0</v>
      </c>
      <c r="AU32">
        <v>0</v>
      </c>
      <c r="AV32">
        <v>0</v>
      </c>
      <c r="AW32">
        <v>0</v>
      </c>
      <c r="AX32">
        <v>0</v>
      </c>
      <c r="AY32">
        <v>0</v>
      </c>
      <c r="AZ32">
        <v>0</v>
      </c>
      <c r="BA32">
        <v>0</v>
      </c>
      <c r="BB32">
        <v>0</v>
      </c>
      <c r="BC32">
        <v>0</v>
      </c>
      <c r="BD32">
        <v>0</v>
      </c>
      <c r="BE32">
        <v>0</v>
      </c>
      <c r="BF32">
        <v>0</v>
      </c>
      <c r="BG32">
        <v>0</v>
      </c>
      <c r="BH32">
        <v>0</v>
      </c>
      <c r="BI32">
        <v>0</v>
      </c>
      <c r="BK32" s="151"/>
      <c r="BL32" s="68">
        <f t="shared" si="0"/>
        <v>0.31000000000000011</v>
      </c>
      <c r="BM32" s="852">
        <f ca="1">_xlfn.PERCENTILE.EXC(OFFSET('4.2.3 Monte Carlo resultater'!$A$2,0,'4.2.2 Monte Carlo-simulering'!$AB$16-1,'4.2.2 Monte Carlo-simulering'!$AB$17,1),BL32)</f>
        <v>0</v>
      </c>
      <c r="BN32" s="823"/>
      <c r="BO32" s="823"/>
      <c r="BP32" s="823"/>
      <c r="BQ32" s="929" t="str">
        <f ca="1">IFERROR(IF(COUNTA($BQ$2:BQ31)=$BU$2,"-∞",BQ31+$BU$4),"-")</f>
        <v>-</v>
      </c>
      <c r="BR32" s="68" cm="1">
        <f t="array" aca="1" ref="BR32" ca="1">(COUNTIF(MonteCarlo_Figurer_Valgt_Serie,"&gt;="&amp;BQ32)-COUNTIF(MonteCarlo_Figurer_Valgt_Serie,"&gt;="&amp;BQ33))/'4.2.2 Monte Carlo-simulering'!$AB$17</f>
        <v>0</v>
      </c>
      <c r="BS32" s="823"/>
      <c r="BT32" s="823"/>
      <c r="BU32" s="823"/>
      <c r="BV32" s="823"/>
      <c r="BW32" s="823"/>
      <c r="BX32" s="823"/>
      <c r="BY32" s="823"/>
      <c r="BZ32" s="823"/>
    </row>
    <row r="33" spans="1:78" x14ac:dyDescent="0.35">
      <c r="A33">
        <v>0</v>
      </c>
      <c r="B33">
        <v>0</v>
      </c>
      <c r="C33">
        <v>0</v>
      </c>
      <c r="D33">
        <v>0</v>
      </c>
      <c r="E33">
        <v>0</v>
      </c>
      <c r="F33">
        <v>0</v>
      </c>
      <c r="G33">
        <v>0</v>
      </c>
      <c r="H33">
        <v>0</v>
      </c>
      <c r="I33">
        <v>0</v>
      </c>
      <c r="J33">
        <v>0</v>
      </c>
      <c r="K33">
        <v>0</v>
      </c>
      <c r="L33">
        <v>0</v>
      </c>
      <c r="M33">
        <v>0</v>
      </c>
      <c r="N33">
        <v>0</v>
      </c>
      <c r="O33">
        <v>0</v>
      </c>
      <c r="P33">
        <v>0</v>
      </c>
      <c r="Q33">
        <v>0</v>
      </c>
      <c r="R33">
        <v>0</v>
      </c>
      <c r="S33">
        <v>0</v>
      </c>
      <c r="T33">
        <v>0</v>
      </c>
      <c r="U33">
        <v>0</v>
      </c>
      <c r="V33">
        <v>0</v>
      </c>
      <c r="W33">
        <v>0</v>
      </c>
      <c r="X33">
        <v>0</v>
      </c>
      <c r="Y33">
        <v>0</v>
      </c>
      <c r="Z33">
        <v>0</v>
      </c>
      <c r="AA33">
        <v>0</v>
      </c>
      <c r="AB33">
        <v>0</v>
      </c>
      <c r="AC33">
        <v>0</v>
      </c>
      <c r="AD33">
        <v>0</v>
      </c>
      <c r="AF33">
        <v>0</v>
      </c>
      <c r="AG33">
        <v>0</v>
      </c>
      <c r="AH33">
        <v>0</v>
      </c>
      <c r="AI33">
        <v>0</v>
      </c>
      <c r="AJ33">
        <v>0</v>
      </c>
      <c r="AK33">
        <v>0</v>
      </c>
      <c r="AL33">
        <v>0</v>
      </c>
      <c r="AM33">
        <v>0</v>
      </c>
      <c r="AN33">
        <v>0</v>
      </c>
      <c r="AO33">
        <v>0</v>
      </c>
      <c r="AP33">
        <v>0</v>
      </c>
      <c r="AQ33">
        <v>0</v>
      </c>
      <c r="AR33">
        <v>0</v>
      </c>
      <c r="AS33">
        <v>0</v>
      </c>
      <c r="AT33">
        <v>0</v>
      </c>
      <c r="AU33">
        <v>0</v>
      </c>
      <c r="AV33">
        <v>0</v>
      </c>
      <c r="AW33">
        <v>0</v>
      </c>
      <c r="AX33">
        <v>0</v>
      </c>
      <c r="AY33">
        <v>0</v>
      </c>
      <c r="AZ33">
        <v>0</v>
      </c>
      <c r="BA33">
        <v>0</v>
      </c>
      <c r="BB33">
        <v>0</v>
      </c>
      <c r="BC33">
        <v>0</v>
      </c>
      <c r="BD33">
        <v>0</v>
      </c>
      <c r="BE33">
        <v>0</v>
      </c>
      <c r="BF33">
        <v>0</v>
      </c>
      <c r="BG33">
        <v>0</v>
      </c>
      <c r="BH33">
        <v>0</v>
      </c>
      <c r="BI33">
        <v>0</v>
      </c>
      <c r="BK33" s="151"/>
      <c r="BL33" s="68">
        <f t="shared" si="0"/>
        <v>0.32000000000000012</v>
      </c>
      <c r="BM33" s="852">
        <f ca="1">_xlfn.PERCENTILE.EXC(OFFSET('4.2.3 Monte Carlo resultater'!$A$2,0,'4.2.2 Monte Carlo-simulering'!$AB$16-1,'4.2.2 Monte Carlo-simulering'!$AB$17,1),BL33)</f>
        <v>0</v>
      </c>
      <c r="BN33" s="823"/>
      <c r="BO33" s="823"/>
      <c r="BP33" s="823"/>
      <c r="BQ33" s="929" t="str">
        <f ca="1">IFERROR(IF(COUNTA($BQ$2:BQ32)=$BU$2,"-∞",BQ32+$BU$4),"-")</f>
        <v>-</v>
      </c>
      <c r="BR33" s="68" cm="1">
        <f t="array" aca="1" ref="BR33" ca="1">(COUNTIF(MonteCarlo_Figurer_Valgt_Serie,"&gt;="&amp;BQ33)-COUNTIF(MonteCarlo_Figurer_Valgt_Serie,"&gt;="&amp;BQ34))/'4.2.2 Monte Carlo-simulering'!$AB$17</f>
        <v>0</v>
      </c>
      <c r="BS33" s="823"/>
      <c r="BT33" s="823"/>
      <c r="BU33" s="823"/>
      <c r="BV33" s="823"/>
      <c r="BW33" s="823"/>
      <c r="BX33" s="823"/>
      <c r="BY33" s="823"/>
      <c r="BZ33" s="823"/>
    </row>
    <row r="34" spans="1:78" x14ac:dyDescent="0.35">
      <c r="A34">
        <v>0</v>
      </c>
      <c r="B34">
        <v>0</v>
      </c>
      <c r="C34">
        <v>0</v>
      </c>
      <c r="D34">
        <v>0</v>
      </c>
      <c r="E34">
        <v>0</v>
      </c>
      <c r="F34">
        <v>0</v>
      </c>
      <c r="G34">
        <v>0</v>
      </c>
      <c r="H34">
        <v>0</v>
      </c>
      <c r="I34">
        <v>0</v>
      </c>
      <c r="J34">
        <v>0</v>
      </c>
      <c r="K34">
        <v>0</v>
      </c>
      <c r="L34">
        <v>0</v>
      </c>
      <c r="M34">
        <v>0</v>
      </c>
      <c r="N34">
        <v>0</v>
      </c>
      <c r="O34">
        <v>0</v>
      </c>
      <c r="P34">
        <v>0</v>
      </c>
      <c r="Q34">
        <v>0</v>
      </c>
      <c r="R34">
        <v>0</v>
      </c>
      <c r="S34">
        <v>0</v>
      </c>
      <c r="T34">
        <v>0</v>
      </c>
      <c r="U34">
        <v>0</v>
      </c>
      <c r="V34">
        <v>0</v>
      </c>
      <c r="W34">
        <v>0</v>
      </c>
      <c r="X34">
        <v>0</v>
      </c>
      <c r="Y34">
        <v>0</v>
      </c>
      <c r="Z34">
        <v>0</v>
      </c>
      <c r="AA34">
        <v>0</v>
      </c>
      <c r="AB34">
        <v>0</v>
      </c>
      <c r="AC34">
        <v>0</v>
      </c>
      <c r="AD34">
        <v>0</v>
      </c>
      <c r="AF34">
        <v>0</v>
      </c>
      <c r="AG34">
        <v>0</v>
      </c>
      <c r="AH34">
        <v>0</v>
      </c>
      <c r="AI34">
        <v>0</v>
      </c>
      <c r="AJ34">
        <v>0</v>
      </c>
      <c r="AK34">
        <v>0</v>
      </c>
      <c r="AL34">
        <v>0</v>
      </c>
      <c r="AM34">
        <v>0</v>
      </c>
      <c r="AN34">
        <v>0</v>
      </c>
      <c r="AO34">
        <v>0</v>
      </c>
      <c r="AP34">
        <v>0</v>
      </c>
      <c r="AQ34">
        <v>0</v>
      </c>
      <c r="AR34">
        <v>0</v>
      </c>
      <c r="AS34">
        <v>0</v>
      </c>
      <c r="AT34">
        <v>0</v>
      </c>
      <c r="AU34">
        <v>0</v>
      </c>
      <c r="AV34">
        <v>0</v>
      </c>
      <c r="AW34">
        <v>0</v>
      </c>
      <c r="AX34">
        <v>0</v>
      </c>
      <c r="AY34">
        <v>0</v>
      </c>
      <c r="AZ34">
        <v>0</v>
      </c>
      <c r="BA34">
        <v>0</v>
      </c>
      <c r="BB34">
        <v>0</v>
      </c>
      <c r="BC34">
        <v>0</v>
      </c>
      <c r="BD34">
        <v>0</v>
      </c>
      <c r="BE34">
        <v>0</v>
      </c>
      <c r="BF34">
        <v>0</v>
      </c>
      <c r="BG34">
        <v>0</v>
      </c>
      <c r="BH34">
        <v>0</v>
      </c>
      <c r="BI34">
        <v>0</v>
      </c>
      <c r="BK34" s="151"/>
      <c r="BL34" s="68">
        <f t="shared" si="0"/>
        <v>0.33000000000000013</v>
      </c>
      <c r="BM34" s="852">
        <f ca="1">_xlfn.PERCENTILE.EXC(OFFSET('4.2.3 Monte Carlo resultater'!$A$2,0,'4.2.2 Monte Carlo-simulering'!$AB$16-1,'4.2.2 Monte Carlo-simulering'!$AB$17,1),BL34)</f>
        <v>0</v>
      </c>
      <c r="BN34" s="823"/>
      <c r="BO34" s="823"/>
      <c r="BP34" s="823"/>
      <c r="BQ34" s="929" t="str">
        <f ca="1">IFERROR(IF(COUNTA($BQ$2:BQ33)=$BU$2,"-∞",BQ33+$BU$4),"-")</f>
        <v>-</v>
      </c>
      <c r="BR34" s="68" cm="1">
        <f t="array" aca="1" ref="BR34" ca="1">(COUNTIF(MonteCarlo_Figurer_Valgt_Serie,"&gt;="&amp;BQ34)-COUNTIF(MonteCarlo_Figurer_Valgt_Serie,"&gt;="&amp;BQ35))/'4.2.2 Monte Carlo-simulering'!$AB$17</f>
        <v>0</v>
      </c>
      <c r="BS34" s="823"/>
      <c r="BT34" s="823"/>
      <c r="BU34" s="823"/>
      <c r="BV34" s="823"/>
      <c r="BW34" s="823"/>
      <c r="BX34" s="823"/>
      <c r="BY34" s="823"/>
      <c r="BZ34" s="823"/>
    </row>
    <row r="35" spans="1:78" x14ac:dyDescent="0.35">
      <c r="A35">
        <v>0</v>
      </c>
      <c r="B35">
        <v>0</v>
      </c>
      <c r="C35">
        <v>0</v>
      </c>
      <c r="D35">
        <v>0</v>
      </c>
      <c r="E35">
        <v>0</v>
      </c>
      <c r="F35">
        <v>0</v>
      </c>
      <c r="G35">
        <v>0</v>
      </c>
      <c r="H35">
        <v>0</v>
      </c>
      <c r="I35">
        <v>0</v>
      </c>
      <c r="J35">
        <v>0</v>
      </c>
      <c r="K35">
        <v>0</v>
      </c>
      <c r="L35">
        <v>0</v>
      </c>
      <c r="M35">
        <v>0</v>
      </c>
      <c r="N35">
        <v>0</v>
      </c>
      <c r="O35">
        <v>0</v>
      </c>
      <c r="P35">
        <v>0</v>
      </c>
      <c r="Q35">
        <v>0</v>
      </c>
      <c r="R35">
        <v>0</v>
      </c>
      <c r="S35">
        <v>0</v>
      </c>
      <c r="T35">
        <v>0</v>
      </c>
      <c r="U35">
        <v>0</v>
      </c>
      <c r="V35">
        <v>0</v>
      </c>
      <c r="W35">
        <v>0</v>
      </c>
      <c r="X35">
        <v>0</v>
      </c>
      <c r="Y35">
        <v>0</v>
      </c>
      <c r="Z35">
        <v>0</v>
      </c>
      <c r="AA35">
        <v>0</v>
      </c>
      <c r="AB35">
        <v>0</v>
      </c>
      <c r="AC35">
        <v>0</v>
      </c>
      <c r="AD35">
        <v>0</v>
      </c>
      <c r="AF35">
        <v>0</v>
      </c>
      <c r="AG35">
        <v>0</v>
      </c>
      <c r="AH35">
        <v>0</v>
      </c>
      <c r="AI35">
        <v>0</v>
      </c>
      <c r="AJ35">
        <v>0</v>
      </c>
      <c r="AK35">
        <v>0</v>
      </c>
      <c r="AL35">
        <v>0</v>
      </c>
      <c r="AM35">
        <v>0</v>
      </c>
      <c r="AN35">
        <v>0</v>
      </c>
      <c r="AO35">
        <v>0</v>
      </c>
      <c r="AP35">
        <v>0</v>
      </c>
      <c r="AQ35">
        <v>0</v>
      </c>
      <c r="AR35">
        <v>0</v>
      </c>
      <c r="AS35">
        <v>0</v>
      </c>
      <c r="AT35">
        <v>0</v>
      </c>
      <c r="AU35">
        <v>0</v>
      </c>
      <c r="AV35">
        <v>0</v>
      </c>
      <c r="AW35">
        <v>0</v>
      </c>
      <c r="AX35">
        <v>0</v>
      </c>
      <c r="AY35">
        <v>0</v>
      </c>
      <c r="AZ35">
        <v>0</v>
      </c>
      <c r="BA35">
        <v>0</v>
      </c>
      <c r="BB35">
        <v>0</v>
      </c>
      <c r="BC35">
        <v>0</v>
      </c>
      <c r="BD35">
        <v>0</v>
      </c>
      <c r="BE35">
        <v>0</v>
      </c>
      <c r="BF35">
        <v>0</v>
      </c>
      <c r="BG35">
        <v>0</v>
      </c>
      <c r="BH35">
        <v>0</v>
      </c>
      <c r="BI35">
        <v>0</v>
      </c>
      <c r="BK35" s="151"/>
      <c r="BL35" s="68">
        <f t="shared" ref="BL35:BL66" si="1">+BL34+0.01</f>
        <v>0.34000000000000014</v>
      </c>
      <c r="BM35" s="852">
        <f ca="1">_xlfn.PERCENTILE.EXC(OFFSET('4.2.3 Monte Carlo resultater'!$A$2,0,'4.2.2 Monte Carlo-simulering'!$AB$16-1,'4.2.2 Monte Carlo-simulering'!$AB$17,1),BL35)</f>
        <v>0</v>
      </c>
      <c r="BN35" s="823"/>
      <c r="BO35" s="823"/>
      <c r="BP35" s="823"/>
      <c r="BQ35" s="929" t="str">
        <f ca="1">IFERROR(IF(COUNTA($BQ$2:BQ34)=$BU$2,"-∞",BQ34+$BU$4),"-")</f>
        <v>-</v>
      </c>
      <c r="BR35" s="68" cm="1">
        <f t="array" aca="1" ref="BR35" ca="1">(COUNTIF(MonteCarlo_Figurer_Valgt_Serie,"&gt;="&amp;BQ35)-COUNTIF(MonteCarlo_Figurer_Valgt_Serie,"&gt;="&amp;BQ36))/'4.2.2 Monte Carlo-simulering'!$AB$17</f>
        <v>0</v>
      </c>
      <c r="BS35" s="823"/>
      <c r="BT35" s="823"/>
      <c r="BU35" s="823"/>
      <c r="BV35" s="823"/>
      <c r="BW35" s="823"/>
      <c r="BX35" s="823"/>
      <c r="BY35" s="823"/>
      <c r="BZ35" s="823"/>
    </row>
    <row r="36" spans="1:78" x14ac:dyDescent="0.35">
      <c r="A36">
        <v>0</v>
      </c>
      <c r="B36">
        <v>0</v>
      </c>
      <c r="C36">
        <v>0</v>
      </c>
      <c r="D36">
        <v>0</v>
      </c>
      <c r="E36">
        <v>0</v>
      </c>
      <c r="F36">
        <v>0</v>
      </c>
      <c r="G36">
        <v>0</v>
      </c>
      <c r="H36">
        <v>0</v>
      </c>
      <c r="I36">
        <v>0</v>
      </c>
      <c r="J36">
        <v>0</v>
      </c>
      <c r="K36">
        <v>0</v>
      </c>
      <c r="L36">
        <v>0</v>
      </c>
      <c r="M36">
        <v>0</v>
      </c>
      <c r="N36">
        <v>0</v>
      </c>
      <c r="O36">
        <v>0</v>
      </c>
      <c r="P36">
        <v>0</v>
      </c>
      <c r="Q36">
        <v>0</v>
      </c>
      <c r="R36">
        <v>0</v>
      </c>
      <c r="S36">
        <v>0</v>
      </c>
      <c r="T36">
        <v>0</v>
      </c>
      <c r="U36">
        <v>0</v>
      </c>
      <c r="V36">
        <v>0</v>
      </c>
      <c r="W36">
        <v>0</v>
      </c>
      <c r="X36">
        <v>0</v>
      </c>
      <c r="Y36">
        <v>0</v>
      </c>
      <c r="Z36">
        <v>0</v>
      </c>
      <c r="AA36">
        <v>0</v>
      </c>
      <c r="AB36">
        <v>0</v>
      </c>
      <c r="AC36">
        <v>0</v>
      </c>
      <c r="AD36">
        <v>0</v>
      </c>
      <c r="AF36">
        <v>0</v>
      </c>
      <c r="AG36">
        <v>0</v>
      </c>
      <c r="AH36">
        <v>0</v>
      </c>
      <c r="AI36">
        <v>0</v>
      </c>
      <c r="AJ36">
        <v>0</v>
      </c>
      <c r="AK36">
        <v>0</v>
      </c>
      <c r="AL36">
        <v>0</v>
      </c>
      <c r="AM36">
        <v>0</v>
      </c>
      <c r="AN36">
        <v>0</v>
      </c>
      <c r="AO36">
        <v>0</v>
      </c>
      <c r="AP36">
        <v>0</v>
      </c>
      <c r="AQ36">
        <v>0</v>
      </c>
      <c r="AR36">
        <v>0</v>
      </c>
      <c r="AS36">
        <v>0</v>
      </c>
      <c r="AT36">
        <v>0</v>
      </c>
      <c r="AU36">
        <v>0</v>
      </c>
      <c r="AV36">
        <v>0</v>
      </c>
      <c r="AW36">
        <v>0</v>
      </c>
      <c r="AX36">
        <v>0</v>
      </c>
      <c r="AY36">
        <v>0</v>
      </c>
      <c r="AZ36">
        <v>0</v>
      </c>
      <c r="BA36">
        <v>0</v>
      </c>
      <c r="BB36">
        <v>0</v>
      </c>
      <c r="BC36">
        <v>0</v>
      </c>
      <c r="BD36">
        <v>0</v>
      </c>
      <c r="BE36">
        <v>0</v>
      </c>
      <c r="BF36">
        <v>0</v>
      </c>
      <c r="BG36">
        <v>0</v>
      </c>
      <c r="BH36">
        <v>0</v>
      </c>
      <c r="BI36">
        <v>0</v>
      </c>
      <c r="BK36" s="151"/>
      <c r="BL36" s="68">
        <f t="shared" si="1"/>
        <v>0.35000000000000014</v>
      </c>
      <c r="BM36" s="852">
        <f ca="1">_xlfn.PERCENTILE.EXC(OFFSET('4.2.3 Monte Carlo resultater'!$A$2,0,'4.2.2 Monte Carlo-simulering'!$AB$16-1,'4.2.2 Monte Carlo-simulering'!$AB$17,1),BL36)</f>
        <v>0</v>
      </c>
      <c r="BN36" s="823"/>
      <c r="BO36" s="823"/>
      <c r="BP36" s="823"/>
      <c r="BQ36" s="929" t="str">
        <f ca="1">IFERROR(IF(COUNTA($BQ$2:BQ35)=$BU$2,"-∞",BQ35+$BU$4),"-")</f>
        <v>-</v>
      </c>
      <c r="BR36" s="68" cm="1">
        <f t="array" aca="1" ref="BR36" ca="1">(COUNTIF(MonteCarlo_Figurer_Valgt_Serie,"&gt;="&amp;BQ36)-COUNTIF(MonteCarlo_Figurer_Valgt_Serie,"&gt;="&amp;BQ37))/'4.2.2 Monte Carlo-simulering'!$AB$17</f>
        <v>0</v>
      </c>
      <c r="BS36" s="823"/>
      <c r="BT36" s="823"/>
      <c r="BU36" s="823"/>
      <c r="BV36" s="823"/>
      <c r="BW36" s="823"/>
      <c r="BX36" s="823"/>
      <c r="BY36" s="823"/>
      <c r="BZ36" s="823"/>
    </row>
    <row r="37" spans="1:78" x14ac:dyDescent="0.35">
      <c r="A37">
        <v>0</v>
      </c>
      <c r="B37">
        <v>0</v>
      </c>
      <c r="C37">
        <v>0</v>
      </c>
      <c r="D37">
        <v>0</v>
      </c>
      <c r="E37">
        <v>0</v>
      </c>
      <c r="F37">
        <v>0</v>
      </c>
      <c r="G37">
        <v>0</v>
      </c>
      <c r="H37">
        <v>0</v>
      </c>
      <c r="I37">
        <v>0</v>
      </c>
      <c r="J37">
        <v>0</v>
      </c>
      <c r="K37">
        <v>0</v>
      </c>
      <c r="L37">
        <v>0</v>
      </c>
      <c r="M37">
        <v>0</v>
      </c>
      <c r="N37">
        <v>0</v>
      </c>
      <c r="O37">
        <v>0</v>
      </c>
      <c r="P37">
        <v>0</v>
      </c>
      <c r="Q37">
        <v>0</v>
      </c>
      <c r="R37">
        <v>0</v>
      </c>
      <c r="S37">
        <v>0</v>
      </c>
      <c r="T37">
        <v>0</v>
      </c>
      <c r="U37">
        <v>0</v>
      </c>
      <c r="V37">
        <v>0</v>
      </c>
      <c r="W37">
        <v>0</v>
      </c>
      <c r="X37">
        <v>0</v>
      </c>
      <c r="Y37">
        <v>0</v>
      </c>
      <c r="Z37">
        <v>0</v>
      </c>
      <c r="AA37">
        <v>0</v>
      </c>
      <c r="AB37">
        <v>0</v>
      </c>
      <c r="AC37">
        <v>0</v>
      </c>
      <c r="AD37">
        <v>0</v>
      </c>
      <c r="AF37">
        <v>0</v>
      </c>
      <c r="AG37">
        <v>0</v>
      </c>
      <c r="AH37">
        <v>0</v>
      </c>
      <c r="AI37">
        <v>0</v>
      </c>
      <c r="AJ37">
        <v>0</v>
      </c>
      <c r="AK37">
        <v>0</v>
      </c>
      <c r="AL37">
        <v>0</v>
      </c>
      <c r="AM37">
        <v>0</v>
      </c>
      <c r="AN37">
        <v>0</v>
      </c>
      <c r="AO37">
        <v>0</v>
      </c>
      <c r="AP37">
        <v>0</v>
      </c>
      <c r="AQ37">
        <v>0</v>
      </c>
      <c r="AR37">
        <v>0</v>
      </c>
      <c r="AS37">
        <v>0</v>
      </c>
      <c r="AT37">
        <v>0</v>
      </c>
      <c r="AU37">
        <v>0</v>
      </c>
      <c r="AV37">
        <v>0</v>
      </c>
      <c r="AW37">
        <v>0</v>
      </c>
      <c r="AX37">
        <v>0</v>
      </c>
      <c r="AY37">
        <v>0</v>
      </c>
      <c r="AZ37">
        <v>0</v>
      </c>
      <c r="BA37">
        <v>0</v>
      </c>
      <c r="BB37">
        <v>0</v>
      </c>
      <c r="BC37">
        <v>0</v>
      </c>
      <c r="BD37">
        <v>0</v>
      </c>
      <c r="BE37">
        <v>0</v>
      </c>
      <c r="BF37">
        <v>0</v>
      </c>
      <c r="BG37">
        <v>0</v>
      </c>
      <c r="BH37">
        <v>0</v>
      </c>
      <c r="BI37">
        <v>0</v>
      </c>
      <c r="BK37" s="151"/>
      <c r="BL37" s="68">
        <f t="shared" si="1"/>
        <v>0.36000000000000015</v>
      </c>
      <c r="BM37" s="852">
        <f ca="1">_xlfn.PERCENTILE.EXC(OFFSET('4.2.3 Monte Carlo resultater'!$A$2,0,'4.2.2 Monte Carlo-simulering'!$AB$16-1,'4.2.2 Monte Carlo-simulering'!$AB$17,1),BL37)</f>
        <v>0</v>
      </c>
      <c r="BN37" s="823"/>
      <c r="BO37" s="823"/>
      <c r="BP37" s="823"/>
      <c r="BQ37" s="929" t="str">
        <f ca="1">IFERROR(IF(COUNTA($BQ$2:BQ36)=$BU$2,"-∞",BQ36+$BU$4),"-")</f>
        <v>-</v>
      </c>
      <c r="BR37" s="68" cm="1">
        <f t="array" aca="1" ref="BR37" ca="1">(COUNTIF(MonteCarlo_Figurer_Valgt_Serie,"&gt;="&amp;BQ37)-COUNTIF(MonteCarlo_Figurer_Valgt_Serie,"&gt;="&amp;BQ38))/'4.2.2 Monte Carlo-simulering'!$AB$17</f>
        <v>0</v>
      </c>
      <c r="BS37" s="823"/>
      <c r="BT37" s="823"/>
      <c r="BU37" s="823"/>
      <c r="BV37" s="823"/>
      <c r="BW37" s="823"/>
      <c r="BX37" s="823"/>
      <c r="BY37" s="823"/>
      <c r="BZ37" s="823"/>
    </row>
    <row r="38" spans="1:78" x14ac:dyDescent="0.35">
      <c r="A38">
        <v>0</v>
      </c>
      <c r="B38">
        <v>0</v>
      </c>
      <c r="C38">
        <v>0</v>
      </c>
      <c r="D38">
        <v>0</v>
      </c>
      <c r="E38">
        <v>0</v>
      </c>
      <c r="F38">
        <v>0</v>
      </c>
      <c r="G38">
        <v>0</v>
      </c>
      <c r="H38">
        <v>0</v>
      </c>
      <c r="I38">
        <v>0</v>
      </c>
      <c r="J38">
        <v>0</v>
      </c>
      <c r="K38">
        <v>0</v>
      </c>
      <c r="L38">
        <v>0</v>
      </c>
      <c r="M38">
        <v>0</v>
      </c>
      <c r="N38">
        <v>0</v>
      </c>
      <c r="O38">
        <v>0</v>
      </c>
      <c r="P38">
        <v>0</v>
      </c>
      <c r="Q38">
        <v>0</v>
      </c>
      <c r="R38">
        <v>0</v>
      </c>
      <c r="S38">
        <v>0</v>
      </c>
      <c r="T38">
        <v>0</v>
      </c>
      <c r="U38">
        <v>0</v>
      </c>
      <c r="V38">
        <v>0</v>
      </c>
      <c r="W38">
        <v>0</v>
      </c>
      <c r="X38">
        <v>0</v>
      </c>
      <c r="Y38">
        <v>0</v>
      </c>
      <c r="Z38">
        <v>0</v>
      </c>
      <c r="AA38">
        <v>0</v>
      </c>
      <c r="AB38">
        <v>0</v>
      </c>
      <c r="AC38">
        <v>0</v>
      </c>
      <c r="AD38">
        <v>0</v>
      </c>
      <c r="AF38">
        <v>0</v>
      </c>
      <c r="AG38">
        <v>0</v>
      </c>
      <c r="AH38">
        <v>0</v>
      </c>
      <c r="AI38">
        <v>0</v>
      </c>
      <c r="AJ38">
        <v>0</v>
      </c>
      <c r="AK38">
        <v>0</v>
      </c>
      <c r="AL38">
        <v>0</v>
      </c>
      <c r="AM38">
        <v>0</v>
      </c>
      <c r="AN38">
        <v>0</v>
      </c>
      <c r="AO38">
        <v>0</v>
      </c>
      <c r="AP38">
        <v>0</v>
      </c>
      <c r="AQ38">
        <v>0</v>
      </c>
      <c r="AR38">
        <v>0</v>
      </c>
      <c r="AS38">
        <v>0</v>
      </c>
      <c r="AT38">
        <v>0</v>
      </c>
      <c r="AU38">
        <v>0</v>
      </c>
      <c r="AV38">
        <v>0</v>
      </c>
      <c r="AW38">
        <v>0</v>
      </c>
      <c r="AX38">
        <v>0</v>
      </c>
      <c r="AY38">
        <v>0</v>
      </c>
      <c r="AZ38">
        <v>0</v>
      </c>
      <c r="BA38">
        <v>0</v>
      </c>
      <c r="BB38">
        <v>0</v>
      </c>
      <c r="BC38">
        <v>0</v>
      </c>
      <c r="BD38">
        <v>0</v>
      </c>
      <c r="BE38">
        <v>0</v>
      </c>
      <c r="BF38">
        <v>0</v>
      </c>
      <c r="BG38">
        <v>0</v>
      </c>
      <c r="BH38">
        <v>0</v>
      </c>
      <c r="BI38">
        <v>0</v>
      </c>
      <c r="BK38" s="151"/>
      <c r="BL38" s="68">
        <f t="shared" si="1"/>
        <v>0.37000000000000016</v>
      </c>
      <c r="BM38" s="852">
        <f ca="1">_xlfn.PERCENTILE.EXC(OFFSET('4.2.3 Monte Carlo resultater'!$A$2,0,'4.2.2 Monte Carlo-simulering'!$AB$16-1,'4.2.2 Monte Carlo-simulering'!$AB$17,1),BL38)</f>
        <v>0</v>
      </c>
      <c r="BN38" s="823"/>
      <c r="BO38" s="823"/>
      <c r="BP38" s="823"/>
      <c r="BQ38" s="929" t="str">
        <f ca="1">IFERROR(IF(COUNTA($BQ$2:BQ37)=$BU$2,"-∞",BQ37+$BU$4),"-")</f>
        <v>-</v>
      </c>
      <c r="BR38" s="68" cm="1">
        <f t="array" aca="1" ref="BR38" ca="1">(COUNTIF(MonteCarlo_Figurer_Valgt_Serie,"&gt;="&amp;BQ38)-COUNTIF(MonteCarlo_Figurer_Valgt_Serie,"&gt;="&amp;BQ39))/'4.2.2 Monte Carlo-simulering'!$AB$17</f>
        <v>0</v>
      </c>
      <c r="BS38" s="823"/>
      <c r="BT38" s="823"/>
      <c r="BU38" s="823"/>
      <c r="BV38" s="823"/>
      <c r="BW38" s="823"/>
      <c r="BX38" s="823"/>
      <c r="BY38" s="823"/>
      <c r="BZ38" s="823"/>
    </row>
    <row r="39" spans="1:78" x14ac:dyDescent="0.35">
      <c r="A39">
        <v>0</v>
      </c>
      <c r="B39">
        <v>0</v>
      </c>
      <c r="C39">
        <v>0</v>
      </c>
      <c r="D39">
        <v>0</v>
      </c>
      <c r="E39">
        <v>0</v>
      </c>
      <c r="F39">
        <v>0</v>
      </c>
      <c r="G39">
        <v>0</v>
      </c>
      <c r="H39">
        <v>0</v>
      </c>
      <c r="I39">
        <v>0</v>
      </c>
      <c r="J39">
        <v>0</v>
      </c>
      <c r="K39">
        <v>0</v>
      </c>
      <c r="L39">
        <v>0</v>
      </c>
      <c r="M39">
        <v>0</v>
      </c>
      <c r="N39">
        <v>0</v>
      </c>
      <c r="O39">
        <v>0</v>
      </c>
      <c r="P39">
        <v>0</v>
      </c>
      <c r="Q39">
        <v>0</v>
      </c>
      <c r="R39">
        <v>0</v>
      </c>
      <c r="S39">
        <v>0</v>
      </c>
      <c r="T39">
        <v>0</v>
      </c>
      <c r="U39">
        <v>0</v>
      </c>
      <c r="V39">
        <v>0</v>
      </c>
      <c r="W39">
        <v>0</v>
      </c>
      <c r="X39">
        <v>0</v>
      </c>
      <c r="Y39">
        <v>0</v>
      </c>
      <c r="Z39">
        <v>0</v>
      </c>
      <c r="AA39">
        <v>0</v>
      </c>
      <c r="AB39">
        <v>0</v>
      </c>
      <c r="AC39">
        <v>0</v>
      </c>
      <c r="AD39">
        <v>0</v>
      </c>
      <c r="AF39">
        <v>0</v>
      </c>
      <c r="AG39">
        <v>0</v>
      </c>
      <c r="AH39">
        <v>0</v>
      </c>
      <c r="AI39">
        <v>0</v>
      </c>
      <c r="AJ39">
        <v>0</v>
      </c>
      <c r="AK39">
        <v>0</v>
      </c>
      <c r="AL39">
        <v>0</v>
      </c>
      <c r="AM39">
        <v>0</v>
      </c>
      <c r="AN39">
        <v>0</v>
      </c>
      <c r="AO39">
        <v>0</v>
      </c>
      <c r="AP39">
        <v>0</v>
      </c>
      <c r="AQ39">
        <v>0</v>
      </c>
      <c r="AR39">
        <v>0</v>
      </c>
      <c r="AS39">
        <v>0</v>
      </c>
      <c r="AT39">
        <v>0</v>
      </c>
      <c r="AU39">
        <v>0</v>
      </c>
      <c r="AV39">
        <v>0</v>
      </c>
      <c r="AW39">
        <v>0</v>
      </c>
      <c r="AX39">
        <v>0</v>
      </c>
      <c r="AY39">
        <v>0</v>
      </c>
      <c r="AZ39">
        <v>0</v>
      </c>
      <c r="BA39">
        <v>0</v>
      </c>
      <c r="BB39">
        <v>0</v>
      </c>
      <c r="BC39">
        <v>0</v>
      </c>
      <c r="BD39">
        <v>0</v>
      </c>
      <c r="BE39">
        <v>0</v>
      </c>
      <c r="BF39">
        <v>0</v>
      </c>
      <c r="BG39">
        <v>0</v>
      </c>
      <c r="BH39">
        <v>0</v>
      </c>
      <c r="BI39">
        <v>0</v>
      </c>
      <c r="BK39" s="151"/>
      <c r="BL39" s="68">
        <f t="shared" si="1"/>
        <v>0.38000000000000017</v>
      </c>
      <c r="BM39" s="852">
        <f ca="1">_xlfn.PERCENTILE.EXC(OFFSET('4.2.3 Monte Carlo resultater'!$A$2,0,'4.2.2 Monte Carlo-simulering'!$AB$16-1,'4.2.2 Monte Carlo-simulering'!$AB$17,1),BL39)</f>
        <v>0</v>
      </c>
      <c r="BN39" s="823"/>
      <c r="BO39" s="823"/>
      <c r="BP39" s="823"/>
      <c r="BQ39" s="929" t="str">
        <f ca="1">IFERROR(IF(COUNTA($BQ$2:BQ38)=$BU$2,"-∞",BQ38+$BU$4),"-")</f>
        <v>-</v>
      </c>
      <c r="BR39" s="68" cm="1">
        <f t="array" aca="1" ref="BR39" ca="1">(COUNTIF(MonteCarlo_Figurer_Valgt_Serie,"&gt;="&amp;BQ39)-COUNTIF(MonteCarlo_Figurer_Valgt_Serie,"&gt;="&amp;BQ40))/'4.2.2 Monte Carlo-simulering'!$AB$17</f>
        <v>0</v>
      </c>
      <c r="BS39" s="823"/>
      <c r="BT39" s="823"/>
      <c r="BU39" s="823"/>
      <c r="BV39" s="823"/>
      <c r="BW39" s="823"/>
      <c r="BX39" s="823"/>
      <c r="BY39" s="823"/>
      <c r="BZ39" s="823"/>
    </row>
    <row r="40" spans="1:78" x14ac:dyDescent="0.35">
      <c r="A40">
        <v>0</v>
      </c>
      <c r="B40">
        <v>0</v>
      </c>
      <c r="C40">
        <v>0</v>
      </c>
      <c r="D40">
        <v>0</v>
      </c>
      <c r="E40">
        <v>0</v>
      </c>
      <c r="F40">
        <v>0</v>
      </c>
      <c r="G40">
        <v>0</v>
      </c>
      <c r="H40">
        <v>0</v>
      </c>
      <c r="I40">
        <v>0</v>
      </c>
      <c r="J40">
        <v>0</v>
      </c>
      <c r="K40">
        <v>0</v>
      </c>
      <c r="L40">
        <v>0</v>
      </c>
      <c r="M40">
        <v>0</v>
      </c>
      <c r="N40">
        <v>0</v>
      </c>
      <c r="O40">
        <v>0</v>
      </c>
      <c r="P40">
        <v>0</v>
      </c>
      <c r="Q40">
        <v>0</v>
      </c>
      <c r="R40">
        <v>0</v>
      </c>
      <c r="S40">
        <v>0</v>
      </c>
      <c r="T40">
        <v>0</v>
      </c>
      <c r="U40">
        <v>0</v>
      </c>
      <c r="V40">
        <v>0</v>
      </c>
      <c r="W40">
        <v>0</v>
      </c>
      <c r="X40">
        <v>0</v>
      </c>
      <c r="Y40">
        <v>0</v>
      </c>
      <c r="Z40">
        <v>0</v>
      </c>
      <c r="AA40">
        <v>0</v>
      </c>
      <c r="AB40">
        <v>0</v>
      </c>
      <c r="AC40">
        <v>0</v>
      </c>
      <c r="AD40">
        <v>0</v>
      </c>
      <c r="AF40">
        <v>0</v>
      </c>
      <c r="AG40">
        <v>0</v>
      </c>
      <c r="AH40">
        <v>0</v>
      </c>
      <c r="AI40">
        <v>0</v>
      </c>
      <c r="AJ40">
        <v>0</v>
      </c>
      <c r="AK40">
        <v>0</v>
      </c>
      <c r="AL40">
        <v>0</v>
      </c>
      <c r="AM40">
        <v>0</v>
      </c>
      <c r="AN40">
        <v>0</v>
      </c>
      <c r="AO40">
        <v>0</v>
      </c>
      <c r="AP40">
        <v>0</v>
      </c>
      <c r="AQ40">
        <v>0</v>
      </c>
      <c r="AR40">
        <v>0</v>
      </c>
      <c r="AS40">
        <v>0</v>
      </c>
      <c r="AT40">
        <v>0</v>
      </c>
      <c r="AU40">
        <v>0</v>
      </c>
      <c r="AV40">
        <v>0</v>
      </c>
      <c r="AW40">
        <v>0</v>
      </c>
      <c r="AX40">
        <v>0</v>
      </c>
      <c r="AY40">
        <v>0</v>
      </c>
      <c r="AZ40">
        <v>0</v>
      </c>
      <c r="BA40">
        <v>0</v>
      </c>
      <c r="BB40">
        <v>0</v>
      </c>
      <c r="BC40">
        <v>0</v>
      </c>
      <c r="BD40">
        <v>0</v>
      </c>
      <c r="BE40">
        <v>0</v>
      </c>
      <c r="BF40">
        <v>0</v>
      </c>
      <c r="BG40">
        <v>0</v>
      </c>
      <c r="BH40">
        <v>0</v>
      </c>
      <c r="BI40">
        <v>0</v>
      </c>
      <c r="BK40" s="151"/>
      <c r="BL40" s="68">
        <f t="shared" si="1"/>
        <v>0.39000000000000018</v>
      </c>
      <c r="BM40" s="852">
        <f ca="1">_xlfn.PERCENTILE.EXC(OFFSET('4.2.3 Monte Carlo resultater'!$A$2,0,'4.2.2 Monte Carlo-simulering'!$AB$16-1,'4.2.2 Monte Carlo-simulering'!$AB$17,1),BL40)</f>
        <v>0</v>
      </c>
      <c r="BN40" s="823"/>
      <c r="BO40" s="823"/>
      <c r="BP40" s="823"/>
      <c r="BQ40" s="929" t="str">
        <f ca="1">IFERROR(IF(COUNTA($BQ$2:BQ39)=$BU$2,"-∞",BQ39+$BU$4),"-")</f>
        <v>-</v>
      </c>
      <c r="BR40" s="68" cm="1">
        <f t="array" aca="1" ref="BR40" ca="1">(COUNTIF(MonteCarlo_Figurer_Valgt_Serie,"&gt;="&amp;BQ40)-COUNTIF(MonteCarlo_Figurer_Valgt_Serie,"&gt;="&amp;BQ41))/'4.2.2 Monte Carlo-simulering'!$AB$17</f>
        <v>0</v>
      </c>
      <c r="BS40" s="823"/>
      <c r="BT40" s="823"/>
      <c r="BU40" s="823"/>
      <c r="BV40" s="823"/>
      <c r="BW40" s="823"/>
      <c r="BX40" s="823"/>
      <c r="BY40" s="823"/>
      <c r="BZ40" s="823"/>
    </row>
    <row r="41" spans="1:78" x14ac:dyDescent="0.35">
      <c r="A41">
        <v>0</v>
      </c>
      <c r="B41">
        <v>0</v>
      </c>
      <c r="C41">
        <v>0</v>
      </c>
      <c r="D41">
        <v>0</v>
      </c>
      <c r="E41">
        <v>0</v>
      </c>
      <c r="F41">
        <v>0</v>
      </c>
      <c r="G41">
        <v>0</v>
      </c>
      <c r="H41">
        <v>0</v>
      </c>
      <c r="I41">
        <v>0</v>
      </c>
      <c r="J41">
        <v>0</v>
      </c>
      <c r="K41">
        <v>0</v>
      </c>
      <c r="L41">
        <v>0</v>
      </c>
      <c r="M41">
        <v>0</v>
      </c>
      <c r="N41">
        <v>0</v>
      </c>
      <c r="O41">
        <v>0</v>
      </c>
      <c r="P41">
        <v>0</v>
      </c>
      <c r="Q41">
        <v>0</v>
      </c>
      <c r="R41">
        <v>0</v>
      </c>
      <c r="S41">
        <v>0</v>
      </c>
      <c r="T41">
        <v>0</v>
      </c>
      <c r="U41">
        <v>0</v>
      </c>
      <c r="V41">
        <v>0</v>
      </c>
      <c r="W41">
        <v>0</v>
      </c>
      <c r="X41">
        <v>0</v>
      </c>
      <c r="Y41">
        <v>0</v>
      </c>
      <c r="Z41">
        <v>0</v>
      </c>
      <c r="AA41">
        <v>0</v>
      </c>
      <c r="AB41">
        <v>0</v>
      </c>
      <c r="AC41">
        <v>0</v>
      </c>
      <c r="AD41">
        <v>0</v>
      </c>
      <c r="AF41">
        <v>0</v>
      </c>
      <c r="AG41">
        <v>0</v>
      </c>
      <c r="AH41">
        <v>0</v>
      </c>
      <c r="AI41">
        <v>0</v>
      </c>
      <c r="AJ41">
        <v>0</v>
      </c>
      <c r="AK41">
        <v>0</v>
      </c>
      <c r="AL41">
        <v>0</v>
      </c>
      <c r="AM41">
        <v>0</v>
      </c>
      <c r="AN41">
        <v>0</v>
      </c>
      <c r="AO41">
        <v>0</v>
      </c>
      <c r="AP41">
        <v>0</v>
      </c>
      <c r="AQ41">
        <v>0</v>
      </c>
      <c r="AR41">
        <v>0</v>
      </c>
      <c r="AS41">
        <v>0</v>
      </c>
      <c r="AT41">
        <v>0</v>
      </c>
      <c r="AU41">
        <v>0</v>
      </c>
      <c r="AV41">
        <v>0</v>
      </c>
      <c r="AW41">
        <v>0</v>
      </c>
      <c r="AX41">
        <v>0</v>
      </c>
      <c r="AY41">
        <v>0</v>
      </c>
      <c r="AZ41">
        <v>0</v>
      </c>
      <c r="BA41">
        <v>0</v>
      </c>
      <c r="BB41">
        <v>0</v>
      </c>
      <c r="BC41">
        <v>0</v>
      </c>
      <c r="BD41">
        <v>0</v>
      </c>
      <c r="BE41">
        <v>0</v>
      </c>
      <c r="BF41">
        <v>0</v>
      </c>
      <c r="BG41">
        <v>0</v>
      </c>
      <c r="BH41">
        <v>0</v>
      </c>
      <c r="BI41">
        <v>0</v>
      </c>
      <c r="BK41" s="151"/>
      <c r="BL41" s="68">
        <f t="shared" si="1"/>
        <v>0.40000000000000019</v>
      </c>
      <c r="BM41" s="852">
        <f ca="1">_xlfn.PERCENTILE.EXC(OFFSET('4.2.3 Monte Carlo resultater'!$A$2,0,'4.2.2 Monte Carlo-simulering'!$AB$16-1,'4.2.2 Monte Carlo-simulering'!$AB$17,1),BL41)</f>
        <v>0</v>
      </c>
      <c r="BN41" s="823"/>
      <c r="BO41" s="823"/>
      <c r="BP41" s="823"/>
      <c r="BQ41" s="929" t="str">
        <f ca="1">IFERROR(IF(COUNTA($BQ$2:BQ40)=$BU$2,"-∞",BQ40+$BU$4),"-")</f>
        <v>-</v>
      </c>
      <c r="BR41" s="68" cm="1">
        <f t="array" aca="1" ref="BR41" ca="1">(COUNTIF(MonteCarlo_Figurer_Valgt_Serie,"&gt;="&amp;BQ41)-COUNTIF(MonteCarlo_Figurer_Valgt_Serie,"&gt;="&amp;BQ42))/'4.2.2 Monte Carlo-simulering'!$AB$17</f>
        <v>0</v>
      </c>
      <c r="BS41" s="823"/>
      <c r="BT41" s="823"/>
      <c r="BU41" s="823"/>
      <c r="BV41" s="823"/>
      <c r="BW41" s="823"/>
      <c r="BX41" s="823"/>
      <c r="BY41" s="823"/>
      <c r="BZ41" s="823"/>
    </row>
    <row r="42" spans="1:78" x14ac:dyDescent="0.35">
      <c r="A42">
        <v>0</v>
      </c>
      <c r="B42">
        <v>0</v>
      </c>
      <c r="C42">
        <v>0</v>
      </c>
      <c r="D42">
        <v>0</v>
      </c>
      <c r="E42">
        <v>0</v>
      </c>
      <c r="F42">
        <v>0</v>
      </c>
      <c r="G42">
        <v>0</v>
      </c>
      <c r="H42">
        <v>0</v>
      </c>
      <c r="I42">
        <v>0</v>
      </c>
      <c r="J42">
        <v>0</v>
      </c>
      <c r="K42">
        <v>0</v>
      </c>
      <c r="L42">
        <v>0</v>
      </c>
      <c r="M42">
        <v>0</v>
      </c>
      <c r="N42">
        <v>0</v>
      </c>
      <c r="O42">
        <v>0</v>
      </c>
      <c r="P42">
        <v>0</v>
      </c>
      <c r="Q42">
        <v>0</v>
      </c>
      <c r="R42">
        <v>0</v>
      </c>
      <c r="S42">
        <v>0</v>
      </c>
      <c r="T42">
        <v>0</v>
      </c>
      <c r="U42">
        <v>0</v>
      </c>
      <c r="V42">
        <v>0</v>
      </c>
      <c r="W42">
        <v>0</v>
      </c>
      <c r="X42">
        <v>0</v>
      </c>
      <c r="Y42">
        <v>0</v>
      </c>
      <c r="Z42">
        <v>0</v>
      </c>
      <c r="AA42">
        <v>0</v>
      </c>
      <c r="AB42">
        <v>0</v>
      </c>
      <c r="AC42">
        <v>0</v>
      </c>
      <c r="AD42">
        <v>0</v>
      </c>
      <c r="AF42">
        <v>0</v>
      </c>
      <c r="AG42">
        <v>0</v>
      </c>
      <c r="AH42">
        <v>0</v>
      </c>
      <c r="AI42">
        <v>0</v>
      </c>
      <c r="AJ42">
        <v>0</v>
      </c>
      <c r="AK42">
        <v>0</v>
      </c>
      <c r="AL42">
        <v>0</v>
      </c>
      <c r="AM42">
        <v>0</v>
      </c>
      <c r="AN42">
        <v>0</v>
      </c>
      <c r="AO42">
        <v>0</v>
      </c>
      <c r="AP42">
        <v>0</v>
      </c>
      <c r="AQ42">
        <v>0</v>
      </c>
      <c r="AR42">
        <v>0</v>
      </c>
      <c r="AS42">
        <v>0</v>
      </c>
      <c r="AT42">
        <v>0</v>
      </c>
      <c r="AU42">
        <v>0</v>
      </c>
      <c r="AV42">
        <v>0</v>
      </c>
      <c r="AW42">
        <v>0</v>
      </c>
      <c r="AX42">
        <v>0</v>
      </c>
      <c r="AY42">
        <v>0</v>
      </c>
      <c r="AZ42">
        <v>0</v>
      </c>
      <c r="BA42">
        <v>0</v>
      </c>
      <c r="BB42">
        <v>0</v>
      </c>
      <c r="BC42">
        <v>0</v>
      </c>
      <c r="BD42">
        <v>0</v>
      </c>
      <c r="BE42">
        <v>0</v>
      </c>
      <c r="BF42">
        <v>0</v>
      </c>
      <c r="BG42">
        <v>0</v>
      </c>
      <c r="BH42">
        <v>0</v>
      </c>
      <c r="BI42">
        <v>0</v>
      </c>
      <c r="BK42" s="151"/>
      <c r="BL42" s="68">
        <f t="shared" si="1"/>
        <v>0.4100000000000002</v>
      </c>
      <c r="BM42" s="852">
        <f ca="1">_xlfn.PERCENTILE.EXC(OFFSET('4.2.3 Monte Carlo resultater'!$A$2,0,'4.2.2 Monte Carlo-simulering'!$AB$16-1,'4.2.2 Monte Carlo-simulering'!$AB$17,1),BL42)</f>
        <v>0</v>
      </c>
      <c r="BN42" s="823"/>
      <c r="BO42" s="823"/>
      <c r="BP42" s="823"/>
      <c r="BQ42" s="929" t="str">
        <f ca="1">IFERROR(IF(COUNTA($BQ$2:BQ41)=$BU$2,"-∞",BQ41+$BU$4),"-")</f>
        <v>-</v>
      </c>
      <c r="BR42" s="68" cm="1">
        <f t="array" aca="1" ref="BR42" ca="1">(COUNTIF(MonteCarlo_Figurer_Valgt_Serie,"&gt;="&amp;BQ42)-COUNTIF(MonteCarlo_Figurer_Valgt_Serie,"&gt;="&amp;BQ43))/'4.2.2 Monte Carlo-simulering'!$AB$17</f>
        <v>0</v>
      </c>
      <c r="BS42" s="823"/>
      <c r="BT42" s="823"/>
      <c r="BU42" s="823"/>
      <c r="BV42" s="823"/>
      <c r="BW42" s="823"/>
      <c r="BX42" s="823"/>
      <c r="BY42" s="823"/>
      <c r="BZ42" s="823"/>
    </row>
    <row r="43" spans="1:78" x14ac:dyDescent="0.35">
      <c r="A43">
        <v>0</v>
      </c>
      <c r="B43">
        <v>0</v>
      </c>
      <c r="C43">
        <v>0</v>
      </c>
      <c r="D43">
        <v>0</v>
      </c>
      <c r="E43">
        <v>0</v>
      </c>
      <c r="F43">
        <v>0</v>
      </c>
      <c r="G43">
        <v>0</v>
      </c>
      <c r="H43">
        <v>0</v>
      </c>
      <c r="I43">
        <v>0</v>
      </c>
      <c r="J43">
        <v>0</v>
      </c>
      <c r="K43">
        <v>0</v>
      </c>
      <c r="L43">
        <v>0</v>
      </c>
      <c r="M43">
        <v>0</v>
      </c>
      <c r="N43">
        <v>0</v>
      </c>
      <c r="O43">
        <v>0</v>
      </c>
      <c r="P43">
        <v>0</v>
      </c>
      <c r="Q43">
        <v>0</v>
      </c>
      <c r="R43">
        <v>0</v>
      </c>
      <c r="S43">
        <v>0</v>
      </c>
      <c r="T43">
        <v>0</v>
      </c>
      <c r="U43">
        <v>0</v>
      </c>
      <c r="V43">
        <v>0</v>
      </c>
      <c r="W43">
        <v>0</v>
      </c>
      <c r="X43">
        <v>0</v>
      </c>
      <c r="Y43">
        <v>0</v>
      </c>
      <c r="Z43">
        <v>0</v>
      </c>
      <c r="AA43">
        <v>0</v>
      </c>
      <c r="AB43">
        <v>0</v>
      </c>
      <c r="AC43">
        <v>0</v>
      </c>
      <c r="AD43">
        <v>0</v>
      </c>
      <c r="AF43">
        <v>0</v>
      </c>
      <c r="AG43">
        <v>0</v>
      </c>
      <c r="AH43">
        <v>0</v>
      </c>
      <c r="AI43">
        <v>0</v>
      </c>
      <c r="AJ43">
        <v>0</v>
      </c>
      <c r="AK43">
        <v>0</v>
      </c>
      <c r="AL43">
        <v>0</v>
      </c>
      <c r="AM43">
        <v>0</v>
      </c>
      <c r="AN43">
        <v>0</v>
      </c>
      <c r="AO43">
        <v>0</v>
      </c>
      <c r="AP43">
        <v>0</v>
      </c>
      <c r="AQ43">
        <v>0</v>
      </c>
      <c r="AR43">
        <v>0</v>
      </c>
      <c r="AS43">
        <v>0</v>
      </c>
      <c r="AT43">
        <v>0</v>
      </c>
      <c r="AU43">
        <v>0</v>
      </c>
      <c r="AV43">
        <v>0</v>
      </c>
      <c r="AW43">
        <v>0</v>
      </c>
      <c r="AX43">
        <v>0</v>
      </c>
      <c r="AY43">
        <v>0</v>
      </c>
      <c r="AZ43">
        <v>0</v>
      </c>
      <c r="BA43">
        <v>0</v>
      </c>
      <c r="BB43">
        <v>0</v>
      </c>
      <c r="BC43">
        <v>0</v>
      </c>
      <c r="BD43">
        <v>0</v>
      </c>
      <c r="BE43">
        <v>0</v>
      </c>
      <c r="BF43">
        <v>0</v>
      </c>
      <c r="BG43">
        <v>0</v>
      </c>
      <c r="BH43">
        <v>0</v>
      </c>
      <c r="BI43">
        <v>0</v>
      </c>
      <c r="BK43" s="151"/>
      <c r="BL43" s="68">
        <f t="shared" si="1"/>
        <v>0.42000000000000021</v>
      </c>
      <c r="BM43" s="852">
        <f ca="1">_xlfn.PERCENTILE.EXC(OFFSET('4.2.3 Monte Carlo resultater'!$A$2,0,'4.2.2 Monte Carlo-simulering'!$AB$16-1,'4.2.2 Monte Carlo-simulering'!$AB$17,1),BL43)</f>
        <v>0</v>
      </c>
      <c r="BN43" s="823"/>
      <c r="BO43" s="823"/>
      <c r="BP43" s="823"/>
      <c r="BQ43" s="929" t="str">
        <f ca="1">IFERROR(IF(COUNTA($BQ$2:BQ42)=$BU$2,"-∞",BQ42+$BU$4),"-")</f>
        <v>-</v>
      </c>
      <c r="BR43" s="68" cm="1">
        <f t="array" aca="1" ref="BR43" ca="1">(COUNTIF(MonteCarlo_Figurer_Valgt_Serie,"&gt;="&amp;BQ43)-COUNTIF(MonteCarlo_Figurer_Valgt_Serie,"&gt;="&amp;BQ44))/'4.2.2 Monte Carlo-simulering'!$AB$17</f>
        <v>0</v>
      </c>
      <c r="BS43" s="823"/>
      <c r="BT43" s="823"/>
      <c r="BU43" s="823"/>
      <c r="BV43" s="823"/>
      <c r="BW43" s="823"/>
      <c r="BX43" s="823"/>
      <c r="BY43" s="823"/>
      <c r="BZ43" s="823"/>
    </row>
    <row r="44" spans="1:78" x14ac:dyDescent="0.35">
      <c r="A44">
        <v>0</v>
      </c>
      <c r="B44">
        <v>0</v>
      </c>
      <c r="C44">
        <v>0</v>
      </c>
      <c r="D44">
        <v>0</v>
      </c>
      <c r="E44">
        <v>0</v>
      </c>
      <c r="F44">
        <v>0</v>
      </c>
      <c r="G44">
        <v>0</v>
      </c>
      <c r="H44">
        <v>0</v>
      </c>
      <c r="I44">
        <v>0</v>
      </c>
      <c r="J44">
        <v>0</v>
      </c>
      <c r="K44">
        <v>0</v>
      </c>
      <c r="L44">
        <v>0</v>
      </c>
      <c r="M44">
        <v>0</v>
      </c>
      <c r="N44">
        <v>0</v>
      </c>
      <c r="O44">
        <v>0</v>
      </c>
      <c r="P44">
        <v>0</v>
      </c>
      <c r="Q44">
        <v>0</v>
      </c>
      <c r="R44">
        <v>0</v>
      </c>
      <c r="S44">
        <v>0</v>
      </c>
      <c r="T44">
        <v>0</v>
      </c>
      <c r="U44">
        <v>0</v>
      </c>
      <c r="V44">
        <v>0</v>
      </c>
      <c r="W44">
        <v>0</v>
      </c>
      <c r="X44">
        <v>0</v>
      </c>
      <c r="Y44">
        <v>0</v>
      </c>
      <c r="Z44">
        <v>0</v>
      </c>
      <c r="AA44">
        <v>0</v>
      </c>
      <c r="AB44">
        <v>0</v>
      </c>
      <c r="AC44">
        <v>0</v>
      </c>
      <c r="AD44">
        <v>0</v>
      </c>
      <c r="AF44">
        <v>0</v>
      </c>
      <c r="AG44">
        <v>0</v>
      </c>
      <c r="AH44">
        <v>0</v>
      </c>
      <c r="AI44">
        <v>0</v>
      </c>
      <c r="AJ44">
        <v>0</v>
      </c>
      <c r="AK44">
        <v>0</v>
      </c>
      <c r="AL44">
        <v>0</v>
      </c>
      <c r="AM44">
        <v>0</v>
      </c>
      <c r="AN44">
        <v>0</v>
      </c>
      <c r="AO44">
        <v>0</v>
      </c>
      <c r="AP44">
        <v>0</v>
      </c>
      <c r="AQ44">
        <v>0</v>
      </c>
      <c r="AR44">
        <v>0</v>
      </c>
      <c r="AS44">
        <v>0</v>
      </c>
      <c r="AT44">
        <v>0</v>
      </c>
      <c r="AU44">
        <v>0</v>
      </c>
      <c r="AV44">
        <v>0</v>
      </c>
      <c r="AW44">
        <v>0</v>
      </c>
      <c r="AX44">
        <v>0</v>
      </c>
      <c r="AY44">
        <v>0</v>
      </c>
      <c r="AZ44">
        <v>0</v>
      </c>
      <c r="BA44">
        <v>0</v>
      </c>
      <c r="BB44">
        <v>0</v>
      </c>
      <c r="BC44">
        <v>0</v>
      </c>
      <c r="BD44">
        <v>0</v>
      </c>
      <c r="BE44">
        <v>0</v>
      </c>
      <c r="BF44">
        <v>0</v>
      </c>
      <c r="BG44">
        <v>0</v>
      </c>
      <c r="BH44">
        <v>0</v>
      </c>
      <c r="BI44">
        <v>0</v>
      </c>
      <c r="BK44" s="151"/>
      <c r="BL44" s="68">
        <f t="shared" si="1"/>
        <v>0.43000000000000022</v>
      </c>
      <c r="BM44" s="852">
        <f ca="1">_xlfn.PERCENTILE.EXC(OFFSET('4.2.3 Monte Carlo resultater'!$A$2,0,'4.2.2 Monte Carlo-simulering'!$AB$16-1,'4.2.2 Monte Carlo-simulering'!$AB$17,1),BL44)</f>
        <v>0</v>
      </c>
      <c r="BN44" s="823"/>
      <c r="BO44" s="823"/>
      <c r="BP44" s="823"/>
      <c r="BQ44" s="929" t="str">
        <f ca="1">IFERROR(IF(COUNTA($BQ$2:BQ43)=$BU$2,"-∞",BQ43+$BU$4),"-")</f>
        <v>-</v>
      </c>
      <c r="BR44" s="68" cm="1">
        <f t="array" aca="1" ref="BR44" ca="1">(COUNTIF(MonteCarlo_Figurer_Valgt_Serie,"&gt;="&amp;BQ44)-COUNTIF(MonteCarlo_Figurer_Valgt_Serie,"&gt;="&amp;BQ45))/'4.2.2 Monte Carlo-simulering'!$AB$17</f>
        <v>0</v>
      </c>
      <c r="BS44" s="823"/>
      <c r="BT44" s="823"/>
      <c r="BU44" s="823"/>
      <c r="BV44" s="823"/>
      <c r="BW44" s="823"/>
      <c r="BX44" s="823"/>
      <c r="BY44" s="823"/>
      <c r="BZ44" s="823"/>
    </row>
    <row r="45" spans="1:78" x14ac:dyDescent="0.35">
      <c r="A45">
        <v>0</v>
      </c>
      <c r="B45">
        <v>0</v>
      </c>
      <c r="C45">
        <v>0</v>
      </c>
      <c r="D45">
        <v>0</v>
      </c>
      <c r="E45">
        <v>0</v>
      </c>
      <c r="F45">
        <v>0</v>
      </c>
      <c r="G45">
        <v>0</v>
      </c>
      <c r="H45">
        <v>0</v>
      </c>
      <c r="I45">
        <v>0</v>
      </c>
      <c r="J45">
        <v>0</v>
      </c>
      <c r="K45">
        <v>0</v>
      </c>
      <c r="L45">
        <v>0</v>
      </c>
      <c r="M45">
        <v>0</v>
      </c>
      <c r="N45">
        <v>0</v>
      </c>
      <c r="O45">
        <v>0</v>
      </c>
      <c r="P45">
        <v>0</v>
      </c>
      <c r="Q45">
        <v>0</v>
      </c>
      <c r="R45">
        <v>0</v>
      </c>
      <c r="S45">
        <v>0</v>
      </c>
      <c r="T45">
        <v>0</v>
      </c>
      <c r="U45">
        <v>0</v>
      </c>
      <c r="V45">
        <v>0</v>
      </c>
      <c r="W45">
        <v>0</v>
      </c>
      <c r="X45">
        <v>0</v>
      </c>
      <c r="Y45">
        <v>0</v>
      </c>
      <c r="Z45">
        <v>0</v>
      </c>
      <c r="AA45">
        <v>0</v>
      </c>
      <c r="AB45">
        <v>0</v>
      </c>
      <c r="AC45">
        <v>0</v>
      </c>
      <c r="AD45">
        <v>0</v>
      </c>
      <c r="AF45">
        <v>0</v>
      </c>
      <c r="AG45">
        <v>0</v>
      </c>
      <c r="AH45">
        <v>0</v>
      </c>
      <c r="AI45">
        <v>0</v>
      </c>
      <c r="AJ45">
        <v>0</v>
      </c>
      <c r="AK45">
        <v>0</v>
      </c>
      <c r="AL45">
        <v>0</v>
      </c>
      <c r="AM45">
        <v>0</v>
      </c>
      <c r="AN45">
        <v>0</v>
      </c>
      <c r="AO45">
        <v>0</v>
      </c>
      <c r="AP45">
        <v>0</v>
      </c>
      <c r="AQ45">
        <v>0</v>
      </c>
      <c r="AR45">
        <v>0</v>
      </c>
      <c r="AS45">
        <v>0</v>
      </c>
      <c r="AT45">
        <v>0</v>
      </c>
      <c r="AU45">
        <v>0</v>
      </c>
      <c r="AV45">
        <v>0</v>
      </c>
      <c r="AW45">
        <v>0</v>
      </c>
      <c r="AX45">
        <v>0</v>
      </c>
      <c r="AY45">
        <v>0</v>
      </c>
      <c r="AZ45">
        <v>0</v>
      </c>
      <c r="BA45">
        <v>0</v>
      </c>
      <c r="BB45">
        <v>0</v>
      </c>
      <c r="BC45">
        <v>0</v>
      </c>
      <c r="BD45">
        <v>0</v>
      </c>
      <c r="BE45">
        <v>0</v>
      </c>
      <c r="BF45">
        <v>0</v>
      </c>
      <c r="BG45">
        <v>0</v>
      </c>
      <c r="BH45">
        <v>0</v>
      </c>
      <c r="BI45">
        <v>0</v>
      </c>
      <c r="BK45" s="151"/>
      <c r="BL45" s="68">
        <f t="shared" si="1"/>
        <v>0.44000000000000022</v>
      </c>
      <c r="BM45" s="852">
        <f ca="1">_xlfn.PERCENTILE.EXC(OFFSET('4.2.3 Monte Carlo resultater'!$A$2,0,'4.2.2 Monte Carlo-simulering'!$AB$16-1,'4.2.2 Monte Carlo-simulering'!$AB$17,1),BL45)</f>
        <v>0</v>
      </c>
      <c r="BN45" s="823"/>
      <c r="BO45" s="823"/>
      <c r="BP45" s="823"/>
      <c r="BQ45" s="929" t="str">
        <f ca="1">IFERROR(IF(COUNTA($BQ$2:BQ44)=$BU$2,"-∞",BQ44+$BU$4),"-")</f>
        <v>-</v>
      </c>
      <c r="BR45" s="68" cm="1">
        <f t="array" aca="1" ref="BR45" ca="1">(COUNTIF(MonteCarlo_Figurer_Valgt_Serie,"&gt;="&amp;BQ45)-COUNTIF(MonteCarlo_Figurer_Valgt_Serie,"&gt;="&amp;BQ46))/'4.2.2 Monte Carlo-simulering'!$AB$17</f>
        <v>0</v>
      </c>
      <c r="BS45" s="823"/>
      <c r="BT45" s="823"/>
      <c r="BU45" s="823"/>
      <c r="BV45" s="823"/>
      <c r="BW45" s="823"/>
      <c r="BX45" s="823"/>
      <c r="BY45" s="823"/>
      <c r="BZ45" s="823"/>
    </row>
    <row r="46" spans="1:78" x14ac:dyDescent="0.35">
      <c r="A46">
        <v>0</v>
      </c>
      <c r="B46">
        <v>0</v>
      </c>
      <c r="C46">
        <v>0</v>
      </c>
      <c r="D46">
        <v>0</v>
      </c>
      <c r="E46">
        <v>0</v>
      </c>
      <c r="F46">
        <v>0</v>
      </c>
      <c r="G46">
        <v>0</v>
      </c>
      <c r="H46">
        <v>0</v>
      </c>
      <c r="I46">
        <v>0</v>
      </c>
      <c r="J46">
        <v>0</v>
      </c>
      <c r="K46">
        <v>0</v>
      </c>
      <c r="L46">
        <v>0</v>
      </c>
      <c r="M46">
        <v>0</v>
      </c>
      <c r="N46">
        <v>0</v>
      </c>
      <c r="O46">
        <v>0</v>
      </c>
      <c r="P46">
        <v>0</v>
      </c>
      <c r="Q46">
        <v>0</v>
      </c>
      <c r="R46">
        <v>0</v>
      </c>
      <c r="S46">
        <v>0</v>
      </c>
      <c r="T46">
        <v>0</v>
      </c>
      <c r="U46">
        <v>0</v>
      </c>
      <c r="V46">
        <v>0</v>
      </c>
      <c r="W46">
        <v>0</v>
      </c>
      <c r="X46">
        <v>0</v>
      </c>
      <c r="Y46">
        <v>0</v>
      </c>
      <c r="Z46">
        <v>0</v>
      </c>
      <c r="AA46">
        <v>0</v>
      </c>
      <c r="AB46">
        <v>0</v>
      </c>
      <c r="AC46">
        <v>0</v>
      </c>
      <c r="AD46">
        <v>0</v>
      </c>
      <c r="AF46">
        <v>0</v>
      </c>
      <c r="AG46">
        <v>0</v>
      </c>
      <c r="AH46">
        <v>0</v>
      </c>
      <c r="AI46">
        <v>0</v>
      </c>
      <c r="AJ46">
        <v>0</v>
      </c>
      <c r="AK46">
        <v>0</v>
      </c>
      <c r="AL46">
        <v>0</v>
      </c>
      <c r="AM46">
        <v>0</v>
      </c>
      <c r="AN46">
        <v>0</v>
      </c>
      <c r="AO46">
        <v>0</v>
      </c>
      <c r="AP46">
        <v>0</v>
      </c>
      <c r="AQ46">
        <v>0</v>
      </c>
      <c r="AR46">
        <v>0</v>
      </c>
      <c r="AS46">
        <v>0</v>
      </c>
      <c r="AT46">
        <v>0</v>
      </c>
      <c r="AU46">
        <v>0</v>
      </c>
      <c r="AV46">
        <v>0</v>
      </c>
      <c r="AW46">
        <v>0</v>
      </c>
      <c r="AX46">
        <v>0</v>
      </c>
      <c r="AY46">
        <v>0</v>
      </c>
      <c r="AZ46">
        <v>0</v>
      </c>
      <c r="BA46">
        <v>0</v>
      </c>
      <c r="BB46">
        <v>0</v>
      </c>
      <c r="BC46">
        <v>0</v>
      </c>
      <c r="BD46">
        <v>0</v>
      </c>
      <c r="BE46">
        <v>0</v>
      </c>
      <c r="BF46">
        <v>0</v>
      </c>
      <c r="BG46">
        <v>0</v>
      </c>
      <c r="BH46">
        <v>0</v>
      </c>
      <c r="BI46">
        <v>0</v>
      </c>
      <c r="BK46" s="151"/>
      <c r="BL46" s="68">
        <f t="shared" si="1"/>
        <v>0.45000000000000023</v>
      </c>
      <c r="BM46" s="852">
        <f ca="1">_xlfn.PERCENTILE.EXC(OFFSET('4.2.3 Monte Carlo resultater'!$A$2,0,'4.2.2 Monte Carlo-simulering'!$AB$16-1,'4.2.2 Monte Carlo-simulering'!$AB$17,1),BL46)</f>
        <v>0</v>
      </c>
      <c r="BN46" s="823"/>
      <c r="BO46" s="823"/>
      <c r="BP46" s="823"/>
      <c r="BQ46" s="929" t="str">
        <f ca="1">IFERROR(IF(COUNTA($BQ$2:BQ45)=$BU$2,"-∞",BQ45+$BU$4),"-")</f>
        <v>-</v>
      </c>
      <c r="BR46" s="68" cm="1">
        <f t="array" aca="1" ref="BR46" ca="1">(COUNTIF(MonteCarlo_Figurer_Valgt_Serie,"&gt;="&amp;BQ46)-COUNTIF(MonteCarlo_Figurer_Valgt_Serie,"&gt;="&amp;BQ47))/'4.2.2 Monte Carlo-simulering'!$AB$17</f>
        <v>0</v>
      </c>
      <c r="BS46" s="823"/>
      <c r="BT46" s="823"/>
      <c r="BU46" s="823"/>
      <c r="BV46" s="823"/>
      <c r="BW46" s="823"/>
      <c r="BX46" s="823"/>
      <c r="BY46" s="823"/>
      <c r="BZ46" s="823"/>
    </row>
    <row r="47" spans="1:78" x14ac:dyDescent="0.35">
      <c r="A47">
        <v>0</v>
      </c>
      <c r="B47">
        <v>0</v>
      </c>
      <c r="C47">
        <v>0</v>
      </c>
      <c r="D47">
        <v>0</v>
      </c>
      <c r="E47">
        <v>0</v>
      </c>
      <c r="F47">
        <v>0</v>
      </c>
      <c r="G47">
        <v>0</v>
      </c>
      <c r="H47">
        <v>0</v>
      </c>
      <c r="I47">
        <v>0</v>
      </c>
      <c r="J47">
        <v>0</v>
      </c>
      <c r="K47">
        <v>0</v>
      </c>
      <c r="L47">
        <v>0</v>
      </c>
      <c r="M47">
        <v>0</v>
      </c>
      <c r="N47">
        <v>0</v>
      </c>
      <c r="O47">
        <v>0</v>
      </c>
      <c r="P47">
        <v>0</v>
      </c>
      <c r="Q47">
        <v>0</v>
      </c>
      <c r="R47">
        <v>0</v>
      </c>
      <c r="S47">
        <v>0</v>
      </c>
      <c r="T47">
        <v>0</v>
      </c>
      <c r="U47">
        <v>0</v>
      </c>
      <c r="V47">
        <v>0</v>
      </c>
      <c r="W47">
        <v>0</v>
      </c>
      <c r="X47">
        <v>0</v>
      </c>
      <c r="Y47">
        <v>0</v>
      </c>
      <c r="Z47">
        <v>0</v>
      </c>
      <c r="AA47">
        <v>0</v>
      </c>
      <c r="AB47">
        <v>0</v>
      </c>
      <c r="AC47">
        <v>0</v>
      </c>
      <c r="AD47">
        <v>0</v>
      </c>
      <c r="AF47">
        <v>0</v>
      </c>
      <c r="AG47">
        <v>0</v>
      </c>
      <c r="AH47">
        <v>0</v>
      </c>
      <c r="AI47">
        <v>0</v>
      </c>
      <c r="AJ47">
        <v>0</v>
      </c>
      <c r="AK47">
        <v>0</v>
      </c>
      <c r="AL47">
        <v>0</v>
      </c>
      <c r="AM47">
        <v>0</v>
      </c>
      <c r="AN47">
        <v>0</v>
      </c>
      <c r="AO47">
        <v>0</v>
      </c>
      <c r="AP47">
        <v>0</v>
      </c>
      <c r="AQ47">
        <v>0</v>
      </c>
      <c r="AR47">
        <v>0</v>
      </c>
      <c r="AS47">
        <v>0</v>
      </c>
      <c r="AT47">
        <v>0</v>
      </c>
      <c r="AU47">
        <v>0</v>
      </c>
      <c r="AV47">
        <v>0</v>
      </c>
      <c r="AW47">
        <v>0</v>
      </c>
      <c r="AX47">
        <v>0</v>
      </c>
      <c r="AY47">
        <v>0</v>
      </c>
      <c r="AZ47">
        <v>0</v>
      </c>
      <c r="BA47">
        <v>0</v>
      </c>
      <c r="BB47">
        <v>0</v>
      </c>
      <c r="BC47">
        <v>0</v>
      </c>
      <c r="BD47">
        <v>0</v>
      </c>
      <c r="BE47">
        <v>0</v>
      </c>
      <c r="BF47">
        <v>0</v>
      </c>
      <c r="BG47">
        <v>0</v>
      </c>
      <c r="BH47">
        <v>0</v>
      </c>
      <c r="BI47">
        <v>0</v>
      </c>
      <c r="BK47" s="151"/>
      <c r="BL47" s="68">
        <f t="shared" si="1"/>
        <v>0.46000000000000024</v>
      </c>
      <c r="BM47" s="852">
        <f ca="1">_xlfn.PERCENTILE.EXC(OFFSET('4.2.3 Monte Carlo resultater'!$A$2,0,'4.2.2 Monte Carlo-simulering'!$AB$16-1,'4.2.2 Monte Carlo-simulering'!$AB$17,1),BL47)</f>
        <v>0</v>
      </c>
      <c r="BN47" s="823"/>
      <c r="BO47" s="823"/>
      <c r="BP47" s="823"/>
      <c r="BQ47" s="929" t="str">
        <f ca="1">IFERROR(IF(COUNTA($BQ$2:BQ46)=$BU$2,"-∞",BQ46+$BU$4),"-")</f>
        <v>-</v>
      </c>
      <c r="BR47" s="68" cm="1">
        <f t="array" aca="1" ref="BR47" ca="1">(COUNTIF(MonteCarlo_Figurer_Valgt_Serie,"&gt;="&amp;BQ47)-COUNTIF(MonteCarlo_Figurer_Valgt_Serie,"&gt;="&amp;BQ48))/'4.2.2 Monte Carlo-simulering'!$AB$17</f>
        <v>0</v>
      </c>
      <c r="BS47" s="823"/>
      <c r="BT47" s="823"/>
      <c r="BU47" s="823"/>
      <c r="BV47" s="823"/>
      <c r="BW47" s="823"/>
      <c r="BX47" s="823"/>
      <c r="BY47" s="823"/>
      <c r="BZ47" s="823"/>
    </row>
    <row r="48" spans="1:78" x14ac:dyDescent="0.35">
      <c r="A48">
        <v>0</v>
      </c>
      <c r="B48">
        <v>0</v>
      </c>
      <c r="C48">
        <v>0</v>
      </c>
      <c r="D48">
        <v>0</v>
      </c>
      <c r="E48">
        <v>0</v>
      </c>
      <c r="F48">
        <v>0</v>
      </c>
      <c r="G48">
        <v>0</v>
      </c>
      <c r="H48">
        <v>0</v>
      </c>
      <c r="I48">
        <v>0</v>
      </c>
      <c r="J48">
        <v>0</v>
      </c>
      <c r="K48">
        <v>0</v>
      </c>
      <c r="L48">
        <v>0</v>
      </c>
      <c r="M48">
        <v>0</v>
      </c>
      <c r="N48">
        <v>0</v>
      </c>
      <c r="O48">
        <v>0</v>
      </c>
      <c r="P48">
        <v>0</v>
      </c>
      <c r="Q48">
        <v>0</v>
      </c>
      <c r="R48">
        <v>0</v>
      </c>
      <c r="S48">
        <v>0</v>
      </c>
      <c r="T48">
        <v>0</v>
      </c>
      <c r="U48">
        <v>0</v>
      </c>
      <c r="V48">
        <v>0</v>
      </c>
      <c r="W48">
        <v>0</v>
      </c>
      <c r="X48">
        <v>0</v>
      </c>
      <c r="Y48">
        <v>0</v>
      </c>
      <c r="Z48">
        <v>0</v>
      </c>
      <c r="AA48">
        <v>0</v>
      </c>
      <c r="AB48">
        <v>0</v>
      </c>
      <c r="AC48">
        <v>0</v>
      </c>
      <c r="AD48">
        <v>0</v>
      </c>
      <c r="AF48">
        <v>0</v>
      </c>
      <c r="AG48">
        <v>0</v>
      </c>
      <c r="AH48">
        <v>0</v>
      </c>
      <c r="AI48">
        <v>0</v>
      </c>
      <c r="AJ48">
        <v>0</v>
      </c>
      <c r="AK48">
        <v>0</v>
      </c>
      <c r="AL48">
        <v>0</v>
      </c>
      <c r="AM48">
        <v>0</v>
      </c>
      <c r="AN48">
        <v>0</v>
      </c>
      <c r="AO48">
        <v>0</v>
      </c>
      <c r="AP48">
        <v>0</v>
      </c>
      <c r="AQ48">
        <v>0</v>
      </c>
      <c r="AR48">
        <v>0</v>
      </c>
      <c r="AS48">
        <v>0</v>
      </c>
      <c r="AT48">
        <v>0</v>
      </c>
      <c r="AU48">
        <v>0</v>
      </c>
      <c r="AV48">
        <v>0</v>
      </c>
      <c r="AW48">
        <v>0</v>
      </c>
      <c r="AX48">
        <v>0</v>
      </c>
      <c r="AY48">
        <v>0</v>
      </c>
      <c r="AZ48">
        <v>0</v>
      </c>
      <c r="BA48">
        <v>0</v>
      </c>
      <c r="BB48">
        <v>0</v>
      </c>
      <c r="BC48">
        <v>0</v>
      </c>
      <c r="BD48">
        <v>0</v>
      </c>
      <c r="BE48">
        <v>0</v>
      </c>
      <c r="BF48">
        <v>0</v>
      </c>
      <c r="BG48">
        <v>0</v>
      </c>
      <c r="BH48">
        <v>0</v>
      </c>
      <c r="BI48">
        <v>0</v>
      </c>
      <c r="BK48" s="151"/>
      <c r="BL48" s="68">
        <f t="shared" si="1"/>
        <v>0.47000000000000025</v>
      </c>
      <c r="BM48" s="852">
        <f ca="1">_xlfn.PERCENTILE.EXC(OFFSET('4.2.3 Monte Carlo resultater'!$A$2,0,'4.2.2 Monte Carlo-simulering'!$AB$16-1,'4.2.2 Monte Carlo-simulering'!$AB$17,1),BL48)</f>
        <v>0</v>
      </c>
      <c r="BN48" s="823"/>
      <c r="BO48" s="823"/>
      <c r="BP48" s="823"/>
      <c r="BQ48" s="929" t="str">
        <f ca="1">IFERROR(IF(COUNTA($BQ$2:BQ47)=$BU$2,"-∞",BQ47+$BU$4),"-")</f>
        <v>-</v>
      </c>
      <c r="BR48" s="68" cm="1">
        <f t="array" aca="1" ref="BR48" ca="1">(COUNTIF(MonteCarlo_Figurer_Valgt_Serie,"&gt;="&amp;BQ48)-COUNTIF(MonteCarlo_Figurer_Valgt_Serie,"&gt;="&amp;BQ49))/'4.2.2 Monte Carlo-simulering'!$AB$17</f>
        <v>0</v>
      </c>
      <c r="BS48" s="823"/>
      <c r="BT48" s="823"/>
      <c r="BU48" s="823"/>
      <c r="BV48" s="823"/>
      <c r="BW48" s="823"/>
      <c r="BX48" s="823"/>
      <c r="BY48" s="823"/>
      <c r="BZ48" s="823"/>
    </row>
    <row r="49" spans="1:78" x14ac:dyDescent="0.35">
      <c r="A49">
        <v>0</v>
      </c>
      <c r="B49">
        <v>0</v>
      </c>
      <c r="C49">
        <v>0</v>
      </c>
      <c r="D49">
        <v>0</v>
      </c>
      <c r="E49">
        <v>0</v>
      </c>
      <c r="F49">
        <v>0</v>
      </c>
      <c r="G49">
        <v>0</v>
      </c>
      <c r="H49">
        <v>0</v>
      </c>
      <c r="I49">
        <v>0</v>
      </c>
      <c r="J49">
        <v>0</v>
      </c>
      <c r="K49">
        <v>0</v>
      </c>
      <c r="L49">
        <v>0</v>
      </c>
      <c r="M49">
        <v>0</v>
      </c>
      <c r="N49">
        <v>0</v>
      </c>
      <c r="O49">
        <v>0</v>
      </c>
      <c r="P49">
        <v>0</v>
      </c>
      <c r="Q49">
        <v>0</v>
      </c>
      <c r="R49">
        <v>0</v>
      </c>
      <c r="S49">
        <v>0</v>
      </c>
      <c r="T49">
        <v>0</v>
      </c>
      <c r="U49">
        <v>0</v>
      </c>
      <c r="V49">
        <v>0</v>
      </c>
      <c r="W49">
        <v>0</v>
      </c>
      <c r="X49">
        <v>0</v>
      </c>
      <c r="Y49">
        <v>0</v>
      </c>
      <c r="Z49">
        <v>0</v>
      </c>
      <c r="AA49">
        <v>0</v>
      </c>
      <c r="AB49">
        <v>0</v>
      </c>
      <c r="AC49">
        <v>0</v>
      </c>
      <c r="AD49">
        <v>0</v>
      </c>
      <c r="AF49">
        <v>0</v>
      </c>
      <c r="AG49">
        <v>0</v>
      </c>
      <c r="AH49">
        <v>0</v>
      </c>
      <c r="AI49">
        <v>0</v>
      </c>
      <c r="AJ49">
        <v>0</v>
      </c>
      <c r="AK49">
        <v>0</v>
      </c>
      <c r="AL49">
        <v>0</v>
      </c>
      <c r="AM49">
        <v>0</v>
      </c>
      <c r="AN49">
        <v>0</v>
      </c>
      <c r="AO49">
        <v>0</v>
      </c>
      <c r="AP49">
        <v>0</v>
      </c>
      <c r="AQ49">
        <v>0</v>
      </c>
      <c r="AR49">
        <v>0</v>
      </c>
      <c r="AS49">
        <v>0</v>
      </c>
      <c r="AT49">
        <v>0</v>
      </c>
      <c r="AU49">
        <v>0</v>
      </c>
      <c r="AV49">
        <v>0</v>
      </c>
      <c r="AW49">
        <v>0</v>
      </c>
      <c r="AX49">
        <v>0</v>
      </c>
      <c r="AY49">
        <v>0</v>
      </c>
      <c r="AZ49">
        <v>0</v>
      </c>
      <c r="BA49">
        <v>0</v>
      </c>
      <c r="BB49">
        <v>0</v>
      </c>
      <c r="BC49">
        <v>0</v>
      </c>
      <c r="BD49">
        <v>0</v>
      </c>
      <c r="BE49">
        <v>0</v>
      </c>
      <c r="BF49">
        <v>0</v>
      </c>
      <c r="BG49">
        <v>0</v>
      </c>
      <c r="BH49">
        <v>0</v>
      </c>
      <c r="BI49">
        <v>0</v>
      </c>
      <c r="BK49" s="151"/>
      <c r="BL49" s="68">
        <f t="shared" si="1"/>
        <v>0.48000000000000026</v>
      </c>
      <c r="BM49" s="852">
        <f ca="1">_xlfn.PERCENTILE.EXC(OFFSET('4.2.3 Monte Carlo resultater'!$A$2,0,'4.2.2 Monte Carlo-simulering'!$AB$16-1,'4.2.2 Monte Carlo-simulering'!$AB$17,1),BL49)</f>
        <v>0</v>
      </c>
      <c r="BN49" s="823"/>
      <c r="BO49" s="823"/>
      <c r="BP49" s="823"/>
      <c r="BQ49" s="929" t="str">
        <f ca="1">IFERROR(IF(COUNTA($BQ$2:BQ48)=$BU$2,"-∞",BQ48+$BU$4),"-")</f>
        <v>-</v>
      </c>
      <c r="BR49" s="68" cm="1">
        <f t="array" aca="1" ref="BR49" ca="1">(COUNTIF(MonteCarlo_Figurer_Valgt_Serie,"&gt;="&amp;BQ49)-COUNTIF(MonteCarlo_Figurer_Valgt_Serie,"&gt;="&amp;BQ50))/'4.2.2 Monte Carlo-simulering'!$AB$17</f>
        <v>0</v>
      </c>
      <c r="BS49" s="823"/>
      <c r="BT49" s="823"/>
      <c r="BU49" s="823"/>
      <c r="BV49" s="823"/>
      <c r="BW49" s="823"/>
      <c r="BX49" s="823"/>
      <c r="BY49" s="823"/>
      <c r="BZ49" s="823"/>
    </row>
    <row r="50" spans="1:78" x14ac:dyDescent="0.35">
      <c r="A50">
        <v>0</v>
      </c>
      <c r="B50">
        <v>0</v>
      </c>
      <c r="C50">
        <v>0</v>
      </c>
      <c r="D50">
        <v>0</v>
      </c>
      <c r="E50">
        <v>0</v>
      </c>
      <c r="F50">
        <v>0</v>
      </c>
      <c r="G50">
        <v>0</v>
      </c>
      <c r="H50">
        <v>0</v>
      </c>
      <c r="I50">
        <v>0</v>
      </c>
      <c r="J50">
        <v>0</v>
      </c>
      <c r="K50">
        <v>0</v>
      </c>
      <c r="L50">
        <v>0</v>
      </c>
      <c r="M50">
        <v>0</v>
      </c>
      <c r="N50">
        <v>0</v>
      </c>
      <c r="O50">
        <v>0</v>
      </c>
      <c r="P50">
        <v>0</v>
      </c>
      <c r="Q50">
        <v>0</v>
      </c>
      <c r="R50">
        <v>0</v>
      </c>
      <c r="S50">
        <v>0</v>
      </c>
      <c r="T50">
        <v>0</v>
      </c>
      <c r="U50">
        <v>0</v>
      </c>
      <c r="V50">
        <v>0</v>
      </c>
      <c r="W50">
        <v>0</v>
      </c>
      <c r="X50">
        <v>0</v>
      </c>
      <c r="Y50">
        <v>0</v>
      </c>
      <c r="Z50">
        <v>0</v>
      </c>
      <c r="AA50">
        <v>0</v>
      </c>
      <c r="AB50">
        <v>0</v>
      </c>
      <c r="AC50">
        <v>0</v>
      </c>
      <c r="AD50">
        <v>0</v>
      </c>
      <c r="AF50">
        <v>0</v>
      </c>
      <c r="AG50">
        <v>0</v>
      </c>
      <c r="AH50">
        <v>0</v>
      </c>
      <c r="AI50">
        <v>0</v>
      </c>
      <c r="AJ50">
        <v>0</v>
      </c>
      <c r="AK50">
        <v>0</v>
      </c>
      <c r="AL50">
        <v>0</v>
      </c>
      <c r="AM50">
        <v>0</v>
      </c>
      <c r="AN50">
        <v>0</v>
      </c>
      <c r="AO50">
        <v>0</v>
      </c>
      <c r="AP50">
        <v>0</v>
      </c>
      <c r="AQ50">
        <v>0</v>
      </c>
      <c r="AR50">
        <v>0</v>
      </c>
      <c r="AS50">
        <v>0</v>
      </c>
      <c r="AT50">
        <v>0</v>
      </c>
      <c r="AU50">
        <v>0</v>
      </c>
      <c r="AV50">
        <v>0</v>
      </c>
      <c r="AW50">
        <v>0</v>
      </c>
      <c r="AX50">
        <v>0</v>
      </c>
      <c r="AY50">
        <v>0</v>
      </c>
      <c r="AZ50">
        <v>0</v>
      </c>
      <c r="BA50">
        <v>0</v>
      </c>
      <c r="BB50">
        <v>0</v>
      </c>
      <c r="BC50">
        <v>0</v>
      </c>
      <c r="BD50">
        <v>0</v>
      </c>
      <c r="BE50">
        <v>0</v>
      </c>
      <c r="BF50">
        <v>0</v>
      </c>
      <c r="BG50">
        <v>0</v>
      </c>
      <c r="BH50">
        <v>0</v>
      </c>
      <c r="BI50">
        <v>0</v>
      </c>
      <c r="BK50" s="151"/>
      <c r="BL50" s="68">
        <f t="shared" si="1"/>
        <v>0.49000000000000027</v>
      </c>
      <c r="BM50" s="852">
        <f ca="1">_xlfn.PERCENTILE.EXC(OFFSET('4.2.3 Monte Carlo resultater'!$A$2,0,'4.2.2 Monte Carlo-simulering'!$AB$16-1,'4.2.2 Monte Carlo-simulering'!$AB$17,1),BL50)</f>
        <v>0</v>
      </c>
      <c r="BN50" s="823"/>
      <c r="BO50" s="823"/>
      <c r="BP50" s="823"/>
      <c r="BQ50" s="929" t="str">
        <f ca="1">IFERROR(IF(COUNTA($BQ$2:BQ49)=$BU$2,"-∞",BQ49+$BU$4),"-")</f>
        <v>-</v>
      </c>
      <c r="BR50" s="68" cm="1">
        <f t="array" aca="1" ref="BR50" ca="1">(COUNTIF(MonteCarlo_Figurer_Valgt_Serie,"&gt;="&amp;BQ50)-COUNTIF(MonteCarlo_Figurer_Valgt_Serie,"&gt;="&amp;BQ51))/'4.2.2 Monte Carlo-simulering'!$AB$17</f>
        <v>0</v>
      </c>
      <c r="BS50" s="823"/>
      <c r="BT50" s="823"/>
      <c r="BU50" s="823"/>
      <c r="BV50" s="823"/>
      <c r="BW50" s="823"/>
      <c r="BX50" s="823"/>
      <c r="BY50" s="823"/>
      <c r="BZ50" s="823"/>
    </row>
    <row r="51" spans="1:78" x14ac:dyDescent="0.35">
      <c r="A51">
        <v>0</v>
      </c>
      <c r="B51">
        <v>0</v>
      </c>
      <c r="C51">
        <v>0</v>
      </c>
      <c r="D51">
        <v>0</v>
      </c>
      <c r="E51">
        <v>0</v>
      </c>
      <c r="F51">
        <v>0</v>
      </c>
      <c r="G51">
        <v>0</v>
      </c>
      <c r="H51">
        <v>0</v>
      </c>
      <c r="I51">
        <v>0</v>
      </c>
      <c r="J51">
        <v>0</v>
      </c>
      <c r="K51">
        <v>0</v>
      </c>
      <c r="L51">
        <v>0</v>
      </c>
      <c r="M51">
        <v>0</v>
      </c>
      <c r="N51">
        <v>0</v>
      </c>
      <c r="O51">
        <v>0</v>
      </c>
      <c r="P51">
        <v>0</v>
      </c>
      <c r="Q51">
        <v>0</v>
      </c>
      <c r="R51">
        <v>0</v>
      </c>
      <c r="S51">
        <v>0</v>
      </c>
      <c r="T51">
        <v>0</v>
      </c>
      <c r="U51">
        <v>0</v>
      </c>
      <c r="V51">
        <v>0</v>
      </c>
      <c r="W51">
        <v>0</v>
      </c>
      <c r="X51">
        <v>0</v>
      </c>
      <c r="Y51">
        <v>0</v>
      </c>
      <c r="Z51">
        <v>0</v>
      </c>
      <c r="AA51">
        <v>0</v>
      </c>
      <c r="AB51">
        <v>0</v>
      </c>
      <c r="AC51">
        <v>0</v>
      </c>
      <c r="AD51">
        <v>0</v>
      </c>
      <c r="AF51">
        <v>0</v>
      </c>
      <c r="AG51">
        <v>0</v>
      </c>
      <c r="AH51">
        <v>0</v>
      </c>
      <c r="AI51">
        <v>0</v>
      </c>
      <c r="AJ51">
        <v>0</v>
      </c>
      <c r="AK51">
        <v>0</v>
      </c>
      <c r="AL51">
        <v>0</v>
      </c>
      <c r="AM51">
        <v>0</v>
      </c>
      <c r="AN51">
        <v>0</v>
      </c>
      <c r="AO51">
        <v>0</v>
      </c>
      <c r="AP51">
        <v>0</v>
      </c>
      <c r="AQ51">
        <v>0</v>
      </c>
      <c r="AR51">
        <v>0</v>
      </c>
      <c r="AS51">
        <v>0</v>
      </c>
      <c r="AT51">
        <v>0</v>
      </c>
      <c r="AU51">
        <v>0</v>
      </c>
      <c r="AV51">
        <v>0</v>
      </c>
      <c r="AW51">
        <v>0</v>
      </c>
      <c r="AX51">
        <v>0</v>
      </c>
      <c r="AY51">
        <v>0</v>
      </c>
      <c r="AZ51">
        <v>0</v>
      </c>
      <c r="BA51">
        <v>0</v>
      </c>
      <c r="BB51">
        <v>0</v>
      </c>
      <c r="BC51">
        <v>0</v>
      </c>
      <c r="BD51">
        <v>0</v>
      </c>
      <c r="BE51">
        <v>0</v>
      </c>
      <c r="BF51">
        <v>0</v>
      </c>
      <c r="BG51">
        <v>0</v>
      </c>
      <c r="BH51">
        <v>0</v>
      </c>
      <c r="BI51">
        <v>0</v>
      </c>
      <c r="BK51" s="151"/>
      <c r="BL51" s="68">
        <f t="shared" si="1"/>
        <v>0.50000000000000022</v>
      </c>
      <c r="BM51" s="852">
        <f ca="1">_xlfn.PERCENTILE.EXC(OFFSET('4.2.3 Monte Carlo resultater'!$A$2,0,'4.2.2 Monte Carlo-simulering'!$AB$16-1,'4.2.2 Monte Carlo-simulering'!$AB$17,1),BL51)</f>
        <v>0</v>
      </c>
      <c r="BN51" s="823"/>
      <c r="BO51" s="823"/>
      <c r="BP51" s="823"/>
      <c r="BQ51" s="929" t="str">
        <f ca="1">IFERROR(IF(COUNTA($BQ$2:BQ50)=$BU$2,"-∞",BQ50+$BU$4),"-")</f>
        <v>-</v>
      </c>
      <c r="BR51" s="68" cm="1">
        <f t="array" aca="1" ref="BR51" ca="1">(COUNTIF(MonteCarlo_Figurer_Valgt_Serie,"&gt;="&amp;BQ51)-COUNTIF(MonteCarlo_Figurer_Valgt_Serie,"&gt;="&amp;BR52))/'4.2.2 Monte Carlo-simulering'!$AB$17</f>
        <v>0</v>
      </c>
      <c r="BS51" s="823"/>
      <c r="BT51" s="823"/>
      <c r="BU51" s="823"/>
      <c r="BV51" s="823"/>
      <c r="BW51" s="823"/>
      <c r="BX51" s="823"/>
      <c r="BY51" s="823"/>
      <c r="BZ51" s="823"/>
    </row>
    <row r="52" spans="1:78" x14ac:dyDescent="0.35">
      <c r="A52">
        <v>0</v>
      </c>
      <c r="B52">
        <v>0</v>
      </c>
      <c r="C52">
        <v>0</v>
      </c>
      <c r="D52">
        <v>0</v>
      </c>
      <c r="E52">
        <v>0</v>
      </c>
      <c r="F52">
        <v>0</v>
      </c>
      <c r="G52">
        <v>0</v>
      </c>
      <c r="H52">
        <v>0</v>
      </c>
      <c r="I52">
        <v>0</v>
      </c>
      <c r="J52">
        <v>0</v>
      </c>
      <c r="K52">
        <v>0</v>
      </c>
      <c r="L52">
        <v>0</v>
      </c>
      <c r="M52">
        <v>0</v>
      </c>
      <c r="N52">
        <v>0</v>
      </c>
      <c r="O52">
        <v>0</v>
      </c>
      <c r="P52">
        <v>0</v>
      </c>
      <c r="Q52">
        <v>0</v>
      </c>
      <c r="R52">
        <v>0</v>
      </c>
      <c r="S52">
        <v>0</v>
      </c>
      <c r="T52">
        <v>0</v>
      </c>
      <c r="U52">
        <v>0</v>
      </c>
      <c r="V52">
        <v>0</v>
      </c>
      <c r="W52">
        <v>0</v>
      </c>
      <c r="X52">
        <v>0</v>
      </c>
      <c r="Y52">
        <v>0</v>
      </c>
      <c r="Z52">
        <v>0</v>
      </c>
      <c r="AA52">
        <v>0</v>
      </c>
      <c r="AB52">
        <v>0</v>
      </c>
      <c r="AC52">
        <v>0</v>
      </c>
      <c r="AD52">
        <v>0</v>
      </c>
      <c r="AF52">
        <v>0</v>
      </c>
      <c r="AG52">
        <v>0</v>
      </c>
      <c r="AH52">
        <v>0</v>
      </c>
      <c r="AI52">
        <v>0</v>
      </c>
      <c r="AJ52">
        <v>0</v>
      </c>
      <c r="AK52">
        <v>0</v>
      </c>
      <c r="AL52">
        <v>0</v>
      </c>
      <c r="AM52">
        <v>0</v>
      </c>
      <c r="AN52">
        <v>0</v>
      </c>
      <c r="AO52">
        <v>0</v>
      </c>
      <c r="AP52">
        <v>0</v>
      </c>
      <c r="AQ52">
        <v>0</v>
      </c>
      <c r="AR52">
        <v>0</v>
      </c>
      <c r="AS52">
        <v>0</v>
      </c>
      <c r="AT52">
        <v>0</v>
      </c>
      <c r="AU52">
        <v>0</v>
      </c>
      <c r="AV52">
        <v>0</v>
      </c>
      <c r="AW52">
        <v>0</v>
      </c>
      <c r="AX52">
        <v>0</v>
      </c>
      <c r="AY52">
        <v>0</v>
      </c>
      <c r="AZ52">
        <v>0</v>
      </c>
      <c r="BA52">
        <v>0</v>
      </c>
      <c r="BB52">
        <v>0</v>
      </c>
      <c r="BC52">
        <v>0</v>
      </c>
      <c r="BD52">
        <v>0</v>
      </c>
      <c r="BE52">
        <v>0</v>
      </c>
      <c r="BF52">
        <v>0</v>
      </c>
      <c r="BG52">
        <v>0</v>
      </c>
      <c r="BH52">
        <v>0</v>
      </c>
      <c r="BI52">
        <v>0</v>
      </c>
      <c r="BK52" s="151"/>
      <c r="BL52" s="68">
        <f t="shared" si="1"/>
        <v>0.51000000000000023</v>
      </c>
      <c r="BM52" s="852">
        <f ca="1">_xlfn.PERCENTILE.EXC(OFFSET('4.2.3 Monte Carlo resultater'!$A$2,0,'4.2.2 Monte Carlo-simulering'!$AB$16-1,'4.2.2 Monte Carlo-simulering'!$AB$17,1),BL52)</f>
        <v>0</v>
      </c>
      <c r="BN52" s="823"/>
      <c r="BO52" s="823"/>
      <c r="BP52" s="823"/>
      <c r="BQ52" s="823"/>
      <c r="BR52" s="823"/>
      <c r="BS52" s="823"/>
      <c r="BT52" s="823"/>
      <c r="BU52" s="823"/>
      <c r="BV52" s="823"/>
      <c r="BW52" s="823"/>
      <c r="BX52" s="823"/>
      <c r="BY52" s="823"/>
      <c r="BZ52" s="823"/>
    </row>
    <row r="53" spans="1:78" x14ac:dyDescent="0.35">
      <c r="A53">
        <v>0</v>
      </c>
      <c r="B53">
        <v>0</v>
      </c>
      <c r="C53">
        <v>0</v>
      </c>
      <c r="D53">
        <v>0</v>
      </c>
      <c r="E53">
        <v>0</v>
      </c>
      <c r="F53">
        <v>0</v>
      </c>
      <c r="G53">
        <v>0</v>
      </c>
      <c r="H53">
        <v>0</v>
      </c>
      <c r="I53">
        <v>0</v>
      </c>
      <c r="J53">
        <v>0</v>
      </c>
      <c r="K53">
        <v>0</v>
      </c>
      <c r="L53">
        <v>0</v>
      </c>
      <c r="M53">
        <v>0</v>
      </c>
      <c r="N53">
        <v>0</v>
      </c>
      <c r="O53">
        <v>0</v>
      </c>
      <c r="P53">
        <v>0</v>
      </c>
      <c r="Q53">
        <v>0</v>
      </c>
      <c r="R53">
        <v>0</v>
      </c>
      <c r="S53">
        <v>0</v>
      </c>
      <c r="T53">
        <v>0</v>
      </c>
      <c r="U53">
        <v>0</v>
      </c>
      <c r="V53">
        <v>0</v>
      </c>
      <c r="W53">
        <v>0</v>
      </c>
      <c r="X53">
        <v>0</v>
      </c>
      <c r="Y53">
        <v>0</v>
      </c>
      <c r="Z53">
        <v>0</v>
      </c>
      <c r="AA53">
        <v>0</v>
      </c>
      <c r="AB53">
        <v>0</v>
      </c>
      <c r="AC53">
        <v>0</v>
      </c>
      <c r="AD53">
        <v>0</v>
      </c>
      <c r="AF53">
        <v>0</v>
      </c>
      <c r="AG53">
        <v>0</v>
      </c>
      <c r="AH53">
        <v>0</v>
      </c>
      <c r="AI53">
        <v>0</v>
      </c>
      <c r="AJ53">
        <v>0</v>
      </c>
      <c r="AK53">
        <v>0</v>
      </c>
      <c r="AL53">
        <v>0</v>
      </c>
      <c r="AM53">
        <v>0</v>
      </c>
      <c r="AN53">
        <v>0</v>
      </c>
      <c r="AO53">
        <v>0</v>
      </c>
      <c r="AP53">
        <v>0</v>
      </c>
      <c r="AQ53">
        <v>0</v>
      </c>
      <c r="AR53">
        <v>0</v>
      </c>
      <c r="AS53">
        <v>0</v>
      </c>
      <c r="AT53">
        <v>0</v>
      </c>
      <c r="AU53">
        <v>0</v>
      </c>
      <c r="AV53">
        <v>0</v>
      </c>
      <c r="AW53">
        <v>0</v>
      </c>
      <c r="AX53">
        <v>0</v>
      </c>
      <c r="AY53">
        <v>0</v>
      </c>
      <c r="AZ53">
        <v>0</v>
      </c>
      <c r="BA53">
        <v>0</v>
      </c>
      <c r="BB53">
        <v>0</v>
      </c>
      <c r="BC53">
        <v>0</v>
      </c>
      <c r="BD53">
        <v>0</v>
      </c>
      <c r="BE53">
        <v>0</v>
      </c>
      <c r="BF53">
        <v>0</v>
      </c>
      <c r="BG53">
        <v>0</v>
      </c>
      <c r="BH53">
        <v>0</v>
      </c>
      <c r="BI53">
        <v>0</v>
      </c>
      <c r="BK53" s="151"/>
      <c r="BL53" s="68">
        <f t="shared" si="1"/>
        <v>0.52000000000000024</v>
      </c>
      <c r="BM53" s="852">
        <f ca="1">_xlfn.PERCENTILE.EXC(OFFSET('4.2.3 Monte Carlo resultater'!$A$2,0,'4.2.2 Monte Carlo-simulering'!$AB$16-1,'4.2.2 Monte Carlo-simulering'!$AB$17,1),BL53)</f>
        <v>0</v>
      </c>
      <c r="BN53" s="823"/>
      <c r="BO53" s="823"/>
      <c r="BP53" s="823"/>
      <c r="BQ53" s="823"/>
      <c r="BR53" s="823"/>
      <c r="BS53" s="823"/>
      <c r="BT53" s="823"/>
      <c r="BU53" s="823"/>
      <c r="BV53" s="823"/>
      <c r="BW53" s="823"/>
      <c r="BX53" s="823"/>
      <c r="BY53" s="823"/>
      <c r="BZ53" s="823"/>
    </row>
    <row r="54" spans="1:78" x14ac:dyDescent="0.35">
      <c r="A54">
        <v>0</v>
      </c>
      <c r="B54">
        <v>0</v>
      </c>
      <c r="C54">
        <v>0</v>
      </c>
      <c r="D54">
        <v>0</v>
      </c>
      <c r="E54">
        <v>0</v>
      </c>
      <c r="F54">
        <v>0</v>
      </c>
      <c r="G54">
        <v>0</v>
      </c>
      <c r="H54">
        <v>0</v>
      </c>
      <c r="I54">
        <v>0</v>
      </c>
      <c r="J54">
        <v>0</v>
      </c>
      <c r="K54">
        <v>0</v>
      </c>
      <c r="L54">
        <v>0</v>
      </c>
      <c r="M54">
        <v>0</v>
      </c>
      <c r="N54">
        <v>0</v>
      </c>
      <c r="O54">
        <v>0</v>
      </c>
      <c r="P54">
        <v>0</v>
      </c>
      <c r="Q54">
        <v>0</v>
      </c>
      <c r="R54">
        <v>0</v>
      </c>
      <c r="S54">
        <v>0</v>
      </c>
      <c r="T54">
        <v>0</v>
      </c>
      <c r="U54">
        <v>0</v>
      </c>
      <c r="V54">
        <v>0</v>
      </c>
      <c r="W54">
        <v>0</v>
      </c>
      <c r="X54">
        <v>0</v>
      </c>
      <c r="Y54">
        <v>0</v>
      </c>
      <c r="Z54">
        <v>0</v>
      </c>
      <c r="AA54">
        <v>0</v>
      </c>
      <c r="AB54">
        <v>0</v>
      </c>
      <c r="AC54">
        <v>0</v>
      </c>
      <c r="AD54">
        <v>0</v>
      </c>
      <c r="AF54">
        <v>0</v>
      </c>
      <c r="AG54">
        <v>0</v>
      </c>
      <c r="AH54">
        <v>0</v>
      </c>
      <c r="AI54">
        <v>0</v>
      </c>
      <c r="AJ54">
        <v>0</v>
      </c>
      <c r="AK54">
        <v>0</v>
      </c>
      <c r="AL54">
        <v>0</v>
      </c>
      <c r="AM54">
        <v>0</v>
      </c>
      <c r="AN54">
        <v>0</v>
      </c>
      <c r="AO54">
        <v>0</v>
      </c>
      <c r="AP54">
        <v>0</v>
      </c>
      <c r="AQ54">
        <v>0</v>
      </c>
      <c r="AR54">
        <v>0</v>
      </c>
      <c r="AS54">
        <v>0</v>
      </c>
      <c r="AT54">
        <v>0</v>
      </c>
      <c r="AU54">
        <v>0</v>
      </c>
      <c r="AV54">
        <v>0</v>
      </c>
      <c r="AW54">
        <v>0</v>
      </c>
      <c r="AX54">
        <v>0</v>
      </c>
      <c r="AY54">
        <v>0</v>
      </c>
      <c r="AZ54">
        <v>0</v>
      </c>
      <c r="BA54">
        <v>0</v>
      </c>
      <c r="BB54">
        <v>0</v>
      </c>
      <c r="BC54">
        <v>0</v>
      </c>
      <c r="BD54">
        <v>0</v>
      </c>
      <c r="BE54">
        <v>0</v>
      </c>
      <c r="BF54">
        <v>0</v>
      </c>
      <c r="BG54">
        <v>0</v>
      </c>
      <c r="BH54">
        <v>0</v>
      </c>
      <c r="BI54">
        <v>0</v>
      </c>
      <c r="BK54" s="151"/>
      <c r="BL54" s="68">
        <f t="shared" si="1"/>
        <v>0.53000000000000025</v>
      </c>
      <c r="BM54" s="852">
        <f ca="1">_xlfn.PERCENTILE.EXC(OFFSET('4.2.3 Monte Carlo resultater'!$A$2,0,'4.2.2 Monte Carlo-simulering'!$AB$16-1,'4.2.2 Monte Carlo-simulering'!$AB$17,1),BL54)</f>
        <v>0</v>
      </c>
      <c r="BN54" s="823"/>
      <c r="BO54" s="823"/>
      <c r="BP54" s="823"/>
      <c r="BQ54" s="823"/>
      <c r="BR54" s="823"/>
      <c r="BS54" s="823"/>
      <c r="BT54" s="823"/>
      <c r="BU54" s="823"/>
      <c r="BV54" s="823"/>
      <c r="BW54" s="823"/>
      <c r="BX54" s="823"/>
      <c r="BY54" s="823"/>
      <c r="BZ54" s="823"/>
    </row>
    <row r="55" spans="1:78" x14ac:dyDescent="0.35">
      <c r="A55">
        <v>0</v>
      </c>
      <c r="B55">
        <v>0</v>
      </c>
      <c r="C55">
        <v>0</v>
      </c>
      <c r="D55">
        <v>0</v>
      </c>
      <c r="E55">
        <v>0</v>
      </c>
      <c r="F55">
        <v>0</v>
      </c>
      <c r="G55">
        <v>0</v>
      </c>
      <c r="H55">
        <v>0</v>
      </c>
      <c r="I55">
        <v>0</v>
      </c>
      <c r="J55">
        <v>0</v>
      </c>
      <c r="K55">
        <v>0</v>
      </c>
      <c r="L55">
        <v>0</v>
      </c>
      <c r="M55">
        <v>0</v>
      </c>
      <c r="N55">
        <v>0</v>
      </c>
      <c r="O55">
        <v>0</v>
      </c>
      <c r="P55">
        <v>0</v>
      </c>
      <c r="Q55">
        <v>0</v>
      </c>
      <c r="R55">
        <v>0</v>
      </c>
      <c r="S55">
        <v>0</v>
      </c>
      <c r="T55">
        <v>0</v>
      </c>
      <c r="U55">
        <v>0</v>
      </c>
      <c r="V55">
        <v>0</v>
      </c>
      <c r="W55">
        <v>0</v>
      </c>
      <c r="X55">
        <v>0</v>
      </c>
      <c r="Y55">
        <v>0</v>
      </c>
      <c r="Z55">
        <v>0</v>
      </c>
      <c r="AA55">
        <v>0</v>
      </c>
      <c r="AB55">
        <v>0</v>
      </c>
      <c r="AC55">
        <v>0</v>
      </c>
      <c r="AD55">
        <v>0</v>
      </c>
      <c r="AF55">
        <v>0</v>
      </c>
      <c r="AG55">
        <v>0</v>
      </c>
      <c r="AH55">
        <v>0</v>
      </c>
      <c r="AI55">
        <v>0</v>
      </c>
      <c r="AJ55">
        <v>0</v>
      </c>
      <c r="AK55">
        <v>0</v>
      </c>
      <c r="AL55">
        <v>0</v>
      </c>
      <c r="AM55">
        <v>0</v>
      </c>
      <c r="AN55">
        <v>0</v>
      </c>
      <c r="AO55">
        <v>0</v>
      </c>
      <c r="AP55">
        <v>0</v>
      </c>
      <c r="AQ55">
        <v>0</v>
      </c>
      <c r="AR55">
        <v>0</v>
      </c>
      <c r="AS55">
        <v>0</v>
      </c>
      <c r="AT55">
        <v>0</v>
      </c>
      <c r="AU55">
        <v>0</v>
      </c>
      <c r="AV55">
        <v>0</v>
      </c>
      <c r="AW55">
        <v>0</v>
      </c>
      <c r="AX55">
        <v>0</v>
      </c>
      <c r="AY55">
        <v>0</v>
      </c>
      <c r="AZ55">
        <v>0</v>
      </c>
      <c r="BA55">
        <v>0</v>
      </c>
      <c r="BB55">
        <v>0</v>
      </c>
      <c r="BC55">
        <v>0</v>
      </c>
      <c r="BD55">
        <v>0</v>
      </c>
      <c r="BE55">
        <v>0</v>
      </c>
      <c r="BF55">
        <v>0</v>
      </c>
      <c r="BG55">
        <v>0</v>
      </c>
      <c r="BH55">
        <v>0</v>
      </c>
      <c r="BI55">
        <v>0</v>
      </c>
      <c r="BK55" s="151"/>
      <c r="BL55" s="68">
        <f t="shared" si="1"/>
        <v>0.54000000000000026</v>
      </c>
      <c r="BM55" s="852">
        <f ca="1">_xlfn.PERCENTILE.EXC(OFFSET('4.2.3 Monte Carlo resultater'!$A$2,0,'4.2.2 Monte Carlo-simulering'!$AB$16-1,'4.2.2 Monte Carlo-simulering'!$AB$17,1),BL55)</f>
        <v>0</v>
      </c>
      <c r="BN55" s="823"/>
      <c r="BO55" s="823"/>
      <c r="BP55" s="823"/>
      <c r="BQ55" s="823"/>
      <c r="BR55" s="823"/>
      <c r="BS55" s="823"/>
      <c r="BT55" s="823"/>
      <c r="BU55" s="823"/>
      <c r="BV55" s="823"/>
      <c r="BW55" s="823"/>
      <c r="BX55" s="823"/>
      <c r="BY55" s="823"/>
      <c r="BZ55" s="823"/>
    </row>
    <row r="56" spans="1:78" x14ac:dyDescent="0.35">
      <c r="A56">
        <v>0</v>
      </c>
      <c r="B56">
        <v>0</v>
      </c>
      <c r="C56">
        <v>0</v>
      </c>
      <c r="D56">
        <v>0</v>
      </c>
      <c r="E56">
        <v>0</v>
      </c>
      <c r="F56">
        <v>0</v>
      </c>
      <c r="G56">
        <v>0</v>
      </c>
      <c r="H56">
        <v>0</v>
      </c>
      <c r="I56">
        <v>0</v>
      </c>
      <c r="J56">
        <v>0</v>
      </c>
      <c r="K56">
        <v>0</v>
      </c>
      <c r="L56">
        <v>0</v>
      </c>
      <c r="M56">
        <v>0</v>
      </c>
      <c r="N56">
        <v>0</v>
      </c>
      <c r="O56">
        <v>0</v>
      </c>
      <c r="P56">
        <v>0</v>
      </c>
      <c r="Q56">
        <v>0</v>
      </c>
      <c r="R56">
        <v>0</v>
      </c>
      <c r="S56">
        <v>0</v>
      </c>
      <c r="T56">
        <v>0</v>
      </c>
      <c r="U56">
        <v>0</v>
      </c>
      <c r="V56">
        <v>0</v>
      </c>
      <c r="W56">
        <v>0</v>
      </c>
      <c r="X56">
        <v>0</v>
      </c>
      <c r="Y56">
        <v>0</v>
      </c>
      <c r="Z56">
        <v>0</v>
      </c>
      <c r="AA56">
        <v>0</v>
      </c>
      <c r="AB56">
        <v>0</v>
      </c>
      <c r="AC56">
        <v>0</v>
      </c>
      <c r="AD56">
        <v>0</v>
      </c>
      <c r="AF56">
        <v>0</v>
      </c>
      <c r="AG56">
        <v>0</v>
      </c>
      <c r="AH56">
        <v>0</v>
      </c>
      <c r="AI56">
        <v>0</v>
      </c>
      <c r="AJ56">
        <v>0</v>
      </c>
      <c r="AK56">
        <v>0</v>
      </c>
      <c r="AL56">
        <v>0</v>
      </c>
      <c r="AM56">
        <v>0</v>
      </c>
      <c r="AN56">
        <v>0</v>
      </c>
      <c r="AO56">
        <v>0</v>
      </c>
      <c r="AP56">
        <v>0</v>
      </c>
      <c r="AQ56">
        <v>0</v>
      </c>
      <c r="AR56">
        <v>0</v>
      </c>
      <c r="AS56">
        <v>0</v>
      </c>
      <c r="AT56">
        <v>0</v>
      </c>
      <c r="AU56">
        <v>0</v>
      </c>
      <c r="AV56">
        <v>0</v>
      </c>
      <c r="AW56">
        <v>0</v>
      </c>
      <c r="AX56">
        <v>0</v>
      </c>
      <c r="AY56">
        <v>0</v>
      </c>
      <c r="AZ56">
        <v>0</v>
      </c>
      <c r="BA56">
        <v>0</v>
      </c>
      <c r="BB56">
        <v>0</v>
      </c>
      <c r="BC56">
        <v>0</v>
      </c>
      <c r="BD56">
        <v>0</v>
      </c>
      <c r="BE56">
        <v>0</v>
      </c>
      <c r="BF56">
        <v>0</v>
      </c>
      <c r="BG56">
        <v>0</v>
      </c>
      <c r="BH56">
        <v>0</v>
      </c>
      <c r="BI56">
        <v>0</v>
      </c>
      <c r="BK56" s="151"/>
      <c r="BL56" s="68">
        <f t="shared" si="1"/>
        <v>0.55000000000000027</v>
      </c>
      <c r="BM56" s="852">
        <f ca="1">_xlfn.PERCENTILE.EXC(OFFSET('4.2.3 Monte Carlo resultater'!$A$2,0,'4.2.2 Monte Carlo-simulering'!$AB$16-1,'4.2.2 Monte Carlo-simulering'!$AB$17,1),BL56)</f>
        <v>0</v>
      </c>
      <c r="BN56" s="823"/>
      <c r="BO56" s="823"/>
      <c r="BP56" s="823"/>
      <c r="BQ56" s="823"/>
      <c r="BR56" s="823"/>
      <c r="BS56" s="823"/>
      <c r="BT56" s="823"/>
      <c r="BU56" s="823"/>
      <c r="BV56" s="823"/>
      <c r="BW56" s="823"/>
      <c r="BX56" s="823"/>
      <c r="BY56" s="823"/>
      <c r="BZ56" s="823"/>
    </row>
    <row r="57" spans="1:78" x14ac:dyDescent="0.35">
      <c r="A57">
        <v>0</v>
      </c>
      <c r="B57">
        <v>0</v>
      </c>
      <c r="C57">
        <v>0</v>
      </c>
      <c r="D57">
        <v>0</v>
      </c>
      <c r="E57">
        <v>0</v>
      </c>
      <c r="F57">
        <v>0</v>
      </c>
      <c r="G57">
        <v>0</v>
      </c>
      <c r="H57">
        <v>0</v>
      </c>
      <c r="I57">
        <v>0</v>
      </c>
      <c r="J57">
        <v>0</v>
      </c>
      <c r="K57">
        <v>0</v>
      </c>
      <c r="L57">
        <v>0</v>
      </c>
      <c r="M57">
        <v>0</v>
      </c>
      <c r="N57">
        <v>0</v>
      </c>
      <c r="O57">
        <v>0</v>
      </c>
      <c r="P57">
        <v>0</v>
      </c>
      <c r="Q57">
        <v>0</v>
      </c>
      <c r="R57">
        <v>0</v>
      </c>
      <c r="S57">
        <v>0</v>
      </c>
      <c r="T57">
        <v>0</v>
      </c>
      <c r="U57">
        <v>0</v>
      </c>
      <c r="V57">
        <v>0</v>
      </c>
      <c r="W57">
        <v>0</v>
      </c>
      <c r="X57">
        <v>0</v>
      </c>
      <c r="Y57">
        <v>0</v>
      </c>
      <c r="Z57">
        <v>0</v>
      </c>
      <c r="AA57">
        <v>0</v>
      </c>
      <c r="AB57">
        <v>0</v>
      </c>
      <c r="AC57">
        <v>0</v>
      </c>
      <c r="AD57">
        <v>0</v>
      </c>
      <c r="AF57">
        <v>0</v>
      </c>
      <c r="AG57">
        <v>0</v>
      </c>
      <c r="AH57">
        <v>0</v>
      </c>
      <c r="AI57">
        <v>0</v>
      </c>
      <c r="AJ57">
        <v>0</v>
      </c>
      <c r="AK57">
        <v>0</v>
      </c>
      <c r="AL57">
        <v>0</v>
      </c>
      <c r="AM57">
        <v>0</v>
      </c>
      <c r="AN57">
        <v>0</v>
      </c>
      <c r="AO57">
        <v>0</v>
      </c>
      <c r="AP57">
        <v>0</v>
      </c>
      <c r="AQ57">
        <v>0</v>
      </c>
      <c r="AR57">
        <v>0</v>
      </c>
      <c r="AS57">
        <v>0</v>
      </c>
      <c r="AT57">
        <v>0</v>
      </c>
      <c r="AU57">
        <v>0</v>
      </c>
      <c r="AV57">
        <v>0</v>
      </c>
      <c r="AW57">
        <v>0</v>
      </c>
      <c r="AX57">
        <v>0</v>
      </c>
      <c r="AY57">
        <v>0</v>
      </c>
      <c r="AZ57">
        <v>0</v>
      </c>
      <c r="BA57">
        <v>0</v>
      </c>
      <c r="BB57">
        <v>0</v>
      </c>
      <c r="BC57">
        <v>0</v>
      </c>
      <c r="BD57">
        <v>0</v>
      </c>
      <c r="BE57">
        <v>0</v>
      </c>
      <c r="BF57">
        <v>0</v>
      </c>
      <c r="BG57">
        <v>0</v>
      </c>
      <c r="BH57">
        <v>0</v>
      </c>
      <c r="BI57">
        <v>0</v>
      </c>
      <c r="BK57" s="151"/>
      <c r="BL57" s="68">
        <f t="shared" si="1"/>
        <v>0.56000000000000028</v>
      </c>
      <c r="BM57" s="852">
        <f ca="1">_xlfn.PERCENTILE.EXC(OFFSET('4.2.3 Monte Carlo resultater'!$A$2,0,'4.2.2 Monte Carlo-simulering'!$AB$16-1,'4.2.2 Monte Carlo-simulering'!$AB$17,1),BL57)</f>
        <v>0</v>
      </c>
      <c r="BN57" s="823"/>
      <c r="BO57" s="823"/>
      <c r="BP57" s="823"/>
      <c r="BQ57" s="823"/>
      <c r="BR57" s="823"/>
      <c r="BS57" s="823"/>
      <c r="BT57" s="823"/>
      <c r="BU57" s="823"/>
      <c r="BV57" s="823"/>
      <c r="BW57" s="823"/>
      <c r="BX57" s="823"/>
      <c r="BY57" s="823"/>
      <c r="BZ57" s="823"/>
    </row>
    <row r="58" spans="1:78" x14ac:dyDescent="0.35">
      <c r="A58">
        <v>0</v>
      </c>
      <c r="B58">
        <v>0</v>
      </c>
      <c r="C58">
        <v>0</v>
      </c>
      <c r="D58">
        <v>0</v>
      </c>
      <c r="E58">
        <v>0</v>
      </c>
      <c r="F58">
        <v>0</v>
      </c>
      <c r="G58">
        <v>0</v>
      </c>
      <c r="H58">
        <v>0</v>
      </c>
      <c r="I58">
        <v>0</v>
      </c>
      <c r="J58">
        <v>0</v>
      </c>
      <c r="K58">
        <v>0</v>
      </c>
      <c r="L58">
        <v>0</v>
      </c>
      <c r="M58">
        <v>0</v>
      </c>
      <c r="N58">
        <v>0</v>
      </c>
      <c r="O58">
        <v>0</v>
      </c>
      <c r="P58">
        <v>0</v>
      </c>
      <c r="Q58">
        <v>0</v>
      </c>
      <c r="R58">
        <v>0</v>
      </c>
      <c r="S58">
        <v>0</v>
      </c>
      <c r="T58">
        <v>0</v>
      </c>
      <c r="U58">
        <v>0</v>
      </c>
      <c r="V58">
        <v>0</v>
      </c>
      <c r="W58">
        <v>0</v>
      </c>
      <c r="X58">
        <v>0</v>
      </c>
      <c r="Y58">
        <v>0</v>
      </c>
      <c r="Z58">
        <v>0</v>
      </c>
      <c r="AA58">
        <v>0</v>
      </c>
      <c r="AB58">
        <v>0</v>
      </c>
      <c r="AC58">
        <v>0</v>
      </c>
      <c r="AD58">
        <v>0</v>
      </c>
      <c r="AF58">
        <v>0</v>
      </c>
      <c r="AG58">
        <v>0</v>
      </c>
      <c r="AH58">
        <v>0</v>
      </c>
      <c r="AI58">
        <v>0</v>
      </c>
      <c r="AJ58">
        <v>0</v>
      </c>
      <c r="AK58">
        <v>0</v>
      </c>
      <c r="AL58">
        <v>0</v>
      </c>
      <c r="AM58">
        <v>0</v>
      </c>
      <c r="AN58">
        <v>0</v>
      </c>
      <c r="AO58">
        <v>0</v>
      </c>
      <c r="AP58">
        <v>0</v>
      </c>
      <c r="AQ58">
        <v>0</v>
      </c>
      <c r="AR58">
        <v>0</v>
      </c>
      <c r="AS58">
        <v>0</v>
      </c>
      <c r="AT58">
        <v>0</v>
      </c>
      <c r="AU58">
        <v>0</v>
      </c>
      <c r="AV58">
        <v>0</v>
      </c>
      <c r="AW58">
        <v>0</v>
      </c>
      <c r="AX58">
        <v>0</v>
      </c>
      <c r="AY58">
        <v>0</v>
      </c>
      <c r="AZ58">
        <v>0</v>
      </c>
      <c r="BA58">
        <v>0</v>
      </c>
      <c r="BB58">
        <v>0</v>
      </c>
      <c r="BC58">
        <v>0</v>
      </c>
      <c r="BD58">
        <v>0</v>
      </c>
      <c r="BE58">
        <v>0</v>
      </c>
      <c r="BF58">
        <v>0</v>
      </c>
      <c r="BG58">
        <v>0</v>
      </c>
      <c r="BH58">
        <v>0</v>
      </c>
      <c r="BI58">
        <v>0</v>
      </c>
      <c r="BK58" s="151"/>
      <c r="BL58" s="68">
        <f t="shared" si="1"/>
        <v>0.57000000000000028</v>
      </c>
      <c r="BM58" s="852">
        <f ca="1">_xlfn.PERCENTILE.EXC(OFFSET('4.2.3 Monte Carlo resultater'!$A$2,0,'4.2.2 Monte Carlo-simulering'!$AB$16-1,'4.2.2 Monte Carlo-simulering'!$AB$17,1),BL58)</f>
        <v>0</v>
      </c>
      <c r="BN58" s="823"/>
      <c r="BO58" s="823"/>
      <c r="BP58" s="823"/>
      <c r="BQ58" s="823"/>
      <c r="BR58" s="823"/>
      <c r="BS58" s="823"/>
      <c r="BT58" s="823"/>
      <c r="BU58" s="823"/>
      <c r="BV58" s="823"/>
      <c r="BW58" s="823"/>
      <c r="BX58" s="823"/>
      <c r="BY58" s="823"/>
      <c r="BZ58" s="823"/>
    </row>
    <row r="59" spans="1:78" x14ac:dyDescent="0.35">
      <c r="A59">
        <v>0</v>
      </c>
      <c r="B59">
        <v>0</v>
      </c>
      <c r="C59">
        <v>0</v>
      </c>
      <c r="D59">
        <v>0</v>
      </c>
      <c r="E59">
        <v>0</v>
      </c>
      <c r="F59">
        <v>0</v>
      </c>
      <c r="G59">
        <v>0</v>
      </c>
      <c r="H59">
        <v>0</v>
      </c>
      <c r="I59">
        <v>0</v>
      </c>
      <c r="J59">
        <v>0</v>
      </c>
      <c r="K59">
        <v>0</v>
      </c>
      <c r="L59">
        <v>0</v>
      </c>
      <c r="M59">
        <v>0</v>
      </c>
      <c r="N59">
        <v>0</v>
      </c>
      <c r="O59">
        <v>0</v>
      </c>
      <c r="P59">
        <v>0</v>
      </c>
      <c r="Q59">
        <v>0</v>
      </c>
      <c r="R59">
        <v>0</v>
      </c>
      <c r="S59">
        <v>0</v>
      </c>
      <c r="T59">
        <v>0</v>
      </c>
      <c r="U59">
        <v>0</v>
      </c>
      <c r="V59">
        <v>0</v>
      </c>
      <c r="W59">
        <v>0</v>
      </c>
      <c r="X59">
        <v>0</v>
      </c>
      <c r="Y59">
        <v>0</v>
      </c>
      <c r="Z59">
        <v>0</v>
      </c>
      <c r="AA59">
        <v>0</v>
      </c>
      <c r="AB59">
        <v>0</v>
      </c>
      <c r="AC59">
        <v>0</v>
      </c>
      <c r="AD59">
        <v>0</v>
      </c>
      <c r="AF59">
        <v>0</v>
      </c>
      <c r="AG59">
        <v>0</v>
      </c>
      <c r="AH59">
        <v>0</v>
      </c>
      <c r="AI59">
        <v>0</v>
      </c>
      <c r="AJ59">
        <v>0</v>
      </c>
      <c r="AK59">
        <v>0</v>
      </c>
      <c r="AL59">
        <v>0</v>
      </c>
      <c r="AM59">
        <v>0</v>
      </c>
      <c r="AN59">
        <v>0</v>
      </c>
      <c r="AO59">
        <v>0</v>
      </c>
      <c r="AP59">
        <v>0</v>
      </c>
      <c r="AQ59">
        <v>0</v>
      </c>
      <c r="AR59">
        <v>0</v>
      </c>
      <c r="AS59">
        <v>0</v>
      </c>
      <c r="AT59">
        <v>0</v>
      </c>
      <c r="AU59">
        <v>0</v>
      </c>
      <c r="AV59">
        <v>0</v>
      </c>
      <c r="AW59">
        <v>0</v>
      </c>
      <c r="AX59">
        <v>0</v>
      </c>
      <c r="AY59">
        <v>0</v>
      </c>
      <c r="AZ59">
        <v>0</v>
      </c>
      <c r="BA59">
        <v>0</v>
      </c>
      <c r="BB59">
        <v>0</v>
      </c>
      <c r="BC59">
        <v>0</v>
      </c>
      <c r="BD59">
        <v>0</v>
      </c>
      <c r="BE59">
        <v>0</v>
      </c>
      <c r="BF59">
        <v>0</v>
      </c>
      <c r="BG59">
        <v>0</v>
      </c>
      <c r="BH59">
        <v>0</v>
      </c>
      <c r="BI59">
        <v>0</v>
      </c>
      <c r="BK59" s="151"/>
      <c r="BL59" s="68">
        <f t="shared" si="1"/>
        <v>0.58000000000000029</v>
      </c>
      <c r="BM59" s="852">
        <f ca="1">_xlfn.PERCENTILE.EXC(OFFSET('4.2.3 Monte Carlo resultater'!$A$2,0,'4.2.2 Monte Carlo-simulering'!$AB$16-1,'4.2.2 Monte Carlo-simulering'!$AB$17,1),BL59)</f>
        <v>0</v>
      </c>
      <c r="BN59" s="823"/>
      <c r="BO59" s="823"/>
      <c r="BP59" s="823"/>
      <c r="BQ59" s="823"/>
      <c r="BR59" s="823"/>
      <c r="BS59" s="823"/>
      <c r="BT59" s="823"/>
      <c r="BU59" s="823"/>
      <c r="BV59" s="823"/>
      <c r="BW59" s="823"/>
      <c r="BX59" s="823"/>
      <c r="BY59" s="823"/>
      <c r="BZ59" s="823"/>
    </row>
    <row r="60" spans="1:78" x14ac:dyDescent="0.35">
      <c r="A60">
        <v>0</v>
      </c>
      <c r="B60">
        <v>0</v>
      </c>
      <c r="C60">
        <v>0</v>
      </c>
      <c r="D60">
        <v>0</v>
      </c>
      <c r="E60">
        <v>0</v>
      </c>
      <c r="F60">
        <v>0</v>
      </c>
      <c r="G60">
        <v>0</v>
      </c>
      <c r="H60">
        <v>0</v>
      </c>
      <c r="I60">
        <v>0</v>
      </c>
      <c r="J60">
        <v>0</v>
      </c>
      <c r="K60">
        <v>0</v>
      </c>
      <c r="L60">
        <v>0</v>
      </c>
      <c r="M60">
        <v>0</v>
      </c>
      <c r="N60">
        <v>0</v>
      </c>
      <c r="O60">
        <v>0</v>
      </c>
      <c r="P60">
        <v>0</v>
      </c>
      <c r="Q60">
        <v>0</v>
      </c>
      <c r="R60">
        <v>0</v>
      </c>
      <c r="S60">
        <v>0</v>
      </c>
      <c r="T60">
        <v>0</v>
      </c>
      <c r="U60">
        <v>0</v>
      </c>
      <c r="V60">
        <v>0</v>
      </c>
      <c r="W60">
        <v>0</v>
      </c>
      <c r="X60">
        <v>0</v>
      </c>
      <c r="Y60">
        <v>0</v>
      </c>
      <c r="Z60">
        <v>0</v>
      </c>
      <c r="AA60">
        <v>0</v>
      </c>
      <c r="AB60">
        <v>0</v>
      </c>
      <c r="AC60">
        <v>0</v>
      </c>
      <c r="AD60">
        <v>0</v>
      </c>
      <c r="AF60">
        <v>0</v>
      </c>
      <c r="AG60">
        <v>0</v>
      </c>
      <c r="AH60">
        <v>0</v>
      </c>
      <c r="AI60">
        <v>0</v>
      </c>
      <c r="AJ60">
        <v>0</v>
      </c>
      <c r="AK60">
        <v>0</v>
      </c>
      <c r="AL60">
        <v>0</v>
      </c>
      <c r="AM60">
        <v>0</v>
      </c>
      <c r="AN60">
        <v>0</v>
      </c>
      <c r="AO60">
        <v>0</v>
      </c>
      <c r="AP60">
        <v>0</v>
      </c>
      <c r="AQ60">
        <v>0</v>
      </c>
      <c r="AR60">
        <v>0</v>
      </c>
      <c r="AS60">
        <v>0</v>
      </c>
      <c r="AT60">
        <v>0</v>
      </c>
      <c r="AU60">
        <v>0</v>
      </c>
      <c r="AV60">
        <v>0</v>
      </c>
      <c r="AW60">
        <v>0</v>
      </c>
      <c r="AX60">
        <v>0</v>
      </c>
      <c r="AY60">
        <v>0</v>
      </c>
      <c r="AZ60">
        <v>0</v>
      </c>
      <c r="BA60">
        <v>0</v>
      </c>
      <c r="BB60">
        <v>0</v>
      </c>
      <c r="BC60">
        <v>0</v>
      </c>
      <c r="BD60">
        <v>0</v>
      </c>
      <c r="BE60">
        <v>0</v>
      </c>
      <c r="BF60">
        <v>0</v>
      </c>
      <c r="BG60">
        <v>0</v>
      </c>
      <c r="BH60">
        <v>0</v>
      </c>
      <c r="BI60">
        <v>0</v>
      </c>
      <c r="BK60" s="151"/>
      <c r="BL60" s="68">
        <f t="shared" si="1"/>
        <v>0.5900000000000003</v>
      </c>
      <c r="BM60" s="852">
        <f ca="1">_xlfn.PERCENTILE.EXC(OFFSET('4.2.3 Monte Carlo resultater'!$A$2,0,'4.2.2 Monte Carlo-simulering'!$AB$16-1,'4.2.2 Monte Carlo-simulering'!$AB$17,1),BL60)</f>
        <v>0</v>
      </c>
      <c r="BN60" s="823"/>
      <c r="BO60" s="823"/>
      <c r="BP60" s="823"/>
      <c r="BQ60" s="823"/>
      <c r="BR60" s="823"/>
      <c r="BS60" s="823"/>
      <c r="BT60" s="823"/>
      <c r="BU60" s="823"/>
      <c r="BV60" s="823"/>
      <c r="BW60" s="823"/>
      <c r="BX60" s="823"/>
      <c r="BY60" s="823"/>
      <c r="BZ60" s="823"/>
    </row>
    <row r="61" spans="1:78" x14ac:dyDescent="0.35">
      <c r="A61">
        <v>0</v>
      </c>
      <c r="B61">
        <v>0</v>
      </c>
      <c r="C61">
        <v>0</v>
      </c>
      <c r="D61">
        <v>0</v>
      </c>
      <c r="E61">
        <v>0</v>
      </c>
      <c r="F61">
        <v>0</v>
      </c>
      <c r="G61">
        <v>0</v>
      </c>
      <c r="H61">
        <v>0</v>
      </c>
      <c r="I61">
        <v>0</v>
      </c>
      <c r="J61">
        <v>0</v>
      </c>
      <c r="K61">
        <v>0</v>
      </c>
      <c r="L61">
        <v>0</v>
      </c>
      <c r="M61">
        <v>0</v>
      </c>
      <c r="N61">
        <v>0</v>
      </c>
      <c r="O61">
        <v>0</v>
      </c>
      <c r="P61">
        <v>0</v>
      </c>
      <c r="Q61">
        <v>0</v>
      </c>
      <c r="R61">
        <v>0</v>
      </c>
      <c r="S61">
        <v>0</v>
      </c>
      <c r="T61">
        <v>0</v>
      </c>
      <c r="U61">
        <v>0</v>
      </c>
      <c r="V61">
        <v>0</v>
      </c>
      <c r="W61">
        <v>0</v>
      </c>
      <c r="X61">
        <v>0</v>
      </c>
      <c r="Y61">
        <v>0</v>
      </c>
      <c r="Z61">
        <v>0</v>
      </c>
      <c r="AA61">
        <v>0</v>
      </c>
      <c r="AB61">
        <v>0</v>
      </c>
      <c r="AC61">
        <v>0</v>
      </c>
      <c r="AD61">
        <v>0</v>
      </c>
      <c r="AF61">
        <v>0</v>
      </c>
      <c r="AG61">
        <v>0</v>
      </c>
      <c r="AH61">
        <v>0</v>
      </c>
      <c r="AI61">
        <v>0</v>
      </c>
      <c r="AJ61">
        <v>0</v>
      </c>
      <c r="AK61">
        <v>0</v>
      </c>
      <c r="AL61">
        <v>0</v>
      </c>
      <c r="AM61">
        <v>0</v>
      </c>
      <c r="AN61">
        <v>0</v>
      </c>
      <c r="AO61">
        <v>0</v>
      </c>
      <c r="AP61">
        <v>0</v>
      </c>
      <c r="AQ61">
        <v>0</v>
      </c>
      <c r="AR61">
        <v>0</v>
      </c>
      <c r="AS61">
        <v>0</v>
      </c>
      <c r="AT61">
        <v>0</v>
      </c>
      <c r="AU61">
        <v>0</v>
      </c>
      <c r="AV61">
        <v>0</v>
      </c>
      <c r="AW61">
        <v>0</v>
      </c>
      <c r="AX61">
        <v>0</v>
      </c>
      <c r="AY61">
        <v>0</v>
      </c>
      <c r="AZ61">
        <v>0</v>
      </c>
      <c r="BA61">
        <v>0</v>
      </c>
      <c r="BB61">
        <v>0</v>
      </c>
      <c r="BC61">
        <v>0</v>
      </c>
      <c r="BD61">
        <v>0</v>
      </c>
      <c r="BE61">
        <v>0</v>
      </c>
      <c r="BF61">
        <v>0</v>
      </c>
      <c r="BG61">
        <v>0</v>
      </c>
      <c r="BH61">
        <v>0</v>
      </c>
      <c r="BI61">
        <v>0</v>
      </c>
      <c r="BK61" s="151"/>
      <c r="BL61" s="68">
        <f t="shared" si="1"/>
        <v>0.60000000000000031</v>
      </c>
      <c r="BM61" s="852">
        <f ca="1">_xlfn.PERCENTILE.EXC(OFFSET('4.2.3 Monte Carlo resultater'!$A$2,0,'4.2.2 Monte Carlo-simulering'!$AB$16-1,'4.2.2 Monte Carlo-simulering'!$AB$17,1),BL61)</f>
        <v>0</v>
      </c>
      <c r="BN61" s="823"/>
      <c r="BO61" s="823"/>
      <c r="BP61" s="823"/>
      <c r="BQ61" s="823"/>
      <c r="BR61" s="823"/>
      <c r="BS61" s="823"/>
      <c r="BT61" s="823"/>
      <c r="BU61" s="823"/>
      <c r="BV61" s="823"/>
      <c r="BW61" s="823"/>
      <c r="BX61" s="823"/>
      <c r="BY61" s="823"/>
      <c r="BZ61" s="823"/>
    </row>
    <row r="62" spans="1:78" x14ac:dyDescent="0.35">
      <c r="A62">
        <v>0</v>
      </c>
      <c r="B62">
        <v>0</v>
      </c>
      <c r="C62">
        <v>0</v>
      </c>
      <c r="D62">
        <v>0</v>
      </c>
      <c r="E62">
        <v>0</v>
      </c>
      <c r="F62">
        <v>0</v>
      </c>
      <c r="G62">
        <v>0</v>
      </c>
      <c r="H62">
        <v>0</v>
      </c>
      <c r="I62">
        <v>0</v>
      </c>
      <c r="J62">
        <v>0</v>
      </c>
      <c r="K62">
        <v>0</v>
      </c>
      <c r="L62">
        <v>0</v>
      </c>
      <c r="M62">
        <v>0</v>
      </c>
      <c r="N62">
        <v>0</v>
      </c>
      <c r="O62">
        <v>0</v>
      </c>
      <c r="P62">
        <v>0</v>
      </c>
      <c r="Q62">
        <v>0</v>
      </c>
      <c r="R62">
        <v>0</v>
      </c>
      <c r="S62">
        <v>0</v>
      </c>
      <c r="T62">
        <v>0</v>
      </c>
      <c r="U62">
        <v>0</v>
      </c>
      <c r="V62">
        <v>0</v>
      </c>
      <c r="W62">
        <v>0</v>
      </c>
      <c r="X62">
        <v>0</v>
      </c>
      <c r="Y62">
        <v>0</v>
      </c>
      <c r="Z62">
        <v>0</v>
      </c>
      <c r="AA62">
        <v>0</v>
      </c>
      <c r="AB62">
        <v>0</v>
      </c>
      <c r="AC62">
        <v>0</v>
      </c>
      <c r="AD62">
        <v>0</v>
      </c>
      <c r="AF62">
        <v>0</v>
      </c>
      <c r="AG62">
        <v>0</v>
      </c>
      <c r="AH62">
        <v>0</v>
      </c>
      <c r="AI62">
        <v>0</v>
      </c>
      <c r="AJ62">
        <v>0</v>
      </c>
      <c r="AK62">
        <v>0</v>
      </c>
      <c r="AL62">
        <v>0</v>
      </c>
      <c r="AM62">
        <v>0</v>
      </c>
      <c r="AN62">
        <v>0</v>
      </c>
      <c r="AO62">
        <v>0</v>
      </c>
      <c r="AP62">
        <v>0</v>
      </c>
      <c r="AQ62">
        <v>0</v>
      </c>
      <c r="AR62">
        <v>0</v>
      </c>
      <c r="AS62">
        <v>0</v>
      </c>
      <c r="AT62">
        <v>0</v>
      </c>
      <c r="AU62">
        <v>0</v>
      </c>
      <c r="AV62">
        <v>0</v>
      </c>
      <c r="AW62">
        <v>0</v>
      </c>
      <c r="AX62">
        <v>0</v>
      </c>
      <c r="AY62">
        <v>0</v>
      </c>
      <c r="AZ62">
        <v>0</v>
      </c>
      <c r="BA62">
        <v>0</v>
      </c>
      <c r="BB62">
        <v>0</v>
      </c>
      <c r="BC62">
        <v>0</v>
      </c>
      <c r="BD62">
        <v>0</v>
      </c>
      <c r="BE62">
        <v>0</v>
      </c>
      <c r="BF62">
        <v>0</v>
      </c>
      <c r="BG62">
        <v>0</v>
      </c>
      <c r="BH62">
        <v>0</v>
      </c>
      <c r="BI62">
        <v>0</v>
      </c>
      <c r="BK62" s="151"/>
      <c r="BL62" s="68">
        <f t="shared" si="1"/>
        <v>0.61000000000000032</v>
      </c>
      <c r="BM62" s="852">
        <f ca="1">_xlfn.PERCENTILE.EXC(OFFSET('4.2.3 Monte Carlo resultater'!$A$2,0,'4.2.2 Monte Carlo-simulering'!$AB$16-1,'4.2.2 Monte Carlo-simulering'!$AB$17,1),BL62)</f>
        <v>0</v>
      </c>
      <c r="BN62" s="823"/>
      <c r="BO62" s="823"/>
      <c r="BP62" s="823"/>
      <c r="BQ62" s="823"/>
      <c r="BR62" s="823"/>
      <c r="BS62" s="823"/>
      <c r="BT62" s="823"/>
      <c r="BU62" s="823"/>
      <c r="BV62" s="823"/>
      <c r="BW62" s="823"/>
      <c r="BX62" s="823"/>
      <c r="BY62" s="823"/>
      <c r="BZ62" s="823"/>
    </row>
    <row r="63" spans="1:78" x14ac:dyDescent="0.35">
      <c r="A63">
        <v>0</v>
      </c>
      <c r="B63">
        <v>0</v>
      </c>
      <c r="C63">
        <v>0</v>
      </c>
      <c r="D63">
        <v>0</v>
      </c>
      <c r="E63">
        <v>0</v>
      </c>
      <c r="F63">
        <v>0</v>
      </c>
      <c r="G63">
        <v>0</v>
      </c>
      <c r="H63">
        <v>0</v>
      </c>
      <c r="I63">
        <v>0</v>
      </c>
      <c r="J63">
        <v>0</v>
      </c>
      <c r="K63">
        <v>0</v>
      </c>
      <c r="L63">
        <v>0</v>
      </c>
      <c r="M63">
        <v>0</v>
      </c>
      <c r="N63">
        <v>0</v>
      </c>
      <c r="O63">
        <v>0</v>
      </c>
      <c r="P63">
        <v>0</v>
      </c>
      <c r="Q63">
        <v>0</v>
      </c>
      <c r="R63">
        <v>0</v>
      </c>
      <c r="S63">
        <v>0</v>
      </c>
      <c r="T63">
        <v>0</v>
      </c>
      <c r="U63">
        <v>0</v>
      </c>
      <c r="V63">
        <v>0</v>
      </c>
      <c r="W63">
        <v>0</v>
      </c>
      <c r="X63">
        <v>0</v>
      </c>
      <c r="Y63">
        <v>0</v>
      </c>
      <c r="Z63">
        <v>0</v>
      </c>
      <c r="AA63">
        <v>0</v>
      </c>
      <c r="AB63">
        <v>0</v>
      </c>
      <c r="AC63">
        <v>0</v>
      </c>
      <c r="AD63">
        <v>0</v>
      </c>
      <c r="AF63">
        <v>0</v>
      </c>
      <c r="AG63">
        <v>0</v>
      </c>
      <c r="AH63">
        <v>0</v>
      </c>
      <c r="AI63">
        <v>0</v>
      </c>
      <c r="AJ63">
        <v>0</v>
      </c>
      <c r="AK63">
        <v>0</v>
      </c>
      <c r="AL63">
        <v>0</v>
      </c>
      <c r="AM63">
        <v>0</v>
      </c>
      <c r="AN63">
        <v>0</v>
      </c>
      <c r="AO63">
        <v>0</v>
      </c>
      <c r="AP63">
        <v>0</v>
      </c>
      <c r="AQ63">
        <v>0</v>
      </c>
      <c r="AR63">
        <v>0</v>
      </c>
      <c r="AS63">
        <v>0</v>
      </c>
      <c r="AT63">
        <v>0</v>
      </c>
      <c r="AU63">
        <v>0</v>
      </c>
      <c r="AV63">
        <v>0</v>
      </c>
      <c r="AW63">
        <v>0</v>
      </c>
      <c r="AX63">
        <v>0</v>
      </c>
      <c r="AY63">
        <v>0</v>
      </c>
      <c r="AZ63">
        <v>0</v>
      </c>
      <c r="BA63">
        <v>0</v>
      </c>
      <c r="BB63">
        <v>0</v>
      </c>
      <c r="BC63">
        <v>0</v>
      </c>
      <c r="BD63">
        <v>0</v>
      </c>
      <c r="BE63">
        <v>0</v>
      </c>
      <c r="BF63">
        <v>0</v>
      </c>
      <c r="BG63">
        <v>0</v>
      </c>
      <c r="BH63">
        <v>0</v>
      </c>
      <c r="BI63">
        <v>0</v>
      </c>
      <c r="BK63" s="151"/>
      <c r="BL63" s="68">
        <f t="shared" si="1"/>
        <v>0.62000000000000033</v>
      </c>
      <c r="BM63" s="852">
        <f ca="1">_xlfn.PERCENTILE.EXC(OFFSET('4.2.3 Monte Carlo resultater'!$A$2,0,'4.2.2 Monte Carlo-simulering'!$AB$16-1,'4.2.2 Monte Carlo-simulering'!$AB$17,1),BL63)</f>
        <v>0</v>
      </c>
      <c r="BN63" s="823"/>
      <c r="BO63" s="823"/>
      <c r="BP63" s="823"/>
      <c r="BQ63" s="823"/>
      <c r="BR63" s="823"/>
      <c r="BS63" s="823"/>
      <c r="BT63" s="823"/>
      <c r="BU63" s="823"/>
      <c r="BV63" s="823"/>
      <c r="BW63" s="823"/>
      <c r="BX63" s="823"/>
      <c r="BY63" s="823"/>
      <c r="BZ63" s="823"/>
    </row>
    <row r="64" spans="1:78" x14ac:dyDescent="0.35">
      <c r="A64">
        <v>0</v>
      </c>
      <c r="B64">
        <v>0</v>
      </c>
      <c r="C64">
        <v>0</v>
      </c>
      <c r="D64">
        <v>0</v>
      </c>
      <c r="E64">
        <v>0</v>
      </c>
      <c r="F64">
        <v>0</v>
      </c>
      <c r="G64">
        <v>0</v>
      </c>
      <c r="H64">
        <v>0</v>
      </c>
      <c r="I64">
        <v>0</v>
      </c>
      <c r="J64">
        <v>0</v>
      </c>
      <c r="K64">
        <v>0</v>
      </c>
      <c r="L64">
        <v>0</v>
      </c>
      <c r="M64">
        <v>0</v>
      </c>
      <c r="N64">
        <v>0</v>
      </c>
      <c r="O64">
        <v>0</v>
      </c>
      <c r="P64">
        <v>0</v>
      </c>
      <c r="Q64">
        <v>0</v>
      </c>
      <c r="R64">
        <v>0</v>
      </c>
      <c r="S64">
        <v>0</v>
      </c>
      <c r="T64">
        <v>0</v>
      </c>
      <c r="U64">
        <v>0</v>
      </c>
      <c r="V64">
        <v>0</v>
      </c>
      <c r="W64">
        <v>0</v>
      </c>
      <c r="X64">
        <v>0</v>
      </c>
      <c r="Y64">
        <v>0</v>
      </c>
      <c r="Z64">
        <v>0</v>
      </c>
      <c r="AA64">
        <v>0</v>
      </c>
      <c r="AB64">
        <v>0</v>
      </c>
      <c r="AC64">
        <v>0</v>
      </c>
      <c r="AD64">
        <v>0</v>
      </c>
      <c r="AF64">
        <v>0</v>
      </c>
      <c r="AG64">
        <v>0</v>
      </c>
      <c r="AH64">
        <v>0</v>
      </c>
      <c r="AI64">
        <v>0</v>
      </c>
      <c r="AJ64">
        <v>0</v>
      </c>
      <c r="AK64">
        <v>0</v>
      </c>
      <c r="AL64">
        <v>0</v>
      </c>
      <c r="AM64">
        <v>0</v>
      </c>
      <c r="AN64">
        <v>0</v>
      </c>
      <c r="AO64">
        <v>0</v>
      </c>
      <c r="AP64">
        <v>0</v>
      </c>
      <c r="AQ64">
        <v>0</v>
      </c>
      <c r="AR64">
        <v>0</v>
      </c>
      <c r="AS64">
        <v>0</v>
      </c>
      <c r="AT64">
        <v>0</v>
      </c>
      <c r="AU64">
        <v>0</v>
      </c>
      <c r="AV64">
        <v>0</v>
      </c>
      <c r="AW64">
        <v>0</v>
      </c>
      <c r="AX64">
        <v>0</v>
      </c>
      <c r="AY64">
        <v>0</v>
      </c>
      <c r="AZ64">
        <v>0</v>
      </c>
      <c r="BA64">
        <v>0</v>
      </c>
      <c r="BB64">
        <v>0</v>
      </c>
      <c r="BC64">
        <v>0</v>
      </c>
      <c r="BD64">
        <v>0</v>
      </c>
      <c r="BE64">
        <v>0</v>
      </c>
      <c r="BF64">
        <v>0</v>
      </c>
      <c r="BG64">
        <v>0</v>
      </c>
      <c r="BH64">
        <v>0</v>
      </c>
      <c r="BI64">
        <v>0</v>
      </c>
      <c r="BK64" s="151"/>
      <c r="BL64" s="68">
        <f t="shared" si="1"/>
        <v>0.63000000000000034</v>
      </c>
      <c r="BM64" s="852">
        <f ca="1">_xlfn.PERCENTILE.EXC(OFFSET('4.2.3 Monte Carlo resultater'!$A$2,0,'4.2.2 Monte Carlo-simulering'!$AB$16-1,'4.2.2 Monte Carlo-simulering'!$AB$17,1),BL64)</f>
        <v>0</v>
      </c>
      <c r="BN64" s="823"/>
      <c r="BO64" s="823"/>
      <c r="BP64" s="823"/>
      <c r="BQ64" s="823"/>
      <c r="BR64" s="823"/>
      <c r="BS64" s="823"/>
      <c r="BT64" s="823"/>
      <c r="BU64" s="823"/>
      <c r="BV64" s="823"/>
      <c r="BW64" s="823"/>
      <c r="BX64" s="823"/>
      <c r="BY64" s="823"/>
      <c r="BZ64" s="823"/>
    </row>
    <row r="65" spans="1:78" x14ac:dyDescent="0.35">
      <c r="A65">
        <v>0</v>
      </c>
      <c r="B65">
        <v>0</v>
      </c>
      <c r="C65">
        <v>0</v>
      </c>
      <c r="D65">
        <v>0</v>
      </c>
      <c r="E65">
        <v>0</v>
      </c>
      <c r="F65">
        <v>0</v>
      </c>
      <c r="G65">
        <v>0</v>
      </c>
      <c r="H65">
        <v>0</v>
      </c>
      <c r="I65">
        <v>0</v>
      </c>
      <c r="J65">
        <v>0</v>
      </c>
      <c r="K65">
        <v>0</v>
      </c>
      <c r="L65">
        <v>0</v>
      </c>
      <c r="M65">
        <v>0</v>
      </c>
      <c r="N65">
        <v>0</v>
      </c>
      <c r="O65">
        <v>0</v>
      </c>
      <c r="P65">
        <v>0</v>
      </c>
      <c r="Q65">
        <v>0</v>
      </c>
      <c r="R65">
        <v>0</v>
      </c>
      <c r="S65">
        <v>0</v>
      </c>
      <c r="T65">
        <v>0</v>
      </c>
      <c r="U65">
        <v>0</v>
      </c>
      <c r="V65">
        <v>0</v>
      </c>
      <c r="W65">
        <v>0</v>
      </c>
      <c r="X65">
        <v>0</v>
      </c>
      <c r="Y65">
        <v>0</v>
      </c>
      <c r="Z65">
        <v>0</v>
      </c>
      <c r="AA65">
        <v>0</v>
      </c>
      <c r="AB65">
        <v>0</v>
      </c>
      <c r="AC65">
        <v>0</v>
      </c>
      <c r="AD65">
        <v>0</v>
      </c>
      <c r="AF65">
        <v>0</v>
      </c>
      <c r="AG65">
        <v>0</v>
      </c>
      <c r="AH65">
        <v>0</v>
      </c>
      <c r="AI65">
        <v>0</v>
      </c>
      <c r="AJ65">
        <v>0</v>
      </c>
      <c r="AK65">
        <v>0</v>
      </c>
      <c r="AL65">
        <v>0</v>
      </c>
      <c r="AM65">
        <v>0</v>
      </c>
      <c r="AN65">
        <v>0</v>
      </c>
      <c r="AO65">
        <v>0</v>
      </c>
      <c r="AP65">
        <v>0</v>
      </c>
      <c r="AQ65">
        <v>0</v>
      </c>
      <c r="AR65">
        <v>0</v>
      </c>
      <c r="AS65">
        <v>0</v>
      </c>
      <c r="AT65">
        <v>0</v>
      </c>
      <c r="AU65">
        <v>0</v>
      </c>
      <c r="AV65">
        <v>0</v>
      </c>
      <c r="AW65">
        <v>0</v>
      </c>
      <c r="AX65">
        <v>0</v>
      </c>
      <c r="AY65">
        <v>0</v>
      </c>
      <c r="AZ65">
        <v>0</v>
      </c>
      <c r="BA65">
        <v>0</v>
      </c>
      <c r="BB65">
        <v>0</v>
      </c>
      <c r="BC65">
        <v>0</v>
      </c>
      <c r="BD65">
        <v>0</v>
      </c>
      <c r="BE65">
        <v>0</v>
      </c>
      <c r="BF65">
        <v>0</v>
      </c>
      <c r="BG65">
        <v>0</v>
      </c>
      <c r="BH65">
        <v>0</v>
      </c>
      <c r="BI65">
        <v>0</v>
      </c>
      <c r="BK65" s="151"/>
      <c r="BL65" s="68">
        <f t="shared" si="1"/>
        <v>0.64000000000000035</v>
      </c>
      <c r="BM65" s="852">
        <f ca="1">_xlfn.PERCENTILE.EXC(OFFSET('4.2.3 Monte Carlo resultater'!$A$2,0,'4.2.2 Monte Carlo-simulering'!$AB$16-1,'4.2.2 Monte Carlo-simulering'!$AB$17,1),BL65)</f>
        <v>0</v>
      </c>
      <c r="BN65" s="823"/>
      <c r="BO65" s="823"/>
      <c r="BP65" s="823"/>
      <c r="BQ65" s="823"/>
      <c r="BR65" s="823"/>
      <c r="BS65" s="823"/>
      <c r="BT65" s="823"/>
      <c r="BU65" s="823"/>
      <c r="BV65" s="823"/>
      <c r="BW65" s="823"/>
      <c r="BX65" s="823"/>
      <c r="BY65" s="823"/>
      <c r="BZ65" s="823"/>
    </row>
    <row r="66" spans="1:78" x14ac:dyDescent="0.35">
      <c r="A66">
        <v>0</v>
      </c>
      <c r="B66">
        <v>0</v>
      </c>
      <c r="C66">
        <v>0</v>
      </c>
      <c r="D66">
        <v>0</v>
      </c>
      <c r="E66">
        <v>0</v>
      </c>
      <c r="F66">
        <v>0</v>
      </c>
      <c r="G66">
        <v>0</v>
      </c>
      <c r="H66">
        <v>0</v>
      </c>
      <c r="I66">
        <v>0</v>
      </c>
      <c r="J66">
        <v>0</v>
      </c>
      <c r="K66">
        <v>0</v>
      </c>
      <c r="L66">
        <v>0</v>
      </c>
      <c r="M66">
        <v>0</v>
      </c>
      <c r="N66">
        <v>0</v>
      </c>
      <c r="O66">
        <v>0</v>
      </c>
      <c r="P66">
        <v>0</v>
      </c>
      <c r="Q66">
        <v>0</v>
      </c>
      <c r="R66">
        <v>0</v>
      </c>
      <c r="S66">
        <v>0</v>
      </c>
      <c r="T66">
        <v>0</v>
      </c>
      <c r="U66">
        <v>0</v>
      </c>
      <c r="V66">
        <v>0</v>
      </c>
      <c r="W66">
        <v>0</v>
      </c>
      <c r="X66">
        <v>0</v>
      </c>
      <c r="Y66">
        <v>0</v>
      </c>
      <c r="Z66">
        <v>0</v>
      </c>
      <c r="AA66">
        <v>0</v>
      </c>
      <c r="AB66">
        <v>0</v>
      </c>
      <c r="AC66">
        <v>0</v>
      </c>
      <c r="AD66">
        <v>0</v>
      </c>
      <c r="AF66">
        <v>0</v>
      </c>
      <c r="AG66">
        <v>0</v>
      </c>
      <c r="AH66">
        <v>0</v>
      </c>
      <c r="AI66">
        <v>0</v>
      </c>
      <c r="AJ66">
        <v>0</v>
      </c>
      <c r="AK66">
        <v>0</v>
      </c>
      <c r="AL66">
        <v>0</v>
      </c>
      <c r="AM66">
        <v>0</v>
      </c>
      <c r="AN66">
        <v>0</v>
      </c>
      <c r="AO66">
        <v>0</v>
      </c>
      <c r="AP66">
        <v>0</v>
      </c>
      <c r="AQ66">
        <v>0</v>
      </c>
      <c r="AR66">
        <v>0</v>
      </c>
      <c r="AS66">
        <v>0</v>
      </c>
      <c r="AT66">
        <v>0</v>
      </c>
      <c r="AU66">
        <v>0</v>
      </c>
      <c r="AV66">
        <v>0</v>
      </c>
      <c r="AW66">
        <v>0</v>
      </c>
      <c r="AX66">
        <v>0</v>
      </c>
      <c r="AY66">
        <v>0</v>
      </c>
      <c r="AZ66">
        <v>0</v>
      </c>
      <c r="BA66">
        <v>0</v>
      </c>
      <c r="BB66">
        <v>0</v>
      </c>
      <c r="BC66">
        <v>0</v>
      </c>
      <c r="BD66">
        <v>0</v>
      </c>
      <c r="BE66">
        <v>0</v>
      </c>
      <c r="BF66">
        <v>0</v>
      </c>
      <c r="BG66">
        <v>0</v>
      </c>
      <c r="BH66">
        <v>0</v>
      </c>
      <c r="BI66">
        <v>0</v>
      </c>
      <c r="BK66" s="151"/>
      <c r="BL66" s="68">
        <f t="shared" si="1"/>
        <v>0.65000000000000036</v>
      </c>
      <c r="BM66" s="852">
        <f ca="1">_xlfn.PERCENTILE.EXC(OFFSET('4.2.3 Monte Carlo resultater'!$A$2,0,'4.2.2 Monte Carlo-simulering'!$AB$16-1,'4.2.2 Monte Carlo-simulering'!$AB$17,1),BL66)</f>
        <v>0</v>
      </c>
      <c r="BN66" s="823"/>
      <c r="BO66" s="823"/>
      <c r="BP66" s="823"/>
      <c r="BQ66" s="823"/>
      <c r="BR66" s="823"/>
      <c r="BS66" s="823"/>
      <c r="BT66" s="823"/>
      <c r="BU66" s="823"/>
      <c r="BV66" s="823"/>
      <c r="BW66" s="823"/>
      <c r="BX66" s="823"/>
      <c r="BY66" s="823"/>
      <c r="BZ66" s="823"/>
    </row>
    <row r="67" spans="1:78" x14ac:dyDescent="0.35">
      <c r="A67">
        <v>0</v>
      </c>
      <c r="B67">
        <v>0</v>
      </c>
      <c r="C67">
        <v>0</v>
      </c>
      <c r="D67">
        <v>0</v>
      </c>
      <c r="E67">
        <v>0</v>
      </c>
      <c r="F67">
        <v>0</v>
      </c>
      <c r="G67">
        <v>0</v>
      </c>
      <c r="H67">
        <v>0</v>
      </c>
      <c r="I67">
        <v>0</v>
      </c>
      <c r="J67">
        <v>0</v>
      </c>
      <c r="K67">
        <v>0</v>
      </c>
      <c r="L67">
        <v>0</v>
      </c>
      <c r="M67">
        <v>0</v>
      </c>
      <c r="N67">
        <v>0</v>
      </c>
      <c r="O67">
        <v>0</v>
      </c>
      <c r="P67">
        <v>0</v>
      </c>
      <c r="Q67">
        <v>0</v>
      </c>
      <c r="R67">
        <v>0</v>
      </c>
      <c r="S67">
        <v>0</v>
      </c>
      <c r="T67">
        <v>0</v>
      </c>
      <c r="U67">
        <v>0</v>
      </c>
      <c r="V67">
        <v>0</v>
      </c>
      <c r="W67">
        <v>0</v>
      </c>
      <c r="X67">
        <v>0</v>
      </c>
      <c r="Y67">
        <v>0</v>
      </c>
      <c r="Z67">
        <v>0</v>
      </c>
      <c r="AA67">
        <v>0</v>
      </c>
      <c r="AB67">
        <v>0</v>
      </c>
      <c r="AC67">
        <v>0</v>
      </c>
      <c r="AD67">
        <v>0</v>
      </c>
      <c r="AF67">
        <v>0</v>
      </c>
      <c r="AG67">
        <v>0</v>
      </c>
      <c r="AH67">
        <v>0</v>
      </c>
      <c r="AI67">
        <v>0</v>
      </c>
      <c r="AJ67">
        <v>0</v>
      </c>
      <c r="AK67">
        <v>0</v>
      </c>
      <c r="AL67">
        <v>0</v>
      </c>
      <c r="AM67">
        <v>0</v>
      </c>
      <c r="AN67">
        <v>0</v>
      </c>
      <c r="AO67">
        <v>0</v>
      </c>
      <c r="AP67">
        <v>0</v>
      </c>
      <c r="AQ67">
        <v>0</v>
      </c>
      <c r="AR67">
        <v>0</v>
      </c>
      <c r="AS67">
        <v>0</v>
      </c>
      <c r="AT67">
        <v>0</v>
      </c>
      <c r="AU67">
        <v>0</v>
      </c>
      <c r="AV67">
        <v>0</v>
      </c>
      <c r="AW67">
        <v>0</v>
      </c>
      <c r="AX67">
        <v>0</v>
      </c>
      <c r="AY67">
        <v>0</v>
      </c>
      <c r="AZ67">
        <v>0</v>
      </c>
      <c r="BA67">
        <v>0</v>
      </c>
      <c r="BB67">
        <v>0</v>
      </c>
      <c r="BC67">
        <v>0</v>
      </c>
      <c r="BD67">
        <v>0</v>
      </c>
      <c r="BE67">
        <v>0</v>
      </c>
      <c r="BF67">
        <v>0</v>
      </c>
      <c r="BG67">
        <v>0</v>
      </c>
      <c r="BH67">
        <v>0</v>
      </c>
      <c r="BI67">
        <v>0</v>
      </c>
      <c r="BK67" s="151"/>
      <c r="BL67" s="68">
        <f t="shared" ref="BL67:BL100" si="2">+BL66+0.01</f>
        <v>0.66000000000000036</v>
      </c>
      <c r="BM67" s="852">
        <f ca="1">_xlfn.PERCENTILE.EXC(OFFSET('4.2.3 Monte Carlo resultater'!$A$2,0,'4.2.2 Monte Carlo-simulering'!$AB$16-1,'4.2.2 Monte Carlo-simulering'!$AB$17,1),BL67)</f>
        <v>0</v>
      </c>
      <c r="BN67" s="823"/>
      <c r="BO67" s="823"/>
      <c r="BP67" s="823"/>
      <c r="BQ67" s="823"/>
      <c r="BR67" s="823"/>
      <c r="BS67" s="823"/>
      <c r="BT67" s="823"/>
      <c r="BU67" s="823"/>
      <c r="BV67" s="823"/>
      <c r="BW67" s="823"/>
      <c r="BX67" s="823"/>
      <c r="BY67" s="823"/>
      <c r="BZ67" s="823"/>
    </row>
    <row r="68" spans="1:78" x14ac:dyDescent="0.35">
      <c r="A68">
        <v>0</v>
      </c>
      <c r="B68">
        <v>0</v>
      </c>
      <c r="C68">
        <v>0</v>
      </c>
      <c r="D68">
        <v>0</v>
      </c>
      <c r="E68">
        <v>0</v>
      </c>
      <c r="F68">
        <v>0</v>
      </c>
      <c r="G68">
        <v>0</v>
      </c>
      <c r="H68">
        <v>0</v>
      </c>
      <c r="I68">
        <v>0</v>
      </c>
      <c r="J68">
        <v>0</v>
      </c>
      <c r="K68">
        <v>0</v>
      </c>
      <c r="L68">
        <v>0</v>
      </c>
      <c r="M68">
        <v>0</v>
      </c>
      <c r="N68">
        <v>0</v>
      </c>
      <c r="O68">
        <v>0</v>
      </c>
      <c r="P68">
        <v>0</v>
      </c>
      <c r="Q68">
        <v>0</v>
      </c>
      <c r="R68">
        <v>0</v>
      </c>
      <c r="S68">
        <v>0</v>
      </c>
      <c r="T68">
        <v>0</v>
      </c>
      <c r="U68">
        <v>0</v>
      </c>
      <c r="V68">
        <v>0</v>
      </c>
      <c r="W68">
        <v>0</v>
      </c>
      <c r="X68">
        <v>0</v>
      </c>
      <c r="Y68">
        <v>0</v>
      </c>
      <c r="Z68">
        <v>0</v>
      </c>
      <c r="AA68">
        <v>0</v>
      </c>
      <c r="AB68">
        <v>0</v>
      </c>
      <c r="AC68">
        <v>0</v>
      </c>
      <c r="AD68">
        <v>0</v>
      </c>
      <c r="AF68">
        <v>0</v>
      </c>
      <c r="AG68">
        <v>0</v>
      </c>
      <c r="AH68">
        <v>0</v>
      </c>
      <c r="AI68">
        <v>0</v>
      </c>
      <c r="AJ68">
        <v>0</v>
      </c>
      <c r="AK68">
        <v>0</v>
      </c>
      <c r="AL68">
        <v>0</v>
      </c>
      <c r="AM68">
        <v>0</v>
      </c>
      <c r="AN68">
        <v>0</v>
      </c>
      <c r="AO68">
        <v>0</v>
      </c>
      <c r="AP68">
        <v>0</v>
      </c>
      <c r="AQ68">
        <v>0</v>
      </c>
      <c r="AR68">
        <v>0</v>
      </c>
      <c r="AS68">
        <v>0</v>
      </c>
      <c r="AT68">
        <v>0</v>
      </c>
      <c r="AU68">
        <v>0</v>
      </c>
      <c r="AV68">
        <v>0</v>
      </c>
      <c r="AW68">
        <v>0</v>
      </c>
      <c r="AX68">
        <v>0</v>
      </c>
      <c r="AY68">
        <v>0</v>
      </c>
      <c r="AZ68">
        <v>0</v>
      </c>
      <c r="BA68">
        <v>0</v>
      </c>
      <c r="BB68">
        <v>0</v>
      </c>
      <c r="BC68">
        <v>0</v>
      </c>
      <c r="BD68">
        <v>0</v>
      </c>
      <c r="BE68">
        <v>0</v>
      </c>
      <c r="BF68">
        <v>0</v>
      </c>
      <c r="BG68">
        <v>0</v>
      </c>
      <c r="BH68">
        <v>0</v>
      </c>
      <c r="BI68">
        <v>0</v>
      </c>
      <c r="BK68" s="151"/>
      <c r="BL68" s="68">
        <f t="shared" si="2"/>
        <v>0.67000000000000037</v>
      </c>
      <c r="BM68" s="852">
        <f ca="1">_xlfn.PERCENTILE.EXC(OFFSET('4.2.3 Monte Carlo resultater'!$A$2,0,'4.2.2 Monte Carlo-simulering'!$AB$16-1,'4.2.2 Monte Carlo-simulering'!$AB$17,1),BL68)</f>
        <v>0</v>
      </c>
      <c r="BN68" s="823"/>
      <c r="BO68" s="823"/>
      <c r="BP68" s="823"/>
      <c r="BQ68" s="823"/>
      <c r="BR68" s="823"/>
      <c r="BS68" s="823"/>
      <c r="BT68" s="823"/>
      <c r="BU68" s="823"/>
      <c r="BV68" s="823"/>
      <c r="BW68" s="823"/>
      <c r="BX68" s="823"/>
      <c r="BY68" s="823"/>
      <c r="BZ68" s="823"/>
    </row>
    <row r="69" spans="1:78" x14ac:dyDescent="0.35">
      <c r="A69">
        <v>0</v>
      </c>
      <c r="B69">
        <v>0</v>
      </c>
      <c r="C69">
        <v>0</v>
      </c>
      <c r="D69">
        <v>0</v>
      </c>
      <c r="E69">
        <v>0</v>
      </c>
      <c r="F69">
        <v>0</v>
      </c>
      <c r="G69">
        <v>0</v>
      </c>
      <c r="H69">
        <v>0</v>
      </c>
      <c r="I69">
        <v>0</v>
      </c>
      <c r="J69">
        <v>0</v>
      </c>
      <c r="K69">
        <v>0</v>
      </c>
      <c r="L69">
        <v>0</v>
      </c>
      <c r="M69">
        <v>0</v>
      </c>
      <c r="N69">
        <v>0</v>
      </c>
      <c r="O69">
        <v>0</v>
      </c>
      <c r="P69">
        <v>0</v>
      </c>
      <c r="Q69">
        <v>0</v>
      </c>
      <c r="R69">
        <v>0</v>
      </c>
      <c r="S69">
        <v>0</v>
      </c>
      <c r="T69">
        <v>0</v>
      </c>
      <c r="U69">
        <v>0</v>
      </c>
      <c r="V69">
        <v>0</v>
      </c>
      <c r="W69">
        <v>0</v>
      </c>
      <c r="X69">
        <v>0</v>
      </c>
      <c r="Y69">
        <v>0</v>
      </c>
      <c r="Z69">
        <v>0</v>
      </c>
      <c r="AA69">
        <v>0</v>
      </c>
      <c r="AB69">
        <v>0</v>
      </c>
      <c r="AC69">
        <v>0</v>
      </c>
      <c r="AD69">
        <v>0</v>
      </c>
      <c r="AF69">
        <v>0</v>
      </c>
      <c r="AG69">
        <v>0</v>
      </c>
      <c r="AH69">
        <v>0</v>
      </c>
      <c r="AI69">
        <v>0</v>
      </c>
      <c r="AJ69">
        <v>0</v>
      </c>
      <c r="AK69">
        <v>0</v>
      </c>
      <c r="AL69">
        <v>0</v>
      </c>
      <c r="AM69">
        <v>0</v>
      </c>
      <c r="AN69">
        <v>0</v>
      </c>
      <c r="AO69">
        <v>0</v>
      </c>
      <c r="AP69">
        <v>0</v>
      </c>
      <c r="AQ69">
        <v>0</v>
      </c>
      <c r="AR69">
        <v>0</v>
      </c>
      <c r="AS69">
        <v>0</v>
      </c>
      <c r="AT69">
        <v>0</v>
      </c>
      <c r="AU69">
        <v>0</v>
      </c>
      <c r="AV69">
        <v>0</v>
      </c>
      <c r="AW69">
        <v>0</v>
      </c>
      <c r="AX69">
        <v>0</v>
      </c>
      <c r="AY69">
        <v>0</v>
      </c>
      <c r="AZ69">
        <v>0</v>
      </c>
      <c r="BA69">
        <v>0</v>
      </c>
      <c r="BB69">
        <v>0</v>
      </c>
      <c r="BC69">
        <v>0</v>
      </c>
      <c r="BD69">
        <v>0</v>
      </c>
      <c r="BE69">
        <v>0</v>
      </c>
      <c r="BF69">
        <v>0</v>
      </c>
      <c r="BG69">
        <v>0</v>
      </c>
      <c r="BH69">
        <v>0</v>
      </c>
      <c r="BI69">
        <v>0</v>
      </c>
      <c r="BK69" s="151"/>
      <c r="BL69" s="68">
        <f t="shared" si="2"/>
        <v>0.68000000000000038</v>
      </c>
      <c r="BM69" s="852">
        <f ca="1">_xlfn.PERCENTILE.EXC(OFFSET('4.2.3 Monte Carlo resultater'!$A$2,0,'4.2.2 Monte Carlo-simulering'!$AB$16-1,'4.2.2 Monte Carlo-simulering'!$AB$17,1),BL69)</f>
        <v>0</v>
      </c>
      <c r="BN69" s="823"/>
      <c r="BO69" s="823"/>
      <c r="BP69" s="823"/>
      <c r="BQ69" s="823"/>
      <c r="BR69" s="823"/>
      <c r="BS69" s="823"/>
      <c r="BT69" s="823"/>
      <c r="BU69" s="823"/>
      <c r="BV69" s="823"/>
      <c r="BW69" s="823"/>
      <c r="BX69" s="823"/>
      <c r="BY69" s="823"/>
      <c r="BZ69" s="823"/>
    </row>
    <row r="70" spans="1:78" x14ac:dyDescent="0.35">
      <c r="A70">
        <v>0</v>
      </c>
      <c r="B70">
        <v>0</v>
      </c>
      <c r="C70">
        <v>0</v>
      </c>
      <c r="D70">
        <v>0</v>
      </c>
      <c r="E70">
        <v>0</v>
      </c>
      <c r="F70">
        <v>0</v>
      </c>
      <c r="G70">
        <v>0</v>
      </c>
      <c r="H70">
        <v>0</v>
      </c>
      <c r="I70">
        <v>0</v>
      </c>
      <c r="J70">
        <v>0</v>
      </c>
      <c r="K70">
        <v>0</v>
      </c>
      <c r="L70">
        <v>0</v>
      </c>
      <c r="M70">
        <v>0</v>
      </c>
      <c r="N70">
        <v>0</v>
      </c>
      <c r="O70">
        <v>0</v>
      </c>
      <c r="P70">
        <v>0</v>
      </c>
      <c r="Q70">
        <v>0</v>
      </c>
      <c r="R70">
        <v>0</v>
      </c>
      <c r="S70">
        <v>0</v>
      </c>
      <c r="T70">
        <v>0</v>
      </c>
      <c r="U70">
        <v>0</v>
      </c>
      <c r="V70">
        <v>0</v>
      </c>
      <c r="W70">
        <v>0</v>
      </c>
      <c r="X70">
        <v>0</v>
      </c>
      <c r="Y70">
        <v>0</v>
      </c>
      <c r="Z70">
        <v>0</v>
      </c>
      <c r="AA70">
        <v>0</v>
      </c>
      <c r="AB70">
        <v>0</v>
      </c>
      <c r="AC70">
        <v>0</v>
      </c>
      <c r="AD70">
        <v>0</v>
      </c>
      <c r="AF70">
        <v>0</v>
      </c>
      <c r="AG70">
        <v>0</v>
      </c>
      <c r="AH70">
        <v>0</v>
      </c>
      <c r="AI70">
        <v>0</v>
      </c>
      <c r="AJ70">
        <v>0</v>
      </c>
      <c r="AK70">
        <v>0</v>
      </c>
      <c r="AL70">
        <v>0</v>
      </c>
      <c r="AM70">
        <v>0</v>
      </c>
      <c r="AN70">
        <v>0</v>
      </c>
      <c r="AO70">
        <v>0</v>
      </c>
      <c r="AP70">
        <v>0</v>
      </c>
      <c r="AQ70">
        <v>0</v>
      </c>
      <c r="AR70">
        <v>0</v>
      </c>
      <c r="AS70">
        <v>0</v>
      </c>
      <c r="AT70">
        <v>0</v>
      </c>
      <c r="AU70">
        <v>0</v>
      </c>
      <c r="AV70">
        <v>0</v>
      </c>
      <c r="AW70">
        <v>0</v>
      </c>
      <c r="AX70">
        <v>0</v>
      </c>
      <c r="AY70">
        <v>0</v>
      </c>
      <c r="AZ70">
        <v>0</v>
      </c>
      <c r="BA70">
        <v>0</v>
      </c>
      <c r="BB70">
        <v>0</v>
      </c>
      <c r="BC70">
        <v>0</v>
      </c>
      <c r="BD70">
        <v>0</v>
      </c>
      <c r="BE70">
        <v>0</v>
      </c>
      <c r="BF70">
        <v>0</v>
      </c>
      <c r="BG70">
        <v>0</v>
      </c>
      <c r="BH70">
        <v>0</v>
      </c>
      <c r="BI70">
        <v>0</v>
      </c>
      <c r="BK70" s="151"/>
      <c r="BL70" s="68">
        <f t="shared" si="2"/>
        <v>0.69000000000000039</v>
      </c>
      <c r="BM70" s="852">
        <f ca="1">_xlfn.PERCENTILE.EXC(OFFSET('4.2.3 Monte Carlo resultater'!$A$2,0,'4.2.2 Monte Carlo-simulering'!$AB$16-1,'4.2.2 Monte Carlo-simulering'!$AB$17,1),BL70)</f>
        <v>0</v>
      </c>
      <c r="BN70" s="823"/>
      <c r="BO70" s="823"/>
      <c r="BP70" s="823"/>
      <c r="BQ70" s="823"/>
      <c r="BR70" s="823"/>
      <c r="BS70" s="823"/>
      <c r="BT70" s="823"/>
      <c r="BU70" s="823"/>
      <c r="BV70" s="823"/>
      <c r="BW70" s="823"/>
      <c r="BX70" s="823"/>
      <c r="BY70" s="823"/>
      <c r="BZ70" s="823"/>
    </row>
    <row r="71" spans="1:78" x14ac:dyDescent="0.35">
      <c r="A71">
        <v>0</v>
      </c>
      <c r="B71">
        <v>0</v>
      </c>
      <c r="C71">
        <v>0</v>
      </c>
      <c r="D71">
        <v>0</v>
      </c>
      <c r="E71">
        <v>0</v>
      </c>
      <c r="F71">
        <v>0</v>
      </c>
      <c r="G71">
        <v>0</v>
      </c>
      <c r="H71">
        <v>0</v>
      </c>
      <c r="I71">
        <v>0</v>
      </c>
      <c r="J71">
        <v>0</v>
      </c>
      <c r="K71">
        <v>0</v>
      </c>
      <c r="L71">
        <v>0</v>
      </c>
      <c r="M71">
        <v>0</v>
      </c>
      <c r="N71">
        <v>0</v>
      </c>
      <c r="O71">
        <v>0</v>
      </c>
      <c r="P71">
        <v>0</v>
      </c>
      <c r="Q71">
        <v>0</v>
      </c>
      <c r="R71">
        <v>0</v>
      </c>
      <c r="S71">
        <v>0</v>
      </c>
      <c r="T71">
        <v>0</v>
      </c>
      <c r="U71">
        <v>0</v>
      </c>
      <c r="V71">
        <v>0</v>
      </c>
      <c r="W71">
        <v>0</v>
      </c>
      <c r="X71">
        <v>0</v>
      </c>
      <c r="Y71">
        <v>0</v>
      </c>
      <c r="Z71">
        <v>0</v>
      </c>
      <c r="AA71">
        <v>0</v>
      </c>
      <c r="AB71">
        <v>0</v>
      </c>
      <c r="AC71">
        <v>0</v>
      </c>
      <c r="AD71">
        <v>0</v>
      </c>
      <c r="AF71">
        <v>0</v>
      </c>
      <c r="AG71">
        <v>0</v>
      </c>
      <c r="AH71">
        <v>0</v>
      </c>
      <c r="AI71">
        <v>0</v>
      </c>
      <c r="AJ71">
        <v>0</v>
      </c>
      <c r="AK71">
        <v>0</v>
      </c>
      <c r="AL71">
        <v>0</v>
      </c>
      <c r="AM71">
        <v>0</v>
      </c>
      <c r="AN71">
        <v>0</v>
      </c>
      <c r="AO71">
        <v>0</v>
      </c>
      <c r="AP71">
        <v>0</v>
      </c>
      <c r="AQ71">
        <v>0</v>
      </c>
      <c r="AR71">
        <v>0</v>
      </c>
      <c r="AS71">
        <v>0</v>
      </c>
      <c r="AT71">
        <v>0</v>
      </c>
      <c r="AU71">
        <v>0</v>
      </c>
      <c r="AV71">
        <v>0</v>
      </c>
      <c r="AW71">
        <v>0</v>
      </c>
      <c r="AX71">
        <v>0</v>
      </c>
      <c r="AY71">
        <v>0</v>
      </c>
      <c r="AZ71">
        <v>0</v>
      </c>
      <c r="BA71">
        <v>0</v>
      </c>
      <c r="BB71">
        <v>0</v>
      </c>
      <c r="BC71">
        <v>0</v>
      </c>
      <c r="BD71">
        <v>0</v>
      </c>
      <c r="BE71">
        <v>0</v>
      </c>
      <c r="BF71">
        <v>0</v>
      </c>
      <c r="BG71">
        <v>0</v>
      </c>
      <c r="BH71">
        <v>0</v>
      </c>
      <c r="BI71">
        <v>0</v>
      </c>
      <c r="BK71" s="151"/>
      <c r="BL71" s="68">
        <f t="shared" si="2"/>
        <v>0.7000000000000004</v>
      </c>
      <c r="BM71" s="852">
        <f ca="1">_xlfn.PERCENTILE.EXC(OFFSET('4.2.3 Monte Carlo resultater'!$A$2,0,'4.2.2 Monte Carlo-simulering'!$AB$16-1,'4.2.2 Monte Carlo-simulering'!$AB$17,1),BL71)</f>
        <v>0</v>
      </c>
      <c r="BN71" s="823"/>
      <c r="BO71" s="823"/>
      <c r="BP71" s="823"/>
      <c r="BQ71" s="823"/>
      <c r="BR71" s="823"/>
      <c r="BS71" s="823"/>
      <c r="BT71" s="823"/>
      <c r="BU71" s="823"/>
      <c r="BV71" s="823"/>
      <c r="BW71" s="823"/>
      <c r="BX71" s="823"/>
      <c r="BY71" s="823"/>
      <c r="BZ71" s="823"/>
    </row>
    <row r="72" spans="1:78" x14ac:dyDescent="0.35">
      <c r="A72">
        <v>0</v>
      </c>
      <c r="B72">
        <v>0</v>
      </c>
      <c r="C72">
        <v>0</v>
      </c>
      <c r="D72">
        <v>0</v>
      </c>
      <c r="E72">
        <v>0</v>
      </c>
      <c r="F72">
        <v>0</v>
      </c>
      <c r="G72">
        <v>0</v>
      </c>
      <c r="H72">
        <v>0</v>
      </c>
      <c r="I72">
        <v>0</v>
      </c>
      <c r="J72">
        <v>0</v>
      </c>
      <c r="K72">
        <v>0</v>
      </c>
      <c r="L72">
        <v>0</v>
      </c>
      <c r="M72">
        <v>0</v>
      </c>
      <c r="N72">
        <v>0</v>
      </c>
      <c r="O72">
        <v>0</v>
      </c>
      <c r="P72">
        <v>0</v>
      </c>
      <c r="Q72">
        <v>0</v>
      </c>
      <c r="R72">
        <v>0</v>
      </c>
      <c r="S72">
        <v>0</v>
      </c>
      <c r="T72">
        <v>0</v>
      </c>
      <c r="U72">
        <v>0</v>
      </c>
      <c r="V72">
        <v>0</v>
      </c>
      <c r="W72">
        <v>0</v>
      </c>
      <c r="X72">
        <v>0</v>
      </c>
      <c r="Y72">
        <v>0</v>
      </c>
      <c r="Z72">
        <v>0</v>
      </c>
      <c r="AA72">
        <v>0</v>
      </c>
      <c r="AB72">
        <v>0</v>
      </c>
      <c r="AC72">
        <v>0</v>
      </c>
      <c r="AD72">
        <v>0</v>
      </c>
      <c r="AF72">
        <v>0</v>
      </c>
      <c r="AG72">
        <v>0</v>
      </c>
      <c r="AH72">
        <v>0</v>
      </c>
      <c r="AI72">
        <v>0</v>
      </c>
      <c r="AJ72">
        <v>0</v>
      </c>
      <c r="AK72">
        <v>0</v>
      </c>
      <c r="AL72">
        <v>0</v>
      </c>
      <c r="AM72">
        <v>0</v>
      </c>
      <c r="AN72">
        <v>0</v>
      </c>
      <c r="AO72">
        <v>0</v>
      </c>
      <c r="AP72">
        <v>0</v>
      </c>
      <c r="AQ72">
        <v>0</v>
      </c>
      <c r="AR72">
        <v>0</v>
      </c>
      <c r="AS72">
        <v>0</v>
      </c>
      <c r="AT72">
        <v>0</v>
      </c>
      <c r="AU72">
        <v>0</v>
      </c>
      <c r="AV72">
        <v>0</v>
      </c>
      <c r="AW72">
        <v>0</v>
      </c>
      <c r="AX72">
        <v>0</v>
      </c>
      <c r="AY72">
        <v>0</v>
      </c>
      <c r="AZ72">
        <v>0</v>
      </c>
      <c r="BA72">
        <v>0</v>
      </c>
      <c r="BB72">
        <v>0</v>
      </c>
      <c r="BC72">
        <v>0</v>
      </c>
      <c r="BD72">
        <v>0</v>
      </c>
      <c r="BE72">
        <v>0</v>
      </c>
      <c r="BF72">
        <v>0</v>
      </c>
      <c r="BG72">
        <v>0</v>
      </c>
      <c r="BH72">
        <v>0</v>
      </c>
      <c r="BI72">
        <v>0</v>
      </c>
      <c r="BK72" s="151"/>
      <c r="BL72" s="68">
        <f t="shared" si="2"/>
        <v>0.71000000000000041</v>
      </c>
      <c r="BM72" s="852">
        <f ca="1">_xlfn.PERCENTILE.EXC(OFFSET('4.2.3 Monte Carlo resultater'!$A$2,0,'4.2.2 Monte Carlo-simulering'!$AB$16-1,'4.2.2 Monte Carlo-simulering'!$AB$17,1),BL72)</f>
        <v>0</v>
      </c>
      <c r="BN72" s="823"/>
      <c r="BO72" s="823"/>
      <c r="BP72" s="823"/>
      <c r="BQ72" s="823"/>
      <c r="BR72" s="823"/>
      <c r="BS72" s="823"/>
      <c r="BT72" s="823"/>
      <c r="BU72" s="823"/>
      <c r="BV72" s="823"/>
      <c r="BW72" s="823"/>
      <c r="BX72" s="823"/>
      <c r="BY72" s="823"/>
      <c r="BZ72" s="823"/>
    </row>
    <row r="73" spans="1:78" x14ac:dyDescent="0.35">
      <c r="A73">
        <v>0</v>
      </c>
      <c r="B73">
        <v>0</v>
      </c>
      <c r="C73">
        <v>0</v>
      </c>
      <c r="D73">
        <v>0</v>
      </c>
      <c r="E73">
        <v>0</v>
      </c>
      <c r="F73">
        <v>0</v>
      </c>
      <c r="G73">
        <v>0</v>
      </c>
      <c r="H73">
        <v>0</v>
      </c>
      <c r="I73">
        <v>0</v>
      </c>
      <c r="J73">
        <v>0</v>
      </c>
      <c r="K73">
        <v>0</v>
      </c>
      <c r="L73">
        <v>0</v>
      </c>
      <c r="M73">
        <v>0</v>
      </c>
      <c r="N73">
        <v>0</v>
      </c>
      <c r="O73">
        <v>0</v>
      </c>
      <c r="P73">
        <v>0</v>
      </c>
      <c r="Q73">
        <v>0</v>
      </c>
      <c r="R73">
        <v>0</v>
      </c>
      <c r="S73">
        <v>0</v>
      </c>
      <c r="T73">
        <v>0</v>
      </c>
      <c r="U73">
        <v>0</v>
      </c>
      <c r="V73">
        <v>0</v>
      </c>
      <c r="W73">
        <v>0</v>
      </c>
      <c r="X73">
        <v>0</v>
      </c>
      <c r="Y73">
        <v>0</v>
      </c>
      <c r="Z73">
        <v>0</v>
      </c>
      <c r="AA73">
        <v>0</v>
      </c>
      <c r="AB73">
        <v>0</v>
      </c>
      <c r="AC73">
        <v>0</v>
      </c>
      <c r="AD73">
        <v>0</v>
      </c>
      <c r="AF73">
        <v>0</v>
      </c>
      <c r="AG73">
        <v>0</v>
      </c>
      <c r="AH73">
        <v>0</v>
      </c>
      <c r="AI73">
        <v>0</v>
      </c>
      <c r="AJ73">
        <v>0</v>
      </c>
      <c r="AK73">
        <v>0</v>
      </c>
      <c r="AL73">
        <v>0</v>
      </c>
      <c r="AM73">
        <v>0</v>
      </c>
      <c r="AN73">
        <v>0</v>
      </c>
      <c r="AO73">
        <v>0</v>
      </c>
      <c r="AP73">
        <v>0</v>
      </c>
      <c r="AQ73">
        <v>0</v>
      </c>
      <c r="AR73">
        <v>0</v>
      </c>
      <c r="AS73">
        <v>0</v>
      </c>
      <c r="AT73">
        <v>0</v>
      </c>
      <c r="AU73">
        <v>0</v>
      </c>
      <c r="AV73">
        <v>0</v>
      </c>
      <c r="AW73">
        <v>0</v>
      </c>
      <c r="AX73">
        <v>0</v>
      </c>
      <c r="AY73">
        <v>0</v>
      </c>
      <c r="AZ73">
        <v>0</v>
      </c>
      <c r="BA73">
        <v>0</v>
      </c>
      <c r="BB73">
        <v>0</v>
      </c>
      <c r="BC73">
        <v>0</v>
      </c>
      <c r="BD73">
        <v>0</v>
      </c>
      <c r="BE73">
        <v>0</v>
      </c>
      <c r="BF73">
        <v>0</v>
      </c>
      <c r="BG73">
        <v>0</v>
      </c>
      <c r="BH73">
        <v>0</v>
      </c>
      <c r="BI73">
        <v>0</v>
      </c>
      <c r="BK73" s="151"/>
      <c r="BL73" s="68">
        <f t="shared" si="2"/>
        <v>0.72000000000000042</v>
      </c>
      <c r="BM73" s="852">
        <f ca="1">_xlfn.PERCENTILE.EXC(OFFSET('4.2.3 Monte Carlo resultater'!$A$2,0,'4.2.2 Monte Carlo-simulering'!$AB$16-1,'4.2.2 Monte Carlo-simulering'!$AB$17,1),BL73)</f>
        <v>0</v>
      </c>
      <c r="BN73" s="823"/>
      <c r="BO73" s="823"/>
      <c r="BP73" s="823"/>
      <c r="BQ73" s="823"/>
      <c r="BR73" s="823"/>
      <c r="BS73" s="823"/>
      <c r="BT73" s="823"/>
      <c r="BU73" s="823"/>
      <c r="BV73" s="823"/>
      <c r="BW73" s="823"/>
      <c r="BX73" s="823"/>
      <c r="BY73" s="823"/>
      <c r="BZ73" s="823"/>
    </row>
    <row r="74" spans="1:78" x14ac:dyDescent="0.35">
      <c r="A74">
        <v>0</v>
      </c>
      <c r="B74">
        <v>0</v>
      </c>
      <c r="C74">
        <v>0</v>
      </c>
      <c r="D74">
        <v>0</v>
      </c>
      <c r="E74">
        <v>0</v>
      </c>
      <c r="F74">
        <v>0</v>
      </c>
      <c r="G74">
        <v>0</v>
      </c>
      <c r="H74">
        <v>0</v>
      </c>
      <c r="I74">
        <v>0</v>
      </c>
      <c r="J74">
        <v>0</v>
      </c>
      <c r="K74">
        <v>0</v>
      </c>
      <c r="L74">
        <v>0</v>
      </c>
      <c r="M74">
        <v>0</v>
      </c>
      <c r="N74">
        <v>0</v>
      </c>
      <c r="O74">
        <v>0</v>
      </c>
      <c r="P74">
        <v>0</v>
      </c>
      <c r="Q74">
        <v>0</v>
      </c>
      <c r="R74">
        <v>0</v>
      </c>
      <c r="S74">
        <v>0</v>
      </c>
      <c r="T74">
        <v>0</v>
      </c>
      <c r="U74">
        <v>0</v>
      </c>
      <c r="V74">
        <v>0</v>
      </c>
      <c r="W74">
        <v>0</v>
      </c>
      <c r="X74">
        <v>0</v>
      </c>
      <c r="Y74">
        <v>0</v>
      </c>
      <c r="Z74">
        <v>0</v>
      </c>
      <c r="AA74">
        <v>0</v>
      </c>
      <c r="AB74">
        <v>0</v>
      </c>
      <c r="AC74">
        <v>0</v>
      </c>
      <c r="AD74">
        <v>0</v>
      </c>
      <c r="AF74">
        <v>0</v>
      </c>
      <c r="AG74">
        <v>0</v>
      </c>
      <c r="AH74">
        <v>0</v>
      </c>
      <c r="AI74">
        <v>0</v>
      </c>
      <c r="AJ74">
        <v>0</v>
      </c>
      <c r="AK74">
        <v>0</v>
      </c>
      <c r="AL74">
        <v>0</v>
      </c>
      <c r="AM74">
        <v>0</v>
      </c>
      <c r="AN74">
        <v>0</v>
      </c>
      <c r="AO74">
        <v>0</v>
      </c>
      <c r="AP74">
        <v>0</v>
      </c>
      <c r="AQ74">
        <v>0</v>
      </c>
      <c r="AR74">
        <v>0</v>
      </c>
      <c r="AS74">
        <v>0</v>
      </c>
      <c r="AT74">
        <v>0</v>
      </c>
      <c r="AU74">
        <v>0</v>
      </c>
      <c r="AV74">
        <v>0</v>
      </c>
      <c r="AW74">
        <v>0</v>
      </c>
      <c r="AX74">
        <v>0</v>
      </c>
      <c r="AY74">
        <v>0</v>
      </c>
      <c r="AZ74">
        <v>0</v>
      </c>
      <c r="BA74">
        <v>0</v>
      </c>
      <c r="BB74">
        <v>0</v>
      </c>
      <c r="BC74">
        <v>0</v>
      </c>
      <c r="BD74">
        <v>0</v>
      </c>
      <c r="BE74">
        <v>0</v>
      </c>
      <c r="BF74">
        <v>0</v>
      </c>
      <c r="BG74">
        <v>0</v>
      </c>
      <c r="BH74">
        <v>0</v>
      </c>
      <c r="BI74">
        <v>0</v>
      </c>
      <c r="BK74" s="151"/>
      <c r="BL74" s="68">
        <f t="shared" si="2"/>
        <v>0.73000000000000043</v>
      </c>
      <c r="BM74" s="852">
        <f ca="1">_xlfn.PERCENTILE.EXC(OFFSET('4.2.3 Monte Carlo resultater'!$A$2,0,'4.2.2 Monte Carlo-simulering'!$AB$16-1,'4.2.2 Monte Carlo-simulering'!$AB$17,1),BL74)</f>
        <v>0</v>
      </c>
      <c r="BN74" s="823"/>
      <c r="BO74" s="823"/>
      <c r="BP74" s="823"/>
      <c r="BQ74" s="823"/>
      <c r="BR74" s="823"/>
      <c r="BS74" s="823"/>
      <c r="BT74" s="823"/>
      <c r="BU74" s="823"/>
      <c r="BV74" s="823"/>
      <c r="BW74" s="823"/>
      <c r="BX74" s="823"/>
      <c r="BY74" s="823"/>
      <c r="BZ74" s="823"/>
    </row>
    <row r="75" spans="1:78" x14ac:dyDescent="0.35">
      <c r="A75">
        <v>0</v>
      </c>
      <c r="B75">
        <v>0</v>
      </c>
      <c r="C75">
        <v>0</v>
      </c>
      <c r="D75">
        <v>0</v>
      </c>
      <c r="E75">
        <v>0</v>
      </c>
      <c r="F75">
        <v>0</v>
      </c>
      <c r="G75">
        <v>0</v>
      </c>
      <c r="H75">
        <v>0</v>
      </c>
      <c r="I75">
        <v>0</v>
      </c>
      <c r="J75">
        <v>0</v>
      </c>
      <c r="K75">
        <v>0</v>
      </c>
      <c r="L75">
        <v>0</v>
      </c>
      <c r="M75">
        <v>0</v>
      </c>
      <c r="N75">
        <v>0</v>
      </c>
      <c r="O75">
        <v>0</v>
      </c>
      <c r="P75">
        <v>0</v>
      </c>
      <c r="Q75">
        <v>0</v>
      </c>
      <c r="R75">
        <v>0</v>
      </c>
      <c r="S75">
        <v>0</v>
      </c>
      <c r="T75">
        <v>0</v>
      </c>
      <c r="U75">
        <v>0</v>
      </c>
      <c r="V75">
        <v>0</v>
      </c>
      <c r="W75">
        <v>0</v>
      </c>
      <c r="X75">
        <v>0</v>
      </c>
      <c r="Y75">
        <v>0</v>
      </c>
      <c r="Z75">
        <v>0</v>
      </c>
      <c r="AA75">
        <v>0</v>
      </c>
      <c r="AB75">
        <v>0</v>
      </c>
      <c r="AC75">
        <v>0</v>
      </c>
      <c r="AD75">
        <v>0</v>
      </c>
      <c r="AF75">
        <v>0</v>
      </c>
      <c r="AG75">
        <v>0</v>
      </c>
      <c r="AH75">
        <v>0</v>
      </c>
      <c r="AI75">
        <v>0</v>
      </c>
      <c r="AJ75">
        <v>0</v>
      </c>
      <c r="AK75">
        <v>0</v>
      </c>
      <c r="AL75">
        <v>0</v>
      </c>
      <c r="AM75">
        <v>0</v>
      </c>
      <c r="AN75">
        <v>0</v>
      </c>
      <c r="AO75">
        <v>0</v>
      </c>
      <c r="AP75">
        <v>0</v>
      </c>
      <c r="AQ75">
        <v>0</v>
      </c>
      <c r="AR75">
        <v>0</v>
      </c>
      <c r="AS75">
        <v>0</v>
      </c>
      <c r="AT75">
        <v>0</v>
      </c>
      <c r="AU75">
        <v>0</v>
      </c>
      <c r="AV75">
        <v>0</v>
      </c>
      <c r="AW75">
        <v>0</v>
      </c>
      <c r="AX75">
        <v>0</v>
      </c>
      <c r="AY75">
        <v>0</v>
      </c>
      <c r="AZ75">
        <v>0</v>
      </c>
      <c r="BA75">
        <v>0</v>
      </c>
      <c r="BB75">
        <v>0</v>
      </c>
      <c r="BC75">
        <v>0</v>
      </c>
      <c r="BD75">
        <v>0</v>
      </c>
      <c r="BE75">
        <v>0</v>
      </c>
      <c r="BF75">
        <v>0</v>
      </c>
      <c r="BG75">
        <v>0</v>
      </c>
      <c r="BH75">
        <v>0</v>
      </c>
      <c r="BI75">
        <v>0</v>
      </c>
      <c r="BK75" s="151"/>
      <c r="BL75" s="68">
        <f t="shared" si="2"/>
        <v>0.74000000000000044</v>
      </c>
      <c r="BM75" s="852">
        <f ca="1">_xlfn.PERCENTILE.EXC(OFFSET('4.2.3 Monte Carlo resultater'!$A$2,0,'4.2.2 Monte Carlo-simulering'!$AB$16-1,'4.2.2 Monte Carlo-simulering'!$AB$17,1),BL75)</f>
        <v>0</v>
      </c>
      <c r="BN75" s="823"/>
      <c r="BO75" s="823"/>
      <c r="BP75" s="823"/>
      <c r="BQ75" s="823"/>
      <c r="BR75" s="823"/>
      <c r="BS75" s="823"/>
      <c r="BT75" s="823"/>
      <c r="BU75" s="823"/>
      <c r="BV75" s="823"/>
      <c r="BW75" s="823"/>
      <c r="BX75" s="823"/>
      <c r="BY75" s="823"/>
      <c r="BZ75" s="823"/>
    </row>
    <row r="76" spans="1:78" x14ac:dyDescent="0.35">
      <c r="A76">
        <v>0</v>
      </c>
      <c r="B76">
        <v>0</v>
      </c>
      <c r="C76">
        <v>0</v>
      </c>
      <c r="D76">
        <v>0</v>
      </c>
      <c r="E76">
        <v>0</v>
      </c>
      <c r="F76">
        <v>0</v>
      </c>
      <c r="G76">
        <v>0</v>
      </c>
      <c r="H76">
        <v>0</v>
      </c>
      <c r="I76">
        <v>0</v>
      </c>
      <c r="J76">
        <v>0</v>
      </c>
      <c r="K76">
        <v>0</v>
      </c>
      <c r="L76">
        <v>0</v>
      </c>
      <c r="M76">
        <v>0</v>
      </c>
      <c r="N76">
        <v>0</v>
      </c>
      <c r="O76">
        <v>0</v>
      </c>
      <c r="P76">
        <v>0</v>
      </c>
      <c r="Q76">
        <v>0</v>
      </c>
      <c r="R76">
        <v>0</v>
      </c>
      <c r="S76">
        <v>0</v>
      </c>
      <c r="T76">
        <v>0</v>
      </c>
      <c r="U76">
        <v>0</v>
      </c>
      <c r="V76">
        <v>0</v>
      </c>
      <c r="W76">
        <v>0</v>
      </c>
      <c r="X76">
        <v>0</v>
      </c>
      <c r="Y76">
        <v>0</v>
      </c>
      <c r="Z76">
        <v>0</v>
      </c>
      <c r="AA76">
        <v>0</v>
      </c>
      <c r="AB76">
        <v>0</v>
      </c>
      <c r="AC76">
        <v>0</v>
      </c>
      <c r="AD76">
        <v>0</v>
      </c>
      <c r="AF76">
        <v>0</v>
      </c>
      <c r="AG76">
        <v>0</v>
      </c>
      <c r="AH76">
        <v>0</v>
      </c>
      <c r="AI76">
        <v>0</v>
      </c>
      <c r="AJ76">
        <v>0</v>
      </c>
      <c r="AK76">
        <v>0</v>
      </c>
      <c r="AL76">
        <v>0</v>
      </c>
      <c r="AM76">
        <v>0</v>
      </c>
      <c r="AN76">
        <v>0</v>
      </c>
      <c r="AO76">
        <v>0</v>
      </c>
      <c r="AP76">
        <v>0</v>
      </c>
      <c r="AQ76">
        <v>0</v>
      </c>
      <c r="AR76">
        <v>0</v>
      </c>
      <c r="AS76">
        <v>0</v>
      </c>
      <c r="AT76">
        <v>0</v>
      </c>
      <c r="AU76">
        <v>0</v>
      </c>
      <c r="AV76">
        <v>0</v>
      </c>
      <c r="AW76">
        <v>0</v>
      </c>
      <c r="AX76">
        <v>0</v>
      </c>
      <c r="AY76">
        <v>0</v>
      </c>
      <c r="AZ76">
        <v>0</v>
      </c>
      <c r="BA76">
        <v>0</v>
      </c>
      <c r="BB76">
        <v>0</v>
      </c>
      <c r="BC76">
        <v>0</v>
      </c>
      <c r="BD76">
        <v>0</v>
      </c>
      <c r="BE76">
        <v>0</v>
      </c>
      <c r="BF76">
        <v>0</v>
      </c>
      <c r="BG76">
        <v>0</v>
      </c>
      <c r="BH76">
        <v>0</v>
      </c>
      <c r="BI76">
        <v>0</v>
      </c>
      <c r="BK76" s="151"/>
      <c r="BL76" s="68">
        <f t="shared" si="2"/>
        <v>0.75000000000000044</v>
      </c>
      <c r="BM76" s="852">
        <f ca="1">_xlfn.PERCENTILE.EXC(OFFSET('4.2.3 Monte Carlo resultater'!$A$2,0,'4.2.2 Monte Carlo-simulering'!$AB$16-1,'4.2.2 Monte Carlo-simulering'!$AB$17,1),BL76)</f>
        <v>0</v>
      </c>
      <c r="BN76" s="823"/>
      <c r="BO76" s="823"/>
      <c r="BP76" s="823"/>
      <c r="BQ76" s="823"/>
      <c r="BR76" s="823"/>
      <c r="BS76" s="823"/>
      <c r="BT76" s="823"/>
      <c r="BU76" s="823"/>
      <c r="BV76" s="823"/>
      <c r="BW76" s="823"/>
      <c r="BX76" s="823"/>
      <c r="BY76" s="823"/>
      <c r="BZ76" s="823"/>
    </row>
    <row r="77" spans="1:78" x14ac:dyDescent="0.35">
      <c r="A77">
        <v>0</v>
      </c>
      <c r="B77">
        <v>0</v>
      </c>
      <c r="C77">
        <v>0</v>
      </c>
      <c r="D77">
        <v>0</v>
      </c>
      <c r="E77">
        <v>0</v>
      </c>
      <c r="F77">
        <v>0</v>
      </c>
      <c r="G77">
        <v>0</v>
      </c>
      <c r="H77">
        <v>0</v>
      </c>
      <c r="I77">
        <v>0</v>
      </c>
      <c r="J77">
        <v>0</v>
      </c>
      <c r="K77">
        <v>0</v>
      </c>
      <c r="L77">
        <v>0</v>
      </c>
      <c r="M77">
        <v>0</v>
      </c>
      <c r="N77">
        <v>0</v>
      </c>
      <c r="O77">
        <v>0</v>
      </c>
      <c r="P77">
        <v>0</v>
      </c>
      <c r="Q77">
        <v>0</v>
      </c>
      <c r="R77">
        <v>0</v>
      </c>
      <c r="S77">
        <v>0</v>
      </c>
      <c r="T77">
        <v>0</v>
      </c>
      <c r="U77">
        <v>0</v>
      </c>
      <c r="V77">
        <v>0</v>
      </c>
      <c r="W77">
        <v>0</v>
      </c>
      <c r="X77">
        <v>0</v>
      </c>
      <c r="Y77">
        <v>0</v>
      </c>
      <c r="Z77">
        <v>0</v>
      </c>
      <c r="AA77">
        <v>0</v>
      </c>
      <c r="AB77">
        <v>0</v>
      </c>
      <c r="AC77">
        <v>0</v>
      </c>
      <c r="AD77">
        <v>0</v>
      </c>
      <c r="AF77">
        <v>0</v>
      </c>
      <c r="AG77">
        <v>0</v>
      </c>
      <c r="AH77">
        <v>0</v>
      </c>
      <c r="AI77">
        <v>0</v>
      </c>
      <c r="AJ77">
        <v>0</v>
      </c>
      <c r="AK77">
        <v>0</v>
      </c>
      <c r="AL77">
        <v>0</v>
      </c>
      <c r="AM77">
        <v>0</v>
      </c>
      <c r="AN77">
        <v>0</v>
      </c>
      <c r="AO77">
        <v>0</v>
      </c>
      <c r="AP77">
        <v>0</v>
      </c>
      <c r="AQ77">
        <v>0</v>
      </c>
      <c r="AR77">
        <v>0</v>
      </c>
      <c r="AS77">
        <v>0</v>
      </c>
      <c r="AT77">
        <v>0</v>
      </c>
      <c r="AU77">
        <v>0</v>
      </c>
      <c r="AV77">
        <v>0</v>
      </c>
      <c r="AW77">
        <v>0</v>
      </c>
      <c r="AX77">
        <v>0</v>
      </c>
      <c r="AY77">
        <v>0</v>
      </c>
      <c r="AZ77">
        <v>0</v>
      </c>
      <c r="BA77">
        <v>0</v>
      </c>
      <c r="BB77">
        <v>0</v>
      </c>
      <c r="BC77">
        <v>0</v>
      </c>
      <c r="BD77">
        <v>0</v>
      </c>
      <c r="BE77">
        <v>0</v>
      </c>
      <c r="BF77">
        <v>0</v>
      </c>
      <c r="BG77">
        <v>0</v>
      </c>
      <c r="BH77">
        <v>0</v>
      </c>
      <c r="BI77">
        <v>0</v>
      </c>
      <c r="BK77" s="151"/>
      <c r="BL77" s="68">
        <f t="shared" si="2"/>
        <v>0.76000000000000045</v>
      </c>
      <c r="BM77" s="852">
        <f ca="1">_xlfn.PERCENTILE.EXC(OFFSET('4.2.3 Monte Carlo resultater'!$A$2,0,'4.2.2 Monte Carlo-simulering'!$AB$16-1,'4.2.2 Monte Carlo-simulering'!$AB$17,1),BL77)</f>
        <v>0</v>
      </c>
      <c r="BN77" s="823"/>
      <c r="BO77" s="823"/>
      <c r="BP77" s="823"/>
      <c r="BQ77" s="823"/>
      <c r="BR77" s="823"/>
      <c r="BS77" s="823"/>
      <c r="BT77" s="823"/>
      <c r="BU77" s="823"/>
      <c r="BV77" s="823"/>
      <c r="BW77" s="823"/>
      <c r="BX77" s="823"/>
      <c r="BY77" s="823"/>
      <c r="BZ77" s="823"/>
    </row>
    <row r="78" spans="1:78" x14ac:dyDescent="0.35">
      <c r="A78">
        <v>0</v>
      </c>
      <c r="B78">
        <v>0</v>
      </c>
      <c r="C78">
        <v>0</v>
      </c>
      <c r="D78">
        <v>0</v>
      </c>
      <c r="E78">
        <v>0</v>
      </c>
      <c r="F78">
        <v>0</v>
      </c>
      <c r="G78">
        <v>0</v>
      </c>
      <c r="H78">
        <v>0</v>
      </c>
      <c r="I78">
        <v>0</v>
      </c>
      <c r="J78">
        <v>0</v>
      </c>
      <c r="K78">
        <v>0</v>
      </c>
      <c r="L78">
        <v>0</v>
      </c>
      <c r="M78">
        <v>0</v>
      </c>
      <c r="N78">
        <v>0</v>
      </c>
      <c r="O78">
        <v>0</v>
      </c>
      <c r="P78">
        <v>0</v>
      </c>
      <c r="Q78">
        <v>0</v>
      </c>
      <c r="R78">
        <v>0</v>
      </c>
      <c r="S78">
        <v>0</v>
      </c>
      <c r="T78">
        <v>0</v>
      </c>
      <c r="U78">
        <v>0</v>
      </c>
      <c r="V78">
        <v>0</v>
      </c>
      <c r="W78">
        <v>0</v>
      </c>
      <c r="X78">
        <v>0</v>
      </c>
      <c r="Y78">
        <v>0</v>
      </c>
      <c r="Z78">
        <v>0</v>
      </c>
      <c r="AA78">
        <v>0</v>
      </c>
      <c r="AB78">
        <v>0</v>
      </c>
      <c r="AC78">
        <v>0</v>
      </c>
      <c r="AD78">
        <v>0</v>
      </c>
      <c r="AF78">
        <v>0</v>
      </c>
      <c r="AG78">
        <v>0</v>
      </c>
      <c r="AH78">
        <v>0</v>
      </c>
      <c r="AI78">
        <v>0</v>
      </c>
      <c r="AJ78">
        <v>0</v>
      </c>
      <c r="AK78">
        <v>0</v>
      </c>
      <c r="AL78">
        <v>0</v>
      </c>
      <c r="AM78">
        <v>0</v>
      </c>
      <c r="AN78">
        <v>0</v>
      </c>
      <c r="AO78">
        <v>0</v>
      </c>
      <c r="AP78">
        <v>0</v>
      </c>
      <c r="AQ78">
        <v>0</v>
      </c>
      <c r="AR78">
        <v>0</v>
      </c>
      <c r="AS78">
        <v>0</v>
      </c>
      <c r="AT78">
        <v>0</v>
      </c>
      <c r="AU78">
        <v>0</v>
      </c>
      <c r="AV78">
        <v>0</v>
      </c>
      <c r="AW78">
        <v>0</v>
      </c>
      <c r="AX78">
        <v>0</v>
      </c>
      <c r="AY78">
        <v>0</v>
      </c>
      <c r="AZ78">
        <v>0</v>
      </c>
      <c r="BA78">
        <v>0</v>
      </c>
      <c r="BB78">
        <v>0</v>
      </c>
      <c r="BC78">
        <v>0</v>
      </c>
      <c r="BD78">
        <v>0</v>
      </c>
      <c r="BE78">
        <v>0</v>
      </c>
      <c r="BF78">
        <v>0</v>
      </c>
      <c r="BG78">
        <v>0</v>
      </c>
      <c r="BH78">
        <v>0</v>
      </c>
      <c r="BI78">
        <v>0</v>
      </c>
      <c r="BK78" s="151"/>
      <c r="BL78" s="68">
        <f t="shared" si="2"/>
        <v>0.77000000000000046</v>
      </c>
      <c r="BM78" s="852">
        <f ca="1">_xlfn.PERCENTILE.EXC(OFFSET('4.2.3 Monte Carlo resultater'!$A$2,0,'4.2.2 Monte Carlo-simulering'!$AB$16-1,'4.2.2 Monte Carlo-simulering'!$AB$17,1),BL78)</f>
        <v>0</v>
      </c>
      <c r="BN78" s="823"/>
      <c r="BO78" s="823"/>
      <c r="BP78" s="823"/>
      <c r="BQ78" s="823"/>
      <c r="BR78" s="823"/>
      <c r="BS78" s="823"/>
      <c r="BT78" s="823"/>
      <c r="BU78" s="823"/>
      <c r="BV78" s="823"/>
      <c r="BW78" s="823"/>
      <c r="BX78" s="823"/>
      <c r="BY78" s="823"/>
      <c r="BZ78" s="823"/>
    </row>
    <row r="79" spans="1:78" x14ac:dyDescent="0.35">
      <c r="A79">
        <v>0</v>
      </c>
      <c r="B79">
        <v>0</v>
      </c>
      <c r="C79">
        <v>0</v>
      </c>
      <c r="D79">
        <v>0</v>
      </c>
      <c r="E79">
        <v>0</v>
      </c>
      <c r="F79">
        <v>0</v>
      </c>
      <c r="G79">
        <v>0</v>
      </c>
      <c r="H79">
        <v>0</v>
      </c>
      <c r="I79">
        <v>0</v>
      </c>
      <c r="J79">
        <v>0</v>
      </c>
      <c r="K79">
        <v>0</v>
      </c>
      <c r="L79">
        <v>0</v>
      </c>
      <c r="M79">
        <v>0</v>
      </c>
      <c r="N79">
        <v>0</v>
      </c>
      <c r="O79">
        <v>0</v>
      </c>
      <c r="P79">
        <v>0</v>
      </c>
      <c r="Q79">
        <v>0</v>
      </c>
      <c r="R79">
        <v>0</v>
      </c>
      <c r="S79">
        <v>0</v>
      </c>
      <c r="T79">
        <v>0</v>
      </c>
      <c r="U79">
        <v>0</v>
      </c>
      <c r="V79">
        <v>0</v>
      </c>
      <c r="W79">
        <v>0</v>
      </c>
      <c r="X79">
        <v>0</v>
      </c>
      <c r="Y79">
        <v>0</v>
      </c>
      <c r="Z79">
        <v>0</v>
      </c>
      <c r="AA79">
        <v>0</v>
      </c>
      <c r="AB79">
        <v>0</v>
      </c>
      <c r="AC79">
        <v>0</v>
      </c>
      <c r="AD79">
        <v>0</v>
      </c>
      <c r="AF79">
        <v>0</v>
      </c>
      <c r="AG79">
        <v>0</v>
      </c>
      <c r="AH79">
        <v>0</v>
      </c>
      <c r="AI79">
        <v>0</v>
      </c>
      <c r="AJ79">
        <v>0</v>
      </c>
      <c r="AK79">
        <v>0</v>
      </c>
      <c r="AL79">
        <v>0</v>
      </c>
      <c r="AM79">
        <v>0</v>
      </c>
      <c r="AN79">
        <v>0</v>
      </c>
      <c r="AO79">
        <v>0</v>
      </c>
      <c r="AP79">
        <v>0</v>
      </c>
      <c r="AQ79">
        <v>0</v>
      </c>
      <c r="AR79">
        <v>0</v>
      </c>
      <c r="AS79">
        <v>0</v>
      </c>
      <c r="AT79">
        <v>0</v>
      </c>
      <c r="AU79">
        <v>0</v>
      </c>
      <c r="AV79">
        <v>0</v>
      </c>
      <c r="AW79">
        <v>0</v>
      </c>
      <c r="AX79">
        <v>0</v>
      </c>
      <c r="AY79">
        <v>0</v>
      </c>
      <c r="AZ79">
        <v>0</v>
      </c>
      <c r="BA79">
        <v>0</v>
      </c>
      <c r="BB79">
        <v>0</v>
      </c>
      <c r="BC79">
        <v>0</v>
      </c>
      <c r="BD79">
        <v>0</v>
      </c>
      <c r="BE79">
        <v>0</v>
      </c>
      <c r="BF79">
        <v>0</v>
      </c>
      <c r="BG79">
        <v>0</v>
      </c>
      <c r="BH79">
        <v>0</v>
      </c>
      <c r="BI79">
        <v>0</v>
      </c>
      <c r="BK79" s="151"/>
      <c r="BL79" s="68">
        <f t="shared" si="2"/>
        <v>0.78000000000000047</v>
      </c>
      <c r="BM79" s="852">
        <f ca="1">_xlfn.PERCENTILE.EXC(OFFSET('4.2.3 Monte Carlo resultater'!$A$2,0,'4.2.2 Monte Carlo-simulering'!$AB$16-1,'4.2.2 Monte Carlo-simulering'!$AB$17,1),BL79)</f>
        <v>0</v>
      </c>
      <c r="BN79" s="823"/>
      <c r="BO79" s="823"/>
      <c r="BP79" s="823"/>
      <c r="BQ79" s="823"/>
      <c r="BR79" s="823"/>
      <c r="BS79" s="823"/>
      <c r="BT79" s="823"/>
      <c r="BU79" s="823"/>
      <c r="BV79" s="823"/>
      <c r="BW79" s="823"/>
      <c r="BX79" s="823"/>
      <c r="BY79" s="823"/>
      <c r="BZ79" s="823"/>
    </row>
    <row r="80" spans="1:78" x14ac:dyDescent="0.35">
      <c r="A80">
        <v>0</v>
      </c>
      <c r="B80">
        <v>0</v>
      </c>
      <c r="C80">
        <v>0</v>
      </c>
      <c r="D80">
        <v>0</v>
      </c>
      <c r="E80">
        <v>0</v>
      </c>
      <c r="F80">
        <v>0</v>
      </c>
      <c r="G80">
        <v>0</v>
      </c>
      <c r="H80">
        <v>0</v>
      </c>
      <c r="I80">
        <v>0</v>
      </c>
      <c r="J80">
        <v>0</v>
      </c>
      <c r="K80">
        <v>0</v>
      </c>
      <c r="L80">
        <v>0</v>
      </c>
      <c r="M80">
        <v>0</v>
      </c>
      <c r="N80">
        <v>0</v>
      </c>
      <c r="O80">
        <v>0</v>
      </c>
      <c r="P80">
        <v>0</v>
      </c>
      <c r="Q80">
        <v>0</v>
      </c>
      <c r="R80">
        <v>0</v>
      </c>
      <c r="S80">
        <v>0</v>
      </c>
      <c r="T80">
        <v>0</v>
      </c>
      <c r="U80">
        <v>0</v>
      </c>
      <c r="V80">
        <v>0</v>
      </c>
      <c r="W80">
        <v>0</v>
      </c>
      <c r="X80">
        <v>0</v>
      </c>
      <c r="Y80">
        <v>0</v>
      </c>
      <c r="Z80">
        <v>0</v>
      </c>
      <c r="AA80">
        <v>0</v>
      </c>
      <c r="AB80">
        <v>0</v>
      </c>
      <c r="AC80">
        <v>0</v>
      </c>
      <c r="AD80">
        <v>0</v>
      </c>
      <c r="AF80">
        <v>0</v>
      </c>
      <c r="AG80">
        <v>0</v>
      </c>
      <c r="AH80">
        <v>0</v>
      </c>
      <c r="AI80">
        <v>0</v>
      </c>
      <c r="AJ80">
        <v>0</v>
      </c>
      <c r="AK80">
        <v>0</v>
      </c>
      <c r="AL80">
        <v>0</v>
      </c>
      <c r="AM80">
        <v>0</v>
      </c>
      <c r="AN80">
        <v>0</v>
      </c>
      <c r="AO80">
        <v>0</v>
      </c>
      <c r="AP80">
        <v>0</v>
      </c>
      <c r="AQ80">
        <v>0</v>
      </c>
      <c r="AR80">
        <v>0</v>
      </c>
      <c r="AS80">
        <v>0</v>
      </c>
      <c r="AT80">
        <v>0</v>
      </c>
      <c r="AU80">
        <v>0</v>
      </c>
      <c r="AV80">
        <v>0</v>
      </c>
      <c r="AW80">
        <v>0</v>
      </c>
      <c r="AX80">
        <v>0</v>
      </c>
      <c r="AY80">
        <v>0</v>
      </c>
      <c r="AZ80">
        <v>0</v>
      </c>
      <c r="BA80">
        <v>0</v>
      </c>
      <c r="BB80">
        <v>0</v>
      </c>
      <c r="BC80">
        <v>0</v>
      </c>
      <c r="BD80">
        <v>0</v>
      </c>
      <c r="BE80">
        <v>0</v>
      </c>
      <c r="BF80">
        <v>0</v>
      </c>
      <c r="BG80">
        <v>0</v>
      </c>
      <c r="BH80">
        <v>0</v>
      </c>
      <c r="BI80">
        <v>0</v>
      </c>
      <c r="BK80" s="151"/>
      <c r="BL80" s="68">
        <f t="shared" si="2"/>
        <v>0.79000000000000048</v>
      </c>
      <c r="BM80" s="852">
        <f ca="1">_xlfn.PERCENTILE.EXC(OFFSET('4.2.3 Monte Carlo resultater'!$A$2,0,'4.2.2 Monte Carlo-simulering'!$AB$16-1,'4.2.2 Monte Carlo-simulering'!$AB$17,1),BL80)</f>
        <v>0</v>
      </c>
      <c r="BN80" s="823"/>
      <c r="BO80" s="823"/>
      <c r="BP80" s="823"/>
      <c r="BQ80" s="823"/>
      <c r="BR80" s="823"/>
      <c r="BS80" s="823"/>
      <c r="BT80" s="823"/>
      <c r="BU80" s="823"/>
      <c r="BV80" s="823"/>
      <c r="BW80" s="823"/>
      <c r="BX80" s="823"/>
      <c r="BY80" s="823"/>
      <c r="BZ80" s="823"/>
    </row>
    <row r="81" spans="1:78" x14ac:dyDescent="0.35">
      <c r="A81">
        <v>0</v>
      </c>
      <c r="B81">
        <v>0</v>
      </c>
      <c r="C81">
        <v>0</v>
      </c>
      <c r="D81">
        <v>0</v>
      </c>
      <c r="E81">
        <v>0</v>
      </c>
      <c r="F81">
        <v>0</v>
      </c>
      <c r="G81">
        <v>0</v>
      </c>
      <c r="H81">
        <v>0</v>
      </c>
      <c r="I81">
        <v>0</v>
      </c>
      <c r="J81">
        <v>0</v>
      </c>
      <c r="K81">
        <v>0</v>
      </c>
      <c r="L81">
        <v>0</v>
      </c>
      <c r="M81">
        <v>0</v>
      </c>
      <c r="N81">
        <v>0</v>
      </c>
      <c r="O81">
        <v>0</v>
      </c>
      <c r="P81">
        <v>0</v>
      </c>
      <c r="Q81">
        <v>0</v>
      </c>
      <c r="R81">
        <v>0</v>
      </c>
      <c r="S81">
        <v>0</v>
      </c>
      <c r="T81">
        <v>0</v>
      </c>
      <c r="U81">
        <v>0</v>
      </c>
      <c r="V81">
        <v>0</v>
      </c>
      <c r="W81">
        <v>0</v>
      </c>
      <c r="X81">
        <v>0</v>
      </c>
      <c r="Y81">
        <v>0</v>
      </c>
      <c r="Z81">
        <v>0</v>
      </c>
      <c r="AA81">
        <v>0</v>
      </c>
      <c r="AB81">
        <v>0</v>
      </c>
      <c r="AC81">
        <v>0</v>
      </c>
      <c r="AD81">
        <v>0</v>
      </c>
      <c r="AF81">
        <v>0</v>
      </c>
      <c r="AG81">
        <v>0</v>
      </c>
      <c r="AH81">
        <v>0</v>
      </c>
      <c r="AI81">
        <v>0</v>
      </c>
      <c r="AJ81">
        <v>0</v>
      </c>
      <c r="AK81">
        <v>0</v>
      </c>
      <c r="AL81">
        <v>0</v>
      </c>
      <c r="AM81">
        <v>0</v>
      </c>
      <c r="AN81">
        <v>0</v>
      </c>
      <c r="AO81">
        <v>0</v>
      </c>
      <c r="AP81">
        <v>0</v>
      </c>
      <c r="AQ81">
        <v>0</v>
      </c>
      <c r="AR81">
        <v>0</v>
      </c>
      <c r="AS81">
        <v>0</v>
      </c>
      <c r="AT81">
        <v>0</v>
      </c>
      <c r="AU81">
        <v>0</v>
      </c>
      <c r="AV81">
        <v>0</v>
      </c>
      <c r="AW81">
        <v>0</v>
      </c>
      <c r="AX81">
        <v>0</v>
      </c>
      <c r="AY81">
        <v>0</v>
      </c>
      <c r="AZ81">
        <v>0</v>
      </c>
      <c r="BA81">
        <v>0</v>
      </c>
      <c r="BB81">
        <v>0</v>
      </c>
      <c r="BC81">
        <v>0</v>
      </c>
      <c r="BD81">
        <v>0</v>
      </c>
      <c r="BE81">
        <v>0</v>
      </c>
      <c r="BF81">
        <v>0</v>
      </c>
      <c r="BG81">
        <v>0</v>
      </c>
      <c r="BH81">
        <v>0</v>
      </c>
      <c r="BI81">
        <v>0</v>
      </c>
      <c r="BK81" s="151"/>
      <c r="BL81" s="68">
        <f t="shared" si="2"/>
        <v>0.80000000000000049</v>
      </c>
      <c r="BM81" s="852">
        <f ca="1">_xlfn.PERCENTILE.EXC(OFFSET('4.2.3 Monte Carlo resultater'!$A$2,0,'4.2.2 Monte Carlo-simulering'!$AB$16-1,'4.2.2 Monte Carlo-simulering'!$AB$17,1),BL81)</f>
        <v>0</v>
      </c>
      <c r="BN81" s="823"/>
      <c r="BO81" s="823"/>
      <c r="BP81" s="823"/>
      <c r="BQ81" s="823"/>
      <c r="BR81" s="823"/>
      <c r="BS81" s="823"/>
      <c r="BT81" s="823"/>
      <c r="BU81" s="823"/>
      <c r="BV81" s="823"/>
      <c r="BW81" s="823"/>
      <c r="BX81" s="823"/>
      <c r="BY81" s="823"/>
      <c r="BZ81" s="823"/>
    </row>
    <row r="82" spans="1:78" x14ac:dyDescent="0.35">
      <c r="A82">
        <v>0</v>
      </c>
      <c r="B82">
        <v>0</v>
      </c>
      <c r="C82">
        <v>0</v>
      </c>
      <c r="D82">
        <v>0</v>
      </c>
      <c r="E82">
        <v>0</v>
      </c>
      <c r="F82">
        <v>0</v>
      </c>
      <c r="G82">
        <v>0</v>
      </c>
      <c r="H82">
        <v>0</v>
      </c>
      <c r="I82">
        <v>0</v>
      </c>
      <c r="J82">
        <v>0</v>
      </c>
      <c r="K82">
        <v>0</v>
      </c>
      <c r="L82">
        <v>0</v>
      </c>
      <c r="M82">
        <v>0</v>
      </c>
      <c r="N82">
        <v>0</v>
      </c>
      <c r="O82">
        <v>0</v>
      </c>
      <c r="P82">
        <v>0</v>
      </c>
      <c r="Q82">
        <v>0</v>
      </c>
      <c r="R82">
        <v>0</v>
      </c>
      <c r="S82">
        <v>0</v>
      </c>
      <c r="T82">
        <v>0</v>
      </c>
      <c r="U82">
        <v>0</v>
      </c>
      <c r="V82">
        <v>0</v>
      </c>
      <c r="W82">
        <v>0</v>
      </c>
      <c r="X82">
        <v>0</v>
      </c>
      <c r="Y82">
        <v>0</v>
      </c>
      <c r="Z82">
        <v>0</v>
      </c>
      <c r="AA82">
        <v>0</v>
      </c>
      <c r="AB82">
        <v>0</v>
      </c>
      <c r="AC82">
        <v>0</v>
      </c>
      <c r="AD82">
        <v>0</v>
      </c>
      <c r="AF82">
        <v>0</v>
      </c>
      <c r="AG82">
        <v>0</v>
      </c>
      <c r="AH82">
        <v>0</v>
      </c>
      <c r="AI82">
        <v>0</v>
      </c>
      <c r="AJ82">
        <v>0</v>
      </c>
      <c r="AK82">
        <v>0</v>
      </c>
      <c r="AL82">
        <v>0</v>
      </c>
      <c r="AM82">
        <v>0</v>
      </c>
      <c r="AN82">
        <v>0</v>
      </c>
      <c r="AO82">
        <v>0</v>
      </c>
      <c r="AP82">
        <v>0</v>
      </c>
      <c r="AQ82">
        <v>0</v>
      </c>
      <c r="AR82">
        <v>0</v>
      </c>
      <c r="AS82">
        <v>0</v>
      </c>
      <c r="AT82">
        <v>0</v>
      </c>
      <c r="AU82">
        <v>0</v>
      </c>
      <c r="AV82">
        <v>0</v>
      </c>
      <c r="AW82">
        <v>0</v>
      </c>
      <c r="AX82">
        <v>0</v>
      </c>
      <c r="AY82">
        <v>0</v>
      </c>
      <c r="AZ82">
        <v>0</v>
      </c>
      <c r="BA82">
        <v>0</v>
      </c>
      <c r="BB82">
        <v>0</v>
      </c>
      <c r="BC82">
        <v>0</v>
      </c>
      <c r="BD82">
        <v>0</v>
      </c>
      <c r="BE82">
        <v>0</v>
      </c>
      <c r="BF82">
        <v>0</v>
      </c>
      <c r="BG82">
        <v>0</v>
      </c>
      <c r="BH82">
        <v>0</v>
      </c>
      <c r="BI82">
        <v>0</v>
      </c>
      <c r="BK82" s="151"/>
      <c r="BL82" s="68">
        <f t="shared" si="2"/>
        <v>0.8100000000000005</v>
      </c>
      <c r="BM82" s="852">
        <f ca="1">_xlfn.PERCENTILE.EXC(OFFSET('4.2.3 Monte Carlo resultater'!$A$2,0,'4.2.2 Monte Carlo-simulering'!$AB$16-1,'4.2.2 Monte Carlo-simulering'!$AB$17,1),BL82)</f>
        <v>0</v>
      </c>
      <c r="BN82" s="823"/>
      <c r="BO82" s="823"/>
      <c r="BP82" s="823"/>
      <c r="BQ82" s="823"/>
      <c r="BR82" s="823"/>
      <c r="BS82" s="823"/>
      <c r="BT82" s="823"/>
      <c r="BU82" s="823"/>
      <c r="BV82" s="823"/>
      <c r="BW82" s="823"/>
      <c r="BX82" s="823"/>
      <c r="BY82" s="823"/>
      <c r="BZ82" s="823"/>
    </row>
    <row r="83" spans="1:78" x14ac:dyDescent="0.35">
      <c r="A83">
        <v>0</v>
      </c>
      <c r="B83">
        <v>0</v>
      </c>
      <c r="C83">
        <v>0</v>
      </c>
      <c r="D83">
        <v>0</v>
      </c>
      <c r="E83">
        <v>0</v>
      </c>
      <c r="F83">
        <v>0</v>
      </c>
      <c r="G83">
        <v>0</v>
      </c>
      <c r="H83">
        <v>0</v>
      </c>
      <c r="I83">
        <v>0</v>
      </c>
      <c r="J83">
        <v>0</v>
      </c>
      <c r="K83">
        <v>0</v>
      </c>
      <c r="L83">
        <v>0</v>
      </c>
      <c r="M83">
        <v>0</v>
      </c>
      <c r="N83">
        <v>0</v>
      </c>
      <c r="O83">
        <v>0</v>
      </c>
      <c r="P83">
        <v>0</v>
      </c>
      <c r="Q83">
        <v>0</v>
      </c>
      <c r="R83">
        <v>0</v>
      </c>
      <c r="S83">
        <v>0</v>
      </c>
      <c r="T83">
        <v>0</v>
      </c>
      <c r="U83">
        <v>0</v>
      </c>
      <c r="V83">
        <v>0</v>
      </c>
      <c r="W83">
        <v>0</v>
      </c>
      <c r="X83">
        <v>0</v>
      </c>
      <c r="Y83">
        <v>0</v>
      </c>
      <c r="Z83">
        <v>0</v>
      </c>
      <c r="AA83">
        <v>0</v>
      </c>
      <c r="AB83">
        <v>0</v>
      </c>
      <c r="AC83">
        <v>0</v>
      </c>
      <c r="AD83">
        <v>0</v>
      </c>
      <c r="AF83">
        <v>0</v>
      </c>
      <c r="AG83">
        <v>0</v>
      </c>
      <c r="AH83">
        <v>0</v>
      </c>
      <c r="AI83">
        <v>0</v>
      </c>
      <c r="AJ83">
        <v>0</v>
      </c>
      <c r="AK83">
        <v>0</v>
      </c>
      <c r="AL83">
        <v>0</v>
      </c>
      <c r="AM83">
        <v>0</v>
      </c>
      <c r="AN83">
        <v>0</v>
      </c>
      <c r="AO83">
        <v>0</v>
      </c>
      <c r="AP83">
        <v>0</v>
      </c>
      <c r="AQ83">
        <v>0</v>
      </c>
      <c r="AR83">
        <v>0</v>
      </c>
      <c r="AS83">
        <v>0</v>
      </c>
      <c r="AT83">
        <v>0</v>
      </c>
      <c r="AU83">
        <v>0</v>
      </c>
      <c r="AV83">
        <v>0</v>
      </c>
      <c r="AW83">
        <v>0</v>
      </c>
      <c r="AX83">
        <v>0</v>
      </c>
      <c r="AY83">
        <v>0</v>
      </c>
      <c r="AZ83">
        <v>0</v>
      </c>
      <c r="BA83">
        <v>0</v>
      </c>
      <c r="BB83">
        <v>0</v>
      </c>
      <c r="BC83">
        <v>0</v>
      </c>
      <c r="BD83">
        <v>0</v>
      </c>
      <c r="BE83">
        <v>0</v>
      </c>
      <c r="BF83">
        <v>0</v>
      </c>
      <c r="BG83">
        <v>0</v>
      </c>
      <c r="BH83">
        <v>0</v>
      </c>
      <c r="BI83">
        <v>0</v>
      </c>
      <c r="BK83" s="151"/>
      <c r="BL83" s="68">
        <f t="shared" si="2"/>
        <v>0.82000000000000051</v>
      </c>
      <c r="BM83" s="852">
        <f ca="1">_xlfn.PERCENTILE.EXC(OFFSET('4.2.3 Monte Carlo resultater'!$A$2,0,'4.2.2 Monte Carlo-simulering'!$AB$16-1,'4.2.2 Monte Carlo-simulering'!$AB$17,1),BL83)</f>
        <v>0</v>
      </c>
      <c r="BN83" s="823"/>
      <c r="BO83" s="823"/>
      <c r="BP83" s="823"/>
      <c r="BQ83" s="823"/>
      <c r="BR83" s="823"/>
      <c r="BS83" s="823"/>
      <c r="BT83" s="823"/>
      <c r="BU83" s="823"/>
      <c r="BV83" s="823"/>
      <c r="BW83" s="823"/>
      <c r="BX83" s="823"/>
      <c r="BY83" s="823"/>
      <c r="BZ83" s="823"/>
    </row>
    <row r="84" spans="1:78" x14ac:dyDescent="0.35">
      <c r="A84">
        <v>0</v>
      </c>
      <c r="B84">
        <v>0</v>
      </c>
      <c r="C84">
        <v>0</v>
      </c>
      <c r="D84">
        <v>0</v>
      </c>
      <c r="E84">
        <v>0</v>
      </c>
      <c r="F84">
        <v>0</v>
      </c>
      <c r="G84">
        <v>0</v>
      </c>
      <c r="H84">
        <v>0</v>
      </c>
      <c r="I84">
        <v>0</v>
      </c>
      <c r="J84">
        <v>0</v>
      </c>
      <c r="K84">
        <v>0</v>
      </c>
      <c r="L84">
        <v>0</v>
      </c>
      <c r="M84">
        <v>0</v>
      </c>
      <c r="N84">
        <v>0</v>
      </c>
      <c r="O84">
        <v>0</v>
      </c>
      <c r="P84">
        <v>0</v>
      </c>
      <c r="Q84">
        <v>0</v>
      </c>
      <c r="R84">
        <v>0</v>
      </c>
      <c r="S84">
        <v>0</v>
      </c>
      <c r="T84">
        <v>0</v>
      </c>
      <c r="U84">
        <v>0</v>
      </c>
      <c r="V84">
        <v>0</v>
      </c>
      <c r="W84">
        <v>0</v>
      </c>
      <c r="X84">
        <v>0</v>
      </c>
      <c r="Y84">
        <v>0</v>
      </c>
      <c r="Z84">
        <v>0</v>
      </c>
      <c r="AA84">
        <v>0</v>
      </c>
      <c r="AB84">
        <v>0</v>
      </c>
      <c r="AC84">
        <v>0</v>
      </c>
      <c r="AD84">
        <v>0</v>
      </c>
      <c r="AF84">
        <v>0</v>
      </c>
      <c r="AG84">
        <v>0</v>
      </c>
      <c r="AH84">
        <v>0</v>
      </c>
      <c r="AI84">
        <v>0</v>
      </c>
      <c r="AJ84">
        <v>0</v>
      </c>
      <c r="AK84">
        <v>0</v>
      </c>
      <c r="AL84">
        <v>0</v>
      </c>
      <c r="AM84">
        <v>0</v>
      </c>
      <c r="AN84">
        <v>0</v>
      </c>
      <c r="AO84">
        <v>0</v>
      </c>
      <c r="AP84">
        <v>0</v>
      </c>
      <c r="AQ84">
        <v>0</v>
      </c>
      <c r="AR84">
        <v>0</v>
      </c>
      <c r="AS84">
        <v>0</v>
      </c>
      <c r="AT84">
        <v>0</v>
      </c>
      <c r="AU84">
        <v>0</v>
      </c>
      <c r="AV84">
        <v>0</v>
      </c>
      <c r="AW84">
        <v>0</v>
      </c>
      <c r="AX84">
        <v>0</v>
      </c>
      <c r="AY84">
        <v>0</v>
      </c>
      <c r="AZ84">
        <v>0</v>
      </c>
      <c r="BA84">
        <v>0</v>
      </c>
      <c r="BB84">
        <v>0</v>
      </c>
      <c r="BC84">
        <v>0</v>
      </c>
      <c r="BD84">
        <v>0</v>
      </c>
      <c r="BE84">
        <v>0</v>
      </c>
      <c r="BF84">
        <v>0</v>
      </c>
      <c r="BG84">
        <v>0</v>
      </c>
      <c r="BH84">
        <v>0</v>
      </c>
      <c r="BI84">
        <v>0</v>
      </c>
      <c r="BK84" s="151"/>
      <c r="BL84" s="68">
        <f t="shared" si="2"/>
        <v>0.83000000000000052</v>
      </c>
      <c r="BM84" s="852">
        <f ca="1">_xlfn.PERCENTILE.EXC(OFFSET('4.2.3 Monte Carlo resultater'!$A$2,0,'4.2.2 Monte Carlo-simulering'!$AB$16-1,'4.2.2 Monte Carlo-simulering'!$AB$17,1),BL84)</f>
        <v>0</v>
      </c>
      <c r="BN84" s="823"/>
      <c r="BO84" s="823"/>
      <c r="BP84" s="823"/>
      <c r="BQ84" s="823"/>
      <c r="BR84" s="823"/>
      <c r="BS84" s="823"/>
      <c r="BT84" s="823"/>
      <c r="BU84" s="823"/>
      <c r="BV84" s="823"/>
      <c r="BW84" s="823"/>
      <c r="BX84" s="823"/>
      <c r="BY84" s="823"/>
      <c r="BZ84" s="823"/>
    </row>
    <row r="85" spans="1:78" x14ac:dyDescent="0.35">
      <c r="A85">
        <v>0</v>
      </c>
      <c r="B85">
        <v>0</v>
      </c>
      <c r="C85">
        <v>0</v>
      </c>
      <c r="D85">
        <v>0</v>
      </c>
      <c r="E85">
        <v>0</v>
      </c>
      <c r="F85">
        <v>0</v>
      </c>
      <c r="G85">
        <v>0</v>
      </c>
      <c r="H85">
        <v>0</v>
      </c>
      <c r="I85">
        <v>0</v>
      </c>
      <c r="J85">
        <v>0</v>
      </c>
      <c r="K85">
        <v>0</v>
      </c>
      <c r="L85">
        <v>0</v>
      </c>
      <c r="M85">
        <v>0</v>
      </c>
      <c r="N85">
        <v>0</v>
      </c>
      <c r="O85">
        <v>0</v>
      </c>
      <c r="P85">
        <v>0</v>
      </c>
      <c r="Q85">
        <v>0</v>
      </c>
      <c r="R85">
        <v>0</v>
      </c>
      <c r="S85">
        <v>0</v>
      </c>
      <c r="T85">
        <v>0</v>
      </c>
      <c r="U85">
        <v>0</v>
      </c>
      <c r="V85">
        <v>0</v>
      </c>
      <c r="W85">
        <v>0</v>
      </c>
      <c r="X85">
        <v>0</v>
      </c>
      <c r="Y85">
        <v>0</v>
      </c>
      <c r="Z85">
        <v>0</v>
      </c>
      <c r="AA85">
        <v>0</v>
      </c>
      <c r="AB85">
        <v>0</v>
      </c>
      <c r="AC85">
        <v>0</v>
      </c>
      <c r="AD85">
        <v>0</v>
      </c>
      <c r="AF85">
        <v>0</v>
      </c>
      <c r="AG85">
        <v>0</v>
      </c>
      <c r="AH85">
        <v>0</v>
      </c>
      <c r="AI85">
        <v>0</v>
      </c>
      <c r="AJ85">
        <v>0</v>
      </c>
      <c r="AK85">
        <v>0</v>
      </c>
      <c r="AL85">
        <v>0</v>
      </c>
      <c r="AM85">
        <v>0</v>
      </c>
      <c r="AN85">
        <v>0</v>
      </c>
      <c r="AO85">
        <v>0</v>
      </c>
      <c r="AP85">
        <v>0</v>
      </c>
      <c r="AQ85">
        <v>0</v>
      </c>
      <c r="AR85">
        <v>0</v>
      </c>
      <c r="AS85">
        <v>0</v>
      </c>
      <c r="AT85">
        <v>0</v>
      </c>
      <c r="AU85">
        <v>0</v>
      </c>
      <c r="AV85">
        <v>0</v>
      </c>
      <c r="AW85">
        <v>0</v>
      </c>
      <c r="AX85">
        <v>0</v>
      </c>
      <c r="AY85">
        <v>0</v>
      </c>
      <c r="AZ85">
        <v>0</v>
      </c>
      <c r="BA85">
        <v>0</v>
      </c>
      <c r="BB85">
        <v>0</v>
      </c>
      <c r="BC85">
        <v>0</v>
      </c>
      <c r="BD85">
        <v>0</v>
      </c>
      <c r="BE85">
        <v>0</v>
      </c>
      <c r="BF85">
        <v>0</v>
      </c>
      <c r="BG85">
        <v>0</v>
      </c>
      <c r="BH85">
        <v>0</v>
      </c>
      <c r="BI85">
        <v>0</v>
      </c>
      <c r="BK85" s="151"/>
      <c r="BL85" s="68">
        <f t="shared" si="2"/>
        <v>0.84000000000000052</v>
      </c>
      <c r="BM85" s="852">
        <f ca="1">_xlfn.PERCENTILE.EXC(OFFSET('4.2.3 Monte Carlo resultater'!$A$2,0,'4.2.2 Monte Carlo-simulering'!$AB$16-1,'4.2.2 Monte Carlo-simulering'!$AB$17,1),BL85)</f>
        <v>0</v>
      </c>
      <c r="BN85" s="823"/>
      <c r="BO85" s="823"/>
      <c r="BP85" s="823"/>
      <c r="BQ85" s="823"/>
      <c r="BR85" s="823"/>
      <c r="BS85" s="823"/>
      <c r="BT85" s="823"/>
      <c r="BU85" s="823"/>
      <c r="BV85" s="823"/>
      <c r="BW85" s="823"/>
      <c r="BX85" s="823"/>
      <c r="BY85" s="823"/>
      <c r="BZ85" s="823"/>
    </row>
    <row r="86" spans="1:78" x14ac:dyDescent="0.35">
      <c r="A86">
        <v>0</v>
      </c>
      <c r="B86">
        <v>0</v>
      </c>
      <c r="C86">
        <v>0</v>
      </c>
      <c r="D86">
        <v>0</v>
      </c>
      <c r="E86">
        <v>0</v>
      </c>
      <c r="F86">
        <v>0</v>
      </c>
      <c r="G86">
        <v>0</v>
      </c>
      <c r="H86">
        <v>0</v>
      </c>
      <c r="I86">
        <v>0</v>
      </c>
      <c r="J86">
        <v>0</v>
      </c>
      <c r="K86">
        <v>0</v>
      </c>
      <c r="L86">
        <v>0</v>
      </c>
      <c r="M86">
        <v>0</v>
      </c>
      <c r="N86">
        <v>0</v>
      </c>
      <c r="O86">
        <v>0</v>
      </c>
      <c r="P86">
        <v>0</v>
      </c>
      <c r="Q86">
        <v>0</v>
      </c>
      <c r="R86">
        <v>0</v>
      </c>
      <c r="S86">
        <v>0</v>
      </c>
      <c r="T86">
        <v>0</v>
      </c>
      <c r="U86">
        <v>0</v>
      </c>
      <c r="V86">
        <v>0</v>
      </c>
      <c r="W86">
        <v>0</v>
      </c>
      <c r="X86">
        <v>0</v>
      </c>
      <c r="Y86">
        <v>0</v>
      </c>
      <c r="Z86">
        <v>0</v>
      </c>
      <c r="AA86">
        <v>0</v>
      </c>
      <c r="AB86">
        <v>0</v>
      </c>
      <c r="AC86">
        <v>0</v>
      </c>
      <c r="AD86">
        <v>0</v>
      </c>
      <c r="AF86">
        <v>0</v>
      </c>
      <c r="AG86">
        <v>0</v>
      </c>
      <c r="AH86">
        <v>0</v>
      </c>
      <c r="AI86">
        <v>0</v>
      </c>
      <c r="AJ86">
        <v>0</v>
      </c>
      <c r="AK86">
        <v>0</v>
      </c>
      <c r="AL86">
        <v>0</v>
      </c>
      <c r="AM86">
        <v>0</v>
      </c>
      <c r="AN86">
        <v>0</v>
      </c>
      <c r="AO86">
        <v>0</v>
      </c>
      <c r="AP86">
        <v>0</v>
      </c>
      <c r="AQ86">
        <v>0</v>
      </c>
      <c r="AR86">
        <v>0</v>
      </c>
      <c r="AS86">
        <v>0</v>
      </c>
      <c r="AT86">
        <v>0</v>
      </c>
      <c r="AU86">
        <v>0</v>
      </c>
      <c r="AV86">
        <v>0</v>
      </c>
      <c r="AW86">
        <v>0</v>
      </c>
      <c r="AX86">
        <v>0</v>
      </c>
      <c r="AY86">
        <v>0</v>
      </c>
      <c r="AZ86">
        <v>0</v>
      </c>
      <c r="BA86">
        <v>0</v>
      </c>
      <c r="BB86">
        <v>0</v>
      </c>
      <c r="BC86">
        <v>0</v>
      </c>
      <c r="BD86">
        <v>0</v>
      </c>
      <c r="BE86">
        <v>0</v>
      </c>
      <c r="BF86">
        <v>0</v>
      </c>
      <c r="BG86">
        <v>0</v>
      </c>
      <c r="BH86">
        <v>0</v>
      </c>
      <c r="BI86">
        <v>0</v>
      </c>
      <c r="BK86" s="151"/>
      <c r="BL86" s="68">
        <f t="shared" si="2"/>
        <v>0.85000000000000053</v>
      </c>
      <c r="BM86" s="852">
        <f ca="1">_xlfn.PERCENTILE.EXC(OFFSET('4.2.3 Monte Carlo resultater'!$A$2,0,'4.2.2 Monte Carlo-simulering'!$AB$16-1,'4.2.2 Monte Carlo-simulering'!$AB$17,1),BL86)</f>
        <v>0</v>
      </c>
      <c r="BN86" s="823"/>
      <c r="BO86" s="823"/>
      <c r="BP86" s="823"/>
      <c r="BQ86" s="823"/>
      <c r="BR86" s="823"/>
      <c r="BS86" s="823"/>
      <c r="BT86" s="823"/>
      <c r="BU86" s="823"/>
      <c r="BV86" s="823"/>
      <c r="BW86" s="823"/>
      <c r="BX86" s="823"/>
      <c r="BY86" s="823"/>
      <c r="BZ86" s="823"/>
    </row>
    <row r="87" spans="1:78" x14ac:dyDescent="0.35">
      <c r="A87">
        <v>0</v>
      </c>
      <c r="B87">
        <v>0</v>
      </c>
      <c r="C87">
        <v>0</v>
      </c>
      <c r="D87">
        <v>0</v>
      </c>
      <c r="E87">
        <v>0</v>
      </c>
      <c r="F87">
        <v>0</v>
      </c>
      <c r="G87">
        <v>0</v>
      </c>
      <c r="H87">
        <v>0</v>
      </c>
      <c r="I87">
        <v>0</v>
      </c>
      <c r="J87">
        <v>0</v>
      </c>
      <c r="K87">
        <v>0</v>
      </c>
      <c r="L87">
        <v>0</v>
      </c>
      <c r="M87">
        <v>0</v>
      </c>
      <c r="N87">
        <v>0</v>
      </c>
      <c r="O87">
        <v>0</v>
      </c>
      <c r="P87">
        <v>0</v>
      </c>
      <c r="Q87">
        <v>0</v>
      </c>
      <c r="R87">
        <v>0</v>
      </c>
      <c r="S87">
        <v>0</v>
      </c>
      <c r="T87">
        <v>0</v>
      </c>
      <c r="U87">
        <v>0</v>
      </c>
      <c r="V87">
        <v>0</v>
      </c>
      <c r="W87">
        <v>0</v>
      </c>
      <c r="X87">
        <v>0</v>
      </c>
      <c r="Y87">
        <v>0</v>
      </c>
      <c r="Z87">
        <v>0</v>
      </c>
      <c r="AA87">
        <v>0</v>
      </c>
      <c r="AB87">
        <v>0</v>
      </c>
      <c r="AC87">
        <v>0</v>
      </c>
      <c r="AD87">
        <v>0</v>
      </c>
      <c r="AF87">
        <v>0</v>
      </c>
      <c r="AG87">
        <v>0</v>
      </c>
      <c r="AH87">
        <v>0</v>
      </c>
      <c r="AI87">
        <v>0</v>
      </c>
      <c r="AJ87">
        <v>0</v>
      </c>
      <c r="AK87">
        <v>0</v>
      </c>
      <c r="AL87">
        <v>0</v>
      </c>
      <c r="AM87">
        <v>0</v>
      </c>
      <c r="AN87">
        <v>0</v>
      </c>
      <c r="AO87">
        <v>0</v>
      </c>
      <c r="AP87">
        <v>0</v>
      </c>
      <c r="AQ87">
        <v>0</v>
      </c>
      <c r="AR87">
        <v>0</v>
      </c>
      <c r="AS87">
        <v>0</v>
      </c>
      <c r="AT87">
        <v>0</v>
      </c>
      <c r="AU87">
        <v>0</v>
      </c>
      <c r="AV87">
        <v>0</v>
      </c>
      <c r="AW87">
        <v>0</v>
      </c>
      <c r="AX87">
        <v>0</v>
      </c>
      <c r="AY87">
        <v>0</v>
      </c>
      <c r="AZ87">
        <v>0</v>
      </c>
      <c r="BA87">
        <v>0</v>
      </c>
      <c r="BB87">
        <v>0</v>
      </c>
      <c r="BC87">
        <v>0</v>
      </c>
      <c r="BD87">
        <v>0</v>
      </c>
      <c r="BE87">
        <v>0</v>
      </c>
      <c r="BF87">
        <v>0</v>
      </c>
      <c r="BG87">
        <v>0</v>
      </c>
      <c r="BH87">
        <v>0</v>
      </c>
      <c r="BI87">
        <v>0</v>
      </c>
      <c r="BK87" s="151"/>
      <c r="BL87" s="68">
        <f t="shared" si="2"/>
        <v>0.86000000000000054</v>
      </c>
      <c r="BM87" s="852">
        <f ca="1">_xlfn.PERCENTILE.EXC(OFFSET('4.2.3 Monte Carlo resultater'!$A$2,0,'4.2.2 Monte Carlo-simulering'!$AB$16-1,'4.2.2 Monte Carlo-simulering'!$AB$17,1),BL87)</f>
        <v>0</v>
      </c>
      <c r="BN87" s="823"/>
      <c r="BO87" s="823"/>
      <c r="BP87" s="823"/>
      <c r="BQ87" s="823"/>
      <c r="BR87" s="823"/>
      <c r="BS87" s="823"/>
      <c r="BT87" s="823"/>
      <c r="BU87" s="823"/>
      <c r="BV87" s="823"/>
      <c r="BW87" s="823"/>
      <c r="BX87" s="823"/>
      <c r="BY87" s="823"/>
      <c r="BZ87" s="823"/>
    </row>
    <row r="88" spans="1:78" x14ac:dyDescent="0.35">
      <c r="A88">
        <v>0</v>
      </c>
      <c r="B88">
        <v>0</v>
      </c>
      <c r="C88">
        <v>0</v>
      </c>
      <c r="D88">
        <v>0</v>
      </c>
      <c r="E88">
        <v>0</v>
      </c>
      <c r="F88">
        <v>0</v>
      </c>
      <c r="G88">
        <v>0</v>
      </c>
      <c r="H88">
        <v>0</v>
      </c>
      <c r="I88">
        <v>0</v>
      </c>
      <c r="J88">
        <v>0</v>
      </c>
      <c r="K88">
        <v>0</v>
      </c>
      <c r="L88">
        <v>0</v>
      </c>
      <c r="M88">
        <v>0</v>
      </c>
      <c r="N88">
        <v>0</v>
      </c>
      <c r="O88">
        <v>0</v>
      </c>
      <c r="P88">
        <v>0</v>
      </c>
      <c r="Q88">
        <v>0</v>
      </c>
      <c r="R88">
        <v>0</v>
      </c>
      <c r="S88">
        <v>0</v>
      </c>
      <c r="T88">
        <v>0</v>
      </c>
      <c r="U88">
        <v>0</v>
      </c>
      <c r="V88">
        <v>0</v>
      </c>
      <c r="W88">
        <v>0</v>
      </c>
      <c r="X88">
        <v>0</v>
      </c>
      <c r="Y88">
        <v>0</v>
      </c>
      <c r="Z88">
        <v>0</v>
      </c>
      <c r="AA88">
        <v>0</v>
      </c>
      <c r="AB88">
        <v>0</v>
      </c>
      <c r="AC88">
        <v>0</v>
      </c>
      <c r="AD88">
        <v>0</v>
      </c>
      <c r="AF88">
        <v>0</v>
      </c>
      <c r="AG88">
        <v>0</v>
      </c>
      <c r="AH88">
        <v>0</v>
      </c>
      <c r="AI88">
        <v>0</v>
      </c>
      <c r="AJ88">
        <v>0</v>
      </c>
      <c r="AK88">
        <v>0</v>
      </c>
      <c r="AL88">
        <v>0</v>
      </c>
      <c r="AM88">
        <v>0</v>
      </c>
      <c r="AN88">
        <v>0</v>
      </c>
      <c r="AO88">
        <v>0</v>
      </c>
      <c r="AP88">
        <v>0</v>
      </c>
      <c r="AQ88">
        <v>0</v>
      </c>
      <c r="AR88">
        <v>0</v>
      </c>
      <c r="AS88">
        <v>0</v>
      </c>
      <c r="AT88">
        <v>0</v>
      </c>
      <c r="AU88">
        <v>0</v>
      </c>
      <c r="AV88">
        <v>0</v>
      </c>
      <c r="AW88">
        <v>0</v>
      </c>
      <c r="AX88">
        <v>0</v>
      </c>
      <c r="AY88">
        <v>0</v>
      </c>
      <c r="AZ88">
        <v>0</v>
      </c>
      <c r="BA88">
        <v>0</v>
      </c>
      <c r="BB88">
        <v>0</v>
      </c>
      <c r="BC88">
        <v>0</v>
      </c>
      <c r="BD88">
        <v>0</v>
      </c>
      <c r="BE88">
        <v>0</v>
      </c>
      <c r="BF88">
        <v>0</v>
      </c>
      <c r="BG88">
        <v>0</v>
      </c>
      <c r="BH88">
        <v>0</v>
      </c>
      <c r="BI88">
        <v>0</v>
      </c>
      <c r="BK88" s="151"/>
      <c r="BL88" s="68">
        <f t="shared" si="2"/>
        <v>0.87000000000000055</v>
      </c>
      <c r="BM88" s="852">
        <f ca="1">_xlfn.PERCENTILE.EXC(OFFSET('4.2.3 Monte Carlo resultater'!$A$2,0,'4.2.2 Monte Carlo-simulering'!$AB$16-1,'4.2.2 Monte Carlo-simulering'!$AB$17,1),BL88)</f>
        <v>0</v>
      </c>
      <c r="BN88" s="823"/>
      <c r="BO88" s="823"/>
      <c r="BP88" s="823"/>
      <c r="BQ88" s="823"/>
      <c r="BR88" s="823"/>
      <c r="BS88" s="823"/>
      <c r="BT88" s="823"/>
      <c r="BU88" s="823"/>
      <c r="BV88" s="823"/>
      <c r="BW88" s="823"/>
      <c r="BX88" s="823"/>
      <c r="BY88" s="823"/>
      <c r="BZ88" s="823"/>
    </row>
    <row r="89" spans="1:78" x14ac:dyDescent="0.35">
      <c r="A89">
        <v>0</v>
      </c>
      <c r="B89">
        <v>0</v>
      </c>
      <c r="C89">
        <v>0</v>
      </c>
      <c r="D89">
        <v>0</v>
      </c>
      <c r="E89">
        <v>0</v>
      </c>
      <c r="F89">
        <v>0</v>
      </c>
      <c r="G89">
        <v>0</v>
      </c>
      <c r="H89">
        <v>0</v>
      </c>
      <c r="I89">
        <v>0</v>
      </c>
      <c r="J89">
        <v>0</v>
      </c>
      <c r="K89">
        <v>0</v>
      </c>
      <c r="L89">
        <v>0</v>
      </c>
      <c r="M89">
        <v>0</v>
      </c>
      <c r="N89">
        <v>0</v>
      </c>
      <c r="O89">
        <v>0</v>
      </c>
      <c r="P89">
        <v>0</v>
      </c>
      <c r="Q89">
        <v>0</v>
      </c>
      <c r="R89">
        <v>0</v>
      </c>
      <c r="S89">
        <v>0</v>
      </c>
      <c r="T89">
        <v>0</v>
      </c>
      <c r="U89">
        <v>0</v>
      </c>
      <c r="V89">
        <v>0</v>
      </c>
      <c r="W89">
        <v>0</v>
      </c>
      <c r="X89">
        <v>0</v>
      </c>
      <c r="Y89">
        <v>0</v>
      </c>
      <c r="Z89">
        <v>0</v>
      </c>
      <c r="AA89">
        <v>0</v>
      </c>
      <c r="AB89">
        <v>0</v>
      </c>
      <c r="AC89">
        <v>0</v>
      </c>
      <c r="AD89">
        <v>0</v>
      </c>
      <c r="AF89">
        <v>0</v>
      </c>
      <c r="AG89">
        <v>0</v>
      </c>
      <c r="AH89">
        <v>0</v>
      </c>
      <c r="AI89">
        <v>0</v>
      </c>
      <c r="AJ89">
        <v>0</v>
      </c>
      <c r="AK89">
        <v>0</v>
      </c>
      <c r="AL89">
        <v>0</v>
      </c>
      <c r="AM89">
        <v>0</v>
      </c>
      <c r="AN89">
        <v>0</v>
      </c>
      <c r="AO89">
        <v>0</v>
      </c>
      <c r="AP89">
        <v>0</v>
      </c>
      <c r="AQ89">
        <v>0</v>
      </c>
      <c r="AR89">
        <v>0</v>
      </c>
      <c r="AS89">
        <v>0</v>
      </c>
      <c r="AT89">
        <v>0</v>
      </c>
      <c r="AU89">
        <v>0</v>
      </c>
      <c r="AV89">
        <v>0</v>
      </c>
      <c r="AW89">
        <v>0</v>
      </c>
      <c r="AX89">
        <v>0</v>
      </c>
      <c r="AY89">
        <v>0</v>
      </c>
      <c r="AZ89">
        <v>0</v>
      </c>
      <c r="BA89">
        <v>0</v>
      </c>
      <c r="BB89">
        <v>0</v>
      </c>
      <c r="BC89">
        <v>0</v>
      </c>
      <c r="BD89">
        <v>0</v>
      </c>
      <c r="BE89">
        <v>0</v>
      </c>
      <c r="BF89">
        <v>0</v>
      </c>
      <c r="BG89">
        <v>0</v>
      </c>
      <c r="BH89">
        <v>0</v>
      </c>
      <c r="BI89">
        <v>0</v>
      </c>
      <c r="BK89" s="151"/>
      <c r="BL89" s="68">
        <f t="shared" si="2"/>
        <v>0.88000000000000056</v>
      </c>
      <c r="BM89" s="852">
        <f ca="1">_xlfn.PERCENTILE.EXC(OFFSET('4.2.3 Monte Carlo resultater'!$A$2,0,'4.2.2 Monte Carlo-simulering'!$AB$16-1,'4.2.2 Monte Carlo-simulering'!$AB$17,1),BL89)</f>
        <v>0</v>
      </c>
      <c r="BN89" s="823"/>
      <c r="BO89" s="823"/>
      <c r="BP89" s="823"/>
      <c r="BQ89" s="823"/>
      <c r="BR89" s="823"/>
      <c r="BS89" s="823"/>
      <c r="BT89" s="823"/>
      <c r="BU89" s="823"/>
      <c r="BV89" s="823"/>
      <c r="BW89" s="823"/>
      <c r="BX89" s="823"/>
      <c r="BY89" s="823"/>
      <c r="BZ89" s="823"/>
    </row>
    <row r="90" spans="1:78" x14ac:dyDescent="0.35">
      <c r="A90">
        <v>0</v>
      </c>
      <c r="B90">
        <v>0</v>
      </c>
      <c r="C90">
        <v>0</v>
      </c>
      <c r="D90">
        <v>0</v>
      </c>
      <c r="E90">
        <v>0</v>
      </c>
      <c r="F90">
        <v>0</v>
      </c>
      <c r="G90">
        <v>0</v>
      </c>
      <c r="H90">
        <v>0</v>
      </c>
      <c r="I90">
        <v>0</v>
      </c>
      <c r="J90">
        <v>0</v>
      </c>
      <c r="K90">
        <v>0</v>
      </c>
      <c r="L90">
        <v>0</v>
      </c>
      <c r="M90">
        <v>0</v>
      </c>
      <c r="N90">
        <v>0</v>
      </c>
      <c r="O90">
        <v>0</v>
      </c>
      <c r="P90">
        <v>0</v>
      </c>
      <c r="Q90">
        <v>0</v>
      </c>
      <c r="R90">
        <v>0</v>
      </c>
      <c r="S90">
        <v>0</v>
      </c>
      <c r="T90">
        <v>0</v>
      </c>
      <c r="U90">
        <v>0</v>
      </c>
      <c r="V90">
        <v>0</v>
      </c>
      <c r="W90">
        <v>0</v>
      </c>
      <c r="X90">
        <v>0</v>
      </c>
      <c r="Y90">
        <v>0</v>
      </c>
      <c r="Z90">
        <v>0</v>
      </c>
      <c r="AA90">
        <v>0</v>
      </c>
      <c r="AB90">
        <v>0</v>
      </c>
      <c r="AC90">
        <v>0</v>
      </c>
      <c r="AD90">
        <v>0</v>
      </c>
      <c r="AF90">
        <v>0</v>
      </c>
      <c r="AG90">
        <v>0</v>
      </c>
      <c r="AH90">
        <v>0</v>
      </c>
      <c r="AI90">
        <v>0</v>
      </c>
      <c r="AJ90">
        <v>0</v>
      </c>
      <c r="AK90">
        <v>0</v>
      </c>
      <c r="AL90">
        <v>0</v>
      </c>
      <c r="AM90">
        <v>0</v>
      </c>
      <c r="AN90">
        <v>0</v>
      </c>
      <c r="AO90">
        <v>0</v>
      </c>
      <c r="AP90">
        <v>0</v>
      </c>
      <c r="AQ90">
        <v>0</v>
      </c>
      <c r="AR90">
        <v>0</v>
      </c>
      <c r="AS90">
        <v>0</v>
      </c>
      <c r="AT90">
        <v>0</v>
      </c>
      <c r="AU90">
        <v>0</v>
      </c>
      <c r="AV90">
        <v>0</v>
      </c>
      <c r="AW90">
        <v>0</v>
      </c>
      <c r="AX90">
        <v>0</v>
      </c>
      <c r="AY90">
        <v>0</v>
      </c>
      <c r="AZ90">
        <v>0</v>
      </c>
      <c r="BA90">
        <v>0</v>
      </c>
      <c r="BB90">
        <v>0</v>
      </c>
      <c r="BC90">
        <v>0</v>
      </c>
      <c r="BD90">
        <v>0</v>
      </c>
      <c r="BE90">
        <v>0</v>
      </c>
      <c r="BF90">
        <v>0</v>
      </c>
      <c r="BG90">
        <v>0</v>
      </c>
      <c r="BH90">
        <v>0</v>
      </c>
      <c r="BI90">
        <v>0</v>
      </c>
      <c r="BK90" s="151"/>
      <c r="BL90" s="68">
        <f t="shared" si="2"/>
        <v>0.89000000000000057</v>
      </c>
      <c r="BM90" s="852">
        <f ca="1">_xlfn.PERCENTILE.EXC(OFFSET('4.2.3 Monte Carlo resultater'!$A$2,0,'4.2.2 Monte Carlo-simulering'!$AB$16-1,'4.2.2 Monte Carlo-simulering'!$AB$17,1),BL90)</f>
        <v>0</v>
      </c>
      <c r="BN90" s="823"/>
      <c r="BO90" s="823"/>
      <c r="BP90" s="823"/>
      <c r="BQ90" s="823"/>
      <c r="BR90" s="823"/>
      <c r="BS90" s="823"/>
      <c r="BT90" s="823"/>
      <c r="BU90" s="823"/>
      <c r="BV90" s="823"/>
      <c r="BW90" s="823"/>
      <c r="BX90" s="823"/>
      <c r="BY90" s="823"/>
      <c r="BZ90" s="823"/>
    </row>
    <row r="91" spans="1:78" x14ac:dyDescent="0.35">
      <c r="A91">
        <v>0</v>
      </c>
      <c r="B91">
        <v>0</v>
      </c>
      <c r="C91">
        <v>0</v>
      </c>
      <c r="D91">
        <v>0</v>
      </c>
      <c r="E91">
        <v>0</v>
      </c>
      <c r="F91">
        <v>0</v>
      </c>
      <c r="G91">
        <v>0</v>
      </c>
      <c r="H91">
        <v>0</v>
      </c>
      <c r="I91">
        <v>0</v>
      </c>
      <c r="J91">
        <v>0</v>
      </c>
      <c r="K91">
        <v>0</v>
      </c>
      <c r="L91">
        <v>0</v>
      </c>
      <c r="M91">
        <v>0</v>
      </c>
      <c r="N91">
        <v>0</v>
      </c>
      <c r="O91">
        <v>0</v>
      </c>
      <c r="P91">
        <v>0</v>
      </c>
      <c r="Q91">
        <v>0</v>
      </c>
      <c r="R91">
        <v>0</v>
      </c>
      <c r="S91">
        <v>0</v>
      </c>
      <c r="T91">
        <v>0</v>
      </c>
      <c r="U91">
        <v>0</v>
      </c>
      <c r="V91">
        <v>0</v>
      </c>
      <c r="W91">
        <v>0</v>
      </c>
      <c r="X91">
        <v>0</v>
      </c>
      <c r="Y91">
        <v>0</v>
      </c>
      <c r="Z91">
        <v>0</v>
      </c>
      <c r="AA91">
        <v>0</v>
      </c>
      <c r="AB91">
        <v>0</v>
      </c>
      <c r="AC91">
        <v>0</v>
      </c>
      <c r="AD91">
        <v>0</v>
      </c>
      <c r="AF91">
        <v>0</v>
      </c>
      <c r="AG91">
        <v>0</v>
      </c>
      <c r="AH91">
        <v>0</v>
      </c>
      <c r="AI91">
        <v>0</v>
      </c>
      <c r="AJ91">
        <v>0</v>
      </c>
      <c r="AK91">
        <v>0</v>
      </c>
      <c r="AL91">
        <v>0</v>
      </c>
      <c r="AM91">
        <v>0</v>
      </c>
      <c r="AN91">
        <v>0</v>
      </c>
      <c r="AO91">
        <v>0</v>
      </c>
      <c r="AP91">
        <v>0</v>
      </c>
      <c r="AQ91">
        <v>0</v>
      </c>
      <c r="AR91">
        <v>0</v>
      </c>
      <c r="AS91">
        <v>0</v>
      </c>
      <c r="AT91">
        <v>0</v>
      </c>
      <c r="AU91">
        <v>0</v>
      </c>
      <c r="AV91">
        <v>0</v>
      </c>
      <c r="AW91">
        <v>0</v>
      </c>
      <c r="AX91">
        <v>0</v>
      </c>
      <c r="AY91">
        <v>0</v>
      </c>
      <c r="AZ91">
        <v>0</v>
      </c>
      <c r="BA91">
        <v>0</v>
      </c>
      <c r="BB91">
        <v>0</v>
      </c>
      <c r="BC91">
        <v>0</v>
      </c>
      <c r="BD91">
        <v>0</v>
      </c>
      <c r="BE91">
        <v>0</v>
      </c>
      <c r="BF91">
        <v>0</v>
      </c>
      <c r="BG91">
        <v>0</v>
      </c>
      <c r="BH91">
        <v>0</v>
      </c>
      <c r="BI91">
        <v>0</v>
      </c>
      <c r="BK91" s="151"/>
      <c r="BL91" s="68">
        <f t="shared" si="2"/>
        <v>0.90000000000000058</v>
      </c>
      <c r="BM91" s="852">
        <f ca="1">_xlfn.PERCENTILE.EXC(OFFSET('4.2.3 Monte Carlo resultater'!$A$2,0,'4.2.2 Monte Carlo-simulering'!$AB$16-1,'4.2.2 Monte Carlo-simulering'!$AB$17,1),BL91)</f>
        <v>0</v>
      </c>
      <c r="BN91" s="823"/>
      <c r="BO91" s="823"/>
      <c r="BP91" s="823"/>
      <c r="BQ91" s="823"/>
      <c r="BR91" s="823"/>
      <c r="BS91" s="823"/>
      <c r="BT91" s="823"/>
      <c r="BU91" s="823"/>
      <c r="BV91" s="823"/>
      <c r="BW91" s="823"/>
      <c r="BX91" s="823"/>
      <c r="BY91" s="823"/>
      <c r="BZ91" s="823"/>
    </row>
    <row r="92" spans="1:78" x14ac:dyDescent="0.35">
      <c r="A92">
        <v>0</v>
      </c>
      <c r="B92">
        <v>0</v>
      </c>
      <c r="C92">
        <v>0</v>
      </c>
      <c r="D92">
        <v>0</v>
      </c>
      <c r="E92">
        <v>0</v>
      </c>
      <c r="F92">
        <v>0</v>
      </c>
      <c r="G92">
        <v>0</v>
      </c>
      <c r="H92">
        <v>0</v>
      </c>
      <c r="I92">
        <v>0</v>
      </c>
      <c r="J92">
        <v>0</v>
      </c>
      <c r="K92">
        <v>0</v>
      </c>
      <c r="L92">
        <v>0</v>
      </c>
      <c r="M92">
        <v>0</v>
      </c>
      <c r="N92">
        <v>0</v>
      </c>
      <c r="O92">
        <v>0</v>
      </c>
      <c r="P92">
        <v>0</v>
      </c>
      <c r="Q92">
        <v>0</v>
      </c>
      <c r="R92">
        <v>0</v>
      </c>
      <c r="S92">
        <v>0</v>
      </c>
      <c r="T92">
        <v>0</v>
      </c>
      <c r="U92">
        <v>0</v>
      </c>
      <c r="V92">
        <v>0</v>
      </c>
      <c r="W92">
        <v>0</v>
      </c>
      <c r="X92">
        <v>0</v>
      </c>
      <c r="Y92">
        <v>0</v>
      </c>
      <c r="Z92">
        <v>0</v>
      </c>
      <c r="AA92">
        <v>0</v>
      </c>
      <c r="AB92">
        <v>0</v>
      </c>
      <c r="AC92">
        <v>0</v>
      </c>
      <c r="AD92">
        <v>0</v>
      </c>
      <c r="AF92">
        <v>0</v>
      </c>
      <c r="AG92">
        <v>0</v>
      </c>
      <c r="AH92">
        <v>0</v>
      </c>
      <c r="AI92">
        <v>0</v>
      </c>
      <c r="AJ92">
        <v>0</v>
      </c>
      <c r="AK92">
        <v>0</v>
      </c>
      <c r="AL92">
        <v>0</v>
      </c>
      <c r="AM92">
        <v>0</v>
      </c>
      <c r="AN92">
        <v>0</v>
      </c>
      <c r="AO92">
        <v>0</v>
      </c>
      <c r="AP92">
        <v>0</v>
      </c>
      <c r="AQ92">
        <v>0</v>
      </c>
      <c r="AR92">
        <v>0</v>
      </c>
      <c r="AS92">
        <v>0</v>
      </c>
      <c r="AT92">
        <v>0</v>
      </c>
      <c r="AU92">
        <v>0</v>
      </c>
      <c r="AV92">
        <v>0</v>
      </c>
      <c r="AW92">
        <v>0</v>
      </c>
      <c r="AX92">
        <v>0</v>
      </c>
      <c r="AY92">
        <v>0</v>
      </c>
      <c r="AZ92">
        <v>0</v>
      </c>
      <c r="BA92">
        <v>0</v>
      </c>
      <c r="BB92">
        <v>0</v>
      </c>
      <c r="BC92">
        <v>0</v>
      </c>
      <c r="BD92">
        <v>0</v>
      </c>
      <c r="BE92">
        <v>0</v>
      </c>
      <c r="BF92">
        <v>0</v>
      </c>
      <c r="BG92">
        <v>0</v>
      </c>
      <c r="BH92">
        <v>0</v>
      </c>
      <c r="BI92">
        <v>0</v>
      </c>
      <c r="BK92" s="151"/>
      <c r="BL92" s="68">
        <f t="shared" si="2"/>
        <v>0.91000000000000059</v>
      </c>
      <c r="BM92" s="852">
        <f ca="1">_xlfn.PERCENTILE.EXC(OFFSET('4.2.3 Monte Carlo resultater'!$A$2,0,'4.2.2 Monte Carlo-simulering'!$AB$16-1,'4.2.2 Monte Carlo-simulering'!$AB$17,1),BL92)</f>
        <v>0</v>
      </c>
      <c r="BN92" s="823"/>
      <c r="BO92" s="823"/>
      <c r="BP92" s="823"/>
      <c r="BQ92" s="823"/>
      <c r="BR92" s="823"/>
      <c r="BS92" s="823"/>
      <c r="BT92" s="823"/>
      <c r="BU92" s="823"/>
      <c r="BV92" s="823"/>
      <c r="BW92" s="823"/>
      <c r="BX92" s="823"/>
      <c r="BY92" s="823"/>
      <c r="BZ92" s="823"/>
    </row>
    <row r="93" spans="1:78" x14ac:dyDescent="0.35">
      <c r="A93">
        <v>0</v>
      </c>
      <c r="B93">
        <v>0</v>
      </c>
      <c r="C93">
        <v>0</v>
      </c>
      <c r="D93">
        <v>0</v>
      </c>
      <c r="E93">
        <v>0</v>
      </c>
      <c r="F93">
        <v>0</v>
      </c>
      <c r="G93">
        <v>0</v>
      </c>
      <c r="H93">
        <v>0</v>
      </c>
      <c r="I93">
        <v>0</v>
      </c>
      <c r="J93">
        <v>0</v>
      </c>
      <c r="K93">
        <v>0</v>
      </c>
      <c r="L93">
        <v>0</v>
      </c>
      <c r="M93">
        <v>0</v>
      </c>
      <c r="N93">
        <v>0</v>
      </c>
      <c r="O93">
        <v>0</v>
      </c>
      <c r="P93">
        <v>0</v>
      </c>
      <c r="Q93">
        <v>0</v>
      </c>
      <c r="R93">
        <v>0</v>
      </c>
      <c r="S93">
        <v>0</v>
      </c>
      <c r="T93">
        <v>0</v>
      </c>
      <c r="U93">
        <v>0</v>
      </c>
      <c r="V93">
        <v>0</v>
      </c>
      <c r="W93">
        <v>0</v>
      </c>
      <c r="X93">
        <v>0</v>
      </c>
      <c r="Y93">
        <v>0</v>
      </c>
      <c r="Z93">
        <v>0</v>
      </c>
      <c r="AA93">
        <v>0</v>
      </c>
      <c r="AB93">
        <v>0</v>
      </c>
      <c r="AC93">
        <v>0</v>
      </c>
      <c r="AD93">
        <v>0</v>
      </c>
      <c r="AF93">
        <v>0</v>
      </c>
      <c r="AG93">
        <v>0</v>
      </c>
      <c r="AH93">
        <v>0</v>
      </c>
      <c r="AI93">
        <v>0</v>
      </c>
      <c r="AJ93">
        <v>0</v>
      </c>
      <c r="AK93">
        <v>0</v>
      </c>
      <c r="AL93">
        <v>0</v>
      </c>
      <c r="AM93">
        <v>0</v>
      </c>
      <c r="AN93">
        <v>0</v>
      </c>
      <c r="AO93">
        <v>0</v>
      </c>
      <c r="AP93">
        <v>0</v>
      </c>
      <c r="AQ93">
        <v>0</v>
      </c>
      <c r="AR93">
        <v>0</v>
      </c>
      <c r="AS93">
        <v>0</v>
      </c>
      <c r="AT93">
        <v>0</v>
      </c>
      <c r="AU93">
        <v>0</v>
      </c>
      <c r="AV93">
        <v>0</v>
      </c>
      <c r="AW93">
        <v>0</v>
      </c>
      <c r="AX93">
        <v>0</v>
      </c>
      <c r="AY93">
        <v>0</v>
      </c>
      <c r="AZ93">
        <v>0</v>
      </c>
      <c r="BA93">
        <v>0</v>
      </c>
      <c r="BB93">
        <v>0</v>
      </c>
      <c r="BC93">
        <v>0</v>
      </c>
      <c r="BD93">
        <v>0</v>
      </c>
      <c r="BE93">
        <v>0</v>
      </c>
      <c r="BF93">
        <v>0</v>
      </c>
      <c r="BG93">
        <v>0</v>
      </c>
      <c r="BH93">
        <v>0</v>
      </c>
      <c r="BI93">
        <v>0</v>
      </c>
      <c r="BK93" s="151"/>
      <c r="BL93" s="68">
        <f t="shared" si="2"/>
        <v>0.9200000000000006</v>
      </c>
      <c r="BM93" s="852">
        <f ca="1">_xlfn.PERCENTILE.EXC(OFFSET('4.2.3 Monte Carlo resultater'!$A$2,0,'4.2.2 Monte Carlo-simulering'!$AB$16-1,'4.2.2 Monte Carlo-simulering'!$AB$17,1),BL93)</f>
        <v>0</v>
      </c>
      <c r="BN93" s="823"/>
      <c r="BO93" s="823"/>
      <c r="BP93" s="823"/>
      <c r="BQ93" s="823"/>
      <c r="BR93" s="823"/>
      <c r="BS93" s="823"/>
      <c r="BT93" s="823"/>
      <c r="BU93" s="823"/>
      <c r="BV93" s="823"/>
      <c r="BW93" s="823"/>
      <c r="BX93" s="823"/>
      <c r="BY93" s="823"/>
      <c r="BZ93" s="823"/>
    </row>
    <row r="94" spans="1:78" x14ac:dyDescent="0.35">
      <c r="A94">
        <v>0</v>
      </c>
      <c r="B94">
        <v>0</v>
      </c>
      <c r="C94">
        <v>0</v>
      </c>
      <c r="D94">
        <v>0</v>
      </c>
      <c r="E94">
        <v>0</v>
      </c>
      <c r="F94">
        <v>0</v>
      </c>
      <c r="G94">
        <v>0</v>
      </c>
      <c r="H94">
        <v>0</v>
      </c>
      <c r="I94">
        <v>0</v>
      </c>
      <c r="J94">
        <v>0</v>
      </c>
      <c r="K94">
        <v>0</v>
      </c>
      <c r="L94">
        <v>0</v>
      </c>
      <c r="M94">
        <v>0</v>
      </c>
      <c r="N94">
        <v>0</v>
      </c>
      <c r="O94">
        <v>0</v>
      </c>
      <c r="P94">
        <v>0</v>
      </c>
      <c r="Q94">
        <v>0</v>
      </c>
      <c r="R94">
        <v>0</v>
      </c>
      <c r="S94">
        <v>0</v>
      </c>
      <c r="T94">
        <v>0</v>
      </c>
      <c r="U94">
        <v>0</v>
      </c>
      <c r="V94">
        <v>0</v>
      </c>
      <c r="W94">
        <v>0</v>
      </c>
      <c r="X94">
        <v>0</v>
      </c>
      <c r="Y94">
        <v>0</v>
      </c>
      <c r="Z94">
        <v>0</v>
      </c>
      <c r="AA94">
        <v>0</v>
      </c>
      <c r="AB94">
        <v>0</v>
      </c>
      <c r="AC94">
        <v>0</v>
      </c>
      <c r="AD94">
        <v>0</v>
      </c>
      <c r="AF94">
        <v>0</v>
      </c>
      <c r="AG94">
        <v>0</v>
      </c>
      <c r="AH94">
        <v>0</v>
      </c>
      <c r="AI94">
        <v>0</v>
      </c>
      <c r="AJ94">
        <v>0</v>
      </c>
      <c r="AK94">
        <v>0</v>
      </c>
      <c r="AL94">
        <v>0</v>
      </c>
      <c r="AM94">
        <v>0</v>
      </c>
      <c r="AN94">
        <v>0</v>
      </c>
      <c r="AO94">
        <v>0</v>
      </c>
      <c r="AP94">
        <v>0</v>
      </c>
      <c r="AQ94">
        <v>0</v>
      </c>
      <c r="AR94">
        <v>0</v>
      </c>
      <c r="AS94">
        <v>0</v>
      </c>
      <c r="AT94">
        <v>0</v>
      </c>
      <c r="AU94">
        <v>0</v>
      </c>
      <c r="AV94">
        <v>0</v>
      </c>
      <c r="AW94">
        <v>0</v>
      </c>
      <c r="AX94">
        <v>0</v>
      </c>
      <c r="AY94">
        <v>0</v>
      </c>
      <c r="AZ94">
        <v>0</v>
      </c>
      <c r="BA94">
        <v>0</v>
      </c>
      <c r="BB94">
        <v>0</v>
      </c>
      <c r="BC94">
        <v>0</v>
      </c>
      <c r="BD94">
        <v>0</v>
      </c>
      <c r="BE94">
        <v>0</v>
      </c>
      <c r="BF94">
        <v>0</v>
      </c>
      <c r="BG94">
        <v>0</v>
      </c>
      <c r="BH94">
        <v>0</v>
      </c>
      <c r="BI94">
        <v>0</v>
      </c>
      <c r="BK94" s="151"/>
      <c r="BL94" s="68">
        <f t="shared" si="2"/>
        <v>0.9300000000000006</v>
      </c>
      <c r="BM94" s="852">
        <f ca="1">_xlfn.PERCENTILE.EXC(OFFSET('4.2.3 Monte Carlo resultater'!$A$2,0,'4.2.2 Monte Carlo-simulering'!$AB$16-1,'4.2.2 Monte Carlo-simulering'!$AB$17,1),BL94)</f>
        <v>0</v>
      </c>
      <c r="BN94" s="823"/>
      <c r="BO94" s="823"/>
      <c r="BP94" s="823"/>
      <c r="BQ94" s="823"/>
      <c r="BR94" s="823"/>
      <c r="BS94" s="823"/>
      <c r="BT94" s="823"/>
      <c r="BU94" s="823"/>
      <c r="BV94" s="823"/>
      <c r="BW94" s="823"/>
      <c r="BX94" s="823"/>
      <c r="BY94" s="823"/>
      <c r="BZ94" s="823"/>
    </row>
    <row r="95" spans="1:78" x14ac:dyDescent="0.35">
      <c r="A95">
        <v>0</v>
      </c>
      <c r="B95">
        <v>0</v>
      </c>
      <c r="C95">
        <v>0</v>
      </c>
      <c r="D95">
        <v>0</v>
      </c>
      <c r="E95">
        <v>0</v>
      </c>
      <c r="F95">
        <v>0</v>
      </c>
      <c r="G95">
        <v>0</v>
      </c>
      <c r="H95">
        <v>0</v>
      </c>
      <c r="I95">
        <v>0</v>
      </c>
      <c r="J95">
        <v>0</v>
      </c>
      <c r="K95">
        <v>0</v>
      </c>
      <c r="L95">
        <v>0</v>
      </c>
      <c r="M95">
        <v>0</v>
      </c>
      <c r="N95">
        <v>0</v>
      </c>
      <c r="O95">
        <v>0</v>
      </c>
      <c r="P95">
        <v>0</v>
      </c>
      <c r="Q95">
        <v>0</v>
      </c>
      <c r="R95">
        <v>0</v>
      </c>
      <c r="S95">
        <v>0</v>
      </c>
      <c r="T95">
        <v>0</v>
      </c>
      <c r="U95">
        <v>0</v>
      </c>
      <c r="V95">
        <v>0</v>
      </c>
      <c r="W95">
        <v>0</v>
      </c>
      <c r="X95">
        <v>0</v>
      </c>
      <c r="Y95">
        <v>0</v>
      </c>
      <c r="Z95">
        <v>0</v>
      </c>
      <c r="AA95">
        <v>0</v>
      </c>
      <c r="AB95">
        <v>0</v>
      </c>
      <c r="AC95">
        <v>0</v>
      </c>
      <c r="AD95">
        <v>0</v>
      </c>
      <c r="AF95">
        <v>0</v>
      </c>
      <c r="AG95">
        <v>0</v>
      </c>
      <c r="AH95">
        <v>0</v>
      </c>
      <c r="AI95">
        <v>0</v>
      </c>
      <c r="AJ95">
        <v>0</v>
      </c>
      <c r="AK95">
        <v>0</v>
      </c>
      <c r="AL95">
        <v>0</v>
      </c>
      <c r="AM95">
        <v>0</v>
      </c>
      <c r="AN95">
        <v>0</v>
      </c>
      <c r="AO95">
        <v>0</v>
      </c>
      <c r="AP95">
        <v>0</v>
      </c>
      <c r="AQ95">
        <v>0</v>
      </c>
      <c r="AR95">
        <v>0</v>
      </c>
      <c r="AS95">
        <v>0</v>
      </c>
      <c r="AT95">
        <v>0</v>
      </c>
      <c r="AU95">
        <v>0</v>
      </c>
      <c r="AV95">
        <v>0</v>
      </c>
      <c r="AW95">
        <v>0</v>
      </c>
      <c r="AX95">
        <v>0</v>
      </c>
      <c r="AY95">
        <v>0</v>
      </c>
      <c r="AZ95">
        <v>0</v>
      </c>
      <c r="BA95">
        <v>0</v>
      </c>
      <c r="BB95">
        <v>0</v>
      </c>
      <c r="BC95">
        <v>0</v>
      </c>
      <c r="BD95">
        <v>0</v>
      </c>
      <c r="BE95">
        <v>0</v>
      </c>
      <c r="BF95">
        <v>0</v>
      </c>
      <c r="BG95">
        <v>0</v>
      </c>
      <c r="BH95">
        <v>0</v>
      </c>
      <c r="BI95">
        <v>0</v>
      </c>
      <c r="BK95" s="151"/>
      <c r="BL95" s="68">
        <f t="shared" si="2"/>
        <v>0.94000000000000061</v>
      </c>
      <c r="BM95" s="852">
        <f ca="1">_xlfn.PERCENTILE.EXC(OFFSET('4.2.3 Monte Carlo resultater'!$A$2,0,'4.2.2 Monte Carlo-simulering'!$AB$16-1,'4.2.2 Monte Carlo-simulering'!$AB$17,1),BL95)</f>
        <v>0</v>
      </c>
      <c r="BN95" s="823"/>
      <c r="BO95" s="823"/>
      <c r="BP95" s="823"/>
      <c r="BQ95" s="823"/>
      <c r="BR95" s="823"/>
      <c r="BS95" s="823"/>
      <c r="BT95" s="823"/>
      <c r="BU95" s="823"/>
      <c r="BV95" s="823"/>
      <c r="BW95" s="823"/>
      <c r="BX95" s="823"/>
      <c r="BY95" s="823"/>
      <c r="BZ95" s="823"/>
    </row>
    <row r="96" spans="1:78" x14ac:dyDescent="0.35">
      <c r="A96">
        <v>0</v>
      </c>
      <c r="B96">
        <v>0</v>
      </c>
      <c r="C96">
        <v>0</v>
      </c>
      <c r="D96">
        <v>0</v>
      </c>
      <c r="E96">
        <v>0</v>
      </c>
      <c r="F96">
        <v>0</v>
      </c>
      <c r="G96">
        <v>0</v>
      </c>
      <c r="H96">
        <v>0</v>
      </c>
      <c r="I96">
        <v>0</v>
      </c>
      <c r="J96">
        <v>0</v>
      </c>
      <c r="K96">
        <v>0</v>
      </c>
      <c r="L96">
        <v>0</v>
      </c>
      <c r="M96">
        <v>0</v>
      </c>
      <c r="N96">
        <v>0</v>
      </c>
      <c r="O96">
        <v>0</v>
      </c>
      <c r="P96">
        <v>0</v>
      </c>
      <c r="Q96">
        <v>0</v>
      </c>
      <c r="R96">
        <v>0</v>
      </c>
      <c r="S96">
        <v>0</v>
      </c>
      <c r="T96">
        <v>0</v>
      </c>
      <c r="U96">
        <v>0</v>
      </c>
      <c r="V96">
        <v>0</v>
      </c>
      <c r="W96">
        <v>0</v>
      </c>
      <c r="X96">
        <v>0</v>
      </c>
      <c r="Y96">
        <v>0</v>
      </c>
      <c r="Z96">
        <v>0</v>
      </c>
      <c r="AA96">
        <v>0</v>
      </c>
      <c r="AB96">
        <v>0</v>
      </c>
      <c r="AC96">
        <v>0</v>
      </c>
      <c r="AD96">
        <v>0</v>
      </c>
      <c r="AF96">
        <v>0</v>
      </c>
      <c r="AG96">
        <v>0</v>
      </c>
      <c r="AH96">
        <v>0</v>
      </c>
      <c r="AI96">
        <v>0</v>
      </c>
      <c r="AJ96">
        <v>0</v>
      </c>
      <c r="AK96">
        <v>0</v>
      </c>
      <c r="AL96">
        <v>0</v>
      </c>
      <c r="AM96">
        <v>0</v>
      </c>
      <c r="AN96">
        <v>0</v>
      </c>
      <c r="AO96">
        <v>0</v>
      </c>
      <c r="AP96">
        <v>0</v>
      </c>
      <c r="AQ96">
        <v>0</v>
      </c>
      <c r="AR96">
        <v>0</v>
      </c>
      <c r="AS96">
        <v>0</v>
      </c>
      <c r="AT96">
        <v>0</v>
      </c>
      <c r="AU96">
        <v>0</v>
      </c>
      <c r="AV96">
        <v>0</v>
      </c>
      <c r="AW96">
        <v>0</v>
      </c>
      <c r="AX96">
        <v>0</v>
      </c>
      <c r="AY96">
        <v>0</v>
      </c>
      <c r="AZ96">
        <v>0</v>
      </c>
      <c r="BA96">
        <v>0</v>
      </c>
      <c r="BB96">
        <v>0</v>
      </c>
      <c r="BC96">
        <v>0</v>
      </c>
      <c r="BD96">
        <v>0</v>
      </c>
      <c r="BE96">
        <v>0</v>
      </c>
      <c r="BF96">
        <v>0</v>
      </c>
      <c r="BG96">
        <v>0</v>
      </c>
      <c r="BH96">
        <v>0</v>
      </c>
      <c r="BI96">
        <v>0</v>
      </c>
      <c r="BK96" s="151"/>
      <c r="BL96" s="68">
        <f t="shared" si="2"/>
        <v>0.95000000000000062</v>
      </c>
      <c r="BM96" s="852">
        <f ca="1">_xlfn.PERCENTILE.EXC(OFFSET('4.2.3 Monte Carlo resultater'!$A$2,0,'4.2.2 Monte Carlo-simulering'!$AB$16-1,'4.2.2 Monte Carlo-simulering'!$AB$17,1),BL96)</f>
        <v>0</v>
      </c>
      <c r="BN96" s="823"/>
      <c r="BO96" s="823"/>
      <c r="BP96" s="823"/>
      <c r="BQ96" s="823"/>
      <c r="BR96" s="823"/>
      <c r="BS96" s="823"/>
      <c r="BT96" s="823"/>
      <c r="BU96" s="823"/>
      <c r="BV96" s="823"/>
      <c r="BW96" s="823"/>
      <c r="BX96" s="823"/>
      <c r="BY96" s="823"/>
      <c r="BZ96" s="823"/>
    </row>
    <row r="97" spans="1:78" x14ac:dyDescent="0.35">
      <c r="A97">
        <v>0</v>
      </c>
      <c r="B97">
        <v>0</v>
      </c>
      <c r="C97">
        <v>0</v>
      </c>
      <c r="D97">
        <v>0</v>
      </c>
      <c r="E97">
        <v>0</v>
      </c>
      <c r="F97">
        <v>0</v>
      </c>
      <c r="G97">
        <v>0</v>
      </c>
      <c r="H97">
        <v>0</v>
      </c>
      <c r="I97">
        <v>0</v>
      </c>
      <c r="J97">
        <v>0</v>
      </c>
      <c r="K97">
        <v>0</v>
      </c>
      <c r="L97">
        <v>0</v>
      </c>
      <c r="M97">
        <v>0</v>
      </c>
      <c r="N97">
        <v>0</v>
      </c>
      <c r="O97">
        <v>0</v>
      </c>
      <c r="P97">
        <v>0</v>
      </c>
      <c r="Q97">
        <v>0</v>
      </c>
      <c r="R97">
        <v>0</v>
      </c>
      <c r="S97">
        <v>0</v>
      </c>
      <c r="T97">
        <v>0</v>
      </c>
      <c r="U97">
        <v>0</v>
      </c>
      <c r="V97">
        <v>0</v>
      </c>
      <c r="W97">
        <v>0</v>
      </c>
      <c r="X97">
        <v>0</v>
      </c>
      <c r="Y97">
        <v>0</v>
      </c>
      <c r="Z97">
        <v>0</v>
      </c>
      <c r="AA97">
        <v>0</v>
      </c>
      <c r="AB97">
        <v>0</v>
      </c>
      <c r="AC97">
        <v>0</v>
      </c>
      <c r="AD97">
        <v>0</v>
      </c>
      <c r="AF97">
        <v>0</v>
      </c>
      <c r="AG97">
        <v>0</v>
      </c>
      <c r="AH97">
        <v>0</v>
      </c>
      <c r="AI97">
        <v>0</v>
      </c>
      <c r="AJ97">
        <v>0</v>
      </c>
      <c r="AK97">
        <v>0</v>
      </c>
      <c r="AL97">
        <v>0</v>
      </c>
      <c r="AM97">
        <v>0</v>
      </c>
      <c r="AN97">
        <v>0</v>
      </c>
      <c r="AO97">
        <v>0</v>
      </c>
      <c r="AP97">
        <v>0</v>
      </c>
      <c r="AQ97">
        <v>0</v>
      </c>
      <c r="AR97">
        <v>0</v>
      </c>
      <c r="AS97">
        <v>0</v>
      </c>
      <c r="AT97">
        <v>0</v>
      </c>
      <c r="AU97">
        <v>0</v>
      </c>
      <c r="AV97">
        <v>0</v>
      </c>
      <c r="AW97">
        <v>0</v>
      </c>
      <c r="AX97">
        <v>0</v>
      </c>
      <c r="AY97">
        <v>0</v>
      </c>
      <c r="AZ97">
        <v>0</v>
      </c>
      <c r="BA97">
        <v>0</v>
      </c>
      <c r="BB97">
        <v>0</v>
      </c>
      <c r="BC97">
        <v>0</v>
      </c>
      <c r="BD97">
        <v>0</v>
      </c>
      <c r="BE97">
        <v>0</v>
      </c>
      <c r="BF97">
        <v>0</v>
      </c>
      <c r="BG97">
        <v>0</v>
      </c>
      <c r="BH97">
        <v>0</v>
      </c>
      <c r="BI97">
        <v>0</v>
      </c>
      <c r="BK97" s="151"/>
      <c r="BL97" s="68">
        <f t="shared" si="2"/>
        <v>0.96000000000000063</v>
      </c>
      <c r="BM97" s="852">
        <f ca="1">_xlfn.PERCENTILE.EXC(OFFSET('4.2.3 Monte Carlo resultater'!$A$2,0,'4.2.2 Monte Carlo-simulering'!$AB$16-1,'4.2.2 Monte Carlo-simulering'!$AB$17,1),BL97)</f>
        <v>0</v>
      </c>
      <c r="BN97" s="823"/>
      <c r="BO97" s="823"/>
      <c r="BP97" s="823"/>
      <c r="BQ97" s="823"/>
      <c r="BR97" s="823"/>
      <c r="BS97" s="823"/>
      <c r="BT97" s="823"/>
      <c r="BU97" s="823"/>
      <c r="BV97" s="823"/>
      <c r="BW97" s="823"/>
      <c r="BX97" s="823"/>
      <c r="BY97" s="823"/>
      <c r="BZ97" s="823"/>
    </row>
    <row r="98" spans="1:78" x14ac:dyDescent="0.35">
      <c r="A98">
        <v>0</v>
      </c>
      <c r="B98">
        <v>0</v>
      </c>
      <c r="C98">
        <v>0</v>
      </c>
      <c r="D98">
        <v>0</v>
      </c>
      <c r="E98">
        <v>0</v>
      </c>
      <c r="F98">
        <v>0</v>
      </c>
      <c r="G98">
        <v>0</v>
      </c>
      <c r="H98">
        <v>0</v>
      </c>
      <c r="I98">
        <v>0</v>
      </c>
      <c r="J98">
        <v>0</v>
      </c>
      <c r="K98">
        <v>0</v>
      </c>
      <c r="L98">
        <v>0</v>
      </c>
      <c r="M98">
        <v>0</v>
      </c>
      <c r="N98">
        <v>0</v>
      </c>
      <c r="O98">
        <v>0</v>
      </c>
      <c r="P98">
        <v>0</v>
      </c>
      <c r="Q98">
        <v>0</v>
      </c>
      <c r="R98">
        <v>0</v>
      </c>
      <c r="S98">
        <v>0</v>
      </c>
      <c r="T98">
        <v>0</v>
      </c>
      <c r="U98">
        <v>0</v>
      </c>
      <c r="V98">
        <v>0</v>
      </c>
      <c r="W98">
        <v>0</v>
      </c>
      <c r="X98">
        <v>0</v>
      </c>
      <c r="Y98">
        <v>0</v>
      </c>
      <c r="Z98">
        <v>0</v>
      </c>
      <c r="AA98">
        <v>0</v>
      </c>
      <c r="AB98">
        <v>0</v>
      </c>
      <c r="AC98">
        <v>0</v>
      </c>
      <c r="AD98">
        <v>0</v>
      </c>
      <c r="AF98">
        <v>0</v>
      </c>
      <c r="AG98">
        <v>0</v>
      </c>
      <c r="AH98">
        <v>0</v>
      </c>
      <c r="AI98">
        <v>0</v>
      </c>
      <c r="AJ98">
        <v>0</v>
      </c>
      <c r="AK98">
        <v>0</v>
      </c>
      <c r="AL98">
        <v>0</v>
      </c>
      <c r="AM98">
        <v>0</v>
      </c>
      <c r="AN98">
        <v>0</v>
      </c>
      <c r="AO98">
        <v>0</v>
      </c>
      <c r="AP98">
        <v>0</v>
      </c>
      <c r="AQ98">
        <v>0</v>
      </c>
      <c r="AR98">
        <v>0</v>
      </c>
      <c r="AS98">
        <v>0</v>
      </c>
      <c r="AT98">
        <v>0</v>
      </c>
      <c r="AU98">
        <v>0</v>
      </c>
      <c r="AV98">
        <v>0</v>
      </c>
      <c r="AW98">
        <v>0</v>
      </c>
      <c r="AX98">
        <v>0</v>
      </c>
      <c r="AY98">
        <v>0</v>
      </c>
      <c r="AZ98">
        <v>0</v>
      </c>
      <c r="BA98">
        <v>0</v>
      </c>
      <c r="BB98">
        <v>0</v>
      </c>
      <c r="BC98">
        <v>0</v>
      </c>
      <c r="BD98">
        <v>0</v>
      </c>
      <c r="BE98">
        <v>0</v>
      </c>
      <c r="BF98">
        <v>0</v>
      </c>
      <c r="BG98">
        <v>0</v>
      </c>
      <c r="BH98">
        <v>0</v>
      </c>
      <c r="BI98">
        <v>0</v>
      </c>
      <c r="BK98" s="151"/>
      <c r="BL98" s="68">
        <f t="shared" si="2"/>
        <v>0.97000000000000064</v>
      </c>
      <c r="BM98" s="852">
        <f ca="1">_xlfn.PERCENTILE.EXC(OFFSET('4.2.3 Monte Carlo resultater'!$A$2,0,'4.2.2 Monte Carlo-simulering'!$AB$16-1,'4.2.2 Monte Carlo-simulering'!$AB$17,1),BL98)</f>
        <v>0</v>
      </c>
      <c r="BN98" s="823"/>
      <c r="BO98" s="823"/>
      <c r="BP98" s="823"/>
      <c r="BQ98" s="823"/>
      <c r="BR98" s="823"/>
      <c r="BS98" s="823"/>
      <c r="BT98" s="823"/>
      <c r="BU98" s="823"/>
      <c r="BV98" s="823"/>
      <c r="BW98" s="823"/>
      <c r="BX98" s="823"/>
      <c r="BY98" s="823"/>
      <c r="BZ98" s="823"/>
    </row>
    <row r="99" spans="1:78" x14ac:dyDescent="0.35">
      <c r="A99">
        <v>0</v>
      </c>
      <c r="B99">
        <v>0</v>
      </c>
      <c r="C99">
        <v>0</v>
      </c>
      <c r="D99">
        <v>0</v>
      </c>
      <c r="E99">
        <v>0</v>
      </c>
      <c r="F99">
        <v>0</v>
      </c>
      <c r="G99">
        <v>0</v>
      </c>
      <c r="H99">
        <v>0</v>
      </c>
      <c r="I99">
        <v>0</v>
      </c>
      <c r="J99">
        <v>0</v>
      </c>
      <c r="K99">
        <v>0</v>
      </c>
      <c r="L99">
        <v>0</v>
      </c>
      <c r="M99">
        <v>0</v>
      </c>
      <c r="N99">
        <v>0</v>
      </c>
      <c r="O99">
        <v>0</v>
      </c>
      <c r="P99">
        <v>0</v>
      </c>
      <c r="Q99">
        <v>0</v>
      </c>
      <c r="R99">
        <v>0</v>
      </c>
      <c r="S99">
        <v>0</v>
      </c>
      <c r="T99">
        <v>0</v>
      </c>
      <c r="U99">
        <v>0</v>
      </c>
      <c r="V99">
        <v>0</v>
      </c>
      <c r="W99">
        <v>0</v>
      </c>
      <c r="X99">
        <v>0</v>
      </c>
      <c r="Y99">
        <v>0</v>
      </c>
      <c r="Z99">
        <v>0</v>
      </c>
      <c r="AA99">
        <v>0</v>
      </c>
      <c r="AB99">
        <v>0</v>
      </c>
      <c r="AC99">
        <v>0</v>
      </c>
      <c r="AD99">
        <v>0</v>
      </c>
      <c r="AF99">
        <v>0</v>
      </c>
      <c r="AG99">
        <v>0</v>
      </c>
      <c r="AH99">
        <v>0</v>
      </c>
      <c r="AI99">
        <v>0</v>
      </c>
      <c r="AJ99">
        <v>0</v>
      </c>
      <c r="AK99">
        <v>0</v>
      </c>
      <c r="AL99">
        <v>0</v>
      </c>
      <c r="AM99">
        <v>0</v>
      </c>
      <c r="AN99">
        <v>0</v>
      </c>
      <c r="AO99">
        <v>0</v>
      </c>
      <c r="AP99">
        <v>0</v>
      </c>
      <c r="AQ99">
        <v>0</v>
      </c>
      <c r="AR99">
        <v>0</v>
      </c>
      <c r="AS99">
        <v>0</v>
      </c>
      <c r="AT99">
        <v>0</v>
      </c>
      <c r="AU99">
        <v>0</v>
      </c>
      <c r="AV99">
        <v>0</v>
      </c>
      <c r="AW99">
        <v>0</v>
      </c>
      <c r="AX99">
        <v>0</v>
      </c>
      <c r="AY99">
        <v>0</v>
      </c>
      <c r="AZ99">
        <v>0</v>
      </c>
      <c r="BA99">
        <v>0</v>
      </c>
      <c r="BB99">
        <v>0</v>
      </c>
      <c r="BC99">
        <v>0</v>
      </c>
      <c r="BD99">
        <v>0</v>
      </c>
      <c r="BE99">
        <v>0</v>
      </c>
      <c r="BF99">
        <v>0</v>
      </c>
      <c r="BG99">
        <v>0</v>
      </c>
      <c r="BH99">
        <v>0</v>
      </c>
      <c r="BI99">
        <v>0</v>
      </c>
      <c r="BK99" s="151"/>
      <c r="BL99" s="68">
        <f t="shared" si="2"/>
        <v>0.98000000000000065</v>
      </c>
      <c r="BM99" s="852">
        <f ca="1">_xlfn.PERCENTILE.EXC(OFFSET('4.2.3 Monte Carlo resultater'!$A$2,0,'4.2.2 Monte Carlo-simulering'!$AB$16-1,'4.2.2 Monte Carlo-simulering'!$AB$17,1),BL99)</f>
        <v>0</v>
      </c>
      <c r="BN99" s="823"/>
      <c r="BO99" s="823"/>
      <c r="BP99" s="823"/>
      <c r="BQ99" s="823"/>
      <c r="BR99" s="823"/>
      <c r="BS99" s="823"/>
      <c r="BT99" s="823"/>
      <c r="BU99" s="823"/>
      <c r="BV99" s="823"/>
      <c r="BW99" s="823"/>
      <c r="BX99" s="823"/>
      <c r="BY99" s="823"/>
      <c r="BZ99" s="823"/>
    </row>
    <row r="100" spans="1:78" x14ac:dyDescent="0.35">
      <c r="A100">
        <v>0</v>
      </c>
      <c r="B100">
        <v>0</v>
      </c>
      <c r="C100">
        <v>0</v>
      </c>
      <c r="D100">
        <v>0</v>
      </c>
      <c r="E100">
        <v>0</v>
      </c>
      <c r="F100">
        <v>0</v>
      </c>
      <c r="G100">
        <v>0</v>
      </c>
      <c r="H100">
        <v>0</v>
      </c>
      <c r="I100">
        <v>0</v>
      </c>
      <c r="J100">
        <v>0</v>
      </c>
      <c r="K100">
        <v>0</v>
      </c>
      <c r="L100">
        <v>0</v>
      </c>
      <c r="M100">
        <v>0</v>
      </c>
      <c r="N100">
        <v>0</v>
      </c>
      <c r="O100">
        <v>0</v>
      </c>
      <c r="P100">
        <v>0</v>
      </c>
      <c r="Q100">
        <v>0</v>
      </c>
      <c r="R100">
        <v>0</v>
      </c>
      <c r="S100">
        <v>0</v>
      </c>
      <c r="T100">
        <v>0</v>
      </c>
      <c r="U100">
        <v>0</v>
      </c>
      <c r="V100">
        <v>0</v>
      </c>
      <c r="W100">
        <v>0</v>
      </c>
      <c r="X100">
        <v>0</v>
      </c>
      <c r="Y100">
        <v>0</v>
      </c>
      <c r="Z100">
        <v>0</v>
      </c>
      <c r="AA100">
        <v>0</v>
      </c>
      <c r="AB100">
        <v>0</v>
      </c>
      <c r="AC100">
        <v>0</v>
      </c>
      <c r="AD100">
        <v>0</v>
      </c>
      <c r="AF100">
        <v>0</v>
      </c>
      <c r="AG100">
        <v>0</v>
      </c>
      <c r="AH100">
        <v>0</v>
      </c>
      <c r="AI100">
        <v>0</v>
      </c>
      <c r="AJ100">
        <v>0</v>
      </c>
      <c r="AK100">
        <v>0</v>
      </c>
      <c r="AL100">
        <v>0</v>
      </c>
      <c r="AM100">
        <v>0</v>
      </c>
      <c r="AN100">
        <v>0</v>
      </c>
      <c r="AO100">
        <v>0</v>
      </c>
      <c r="AP100">
        <v>0</v>
      </c>
      <c r="AQ100">
        <v>0</v>
      </c>
      <c r="AR100">
        <v>0</v>
      </c>
      <c r="AS100">
        <v>0</v>
      </c>
      <c r="AT100">
        <v>0</v>
      </c>
      <c r="AU100">
        <v>0</v>
      </c>
      <c r="AV100">
        <v>0</v>
      </c>
      <c r="AW100">
        <v>0</v>
      </c>
      <c r="AX100">
        <v>0</v>
      </c>
      <c r="AY100">
        <v>0</v>
      </c>
      <c r="AZ100">
        <v>0</v>
      </c>
      <c r="BA100">
        <v>0</v>
      </c>
      <c r="BB100">
        <v>0</v>
      </c>
      <c r="BC100">
        <v>0</v>
      </c>
      <c r="BD100">
        <v>0</v>
      </c>
      <c r="BE100">
        <v>0</v>
      </c>
      <c r="BF100">
        <v>0</v>
      </c>
      <c r="BG100">
        <v>0</v>
      </c>
      <c r="BH100">
        <v>0</v>
      </c>
      <c r="BI100">
        <v>0</v>
      </c>
      <c r="BK100" s="151"/>
      <c r="BL100" s="68">
        <f t="shared" si="2"/>
        <v>0.99000000000000066</v>
      </c>
      <c r="BM100" s="852">
        <f ca="1">_xlfn.PERCENTILE.EXC(OFFSET('4.2.3 Monte Carlo resultater'!$A$2,0,'4.2.2 Monte Carlo-simulering'!$AB$16-1,'4.2.2 Monte Carlo-simulering'!$AB$17,1),BL100)</f>
        <v>0</v>
      </c>
      <c r="BN100" s="823"/>
      <c r="BO100" s="823"/>
      <c r="BP100" s="823"/>
      <c r="BQ100" s="823"/>
      <c r="BR100" s="823"/>
      <c r="BS100" s="823"/>
      <c r="BT100" s="823"/>
      <c r="BU100" s="823"/>
      <c r="BV100" s="823"/>
      <c r="BW100" s="823"/>
      <c r="BX100" s="823"/>
      <c r="BY100" s="823"/>
      <c r="BZ100" s="823"/>
    </row>
    <row r="101" spans="1:78" x14ac:dyDescent="0.35">
      <c r="A101">
        <v>0</v>
      </c>
      <c r="B101">
        <v>0</v>
      </c>
      <c r="C101">
        <v>0</v>
      </c>
      <c r="D101">
        <v>0</v>
      </c>
      <c r="E101">
        <v>0</v>
      </c>
      <c r="F101">
        <v>0</v>
      </c>
      <c r="G101">
        <v>0</v>
      </c>
      <c r="H101">
        <v>0</v>
      </c>
      <c r="I101">
        <v>0</v>
      </c>
      <c r="J101">
        <v>0</v>
      </c>
      <c r="K101">
        <v>0</v>
      </c>
      <c r="L101">
        <v>0</v>
      </c>
      <c r="M101">
        <v>0</v>
      </c>
      <c r="N101">
        <v>0</v>
      </c>
      <c r="O101">
        <v>0</v>
      </c>
      <c r="P101">
        <v>0</v>
      </c>
      <c r="Q101">
        <v>0</v>
      </c>
      <c r="R101">
        <v>0</v>
      </c>
      <c r="S101">
        <v>0</v>
      </c>
      <c r="T101">
        <v>0</v>
      </c>
      <c r="U101">
        <v>0</v>
      </c>
      <c r="V101">
        <v>0</v>
      </c>
      <c r="W101">
        <v>0</v>
      </c>
      <c r="X101">
        <v>0</v>
      </c>
      <c r="Y101">
        <v>0</v>
      </c>
      <c r="Z101">
        <v>0</v>
      </c>
      <c r="AA101">
        <v>0</v>
      </c>
      <c r="AB101">
        <v>0</v>
      </c>
      <c r="AC101">
        <v>0</v>
      </c>
      <c r="AD101">
        <v>0</v>
      </c>
      <c r="AF101">
        <v>0</v>
      </c>
      <c r="AG101">
        <v>0</v>
      </c>
      <c r="AH101">
        <v>0</v>
      </c>
      <c r="AI101">
        <v>0</v>
      </c>
      <c r="AJ101">
        <v>0</v>
      </c>
      <c r="AK101">
        <v>0</v>
      </c>
      <c r="AL101">
        <v>0</v>
      </c>
      <c r="AM101">
        <v>0</v>
      </c>
      <c r="AN101">
        <v>0</v>
      </c>
      <c r="AO101">
        <v>0</v>
      </c>
      <c r="AP101">
        <v>0</v>
      </c>
      <c r="AQ101">
        <v>0</v>
      </c>
      <c r="AR101">
        <v>0</v>
      </c>
      <c r="AS101">
        <v>0</v>
      </c>
      <c r="AT101">
        <v>0</v>
      </c>
      <c r="AU101">
        <v>0</v>
      </c>
      <c r="AV101">
        <v>0</v>
      </c>
      <c r="AW101">
        <v>0</v>
      </c>
      <c r="AX101">
        <v>0</v>
      </c>
      <c r="AY101">
        <v>0</v>
      </c>
      <c r="AZ101">
        <v>0</v>
      </c>
      <c r="BA101">
        <v>0</v>
      </c>
      <c r="BB101">
        <v>0</v>
      </c>
      <c r="BC101">
        <v>0</v>
      </c>
      <c r="BD101">
        <v>0</v>
      </c>
      <c r="BE101">
        <v>0</v>
      </c>
      <c r="BF101">
        <v>0</v>
      </c>
      <c r="BG101">
        <v>0</v>
      </c>
      <c r="BH101">
        <v>0</v>
      </c>
      <c r="BI101">
        <v>0</v>
      </c>
      <c r="BK101" s="151"/>
    </row>
    <row r="102" spans="1:78" x14ac:dyDescent="0.35">
      <c r="A102">
        <v>0</v>
      </c>
      <c r="B102">
        <v>0</v>
      </c>
      <c r="C102">
        <v>0</v>
      </c>
      <c r="D102">
        <v>0</v>
      </c>
      <c r="E102">
        <v>0</v>
      </c>
      <c r="F102">
        <v>0</v>
      </c>
      <c r="G102">
        <v>0</v>
      </c>
      <c r="H102">
        <v>0</v>
      </c>
      <c r="I102">
        <v>0</v>
      </c>
      <c r="J102">
        <v>0</v>
      </c>
      <c r="K102">
        <v>0</v>
      </c>
      <c r="L102">
        <v>0</v>
      </c>
      <c r="M102">
        <v>0</v>
      </c>
      <c r="N102">
        <v>0</v>
      </c>
      <c r="O102">
        <v>0</v>
      </c>
      <c r="P102">
        <v>0</v>
      </c>
      <c r="Q102">
        <v>0</v>
      </c>
      <c r="R102">
        <v>0</v>
      </c>
      <c r="S102">
        <v>0</v>
      </c>
      <c r="T102">
        <v>0</v>
      </c>
      <c r="U102">
        <v>0</v>
      </c>
      <c r="V102">
        <v>0</v>
      </c>
      <c r="W102">
        <v>0</v>
      </c>
      <c r="X102">
        <v>0</v>
      </c>
      <c r="Y102">
        <v>0</v>
      </c>
      <c r="Z102">
        <v>0</v>
      </c>
      <c r="AA102">
        <v>0</v>
      </c>
      <c r="AB102">
        <v>0</v>
      </c>
      <c r="AC102">
        <v>0</v>
      </c>
      <c r="AD102">
        <v>0</v>
      </c>
      <c r="AF102">
        <v>0</v>
      </c>
      <c r="AG102">
        <v>0</v>
      </c>
      <c r="AH102">
        <v>0</v>
      </c>
      <c r="AI102">
        <v>0</v>
      </c>
      <c r="AJ102">
        <v>0</v>
      </c>
      <c r="AK102">
        <v>0</v>
      </c>
      <c r="AL102">
        <v>0</v>
      </c>
      <c r="AM102">
        <v>0</v>
      </c>
      <c r="AN102">
        <v>0</v>
      </c>
      <c r="AO102">
        <v>0</v>
      </c>
      <c r="AP102">
        <v>0</v>
      </c>
      <c r="AQ102">
        <v>0</v>
      </c>
      <c r="AR102">
        <v>0</v>
      </c>
      <c r="AS102">
        <v>0</v>
      </c>
      <c r="AT102">
        <v>0</v>
      </c>
      <c r="AU102">
        <v>0</v>
      </c>
      <c r="AV102">
        <v>0</v>
      </c>
      <c r="AW102">
        <v>0</v>
      </c>
      <c r="AX102">
        <v>0</v>
      </c>
      <c r="AY102">
        <v>0</v>
      </c>
      <c r="AZ102">
        <v>0</v>
      </c>
      <c r="BA102">
        <v>0</v>
      </c>
      <c r="BB102">
        <v>0</v>
      </c>
      <c r="BC102">
        <v>0</v>
      </c>
      <c r="BD102">
        <v>0</v>
      </c>
      <c r="BE102">
        <v>0</v>
      </c>
      <c r="BF102">
        <v>0</v>
      </c>
      <c r="BG102">
        <v>0</v>
      </c>
      <c r="BH102">
        <v>0</v>
      </c>
      <c r="BI102">
        <v>0</v>
      </c>
      <c r="BK102" s="151"/>
    </row>
    <row r="103" spans="1:78" x14ac:dyDescent="0.35">
      <c r="A103">
        <v>0</v>
      </c>
      <c r="B103">
        <v>0</v>
      </c>
      <c r="C103">
        <v>0</v>
      </c>
      <c r="D103">
        <v>0</v>
      </c>
      <c r="E103">
        <v>0</v>
      </c>
      <c r="F103">
        <v>0</v>
      </c>
      <c r="G103">
        <v>0</v>
      </c>
      <c r="H103">
        <v>0</v>
      </c>
      <c r="I103">
        <v>0</v>
      </c>
      <c r="J103">
        <v>0</v>
      </c>
      <c r="K103">
        <v>0</v>
      </c>
      <c r="L103">
        <v>0</v>
      </c>
      <c r="M103">
        <v>0</v>
      </c>
      <c r="N103">
        <v>0</v>
      </c>
      <c r="O103">
        <v>0</v>
      </c>
      <c r="P103">
        <v>0</v>
      </c>
      <c r="Q103">
        <v>0</v>
      </c>
      <c r="R103">
        <v>0</v>
      </c>
      <c r="S103">
        <v>0</v>
      </c>
      <c r="T103">
        <v>0</v>
      </c>
      <c r="U103">
        <v>0</v>
      </c>
      <c r="V103">
        <v>0</v>
      </c>
      <c r="W103">
        <v>0</v>
      </c>
      <c r="X103">
        <v>0</v>
      </c>
      <c r="Y103">
        <v>0</v>
      </c>
      <c r="Z103">
        <v>0</v>
      </c>
      <c r="AA103">
        <v>0</v>
      </c>
      <c r="AB103">
        <v>0</v>
      </c>
      <c r="AC103">
        <v>0</v>
      </c>
      <c r="AD103">
        <v>0</v>
      </c>
      <c r="AF103">
        <v>0</v>
      </c>
      <c r="AG103">
        <v>0</v>
      </c>
      <c r="AH103">
        <v>0</v>
      </c>
      <c r="AI103">
        <v>0</v>
      </c>
      <c r="AJ103">
        <v>0</v>
      </c>
      <c r="AK103">
        <v>0</v>
      </c>
      <c r="AL103">
        <v>0</v>
      </c>
      <c r="AM103">
        <v>0</v>
      </c>
      <c r="AN103">
        <v>0</v>
      </c>
      <c r="AO103">
        <v>0</v>
      </c>
      <c r="AP103">
        <v>0</v>
      </c>
      <c r="AQ103">
        <v>0</v>
      </c>
      <c r="AR103">
        <v>0</v>
      </c>
      <c r="AS103">
        <v>0</v>
      </c>
      <c r="AT103">
        <v>0</v>
      </c>
      <c r="AU103">
        <v>0</v>
      </c>
      <c r="AV103">
        <v>0</v>
      </c>
      <c r="AW103">
        <v>0</v>
      </c>
      <c r="AX103">
        <v>0</v>
      </c>
      <c r="AY103">
        <v>0</v>
      </c>
      <c r="AZ103">
        <v>0</v>
      </c>
      <c r="BA103">
        <v>0</v>
      </c>
      <c r="BB103">
        <v>0</v>
      </c>
      <c r="BC103">
        <v>0</v>
      </c>
      <c r="BD103">
        <v>0</v>
      </c>
      <c r="BE103">
        <v>0</v>
      </c>
      <c r="BF103">
        <v>0</v>
      </c>
      <c r="BG103">
        <v>0</v>
      </c>
      <c r="BH103">
        <v>0</v>
      </c>
      <c r="BI103">
        <v>0</v>
      </c>
      <c r="BK103" s="151"/>
    </row>
    <row r="104" spans="1:78" x14ac:dyDescent="0.35">
      <c r="A104">
        <v>0</v>
      </c>
      <c r="B104">
        <v>0</v>
      </c>
      <c r="C104">
        <v>0</v>
      </c>
      <c r="D104">
        <v>0</v>
      </c>
      <c r="E104">
        <v>0</v>
      </c>
      <c r="F104">
        <v>0</v>
      </c>
      <c r="G104">
        <v>0</v>
      </c>
      <c r="H104">
        <v>0</v>
      </c>
      <c r="I104">
        <v>0</v>
      </c>
      <c r="J104">
        <v>0</v>
      </c>
      <c r="K104">
        <v>0</v>
      </c>
      <c r="L104">
        <v>0</v>
      </c>
      <c r="M104">
        <v>0</v>
      </c>
      <c r="N104">
        <v>0</v>
      </c>
      <c r="O104">
        <v>0</v>
      </c>
      <c r="P104">
        <v>0</v>
      </c>
      <c r="Q104">
        <v>0</v>
      </c>
      <c r="R104">
        <v>0</v>
      </c>
      <c r="S104">
        <v>0</v>
      </c>
      <c r="T104">
        <v>0</v>
      </c>
      <c r="U104">
        <v>0</v>
      </c>
      <c r="V104">
        <v>0</v>
      </c>
      <c r="W104">
        <v>0</v>
      </c>
      <c r="X104">
        <v>0</v>
      </c>
      <c r="Y104">
        <v>0</v>
      </c>
      <c r="Z104">
        <v>0</v>
      </c>
      <c r="AA104">
        <v>0</v>
      </c>
      <c r="AB104">
        <v>0</v>
      </c>
      <c r="AC104">
        <v>0</v>
      </c>
      <c r="AD104">
        <v>0</v>
      </c>
      <c r="AF104">
        <v>0</v>
      </c>
      <c r="AG104">
        <v>0</v>
      </c>
      <c r="AH104">
        <v>0</v>
      </c>
      <c r="AI104">
        <v>0</v>
      </c>
      <c r="AJ104">
        <v>0</v>
      </c>
      <c r="AK104">
        <v>0</v>
      </c>
      <c r="AL104">
        <v>0</v>
      </c>
      <c r="AM104">
        <v>0</v>
      </c>
      <c r="AN104">
        <v>0</v>
      </c>
      <c r="AO104">
        <v>0</v>
      </c>
      <c r="AP104">
        <v>0</v>
      </c>
      <c r="AQ104">
        <v>0</v>
      </c>
      <c r="AR104">
        <v>0</v>
      </c>
      <c r="AS104">
        <v>0</v>
      </c>
      <c r="AT104">
        <v>0</v>
      </c>
      <c r="AU104">
        <v>0</v>
      </c>
      <c r="AV104">
        <v>0</v>
      </c>
      <c r="AW104">
        <v>0</v>
      </c>
      <c r="AX104">
        <v>0</v>
      </c>
      <c r="AY104">
        <v>0</v>
      </c>
      <c r="AZ104">
        <v>0</v>
      </c>
      <c r="BA104">
        <v>0</v>
      </c>
      <c r="BB104">
        <v>0</v>
      </c>
      <c r="BC104">
        <v>0</v>
      </c>
      <c r="BD104">
        <v>0</v>
      </c>
      <c r="BE104">
        <v>0</v>
      </c>
      <c r="BF104">
        <v>0</v>
      </c>
      <c r="BG104">
        <v>0</v>
      </c>
      <c r="BH104">
        <v>0</v>
      </c>
      <c r="BI104">
        <v>0</v>
      </c>
      <c r="BK104" s="151"/>
    </row>
    <row r="105" spans="1:78" x14ac:dyDescent="0.35">
      <c r="A105">
        <v>0</v>
      </c>
      <c r="B105">
        <v>0</v>
      </c>
      <c r="C105">
        <v>0</v>
      </c>
      <c r="D105">
        <v>0</v>
      </c>
      <c r="E105">
        <v>0</v>
      </c>
      <c r="F105">
        <v>0</v>
      </c>
      <c r="G105">
        <v>0</v>
      </c>
      <c r="H105">
        <v>0</v>
      </c>
      <c r="I105">
        <v>0</v>
      </c>
      <c r="J105">
        <v>0</v>
      </c>
      <c r="K105">
        <v>0</v>
      </c>
      <c r="L105">
        <v>0</v>
      </c>
      <c r="M105">
        <v>0</v>
      </c>
      <c r="N105">
        <v>0</v>
      </c>
      <c r="O105">
        <v>0</v>
      </c>
      <c r="P105">
        <v>0</v>
      </c>
      <c r="Q105">
        <v>0</v>
      </c>
      <c r="R105">
        <v>0</v>
      </c>
      <c r="S105">
        <v>0</v>
      </c>
      <c r="T105">
        <v>0</v>
      </c>
      <c r="U105">
        <v>0</v>
      </c>
      <c r="V105">
        <v>0</v>
      </c>
      <c r="W105">
        <v>0</v>
      </c>
      <c r="X105">
        <v>0</v>
      </c>
      <c r="Y105">
        <v>0</v>
      </c>
      <c r="Z105">
        <v>0</v>
      </c>
      <c r="AA105">
        <v>0</v>
      </c>
      <c r="AB105">
        <v>0</v>
      </c>
      <c r="AC105">
        <v>0</v>
      </c>
      <c r="AD105">
        <v>0</v>
      </c>
      <c r="AF105">
        <v>0</v>
      </c>
      <c r="AG105">
        <v>0</v>
      </c>
      <c r="AH105">
        <v>0</v>
      </c>
      <c r="AI105">
        <v>0</v>
      </c>
      <c r="AJ105">
        <v>0</v>
      </c>
      <c r="AK105">
        <v>0</v>
      </c>
      <c r="AL105">
        <v>0</v>
      </c>
      <c r="AM105">
        <v>0</v>
      </c>
      <c r="AN105">
        <v>0</v>
      </c>
      <c r="AO105">
        <v>0</v>
      </c>
      <c r="AP105">
        <v>0</v>
      </c>
      <c r="AQ105">
        <v>0</v>
      </c>
      <c r="AR105">
        <v>0</v>
      </c>
      <c r="AS105">
        <v>0</v>
      </c>
      <c r="AT105">
        <v>0</v>
      </c>
      <c r="AU105">
        <v>0</v>
      </c>
      <c r="AV105">
        <v>0</v>
      </c>
      <c r="AW105">
        <v>0</v>
      </c>
      <c r="AX105">
        <v>0</v>
      </c>
      <c r="AY105">
        <v>0</v>
      </c>
      <c r="AZ105">
        <v>0</v>
      </c>
      <c r="BA105">
        <v>0</v>
      </c>
      <c r="BB105">
        <v>0</v>
      </c>
      <c r="BC105">
        <v>0</v>
      </c>
      <c r="BD105">
        <v>0</v>
      </c>
      <c r="BE105">
        <v>0</v>
      </c>
      <c r="BF105">
        <v>0</v>
      </c>
      <c r="BG105">
        <v>0</v>
      </c>
      <c r="BH105">
        <v>0</v>
      </c>
      <c r="BI105">
        <v>0</v>
      </c>
      <c r="BK105" s="151"/>
    </row>
    <row r="106" spans="1:78" x14ac:dyDescent="0.35">
      <c r="A106">
        <v>0</v>
      </c>
      <c r="B106">
        <v>0</v>
      </c>
      <c r="C106">
        <v>0</v>
      </c>
      <c r="D106">
        <v>0</v>
      </c>
      <c r="E106">
        <v>0</v>
      </c>
      <c r="F106">
        <v>0</v>
      </c>
      <c r="G106">
        <v>0</v>
      </c>
      <c r="H106">
        <v>0</v>
      </c>
      <c r="I106">
        <v>0</v>
      </c>
      <c r="J106">
        <v>0</v>
      </c>
      <c r="K106">
        <v>0</v>
      </c>
      <c r="L106">
        <v>0</v>
      </c>
      <c r="M106">
        <v>0</v>
      </c>
      <c r="N106">
        <v>0</v>
      </c>
      <c r="O106">
        <v>0</v>
      </c>
      <c r="P106">
        <v>0</v>
      </c>
      <c r="Q106">
        <v>0</v>
      </c>
      <c r="R106">
        <v>0</v>
      </c>
      <c r="S106">
        <v>0</v>
      </c>
      <c r="T106">
        <v>0</v>
      </c>
      <c r="U106">
        <v>0</v>
      </c>
      <c r="V106">
        <v>0</v>
      </c>
      <c r="W106">
        <v>0</v>
      </c>
      <c r="X106">
        <v>0</v>
      </c>
      <c r="Y106">
        <v>0</v>
      </c>
      <c r="Z106">
        <v>0</v>
      </c>
      <c r="AA106">
        <v>0</v>
      </c>
      <c r="AB106">
        <v>0</v>
      </c>
      <c r="AC106">
        <v>0</v>
      </c>
      <c r="AD106">
        <v>0</v>
      </c>
      <c r="AF106">
        <v>0</v>
      </c>
      <c r="AG106">
        <v>0</v>
      </c>
      <c r="AH106">
        <v>0</v>
      </c>
      <c r="AI106">
        <v>0</v>
      </c>
      <c r="AJ106">
        <v>0</v>
      </c>
      <c r="AK106">
        <v>0</v>
      </c>
      <c r="AL106">
        <v>0</v>
      </c>
      <c r="AM106">
        <v>0</v>
      </c>
      <c r="AN106">
        <v>0</v>
      </c>
      <c r="AO106">
        <v>0</v>
      </c>
      <c r="AP106">
        <v>0</v>
      </c>
      <c r="AQ106">
        <v>0</v>
      </c>
      <c r="AR106">
        <v>0</v>
      </c>
      <c r="AS106">
        <v>0</v>
      </c>
      <c r="AT106">
        <v>0</v>
      </c>
      <c r="AU106">
        <v>0</v>
      </c>
      <c r="AV106">
        <v>0</v>
      </c>
      <c r="AW106">
        <v>0</v>
      </c>
      <c r="AX106">
        <v>0</v>
      </c>
      <c r="AY106">
        <v>0</v>
      </c>
      <c r="AZ106">
        <v>0</v>
      </c>
      <c r="BA106">
        <v>0</v>
      </c>
      <c r="BB106">
        <v>0</v>
      </c>
      <c r="BC106">
        <v>0</v>
      </c>
      <c r="BD106">
        <v>0</v>
      </c>
      <c r="BE106">
        <v>0</v>
      </c>
      <c r="BF106">
        <v>0</v>
      </c>
      <c r="BG106">
        <v>0</v>
      </c>
      <c r="BH106">
        <v>0</v>
      </c>
      <c r="BI106">
        <v>0</v>
      </c>
      <c r="BK106" s="151"/>
    </row>
    <row r="107" spans="1:78" x14ac:dyDescent="0.35">
      <c r="A107">
        <v>0</v>
      </c>
      <c r="B107">
        <v>0</v>
      </c>
      <c r="C107">
        <v>0</v>
      </c>
      <c r="D107">
        <v>0</v>
      </c>
      <c r="E107">
        <v>0</v>
      </c>
      <c r="F107">
        <v>0</v>
      </c>
      <c r="G107">
        <v>0</v>
      </c>
      <c r="H107">
        <v>0</v>
      </c>
      <c r="I107">
        <v>0</v>
      </c>
      <c r="J107">
        <v>0</v>
      </c>
      <c r="K107">
        <v>0</v>
      </c>
      <c r="L107">
        <v>0</v>
      </c>
      <c r="M107">
        <v>0</v>
      </c>
      <c r="N107">
        <v>0</v>
      </c>
      <c r="O107">
        <v>0</v>
      </c>
      <c r="P107">
        <v>0</v>
      </c>
      <c r="Q107">
        <v>0</v>
      </c>
      <c r="R107">
        <v>0</v>
      </c>
      <c r="S107">
        <v>0</v>
      </c>
      <c r="T107">
        <v>0</v>
      </c>
      <c r="U107">
        <v>0</v>
      </c>
      <c r="V107">
        <v>0</v>
      </c>
      <c r="W107">
        <v>0</v>
      </c>
      <c r="X107">
        <v>0</v>
      </c>
      <c r="Y107">
        <v>0</v>
      </c>
      <c r="Z107">
        <v>0</v>
      </c>
      <c r="AA107">
        <v>0</v>
      </c>
      <c r="AB107">
        <v>0</v>
      </c>
      <c r="AC107">
        <v>0</v>
      </c>
      <c r="AD107">
        <v>0</v>
      </c>
      <c r="AF107">
        <v>0</v>
      </c>
      <c r="AG107">
        <v>0</v>
      </c>
      <c r="AH107">
        <v>0</v>
      </c>
      <c r="AI107">
        <v>0</v>
      </c>
      <c r="AJ107">
        <v>0</v>
      </c>
      <c r="AK107">
        <v>0</v>
      </c>
      <c r="AL107">
        <v>0</v>
      </c>
      <c r="AM107">
        <v>0</v>
      </c>
      <c r="AN107">
        <v>0</v>
      </c>
      <c r="AO107">
        <v>0</v>
      </c>
      <c r="AP107">
        <v>0</v>
      </c>
      <c r="AQ107">
        <v>0</v>
      </c>
      <c r="AR107">
        <v>0</v>
      </c>
      <c r="AS107">
        <v>0</v>
      </c>
      <c r="AT107">
        <v>0</v>
      </c>
      <c r="AU107">
        <v>0</v>
      </c>
      <c r="AV107">
        <v>0</v>
      </c>
      <c r="AW107">
        <v>0</v>
      </c>
      <c r="AX107">
        <v>0</v>
      </c>
      <c r="AY107">
        <v>0</v>
      </c>
      <c r="AZ107">
        <v>0</v>
      </c>
      <c r="BA107">
        <v>0</v>
      </c>
      <c r="BB107">
        <v>0</v>
      </c>
      <c r="BC107">
        <v>0</v>
      </c>
      <c r="BD107">
        <v>0</v>
      </c>
      <c r="BE107">
        <v>0</v>
      </c>
      <c r="BF107">
        <v>0</v>
      </c>
      <c r="BG107">
        <v>0</v>
      </c>
      <c r="BH107">
        <v>0</v>
      </c>
      <c r="BI107">
        <v>0</v>
      </c>
      <c r="BK107" s="151"/>
    </row>
    <row r="108" spans="1:78" x14ac:dyDescent="0.35">
      <c r="A108">
        <v>0</v>
      </c>
      <c r="B108">
        <v>0</v>
      </c>
      <c r="C108">
        <v>0</v>
      </c>
      <c r="D108">
        <v>0</v>
      </c>
      <c r="E108">
        <v>0</v>
      </c>
      <c r="F108">
        <v>0</v>
      </c>
      <c r="G108">
        <v>0</v>
      </c>
      <c r="H108">
        <v>0</v>
      </c>
      <c r="I108">
        <v>0</v>
      </c>
      <c r="J108">
        <v>0</v>
      </c>
      <c r="K108">
        <v>0</v>
      </c>
      <c r="L108">
        <v>0</v>
      </c>
      <c r="M108">
        <v>0</v>
      </c>
      <c r="N108">
        <v>0</v>
      </c>
      <c r="O108">
        <v>0</v>
      </c>
      <c r="P108">
        <v>0</v>
      </c>
      <c r="Q108">
        <v>0</v>
      </c>
      <c r="R108">
        <v>0</v>
      </c>
      <c r="S108">
        <v>0</v>
      </c>
      <c r="T108">
        <v>0</v>
      </c>
      <c r="U108">
        <v>0</v>
      </c>
      <c r="V108">
        <v>0</v>
      </c>
      <c r="W108">
        <v>0</v>
      </c>
      <c r="X108">
        <v>0</v>
      </c>
      <c r="Y108">
        <v>0</v>
      </c>
      <c r="Z108">
        <v>0</v>
      </c>
      <c r="AA108">
        <v>0</v>
      </c>
      <c r="AB108">
        <v>0</v>
      </c>
      <c r="AC108">
        <v>0</v>
      </c>
      <c r="AD108">
        <v>0</v>
      </c>
      <c r="AF108">
        <v>0</v>
      </c>
      <c r="AG108">
        <v>0</v>
      </c>
      <c r="AH108">
        <v>0</v>
      </c>
      <c r="AI108">
        <v>0</v>
      </c>
      <c r="AJ108">
        <v>0</v>
      </c>
      <c r="AK108">
        <v>0</v>
      </c>
      <c r="AL108">
        <v>0</v>
      </c>
      <c r="AM108">
        <v>0</v>
      </c>
      <c r="AN108">
        <v>0</v>
      </c>
      <c r="AO108">
        <v>0</v>
      </c>
      <c r="AP108">
        <v>0</v>
      </c>
      <c r="AQ108">
        <v>0</v>
      </c>
      <c r="AR108">
        <v>0</v>
      </c>
      <c r="AS108">
        <v>0</v>
      </c>
      <c r="AT108">
        <v>0</v>
      </c>
      <c r="AU108">
        <v>0</v>
      </c>
      <c r="AV108">
        <v>0</v>
      </c>
      <c r="AW108">
        <v>0</v>
      </c>
      <c r="AX108">
        <v>0</v>
      </c>
      <c r="AY108">
        <v>0</v>
      </c>
      <c r="AZ108">
        <v>0</v>
      </c>
      <c r="BA108">
        <v>0</v>
      </c>
      <c r="BB108">
        <v>0</v>
      </c>
      <c r="BC108">
        <v>0</v>
      </c>
      <c r="BD108">
        <v>0</v>
      </c>
      <c r="BE108">
        <v>0</v>
      </c>
      <c r="BF108">
        <v>0</v>
      </c>
      <c r="BG108">
        <v>0</v>
      </c>
      <c r="BH108">
        <v>0</v>
      </c>
      <c r="BI108">
        <v>0</v>
      </c>
      <c r="BK108" s="151"/>
    </row>
    <row r="109" spans="1:78" x14ac:dyDescent="0.35">
      <c r="A109">
        <v>0</v>
      </c>
      <c r="B109">
        <v>0</v>
      </c>
      <c r="C109">
        <v>0</v>
      </c>
      <c r="D109">
        <v>0</v>
      </c>
      <c r="E109">
        <v>0</v>
      </c>
      <c r="F109">
        <v>0</v>
      </c>
      <c r="G109">
        <v>0</v>
      </c>
      <c r="H109">
        <v>0</v>
      </c>
      <c r="I109">
        <v>0</v>
      </c>
      <c r="J109">
        <v>0</v>
      </c>
      <c r="K109">
        <v>0</v>
      </c>
      <c r="L109">
        <v>0</v>
      </c>
      <c r="M109">
        <v>0</v>
      </c>
      <c r="N109">
        <v>0</v>
      </c>
      <c r="O109">
        <v>0</v>
      </c>
      <c r="P109">
        <v>0</v>
      </c>
      <c r="Q109">
        <v>0</v>
      </c>
      <c r="R109">
        <v>0</v>
      </c>
      <c r="S109">
        <v>0</v>
      </c>
      <c r="T109">
        <v>0</v>
      </c>
      <c r="U109">
        <v>0</v>
      </c>
      <c r="V109">
        <v>0</v>
      </c>
      <c r="W109">
        <v>0</v>
      </c>
      <c r="X109">
        <v>0</v>
      </c>
      <c r="Y109">
        <v>0</v>
      </c>
      <c r="Z109">
        <v>0</v>
      </c>
      <c r="AA109">
        <v>0</v>
      </c>
      <c r="AB109">
        <v>0</v>
      </c>
      <c r="AC109">
        <v>0</v>
      </c>
      <c r="AD109">
        <v>0</v>
      </c>
      <c r="AF109">
        <v>0</v>
      </c>
      <c r="AG109">
        <v>0</v>
      </c>
      <c r="AH109">
        <v>0</v>
      </c>
      <c r="AI109">
        <v>0</v>
      </c>
      <c r="AJ109">
        <v>0</v>
      </c>
      <c r="AK109">
        <v>0</v>
      </c>
      <c r="AL109">
        <v>0</v>
      </c>
      <c r="AM109">
        <v>0</v>
      </c>
      <c r="AN109">
        <v>0</v>
      </c>
      <c r="AO109">
        <v>0</v>
      </c>
      <c r="AP109">
        <v>0</v>
      </c>
      <c r="AQ109">
        <v>0</v>
      </c>
      <c r="AR109">
        <v>0</v>
      </c>
      <c r="AS109">
        <v>0</v>
      </c>
      <c r="AT109">
        <v>0</v>
      </c>
      <c r="AU109">
        <v>0</v>
      </c>
      <c r="AV109">
        <v>0</v>
      </c>
      <c r="AW109">
        <v>0</v>
      </c>
      <c r="AX109">
        <v>0</v>
      </c>
      <c r="AY109">
        <v>0</v>
      </c>
      <c r="AZ109">
        <v>0</v>
      </c>
      <c r="BA109">
        <v>0</v>
      </c>
      <c r="BB109">
        <v>0</v>
      </c>
      <c r="BC109">
        <v>0</v>
      </c>
      <c r="BD109">
        <v>0</v>
      </c>
      <c r="BE109">
        <v>0</v>
      </c>
      <c r="BF109">
        <v>0</v>
      </c>
      <c r="BG109">
        <v>0</v>
      </c>
      <c r="BH109">
        <v>0</v>
      </c>
      <c r="BI109">
        <v>0</v>
      </c>
      <c r="BK109" s="151"/>
    </row>
    <row r="110" spans="1:78" x14ac:dyDescent="0.35">
      <c r="A110">
        <v>0</v>
      </c>
      <c r="B110">
        <v>0</v>
      </c>
      <c r="C110">
        <v>0</v>
      </c>
      <c r="D110">
        <v>0</v>
      </c>
      <c r="E110">
        <v>0</v>
      </c>
      <c r="F110">
        <v>0</v>
      </c>
      <c r="G110">
        <v>0</v>
      </c>
      <c r="H110">
        <v>0</v>
      </c>
      <c r="I110">
        <v>0</v>
      </c>
      <c r="J110">
        <v>0</v>
      </c>
      <c r="K110">
        <v>0</v>
      </c>
      <c r="L110">
        <v>0</v>
      </c>
      <c r="M110">
        <v>0</v>
      </c>
      <c r="N110">
        <v>0</v>
      </c>
      <c r="O110">
        <v>0</v>
      </c>
      <c r="P110">
        <v>0</v>
      </c>
      <c r="Q110">
        <v>0</v>
      </c>
      <c r="R110">
        <v>0</v>
      </c>
      <c r="S110">
        <v>0</v>
      </c>
      <c r="T110">
        <v>0</v>
      </c>
      <c r="U110">
        <v>0</v>
      </c>
      <c r="V110">
        <v>0</v>
      </c>
      <c r="W110">
        <v>0</v>
      </c>
      <c r="X110">
        <v>0</v>
      </c>
      <c r="Y110">
        <v>0</v>
      </c>
      <c r="Z110">
        <v>0</v>
      </c>
      <c r="AA110">
        <v>0</v>
      </c>
      <c r="AB110">
        <v>0</v>
      </c>
      <c r="AC110">
        <v>0</v>
      </c>
      <c r="AD110">
        <v>0</v>
      </c>
      <c r="AF110">
        <v>0</v>
      </c>
      <c r="AG110">
        <v>0</v>
      </c>
      <c r="AH110">
        <v>0</v>
      </c>
      <c r="AI110">
        <v>0</v>
      </c>
      <c r="AJ110">
        <v>0</v>
      </c>
      <c r="AK110">
        <v>0</v>
      </c>
      <c r="AL110">
        <v>0</v>
      </c>
      <c r="AM110">
        <v>0</v>
      </c>
      <c r="AN110">
        <v>0</v>
      </c>
      <c r="AO110">
        <v>0</v>
      </c>
      <c r="AP110">
        <v>0</v>
      </c>
      <c r="AQ110">
        <v>0</v>
      </c>
      <c r="AR110">
        <v>0</v>
      </c>
      <c r="AS110">
        <v>0</v>
      </c>
      <c r="AT110">
        <v>0</v>
      </c>
      <c r="AU110">
        <v>0</v>
      </c>
      <c r="AV110">
        <v>0</v>
      </c>
      <c r="AW110">
        <v>0</v>
      </c>
      <c r="AX110">
        <v>0</v>
      </c>
      <c r="AY110">
        <v>0</v>
      </c>
      <c r="AZ110">
        <v>0</v>
      </c>
      <c r="BA110">
        <v>0</v>
      </c>
      <c r="BB110">
        <v>0</v>
      </c>
      <c r="BC110">
        <v>0</v>
      </c>
      <c r="BD110">
        <v>0</v>
      </c>
      <c r="BE110">
        <v>0</v>
      </c>
      <c r="BF110">
        <v>0</v>
      </c>
      <c r="BG110">
        <v>0</v>
      </c>
      <c r="BH110">
        <v>0</v>
      </c>
      <c r="BI110">
        <v>0</v>
      </c>
      <c r="BK110" s="151"/>
    </row>
    <row r="111" spans="1:78" x14ac:dyDescent="0.35">
      <c r="A111">
        <v>0</v>
      </c>
      <c r="B111">
        <v>0</v>
      </c>
      <c r="C111">
        <v>0</v>
      </c>
      <c r="D111">
        <v>0</v>
      </c>
      <c r="E111">
        <v>0</v>
      </c>
      <c r="F111">
        <v>0</v>
      </c>
      <c r="G111">
        <v>0</v>
      </c>
      <c r="H111">
        <v>0</v>
      </c>
      <c r="I111">
        <v>0</v>
      </c>
      <c r="J111">
        <v>0</v>
      </c>
      <c r="K111">
        <v>0</v>
      </c>
      <c r="L111">
        <v>0</v>
      </c>
      <c r="M111">
        <v>0</v>
      </c>
      <c r="N111">
        <v>0</v>
      </c>
      <c r="O111">
        <v>0</v>
      </c>
      <c r="P111">
        <v>0</v>
      </c>
      <c r="Q111">
        <v>0</v>
      </c>
      <c r="R111">
        <v>0</v>
      </c>
      <c r="S111">
        <v>0</v>
      </c>
      <c r="T111">
        <v>0</v>
      </c>
      <c r="U111">
        <v>0</v>
      </c>
      <c r="V111">
        <v>0</v>
      </c>
      <c r="W111">
        <v>0</v>
      </c>
      <c r="X111">
        <v>0</v>
      </c>
      <c r="Y111">
        <v>0</v>
      </c>
      <c r="Z111">
        <v>0</v>
      </c>
      <c r="AA111">
        <v>0</v>
      </c>
      <c r="AB111">
        <v>0</v>
      </c>
      <c r="AC111">
        <v>0</v>
      </c>
      <c r="AD111">
        <v>0</v>
      </c>
      <c r="AF111">
        <v>0</v>
      </c>
      <c r="AG111">
        <v>0</v>
      </c>
      <c r="AH111">
        <v>0</v>
      </c>
      <c r="AI111">
        <v>0</v>
      </c>
      <c r="AJ111">
        <v>0</v>
      </c>
      <c r="AK111">
        <v>0</v>
      </c>
      <c r="AL111">
        <v>0</v>
      </c>
      <c r="AM111">
        <v>0</v>
      </c>
      <c r="AN111">
        <v>0</v>
      </c>
      <c r="AO111">
        <v>0</v>
      </c>
      <c r="AP111">
        <v>0</v>
      </c>
      <c r="AQ111">
        <v>0</v>
      </c>
      <c r="AR111">
        <v>0</v>
      </c>
      <c r="AS111">
        <v>0</v>
      </c>
      <c r="AT111">
        <v>0</v>
      </c>
      <c r="AU111">
        <v>0</v>
      </c>
      <c r="AV111">
        <v>0</v>
      </c>
      <c r="AW111">
        <v>0</v>
      </c>
      <c r="AX111">
        <v>0</v>
      </c>
      <c r="AY111">
        <v>0</v>
      </c>
      <c r="AZ111">
        <v>0</v>
      </c>
      <c r="BA111">
        <v>0</v>
      </c>
      <c r="BB111">
        <v>0</v>
      </c>
      <c r="BC111">
        <v>0</v>
      </c>
      <c r="BD111">
        <v>0</v>
      </c>
      <c r="BE111">
        <v>0</v>
      </c>
      <c r="BF111">
        <v>0</v>
      </c>
      <c r="BG111">
        <v>0</v>
      </c>
      <c r="BH111">
        <v>0</v>
      </c>
      <c r="BI111">
        <v>0</v>
      </c>
      <c r="BK111" s="151"/>
    </row>
    <row r="112" spans="1:78" x14ac:dyDescent="0.35">
      <c r="A112">
        <v>0</v>
      </c>
      <c r="B112">
        <v>0</v>
      </c>
      <c r="C112">
        <v>0</v>
      </c>
      <c r="D112">
        <v>0</v>
      </c>
      <c r="E112">
        <v>0</v>
      </c>
      <c r="F112">
        <v>0</v>
      </c>
      <c r="G112">
        <v>0</v>
      </c>
      <c r="H112">
        <v>0</v>
      </c>
      <c r="I112">
        <v>0</v>
      </c>
      <c r="J112">
        <v>0</v>
      </c>
      <c r="K112">
        <v>0</v>
      </c>
      <c r="L112">
        <v>0</v>
      </c>
      <c r="M112">
        <v>0</v>
      </c>
      <c r="N112">
        <v>0</v>
      </c>
      <c r="O112">
        <v>0</v>
      </c>
      <c r="P112">
        <v>0</v>
      </c>
      <c r="Q112">
        <v>0</v>
      </c>
      <c r="R112">
        <v>0</v>
      </c>
      <c r="S112">
        <v>0</v>
      </c>
      <c r="T112">
        <v>0</v>
      </c>
      <c r="U112">
        <v>0</v>
      </c>
      <c r="V112">
        <v>0</v>
      </c>
      <c r="W112">
        <v>0</v>
      </c>
      <c r="X112">
        <v>0</v>
      </c>
      <c r="Y112">
        <v>0</v>
      </c>
      <c r="Z112">
        <v>0</v>
      </c>
      <c r="AA112">
        <v>0</v>
      </c>
      <c r="AB112">
        <v>0</v>
      </c>
      <c r="AC112">
        <v>0</v>
      </c>
      <c r="AD112">
        <v>0</v>
      </c>
      <c r="AF112">
        <v>0</v>
      </c>
      <c r="AG112">
        <v>0</v>
      </c>
      <c r="AH112">
        <v>0</v>
      </c>
      <c r="AI112">
        <v>0</v>
      </c>
      <c r="AJ112">
        <v>0</v>
      </c>
      <c r="AK112">
        <v>0</v>
      </c>
      <c r="AL112">
        <v>0</v>
      </c>
      <c r="AM112">
        <v>0</v>
      </c>
      <c r="AN112">
        <v>0</v>
      </c>
      <c r="AO112">
        <v>0</v>
      </c>
      <c r="AP112">
        <v>0</v>
      </c>
      <c r="AQ112">
        <v>0</v>
      </c>
      <c r="AR112">
        <v>0</v>
      </c>
      <c r="AS112">
        <v>0</v>
      </c>
      <c r="AT112">
        <v>0</v>
      </c>
      <c r="AU112">
        <v>0</v>
      </c>
      <c r="AV112">
        <v>0</v>
      </c>
      <c r="AW112">
        <v>0</v>
      </c>
      <c r="AX112">
        <v>0</v>
      </c>
      <c r="AY112">
        <v>0</v>
      </c>
      <c r="AZ112">
        <v>0</v>
      </c>
      <c r="BA112">
        <v>0</v>
      </c>
      <c r="BB112">
        <v>0</v>
      </c>
      <c r="BC112">
        <v>0</v>
      </c>
      <c r="BD112">
        <v>0</v>
      </c>
      <c r="BE112">
        <v>0</v>
      </c>
      <c r="BF112">
        <v>0</v>
      </c>
      <c r="BG112">
        <v>0</v>
      </c>
      <c r="BH112">
        <v>0</v>
      </c>
      <c r="BI112">
        <v>0</v>
      </c>
      <c r="BK112" s="151"/>
    </row>
    <row r="113" spans="1:63" x14ac:dyDescent="0.35">
      <c r="A113">
        <v>0</v>
      </c>
      <c r="B113">
        <v>0</v>
      </c>
      <c r="C113">
        <v>0</v>
      </c>
      <c r="D113">
        <v>0</v>
      </c>
      <c r="E113">
        <v>0</v>
      </c>
      <c r="F113">
        <v>0</v>
      </c>
      <c r="G113">
        <v>0</v>
      </c>
      <c r="H113">
        <v>0</v>
      </c>
      <c r="I113">
        <v>0</v>
      </c>
      <c r="J113">
        <v>0</v>
      </c>
      <c r="K113">
        <v>0</v>
      </c>
      <c r="L113">
        <v>0</v>
      </c>
      <c r="M113">
        <v>0</v>
      </c>
      <c r="N113">
        <v>0</v>
      </c>
      <c r="O113">
        <v>0</v>
      </c>
      <c r="P113">
        <v>0</v>
      </c>
      <c r="Q113">
        <v>0</v>
      </c>
      <c r="R113">
        <v>0</v>
      </c>
      <c r="S113">
        <v>0</v>
      </c>
      <c r="T113">
        <v>0</v>
      </c>
      <c r="U113">
        <v>0</v>
      </c>
      <c r="V113">
        <v>0</v>
      </c>
      <c r="W113">
        <v>0</v>
      </c>
      <c r="X113">
        <v>0</v>
      </c>
      <c r="Y113">
        <v>0</v>
      </c>
      <c r="Z113">
        <v>0</v>
      </c>
      <c r="AA113">
        <v>0</v>
      </c>
      <c r="AB113">
        <v>0</v>
      </c>
      <c r="AC113">
        <v>0</v>
      </c>
      <c r="AD113">
        <v>0</v>
      </c>
      <c r="AF113">
        <v>0</v>
      </c>
      <c r="AG113">
        <v>0</v>
      </c>
      <c r="AH113">
        <v>0</v>
      </c>
      <c r="AI113">
        <v>0</v>
      </c>
      <c r="AJ113">
        <v>0</v>
      </c>
      <c r="AK113">
        <v>0</v>
      </c>
      <c r="AL113">
        <v>0</v>
      </c>
      <c r="AM113">
        <v>0</v>
      </c>
      <c r="AN113">
        <v>0</v>
      </c>
      <c r="AO113">
        <v>0</v>
      </c>
      <c r="AP113">
        <v>0</v>
      </c>
      <c r="AQ113">
        <v>0</v>
      </c>
      <c r="AR113">
        <v>0</v>
      </c>
      <c r="AS113">
        <v>0</v>
      </c>
      <c r="AT113">
        <v>0</v>
      </c>
      <c r="AU113">
        <v>0</v>
      </c>
      <c r="AV113">
        <v>0</v>
      </c>
      <c r="AW113">
        <v>0</v>
      </c>
      <c r="AX113">
        <v>0</v>
      </c>
      <c r="AY113">
        <v>0</v>
      </c>
      <c r="AZ113">
        <v>0</v>
      </c>
      <c r="BA113">
        <v>0</v>
      </c>
      <c r="BB113">
        <v>0</v>
      </c>
      <c r="BC113">
        <v>0</v>
      </c>
      <c r="BD113">
        <v>0</v>
      </c>
      <c r="BE113">
        <v>0</v>
      </c>
      <c r="BF113">
        <v>0</v>
      </c>
      <c r="BG113">
        <v>0</v>
      </c>
      <c r="BH113">
        <v>0</v>
      </c>
      <c r="BI113">
        <v>0</v>
      </c>
      <c r="BK113" s="151"/>
    </row>
    <row r="114" spans="1:63" x14ac:dyDescent="0.35">
      <c r="A114">
        <v>0</v>
      </c>
      <c r="B114">
        <v>0</v>
      </c>
      <c r="C114">
        <v>0</v>
      </c>
      <c r="D114">
        <v>0</v>
      </c>
      <c r="E114">
        <v>0</v>
      </c>
      <c r="F114">
        <v>0</v>
      </c>
      <c r="G114">
        <v>0</v>
      </c>
      <c r="H114">
        <v>0</v>
      </c>
      <c r="I114">
        <v>0</v>
      </c>
      <c r="J114">
        <v>0</v>
      </c>
      <c r="K114">
        <v>0</v>
      </c>
      <c r="L114">
        <v>0</v>
      </c>
      <c r="M114">
        <v>0</v>
      </c>
      <c r="N114">
        <v>0</v>
      </c>
      <c r="O114">
        <v>0</v>
      </c>
      <c r="P114">
        <v>0</v>
      </c>
      <c r="Q114">
        <v>0</v>
      </c>
      <c r="R114">
        <v>0</v>
      </c>
      <c r="S114">
        <v>0</v>
      </c>
      <c r="T114">
        <v>0</v>
      </c>
      <c r="U114">
        <v>0</v>
      </c>
      <c r="V114">
        <v>0</v>
      </c>
      <c r="W114">
        <v>0</v>
      </c>
      <c r="X114">
        <v>0</v>
      </c>
      <c r="Y114">
        <v>0</v>
      </c>
      <c r="Z114">
        <v>0</v>
      </c>
      <c r="AA114">
        <v>0</v>
      </c>
      <c r="AB114">
        <v>0</v>
      </c>
      <c r="AC114">
        <v>0</v>
      </c>
      <c r="AD114">
        <v>0</v>
      </c>
      <c r="AF114">
        <v>0</v>
      </c>
      <c r="AG114">
        <v>0</v>
      </c>
      <c r="AH114">
        <v>0</v>
      </c>
      <c r="AI114">
        <v>0</v>
      </c>
      <c r="AJ114">
        <v>0</v>
      </c>
      <c r="AK114">
        <v>0</v>
      </c>
      <c r="AL114">
        <v>0</v>
      </c>
      <c r="AM114">
        <v>0</v>
      </c>
      <c r="AN114">
        <v>0</v>
      </c>
      <c r="AO114">
        <v>0</v>
      </c>
      <c r="AP114">
        <v>0</v>
      </c>
      <c r="AQ114">
        <v>0</v>
      </c>
      <c r="AR114">
        <v>0</v>
      </c>
      <c r="AS114">
        <v>0</v>
      </c>
      <c r="AT114">
        <v>0</v>
      </c>
      <c r="AU114">
        <v>0</v>
      </c>
      <c r="AV114">
        <v>0</v>
      </c>
      <c r="AW114">
        <v>0</v>
      </c>
      <c r="AX114">
        <v>0</v>
      </c>
      <c r="AY114">
        <v>0</v>
      </c>
      <c r="AZ114">
        <v>0</v>
      </c>
      <c r="BA114">
        <v>0</v>
      </c>
      <c r="BB114">
        <v>0</v>
      </c>
      <c r="BC114">
        <v>0</v>
      </c>
      <c r="BD114">
        <v>0</v>
      </c>
      <c r="BE114">
        <v>0</v>
      </c>
      <c r="BF114">
        <v>0</v>
      </c>
      <c r="BG114">
        <v>0</v>
      </c>
      <c r="BH114">
        <v>0</v>
      </c>
      <c r="BI114">
        <v>0</v>
      </c>
      <c r="BK114" s="151"/>
    </row>
    <row r="115" spans="1:63" x14ac:dyDescent="0.35">
      <c r="A115">
        <v>0</v>
      </c>
      <c r="B115">
        <v>0</v>
      </c>
      <c r="C115">
        <v>0</v>
      </c>
      <c r="D115">
        <v>0</v>
      </c>
      <c r="E115">
        <v>0</v>
      </c>
      <c r="F115">
        <v>0</v>
      </c>
      <c r="G115">
        <v>0</v>
      </c>
      <c r="H115">
        <v>0</v>
      </c>
      <c r="I115">
        <v>0</v>
      </c>
      <c r="J115">
        <v>0</v>
      </c>
      <c r="K115">
        <v>0</v>
      </c>
      <c r="L115">
        <v>0</v>
      </c>
      <c r="M115">
        <v>0</v>
      </c>
      <c r="N115">
        <v>0</v>
      </c>
      <c r="O115">
        <v>0</v>
      </c>
      <c r="P115">
        <v>0</v>
      </c>
      <c r="Q115">
        <v>0</v>
      </c>
      <c r="R115">
        <v>0</v>
      </c>
      <c r="S115">
        <v>0</v>
      </c>
      <c r="T115">
        <v>0</v>
      </c>
      <c r="U115">
        <v>0</v>
      </c>
      <c r="V115">
        <v>0</v>
      </c>
      <c r="W115">
        <v>0</v>
      </c>
      <c r="X115">
        <v>0</v>
      </c>
      <c r="Y115">
        <v>0</v>
      </c>
      <c r="Z115">
        <v>0</v>
      </c>
      <c r="AA115">
        <v>0</v>
      </c>
      <c r="AB115">
        <v>0</v>
      </c>
      <c r="AC115">
        <v>0</v>
      </c>
      <c r="AD115">
        <v>0</v>
      </c>
      <c r="AF115">
        <v>0</v>
      </c>
      <c r="AG115">
        <v>0</v>
      </c>
      <c r="AH115">
        <v>0</v>
      </c>
      <c r="AI115">
        <v>0</v>
      </c>
      <c r="AJ115">
        <v>0</v>
      </c>
      <c r="AK115">
        <v>0</v>
      </c>
      <c r="AL115">
        <v>0</v>
      </c>
      <c r="AM115">
        <v>0</v>
      </c>
      <c r="AN115">
        <v>0</v>
      </c>
      <c r="AO115">
        <v>0</v>
      </c>
      <c r="AP115">
        <v>0</v>
      </c>
      <c r="AQ115">
        <v>0</v>
      </c>
      <c r="AR115">
        <v>0</v>
      </c>
      <c r="AS115">
        <v>0</v>
      </c>
      <c r="AT115">
        <v>0</v>
      </c>
      <c r="AU115">
        <v>0</v>
      </c>
      <c r="AV115">
        <v>0</v>
      </c>
      <c r="AW115">
        <v>0</v>
      </c>
      <c r="AX115">
        <v>0</v>
      </c>
      <c r="AY115">
        <v>0</v>
      </c>
      <c r="AZ115">
        <v>0</v>
      </c>
      <c r="BA115">
        <v>0</v>
      </c>
      <c r="BB115">
        <v>0</v>
      </c>
      <c r="BC115">
        <v>0</v>
      </c>
      <c r="BD115">
        <v>0</v>
      </c>
      <c r="BE115">
        <v>0</v>
      </c>
      <c r="BF115">
        <v>0</v>
      </c>
      <c r="BG115">
        <v>0</v>
      </c>
      <c r="BH115">
        <v>0</v>
      </c>
      <c r="BI115">
        <v>0</v>
      </c>
      <c r="BK115" s="151"/>
    </row>
    <row r="116" spans="1:63" x14ac:dyDescent="0.35">
      <c r="A116">
        <v>0</v>
      </c>
      <c r="B116">
        <v>0</v>
      </c>
      <c r="C116">
        <v>0</v>
      </c>
      <c r="D116">
        <v>0</v>
      </c>
      <c r="E116">
        <v>0</v>
      </c>
      <c r="F116">
        <v>0</v>
      </c>
      <c r="G116">
        <v>0</v>
      </c>
      <c r="H116">
        <v>0</v>
      </c>
      <c r="I116">
        <v>0</v>
      </c>
      <c r="J116">
        <v>0</v>
      </c>
      <c r="K116">
        <v>0</v>
      </c>
      <c r="L116">
        <v>0</v>
      </c>
      <c r="M116">
        <v>0</v>
      </c>
      <c r="N116">
        <v>0</v>
      </c>
      <c r="O116">
        <v>0</v>
      </c>
      <c r="P116">
        <v>0</v>
      </c>
      <c r="Q116">
        <v>0</v>
      </c>
      <c r="R116">
        <v>0</v>
      </c>
      <c r="S116">
        <v>0</v>
      </c>
      <c r="T116">
        <v>0</v>
      </c>
      <c r="U116">
        <v>0</v>
      </c>
      <c r="V116">
        <v>0</v>
      </c>
      <c r="W116">
        <v>0</v>
      </c>
      <c r="X116">
        <v>0</v>
      </c>
      <c r="Y116">
        <v>0</v>
      </c>
      <c r="Z116">
        <v>0</v>
      </c>
      <c r="AA116">
        <v>0</v>
      </c>
      <c r="AB116">
        <v>0</v>
      </c>
      <c r="AC116">
        <v>0</v>
      </c>
      <c r="AD116">
        <v>0</v>
      </c>
      <c r="AF116">
        <v>0</v>
      </c>
      <c r="AG116">
        <v>0</v>
      </c>
      <c r="AH116">
        <v>0</v>
      </c>
      <c r="AI116">
        <v>0</v>
      </c>
      <c r="AJ116">
        <v>0</v>
      </c>
      <c r="AK116">
        <v>0</v>
      </c>
      <c r="AL116">
        <v>0</v>
      </c>
      <c r="AM116">
        <v>0</v>
      </c>
      <c r="AN116">
        <v>0</v>
      </c>
      <c r="AO116">
        <v>0</v>
      </c>
      <c r="AP116">
        <v>0</v>
      </c>
      <c r="AQ116">
        <v>0</v>
      </c>
      <c r="AR116">
        <v>0</v>
      </c>
      <c r="AS116">
        <v>0</v>
      </c>
      <c r="AT116">
        <v>0</v>
      </c>
      <c r="AU116">
        <v>0</v>
      </c>
      <c r="AV116">
        <v>0</v>
      </c>
      <c r="AW116">
        <v>0</v>
      </c>
      <c r="AX116">
        <v>0</v>
      </c>
      <c r="AY116">
        <v>0</v>
      </c>
      <c r="AZ116">
        <v>0</v>
      </c>
      <c r="BA116">
        <v>0</v>
      </c>
      <c r="BB116">
        <v>0</v>
      </c>
      <c r="BC116">
        <v>0</v>
      </c>
      <c r="BD116">
        <v>0</v>
      </c>
      <c r="BE116">
        <v>0</v>
      </c>
      <c r="BF116">
        <v>0</v>
      </c>
      <c r="BG116">
        <v>0</v>
      </c>
      <c r="BH116">
        <v>0</v>
      </c>
      <c r="BI116">
        <v>0</v>
      </c>
      <c r="BK116" s="151"/>
    </row>
    <row r="117" spans="1:63" x14ac:dyDescent="0.35">
      <c r="A117">
        <v>0</v>
      </c>
      <c r="B117">
        <v>0</v>
      </c>
      <c r="C117">
        <v>0</v>
      </c>
      <c r="D117">
        <v>0</v>
      </c>
      <c r="E117">
        <v>0</v>
      </c>
      <c r="F117">
        <v>0</v>
      </c>
      <c r="G117">
        <v>0</v>
      </c>
      <c r="H117">
        <v>0</v>
      </c>
      <c r="I117">
        <v>0</v>
      </c>
      <c r="J117">
        <v>0</v>
      </c>
      <c r="K117">
        <v>0</v>
      </c>
      <c r="L117">
        <v>0</v>
      </c>
      <c r="M117">
        <v>0</v>
      </c>
      <c r="N117">
        <v>0</v>
      </c>
      <c r="O117">
        <v>0</v>
      </c>
      <c r="P117">
        <v>0</v>
      </c>
      <c r="Q117">
        <v>0</v>
      </c>
      <c r="R117">
        <v>0</v>
      </c>
      <c r="S117">
        <v>0</v>
      </c>
      <c r="T117">
        <v>0</v>
      </c>
      <c r="U117">
        <v>0</v>
      </c>
      <c r="V117">
        <v>0</v>
      </c>
      <c r="W117">
        <v>0</v>
      </c>
      <c r="X117">
        <v>0</v>
      </c>
      <c r="Y117">
        <v>0</v>
      </c>
      <c r="Z117">
        <v>0</v>
      </c>
      <c r="AA117">
        <v>0</v>
      </c>
      <c r="AB117">
        <v>0</v>
      </c>
      <c r="AC117">
        <v>0</v>
      </c>
      <c r="AD117">
        <v>0</v>
      </c>
      <c r="AF117">
        <v>0</v>
      </c>
      <c r="AG117">
        <v>0</v>
      </c>
      <c r="AH117">
        <v>0</v>
      </c>
      <c r="AI117">
        <v>0</v>
      </c>
      <c r="AJ117">
        <v>0</v>
      </c>
      <c r="AK117">
        <v>0</v>
      </c>
      <c r="AL117">
        <v>0</v>
      </c>
      <c r="AM117">
        <v>0</v>
      </c>
      <c r="AN117">
        <v>0</v>
      </c>
      <c r="AO117">
        <v>0</v>
      </c>
      <c r="AP117">
        <v>0</v>
      </c>
      <c r="AQ117">
        <v>0</v>
      </c>
      <c r="AR117">
        <v>0</v>
      </c>
      <c r="AS117">
        <v>0</v>
      </c>
      <c r="AT117">
        <v>0</v>
      </c>
      <c r="AU117">
        <v>0</v>
      </c>
      <c r="AV117">
        <v>0</v>
      </c>
      <c r="AW117">
        <v>0</v>
      </c>
      <c r="AX117">
        <v>0</v>
      </c>
      <c r="AY117">
        <v>0</v>
      </c>
      <c r="AZ117">
        <v>0</v>
      </c>
      <c r="BA117">
        <v>0</v>
      </c>
      <c r="BB117">
        <v>0</v>
      </c>
      <c r="BC117">
        <v>0</v>
      </c>
      <c r="BD117">
        <v>0</v>
      </c>
      <c r="BE117">
        <v>0</v>
      </c>
      <c r="BF117">
        <v>0</v>
      </c>
      <c r="BG117">
        <v>0</v>
      </c>
      <c r="BH117">
        <v>0</v>
      </c>
      <c r="BI117">
        <v>0</v>
      </c>
      <c r="BK117" s="151"/>
    </row>
    <row r="118" spans="1:63" x14ac:dyDescent="0.35">
      <c r="A118">
        <v>0</v>
      </c>
      <c r="B118">
        <v>0</v>
      </c>
      <c r="C118">
        <v>0</v>
      </c>
      <c r="D118">
        <v>0</v>
      </c>
      <c r="E118">
        <v>0</v>
      </c>
      <c r="F118">
        <v>0</v>
      </c>
      <c r="G118">
        <v>0</v>
      </c>
      <c r="H118">
        <v>0</v>
      </c>
      <c r="I118">
        <v>0</v>
      </c>
      <c r="J118">
        <v>0</v>
      </c>
      <c r="K118">
        <v>0</v>
      </c>
      <c r="L118">
        <v>0</v>
      </c>
      <c r="M118">
        <v>0</v>
      </c>
      <c r="N118">
        <v>0</v>
      </c>
      <c r="O118">
        <v>0</v>
      </c>
      <c r="P118">
        <v>0</v>
      </c>
      <c r="Q118">
        <v>0</v>
      </c>
      <c r="R118">
        <v>0</v>
      </c>
      <c r="S118">
        <v>0</v>
      </c>
      <c r="T118">
        <v>0</v>
      </c>
      <c r="U118">
        <v>0</v>
      </c>
      <c r="V118">
        <v>0</v>
      </c>
      <c r="W118">
        <v>0</v>
      </c>
      <c r="X118">
        <v>0</v>
      </c>
      <c r="Y118">
        <v>0</v>
      </c>
      <c r="Z118">
        <v>0</v>
      </c>
      <c r="AA118">
        <v>0</v>
      </c>
      <c r="AB118">
        <v>0</v>
      </c>
      <c r="AC118">
        <v>0</v>
      </c>
      <c r="AD118">
        <v>0</v>
      </c>
      <c r="AF118">
        <v>0</v>
      </c>
      <c r="AG118">
        <v>0</v>
      </c>
      <c r="AH118">
        <v>0</v>
      </c>
      <c r="AI118">
        <v>0</v>
      </c>
      <c r="AJ118">
        <v>0</v>
      </c>
      <c r="AK118">
        <v>0</v>
      </c>
      <c r="AL118">
        <v>0</v>
      </c>
      <c r="AM118">
        <v>0</v>
      </c>
      <c r="AN118">
        <v>0</v>
      </c>
      <c r="AO118">
        <v>0</v>
      </c>
      <c r="AP118">
        <v>0</v>
      </c>
      <c r="AQ118">
        <v>0</v>
      </c>
      <c r="AR118">
        <v>0</v>
      </c>
      <c r="AS118">
        <v>0</v>
      </c>
      <c r="AT118">
        <v>0</v>
      </c>
      <c r="AU118">
        <v>0</v>
      </c>
      <c r="AV118">
        <v>0</v>
      </c>
      <c r="AW118">
        <v>0</v>
      </c>
      <c r="AX118">
        <v>0</v>
      </c>
      <c r="AY118">
        <v>0</v>
      </c>
      <c r="AZ118">
        <v>0</v>
      </c>
      <c r="BA118">
        <v>0</v>
      </c>
      <c r="BB118">
        <v>0</v>
      </c>
      <c r="BC118">
        <v>0</v>
      </c>
      <c r="BD118">
        <v>0</v>
      </c>
      <c r="BE118">
        <v>0</v>
      </c>
      <c r="BF118">
        <v>0</v>
      </c>
      <c r="BG118">
        <v>0</v>
      </c>
      <c r="BH118">
        <v>0</v>
      </c>
      <c r="BI118">
        <v>0</v>
      </c>
      <c r="BK118" s="151"/>
    </row>
    <row r="119" spans="1:63" x14ac:dyDescent="0.35">
      <c r="A119">
        <v>0</v>
      </c>
      <c r="B119">
        <v>0</v>
      </c>
      <c r="C119">
        <v>0</v>
      </c>
      <c r="D119">
        <v>0</v>
      </c>
      <c r="E119">
        <v>0</v>
      </c>
      <c r="F119">
        <v>0</v>
      </c>
      <c r="G119">
        <v>0</v>
      </c>
      <c r="H119">
        <v>0</v>
      </c>
      <c r="I119">
        <v>0</v>
      </c>
      <c r="J119">
        <v>0</v>
      </c>
      <c r="K119">
        <v>0</v>
      </c>
      <c r="L119">
        <v>0</v>
      </c>
      <c r="M119">
        <v>0</v>
      </c>
      <c r="N119">
        <v>0</v>
      </c>
      <c r="O119">
        <v>0</v>
      </c>
      <c r="P119">
        <v>0</v>
      </c>
      <c r="Q119">
        <v>0</v>
      </c>
      <c r="R119">
        <v>0</v>
      </c>
      <c r="S119">
        <v>0</v>
      </c>
      <c r="T119">
        <v>0</v>
      </c>
      <c r="U119">
        <v>0</v>
      </c>
      <c r="V119">
        <v>0</v>
      </c>
      <c r="W119">
        <v>0</v>
      </c>
      <c r="X119">
        <v>0</v>
      </c>
      <c r="Y119">
        <v>0</v>
      </c>
      <c r="Z119">
        <v>0</v>
      </c>
      <c r="AA119">
        <v>0</v>
      </c>
      <c r="AB119">
        <v>0</v>
      </c>
      <c r="AC119">
        <v>0</v>
      </c>
      <c r="AD119">
        <v>0</v>
      </c>
      <c r="AF119">
        <v>0</v>
      </c>
      <c r="AG119">
        <v>0</v>
      </c>
      <c r="AH119">
        <v>0</v>
      </c>
      <c r="AI119">
        <v>0</v>
      </c>
      <c r="AJ119">
        <v>0</v>
      </c>
      <c r="AK119">
        <v>0</v>
      </c>
      <c r="AL119">
        <v>0</v>
      </c>
      <c r="AM119">
        <v>0</v>
      </c>
      <c r="AN119">
        <v>0</v>
      </c>
      <c r="AO119">
        <v>0</v>
      </c>
      <c r="AP119">
        <v>0</v>
      </c>
      <c r="AQ119">
        <v>0</v>
      </c>
      <c r="AR119">
        <v>0</v>
      </c>
      <c r="AS119">
        <v>0</v>
      </c>
      <c r="AT119">
        <v>0</v>
      </c>
      <c r="AU119">
        <v>0</v>
      </c>
      <c r="AV119">
        <v>0</v>
      </c>
      <c r="AW119">
        <v>0</v>
      </c>
      <c r="AX119">
        <v>0</v>
      </c>
      <c r="AY119">
        <v>0</v>
      </c>
      <c r="AZ119">
        <v>0</v>
      </c>
      <c r="BA119">
        <v>0</v>
      </c>
      <c r="BB119">
        <v>0</v>
      </c>
      <c r="BC119">
        <v>0</v>
      </c>
      <c r="BD119">
        <v>0</v>
      </c>
      <c r="BE119">
        <v>0</v>
      </c>
      <c r="BF119">
        <v>0</v>
      </c>
      <c r="BG119">
        <v>0</v>
      </c>
      <c r="BH119">
        <v>0</v>
      </c>
      <c r="BI119">
        <v>0</v>
      </c>
      <c r="BK119" s="151"/>
    </row>
    <row r="120" spans="1:63" x14ac:dyDescent="0.35">
      <c r="A120">
        <v>0</v>
      </c>
      <c r="B120">
        <v>0</v>
      </c>
      <c r="C120">
        <v>0</v>
      </c>
      <c r="D120">
        <v>0</v>
      </c>
      <c r="E120">
        <v>0</v>
      </c>
      <c r="F120">
        <v>0</v>
      </c>
      <c r="G120">
        <v>0</v>
      </c>
      <c r="H120">
        <v>0</v>
      </c>
      <c r="I120">
        <v>0</v>
      </c>
      <c r="J120">
        <v>0</v>
      </c>
      <c r="K120">
        <v>0</v>
      </c>
      <c r="L120">
        <v>0</v>
      </c>
      <c r="M120">
        <v>0</v>
      </c>
      <c r="N120">
        <v>0</v>
      </c>
      <c r="O120">
        <v>0</v>
      </c>
      <c r="P120">
        <v>0</v>
      </c>
      <c r="Q120">
        <v>0</v>
      </c>
      <c r="R120">
        <v>0</v>
      </c>
      <c r="S120">
        <v>0</v>
      </c>
      <c r="T120">
        <v>0</v>
      </c>
      <c r="U120">
        <v>0</v>
      </c>
      <c r="V120">
        <v>0</v>
      </c>
      <c r="W120">
        <v>0</v>
      </c>
      <c r="X120">
        <v>0</v>
      </c>
      <c r="Y120">
        <v>0</v>
      </c>
      <c r="Z120">
        <v>0</v>
      </c>
      <c r="AA120">
        <v>0</v>
      </c>
      <c r="AB120">
        <v>0</v>
      </c>
      <c r="AC120">
        <v>0</v>
      </c>
      <c r="AD120">
        <v>0</v>
      </c>
      <c r="AF120">
        <v>0</v>
      </c>
      <c r="AG120">
        <v>0</v>
      </c>
      <c r="AH120">
        <v>0</v>
      </c>
      <c r="AI120">
        <v>0</v>
      </c>
      <c r="AJ120">
        <v>0</v>
      </c>
      <c r="AK120">
        <v>0</v>
      </c>
      <c r="AL120">
        <v>0</v>
      </c>
      <c r="AM120">
        <v>0</v>
      </c>
      <c r="AN120">
        <v>0</v>
      </c>
      <c r="AO120">
        <v>0</v>
      </c>
      <c r="AP120">
        <v>0</v>
      </c>
      <c r="AQ120">
        <v>0</v>
      </c>
      <c r="AR120">
        <v>0</v>
      </c>
      <c r="AS120">
        <v>0</v>
      </c>
      <c r="AT120">
        <v>0</v>
      </c>
      <c r="AU120">
        <v>0</v>
      </c>
      <c r="AV120">
        <v>0</v>
      </c>
      <c r="AW120">
        <v>0</v>
      </c>
      <c r="AX120">
        <v>0</v>
      </c>
      <c r="AY120">
        <v>0</v>
      </c>
      <c r="AZ120">
        <v>0</v>
      </c>
      <c r="BA120">
        <v>0</v>
      </c>
      <c r="BB120">
        <v>0</v>
      </c>
      <c r="BC120">
        <v>0</v>
      </c>
      <c r="BD120">
        <v>0</v>
      </c>
      <c r="BE120">
        <v>0</v>
      </c>
      <c r="BF120">
        <v>0</v>
      </c>
      <c r="BG120">
        <v>0</v>
      </c>
      <c r="BH120">
        <v>0</v>
      </c>
      <c r="BI120">
        <v>0</v>
      </c>
      <c r="BK120" s="151"/>
    </row>
    <row r="121" spans="1:63" x14ac:dyDescent="0.35">
      <c r="A121">
        <v>0</v>
      </c>
      <c r="B121">
        <v>0</v>
      </c>
      <c r="C121">
        <v>0</v>
      </c>
      <c r="D121">
        <v>0</v>
      </c>
      <c r="E121">
        <v>0</v>
      </c>
      <c r="F121">
        <v>0</v>
      </c>
      <c r="G121">
        <v>0</v>
      </c>
      <c r="H121">
        <v>0</v>
      </c>
      <c r="I121">
        <v>0</v>
      </c>
      <c r="J121">
        <v>0</v>
      </c>
      <c r="K121">
        <v>0</v>
      </c>
      <c r="L121">
        <v>0</v>
      </c>
      <c r="M121">
        <v>0</v>
      </c>
      <c r="N121">
        <v>0</v>
      </c>
      <c r="O121">
        <v>0</v>
      </c>
      <c r="P121">
        <v>0</v>
      </c>
      <c r="Q121">
        <v>0</v>
      </c>
      <c r="R121">
        <v>0</v>
      </c>
      <c r="S121">
        <v>0</v>
      </c>
      <c r="T121">
        <v>0</v>
      </c>
      <c r="U121">
        <v>0</v>
      </c>
      <c r="V121">
        <v>0</v>
      </c>
      <c r="W121">
        <v>0</v>
      </c>
      <c r="X121">
        <v>0</v>
      </c>
      <c r="Y121">
        <v>0</v>
      </c>
      <c r="Z121">
        <v>0</v>
      </c>
      <c r="AA121">
        <v>0</v>
      </c>
      <c r="AB121">
        <v>0</v>
      </c>
      <c r="AC121">
        <v>0</v>
      </c>
      <c r="AD121">
        <v>0</v>
      </c>
      <c r="AF121">
        <v>0</v>
      </c>
      <c r="AG121">
        <v>0</v>
      </c>
      <c r="AH121">
        <v>0</v>
      </c>
      <c r="AI121">
        <v>0</v>
      </c>
      <c r="AJ121">
        <v>0</v>
      </c>
      <c r="AK121">
        <v>0</v>
      </c>
      <c r="AL121">
        <v>0</v>
      </c>
      <c r="AM121">
        <v>0</v>
      </c>
      <c r="AN121">
        <v>0</v>
      </c>
      <c r="AO121">
        <v>0</v>
      </c>
      <c r="AP121">
        <v>0</v>
      </c>
      <c r="AQ121">
        <v>0</v>
      </c>
      <c r="AR121">
        <v>0</v>
      </c>
      <c r="AS121">
        <v>0</v>
      </c>
      <c r="AT121">
        <v>0</v>
      </c>
      <c r="AU121">
        <v>0</v>
      </c>
      <c r="AV121">
        <v>0</v>
      </c>
      <c r="AW121">
        <v>0</v>
      </c>
      <c r="AX121">
        <v>0</v>
      </c>
      <c r="AY121">
        <v>0</v>
      </c>
      <c r="AZ121">
        <v>0</v>
      </c>
      <c r="BA121">
        <v>0</v>
      </c>
      <c r="BB121">
        <v>0</v>
      </c>
      <c r="BC121">
        <v>0</v>
      </c>
      <c r="BD121">
        <v>0</v>
      </c>
      <c r="BE121">
        <v>0</v>
      </c>
      <c r="BF121">
        <v>0</v>
      </c>
      <c r="BG121">
        <v>0</v>
      </c>
      <c r="BH121">
        <v>0</v>
      </c>
      <c r="BI121">
        <v>0</v>
      </c>
      <c r="BK121" s="151"/>
    </row>
    <row r="122" spans="1:63" x14ac:dyDescent="0.35">
      <c r="A122">
        <v>0</v>
      </c>
      <c r="B122">
        <v>0</v>
      </c>
      <c r="C122">
        <v>0</v>
      </c>
      <c r="D122">
        <v>0</v>
      </c>
      <c r="E122">
        <v>0</v>
      </c>
      <c r="F122">
        <v>0</v>
      </c>
      <c r="G122">
        <v>0</v>
      </c>
      <c r="H122">
        <v>0</v>
      </c>
      <c r="I122">
        <v>0</v>
      </c>
      <c r="J122">
        <v>0</v>
      </c>
      <c r="K122">
        <v>0</v>
      </c>
      <c r="L122">
        <v>0</v>
      </c>
      <c r="M122">
        <v>0</v>
      </c>
      <c r="N122">
        <v>0</v>
      </c>
      <c r="O122">
        <v>0</v>
      </c>
      <c r="P122">
        <v>0</v>
      </c>
      <c r="Q122">
        <v>0</v>
      </c>
      <c r="R122">
        <v>0</v>
      </c>
      <c r="S122">
        <v>0</v>
      </c>
      <c r="T122">
        <v>0</v>
      </c>
      <c r="U122">
        <v>0</v>
      </c>
      <c r="V122">
        <v>0</v>
      </c>
      <c r="W122">
        <v>0</v>
      </c>
      <c r="X122">
        <v>0</v>
      </c>
      <c r="Y122">
        <v>0</v>
      </c>
      <c r="Z122">
        <v>0</v>
      </c>
      <c r="AA122">
        <v>0</v>
      </c>
      <c r="AB122">
        <v>0</v>
      </c>
      <c r="AC122">
        <v>0</v>
      </c>
      <c r="AD122">
        <v>0</v>
      </c>
      <c r="AF122">
        <v>0</v>
      </c>
      <c r="AG122">
        <v>0</v>
      </c>
      <c r="AH122">
        <v>0</v>
      </c>
      <c r="AI122">
        <v>0</v>
      </c>
      <c r="AJ122">
        <v>0</v>
      </c>
      <c r="AK122">
        <v>0</v>
      </c>
      <c r="AL122">
        <v>0</v>
      </c>
      <c r="AM122">
        <v>0</v>
      </c>
      <c r="AN122">
        <v>0</v>
      </c>
      <c r="AO122">
        <v>0</v>
      </c>
      <c r="AP122">
        <v>0</v>
      </c>
      <c r="AQ122">
        <v>0</v>
      </c>
      <c r="AR122">
        <v>0</v>
      </c>
      <c r="AS122">
        <v>0</v>
      </c>
      <c r="AT122">
        <v>0</v>
      </c>
      <c r="AU122">
        <v>0</v>
      </c>
      <c r="AV122">
        <v>0</v>
      </c>
      <c r="AW122">
        <v>0</v>
      </c>
      <c r="AX122">
        <v>0</v>
      </c>
      <c r="AY122">
        <v>0</v>
      </c>
      <c r="AZ122">
        <v>0</v>
      </c>
      <c r="BA122">
        <v>0</v>
      </c>
      <c r="BB122">
        <v>0</v>
      </c>
      <c r="BC122">
        <v>0</v>
      </c>
      <c r="BD122">
        <v>0</v>
      </c>
      <c r="BE122">
        <v>0</v>
      </c>
      <c r="BF122">
        <v>0</v>
      </c>
      <c r="BG122">
        <v>0</v>
      </c>
      <c r="BH122">
        <v>0</v>
      </c>
      <c r="BI122">
        <v>0</v>
      </c>
      <c r="BK122" s="151"/>
    </row>
    <row r="123" spans="1:63" x14ac:dyDescent="0.35">
      <c r="A123">
        <v>0</v>
      </c>
      <c r="B123">
        <v>0</v>
      </c>
      <c r="C123">
        <v>0</v>
      </c>
      <c r="D123">
        <v>0</v>
      </c>
      <c r="E123">
        <v>0</v>
      </c>
      <c r="F123">
        <v>0</v>
      </c>
      <c r="G123">
        <v>0</v>
      </c>
      <c r="H123">
        <v>0</v>
      </c>
      <c r="I123">
        <v>0</v>
      </c>
      <c r="J123">
        <v>0</v>
      </c>
      <c r="K123">
        <v>0</v>
      </c>
      <c r="L123">
        <v>0</v>
      </c>
      <c r="M123">
        <v>0</v>
      </c>
      <c r="N123">
        <v>0</v>
      </c>
      <c r="O123">
        <v>0</v>
      </c>
      <c r="P123">
        <v>0</v>
      </c>
      <c r="Q123">
        <v>0</v>
      </c>
      <c r="R123">
        <v>0</v>
      </c>
      <c r="S123">
        <v>0</v>
      </c>
      <c r="T123">
        <v>0</v>
      </c>
      <c r="U123">
        <v>0</v>
      </c>
      <c r="V123">
        <v>0</v>
      </c>
      <c r="W123">
        <v>0</v>
      </c>
      <c r="X123">
        <v>0</v>
      </c>
      <c r="Y123">
        <v>0</v>
      </c>
      <c r="Z123">
        <v>0</v>
      </c>
      <c r="AA123">
        <v>0</v>
      </c>
      <c r="AB123">
        <v>0</v>
      </c>
      <c r="AC123">
        <v>0</v>
      </c>
      <c r="AD123">
        <v>0</v>
      </c>
      <c r="AF123">
        <v>0</v>
      </c>
      <c r="AG123">
        <v>0</v>
      </c>
      <c r="AH123">
        <v>0</v>
      </c>
      <c r="AI123">
        <v>0</v>
      </c>
      <c r="AJ123">
        <v>0</v>
      </c>
      <c r="AK123">
        <v>0</v>
      </c>
      <c r="AL123">
        <v>0</v>
      </c>
      <c r="AM123">
        <v>0</v>
      </c>
      <c r="AN123">
        <v>0</v>
      </c>
      <c r="AO123">
        <v>0</v>
      </c>
      <c r="AP123">
        <v>0</v>
      </c>
      <c r="AQ123">
        <v>0</v>
      </c>
      <c r="AR123">
        <v>0</v>
      </c>
      <c r="AS123">
        <v>0</v>
      </c>
      <c r="AT123">
        <v>0</v>
      </c>
      <c r="AU123">
        <v>0</v>
      </c>
      <c r="AV123">
        <v>0</v>
      </c>
      <c r="AW123">
        <v>0</v>
      </c>
      <c r="AX123">
        <v>0</v>
      </c>
      <c r="AY123">
        <v>0</v>
      </c>
      <c r="AZ123">
        <v>0</v>
      </c>
      <c r="BA123">
        <v>0</v>
      </c>
      <c r="BB123">
        <v>0</v>
      </c>
      <c r="BC123">
        <v>0</v>
      </c>
      <c r="BD123">
        <v>0</v>
      </c>
      <c r="BE123">
        <v>0</v>
      </c>
      <c r="BF123">
        <v>0</v>
      </c>
      <c r="BG123">
        <v>0</v>
      </c>
      <c r="BH123">
        <v>0</v>
      </c>
      <c r="BI123">
        <v>0</v>
      </c>
      <c r="BK123" s="151"/>
    </row>
    <row r="124" spans="1:63" x14ac:dyDescent="0.35">
      <c r="A124">
        <v>0</v>
      </c>
      <c r="B124">
        <v>0</v>
      </c>
      <c r="C124">
        <v>0</v>
      </c>
      <c r="D124">
        <v>0</v>
      </c>
      <c r="E124">
        <v>0</v>
      </c>
      <c r="F124">
        <v>0</v>
      </c>
      <c r="G124">
        <v>0</v>
      </c>
      <c r="H124">
        <v>0</v>
      </c>
      <c r="I124">
        <v>0</v>
      </c>
      <c r="J124">
        <v>0</v>
      </c>
      <c r="K124">
        <v>0</v>
      </c>
      <c r="L124">
        <v>0</v>
      </c>
      <c r="M124">
        <v>0</v>
      </c>
      <c r="N124">
        <v>0</v>
      </c>
      <c r="O124">
        <v>0</v>
      </c>
      <c r="P124">
        <v>0</v>
      </c>
      <c r="Q124">
        <v>0</v>
      </c>
      <c r="R124">
        <v>0</v>
      </c>
      <c r="S124">
        <v>0</v>
      </c>
      <c r="T124">
        <v>0</v>
      </c>
      <c r="U124">
        <v>0</v>
      </c>
      <c r="V124">
        <v>0</v>
      </c>
      <c r="W124">
        <v>0</v>
      </c>
      <c r="X124">
        <v>0</v>
      </c>
      <c r="Y124">
        <v>0</v>
      </c>
      <c r="Z124">
        <v>0</v>
      </c>
      <c r="AA124">
        <v>0</v>
      </c>
      <c r="AB124">
        <v>0</v>
      </c>
      <c r="AC124">
        <v>0</v>
      </c>
      <c r="AD124">
        <v>0</v>
      </c>
      <c r="AF124">
        <v>0</v>
      </c>
      <c r="AG124">
        <v>0</v>
      </c>
      <c r="AH124">
        <v>0</v>
      </c>
      <c r="AI124">
        <v>0</v>
      </c>
      <c r="AJ124">
        <v>0</v>
      </c>
      <c r="AK124">
        <v>0</v>
      </c>
      <c r="AL124">
        <v>0</v>
      </c>
      <c r="AM124">
        <v>0</v>
      </c>
      <c r="AN124">
        <v>0</v>
      </c>
      <c r="AO124">
        <v>0</v>
      </c>
      <c r="AP124">
        <v>0</v>
      </c>
      <c r="AQ124">
        <v>0</v>
      </c>
      <c r="AR124">
        <v>0</v>
      </c>
      <c r="AS124">
        <v>0</v>
      </c>
      <c r="AT124">
        <v>0</v>
      </c>
      <c r="AU124">
        <v>0</v>
      </c>
      <c r="AV124">
        <v>0</v>
      </c>
      <c r="AW124">
        <v>0</v>
      </c>
      <c r="AX124">
        <v>0</v>
      </c>
      <c r="AY124">
        <v>0</v>
      </c>
      <c r="AZ124">
        <v>0</v>
      </c>
      <c r="BA124">
        <v>0</v>
      </c>
      <c r="BB124">
        <v>0</v>
      </c>
      <c r="BC124">
        <v>0</v>
      </c>
      <c r="BD124">
        <v>0</v>
      </c>
      <c r="BE124">
        <v>0</v>
      </c>
      <c r="BF124">
        <v>0</v>
      </c>
      <c r="BG124">
        <v>0</v>
      </c>
      <c r="BH124">
        <v>0</v>
      </c>
      <c r="BI124">
        <v>0</v>
      </c>
      <c r="BK124" s="151"/>
    </row>
    <row r="125" spans="1:63" x14ac:dyDescent="0.35">
      <c r="A125">
        <v>0</v>
      </c>
      <c r="B125">
        <v>0</v>
      </c>
      <c r="C125">
        <v>0</v>
      </c>
      <c r="D125">
        <v>0</v>
      </c>
      <c r="E125">
        <v>0</v>
      </c>
      <c r="F125">
        <v>0</v>
      </c>
      <c r="G125">
        <v>0</v>
      </c>
      <c r="H125">
        <v>0</v>
      </c>
      <c r="I125">
        <v>0</v>
      </c>
      <c r="J125">
        <v>0</v>
      </c>
      <c r="K125">
        <v>0</v>
      </c>
      <c r="L125">
        <v>0</v>
      </c>
      <c r="M125">
        <v>0</v>
      </c>
      <c r="N125">
        <v>0</v>
      </c>
      <c r="O125">
        <v>0</v>
      </c>
      <c r="P125">
        <v>0</v>
      </c>
      <c r="Q125">
        <v>0</v>
      </c>
      <c r="R125">
        <v>0</v>
      </c>
      <c r="S125">
        <v>0</v>
      </c>
      <c r="T125">
        <v>0</v>
      </c>
      <c r="U125">
        <v>0</v>
      </c>
      <c r="V125">
        <v>0</v>
      </c>
      <c r="W125">
        <v>0</v>
      </c>
      <c r="X125">
        <v>0</v>
      </c>
      <c r="Y125">
        <v>0</v>
      </c>
      <c r="Z125">
        <v>0</v>
      </c>
      <c r="AA125">
        <v>0</v>
      </c>
      <c r="AB125">
        <v>0</v>
      </c>
      <c r="AC125">
        <v>0</v>
      </c>
      <c r="AD125">
        <v>0</v>
      </c>
      <c r="AF125">
        <v>0</v>
      </c>
      <c r="AG125">
        <v>0</v>
      </c>
      <c r="AH125">
        <v>0</v>
      </c>
      <c r="AI125">
        <v>0</v>
      </c>
      <c r="AJ125">
        <v>0</v>
      </c>
      <c r="AK125">
        <v>0</v>
      </c>
      <c r="AL125">
        <v>0</v>
      </c>
      <c r="AM125">
        <v>0</v>
      </c>
      <c r="AN125">
        <v>0</v>
      </c>
      <c r="AO125">
        <v>0</v>
      </c>
      <c r="AP125">
        <v>0</v>
      </c>
      <c r="AQ125">
        <v>0</v>
      </c>
      <c r="AR125">
        <v>0</v>
      </c>
      <c r="AS125">
        <v>0</v>
      </c>
      <c r="AT125">
        <v>0</v>
      </c>
      <c r="AU125">
        <v>0</v>
      </c>
      <c r="AV125">
        <v>0</v>
      </c>
      <c r="AW125">
        <v>0</v>
      </c>
      <c r="AX125">
        <v>0</v>
      </c>
      <c r="AY125">
        <v>0</v>
      </c>
      <c r="AZ125">
        <v>0</v>
      </c>
      <c r="BA125">
        <v>0</v>
      </c>
      <c r="BB125">
        <v>0</v>
      </c>
      <c r="BC125">
        <v>0</v>
      </c>
      <c r="BD125">
        <v>0</v>
      </c>
      <c r="BE125">
        <v>0</v>
      </c>
      <c r="BF125">
        <v>0</v>
      </c>
      <c r="BG125">
        <v>0</v>
      </c>
      <c r="BH125">
        <v>0</v>
      </c>
      <c r="BI125">
        <v>0</v>
      </c>
      <c r="BK125" s="151"/>
    </row>
    <row r="126" spans="1:63" x14ac:dyDescent="0.35">
      <c r="A126">
        <v>0</v>
      </c>
      <c r="B126">
        <v>0</v>
      </c>
      <c r="C126">
        <v>0</v>
      </c>
      <c r="D126">
        <v>0</v>
      </c>
      <c r="E126">
        <v>0</v>
      </c>
      <c r="F126">
        <v>0</v>
      </c>
      <c r="G126">
        <v>0</v>
      </c>
      <c r="H126">
        <v>0</v>
      </c>
      <c r="I126">
        <v>0</v>
      </c>
      <c r="J126">
        <v>0</v>
      </c>
      <c r="K126">
        <v>0</v>
      </c>
      <c r="L126">
        <v>0</v>
      </c>
      <c r="M126">
        <v>0</v>
      </c>
      <c r="N126">
        <v>0</v>
      </c>
      <c r="O126">
        <v>0</v>
      </c>
      <c r="P126">
        <v>0</v>
      </c>
      <c r="Q126">
        <v>0</v>
      </c>
      <c r="R126">
        <v>0</v>
      </c>
      <c r="S126">
        <v>0</v>
      </c>
      <c r="T126">
        <v>0</v>
      </c>
      <c r="U126">
        <v>0</v>
      </c>
      <c r="V126">
        <v>0</v>
      </c>
      <c r="W126">
        <v>0</v>
      </c>
      <c r="X126">
        <v>0</v>
      </c>
      <c r="Y126">
        <v>0</v>
      </c>
      <c r="Z126">
        <v>0</v>
      </c>
      <c r="AA126">
        <v>0</v>
      </c>
      <c r="AB126">
        <v>0</v>
      </c>
      <c r="AC126">
        <v>0</v>
      </c>
      <c r="AD126">
        <v>0</v>
      </c>
      <c r="AF126">
        <v>0</v>
      </c>
      <c r="AG126">
        <v>0</v>
      </c>
      <c r="AH126">
        <v>0</v>
      </c>
      <c r="AI126">
        <v>0</v>
      </c>
      <c r="AJ126">
        <v>0</v>
      </c>
      <c r="AK126">
        <v>0</v>
      </c>
      <c r="AL126">
        <v>0</v>
      </c>
      <c r="AM126">
        <v>0</v>
      </c>
      <c r="AN126">
        <v>0</v>
      </c>
      <c r="AO126">
        <v>0</v>
      </c>
      <c r="AP126">
        <v>0</v>
      </c>
      <c r="AQ126">
        <v>0</v>
      </c>
      <c r="AR126">
        <v>0</v>
      </c>
      <c r="AS126">
        <v>0</v>
      </c>
      <c r="AT126">
        <v>0</v>
      </c>
      <c r="AU126">
        <v>0</v>
      </c>
      <c r="AV126">
        <v>0</v>
      </c>
      <c r="AW126">
        <v>0</v>
      </c>
      <c r="AX126">
        <v>0</v>
      </c>
      <c r="AY126">
        <v>0</v>
      </c>
      <c r="AZ126">
        <v>0</v>
      </c>
      <c r="BA126">
        <v>0</v>
      </c>
      <c r="BB126">
        <v>0</v>
      </c>
      <c r="BC126">
        <v>0</v>
      </c>
      <c r="BD126">
        <v>0</v>
      </c>
      <c r="BE126">
        <v>0</v>
      </c>
      <c r="BF126">
        <v>0</v>
      </c>
      <c r="BG126">
        <v>0</v>
      </c>
      <c r="BH126">
        <v>0</v>
      </c>
      <c r="BI126">
        <v>0</v>
      </c>
      <c r="BK126" s="151"/>
    </row>
    <row r="127" spans="1:63" x14ac:dyDescent="0.35">
      <c r="A127">
        <v>0</v>
      </c>
      <c r="B127">
        <v>0</v>
      </c>
      <c r="C127">
        <v>0</v>
      </c>
      <c r="D127">
        <v>0</v>
      </c>
      <c r="E127">
        <v>0</v>
      </c>
      <c r="F127">
        <v>0</v>
      </c>
      <c r="G127">
        <v>0</v>
      </c>
      <c r="H127">
        <v>0</v>
      </c>
      <c r="I127">
        <v>0</v>
      </c>
      <c r="J127">
        <v>0</v>
      </c>
      <c r="K127">
        <v>0</v>
      </c>
      <c r="L127">
        <v>0</v>
      </c>
      <c r="M127">
        <v>0</v>
      </c>
      <c r="N127">
        <v>0</v>
      </c>
      <c r="O127">
        <v>0</v>
      </c>
      <c r="P127">
        <v>0</v>
      </c>
      <c r="Q127">
        <v>0</v>
      </c>
      <c r="R127">
        <v>0</v>
      </c>
      <c r="S127">
        <v>0</v>
      </c>
      <c r="T127">
        <v>0</v>
      </c>
      <c r="U127">
        <v>0</v>
      </c>
      <c r="V127">
        <v>0</v>
      </c>
      <c r="W127">
        <v>0</v>
      </c>
      <c r="X127">
        <v>0</v>
      </c>
      <c r="Y127">
        <v>0</v>
      </c>
      <c r="Z127">
        <v>0</v>
      </c>
      <c r="AA127">
        <v>0</v>
      </c>
      <c r="AB127">
        <v>0</v>
      </c>
      <c r="AC127">
        <v>0</v>
      </c>
      <c r="AD127">
        <v>0</v>
      </c>
      <c r="AF127">
        <v>0</v>
      </c>
      <c r="AG127">
        <v>0</v>
      </c>
      <c r="AH127">
        <v>0</v>
      </c>
      <c r="AI127">
        <v>0</v>
      </c>
      <c r="AJ127">
        <v>0</v>
      </c>
      <c r="AK127">
        <v>0</v>
      </c>
      <c r="AL127">
        <v>0</v>
      </c>
      <c r="AM127">
        <v>0</v>
      </c>
      <c r="AN127">
        <v>0</v>
      </c>
      <c r="AO127">
        <v>0</v>
      </c>
      <c r="AP127">
        <v>0</v>
      </c>
      <c r="AQ127">
        <v>0</v>
      </c>
      <c r="AR127">
        <v>0</v>
      </c>
      <c r="AS127">
        <v>0</v>
      </c>
      <c r="AT127">
        <v>0</v>
      </c>
      <c r="AU127">
        <v>0</v>
      </c>
      <c r="AV127">
        <v>0</v>
      </c>
      <c r="AW127">
        <v>0</v>
      </c>
      <c r="AX127">
        <v>0</v>
      </c>
      <c r="AY127">
        <v>0</v>
      </c>
      <c r="AZ127">
        <v>0</v>
      </c>
      <c r="BA127">
        <v>0</v>
      </c>
      <c r="BB127">
        <v>0</v>
      </c>
      <c r="BC127">
        <v>0</v>
      </c>
      <c r="BD127">
        <v>0</v>
      </c>
      <c r="BE127">
        <v>0</v>
      </c>
      <c r="BF127">
        <v>0</v>
      </c>
      <c r="BG127">
        <v>0</v>
      </c>
      <c r="BH127">
        <v>0</v>
      </c>
      <c r="BI127">
        <v>0</v>
      </c>
      <c r="BK127" s="151"/>
    </row>
    <row r="128" spans="1:63" x14ac:dyDescent="0.35">
      <c r="A128">
        <v>0</v>
      </c>
      <c r="B128">
        <v>0</v>
      </c>
      <c r="C128">
        <v>0</v>
      </c>
      <c r="D128">
        <v>0</v>
      </c>
      <c r="E128">
        <v>0</v>
      </c>
      <c r="F128">
        <v>0</v>
      </c>
      <c r="G128">
        <v>0</v>
      </c>
      <c r="H128">
        <v>0</v>
      </c>
      <c r="I128">
        <v>0</v>
      </c>
      <c r="J128">
        <v>0</v>
      </c>
      <c r="K128">
        <v>0</v>
      </c>
      <c r="L128">
        <v>0</v>
      </c>
      <c r="M128">
        <v>0</v>
      </c>
      <c r="N128">
        <v>0</v>
      </c>
      <c r="O128">
        <v>0</v>
      </c>
      <c r="P128">
        <v>0</v>
      </c>
      <c r="Q128">
        <v>0</v>
      </c>
      <c r="R128">
        <v>0</v>
      </c>
      <c r="S128">
        <v>0</v>
      </c>
      <c r="T128">
        <v>0</v>
      </c>
      <c r="U128">
        <v>0</v>
      </c>
      <c r="V128">
        <v>0</v>
      </c>
      <c r="W128">
        <v>0</v>
      </c>
      <c r="X128">
        <v>0</v>
      </c>
      <c r="Y128">
        <v>0</v>
      </c>
      <c r="Z128">
        <v>0</v>
      </c>
      <c r="AA128">
        <v>0</v>
      </c>
      <c r="AB128">
        <v>0</v>
      </c>
      <c r="AC128">
        <v>0</v>
      </c>
      <c r="AD128">
        <v>0</v>
      </c>
      <c r="AF128">
        <v>0</v>
      </c>
      <c r="AG128">
        <v>0</v>
      </c>
      <c r="AH128">
        <v>0</v>
      </c>
      <c r="AI128">
        <v>0</v>
      </c>
      <c r="AJ128">
        <v>0</v>
      </c>
      <c r="AK128">
        <v>0</v>
      </c>
      <c r="AL128">
        <v>0</v>
      </c>
      <c r="AM128">
        <v>0</v>
      </c>
      <c r="AN128">
        <v>0</v>
      </c>
      <c r="AO128">
        <v>0</v>
      </c>
      <c r="AP128">
        <v>0</v>
      </c>
      <c r="AQ128">
        <v>0</v>
      </c>
      <c r="AR128">
        <v>0</v>
      </c>
      <c r="AS128">
        <v>0</v>
      </c>
      <c r="AT128">
        <v>0</v>
      </c>
      <c r="AU128">
        <v>0</v>
      </c>
      <c r="AV128">
        <v>0</v>
      </c>
      <c r="AW128">
        <v>0</v>
      </c>
      <c r="AX128">
        <v>0</v>
      </c>
      <c r="AY128">
        <v>0</v>
      </c>
      <c r="AZ128">
        <v>0</v>
      </c>
      <c r="BA128">
        <v>0</v>
      </c>
      <c r="BB128">
        <v>0</v>
      </c>
      <c r="BC128">
        <v>0</v>
      </c>
      <c r="BD128">
        <v>0</v>
      </c>
      <c r="BE128">
        <v>0</v>
      </c>
      <c r="BF128">
        <v>0</v>
      </c>
      <c r="BG128">
        <v>0</v>
      </c>
      <c r="BH128">
        <v>0</v>
      </c>
      <c r="BI128">
        <v>0</v>
      </c>
      <c r="BK128" s="151"/>
    </row>
    <row r="129" spans="1:63" x14ac:dyDescent="0.35">
      <c r="A129">
        <v>0</v>
      </c>
      <c r="B129">
        <v>0</v>
      </c>
      <c r="C129">
        <v>0</v>
      </c>
      <c r="D129">
        <v>0</v>
      </c>
      <c r="E129">
        <v>0</v>
      </c>
      <c r="F129">
        <v>0</v>
      </c>
      <c r="G129">
        <v>0</v>
      </c>
      <c r="H129">
        <v>0</v>
      </c>
      <c r="I129">
        <v>0</v>
      </c>
      <c r="J129">
        <v>0</v>
      </c>
      <c r="K129">
        <v>0</v>
      </c>
      <c r="L129">
        <v>0</v>
      </c>
      <c r="M129">
        <v>0</v>
      </c>
      <c r="N129">
        <v>0</v>
      </c>
      <c r="O129">
        <v>0</v>
      </c>
      <c r="P129">
        <v>0</v>
      </c>
      <c r="Q129">
        <v>0</v>
      </c>
      <c r="R129">
        <v>0</v>
      </c>
      <c r="S129">
        <v>0</v>
      </c>
      <c r="T129">
        <v>0</v>
      </c>
      <c r="U129">
        <v>0</v>
      </c>
      <c r="V129">
        <v>0</v>
      </c>
      <c r="W129">
        <v>0</v>
      </c>
      <c r="X129">
        <v>0</v>
      </c>
      <c r="Y129">
        <v>0</v>
      </c>
      <c r="Z129">
        <v>0</v>
      </c>
      <c r="AA129">
        <v>0</v>
      </c>
      <c r="AB129">
        <v>0</v>
      </c>
      <c r="AC129">
        <v>0</v>
      </c>
      <c r="AD129">
        <v>0</v>
      </c>
      <c r="AF129">
        <v>0</v>
      </c>
      <c r="AG129">
        <v>0</v>
      </c>
      <c r="AH129">
        <v>0</v>
      </c>
      <c r="AI129">
        <v>0</v>
      </c>
      <c r="AJ129">
        <v>0</v>
      </c>
      <c r="AK129">
        <v>0</v>
      </c>
      <c r="AL129">
        <v>0</v>
      </c>
      <c r="AM129">
        <v>0</v>
      </c>
      <c r="AN129">
        <v>0</v>
      </c>
      <c r="AO129">
        <v>0</v>
      </c>
      <c r="AP129">
        <v>0</v>
      </c>
      <c r="AQ129">
        <v>0</v>
      </c>
      <c r="AR129">
        <v>0</v>
      </c>
      <c r="AS129">
        <v>0</v>
      </c>
      <c r="AT129">
        <v>0</v>
      </c>
      <c r="AU129">
        <v>0</v>
      </c>
      <c r="AV129">
        <v>0</v>
      </c>
      <c r="AW129">
        <v>0</v>
      </c>
      <c r="AX129">
        <v>0</v>
      </c>
      <c r="AY129">
        <v>0</v>
      </c>
      <c r="AZ129">
        <v>0</v>
      </c>
      <c r="BA129">
        <v>0</v>
      </c>
      <c r="BB129">
        <v>0</v>
      </c>
      <c r="BC129">
        <v>0</v>
      </c>
      <c r="BD129">
        <v>0</v>
      </c>
      <c r="BE129">
        <v>0</v>
      </c>
      <c r="BF129">
        <v>0</v>
      </c>
      <c r="BG129">
        <v>0</v>
      </c>
      <c r="BH129">
        <v>0</v>
      </c>
      <c r="BI129">
        <v>0</v>
      </c>
      <c r="BK129" s="151"/>
    </row>
    <row r="130" spans="1:63" x14ac:dyDescent="0.35">
      <c r="A130">
        <v>0</v>
      </c>
      <c r="B130">
        <v>0</v>
      </c>
      <c r="C130">
        <v>0</v>
      </c>
      <c r="D130">
        <v>0</v>
      </c>
      <c r="E130">
        <v>0</v>
      </c>
      <c r="F130">
        <v>0</v>
      </c>
      <c r="G130">
        <v>0</v>
      </c>
      <c r="H130">
        <v>0</v>
      </c>
      <c r="I130">
        <v>0</v>
      </c>
      <c r="J130">
        <v>0</v>
      </c>
      <c r="K130">
        <v>0</v>
      </c>
      <c r="L130">
        <v>0</v>
      </c>
      <c r="M130">
        <v>0</v>
      </c>
      <c r="N130">
        <v>0</v>
      </c>
      <c r="O130">
        <v>0</v>
      </c>
      <c r="P130">
        <v>0</v>
      </c>
      <c r="Q130">
        <v>0</v>
      </c>
      <c r="R130">
        <v>0</v>
      </c>
      <c r="S130">
        <v>0</v>
      </c>
      <c r="T130">
        <v>0</v>
      </c>
      <c r="U130">
        <v>0</v>
      </c>
      <c r="V130">
        <v>0</v>
      </c>
      <c r="W130">
        <v>0</v>
      </c>
      <c r="X130">
        <v>0</v>
      </c>
      <c r="Y130">
        <v>0</v>
      </c>
      <c r="Z130">
        <v>0</v>
      </c>
      <c r="AA130">
        <v>0</v>
      </c>
      <c r="AB130">
        <v>0</v>
      </c>
      <c r="AC130">
        <v>0</v>
      </c>
      <c r="AD130">
        <v>0</v>
      </c>
      <c r="AF130">
        <v>0</v>
      </c>
      <c r="AG130">
        <v>0</v>
      </c>
      <c r="AH130">
        <v>0</v>
      </c>
      <c r="AI130">
        <v>0</v>
      </c>
      <c r="AJ130">
        <v>0</v>
      </c>
      <c r="AK130">
        <v>0</v>
      </c>
      <c r="AL130">
        <v>0</v>
      </c>
      <c r="AM130">
        <v>0</v>
      </c>
      <c r="AN130">
        <v>0</v>
      </c>
      <c r="AO130">
        <v>0</v>
      </c>
      <c r="AP130">
        <v>0</v>
      </c>
      <c r="AQ130">
        <v>0</v>
      </c>
      <c r="AR130">
        <v>0</v>
      </c>
      <c r="AS130">
        <v>0</v>
      </c>
      <c r="AT130">
        <v>0</v>
      </c>
      <c r="AU130">
        <v>0</v>
      </c>
      <c r="AV130">
        <v>0</v>
      </c>
      <c r="AW130">
        <v>0</v>
      </c>
      <c r="AX130">
        <v>0</v>
      </c>
      <c r="AY130">
        <v>0</v>
      </c>
      <c r="AZ130">
        <v>0</v>
      </c>
      <c r="BA130">
        <v>0</v>
      </c>
      <c r="BB130">
        <v>0</v>
      </c>
      <c r="BC130">
        <v>0</v>
      </c>
      <c r="BD130">
        <v>0</v>
      </c>
      <c r="BE130">
        <v>0</v>
      </c>
      <c r="BF130">
        <v>0</v>
      </c>
      <c r="BG130">
        <v>0</v>
      </c>
      <c r="BH130">
        <v>0</v>
      </c>
      <c r="BI130">
        <v>0</v>
      </c>
      <c r="BK130" s="151"/>
    </row>
    <row r="131" spans="1:63" x14ac:dyDescent="0.35">
      <c r="A131">
        <v>0</v>
      </c>
      <c r="B131">
        <v>0</v>
      </c>
      <c r="C131">
        <v>0</v>
      </c>
      <c r="D131">
        <v>0</v>
      </c>
      <c r="E131">
        <v>0</v>
      </c>
      <c r="F131">
        <v>0</v>
      </c>
      <c r="G131">
        <v>0</v>
      </c>
      <c r="H131">
        <v>0</v>
      </c>
      <c r="I131">
        <v>0</v>
      </c>
      <c r="J131">
        <v>0</v>
      </c>
      <c r="K131">
        <v>0</v>
      </c>
      <c r="L131">
        <v>0</v>
      </c>
      <c r="M131">
        <v>0</v>
      </c>
      <c r="N131">
        <v>0</v>
      </c>
      <c r="O131">
        <v>0</v>
      </c>
      <c r="P131">
        <v>0</v>
      </c>
      <c r="Q131">
        <v>0</v>
      </c>
      <c r="R131">
        <v>0</v>
      </c>
      <c r="S131">
        <v>0</v>
      </c>
      <c r="T131">
        <v>0</v>
      </c>
      <c r="U131">
        <v>0</v>
      </c>
      <c r="V131">
        <v>0</v>
      </c>
      <c r="W131">
        <v>0</v>
      </c>
      <c r="X131">
        <v>0</v>
      </c>
      <c r="Y131">
        <v>0</v>
      </c>
      <c r="Z131">
        <v>0</v>
      </c>
      <c r="AA131">
        <v>0</v>
      </c>
      <c r="AB131">
        <v>0</v>
      </c>
      <c r="AC131">
        <v>0</v>
      </c>
      <c r="AD131">
        <v>0</v>
      </c>
      <c r="AF131">
        <v>0</v>
      </c>
      <c r="AG131">
        <v>0</v>
      </c>
      <c r="AH131">
        <v>0</v>
      </c>
      <c r="AI131">
        <v>0</v>
      </c>
      <c r="AJ131">
        <v>0</v>
      </c>
      <c r="AK131">
        <v>0</v>
      </c>
      <c r="AL131">
        <v>0</v>
      </c>
      <c r="AM131">
        <v>0</v>
      </c>
      <c r="AN131">
        <v>0</v>
      </c>
      <c r="AO131">
        <v>0</v>
      </c>
      <c r="AP131">
        <v>0</v>
      </c>
      <c r="AQ131">
        <v>0</v>
      </c>
      <c r="AR131">
        <v>0</v>
      </c>
      <c r="AS131">
        <v>0</v>
      </c>
      <c r="AT131">
        <v>0</v>
      </c>
      <c r="AU131">
        <v>0</v>
      </c>
      <c r="AV131">
        <v>0</v>
      </c>
      <c r="AW131">
        <v>0</v>
      </c>
      <c r="AX131">
        <v>0</v>
      </c>
      <c r="AY131">
        <v>0</v>
      </c>
      <c r="AZ131">
        <v>0</v>
      </c>
      <c r="BA131">
        <v>0</v>
      </c>
      <c r="BB131">
        <v>0</v>
      </c>
      <c r="BC131">
        <v>0</v>
      </c>
      <c r="BD131">
        <v>0</v>
      </c>
      <c r="BE131">
        <v>0</v>
      </c>
      <c r="BF131">
        <v>0</v>
      </c>
      <c r="BG131">
        <v>0</v>
      </c>
      <c r="BH131">
        <v>0</v>
      </c>
      <c r="BI131">
        <v>0</v>
      </c>
      <c r="BK131" s="151"/>
    </row>
    <row r="132" spans="1:63" x14ac:dyDescent="0.35">
      <c r="A132">
        <v>0</v>
      </c>
      <c r="B132">
        <v>0</v>
      </c>
      <c r="C132">
        <v>0</v>
      </c>
      <c r="D132">
        <v>0</v>
      </c>
      <c r="E132">
        <v>0</v>
      </c>
      <c r="F132">
        <v>0</v>
      </c>
      <c r="G132">
        <v>0</v>
      </c>
      <c r="H132">
        <v>0</v>
      </c>
      <c r="I132">
        <v>0</v>
      </c>
      <c r="J132">
        <v>0</v>
      </c>
      <c r="K132">
        <v>0</v>
      </c>
      <c r="L132">
        <v>0</v>
      </c>
      <c r="M132">
        <v>0</v>
      </c>
      <c r="N132">
        <v>0</v>
      </c>
      <c r="O132">
        <v>0</v>
      </c>
      <c r="P132">
        <v>0</v>
      </c>
      <c r="Q132">
        <v>0</v>
      </c>
      <c r="R132">
        <v>0</v>
      </c>
      <c r="S132">
        <v>0</v>
      </c>
      <c r="T132">
        <v>0</v>
      </c>
      <c r="U132">
        <v>0</v>
      </c>
      <c r="V132">
        <v>0</v>
      </c>
      <c r="W132">
        <v>0</v>
      </c>
      <c r="X132">
        <v>0</v>
      </c>
      <c r="Y132">
        <v>0</v>
      </c>
      <c r="Z132">
        <v>0</v>
      </c>
      <c r="AA132">
        <v>0</v>
      </c>
      <c r="AB132">
        <v>0</v>
      </c>
      <c r="AC132">
        <v>0</v>
      </c>
      <c r="AD132">
        <v>0</v>
      </c>
      <c r="AF132">
        <v>0</v>
      </c>
      <c r="AG132">
        <v>0</v>
      </c>
      <c r="AH132">
        <v>0</v>
      </c>
      <c r="AI132">
        <v>0</v>
      </c>
      <c r="AJ132">
        <v>0</v>
      </c>
      <c r="AK132">
        <v>0</v>
      </c>
      <c r="AL132">
        <v>0</v>
      </c>
      <c r="AM132">
        <v>0</v>
      </c>
      <c r="AN132">
        <v>0</v>
      </c>
      <c r="AO132">
        <v>0</v>
      </c>
      <c r="AP132">
        <v>0</v>
      </c>
      <c r="AQ132">
        <v>0</v>
      </c>
      <c r="AR132">
        <v>0</v>
      </c>
      <c r="AS132">
        <v>0</v>
      </c>
      <c r="AT132">
        <v>0</v>
      </c>
      <c r="AU132">
        <v>0</v>
      </c>
      <c r="AV132">
        <v>0</v>
      </c>
      <c r="AW132">
        <v>0</v>
      </c>
      <c r="AX132">
        <v>0</v>
      </c>
      <c r="AY132">
        <v>0</v>
      </c>
      <c r="AZ132">
        <v>0</v>
      </c>
      <c r="BA132">
        <v>0</v>
      </c>
      <c r="BB132">
        <v>0</v>
      </c>
      <c r="BC132">
        <v>0</v>
      </c>
      <c r="BD132">
        <v>0</v>
      </c>
      <c r="BE132">
        <v>0</v>
      </c>
      <c r="BF132">
        <v>0</v>
      </c>
      <c r="BG132">
        <v>0</v>
      </c>
      <c r="BH132">
        <v>0</v>
      </c>
      <c r="BI132">
        <v>0</v>
      </c>
      <c r="BK132" s="151"/>
    </row>
    <row r="133" spans="1:63" x14ac:dyDescent="0.35">
      <c r="A133">
        <v>0</v>
      </c>
      <c r="B133">
        <v>0</v>
      </c>
      <c r="C133">
        <v>0</v>
      </c>
      <c r="D133">
        <v>0</v>
      </c>
      <c r="E133">
        <v>0</v>
      </c>
      <c r="F133">
        <v>0</v>
      </c>
      <c r="G133">
        <v>0</v>
      </c>
      <c r="H133">
        <v>0</v>
      </c>
      <c r="I133">
        <v>0</v>
      </c>
      <c r="J133">
        <v>0</v>
      </c>
      <c r="K133">
        <v>0</v>
      </c>
      <c r="L133">
        <v>0</v>
      </c>
      <c r="M133">
        <v>0</v>
      </c>
      <c r="N133">
        <v>0</v>
      </c>
      <c r="O133">
        <v>0</v>
      </c>
      <c r="P133">
        <v>0</v>
      </c>
      <c r="Q133">
        <v>0</v>
      </c>
      <c r="R133">
        <v>0</v>
      </c>
      <c r="S133">
        <v>0</v>
      </c>
      <c r="T133">
        <v>0</v>
      </c>
      <c r="U133">
        <v>0</v>
      </c>
      <c r="V133">
        <v>0</v>
      </c>
      <c r="W133">
        <v>0</v>
      </c>
      <c r="X133">
        <v>0</v>
      </c>
      <c r="Y133">
        <v>0</v>
      </c>
      <c r="Z133">
        <v>0</v>
      </c>
      <c r="AA133">
        <v>0</v>
      </c>
      <c r="AB133">
        <v>0</v>
      </c>
      <c r="AC133">
        <v>0</v>
      </c>
      <c r="AD133">
        <v>0</v>
      </c>
      <c r="AF133">
        <v>0</v>
      </c>
      <c r="AG133">
        <v>0</v>
      </c>
      <c r="AH133">
        <v>0</v>
      </c>
      <c r="AI133">
        <v>0</v>
      </c>
      <c r="AJ133">
        <v>0</v>
      </c>
      <c r="AK133">
        <v>0</v>
      </c>
      <c r="AL133">
        <v>0</v>
      </c>
      <c r="AM133">
        <v>0</v>
      </c>
      <c r="AN133">
        <v>0</v>
      </c>
      <c r="AO133">
        <v>0</v>
      </c>
      <c r="AP133">
        <v>0</v>
      </c>
      <c r="AQ133">
        <v>0</v>
      </c>
      <c r="AR133">
        <v>0</v>
      </c>
      <c r="AS133">
        <v>0</v>
      </c>
      <c r="AT133">
        <v>0</v>
      </c>
      <c r="AU133">
        <v>0</v>
      </c>
      <c r="AV133">
        <v>0</v>
      </c>
      <c r="AW133">
        <v>0</v>
      </c>
      <c r="AX133">
        <v>0</v>
      </c>
      <c r="AY133">
        <v>0</v>
      </c>
      <c r="AZ133">
        <v>0</v>
      </c>
      <c r="BA133">
        <v>0</v>
      </c>
      <c r="BB133">
        <v>0</v>
      </c>
      <c r="BC133">
        <v>0</v>
      </c>
      <c r="BD133">
        <v>0</v>
      </c>
      <c r="BE133">
        <v>0</v>
      </c>
      <c r="BF133">
        <v>0</v>
      </c>
      <c r="BG133">
        <v>0</v>
      </c>
      <c r="BH133">
        <v>0</v>
      </c>
      <c r="BI133">
        <v>0</v>
      </c>
      <c r="BK133" s="151"/>
    </row>
    <row r="134" spans="1:63" x14ac:dyDescent="0.35">
      <c r="A134">
        <v>0</v>
      </c>
      <c r="B134">
        <v>0</v>
      </c>
      <c r="C134">
        <v>0</v>
      </c>
      <c r="D134">
        <v>0</v>
      </c>
      <c r="E134">
        <v>0</v>
      </c>
      <c r="F134">
        <v>0</v>
      </c>
      <c r="G134">
        <v>0</v>
      </c>
      <c r="H134">
        <v>0</v>
      </c>
      <c r="I134">
        <v>0</v>
      </c>
      <c r="J134">
        <v>0</v>
      </c>
      <c r="K134">
        <v>0</v>
      </c>
      <c r="L134">
        <v>0</v>
      </c>
      <c r="M134">
        <v>0</v>
      </c>
      <c r="N134">
        <v>0</v>
      </c>
      <c r="O134">
        <v>0</v>
      </c>
      <c r="P134">
        <v>0</v>
      </c>
      <c r="Q134">
        <v>0</v>
      </c>
      <c r="R134">
        <v>0</v>
      </c>
      <c r="S134">
        <v>0</v>
      </c>
      <c r="T134">
        <v>0</v>
      </c>
      <c r="U134">
        <v>0</v>
      </c>
      <c r="V134">
        <v>0</v>
      </c>
      <c r="W134">
        <v>0</v>
      </c>
      <c r="X134">
        <v>0</v>
      </c>
      <c r="Y134">
        <v>0</v>
      </c>
      <c r="Z134">
        <v>0</v>
      </c>
      <c r="AA134">
        <v>0</v>
      </c>
      <c r="AB134">
        <v>0</v>
      </c>
      <c r="AC134">
        <v>0</v>
      </c>
      <c r="AD134">
        <v>0</v>
      </c>
      <c r="AF134">
        <v>0</v>
      </c>
      <c r="AG134">
        <v>0</v>
      </c>
      <c r="AH134">
        <v>0</v>
      </c>
      <c r="AI134">
        <v>0</v>
      </c>
      <c r="AJ134">
        <v>0</v>
      </c>
      <c r="AK134">
        <v>0</v>
      </c>
      <c r="AL134">
        <v>0</v>
      </c>
      <c r="AM134">
        <v>0</v>
      </c>
      <c r="AN134">
        <v>0</v>
      </c>
      <c r="AO134">
        <v>0</v>
      </c>
      <c r="AP134">
        <v>0</v>
      </c>
      <c r="AQ134">
        <v>0</v>
      </c>
      <c r="AR134">
        <v>0</v>
      </c>
      <c r="AS134">
        <v>0</v>
      </c>
      <c r="AT134">
        <v>0</v>
      </c>
      <c r="AU134">
        <v>0</v>
      </c>
      <c r="AV134">
        <v>0</v>
      </c>
      <c r="AW134">
        <v>0</v>
      </c>
      <c r="AX134">
        <v>0</v>
      </c>
      <c r="AY134">
        <v>0</v>
      </c>
      <c r="AZ134">
        <v>0</v>
      </c>
      <c r="BA134">
        <v>0</v>
      </c>
      <c r="BB134">
        <v>0</v>
      </c>
      <c r="BC134">
        <v>0</v>
      </c>
      <c r="BD134">
        <v>0</v>
      </c>
      <c r="BE134">
        <v>0</v>
      </c>
      <c r="BF134">
        <v>0</v>
      </c>
      <c r="BG134">
        <v>0</v>
      </c>
      <c r="BH134">
        <v>0</v>
      </c>
      <c r="BI134">
        <v>0</v>
      </c>
      <c r="BK134" s="151"/>
    </row>
    <row r="135" spans="1:63" x14ac:dyDescent="0.35">
      <c r="A135">
        <v>0</v>
      </c>
      <c r="B135">
        <v>0</v>
      </c>
      <c r="C135">
        <v>0</v>
      </c>
      <c r="D135">
        <v>0</v>
      </c>
      <c r="E135">
        <v>0</v>
      </c>
      <c r="F135">
        <v>0</v>
      </c>
      <c r="G135">
        <v>0</v>
      </c>
      <c r="H135">
        <v>0</v>
      </c>
      <c r="I135">
        <v>0</v>
      </c>
      <c r="J135">
        <v>0</v>
      </c>
      <c r="K135">
        <v>0</v>
      </c>
      <c r="L135">
        <v>0</v>
      </c>
      <c r="M135">
        <v>0</v>
      </c>
      <c r="N135">
        <v>0</v>
      </c>
      <c r="O135">
        <v>0</v>
      </c>
      <c r="P135">
        <v>0</v>
      </c>
      <c r="Q135">
        <v>0</v>
      </c>
      <c r="R135">
        <v>0</v>
      </c>
      <c r="S135">
        <v>0</v>
      </c>
      <c r="T135">
        <v>0</v>
      </c>
      <c r="U135">
        <v>0</v>
      </c>
      <c r="V135">
        <v>0</v>
      </c>
      <c r="W135">
        <v>0</v>
      </c>
      <c r="X135">
        <v>0</v>
      </c>
      <c r="Y135">
        <v>0</v>
      </c>
      <c r="Z135">
        <v>0</v>
      </c>
      <c r="AA135">
        <v>0</v>
      </c>
      <c r="AB135">
        <v>0</v>
      </c>
      <c r="AC135">
        <v>0</v>
      </c>
      <c r="AD135">
        <v>0</v>
      </c>
      <c r="AF135">
        <v>0</v>
      </c>
      <c r="AG135">
        <v>0</v>
      </c>
      <c r="AH135">
        <v>0</v>
      </c>
      <c r="AI135">
        <v>0</v>
      </c>
      <c r="AJ135">
        <v>0</v>
      </c>
      <c r="AK135">
        <v>0</v>
      </c>
      <c r="AL135">
        <v>0</v>
      </c>
      <c r="AM135">
        <v>0</v>
      </c>
      <c r="AN135">
        <v>0</v>
      </c>
      <c r="AO135">
        <v>0</v>
      </c>
      <c r="AP135">
        <v>0</v>
      </c>
      <c r="AQ135">
        <v>0</v>
      </c>
      <c r="AR135">
        <v>0</v>
      </c>
      <c r="AS135">
        <v>0</v>
      </c>
      <c r="AT135">
        <v>0</v>
      </c>
      <c r="AU135">
        <v>0</v>
      </c>
      <c r="AV135">
        <v>0</v>
      </c>
      <c r="AW135">
        <v>0</v>
      </c>
      <c r="AX135">
        <v>0</v>
      </c>
      <c r="AY135">
        <v>0</v>
      </c>
      <c r="AZ135">
        <v>0</v>
      </c>
      <c r="BA135">
        <v>0</v>
      </c>
      <c r="BB135">
        <v>0</v>
      </c>
      <c r="BC135">
        <v>0</v>
      </c>
      <c r="BD135">
        <v>0</v>
      </c>
      <c r="BE135">
        <v>0</v>
      </c>
      <c r="BF135">
        <v>0</v>
      </c>
      <c r="BG135">
        <v>0</v>
      </c>
      <c r="BH135">
        <v>0</v>
      </c>
      <c r="BI135">
        <v>0</v>
      </c>
      <c r="BK135" s="151"/>
    </row>
    <row r="136" spans="1:63" x14ac:dyDescent="0.35">
      <c r="A136">
        <v>0</v>
      </c>
      <c r="B136">
        <v>0</v>
      </c>
      <c r="C136">
        <v>0</v>
      </c>
      <c r="D136">
        <v>0</v>
      </c>
      <c r="E136">
        <v>0</v>
      </c>
      <c r="F136">
        <v>0</v>
      </c>
      <c r="G136">
        <v>0</v>
      </c>
      <c r="H136">
        <v>0</v>
      </c>
      <c r="I136">
        <v>0</v>
      </c>
      <c r="J136">
        <v>0</v>
      </c>
      <c r="K136">
        <v>0</v>
      </c>
      <c r="L136">
        <v>0</v>
      </c>
      <c r="M136">
        <v>0</v>
      </c>
      <c r="N136">
        <v>0</v>
      </c>
      <c r="O136">
        <v>0</v>
      </c>
      <c r="P136">
        <v>0</v>
      </c>
      <c r="Q136">
        <v>0</v>
      </c>
      <c r="R136">
        <v>0</v>
      </c>
      <c r="S136">
        <v>0</v>
      </c>
      <c r="T136">
        <v>0</v>
      </c>
      <c r="U136">
        <v>0</v>
      </c>
      <c r="V136">
        <v>0</v>
      </c>
      <c r="W136">
        <v>0</v>
      </c>
      <c r="X136">
        <v>0</v>
      </c>
      <c r="Y136">
        <v>0</v>
      </c>
      <c r="Z136">
        <v>0</v>
      </c>
      <c r="AA136">
        <v>0</v>
      </c>
      <c r="AB136">
        <v>0</v>
      </c>
      <c r="AC136">
        <v>0</v>
      </c>
      <c r="AD136">
        <v>0</v>
      </c>
      <c r="AF136">
        <v>0</v>
      </c>
      <c r="AG136">
        <v>0</v>
      </c>
      <c r="AH136">
        <v>0</v>
      </c>
      <c r="AI136">
        <v>0</v>
      </c>
      <c r="AJ136">
        <v>0</v>
      </c>
      <c r="AK136">
        <v>0</v>
      </c>
      <c r="AL136">
        <v>0</v>
      </c>
      <c r="AM136">
        <v>0</v>
      </c>
      <c r="AN136">
        <v>0</v>
      </c>
      <c r="AO136">
        <v>0</v>
      </c>
      <c r="AP136">
        <v>0</v>
      </c>
      <c r="AQ136">
        <v>0</v>
      </c>
      <c r="AR136">
        <v>0</v>
      </c>
      <c r="AS136">
        <v>0</v>
      </c>
      <c r="AT136">
        <v>0</v>
      </c>
      <c r="AU136">
        <v>0</v>
      </c>
      <c r="AV136">
        <v>0</v>
      </c>
      <c r="AW136">
        <v>0</v>
      </c>
      <c r="AX136">
        <v>0</v>
      </c>
      <c r="AY136">
        <v>0</v>
      </c>
      <c r="AZ136">
        <v>0</v>
      </c>
      <c r="BA136">
        <v>0</v>
      </c>
      <c r="BB136">
        <v>0</v>
      </c>
      <c r="BC136">
        <v>0</v>
      </c>
      <c r="BD136">
        <v>0</v>
      </c>
      <c r="BE136">
        <v>0</v>
      </c>
      <c r="BF136">
        <v>0</v>
      </c>
      <c r="BG136">
        <v>0</v>
      </c>
      <c r="BH136">
        <v>0</v>
      </c>
      <c r="BI136">
        <v>0</v>
      </c>
      <c r="BK136" s="151"/>
    </row>
    <row r="137" spans="1:63" x14ac:dyDescent="0.35">
      <c r="A137">
        <v>0</v>
      </c>
      <c r="B137">
        <v>0</v>
      </c>
      <c r="C137">
        <v>0</v>
      </c>
      <c r="D137">
        <v>0</v>
      </c>
      <c r="E137">
        <v>0</v>
      </c>
      <c r="F137">
        <v>0</v>
      </c>
      <c r="G137">
        <v>0</v>
      </c>
      <c r="H137">
        <v>0</v>
      </c>
      <c r="I137">
        <v>0</v>
      </c>
      <c r="J137">
        <v>0</v>
      </c>
      <c r="K137">
        <v>0</v>
      </c>
      <c r="L137">
        <v>0</v>
      </c>
      <c r="M137">
        <v>0</v>
      </c>
      <c r="N137">
        <v>0</v>
      </c>
      <c r="O137">
        <v>0</v>
      </c>
      <c r="P137">
        <v>0</v>
      </c>
      <c r="Q137">
        <v>0</v>
      </c>
      <c r="R137">
        <v>0</v>
      </c>
      <c r="S137">
        <v>0</v>
      </c>
      <c r="T137">
        <v>0</v>
      </c>
      <c r="U137">
        <v>0</v>
      </c>
      <c r="V137">
        <v>0</v>
      </c>
      <c r="W137">
        <v>0</v>
      </c>
      <c r="X137">
        <v>0</v>
      </c>
      <c r="Y137">
        <v>0</v>
      </c>
      <c r="Z137">
        <v>0</v>
      </c>
      <c r="AA137">
        <v>0</v>
      </c>
      <c r="AB137">
        <v>0</v>
      </c>
      <c r="AC137">
        <v>0</v>
      </c>
      <c r="AD137">
        <v>0</v>
      </c>
      <c r="AF137">
        <v>0</v>
      </c>
      <c r="AG137">
        <v>0</v>
      </c>
      <c r="AH137">
        <v>0</v>
      </c>
      <c r="AI137">
        <v>0</v>
      </c>
      <c r="AJ137">
        <v>0</v>
      </c>
      <c r="AK137">
        <v>0</v>
      </c>
      <c r="AL137">
        <v>0</v>
      </c>
      <c r="AM137">
        <v>0</v>
      </c>
      <c r="AN137">
        <v>0</v>
      </c>
      <c r="AO137">
        <v>0</v>
      </c>
      <c r="AP137">
        <v>0</v>
      </c>
      <c r="AQ137">
        <v>0</v>
      </c>
      <c r="AR137">
        <v>0</v>
      </c>
      <c r="AS137">
        <v>0</v>
      </c>
      <c r="AT137">
        <v>0</v>
      </c>
      <c r="AU137">
        <v>0</v>
      </c>
      <c r="AV137">
        <v>0</v>
      </c>
      <c r="AW137">
        <v>0</v>
      </c>
      <c r="AX137">
        <v>0</v>
      </c>
      <c r="AY137">
        <v>0</v>
      </c>
      <c r="AZ137">
        <v>0</v>
      </c>
      <c r="BA137">
        <v>0</v>
      </c>
      <c r="BB137">
        <v>0</v>
      </c>
      <c r="BC137">
        <v>0</v>
      </c>
      <c r="BD137">
        <v>0</v>
      </c>
      <c r="BE137">
        <v>0</v>
      </c>
      <c r="BF137">
        <v>0</v>
      </c>
      <c r="BG137">
        <v>0</v>
      </c>
      <c r="BH137">
        <v>0</v>
      </c>
      <c r="BI137">
        <v>0</v>
      </c>
      <c r="BK137" s="151"/>
    </row>
    <row r="138" spans="1:63" x14ac:dyDescent="0.35">
      <c r="A138">
        <v>0</v>
      </c>
      <c r="B138">
        <v>0</v>
      </c>
      <c r="C138">
        <v>0</v>
      </c>
      <c r="D138">
        <v>0</v>
      </c>
      <c r="E138">
        <v>0</v>
      </c>
      <c r="F138">
        <v>0</v>
      </c>
      <c r="G138">
        <v>0</v>
      </c>
      <c r="H138">
        <v>0</v>
      </c>
      <c r="I138">
        <v>0</v>
      </c>
      <c r="J138">
        <v>0</v>
      </c>
      <c r="K138">
        <v>0</v>
      </c>
      <c r="L138">
        <v>0</v>
      </c>
      <c r="M138">
        <v>0</v>
      </c>
      <c r="N138">
        <v>0</v>
      </c>
      <c r="O138">
        <v>0</v>
      </c>
      <c r="P138">
        <v>0</v>
      </c>
      <c r="Q138">
        <v>0</v>
      </c>
      <c r="R138">
        <v>0</v>
      </c>
      <c r="S138">
        <v>0</v>
      </c>
      <c r="T138">
        <v>0</v>
      </c>
      <c r="U138">
        <v>0</v>
      </c>
      <c r="V138">
        <v>0</v>
      </c>
      <c r="W138">
        <v>0</v>
      </c>
      <c r="X138">
        <v>0</v>
      </c>
      <c r="Y138">
        <v>0</v>
      </c>
      <c r="Z138">
        <v>0</v>
      </c>
      <c r="AA138">
        <v>0</v>
      </c>
      <c r="AB138">
        <v>0</v>
      </c>
      <c r="AC138">
        <v>0</v>
      </c>
      <c r="AD138">
        <v>0</v>
      </c>
      <c r="AF138">
        <v>0</v>
      </c>
      <c r="AG138">
        <v>0</v>
      </c>
      <c r="AH138">
        <v>0</v>
      </c>
      <c r="AI138">
        <v>0</v>
      </c>
      <c r="AJ138">
        <v>0</v>
      </c>
      <c r="AK138">
        <v>0</v>
      </c>
      <c r="AL138">
        <v>0</v>
      </c>
      <c r="AM138">
        <v>0</v>
      </c>
      <c r="AN138">
        <v>0</v>
      </c>
      <c r="AO138">
        <v>0</v>
      </c>
      <c r="AP138">
        <v>0</v>
      </c>
      <c r="AQ138">
        <v>0</v>
      </c>
      <c r="AR138">
        <v>0</v>
      </c>
      <c r="AS138">
        <v>0</v>
      </c>
      <c r="AT138">
        <v>0</v>
      </c>
      <c r="AU138">
        <v>0</v>
      </c>
      <c r="AV138">
        <v>0</v>
      </c>
      <c r="AW138">
        <v>0</v>
      </c>
      <c r="AX138">
        <v>0</v>
      </c>
      <c r="AY138">
        <v>0</v>
      </c>
      <c r="AZ138">
        <v>0</v>
      </c>
      <c r="BA138">
        <v>0</v>
      </c>
      <c r="BB138">
        <v>0</v>
      </c>
      <c r="BC138">
        <v>0</v>
      </c>
      <c r="BD138">
        <v>0</v>
      </c>
      <c r="BE138">
        <v>0</v>
      </c>
      <c r="BF138">
        <v>0</v>
      </c>
      <c r="BG138">
        <v>0</v>
      </c>
      <c r="BH138">
        <v>0</v>
      </c>
      <c r="BI138">
        <v>0</v>
      </c>
      <c r="BK138" s="151"/>
    </row>
    <row r="139" spans="1:63" x14ac:dyDescent="0.35">
      <c r="A139">
        <v>0</v>
      </c>
      <c r="B139">
        <v>0</v>
      </c>
      <c r="C139">
        <v>0</v>
      </c>
      <c r="D139">
        <v>0</v>
      </c>
      <c r="E139">
        <v>0</v>
      </c>
      <c r="F139">
        <v>0</v>
      </c>
      <c r="G139">
        <v>0</v>
      </c>
      <c r="H139">
        <v>0</v>
      </c>
      <c r="I139">
        <v>0</v>
      </c>
      <c r="J139">
        <v>0</v>
      </c>
      <c r="K139">
        <v>0</v>
      </c>
      <c r="L139">
        <v>0</v>
      </c>
      <c r="M139">
        <v>0</v>
      </c>
      <c r="N139">
        <v>0</v>
      </c>
      <c r="O139">
        <v>0</v>
      </c>
      <c r="P139">
        <v>0</v>
      </c>
      <c r="Q139">
        <v>0</v>
      </c>
      <c r="R139">
        <v>0</v>
      </c>
      <c r="S139">
        <v>0</v>
      </c>
      <c r="T139">
        <v>0</v>
      </c>
      <c r="U139">
        <v>0</v>
      </c>
      <c r="V139">
        <v>0</v>
      </c>
      <c r="W139">
        <v>0</v>
      </c>
      <c r="X139">
        <v>0</v>
      </c>
      <c r="Y139">
        <v>0</v>
      </c>
      <c r="Z139">
        <v>0</v>
      </c>
      <c r="AA139">
        <v>0</v>
      </c>
      <c r="AB139">
        <v>0</v>
      </c>
      <c r="AC139">
        <v>0</v>
      </c>
      <c r="AD139">
        <v>0</v>
      </c>
      <c r="AF139">
        <v>0</v>
      </c>
      <c r="AG139">
        <v>0</v>
      </c>
      <c r="AH139">
        <v>0</v>
      </c>
      <c r="AI139">
        <v>0</v>
      </c>
      <c r="AJ139">
        <v>0</v>
      </c>
      <c r="AK139">
        <v>0</v>
      </c>
      <c r="AL139">
        <v>0</v>
      </c>
      <c r="AM139">
        <v>0</v>
      </c>
      <c r="AN139">
        <v>0</v>
      </c>
      <c r="AO139">
        <v>0</v>
      </c>
      <c r="AP139">
        <v>0</v>
      </c>
      <c r="AQ139">
        <v>0</v>
      </c>
      <c r="AR139">
        <v>0</v>
      </c>
      <c r="AS139">
        <v>0</v>
      </c>
      <c r="AT139">
        <v>0</v>
      </c>
      <c r="AU139">
        <v>0</v>
      </c>
      <c r="AV139">
        <v>0</v>
      </c>
      <c r="AW139">
        <v>0</v>
      </c>
      <c r="AX139">
        <v>0</v>
      </c>
      <c r="AY139">
        <v>0</v>
      </c>
      <c r="AZ139">
        <v>0</v>
      </c>
      <c r="BA139">
        <v>0</v>
      </c>
      <c r="BB139">
        <v>0</v>
      </c>
      <c r="BC139">
        <v>0</v>
      </c>
      <c r="BD139">
        <v>0</v>
      </c>
      <c r="BE139">
        <v>0</v>
      </c>
      <c r="BF139">
        <v>0</v>
      </c>
      <c r="BG139">
        <v>0</v>
      </c>
      <c r="BH139">
        <v>0</v>
      </c>
      <c r="BI139">
        <v>0</v>
      </c>
      <c r="BK139" s="151"/>
    </row>
    <row r="140" spans="1:63" x14ac:dyDescent="0.35">
      <c r="A140">
        <v>0</v>
      </c>
      <c r="B140">
        <v>0</v>
      </c>
      <c r="C140">
        <v>0</v>
      </c>
      <c r="D140">
        <v>0</v>
      </c>
      <c r="E140">
        <v>0</v>
      </c>
      <c r="F140">
        <v>0</v>
      </c>
      <c r="G140">
        <v>0</v>
      </c>
      <c r="H140">
        <v>0</v>
      </c>
      <c r="I140">
        <v>0</v>
      </c>
      <c r="J140">
        <v>0</v>
      </c>
      <c r="K140">
        <v>0</v>
      </c>
      <c r="L140">
        <v>0</v>
      </c>
      <c r="M140">
        <v>0</v>
      </c>
      <c r="N140">
        <v>0</v>
      </c>
      <c r="O140">
        <v>0</v>
      </c>
      <c r="P140">
        <v>0</v>
      </c>
      <c r="Q140">
        <v>0</v>
      </c>
      <c r="R140">
        <v>0</v>
      </c>
      <c r="S140">
        <v>0</v>
      </c>
      <c r="T140">
        <v>0</v>
      </c>
      <c r="U140">
        <v>0</v>
      </c>
      <c r="V140">
        <v>0</v>
      </c>
      <c r="W140">
        <v>0</v>
      </c>
      <c r="X140">
        <v>0</v>
      </c>
      <c r="Y140">
        <v>0</v>
      </c>
      <c r="Z140">
        <v>0</v>
      </c>
      <c r="AA140">
        <v>0</v>
      </c>
      <c r="AB140">
        <v>0</v>
      </c>
      <c r="AC140">
        <v>0</v>
      </c>
      <c r="AD140">
        <v>0</v>
      </c>
      <c r="AF140">
        <v>0</v>
      </c>
      <c r="AG140">
        <v>0</v>
      </c>
      <c r="AH140">
        <v>0</v>
      </c>
      <c r="AI140">
        <v>0</v>
      </c>
      <c r="AJ140">
        <v>0</v>
      </c>
      <c r="AK140">
        <v>0</v>
      </c>
      <c r="AL140">
        <v>0</v>
      </c>
      <c r="AM140">
        <v>0</v>
      </c>
      <c r="AN140">
        <v>0</v>
      </c>
      <c r="AO140">
        <v>0</v>
      </c>
      <c r="AP140">
        <v>0</v>
      </c>
      <c r="AQ140">
        <v>0</v>
      </c>
      <c r="AR140">
        <v>0</v>
      </c>
      <c r="AS140">
        <v>0</v>
      </c>
      <c r="AT140">
        <v>0</v>
      </c>
      <c r="AU140">
        <v>0</v>
      </c>
      <c r="AV140">
        <v>0</v>
      </c>
      <c r="AW140">
        <v>0</v>
      </c>
      <c r="AX140">
        <v>0</v>
      </c>
      <c r="AY140">
        <v>0</v>
      </c>
      <c r="AZ140">
        <v>0</v>
      </c>
      <c r="BA140">
        <v>0</v>
      </c>
      <c r="BB140">
        <v>0</v>
      </c>
      <c r="BC140">
        <v>0</v>
      </c>
      <c r="BD140">
        <v>0</v>
      </c>
      <c r="BE140">
        <v>0</v>
      </c>
      <c r="BF140">
        <v>0</v>
      </c>
      <c r="BG140">
        <v>0</v>
      </c>
      <c r="BH140">
        <v>0</v>
      </c>
      <c r="BI140">
        <v>0</v>
      </c>
      <c r="BK140" s="151"/>
    </row>
    <row r="141" spans="1:63" x14ac:dyDescent="0.35">
      <c r="A141">
        <v>0</v>
      </c>
      <c r="B141">
        <v>0</v>
      </c>
      <c r="C141">
        <v>0</v>
      </c>
      <c r="D141">
        <v>0</v>
      </c>
      <c r="E141">
        <v>0</v>
      </c>
      <c r="F141">
        <v>0</v>
      </c>
      <c r="G141">
        <v>0</v>
      </c>
      <c r="H141">
        <v>0</v>
      </c>
      <c r="I141">
        <v>0</v>
      </c>
      <c r="J141">
        <v>0</v>
      </c>
      <c r="K141">
        <v>0</v>
      </c>
      <c r="L141">
        <v>0</v>
      </c>
      <c r="M141">
        <v>0</v>
      </c>
      <c r="N141">
        <v>0</v>
      </c>
      <c r="O141">
        <v>0</v>
      </c>
      <c r="P141">
        <v>0</v>
      </c>
      <c r="Q141">
        <v>0</v>
      </c>
      <c r="R141">
        <v>0</v>
      </c>
      <c r="S141">
        <v>0</v>
      </c>
      <c r="T141">
        <v>0</v>
      </c>
      <c r="U141">
        <v>0</v>
      </c>
      <c r="V141">
        <v>0</v>
      </c>
      <c r="W141">
        <v>0</v>
      </c>
      <c r="X141">
        <v>0</v>
      </c>
      <c r="Y141">
        <v>0</v>
      </c>
      <c r="Z141">
        <v>0</v>
      </c>
      <c r="AA141">
        <v>0</v>
      </c>
      <c r="AB141">
        <v>0</v>
      </c>
      <c r="AC141">
        <v>0</v>
      </c>
      <c r="AD141">
        <v>0</v>
      </c>
      <c r="AF141">
        <v>0</v>
      </c>
      <c r="AG141">
        <v>0</v>
      </c>
      <c r="AH141">
        <v>0</v>
      </c>
      <c r="AI141">
        <v>0</v>
      </c>
      <c r="AJ141">
        <v>0</v>
      </c>
      <c r="AK141">
        <v>0</v>
      </c>
      <c r="AL141">
        <v>0</v>
      </c>
      <c r="AM141">
        <v>0</v>
      </c>
      <c r="AN141">
        <v>0</v>
      </c>
      <c r="AO141">
        <v>0</v>
      </c>
      <c r="AP141">
        <v>0</v>
      </c>
      <c r="AQ141">
        <v>0</v>
      </c>
      <c r="AR141">
        <v>0</v>
      </c>
      <c r="AS141">
        <v>0</v>
      </c>
      <c r="AT141">
        <v>0</v>
      </c>
      <c r="AU141">
        <v>0</v>
      </c>
      <c r="AV141">
        <v>0</v>
      </c>
      <c r="AW141">
        <v>0</v>
      </c>
      <c r="AX141">
        <v>0</v>
      </c>
      <c r="AY141">
        <v>0</v>
      </c>
      <c r="AZ141">
        <v>0</v>
      </c>
      <c r="BA141">
        <v>0</v>
      </c>
      <c r="BB141">
        <v>0</v>
      </c>
      <c r="BC141">
        <v>0</v>
      </c>
      <c r="BD141">
        <v>0</v>
      </c>
      <c r="BE141">
        <v>0</v>
      </c>
      <c r="BF141">
        <v>0</v>
      </c>
      <c r="BG141">
        <v>0</v>
      </c>
      <c r="BH141">
        <v>0</v>
      </c>
      <c r="BI141">
        <v>0</v>
      </c>
      <c r="BK141" s="151"/>
    </row>
    <row r="142" spans="1:63" x14ac:dyDescent="0.35">
      <c r="A142">
        <v>0</v>
      </c>
      <c r="B142">
        <v>0</v>
      </c>
      <c r="C142">
        <v>0</v>
      </c>
      <c r="D142">
        <v>0</v>
      </c>
      <c r="E142">
        <v>0</v>
      </c>
      <c r="F142">
        <v>0</v>
      </c>
      <c r="G142">
        <v>0</v>
      </c>
      <c r="H142">
        <v>0</v>
      </c>
      <c r="I142">
        <v>0</v>
      </c>
      <c r="J142">
        <v>0</v>
      </c>
      <c r="K142">
        <v>0</v>
      </c>
      <c r="L142">
        <v>0</v>
      </c>
      <c r="M142">
        <v>0</v>
      </c>
      <c r="N142">
        <v>0</v>
      </c>
      <c r="O142">
        <v>0</v>
      </c>
      <c r="P142">
        <v>0</v>
      </c>
      <c r="Q142">
        <v>0</v>
      </c>
      <c r="R142">
        <v>0</v>
      </c>
      <c r="S142">
        <v>0</v>
      </c>
      <c r="T142">
        <v>0</v>
      </c>
      <c r="U142">
        <v>0</v>
      </c>
      <c r="V142">
        <v>0</v>
      </c>
      <c r="W142">
        <v>0</v>
      </c>
      <c r="X142">
        <v>0</v>
      </c>
      <c r="Y142">
        <v>0</v>
      </c>
      <c r="Z142">
        <v>0</v>
      </c>
      <c r="AA142">
        <v>0</v>
      </c>
      <c r="AB142">
        <v>0</v>
      </c>
      <c r="AC142">
        <v>0</v>
      </c>
      <c r="AD142">
        <v>0</v>
      </c>
      <c r="AF142">
        <v>0</v>
      </c>
      <c r="AG142">
        <v>0</v>
      </c>
      <c r="AH142">
        <v>0</v>
      </c>
      <c r="AI142">
        <v>0</v>
      </c>
      <c r="AJ142">
        <v>0</v>
      </c>
      <c r="AK142">
        <v>0</v>
      </c>
      <c r="AL142">
        <v>0</v>
      </c>
      <c r="AM142">
        <v>0</v>
      </c>
      <c r="AN142">
        <v>0</v>
      </c>
      <c r="AO142">
        <v>0</v>
      </c>
      <c r="AP142">
        <v>0</v>
      </c>
      <c r="AQ142">
        <v>0</v>
      </c>
      <c r="AR142">
        <v>0</v>
      </c>
      <c r="AS142">
        <v>0</v>
      </c>
      <c r="AT142">
        <v>0</v>
      </c>
      <c r="AU142">
        <v>0</v>
      </c>
      <c r="AV142">
        <v>0</v>
      </c>
      <c r="AW142">
        <v>0</v>
      </c>
      <c r="AX142">
        <v>0</v>
      </c>
      <c r="AY142">
        <v>0</v>
      </c>
      <c r="AZ142">
        <v>0</v>
      </c>
      <c r="BA142">
        <v>0</v>
      </c>
      <c r="BB142">
        <v>0</v>
      </c>
      <c r="BC142">
        <v>0</v>
      </c>
      <c r="BD142">
        <v>0</v>
      </c>
      <c r="BE142">
        <v>0</v>
      </c>
      <c r="BF142">
        <v>0</v>
      </c>
      <c r="BG142">
        <v>0</v>
      </c>
      <c r="BH142">
        <v>0</v>
      </c>
      <c r="BI142">
        <v>0</v>
      </c>
      <c r="BK142" s="151"/>
    </row>
    <row r="143" spans="1:63" x14ac:dyDescent="0.35">
      <c r="A143">
        <v>0</v>
      </c>
      <c r="B143">
        <v>0</v>
      </c>
      <c r="C143">
        <v>0</v>
      </c>
      <c r="D143">
        <v>0</v>
      </c>
      <c r="E143">
        <v>0</v>
      </c>
      <c r="F143">
        <v>0</v>
      </c>
      <c r="G143">
        <v>0</v>
      </c>
      <c r="H143">
        <v>0</v>
      </c>
      <c r="I143">
        <v>0</v>
      </c>
      <c r="J143">
        <v>0</v>
      </c>
      <c r="K143">
        <v>0</v>
      </c>
      <c r="L143">
        <v>0</v>
      </c>
      <c r="M143">
        <v>0</v>
      </c>
      <c r="N143">
        <v>0</v>
      </c>
      <c r="O143">
        <v>0</v>
      </c>
      <c r="P143">
        <v>0</v>
      </c>
      <c r="Q143">
        <v>0</v>
      </c>
      <c r="R143">
        <v>0</v>
      </c>
      <c r="S143">
        <v>0</v>
      </c>
      <c r="T143">
        <v>0</v>
      </c>
      <c r="U143">
        <v>0</v>
      </c>
      <c r="V143">
        <v>0</v>
      </c>
      <c r="W143">
        <v>0</v>
      </c>
      <c r="X143">
        <v>0</v>
      </c>
      <c r="Y143">
        <v>0</v>
      </c>
      <c r="Z143">
        <v>0</v>
      </c>
      <c r="AA143">
        <v>0</v>
      </c>
      <c r="AB143">
        <v>0</v>
      </c>
      <c r="AC143">
        <v>0</v>
      </c>
      <c r="AD143">
        <v>0</v>
      </c>
      <c r="AF143">
        <v>0</v>
      </c>
      <c r="AG143">
        <v>0</v>
      </c>
      <c r="AH143">
        <v>0</v>
      </c>
      <c r="AI143">
        <v>0</v>
      </c>
      <c r="AJ143">
        <v>0</v>
      </c>
      <c r="AK143">
        <v>0</v>
      </c>
      <c r="AL143">
        <v>0</v>
      </c>
      <c r="AM143">
        <v>0</v>
      </c>
      <c r="AN143">
        <v>0</v>
      </c>
      <c r="AO143">
        <v>0</v>
      </c>
      <c r="AP143">
        <v>0</v>
      </c>
      <c r="AQ143">
        <v>0</v>
      </c>
      <c r="AR143">
        <v>0</v>
      </c>
      <c r="AS143">
        <v>0</v>
      </c>
      <c r="AT143">
        <v>0</v>
      </c>
      <c r="AU143">
        <v>0</v>
      </c>
      <c r="AV143">
        <v>0</v>
      </c>
      <c r="AW143">
        <v>0</v>
      </c>
      <c r="AX143">
        <v>0</v>
      </c>
      <c r="AY143">
        <v>0</v>
      </c>
      <c r="AZ143">
        <v>0</v>
      </c>
      <c r="BA143">
        <v>0</v>
      </c>
      <c r="BB143">
        <v>0</v>
      </c>
      <c r="BC143">
        <v>0</v>
      </c>
      <c r="BD143">
        <v>0</v>
      </c>
      <c r="BE143">
        <v>0</v>
      </c>
      <c r="BF143">
        <v>0</v>
      </c>
      <c r="BG143">
        <v>0</v>
      </c>
      <c r="BH143">
        <v>0</v>
      </c>
      <c r="BI143">
        <v>0</v>
      </c>
      <c r="BK143" s="151"/>
    </row>
    <row r="144" spans="1:63" x14ac:dyDescent="0.35">
      <c r="A144">
        <v>0</v>
      </c>
      <c r="B144">
        <v>0</v>
      </c>
      <c r="C144">
        <v>0</v>
      </c>
      <c r="D144">
        <v>0</v>
      </c>
      <c r="E144">
        <v>0</v>
      </c>
      <c r="F144">
        <v>0</v>
      </c>
      <c r="G144">
        <v>0</v>
      </c>
      <c r="H144">
        <v>0</v>
      </c>
      <c r="I144">
        <v>0</v>
      </c>
      <c r="J144">
        <v>0</v>
      </c>
      <c r="K144">
        <v>0</v>
      </c>
      <c r="L144">
        <v>0</v>
      </c>
      <c r="M144">
        <v>0</v>
      </c>
      <c r="N144">
        <v>0</v>
      </c>
      <c r="O144">
        <v>0</v>
      </c>
      <c r="P144">
        <v>0</v>
      </c>
      <c r="Q144">
        <v>0</v>
      </c>
      <c r="R144">
        <v>0</v>
      </c>
      <c r="S144">
        <v>0</v>
      </c>
      <c r="T144">
        <v>0</v>
      </c>
      <c r="U144">
        <v>0</v>
      </c>
      <c r="V144">
        <v>0</v>
      </c>
      <c r="W144">
        <v>0</v>
      </c>
      <c r="X144">
        <v>0</v>
      </c>
      <c r="Y144">
        <v>0</v>
      </c>
      <c r="Z144">
        <v>0</v>
      </c>
      <c r="AA144">
        <v>0</v>
      </c>
      <c r="AB144">
        <v>0</v>
      </c>
      <c r="AC144">
        <v>0</v>
      </c>
      <c r="AD144">
        <v>0</v>
      </c>
      <c r="AF144">
        <v>0</v>
      </c>
      <c r="AG144">
        <v>0</v>
      </c>
      <c r="AH144">
        <v>0</v>
      </c>
      <c r="AI144">
        <v>0</v>
      </c>
      <c r="AJ144">
        <v>0</v>
      </c>
      <c r="AK144">
        <v>0</v>
      </c>
      <c r="AL144">
        <v>0</v>
      </c>
      <c r="AM144">
        <v>0</v>
      </c>
      <c r="AN144">
        <v>0</v>
      </c>
      <c r="AO144">
        <v>0</v>
      </c>
      <c r="AP144">
        <v>0</v>
      </c>
      <c r="AQ144">
        <v>0</v>
      </c>
      <c r="AR144">
        <v>0</v>
      </c>
      <c r="AS144">
        <v>0</v>
      </c>
      <c r="AT144">
        <v>0</v>
      </c>
      <c r="AU144">
        <v>0</v>
      </c>
      <c r="AV144">
        <v>0</v>
      </c>
      <c r="AW144">
        <v>0</v>
      </c>
      <c r="AX144">
        <v>0</v>
      </c>
      <c r="AY144">
        <v>0</v>
      </c>
      <c r="AZ144">
        <v>0</v>
      </c>
      <c r="BA144">
        <v>0</v>
      </c>
      <c r="BB144">
        <v>0</v>
      </c>
      <c r="BC144">
        <v>0</v>
      </c>
      <c r="BD144">
        <v>0</v>
      </c>
      <c r="BE144">
        <v>0</v>
      </c>
      <c r="BF144">
        <v>0</v>
      </c>
      <c r="BG144">
        <v>0</v>
      </c>
      <c r="BH144">
        <v>0</v>
      </c>
      <c r="BI144">
        <v>0</v>
      </c>
      <c r="BK144" s="151"/>
    </row>
    <row r="145" spans="1:63" x14ac:dyDescent="0.35">
      <c r="A145">
        <v>0</v>
      </c>
      <c r="B145">
        <v>0</v>
      </c>
      <c r="C145">
        <v>0</v>
      </c>
      <c r="D145">
        <v>0</v>
      </c>
      <c r="E145">
        <v>0</v>
      </c>
      <c r="F145">
        <v>0</v>
      </c>
      <c r="G145">
        <v>0</v>
      </c>
      <c r="H145">
        <v>0</v>
      </c>
      <c r="I145">
        <v>0</v>
      </c>
      <c r="J145">
        <v>0</v>
      </c>
      <c r="K145">
        <v>0</v>
      </c>
      <c r="L145">
        <v>0</v>
      </c>
      <c r="M145">
        <v>0</v>
      </c>
      <c r="N145">
        <v>0</v>
      </c>
      <c r="O145">
        <v>0</v>
      </c>
      <c r="P145">
        <v>0</v>
      </c>
      <c r="Q145">
        <v>0</v>
      </c>
      <c r="R145">
        <v>0</v>
      </c>
      <c r="S145">
        <v>0</v>
      </c>
      <c r="T145">
        <v>0</v>
      </c>
      <c r="U145">
        <v>0</v>
      </c>
      <c r="V145">
        <v>0</v>
      </c>
      <c r="W145">
        <v>0</v>
      </c>
      <c r="X145">
        <v>0</v>
      </c>
      <c r="Y145">
        <v>0</v>
      </c>
      <c r="Z145">
        <v>0</v>
      </c>
      <c r="AA145">
        <v>0</v>
      </c>
      <c r="AB145">
        <v>0</v>
      </c>
      <c r="AC145">
        <v>0</v>
      </c>
      <c r="AD145">
        <v>0</v>
      </c>
      <c r="AF145">
        <v>0</v>
      </c>
      <c r="AG145">
        <v>0</v>
      </c>
      <c r="AH145">
        <v>0</v>
      </c>
      <c r="AI145">
        <v>0</v>
      </c>
      <c r="AJ145">
        <v>0</v>
      </c>
      <c r="AK145">
        <v>0</v>
      </c>
      <c r="AL145">
        <v>0</v>
      </c>
      <c r="AM145">
        <v>0</v>
      </c>
      <c r="AN145">
        <v>0</v>
      </c>
      <c r="AO145">
        <v>0</v>
      </c>
      <c r="AP145">
        <v>0</v>
      </c>
      <c r="AQ145">
        <v>0</v>
      </c>
      <c r="AR145">
        <v>0</v>
      </c>
      <c r="AS145">
        <v>0</v>
      </c>
      <c r="AT145">
        <v>0</v>
      </c>
      <c r="AU145">
        <v>0</v>
      </c>
      <c r="AV145">
        <v>0</v>
      </c>
      <c r="AW145">
        <v>0</v>
      </c>
      <c r="AX145">
        <v>0</v>
      </c>
      <c r="AY145">
        <v>0</v>
      </c>
      <c r="AZ145">
        <v>0</v>
      </c>
      <c r="BA145">
        <v>0</v>
      </c>
      <c r="BB145">
        <v>0</v>
      </c>
      <c r="BC145">
        <v>0</v>
      </c>
      <c r="BD145">
        <v>0</v>
      </c>
      <c r="BE145">
        <v>0</v>
      </c>
      <c r="BF145">
        <v>0</v>
      </c>
      <c r="BG145">
        <v>0</v>
      </c>
      <c r="BH145">
        <v>0</v>
      </c>
      <c r="BI145">
        <v>0</v>
      </c>
      <c r="BK145" s="151"/>
    </row>
    <row r="146" spans="1:63" x14ac:dyDescent="0.35">
      <c r="A146">
        <v>0</v>
      </c>
      <c r="B146">
        <v>0</v>
      </c>
      <c r="C146">
        <v>0</v>
      </c>
      <c r="D146">
        <v>0</v>
      </c>
      <c r="E146">
        <v>0</v>
      </c>
      <c r="F146">
        <v>0</v>
      </c>
      <c r="G146">
        <v>0</v>
      </c>
      <c r="H146">
        <v>0</v>
      </c>
      <c r="I146">
        <v>0</v>
      </c>
      <c r="J146">
        <v>0</v>
      </c>
      <c r="K146">
        <v>0</v>
      </c>
      <c r="L146">
        <v>0</v>
      </c>
      <c r="M146">
        <v>0</v>
      </c>
      <c r="N146">
        <v>0</v>
      </c>
      <c r="O146">
        <v>0</v>
      </c>
      <c r="P146">
        <v>0</v>
      </c>
      <c r="Q146">
        <v>0</v>
      </c>
      <c r="R146">
        <v>0</v>
      </c>
      <c r="S146">
        <v>0</v>
      </c>
      <c r="T146">
        <v>0</v>
      </c>
      <c r="U146">
        <v>0</v>
      </c>
      <c r="V146">
        <v>0</v>
      </c>
      <c r="W146">
        <v>0</v>
      </c>
      <c r="X146">
        <v>0</v>
      </c>
      <c r="Y146">
        <v>0</v>
      </c>
      <c r="Z146">
        <v>0</v>
      </c>
      <c r="AA146">
        <v>0</v>
      </c>
      <c r="AB146">
        <v>0</v>
      </c>
      <c r="AC146">
        <v>0</v>
      </c>
      <c r="AD146">
        <v>0</v>
      </c>
      <c r="AF146">
        <v>0</v>
      </c>
      <c r="AG146">
        <v>0</v>
      </c>
      <c r="AH146">
        <v>0</v>
      </c>
      <c r="AI146">
        <v>0</v>
      </c>
      <c r="AJ146">
        <v>0</v>
      </c>
      <c r="AK146">
        <v>0</v>
      </c>
      <c r="AL146">
        <v>0</v>
      </c>
      <c r="AM146">
        <v>0</v>
      </c>
      <c r="AN146">
        <v>0</v>
      </c>
      <c r="AO146">
        <v>0</v>
      </c>
      <c r="AP146">
        <v>0</v>
      </c>
      <c r="AQ146">
        <v>0</v>
      </c>
      <c r="AR146">
        <v>0</v>
      </c>
      <c r="AS146">
        <v>0</v>
      </c>
      <c r="AT146">
        <v>0</v>
      </c>
      <c r="AU146">
        <v>0</v>
      </c>
      <c r="AV146">
        <v>0</v>
      </c>
      <c r="AW146">
        <v>0</v>
      </c>
      <c r="AX146">
        <v>0</v>
      </c>
      <c r="AY146">
        <v>0</v>
      </c>
      <c r="AZ146">
        <v>0</v>
      </c>
      <c r="BA146">
        <v>0</v>
      </c>
      <c r="BB146">
        <v>0</v>
      </c>
      <c r="BC146">
        <v>0</v>
      </c>
      <c r="BD146">
        <v>0</v>
      </c>
      <c r="BE146">
        <v>0</v>
      </c>
      <c r="BF146">
        <v>0</v>
      </c>
      <c r="BG146">
        <v>0</v>
      </c>
      <c r="BH146">
        <v>0</v>
      </c>
      <c r="BI146">
        <v>0</v>
      </c>
      <c r="BK146" s="151"/>
    </row>
    <row r="147" spans="1:63" x14ac:dyDescent="0.35">
      <c r="A147">
        <v>0</v>
      </c>
      <c r="B147">
        <v>0</v>
      </c>
      <c r="C147">
        <v>0</v>
      </c>
      <c r="D147">
        <v>0</v>
      </c>
      <c r="E147">
        <v>0</v>
      </c>
      <c r="F147">
        <v>0</v>
      </c>
      <c r="G147">
        <v>0</v>
      </c>
      <c r="H147">
        <v>0</v>
      </c>
      <c r="I147">
        <v>0</v>
      </c>
      <c r="J147">
        <v>0</v>
      </c>
      <c r="K147">
        <v>0</v>
      </c>
      <c r="L147">
        <v>0</v>
      </c>
      <c r="M147">
        <v>0</v>
      </c>
      <c r="N147">
        <v>0</v>
      </c>
      <c r="O147">
        <v>0</v>
      </c>
      <c r="P147">
        <v>0</v>
      </c>
      <c r="Q147">
        <v>0</v>
      </c>
      <c r="R147">
        <v>0</v>
      </c>
      <c r="S147">
        <v>0</v>
      </c>
      <c r="T147">
        <v>0</v>
      </c>
      <c r="U147">
        <v>0</v>
      </c>
      <c r="V147">
        <v>0</v>
      </c>
      <c r="W147">
        <v>0</v>
      </c>
      <c r="X147">
        <v>0</v>
      </c>
      <c r="Y147">
        <v>0</v>
      </c>
      <c r="Z147">
        <v>0</v>
      </c>
      <c r="AA147">
        <v>0</v>
      </c>
      <c r="AB147">
        <v>0</v>
      </c>
      <c r="AC147">
        <v>0</v>
      </c>
      <c r="AD147">
        <v>0</v>
      </c>
      <c r="AF147">
        <v>0</v>
      </c>
      <c r="AG147">
        <v>0</v>
      </c>
      <c r="AH147">
        <v>0</v>
      </c>
      <c r="AI147">
        <v>0</v>
      </c>
      <c r="AJ147">
        <v>0</v>
      </c>
      <c r="AK147">
        <v>0</v>
      </c>
      <c r="AL147">
        <v>0</v>
      </c>
      <c r="AM147">
        <v>0</v>
      </c>
      <c r="AN147">
        <v>0</v>
      </c>
      <c r="AO147">
        <v>0</v>
      </c>
      <c r="AP147">
        <v>0</v>
      </c>
      <c r="AQ147">
        <v>0</v>
      </c>
      <c r="AR147">
        <v>0</v>
      </c>
      <c r="AS147">
        <v>0</v>
      </c>
      <c r="AT147">
        <v>0</v>
      </c>
      <c r="AU147">
        <v>0</v>
      </c>
      <c r="AV147">
        <v>0</v>
      </c>
      <c r="AW147">
        <v>0</v>
      </c>
      <c r="AX147">
        <v>0</v>
      </c>
      <c r="AY147">
        <v>0</v>
      </c>
      <c r="AZ147">
        <v>0</v>
      </c>
      <c r="BA147">
        <v>0</v>
      </c>
      <c r="BB147">
        <v>0</v>
      </c>
      <c r="BC147">
        <v>0</v>
      </c>
      <c r="BD147">
        <v>0</v>
      </c>
      <c r="BE147">
        <v>0</v>
      </c>
      <c r="BF147">
        <v>0</v>
      </c>
      <c r="BG147">
        <v>0</v>
      </c>
      <c r="BH147">
        <v>0</v>
      </c>
      <c r="BI147">
        <v>0</v>
      </c>
      <c r="BK147" s="151"/>
    </row>
    <row r="148" spans="1:63" x14ac:dyDescent="0.35">
      <c r="A148">
        <v>0</v>
      </c>
      <c r="B148">
        <v>0</v>
      </c>
      <c r="C148">
        <v>0</v>
      </c>
      <c r="D148">
        <v>0</v>
      </c>
      <c r="E148">
        <v>0</v>
      </c>
      <c r="F148">
        <v>0</v>
      </c>
      <c r="G148">
        <v>0</v>
      </c>
      <c r="H148">
        <v>0</v>
      </c>
      <c r="I148">
        <v>0</v>
      </c>
      <c r="J148">
        <v>0</v>
      </c>
      <c r="K148">
        <v>0</v>
      </c>
      <c r="L148">
        <v>0</v>
      </c>
      <c r="M148">
        <v>0</v>
      </c>
      <c r="N148">
        <v>0</v>
      </c>
      <c r="O148">
        <v>0</v>
      </c>
      <c r="P148">
        <v>0</v>
      </c>
      <c r="Q148">
        <v>0</v>
      </c>
      <c r="R148">
        <v>0</v>
      </c>
      <c r="S148">
        <v>0</v>
      </c>
      <c r="T148">
        <v>0</v>
      </c>
      <c r="U148">
        <v>0</v>
      </c>
      <c r="V148">
        <v>0</v>
      </c>
      <c r="W148">
        <v>0</v>
      </c>
      <c r="X148">
        <v>0</v>
      </c>
      <c r="Y148">
        <v>0</v>
      </c>
      <c r="Z148">
        <v>0</v>
      </c>
      <c r="AA148">
        <v>0</v>
      </c>
      <c r="AB148">
        <v>0</v>
      </c>
      <c r="AC148">
        <v>0</v>
      </c>
      <c r="AD148">
        <v>0</v>
      </c>
      <c r="AF148">
        <v>0</v>
      </c>
      <c r="AG148">
        <v>0</v>
      </c>
      <c r="AH148">
        <v>0</v>
      </c>
      <c r="AI148">
        <v>0</v>
      </c>
      <c r="AJ148">
        <v>0</v>
      </c>
      <c r="AK148">
        <v>0</v>
      </c>
      <c r="AL148">
        <v>0</v>
      </c>
      <c r="AM148">
        <v>0</v>
      </c>
      <c r="AN148">
        <v>0</v>
      </c>
      <c r="AO148">
        <v>0</v>
      </c>
      <c r="AP148">
        <v>0</v>
      </c>
      <c r="AQ148">
        <v>0</v>
      </c>
      <c r="AR148">
        <v>0</v>
      </c>
      <c r="AS148">
        <v>0</v>
      </c>
      <c r="AT148">
        <v>0</v>
      </c>
      <c r="AU148">
        <v>0</v>
      </c>
      <c r="AV148">
        <v>0</v>
      </c>
      <c r="AW148">
        <v>0</v>
      </c>
      <c r="AX148">
        <v>0</v>
      </c>
      <c r="AY148">
        <v>0</v>
      </c>
      <c r="AZ148">
        <v>0</v>
      </c>
      <c r="BA148">
        <v>0</v>
      </c>
      <c r="BB148">
        <v>0</v>
      </c>
      <c r="BC148">
        <v>0</v>
      </c>
      <c r="BD148">
        <v>0</v>
      </c>
      <c r="BE148">
        <v>0</v>
      </c>
      <c r="BF148">
        <v>0</v>
      </c>
      <c r="BG148">
        <v>0</v>
      </c>
      <c r="BH148">
        <v>0</v>
      </c>
      <c r="BI148">
        <v>0</v>
      </c>
      <c r="BK148" s="151"/>
    </row>
    <row r="149" spans="1:63" x14ac:dyDescent="0.35">
      <c r="A149">
        <v>0</v>
      </c>
      <c r="B149">
        <v>0</v>
      </c>
      <c r="C149">
        <v>0</v>
      </c>
      <c r="D149">
        <v>0</v>
      </c>
      <c r="E149">
        <v>0</v>
      </c>
      <c r="F149">
        <v>0</v>
      </c>
      <c r="G149">
        <v>0</v>
      </c>
      <c r="H149">
        <v>0</v>
      </c>
      <c r="I149">
        <v>0</v>
      </c>
      <c r="J149">
        <v>0</v>
      </c>
      <c r="K149">
        <v>0</v>
      </c>
      <c r="L149">
        <v>0</v>
      </c>
      <c r="M149">
        <v>0</v>
      </c>
      <c r="N149">
        <v>0</v>
      </c>
      <c r="O149">
        <v>0</v>
      </c>
      <c r="P149">
        <v>0</v>
      </c>
      <c r="Q149">
        <v>0</v>
      </c>
      <c r="R149">
        <v>0</v>
      </c>
      <c r="S149">
        <v>0</v>
      </c>
      <c r="T149">
        <v>0</v>
      </c>
      <c r="U149">
        <v>0</v>
      </c>
      <c r="V149">
        <v>0</v>
      </c>
      <c r="W149">
        <v>0</v>
      </c>
      <c r="X149">
        <v>0</v>
      </c>
      <c r="Y149">
        <v>0</v>
      </c>
      <c r="Z149">
        <v>0</v>
      </c>
      <c r="AA149">
        <v>0</v>
      </c>
      <c r="AB149">
        <v>0</v>
      </c>
      <c r="AC149">
        <v>0</v>
      </c>
      <c r="AD149">
        <v>0</v>
      </c>
      <c r="AF149">
        <v>0</v>
      </c>
      <c r="AG149">
        <v>0</v>
      </c>
      <c r="AH149">
        <v>0</v>
      </c>
      <c r="AI149">
        <v>0</v>
      </c>
      <c r="AJ149">
        <v>0</v>
      </c>
      <c r="AK149">
        <v>0</v>
      </c>
      <c r="AL149">
        <v>0</v>
      </c>
      <c r="AM149">
        <v>0</v>
      </c>
      <c r="AN149">
        <v>0</v>
      </c>
      <c r="AO149">
        <v>0</v>
      </c>
      <c r="AP149">
        <v>0</v>
      </c>
      <c r="AQ149">
        <v>0</v>
      </c>
      <c r="AR149">
        <v>0</v>
      </c>
      <c r="AS149">
        <v>0</v>
      </c>
      <c r="AT149">
        <v>0</v>
      </c>
      <c r="AU149">
        <v>0</v>
      </c>
      <c r="AV149">
        <v>0</v>
      </c>
      <c r="AW149">
        <v>0</v>
      </c>
      <c r="AX149">
        <v>0</v>
      </c>
      <c r="AY149">
        <v>0</v>
      </c>
      <c r="AZ149">
        <v>0</v>
      </c>
      <c r="BA149">
        <v>0</v>
      </c>
      <c r="BB149">
        <v>0</v>
      </c>
      <c r="BC149">
        <v>0</v>
      </c>
      <c r="BD149">
        <v>0</v>
      </c>
      <c r="BE149">
        <v>0</v>
      </c>
      <c r="BF149">
        <v>0</v>
      </c>
      <c r="BG149">
        <v>0</v>
      </c>
      <c r="BH149">
        <v>0</v>
      </c>
      <c r="BI149">
        <v>0</v>
      </c>
      <c r="BK149" s="151"/>
    </row>
    <row r="150" spans="1:63" x14ac:dyDescent="0.35">
      <c r="A150">
        <v>0</v>
      </c>
      <c r="B150">
        <v>0</v>
      </c>
      <c r="C150">
        <v>0</v>
      </c>
      <c r="D150">
        <v>0</v>
      </c>
      <c r="E150">
        <v>0</v>
      </c>
      <c r="F150">
        <v>0</v>
      </c>
      <c r="G150">
        <v>0</v>
      </c>
      <c r="H150">
        <v>0</v>
      </c>
      <c r="I150">
        <v>0</v>
      </c>
      <c r="J150">
        <v>0</v>
      </c>
      <c r="K150">
        <v>0</v>
      </c>
      <c r="L150">
        <v>0</v>
      </c>
      <c r="M150">
        <v>0</v>
      </c>
      <c r="N150">
        <v>0</v>
      </c>
      <c r="O150">
        <v>0</v>
      </c>
      <c r="P150">
        <v>0</v>
      </c>
      <c r="Q150">
        <v>0</v>
      </c>
      <c r="R150">
        <v>0</v>
      </c>
      <c r="S150">
        <v>0</v>
      </c>
      <c r="T150">
        <v>0</v>
      </c>
      <c r="U150">
        <v>0</v>
      </c>
      <c r="V150">
        <v>0</v>
      </c>
      <c r="W150">
        <v>0</v>
      </c>
      <c r="X150">
        <v>0</v>
      </c>
      <c r="Y150">
        <v>0</v>
      </c>
      <c r="Z150">
        <v>0</v>
      </c>
      <c r="AA150">
        <v>0</v>
      </c>
      <c r="AB150">
        <v>0</v>
      </c>
      <c r="AC150">
        <v>0</v>
      </c>
      <c r="AD150">
        <v>0</v>
      </c>
      <c r="AF150">
        <v>0</v>
      </c>
      <c r="AG150">
        <v>0</v>
      </c>
      <c r="AH150">
        <v>0</v>
      </c>
      <c r="AI150">
        <v>0</v>
      </c>
      <c r="AJ150">
        <v>0</v>
      </c>
      <c r="AK150">
        <v>0</v>
      </c>
      <c r="AL150">
        <v>0</v>
      </c>
      <c r="AM150">
        <v>0</v>
      </c>
      <c r="AN150">
        <v>0</v>
      </c>
      <c r="AO150">
        <v>0</v>
      </c>
      <c r="AP150">
        <v>0</v>
      </c>
      <c r="AQ150">
        <v>0</v>
      </c>
      <c r="AR150">
        <v>0</v>
      </c>
      <c r="AS150">
        <v>0</v>
      </c>
      <c r="AT150">
        <v>0</v>
      </c>
      <c r="AU150">
        <v>0</v>
      </c>
      <c r="AV150">
        <v>0</v>
      </c>
      <c r="AW150">
        <v>0</v>
      </c>
      <c r="AX150">
        <v>0</v>
      </c>
      <c r="AY150">
        <v>0</v>
      </c>
      <c r="AZ150">
        <v>0</v>
      </c>
      <c r="BA150">
        <v>0</v>
      </c>
      <c r="BB150">
        <v>0</v>
      </c>
      <c r="BC150">
        <v>0</v>
      </c>
      <c r="BD150">
        <v>0</v>
      </c>
      <c r="BE150">
        <v>0</v>
      </c>
      <c r="BF150">
        <v>0</v>
      </c>
      <c r="BG150">
        <v>0</v>
      </c>
      <c r="BH150">
        <v>0</v>
      </c>
      <c r="BI150">
        <v>0</v>
      </c>
      <c r="BK150" s="151"/>
    </row>
    <row r="151" spans="1:63" x14ac:dyDescent="0.35">
      <c r="A151">
        <v>0</v>
      </c>
      <c r="B151">
        <v>0</v>
      </c>
      <c r="C151">
        <v>0</v>
      </c>
      <c r="D151">
        <v>0</v>
      </c>
      <c r="E151">
        <v>0</v>
      </c>
      <c r="F151">
        <v>0</v>
      </c>
      <c r="G151">
        <v>0</v>
      </c>
      <c r="H151">
        <v>0</v>
      </c>
      <c r="I151">
        <v>0</v>
      </c>
      <c r="J151">
        <v>0</v>
      </c>
      <c r="K151">
        <v>0</v>
      </c>
      <c r="L151">
        <v>0</v>
      </c>
      <c r="M151">
        <v>0</v>
      </c>
      <c r="N151">
        <v>0</v>
      </c>
      <c r="O151">
        <v>0</v>
      </c>
      <c r="P151">
        <v>0</v>
      </c>
      <c r="Q151">
        <v>0</v>
      </c>
      <c r="R151">
        <v>0</v>
      </c>
      <c r="S151">
        <v>0</v>
      </c>
      <c r="T151">
        <v>0</v>
      </c>
      <c r="U151">
        <v>0</v>
      </c>
      <c r="V151">
        <v>0</v>
      </c>
      <c r="W151">
        <v>0</v>
      </c>
      <c r="X151">
        <v>0</v>
      </c>
      <c r="Y151">
        <v>0</v>
      </c>
      <c r="Z151">
        <v>0</v>
      </c>
      <c r="AA151">
        <v>0</v>
      </c>
      <c r="AB151">
        <v>0</v>
      </c>
      <c r="AC151">
        <v>0</v>
      </c>
      <c r="AD151">
        <v>0</v>
      </c>
      <c r="AF151">
        <v>0</v>
      </c>
      <c r="AG151">
        <v>0</v>
      </c>
      <c r="AH151">
        <v>0</v>
      </c>
      <c r="AI151">
        <v>0</v>
      </c>
      <c r="AJ151">
        <v>0</v>
      </c>
      <c r="AK151">
        <v>0</v>
      </c>
      <c r="AL151">
        <v>0</v>
      </c>
      <c r="AM151">
        <v>0</v>
      </c>
      <c r="AN151">
        <v>0</v>
      </c>
      <c r="AO151">
        <v>0</v>
      </c>
      <c r="AP151">
        <v>0</v>
      </c>
      <c r="AQ151">
        <v>0</v>
      </c>
      <c r="AR151">
        <v>0</v>
      </c>
      <c r="AS151">
        <v>0</v>
      </c>
      <c r="AT151">
        <v>0</v>
      </c>
      <c r="AU151">
        <v>0</v>
      </c>
      <c r="AV151">
        <v>0</v>
      </c>
      <c r="AW151">
        <v>0</v>
      </c>
      <c r="AX151">
        <v>0</v>
      </c>
      <c r="AY151">
        <v>0</v>
      </c>
      <c r="AZ151">
        <v>0</v>
      </c>
      <c r="BA151">
        <v>0</v>
      </c>
      <c r="BB151">
        <v>0</v>
      </c>
      <c r="BC151">
        <v>0</v>
      </c>
      <c r="BD151">
        <v>0</v>
      </c>
      <c r="BE151">
        <v>0</v>
      </c>
      <c r="BF151">
        <v>0</v>
      </c>
      <c r="BG151">
        <v>0</v>
      </c>
      <c r="BH151">
        <v>0</v>
      </c>
      <c r="BI151">
        <v>0</v>
      </c>
      <c r="BK151" s="151"/>
    </row>
    <row r="152" spans="1:63" x14ac:dyDescent="0.35">
      <c r="A152">
        <v>0</v>
      </c>
      <c r="B152">
        <v>0</v>
      </c>
      <c r="C152">
        <v>0</v>
      </c>
      <c r="D152">
        <v>0</v>
      </c>
      <c r="E152">
        <v>0</v>
      </c>
      <c r="F152">
        <v>0</v>
      </c>
      <c r="G152">
        <v>0</v>
      </c>
      <c r="H152">
        <v>0</v>
      </c>
      <c r="I152">
        <v>0</v>
      </c>
      <c r="J152">
        <v>0</v>
      </c>
      <c r="K152">
        <v>0</v>
      </c>
      <c r="L152">
        <v>0</v>
      </c>
      <c r="M152">
        <v>0</v>
      </c>
      <c r="N152">
        <v>0</v>
      </c>
      <c r="O152">
        <v>0</v>
      </c>
      <c r="P152">
        <v>0</v>
      </c>
      <c r="Q152">
        <v>0</v>
      </c>
      <c r="R152">
        <v>0</v>
      </c>
      <c r="S152">
        <v>0</v>
      </c>
      <c r="T152">
        <v>0</v>
      </c>
      <c r="U152">
        <v>0</v>
      </c>
      <c r="V152">
        <v>0</v>
      </c>
      <c r="W152">
        <v>0</v>
      </c>
      <c r="X152">
        <v>0</v>
      </c>
      <c r="Y152">
        <v>0</v>
      </c>
      <c r="Z152">
        <v>0</v>
      </c>
      <c r="AA152">
        <v>0</v>
      </c>
      <c r="AB152">
        <v>0</v>
      </c>
      <c r="AC152">
        <v>0</v>
      </c>
      <c r="AD152">
        <v>0</v>
      </c>
      <c r="AF152">
        <v>0</v>
      </c>
      <c r="AG152">
        <v>0</v>
      </c>
      <c r="AH152">
        <v>0</v>
      </c>
      <c r="AI152">
        <v>0</v>
      </c>
      <c r="AJ152">
        <v>0</v>
      </c>
      <c r="AK152">
        <v>0</v>
      </c>
      <c r="AL152">
        <v>0</v>
      </c>
      <c r="AM152">
        <v>0</v>
      </c>
      <c r="AN152">
        <v>0</v>
      </c>
      <c r="AO152">
        <v>0</v>
      </c>
      <c r="AP152">
        <v>0</v>
      </c>
      <c r="AQ152">
        <v>0</v>
      </c>
      <c r="AR152">
        <v>0</v>
      </c>
      <c r="AS152">
        <v>0</v>
      </c>
      <c r="AT152">
        <v>0</v>
      </c>
      <c r="AU152">
        <v>0</v>
      </c>
      <c r="AV152">
        <v>0</v>
      </c>
      <c r="AW152">
        <v>0</v>
      </c>
      <c r="AX152">
        <v>0</v>
      </c>
      <c r="AY152">
        <v>0</v>
      </c>
      <c r="AZ152">
        <v>0</v>
      </c>
      <c r="BA152">
        <v>0</v>
      </c>
      <c r="BB152">
        <v>0</v>
      </c>
      <c r="BC152">
        <v>0</v>
      </c>
      <c r="BD152">
        <v>0</v>
      </c>
      <c r="BE152">
        <v>0</v>
      </c>
      <c r="BF152">
        <v>0</v>
      </c>
      <c r="BG152">
        <v>0</v>
      </c>
      <c r="BH152">
        <v>0</v>
      </c>
      <c r="BI152">
        <v>0</v>
      </c>
      <c r="BK152" s="151"/>
    </row>
    <row r="153" spans="1:63" x14ac:dyDescent="0.35">
      <c r="A153">
        <v>0</v>
      </c>
      <c r="B153">
        <v>0</v>
      </c>
      <c r="C153">
        <v>0</v>
      </c>
      <c r="D153">
        <v>0</v>
      </c>
      <c r="E153">
        <v>0</v>
      </c>
      <c r="F153">
        <v>0</v>
      </c>
      <c r="G153">
        <v>0</v>
      </c>
      <c r="H153">
        <v>0</v>
      </c>
      <c r="I153">
        <v>0</v>
      </c>
      <c r="J153">
        <v>0</v>
      </c>
      <c r="K153">
        <v>0</v>
      </c>
      <c r="L153">
        <v>0</v>
      </c>
      <c r="M153">
        <v>0</v>
      </c>
      <c r="N153">
        <v>0</v>
      </c>
      <c r="O153">
        <v>0</v>
      </c>
      <c r="P153">
        <v>0</v>
      </c>
      <c r="Q153">
        <v>0</v>
      </c>
      <c r="R153">
        <v>0</v>
      </c>
      <c r="S153">
        <v>0</v>
      </c>
      <c r="T153">
        <v>0</v>
      </c>
      <c r="U153">
        <v>0</v>
      </c>
      <c r="V153">
        <v>0</v>
      </c>
      <c r="W153">
        <v>0</v>
      </c>
      <c r="X153">
        <v>0</v>
      </c>
      <c r="Y153">
        <v>0</v>
      </c>
      <c r="Z153">
        <v>0</v>
      </c>
      <c r="AA153">
        <v>0</v>
      </c>
      <c r="AB153">
        <v>0</v>
      </c>
      <c r="AC153">
        <v>0</v>
      </c>
      <c r="AD153">
        <v>0</v>
      </c>
      <c r="AF153">
        <v>0</v>
      </c>
      <c r="AG153">
        <v>0</v>
      </c>
      <c r="AH153">
        <v>0</v>
      </c>
      <c r="AI153">
        <v>0</v>
      </c>
      <c r="AJ153">
        <v>0</v>
      </c>
      <c r="AK153">
        <v>0</v>
      </c>
      <c r="AL153">
        <v>0</v>
      </c>
      <c r="AM153">
        <v>0</v>
      </c>
      <c r="AN153">
        <v>0</v>
      </c>
      <c r="AO153">
        <v>0</v>
      </c>
      <c r="AP153">
        <v>0</v>
      </c>
      <c r="AQ153">
        <v>0</v>
      </c>
      <c r="AR153">
        <v>0</v>
      </c>
      <c r="AS153">
        <v>0</v>
      </c>
      <c r="AT153">
        <v>0</v>
      </c>
      <c r="AU153">
        <v>0</v>
      </c>
      <c r="AV153">
        <v>0</v>
      </c>
      <c r="AW153">
        <v>0</v>
      </c>
      <c r="AX153">
        <v>0</v>
      </c>
      <c r="AY153">
        <v>0</v>
      </c>
      <c r="AZ153">
        <v>0</v>
      </c>
      <c r="BA153">
        <v>0</v>
      </c>
      <c r="BB153">
        <v>0</v>
      </c>
      <c r="BC153">
        <v>0</v>
      </c>
      <c r="BD153">
        <v>0</v>
      </c>
      <c r="BE153">
        <v>0</v>
      </c>
      <c r="BF153">
        <v>0</v>
      </c>
      <c r="BG153">
        <v>0</v>
      </c>
      <c r="BH153">
        <v>0</v>
      </c>
      <c r="BI153">
        <v>0</v>
      </c>
      <c r="BK153" s="151"/>
    </row>
    <row r="154" spans="1:63" x14ac:dyDescent="0.35">
      <c r="A154">
        <v>0</v>
      </c>
      <c r="B154">
        <v>0</v>
      </c>
      <c r="C154">
        <v>0</v>
      </c>
      <c r="D154">
        <v>0</v>
      </c>
      <c r="E154">
        <v>0</v>
      </c>
      <c r="F154">
        <v>0</v>
      </c>
      <c r="G154">
        <v>0</v>
      </c>
      <c r="H154">
        <v>0</v>
      </c>
      <c r="I154">
        <v>0</v>
      </c>
      <c r="J154">
        <v>0</v>
      </c>
      <c r="K154">
        <v>0</v>
      </c>
      <c r="L154">
        <v>0</v>
      </c>
      <c r="M154">
        <v>0</v>
      </c>
      <c r="N154">
        <v>0</v>
      </c>
      <c r="O154">
        <v>0</v>
      </c>
      <c r="P154">
        <v>0</v>
      </c>
      <c r="Q154">
        <v>0</v>
      </c>
      <c r="R154">
        <v>0</v>
      </c>
      <c r="S154">
        <v>0</v>
      </c>
      <c r="T154">
        <v>0</v>
      </c>
      <c r="U154">
        <v>0</v>
      </c>
      <c r="V154">
        <v>0</v>
      </c>
      <c r="W154">
        <v>0</v>
      </c>
      <c r="X154">
        <v>0</v>
      </c>
      <c r="Y154">
        <v>0</v>
      </c>
      <c r="Z154">
        <v>0</v>
      </c>
      <c r="AA154">
        <v>0</v>
      </c>
      <c r="AB154">
        <v>0</v>
      </c>
      <c r="AC154">
        <v>0</v>
      </c>
      <c r="AD154">
        <v>0</v>
      </c>
      <c r="AF154">
        <v>0</v>
      </c>
      <c r="AG154">
        <v>0</v>
      </c>
      <c r="AH154">
        <v>0</v>
      </c>
      <c r="AI154">
        <v>0</v>
      </c>
      <c r="AJ154">
        <v>0</v>
      </c>
      <c r="AK154">
        <v>0</v>
      </c>
      <c r="AL154">
        <v>0</v>
      </c>
      <c r="AM154">
        <v>0</v>
      </c>
      <c r="AN154">
        <v>0</v>
      </c>
      <c r="AO154">
        <v>0</v>
      </c>
      <c r="AP154">
        <v>0</v>
      </c>
      <c r="AQ154">
        <v>0</v>
      </c>
      <c r="AR154">
        <v>0</v>
      </c>
      <c r="AS154">
        <v>0</v>
      </c>
      <c r="AT154">
        <v>0</v>
      </c>
      <c r="AU154">
        <v>0</v>
      </c>
      <c r="AV154">
        <v>0</v>
      </c>
      <c r="AW154">
        <v>0</v>
      </c>
      <c r="AX154">
        <v>0</v>
      </c>
      <c r="AY154">
        <v>0</v>
      </c>
      <c r="AZ154">
        <v>0</v>
      </c>
      <c r="BA154">
        <v>0</v>
      </c>
      <c r="BB154">
        <v>0</v>
      </c>
      <c r="BC154">
        <v>0</v>
      </c>
      <c r="BD154">
        <v>0</v>
      </c>
      <c r="BE154">
        <v>0</v>
      </c>
      <c r="BF154">
        <v>0</v>
      </c>
      <c r="BG154">
        <v>0</v>
      </c>
      <c r="BH154">
        <v>0</v>
      </c>
      <c r="BI154">
        <v>0</v>
      </c>
      <c r="BK154" s="151"/>
    </row>
    <row r="155" spans="1:63" x14ac:dyDescent="0.35">
      <c r="A155">
        <v>0</v>
      </c>
      <c r="B155">
        <v>0</v>
      </c>
      <c r="C155">
        <v>0</v>
      </c>
      <c r="D155">
        <v>0</v>
      </c>
      <c r="E155">
        <v>0</v>
      </c>
      <c r="F155">
        <v>0</v>
      </c>
      <c r="G155">
        <v>0</v>
      </c>
      <c r="H155">
        <v>0</v>
      </c>
      <c r="I155">
        <v>0</v>
      </c>
      <c r="J155">
        <v>0</v>
      </c>
      <c r="K155">
        <v>0</v>
      </c>
      <c r="L155">
        <v>0</v>
      </c>
      <c r="M155">
        <v>0</v>
      </c>
      <c r="N155">
        <v>0</v>
      </c>
      <c r="O155">
        <v>0</v>
      </c>
      <c r="P155">
        <v>0</v>
      </c>
      <c r="Q155">
        <v>0</v>
      </c>
      <c r="R155">
        <v>0</v>
      </c>
      <c r="S155">
        <v>0</v>
      </c>
      <c r="T155">
        <v>0</v>
      </c>
      <c r="U155">
        <v>0</v>
      </c>
      <c r="V155">
        <v>0</v>
      </c>
      <c r="W155">
        <v>0</v>
      </c>
      <c r="X155">
        <v>0</v>
      </c>
      <c r="Y155">
        <v>0</v>
      </c>
      <c r="Z155">
        <v>0</v>
      </c>
      <c r="AA155">
        <v>0</v>
      </c>
      <c r="AB155">
        <v>0</v>
      </c>
      <c r="AC155">
        <v>0</v>
      </c>
      <c r="AD155">
        <v>0</v>
      </c>
      <c r="AF155">
        <v>0</v>
      </c>
      <c r="AG155">
        <v>0</v>
      </c>
      <c r="AH155">
        <v>0</v>
      </c>
      <c r="AI155">
        <v>0</v>
      </c>
      <c r="AJ155">
        <v>0</v>
      </c>
      <c r="AK155">
        <v>0</v>
      </c>
      <c r="AL155">
        <v>0</v>
      </c>
      <c r="AM155">
        <v>0</v>
      </c>
      <c r="AN155">
        <v>0</v>
      </c>
      <c r="AO155">
        <v>0</v>
      </c>
      <c r="AP155">
        <v>0</v>
      </c>
      <c r="AQ155">
        <v>0</v>
      </c>
      <c r="AR155">
        <v>0</v>
      </c>
      <c r="AS155">
        <v>0</v>
      </c>
      <c r="AT155">
        <v>0</v>
      </c>
      <c r="AU155">
        <v>0</v>
      </c>
      <c r="AV155">
        <v>0</v>
      </c>
      <c r="AW155">
        <v>0</v>
      </c>
      <c r="AX155">
        <v>0</v>
      </c>
      <c r="AY155">
        <v>0</v>
      </c>
      <c r="AZ155">
        <v>0</v>
      </c>
      <c r="BA155">
        <v>0</v>
      </c>
      <c r="BB155">
        <v>0</v>
      </c>
      <c r="BC155">
        <v>0</v>
      </c>
      <c r="BD155">
        <v>0</v>
      </c>
      <c r="BE155">
        <v>0</v>
      </c>
      <c r="BF155">
        <v>0</v>
      </c>
      <c r="BG155">
        <v>0</v>
      </c>
      <c r="BH155">
        <v>0</v>
      </c>
      <c r="BI155">
        <v>0</v>
      </c>
      <c r="BK155" s="151"/>
    </row>
    <row r="156" spans="1:63" x14ac:dyDescent="0.35">
      <c r="A156">
        <v>0</v>
      </c>
      <c r="B156">
        <v>0</v>
      </c>
      <c r="C156">
        <v>0</v>
      </c>
      <c r="D156">
        <v>0</v>
      </c>
      <c r="E156">
        <v>0</v>
      </c>
      <c r="F156">
        <v>0</v>
      </c>
      <c r="G156">
        <v>0</v>
      </c>
      <c r="H156">
        <v>0</v>
      </c>
      <c r="I156">
        <v>0</v>
      </c>
      <c r="J156">
        <v>0</v>
      </c>
      <c r="K156">
        <v>0</v>
      </c>
      <c r="L156">
        <v>0</v>
      </c>
      <c r="M156">
        <v>0</v>
      </c>
      <c r="N156">
        <v>0</v>
      </c>
      <c r="O156">
        <v>0</v>
      </c>
      <c r="P156">
        <v>0</v>
      </c>
      <c r="Q156">
        <v>0</v>
      </c>
      <c r="R156">
        <v>0</v>
      </c>
      <c r="S156">
        <v>0</v>
      </c>
      <c r="T156">
        <v>0</v>
      </c>
      <c r="U156">
        <v>0</v>
      </c>
      <c r="V156">
        <v>0</v>
      </c>
      <c r="W156">
        <v>0</v>
      </c>
      <c r="X156">
        <v>0</v>
      </c>
      <c r="Y156">
        <v>0</v>
      </c>
      <c r="Z156">
        <v>0</v>
      </c>
      <c r="AA156">
        <v>0</v>
      </c>
      <c r="AB156">
        <v>0</v>
      </c>
      <c r="AC156">
        <v>0</v>
      </c>
      <c r="AD156">
        <v>0</v>
      </c>
      <c r="AF156">
        <v>0</v>
      </c>
      <c r="AG156">
        <v>0</v>
      </c>
      <c r="AH156">
        <v>0</v>
      </c>
      <c r="AI156">
        <v>0</v>
      </c>
      <c r="AJ156">
        <v>0</v>
      </c>
      <c r="AK156">
        <v>0</v>
      </c>
      <c r="AL156">
        <v>0</v>
      </c>
      <c r="AM156">
        <v>0</v>
      </c>
      <c r="AN156">
        <v>0</v>
      </c>
      <c r="AO156">
        <v>0</v>
      </c>
      <c r="AP156">
        <v>0</v>
      </c>
      <c r="AQ156">
        <v>0</v>
      </c>
      <c r="AR156">
        <v>0</v>
      </c>
      <c r="AS156">
        <v>0</v>
      </c>
      <c r="AT156">
        <v>0</v>
      </c>
      <c r="AU156">
        <v>0</v>
      </c>
      <c r="AV156">
        <v>0</v>
      </c>
      <c r="AW156">
        <v>0</v>
      </c>
      <c r="AX156">
        <v>0</v>
      </c>
      <c r="AY156">
        <v>0</v>
      </c>
      <c r="AZ156">
        <v>0</v>
      </c>
      <c r="BA156">
        <v>0</v>
      </c>
      <c r="BB156">
        <v>0</v>
      </c>
      <c r="BC156">
        <v>0</v>
      </c>
      <c r="BD156">
        <v>0</v>
      </c>
      <c r="BE156">
        <v>0</v>
      </c>
      <c r="BF156">
        <v>0</v>
      </c>
      <c r="BG156">
        <v>0</v>
      </c>
      <c r="BH156">
        <v>0</v>
      </c>
      <c r="BI156">
        <v>0</v>
      </c>
      <c r="BK156" s="151"/>
    </row>
    <row r="157" spans="1:63" x14ac:dyDescent="0.35">
      <c r="A157">
        <v>0</v>
      </c>
      <c r="B157">
        <v>0</v>
      </c>
      <c r="C157">
        <v>0</v>
      </c>
      <c r="D157">
        <v>0</v>
      </c>
      <c r="E157">
        <v>0</v>
      </c>
      <c r="F157">
        <v>0</v>
      </c>
      <c r="G157">
        <v>0</v>
      </c>
      <c r="H157">
        <v>0</v>
      </c>
      <c r="I157">
        <v>0</v>
      </c>
      <c r="J157">
        <v>0</v>
      </c>
      <c r="K157">
        <v>0</v>
      </c>
      <c r="L157">
        <v>0</v>
      </c>
      <c r="M157">
        <v>0</v>
      </c>
      <c r="N157">
        <v>0</v>
      </c>
      <c r="O157">
        <v>0</v>
      </c>
      <c r="P157">
        <v>0</v>
      </c>
      <c r="Q157">
        <v>0</v>
      </c>
      <c r="R157">
        <v>0</v>
      </c>
      <c r="S157">
        <v>0</v>
      </c>
      <c r="T157">
        <v>0</v>
      </c>
      <c r="U157">
        <v>0</v>
      </c>
      <c r="V157">
        <v>0</v>
      </c>
      <c r="W157">
        <v>0</v>
      </c>
      <c r="X157">
        <v>0</v>
      </c>
      <c r="Y157">
        <v>0</v>
      </c>
      <c r="Z157">
        <v>0</v>
      </c>
      <c r="AA157">
        <v>0</v>
      </c>
      <c r="AB157">
        <v>0</v>
      </c>
      <c r="AC157">
        <v>0</v>
      </c>
      <c r="AD157">
        <v>0</v>
      </c>
      <c r="AF157">
        <v>0</v>
      </c>
      <c r="AG157">
        <v>0</v>
      </c>
      <c r="AH157">
        <v>0</v>
      </c>
      <c r="AI157">
        <v>0</v>
      </c>
      <c r="AJ157">
        <v>0</v>
      </c>
      <c r="AK157">
        <v>0</v>
      </c>
      <c r="AL157">
        <v>0</v>
      </c>
      <c r="AM157">
        <v>0</v>
      </c>
      <c r="AN157">
        <v>0</v>
      </c>
      <c r="AO157">
        <v>0</v>
      </c>
      <c r="AP157">
        <v>0</v>
      </c>
      <c r="AQ157">
        <v>0</v>
      </c>
      <c r="AR157">
        <v>0</v>
      </c>
      <c r="AS157">
        <v>0</v>
      </c>
      <c r="AT157">
        <v>0</v>
      </c>
      <c r="AU157">
        <v>0</v>
      </c>
      <c r="AV157">
        <v>0</v>
      </c>
      <c r="AW157">
        <v>0</v>
      </c>
      <c r="AX157">
        <v>0</v>
      </c>
      <c r="AY157">
        <v>0</v>
      </c>
      <c r="AZ157">
        <v>0</v>
      </c>
      <c r="BA157">
        <v>0</v>
      </c>
      <c r="BB157">
        <v>0</v>
      </c>
      <c r="BC157">
        <v>0</v>
      </c>
      <c r="BD157">
        <v>0</v>
      </c>
      <c r="BE157">
        <v>0</v>
      </c>
      <c r="BF157">
        <v>0</v>
      </c>
      <c r="BG157">
        <v>0</v>
      </c>
      <c r="BH157">
        <v>0</v>
      </c>
      <c r="BI157">
        <v>0</v>
      </c>
      <c r="BK157" s="151"/>
    </row>
    <row r="158" spans="1:63" x14ac:dyDescent="0.35">
      <c r="A158">
        <v>0</v>
      </c>
      <c r="B158">
        <v>0</v>
      </c>
      <c r="C158">
        <v>0</v>
      </c>
      <c r="D158">
        <v>0</v>
      </c>
      <c r="E158">
        <v>0</v>
      </c>
      <c r="F158">
        <v>0</v>
      </c>
      <c r="G158">
        <v>0</v>
      </c>
      <c r="H158">
        <v>0</v>
      </c>
      <c r="I158">
        <v>0</v>
      </c>
      <c r="J158">
        <v>0</v>
      </c>
      <c r="K158">
        <v>0</v>
      </c>
      <c r="L158">
        <v>0</v>
      </c>
      <c r="M158">
        <v>0</v>
      </c>
      <c r="N158">
        <v>0</v>
      </c>
      <c r="O158">
        <v>0</v>
      </c>
      <c r="P158">
        <v>0</v>
      </c>
      <c r="Q158">
        <v>0</v>
      </c>
      <c r="R158">
        <v>0</v>
      </c>
      <c r="S158">
        <v>0</v>
      </c>
      <c r="T158">
        <v>0</v>
      </c>
      <c r="U158">
        <v>0</v>
      </c>
      <c r="V158">
        <v>0</v>
      </c>
      <c r="W158">
        <v>0</v>
      </c>
      <c r="X158">
        <v>0</v>
      </c>
      <c r="Y158">
        <v>0</v>
      </c>
      <c r="Z158">
        <v>0</v>
      </c>
      <c r="AA158">
        <v>0</v>
      </c>
      <c r="AB158">
        <v>0</v>
      </c>
      <c r="AC158">
        <v>0</v>
      </c>
      <c r="AD158">
        <v>0</v>
      </c>
      <c r="AF158">
        <v>0</v>
      </c>
      <c r="AG158">
        <v>0</v>
      </c>
      <c r="AH158">
        <v>0</v>
      </c>
      <c r="AI158">
        <v>0</v>
      </c>
      <c r="AJ158">
        <v>0</v>
      </c>
      <c r="AK158">
        <v>0</v>
      </c>
      <c r="AL158">
        <v>0</v>
      </c>
      <c r="AM158">
        <v>0</v>
      </c>
      <c r="AN158">
        <v>0</v>
      </c>
      <c r="AO158">
        <v>0</v>
      </c>
      <c r="AP158">
        <v>0</v>
      </c>
      <c r="AQ158">
        <v>0</v>
      </c>
      <c r="AR158">
        <v>0</v>
      </c>
      <c r="AS158">
        <v>0</v>
      </c>
      <c r="AT158">
        <v>0</v>
      </c>
      <c r="AU158">
        <v>0</v>
      </c>
      <c r="AV158">
        <v>0</v>
      </c>
      <c r="AW158">
        <v>0</v>
      </c>
      <c r="AX158">
        <v>0</v>
      </c>
      <c r="AY158">
        <v>0</v>
      </c>
      <c r="AZ158">
        <v>0</v>
      </c>
      <c r="BA158">
        <v>0</v>
      </c>
      <c r="BB158">
        <v>0</v>
      </c>
      <c r="BC158">
        <v>0</v>
      </c>
      <c r="BD158">
        <v>0</v>
      </c>
      <c r="BE158">
        <v>0</v>
      </c>
      <c r="BF158">
        <v>0</v>
      </c>
      <c r="BG158">
        <v>0</v>
      </c>
      <c r="BH158">
        <v>0</v>
      </c>
      <c r="BI158">
        <v>0</v>
      </c>
      <c r="BK158" s="151"/>
    </row>
    <row r="159" spans="1:63" x14ac:dyDescent="0.35">
      <c r="A159">
        <v>0</v>
      </c>
      <c r="B159">
        <v>0</v>
      </c>
      <c r="C159">
        <v>0</v>
      </c>
      <c r="D159">
        <v>0</v>
      </c>
      <c r="E159">
        <v>0</v>
      </c>
      <c r="F159">
        <v>0</v>
      </c>
      <c r="G159">
        <v>0</v>
      </c>
      <c r="H159">
        <v>0</v>
      </c>
      <c r="I159">
        <v>0</v>
      </c>
      <c r="J159">
        <v>0</v>
      </c>
      <c r="K159">
        <v>0</v>
      </c>
      <c r="L159">
        <v>0</v>
      </c>
      <c r="M159">
        <v>0</v>
      </c>
      <c r="N159">
        <v>0</v>
      </c>
      <c r="O159">
        <v>0</v>
      </c>
      <c r="P159">
        <v>0</v>
      </c>
      <c r="Q159">
        <v>0</v>
      </c>
      <c r="R159">
        <v>0</v>
      </c>
      <c r="S159">
        <v>0</v>
      </c>
      <c r="T159">
        <v>0</v>
      </c>
      <c r="U159">
        <v>0</v>
      </c>
      <c r="V159">
        <v>0</v>
      </c>
      <c r="W159">
        <v>0</v>
      </c>
      <c r="X159">
        <v>0</v>
      </c>
      <c r="Y159">
        <v>0</v>
      </c>
      <c r="Z159">
        <v>0</v>
      </c>
      <c r="AA159">
        <v>0</v>
      </c>
      <c r="AB159">
        <v>0</v>
      </c>
      <c r="AC159">
        <v>0</v>
      </c>
      <c r="AD159">
        <v>0</v>
      </c>
      <c r="AF159">
        <v>0</v>
      </c>
      <c r="AG159">
        <v>0</v>
      </c>
      <c r="AH159">
        <v>0</v>
      </c>
      <c r="AI159">
        <v>0</v>
      </c>
      <c r="AJ159">
        <v>0</v>
      </c>
      <c r="AK159">
        <v>0</v>
      </c>
      <c r="AL159">
        <v>0</v>
      </c>
      <c r="AM159">
        <v>0</v>
      </c>
      <c r="AN159">
        <v>0</v>
      </c>
      <c r="AO159">
        <v>0</v>
      </c>
      <c r="AP159">
        <v>0</v>
      </c>
      <c r="AQ159">
        <v>0</v>
      </c>
      <c r="AR159">
        <v>0</v>
      </c>
      <c r="AS159">
        <v>0</v>
      </c>
      <c r="AT159">
        <v>0</v>
      </c>
      <c r="AU159">
        <v>0</v>
      </c>
      <c r="AV159">
        <v>0</v>
      </c>
      <c r="AW159">
        <v>0</v>
      </c>
      <c r="AX159">
        <v>0</v>
      </c>
      <c r="AY159">
        <v>0</v>
      </c>
      <c r="AZ159">
        <v>0</v>
      </c>
      <c r="BA159">
        <v>0</v>
      </c>
      <c r="BB159">
        <v>0</v>
      </c>
      <c r="BC159">
        <v>0</v>
      </c>
      <c r="BD159">
        <v>0</v>
      </c>
      <c r="BE159">
        <v>0</v>
      </c>
      <c r="BF159">
        <v>0</v>
      </c>
      <c r="BG159">
        <v>0</v>
      </c>
      <c r="BH159">
        <v>0</v>
      </c>
      <c r="BI159">
        <v>0</v>
      </c>
      <c r="BK159" s="151"/>
    </row>
    <row r="160" spans="1:63" x14ac:dyDescent="0.35">
      <c r="A160">
        <v>0</v>
      </c>
      <c r="B160">
        <v>0</v>
      </c>
      <c r="C160">
        <v>0</v>
      </c>
      <c r="D160">
        <v>0</v>
      </c>
      <c r="E160">
        <v>0</v>
      </c>
      <c r="F160">
        <v>0</v>
      </c>
      <c r="G160">
        <v>0</v>
      </c>
      <c r="H160">
        <v>0</v>
      </c>
      <c r="I160">
        <v>0</v>
      </c>
      <c r="J160">
        <v>0</v>
      </c>
      <c r="K160">
        <v>0</v>
      </c>
      <c r="L160">
        <v>0</v>
      </c>
      <c r="M160">
        <v>0</v>
      </c>
      <c r="N160">
        <v>0</v>
      </c>
      <c r="O160">
        <v>0</v>
      </c>
      <c r="P160">
        <v>0</v>
      </c>
      <c r="Q160">
        <v>0</v>
      </c>
      <c r="R160">
        <v>0</v>
      </c>
      <c r="S160">
        <v>0</v>
      </c>
      <c r="T160">
        <v>0</v>
      </c>
      <c r="U160">
        <v>0</v>
      </c>
      <c r="V160">
        <v>0</v>
      </c>
      <c r="W160">
        <v>0</v>
      </c>
      <c r="X160">
        <v>0</v>
      </c>
      <c r="Y160">
        <v>0</v>
      </c>
      <c r="Z160">
        <v>0</v>
      </c>
      <c r="AA160">
        <v>0</v>
      </c>
      <c r="AB160">
        <v>0</v>
      </c>
      <c r="AC160">
        <v>0</v>
      </c>
      <c r="AD160">
        <v>0</v>
      </c>
      <c r="AF160">
        <v>0</v>
      </c>
      <c r="AG160">
        <v>0</v>
      </c>
      <c r="AH160">
        <v>0</v>
      </c>
      <c r="AI160">
        <v>0</v>
      </c>
      <c r="AJ160">
        <v>0</v>
      </c>
      <c r="AK160">
        <v>0</v>
      </c>
      <c r="AL160">
        <v>0</v>
      </c>
      <c r="AM160">
        <v>0</v>
      </c>
      <c r="AN160">
        <v>0</v>
      </c>
      <c r="AO160">
        <v>0</v>
      </c>
      <c r="AP160">
        <v>0</v>
      </c>
      <c r="AQ160">
        <v>0</v>
      </c>
      <c r="AR160">
        <v>0</v>
      </c>
      <c r="AS160">
        <v>0</v>
      </c>
      <c r="AT160">
        <v>0</v>
      </c>
      <c r="AU160">
        <v>0</v>
      </c>
      <c r="AV160">
        <v>0</v>
      </c>
      <c r="AW160">
        <v>0</v>
      </c>
      <c r="AX160">
        <v>0</v>
      </c>
      <c r="AY160">
        <v>0</v>
      </c>
      <c r="AZ160">
        <v>0</v>
      </c>
      <c r="BA160">
        <v>0</v>
      </c>
      <c r="BB160">
        <v>0</v>
      </c>
      <c r="BC160">
        <v>0</v>
      </c>
      <c r="BD160">
        <v>0</v>
      </c>
      <c r="BE160">
        <v>0</v>
      </c>
      <c r="BF160">
        <v>0</v>
      </c>
      <c r="BG160">
        <v>0</v>
      </c>
      <c r="BH160">
        <v>0</v>
      </c>
      <c r="BI160">
        <v>0</v>
      </c>
      <c r="BK160" s="151"/>
    </row>
    <row r="161" spans="1:63" x14ac:dyDescent="0.35">
      <c r="A161">
        <v>0</v>
      </c>
      <c r="B161">
        <v>0</v>
      </c>
      <c r="C161">
        <v>0</v>
      </c>
      <c r="D161">
        <v>0</v>
      </c>
      <c r="E161">
        <v>0</v>
      </c>
      <c r="F161">
        <v>0</v>
      </c>
      <c r="G161">
        <v>0</v>
      </c>
      <c r="H161">
        <v>0</v>
      </c>
      <c r="I161">
        <v>0</v>
      </c>
      <c r="J161">
        <v>0</v>
      </c>
      <c r="K161">
        <v>0</v>
      </c>
      <c r="L161">
        <v>0</v>
      </c>
      <c r="M161">
        <v>0</v>
      </c>
      <c r="N161">
        <v>0</v>
      </c>
      <c r="O161">
        <v>0</v>
      </c>
      <c r="P161">
        <v>0</v>
      </c>
      <c r="Q161">
        <v>0</v>
      </c>
      <c r="R161">
        <v>0</v>
      </c>
      <c r="S161">
        <v>0</v>
      </c>
      <c r="T161">
        <v>0</v>
      </c>
      <c r="U161">
        <v>0</v>
      </c>
      <c r="V161">
        <v>0</v>
      </c>
      <c r="W161">
        <v>0</v>
      </c>
      <c r="X161">
        <v>0</v>
      </c>
      <c r="Y161">
        <v>0</v>
      </c>
      <c r="Z161">
        <v>0</v>
      </c>
      <c r="AA161">
        <v>0</v>
      </c>
      <c r="AB161">
        <v>0</v>
      </c>
      <c r="AC161">
        <v>0</v>
      </c>
      <c r="AD161">
        <v>0</v>
      </c>
      <c r="AF161">
        <v>0</v>
      </c>
      <c r="AG161">
        <v>0</v>
      </c>
      <c r="AH161">
        <v>0</v>
      </c>
      <c r="AI161">
        <v>0</v>
      </c>
      <c r="AJ161">
        <v>0</v>
      </c>
      <c r="AK161">
        <v>0</v>
      </c>
      <c r="AL161">
        <v>0</v>
      </c>
      <c r="AM161">
        <v>0</v>
      </c>
      <c r="AN161">
        <v>0</v>
      </c>
      <c r="AO161">
        <v>0</v>
      </c>
      <c r="AP161">
        <v>0</v>
      </c>
      <c r="AQ161">
        <v>0</v>
      </c>
      <c r="AR161">
        <v>0</v>
      </c>
      <c r="AS161">
        <v>0</v>
      </c>
      <c r="AT161">
        <v>0</v>
      </c>
      <c r="AU161">
        <v>0</v>
      </c>
      <c r="AV161">
        <v>0</v>
      </c>
      <c r="AW161">
        <v>0</v>
      </c>
      <c r="AX161">
        <v>0</v>
      </c>
      <c r="AY161">
        <v>0</v>
      </c>
      <c r="AZ161">
        <v>0</v>
      </c>
      <c r="BA161">
        <v>0</v>
      </c>
      <c r="BB161">
        <v>0</v>
      </c>
      <c r="BC161">
        <v>0</v>
      </c>
      <c r="BD161">
        <v>0</v>
      </c>
      <c r="BE161">
        <v>0</v>
      </c>
      <c r="BF161">
        <v>0</v>
      </c>
      <c r="BG161">
        <v>0</v>
      </c>
      <c r="BH161">
        <v>0</v>
      </c>
      <c r="BI161">
        <v>0</v>
      </c>
      <c r="BK161" s="151"/>
    </row>
    <row r="162" spans="1:63" x14ac:dyDescent="0.35">
      <c r="A162">
        <v>0</v>
      </c>
      <c r="B162">
        <v>0</v>
      </c>
      <c r="C162">
        <v>0</v>
      </c>
      <c r="D162">
        <v>0</v>
      </c>
      <c r="E162">
        <v>0</v>
      </c>
      <c r="F162">
        <v>0</v>
      </c>
      <c r="G162">
        <v>0</v>
      </c>
      <c r="H162">
        <v>0</v>
      </c>
      <c r="I162">
        <v>0</v>
      </c>
      <c r="J162">
        <v>0</v>
      </c>
      <c r="K162">
        <v>0</v>
      </c>
      <c r="L162">
        <v>0</v>
      </c>
      <c r="M162">
        <v>0</v>
      </c>
      <c r="N162">
        <v>0</v>
      </c>
      <c r="O162">
        <v>0</v>
      </c>
      <c r="P162">
        <v>0</v>
      </c>
      <c r="Q162">
        <v>0</v>
      </c>
      <c r="R162">
        <v>0</v>
      </c>
      <c r="S162">
        <v>0</v>
      </c>
      <c r="T162">
        <v>0</v>
      </c>
      <c r="U162">
        <v>0</v>
      </c>
      <c r="V162">
        <v>0</v>
      </c>
      <c r="W162">
        <v>0</v>
      </c>
      <c r="X162">
        <v>0</v>
      </c>
      <c r="Y162">
        <v>0</v>
      </c>
      <c r="Z162">
        <v>0</v>
      </c>
      <c r="AA162">
        <v>0</v>
      </c>
      <c r="AB162">
        <v>0</v>
      </c>
      <c r="AC162">
        <v>0</v>
      </c>
      <c r="AD162">
        <v>0</v>
      </c>
      <c r="AF162">
        <v>0</v>
      </c>
      <c r="AG162">
        <v>0</v>
      </c>
      <c r="AH162">
        <v>0</v>
      </c>
      <c r="AI162">
        <v>0</v>
      </c>
      <c r="AJ162">
        <v>0</v>
      </c>
      <c r="AK162">
        <v>0</v>
      </c>
      <c r="AL162">
        <v>0</v>
      </c>
      <c r="AM162">
        <v>0</v>
      </c>
      <c r="AN162">
        <v>0</v>
      </c>
      <c r="AO162">
        <v>0</v>
      </c>
      <c r="AP162">
        <v>0</v>
      </c>
      <c r="AQ162">
        <v>0</v>
      </c>
      <c r="AR162">
        <v>0</v>
      </c>
      <c r="AS162">
        <v>0</v>
      </c>
      <c r="AT162">
        <v>0</v>
      </c>
      <c r="AU162">
        <v>0</v>
      </c>
      <c r="AV162">
        <v>0</v>
      </c>
      <c r="AW162">
        <v>0</v>
      </c>
      <c r="AX162">
        <v>0</v>
      </c>
      <c r="AY162">
        <v>0</v>
      </c>
      <c r="AZ162">
        <v>0</v>
      </c>
      <c r="BA162">
        <v>0</v>
      </c>
      <c r="BB162">
        <v>0</v>
      </c>
      <c r="BC162">
        <v>0</v>
      </c>
      <c r="BD162">
        <v>0</v>
      </c>
      <c r="BE162">
        <v>0</v>
      </c>
      <c r="BF162">
        <v>0</v>
      </c>
      <c r="BG162">
        <v>0</v>
      </c>
      <c r="BH162">
        <v>0</v>
      </c>
      <c r="BI162">
        <v>0</v>
      </c>
      <c r="BK162" s="151"/>
    </row>
    <row r="163" spans="1:63" x14ac:dyDescent="0.35">
      <c r="A163">
        <v>0</v>
      </c>
      <c r="B163">
        <v>0</v>
      </c>
      <c r="C163">
        <v>0</v>
      </c>
      <c r="D163">
        <v>0</v>
      </c>
      <c r="E163">
        <v>0</v>
      </c>
      <c r="F163">
        <v>0</v>
      </c>
      <c r="G163">
        <v>0</v>
      </c>
      <c r="H163">
        <v>0</v>
      </c>
      <c r="I163">
        <v>0</v>
      </c>
      <c r="J163">
        <v>0</v>
      </c>
      <c r="K163">
        <v>0</v>
      </c>
      <c r="L163">
        <v>0</v>
      </c>
      <c r="M163">
        <v>0</v>
      </c>
      <c r="N163">
        <v>0</v>
      </c>
      <c r="O163">
        <v>0</v>
      </c>
      <c r="P163">
        <v>0</v>
      </c>
      <c r="Q163">
        <v>0</v>
      </c>
      <c r="R163">
        <v>0</v>
      </c>
      <c r="S163">
        <v>0</v>
      </c>
      <c r="T163">
        <v>0</v>
      </c>
      <c r="U163">
        <v>0</v>
      </c>
      <c r="V163">
        <v>0</v>
      </c>
      <c r="W163">
        <v>0</v>
      </c>
      <c r="X163">
        <v>0</v>
      </c>
      <c r="Y163">
        <v>0</v>
      </c>
      <c r="Z163">
        <v>0</v>
      </c>
      <c r="AA163">
        <v>0</v>
      </c>
      <c r="AB163">
        <v>0</v>
      </c>
      <c r="AC163">
        <v>0</v>
      </c>
      <c r="AD163">
        <v>0</v>
      </c>
      <c r="AF163">
        <v>0</v>
      </c>
      <c r="AG163">
        <v>0</v>
      </c>
      <c r="AH163">
        <v>0</v>
      </c>
      <c r="AI163">
        <v>0</v>
      </c>
      <c r="AJ163">
        <v>0</v>
      </c>
      <c r="AK163">
        <v>0</v>
      </c>
      <c r="AL163">
        <v>0</v>
      </c>
      <c r="AM163">
        <v>0</v>
      </c>
      <c r="AN163">
        <v>0</v>
      </c>
      <c r="AO163">
        <v>0</v>
      </c>
      <c r="AP163">
        <v>0</v>
      </c>
      <c r="AQ163">
        <v>0</v>
      </c>
      <c r="AR163">
        <v>0</v>
      </c>
      <c r="AS163">
        <v>0</v>
      </c>
      <c r="AT163">
        <v>0</v>
      </c>
      <c r="AU163">
        <v>0</v>
      </c>
      <c r="AV163">
        <v>0</v>
      </c>
      <c r="AW163">
        <v>0</v>
      </c>
      <c r="AX163">
        <v>0</v>
      </c>
      <c r="AY163">
        <v>0</v>
      </c>
      <c r="AZ163">
        <v>0</v>
      </c>
      <c r="BA163">
        <v>0</v>
      </c>
      <c r="BB163">
        <v>0</v>
      </c>
      <c r="BC163">
        <v>0</v>
      </c>
      <c r="BD163">
        <v>0</v>
      </c>
      <c r="BE163">
        <v>0</v>
      </c>
      <c r="BF163">
        <v>0</v>
      </c>
      <c r="BG163">
        <v>0</v>
      </c>
      <c r="BH163">
        <v>0</v>
      </c>
      <c r="BI163">
        <v>0</v>
      </c>
      <c r="BK163" s="151"/>
    </row>
    <row r="164" spans="1:63" x14ac:dyDescent="0.35">
      <c r="A164">
        <v>0</v>
      </c>
      <c r="B164">
        <v>0</v>
      </c>
      <c r="C164">
        <v>0</v>
      </c>
      <c r="D164">
        <v>0</v>
      </c>
      <c r="E164">
        <v>0</v>
      </c>
      <c r="F164">
        <v>0</v>
      </c>
      <c r="G164">
        <v>0</v>
      </c>
      <c r="H164">
        <v>0</v>
      </c>
      <c r="I164">
        <v>0</v>
      </c>
      <c r="J164">
        <v>0</v>
      </c>
      <c r="K164">
        <v>0</v>
      </c>
      <c r="L164">
        <v>0</v>
      </c>
      <c r="M164">
        <v>0</v>
      </c>
      <c r="N164">
        <v>0</v>
      </c>
      <c r="O164">
        <v>0</v>
      </c>
      <c r="P164">
        <v>0</v>
      </c>
      <c r="Q164">
        <v>0</v>
      </c>
      <c r="R164">
        <v>0</v>
      </c>
      <c r="S164">
        <v>0</v>
      </c>
      <c r="T164">
        <v>0</v>
      </c>
      <c r="U164">
        <v>0</v>
      </c>
      <c r="V164">
        <v>0</v>
      </c>
      <c r="W164">
        <v>0</v>
      </c>
      <c r="X164">
        <v>0</v>
      </c>
      <c r="Y164">
        <v>0</v>
      </c>
      <c r="Z164">
        <v>0</v>
      </c>
      <c r="AA164">
        <v>0</v>
      </c>
      <c r="AB164">
        <v>0</v>
      </c>
      <c r="AC164">
        <v>0</v>
      </c>
      <c r="AD164">
        <v>0</v>
      </c>
      <c r="AF164">
        <v>0</v>
      </c>
      <c r="AG164">
        <v>0</v>
      </c>
      <c r="AH164">
        <v>0</v>
      </c>
      <c r="AI164">
        <v>0</v>
      </c>
      <c r="AJ164">
        <v>0</v>
      </c>
      <c r="AK164">
        <v>0</v>
      </c>
      <c r="AL164">
        <v>0</v>
      </c>
      <c r="AM164">
        <v>0</v>
      </c>
      <c r="AN164">
        <v>0</v>
      </c>
      <c r="AO164">
        <v>0</v>
      </c>
      <c r="AP164">
        <v>0</v>
      </c>
      <c r="AQ164">
        <v>0</v>
      </c>
      <c r="AR164">
        <v>0</v>
      </c>
      <c r="AS164">
        <v>0</v>
      </c>
      <c r="AT164">
        <v>0</v>
      </c>
      <c r="AU164">
        <v>0</v>
      </c>
      <c r="AV164">
        <v>0</v>
      </c>
      <c r="AW164">
        <v>0</v>
      </c>
      <c r="AX164">
        <v>0</v>
      </c>
      <c r="AY164">
        <v>0</v>
      </c>
      <c r="AZ164">
        <v>0</v>
      </c>
      <c r="BA164">
        <v>0</v>
      </c>
      <c r="BB164">
        <v>0</v>
      </c>
      <c r="BC164">
        <v>0</v>
      </c>
      <c r="BD164">
        <v>0</v>
      </c>
      <c r="BE164">
        <v>0</v>
      </c>
      <c r="BF164">
        <v>0</v>
      </c>
      <c r="BG164">
        <v>0</v>
      </c>
      <c r="BH164">
        <v>0</v>
      </c>
      <c r="BI164">
        <v>0</v>
      </c>
      <c r="BK164" s="151"/>
    </row>
    <row r="165" spans="1:63" x14ac:dyDescent="0.35">
      <c r="A165">
        <v>0</v>
      </c>
      <c r="B165">
        <v>0</v>
      </c>
      <c r="C165">
        <v>0</v>
      </c>
      <c r="D165">
        <v>0</v>
      </c>
      <c r="E165">
        <v>0</v>
      </c>
      <c r="F165">
        <v>0</v>
      </c>
      <c r="G165">
        <v>0</v>
      </c>
      <c r="H165">
        <v>0</v>
      </c>
      <c r="I165">
        <v>0</v>
      </c>
      <c r="J165">
        <v>0</v>
      </c>
      <c r="K165">
        <v>0</v>
      </c>
      <c r="L165">
        <v>0</v>
      </c>
      <c r="M165">
        <v>0</v>
      </c>
      <c r="N165">
        <v>0</v>
      </c>
      <c r="O165">
        <v>0</v>
      </c>
      <c r="P165">
        <v>0</v>
      </c>
      <c r="Q165">
        <v>0</v>
      </c>
      <c r="R165">
        <v>0</v>
      </c>
      <c r="S165">
        <v>0</v>
      </c>
      <c r="T165">
        <v>0</v>
      </c>
      <c r="U165">
        <v>0</v>
      </c>
      <c r="V165">
        <v>0</v>
      </c>
      <c r="W165">
        <v>0</v>
      </c>
      <c r="X165">
        <v>0</v>
      </c>
      <c r="Y165">
        <v>0</v>
      </c>
      <c r="Z165">
        <v>0</v>
      </c>
      <c r="AA165">
        <v>0</v>
      </c>
      <c r="AB165">
        <v>0</v>
      </c>
      <c r="AC165">
        <v>0</v>
      </c>
      <c r="AD165">
        <v>0</v>
      </c>
      <c r="AF165">
        <v>0</v>
      </c>
      <c r="AG165">
        <v>0</v>
      </c>
      <c r="AH165">
        <v>0</v>
      </c>
      <c r="AI165">
        <v>0</v>
      </c>
      <c r="AJ165">
        <v>0</v>
      </c>
      <c r="AK165">
        <v>0</v>
      </c>
      <c r="AL165">
        <v>0</v>
      </c>
      <c r="AM165">
        <v>0</v>
      </c>
      <c r="AN165">
        <v>0</v>
      </c>
      <c r="AO165">
        <v>0</v>
      </c>
      <c r="AP165">
        <v>0</v>
      </c>
      <c r="AQ165">
        <v>0</v>
      </c>
      <c r="AR165">
        <v>0</v>
      </c>
      <c r="AS165">
        <v>0</v>
      </c>
      <c r="AT165">
        <v>0</v>
      </c>
      <c r="AU165">
        <v>0</v>
      </c>
      <c r="AV165">
        <v>0</v>
      </c>
      <c r="AW165">
        <v>0</v>
      </c>
      <c r="AX165">
        <v>0</v>
      </c>
      <c r="AY165">
        <v>0</v>
      </c>
      <c r="AZ165">
        <v>0</v>
      </c>
      <c r="BA165">
        <v>0</v>
      </c>
      <c r="BB165">
        <v>0</v>
      </c>
      <c r="BC165">
        <v>0</v>
      </c>
      <c r="BD165">
        <v>0</v>
      </c>
      <c r="BE165">
        <v>0</v>
      </c>
      <c r="BF165">
        <v>0</v>
      </c>
      <c r="BG165">
        <v>0</v>
      </c>
      <c r="BH165">
        <v>0</v>
      </c>
      <c r="BI165">
        <v>0</v>
      </c>
      <c r="BK165" s="151"/>
    </row>
    <row r="166" spans="1:63" x14ac:dyDescent="0.35">
      <c r="A166">
        <v>0</v>
      </c>
      <c r="B166">
        <v>0</v>
      </c>
      <c r="C166">
        <v>0</v>
      </c>
      <c r="D166">
        <v>0</v>
      </c>
      <c r="E166">
        <v>0</v>
      </c>
      <c r="F166">
        <v>0</v>
      </c>
      <c r="G166">
        <v>0</v>
      </c>
      <c r="H166">
        <v>0</v>
      </c>
      <c r="I166">
        <v>0</v>
      </c>
      <c r="J166">
        <v>0</v>
      </c>
      <c r="K166">
        <v>0</v>
      </c>
      <c r="L166">
        <v>0</v>
      </c>
      <c r="M166">
        <v>0</v>
      </c>
      <c r="N166">
        <v>0</v>
      </c>
      <c r="O166">
        <v>0</v>
      </c>
      <c r="P166">
        <v>0</v>
      </c>
      <c r="Q166">
        <v>0</v>
      </c>
      <c r="R166">
        <v>0</v>
      </c>
      <c r="S166">
        <v>0</v>
      </c>
      <c r="T166">
        <v>0</v>
      </c>
      <c r="U166">
        <v>0</v>
      </c>
      <c r="V166">
        <v>0</v>
      </c>
      <c r="W166">
        <v>0</v>
      </c>
      <c r="X166">
        <v>0</v>
      </c>
      <c r="Y166">
        <v>0</v>
      </c>
      <c r="Z166">
        <v>0</v>
      </c>
      <c r="AA166">
        <v>0</v>
      </c>
      <c r="AB166">
        <v>0</v>
      </c>
      <c r="AC166">
        <v>0</v>
      </c>
      <c r="AD166">
        <v>0</v>
      </c>
      <c r="AF166">
        <v>0</v>
      </c>
      <c r="AG166">
        <v>0</v>
      </c>
      <c r="AH166">
        <v>0</v>
      </c>
      <c r="AI166">
        <v>0</v>
      </c>
      <c r="AJ166">
        <v>0</v>
      </c>
      <c r="AK166">
        <v>0</v>
      </c>
      <c r="AL166">
        <v>0</v>
      </c>
      <c r="AM166">
        <v>0</v>
      </c>
      <c r="AN166">
        <v>0</v>
      </c>
      <c r="AO166">
        <v>0</v>
      </c>
      <c r="AP166">
        <v>0</v>
      </c>
      <c r="AQ166">
        <v>0</v>
      </c>
      <c r="AR166">
        <v>0</v>
      </c>
      <c r="AS166">
        <v>0</v>
      </c>
      <c r="AT166">
        <v>0</v>
      </c>
      <c r="AU166">
        <v>0</v>
      </c>
      <c r="AV166">
        <v>0</v>
      </c>
      <c r="AW166">
        <v>0</v>
      </c>
      <c r="AX166">
        <v>0</v>
      </c>
      <c r="AY166">
        <v>0</v>
      </c>
      <c r="AZ166">
        <v>0</v>
      </c>
      <c r="BA166">
        <v>0</v>
      </c>
      <c r="BB166">
        <v>0</v>
      </c>
      <c r="BC166">
        <v>0</v>
      </c>
      <c r="BD166">
        <v>0</v>
      </c>
      <c r="BE166">
        <v>0</v>
      </c>
      <c r="BF166">
        <v>0</v>
      </c>
      <c r="BG166">
        <v>0</v>
      </c>
      <c r="BH166">
        <v>0</v>
      </c>
      <c r="BI166">
        <v>0</v>
      </c>
      <c r="BK166" s="151"/>
    </row>
    <row r="167" spans="1:63" x14ac:dyDescent="0.35">
      <c r="A167">
        <v>0</v>
      </c>
      <c r="B167">
        <v>0</v>
      </c>
      <c r="C167">
        <v>0</v>
      </c>
      <c r="D167">
        <v>0</v>
      </c>
      <c r="E167">
        <v>0</v>
      </c>
      <c r="F167">
        <v>0</v>
      </c>
      <c r="G167">
        <v>0</v>
      </c>
      <c r="H167">
        <v>0</v>
      </c>
      <c r="I167">
        <v>0</v>
      </c>
      <c r="J167">
        <v>0</v>
      </c>
      <c r="K167">
        <v>0</v>
      </c>
      <c r="L167">
        <v>0</v>
      </c>
      <c r="M167">
        <v>0</v>
      </c>
      <c r="N167">
        <v>0</v>
      </c>
      <c r="O167">
        <v>0</v>
      </c>
      <c r="P167">
        <v>0</v>
      </c>
      <c r="Q167">
        <v>0</v>
      </c>
      <c r="R167">
        <v>0</v>
      </c>
      <c r="S167">
        <v>0</v>
      </c>
      <c r="T167">
        <v>0</v>
      </c>
      <c r="U167">
        <v>0</v>
      </c>
      <c r="V167">
        <v>0</v>
      </c>
      <c r="W167">
        <v>0</v>
      </c>
      <c r="X167">
        <v>0</v>
      </c>
      <c r="Y167">
        <v>0</v>
      </c>
      <c r="Z167">
        <v>0</v>
      </c>
      <c r="AA167">
        <v>0</v>
      </c>
      <c r="AB167">
        <v>0</v>
      </c>
      <c r="AC167">
        <v>0</v>
      </c>
      <c r="AD167">
        <v>0</v>
      </c>
      <c r="AF167">
        <v>0</v>
      </c>
      <c r="AG167">
        <v>0</v>
      </c>
      <c r="AH167">
        <v>0</v>
      </c>
      <c r="AI167">
        <v>0</v>
      </c>
      <c r="AJ167">
        <v>0</v>
      </c>
      <c r="AK167">
        <v>0</v>
      </c>
      <c r="AL167">
        <v>0</v>
      </c>
      <c r="AM167">
        <v>0</v>
      </c>
      <c r="AN167">
        <v>0</v>
      </c>
      <c r="AO167">
        <v>0</v>
      </c>
      <c r="AP167">
        <v>0</v>
      </c>
      <c r="AQ167">
        <v>0</v>
      </c>
      <c r="AR167">
        <v>0</v>
      </c>
      <c r="AS167">
        <v>0</v>
      </c>
      <c r="AT167">
        <v>0</v>
      </c>
      <c r="AU167">
        <v>0</v>
      </c>
      <c r="AV167">
        <v>0</v>
      </c>
      <c r="AW167">
        <v>0</v>
      </c>
      <c r="AX167">
        <v>0</v>
      </c>
      <c r="AY167">
        <v>0</v>
      </c>
      <c r="AZ167">
        <v>0</v>
      </c>
      <c r="BA167">
        <v>0</v>
      </c>
      <c r="BB167">
        <v>0</v>
      </c>
      <c r="BC167">
        <v>0</v>
      </c>
      <c r="BD167">
        <v>0</v>
      </c>
      <c r="BE167">
        <v>0</v>
      </c>
      <c r="BF167">
        <v>0</v>
      </c>
      <c r="BG167">
        <v>0</v>
      </c>
      <c r="BH167">
        <v>0</v>
      </c>
      <c r="BI167">
        <v>0</v>
      </c>
      <c r="BK167" s="151"/>
    </row>
    <row r="168" spans="1:63" x14ac:dyDescent="0.35">
      <c r="A168">
        <v>0</v>
      </c>
      <c r="B168">
        <v>0</v>
      </c>
      <c r="C168">
        <v>0</v>
      </c>
      <c r="D168">
        <v>0</v>
      </c>
      <c r="E168">
        <v>0</v>
      </c>
      <c r="F168">
        <v>0</v>
      </c>
      <c r="G168">
        <v>0</v>
      </c>
      <c r="H168">
        <v>0</v>
      </c>
      <c r="I168">
        <v>0</v>
      </c>
      <c r="J168">
        <v>0</v>
      </c>
      <c r="K168">
        <v>0</v>
      </c>
      <c r="L168">
        <v>0</v>
      </c>
      <c r="M168">
        <v>0</v>
      </c>
      <c r="N168">
        <v>0</v>
      </c>
      <c r="O168">
        <v>0</v>
      </c>
      <c r="P168">
        <v>0</v>
      </c>
      <c r="Q168">
        <v>0</v>
      </c>
      <c r="R168">
        <v>0</v>
      </c>
      <c r="S168">
        <v>0</v>
      </c>
      <c r="T168">
        <v>0</v>
      </c>
      <c r="U168">
        <v>0</v>
      </c>
      <c r="V168">
        <v>0</v>
      </c>
      <c r="W168">
        <v>0</v>
      </c>
      <c r="X168">
        <v>0</v>
      </c>
      <c r="Y168">
        <v>0</v>
      </c>
      <c r="Z168">
        <v>0</v>
      </c>
      <c r="AA168">
        <v>0</v>
      </c>
      <c r="AB168">
        <v>0</v>
      </c>
      <c r="AC168">
        <v>0</v>
      </c>
      <c r="AD168">
        <v>0</v>
      </c>
      <c r="AF168">
        <v>0</v>
      </c>
      <c r="AG168">
        <v>0</v>
      </c>
      <c r="AH168">
        <v>0</v>
      </c>
      <c r="AI168">
        <v>0</v>
      </c>
      <c r="AJ168">
        <v>0</v>
      </c>
      <c r="AK168">
        <v>0</v>
      </c>
      <c r="AL168">
        <v>0</v>
      </c>
      <c r="AM168">
        <v>0</v>
      </c>
      <c r="AN168">
        <v>0</v>
      </c>
      <c r="AO168">
        <v>0</v>
      </c>
      <c r="AP168">
        <v>0</v>
      </c>
      <c r="AQ168">
        <v>0</v>
      </c>
      <c r="AR168">
        <v>0</v>
      </c>
      <c r="AS168">
        <v>0</v>
      </c>
      <c r="AT168">
        <v>0</v>
      </c>
      <c r="AU168">
        <v>0</v>
      </c>
      <c r="AV168">
        <v>0</v>
      </c>
      <c r="AW168">
        <v>0</v>
      </c>
      <c r="AX168">
        <v>0</v>
      </c>
      <c r="AY168">
        <v>0</v>
      </c>
      <c r="AZ168">
        <v>0</v>
      </c>
      <c r="BA168">
        <v>0</v>
      </c>
      <c r="BB168">
        <v>0</v>
      </c>
      <c r="BC168">
        <v>0</v>
      </c>
      <c r="BD168">
        <v>0</v>
      </c>
      <c r="BE168">
        <v>0</v>
      </c>
      <c r="BF168">
        <v>0</v>
      </c>
      <c r="BG168">
        <v>0</v>
      </c>
      <c r="BH168">
        <v>0</v>
      </c>
      <c r="BI168">
        <v>0</v>
      </c>
      <c r="BK168" s="151"/>
    </row>
    <row r="169" spans="1:63" x14ac:dyDescent="0.35">
      <c r="A169">
        <v>0</v>
      </c>
      <c r="B169">
        <v>0</v>
      </c>
      <c r="C169">
        <v>0</v>
      </c>
      <c r="D169">
        <v>0</v>
      </c>
      <c r="E169">
        <v>0</v>
      </c>
      <c r="F169">
        <v>0</v>
      </c>
      <c r="G169">
        <v>0</v>
      </c>
      <c r="H169">
        <v>0</v>
      </c>
      <c r="I169">
        <v>0</v>
      </c>
      <c r="J169">
        <v>0</v>
      </c>
      <c r="K169">
        <v>0</v>
      </c>
      <c r="L169">
        <v>0</v>
      </c>
      <c r="M169">
        <v>0</v>
      </c>
      <c r="N169">
        <v>0</v>
      </c>
      <c r="O169">
        <v>0</v>
      </c>
      <c r="P169">
        <v>0</v>
      </c>
      <c r="Q169">
        <v>0</v>
      </c>
      <c r="R169">
        <v>0</v>
      </c>
      <c r="S169">
        <v>0</v>
      </c>
      <c r="T169">
        <v>0</v>
      </c>
      <c r="U169">
        <v>0</v>
      </c>
      <c r="V169">
        <v>0</v>
      </c>
      <c r="W169">
        <v>0</v>
      </c>
      <c r="X169">
        <v>0</v>
      </c>
      <c r="Y169">
        <v>0</v>
      </c>
      <c r="Z169">
        <v>0</v>
      </c>
      <c r="AA169">
        <v>0</v>
      </c>
      <c r="AB169">
        <v>0</v>
      </c>
      <c r="AC169">
        <v>0</v>
      </c>
      <c r="AD169">
        <v>0</v>
      </c>
      <c r="AF169">
        <v>0</v>
      </c>
      <c r="AG169">
        <v>0</v>
      </c>
      <c r="AH169">
        <v>0</v>
      </c>
      <c r="AI169">
        <v>0</v>
      </c>
      <c r="AJ169">
        <v>0</v>
      </c>
      <c r="AK169">
        <v>0</v>
      </c>
      <c r="AL169">
        <v>0</v>
      </c>
      <c r="AM169">
        <v>0</v>
      </c>
      <c r="AN169">
        <v>0</v>
      </c>
      <c r="AO169">
        <v>0</v>
      </c>
      <c r="AP169">
        <v>0</v>
      </c>
      <c r="AQ169">
        <v>0</v>
      </c>
      <c r="AR169">
        <v>0</v>
      </c>
      <c r="AS169">
        <v>0</v>
      </c>
      <c r="AT169">
        <v>0</v>
      </c>
      <c r="AU169">
        <v>0</v>
      </c>
      <c r="AV169">
        <v>0</v>
      </c>
      <c r="AW169">
        <v>0</v>
      </c>
      <c r="AX169">
        <v>0</v>
      </c>
      <c r="AY169">
        <v>0</v>
      </c>
      <c r="AZ169">
        <v>0</v>
      </c>
      <c r="BA169">
        <v>0</v>
      </c>
      <c r="BB169">
        <v>0</v>
      </c>
      <c r="BC169">
        <v>0</v>
      </c>
      <c r="BD169">
        <v>0</v>
      </c>
      <c r="BE169">
        <v>0</v>
      </c>
      <c r="BF169">
        <v>0</v>
      </c>
      <c r="BG169">
        <v>0</v>
      </c>
      <c r="BH169">
        <v>0</v>
      </c>
      <c r="BI169">
        <v>0</v>
      </c>
      <c r="BK169" s="151"/>
    </row>
    <row r="170" spans="1:63" x14ac:dyDescent="0.35">
      <c r="A170">
        <v>0</v>
      </c>
      <c r="B170">
        <v>0</v>
      </c>
      <c r="C170">
        <v>0</v>
      </c>
      <c r="D170">
        <v>0</v>
      </c>
      <c r="E170">
        <v>0</v>
      </c>
      <c r="F170">
        <v>0</v>
      </c>
      <c r="G170">
        <v>0</v>
      </c>
      <c r="H170">
        <v>0</v>
      </c>
      <c r="I170">
        <v>0</v>
      </c>
      <c r="J170">
        <v>0</v>
      </c>
      <c r="K170">
        <v>0</v>
      </c>
      <c r="L170">
        <v>0</v>
      </c>
      <c r="M170">
        <v>0</v>
      </c>
      <c r="N170">
        <v>0</v>
      </c>
      <c r="O170">
        <v>0</v>
      </c>
      <c r="P170">
        <v>0</v>
      </c>
      <c r="Q170">
        <v>0</v>
      </c>
      <c r="R170">
        <v>0</v>
      </c>
      <c r="S170">
        <v>0</v>
      </c>
      <c r="T170">
        <v>0</v>
      </c>
      <c r="U170">
        <v>0</v>
      </c>
      <c r="V170">
        <v>0</v>
      </c>
      <c r="W170">
        <v>0</v>
      </c>
      <c r="X170">
        <v>0</v>
      </c>
      <c r="Y170">
        <v>0</v>
      </c>
      <c r="Z170">
        <v>0</v>
      </c>
      <c r="AA170">
        <v>0</v>
      </c>
      <c r="AB170">
        <v>0</v>
      </c>
      <c r="AC170">
        <v>0</v>
      </c>
      <c r="AD170">
        <v>0</v>
      </c>
      <c r="AF170">
        <v>0</v>
      </c>
      <c r="AG170">
        <v>0</v>
      </c>
      <c r="AH170">
        <v>0</v>
      </c>
      <c r="AI170">
        <v>0</v>
      </c>
      <c r="AJ170">
        <v>0</v>
      </c>
      <c r="AK170">
        <v>0</v>
      </c>
      <c r="AL170">
        <v>0</v>
      </c>
      <c r="AM170">
        <v>0</v>
      </c>
      <c r="AN170">
        <v>0</v>
      </c>
      <c r="AO170">
        <v>0</v>
      </c>
      <c r="AP170">
        <v>0</v>
      </c>
      <c r="AQ170">
        <v>0</v>
      </c>
      <c r="AR170">
        <v>0</v>
      </c>
      <c r="AS170">
        <v>0</v>
      </c>
      <c r="AT170">
        <v>0</v>
      </c>
      <c r="AU170">
        <v>0</v>
      </c>
      <c r="AV170">
        <v>0</v>
      </c>
      <c r="AW170">
        <v>0</v>
      </c>
      <c r="AX170">
        <v>0</v>
      </c>
      <c r="AY170">
        <v>0</v>
      </c>
      <c r="AZ170">
        <v>0</v>
      </c>
      <c r="BA170">
        <v>0</v>
      </c>
      <c r="BB170">
        <v>0</v>
      </c>
      <c r="BC170">
        <v>0</v>
      </c>
      <c r="BD170">
        <v>0</v>
      </c>
      <c r="BE170">
        <v>0</v>
      </c>
      <c r="BF170">
        <v>0</v>
      </c>
      <c r="BG170">
        <v>0</v>
      </c>
      <c r="BH170">
        <v>0</v>
      </c>
      <c r="BI170">
        <v>0</v>
      </c>
      <c r="BK170" s="151"/>
    </row>
    <row r="171" spans="1:63" x14ac:dyDescent="0.35">
      <c r="A171">
        <v>0</v>
      </c>
      <c r="B171">
        <v>0</v>
      </c>
      <c r="C171">
        <v>0</v>
      </c>
      <c r="D171">
        <v>0</v>
      </c>
      <c r="E171">
        <v>0</v>
      </c>
      <c r="F171">
        <v>0</v>
      </c>
      <c r="G171">
        <v>0</v>
      </c>
      <c r="H171">
        <v>0</v>
      </c>
      <c r="I171">
        <v>0</v>
      </c>
      <c r="J171">
        <v>0</v>
      </c>
      <c r="K171">
        <v>0</v>
      </c>
      <c r="L171">
        <v>0</v>
      </c>
      <c r="M171">
        <v>0</v>
      </c>
      <c r="N171">
        <v>0</v>
      </c>
      <c r="O171">
        <v>0</v>
      </c>
      <c r="P171">
        <v>0</v>
      </c>
      <c r="Q171">
        <v>0</v>
      </c>
      <c r="R171">
        <v>0</v>
      </c>
      <c r="S171">
        <v>0</v>
      </c>
      <c r="T171">
        <v>0</v>
      </c>
      <c r="U171">
        <v>0</v>
      </c>
      <c r="V171">
        <v>0</v>
      </c>
      <c r="W171">
        <v>0</v>
      </c>
      <c r="X171">
        <v>0</v>
      </c>
      <c r="Y171">
        <v>0</v>
      </c>
      <c r="Z171">
        <v>0</v>
      </c>
      <c r="AA171">
        <v>0</v>
      </c>
      <c r="AB171">
        <v>0</v>
      </c>
      <c r="AC171">
        <v>0</v>
      </c>
      <c r="AD171">
        <v>0</v>
      </c>
      <c r="AF171">
        <v>0</v>
      </c>
      <c r="AG171">
        <v>0</v>
      </c>
      <c r="AH171">
        <v>0</v>
      </c>
      <c r="AI171">
        <v>0</v>
      </c>
      <c r="AJ171">
        <v>0</v>
      </c>
      <c r="AK171">
        <v>0</v>
      </c>
      <c r="AL171">
        <v>0</v>
      </c>
      <c r="AM171">
        <v>0</v>
      </c>
      <c r="AN171">
        <v>0</v>
      </c>
      <c r="AO171">
        <v>0</v>
      </c>
      <c r="AP171">
        <v>0</v>
      </c>
      <c r="AQ171">
        <v>0</v>
      </c>
      <c r="AR171">
        <v>0</v>
      </c>
      <c r="AS171">
        <v>0</v>
      </c>
      <c r="AT171">
        <v>0</v>
      </c>
      <c r="AU171">
        <v>0</v>
      </c>
      <c r="AV171">
        <v>0</v>
      </c>
      <c r="AW171">
        <v>0</v>
      </c>
      <c r="AX171">
        <v>0</v>
      </c>
      <c r="AY171">
        <v>0</v>
      </c>
      <c r="AZ171">
        <v>0</v>
      </c>
      <c r="BA171">
        <v>0</v>
      </c>
      <c r="BB171">
        <v>0</v>
      </c>
      <c r="BC171">
        <v>0</v>
      </c>
      <c r="BD171">
        <v>0</v>
      </c>
      <c r="BE171">
        <v>0</v>
      </c>
      <c r="BF171">
        <v>0</v>
      </c>
      <c r="BG171">
        <v>0</v>
      </c>
      <c r="BH171">
        <v>0</v>
      </c>
      <c r="BI171">
        <v>0</v>
      </c>
      <c r="BK171" s="151"/>
    </row>
    <row r="172" spans="1:63" x14ac:dyDescent="0.35">
      <c r="A172">
        <v>0</v>
      </c>
      <c r="B172">
        <v>0</v>
      </c>
      <c r="C172">
        <v>0</v>
      </c>
      <c r="D172">
        <v>0</v>
      </c>
      <c r="E172">
        <v>0</v>
      </c>
      <c r="F172">
        <v>0</v>
      </c>
      <c r="G172">
        <v>0</v>
      </c>
      <c r="H172">
        <v>0</v>
      </c>
      <c r="I172">
        <v>0</v>
      </c>
      <c r="J172">
        <v>0</v>
      </c>
      <c r="K172">
        <v>0</v>
      </c>
      <c r="L172">
        <v>0</v>
      </c>
      <c r="M172">
        <v>0</v>
      </c>
      <c r="N172">
        <v>0</v>
      </c>
      <c r="O172">
        <v>0</v>
      </c>
      <c r="P172">
        <v>0</v>
      </c>
      <c r="Q172">
        <v>0</v>
      </c>
      <c r="R172">
        <v>0</v>
      </c>
      <c r="S172">
        <v>0</v>
      </c>
      <c r="T172">
        <v>0</v>
      </c>
      <c r="U172">
        <v>0</v>
      </c>
      <c r="V172">
        <v>0</v>
      </c>
      <c r="W172">
        <v>0</v>
      </c>
      <c r="X172">
        <v>0</v>
      </c>
      <c r="Y172">
        <v>0</v>
      </c>
      <c r="Z172">
        <v>0</v>
      </c>
      <c r="AA172">
        <v>0</v>
      </c>
      <c r="AB172">
        <v>0</v>
      </c>
      <c r="AC172">
        <v>0</v>
      </c>
      <c r="AD172">
        <v>0</v>
      </c>
      <c r="AF172">
        <v>0</v>
      </c>
      <c r="AG172">
        <v>0</v>
      </c>
      <c r="AH172">
        <v>0</v>
      </c>
      <c r="AI172">
        <v>0</v>
      </c>
      <c r="AJ172">
        <v>0</v>
      </c>
      <c r="AK172">
        <v>0</v>
      </c>
      <c r="AL172">
        <v>0</v>
      </c>
      <c r="AM172">
        <v>0</v>
      </c>
      <c r="AN172">
        <v>0</v>
      </c>
      <c r="AO172">
        <v>0</v>
      </c>
      <c r="AP172">
        <v>0</v>
      </c>
      <c r="AQ172">
        <v>0</v>
      </c>
      <c r="AR172">
        <v>0</v>
      </c>
      <c r="AS172">
        <v>0</v>
      </c>
      <c r="AT172">
        <v>0</v>
      </c>
      <c r="AU172">
        <v>0</v>
      </c>
      <c r="AV172">
        <v>0</v>
      </c>
      <c r="AW172">
        <v>0</v>
      </c>
      <c r="AX172">
        <v>0</v>
      </c>
      <c r="AY172">
        <v>0</v>
      </c>
      <c r="AZ172">
        <v>0</v>
      </c>
      <c r="BA172">
        <v>0</v>
      </c>
      <c r="BB172">
        <v>0</v>
      </c>
      <c r="BC172">
        <v>0</v>
      </c>
      <c r="BD172">
        <v>0</v>
      </c>
      <c r="BE172">
        <v>0</v>
      </c>
      <c r="BF172">
        <v>0</v>
      </c>
      <c r="BG172">
        <v>0</v>
      </c>
      <c r="BH172">
        <v>0</v>
      </c>
      <c r="BI172">
        <v>0</v>
      </c>
      <c r="BK172" s="151"/>
    </row>
    <row r="173" spans="1:63" x14ac:dyDescent="0.35">
      <c r="A173">
        <v>0</v>
      </c>
      <c r="B173">
        <v>0</v>
      </c>
      <c r="C173">
        <v>0</v>
      </c>
      <c r="D173">
        <v>0</v>
      </c>
      <c r="E173">
        <v>0</v>
      </c>
      <c r="F173">
        <v>0</v>
      </c>
      <c r="G173">
        <v>0</v>
      </c>
      <c r="H173">
        <v>0</v>
      </c>
      <c r="I173">
        <v>0</v>
      </c>
      <c r="J173">
        <v>0</v>
      </c>
      <c r="K173">
        <v>0</v>
      </c>
      <c r="L173">
        <v>0</v>
      </c>
      <c r="M173">
        <v>0</v>
      </c>
      <c r="N173">
        <v>0</v>
      </c>
      <c r="O173">
        <v>0</v>
      </c>
      <c r="P173">
        <v>0</v>
      </c>
      <c r="Q173">
        <v>0</v>
      </c>
      <c r="R173">
        <v>0</v>
      </c>
      <c r="S173">
        <v>0</v>
      </c>
      <c r="T173">
        <v>0</v>
      </c>
      <c r="U173">
        <v>0</v>
      </c>
      <c r="V173">
        <v>0</v>
      </c>
      <c r="W173">
        <v>0</v>
      </c>
      <c r="X173">
        <v>0</v>
      </c>
      <c r="Y173">
        <v>0</v>
      </c>
      <c r="Z173">
        <v>0</v>
      </c>
      <c r="AA173">
        <v>0</v>
      </c>
      <c r="AB173">
        <v>0</v>
      </c>
      <c r="AC173">
        <v>0</v>
      </c>
      <c r="AD173">
        <v>0</v>
      </c>
      <c r="AF173">
        <v>0</v>
      </c>
      <c r="AG173">
        <v>0</v>
      </c>
      <c r="AH173">
        <v>0</v>
      </c>
      <c r="AI173">
        <v>0</v>
      </c>
      <c r="AJ173">
        <v>0</v>
      </c>
      <c r="AK173">
        <v>0</v>
      </c>
      <c r="AL173">
        <v>0</v>
      </c>
      <c r="AM173">
        <v>0</v>
      </c>
      <c r="AN173">
        <v>0</v>
      </c>
      <c r="AO173">
        <v>0</v>
      </c>
      <c r="AP173">
        <v>0</v>
      </c>
      <c r="AQ173">
        <v>0</v>
      </c>
      <c r="AR173">
        <v>0</v>
      </c>
      <c r="AS173">
        <v>0</v>
      </c>
      <c r="AT173">
        <v>0</v>
      </c>
      <c r="AU173">
        <v>0</v>
      </c>
      <c r="AV173">
        <v>0</v>
      </c>
      <c r="AW173">
        <v>0</v>
      </c>
      <c r="AX173">
        <v>0</v>
      </c>
      <c r="AY173">
        <v>0</v>
      </c>
      <c r="AZ173">
        <v>0</v>
      </c>
      <c r="BA173">
        <v>0</v>
      </c>
      <c r="BB173">
        <v>0</v>
      </c>
      <c r="BC173">
        <v>0</v>
      </c>
      <c r="BD173">
        <v>0</v>
      </c>
      <c r="BE173">
        <v>0</v>
      </c>
      <c r="BF173">
        <v>0</v>
      </c>
      <c r="BG173">
        <v>0</v>
      </c>
      <c r="BH173">
        <v>0</v>
      </c>
      <c r="BI173">
        <v>0</v>
      </c>
      <c r="BK173" s="151"/>
    </row>
    <row r="174" spans="1:63" x14ac:dyDescent="0.35">
      <c r="A174">
        <v>0</v>
      </c>
      <c r="B174">
        <v>0</v>
      </c>
      <c r="C174">
        <v>0</v>
      </c>
      <c r="D174">
        <v>0</v>
      </c>
      <c r="E174">
        <v>0</v>
      </c>
      <c r="F174">
        <v>0</v>
      </c>
      <c r="G174">
        <v>0</v>
      </c>
      <c r="H174">
        <v>0</v>
      </c>
      <c r="I174">
        <v>0</v>
      </c>
      <c r="J174">
        <v>0</v>
      </c>
      <c r="K174">
        <v>0</v>
      </c>
      <c r="L174">
        <v>0</v>
      </c>
      <c r="M174">
        <v>0</v>
      </c>
      <c r="N174">
        <v>0</v>
      </c>
      <c r="O174">
        <v>0</v>
      </c>
      <c r="P174">
        <v>0</v>
      </c>
      <c r="Q174">
        <v>0</v>
      </c>
      <c r="R174">
        <v>0</v>
      </c>
      <c r="S174">
        <v>0</v>
      </c>
      <c r="T174">
        <v>0</v>
      </c>
      <c r="U174">
        <v>0</v>
      </c>
      <c r="V174">
        <v>0</v>
      </c>
      <c r="W174">
        <v>0</v>
      </c>
      <c r="X174">
        <v>0</v>
      </c>
      <c r="Y174">
        <v>0</v>
      </c>
      <c r="Z174">
        <v>0</v>
      </c>
      <c r="AA174">
        <v>0</v>
      </c>
      <c r="AB174">
        <v>0</v>
      </c>
      <c r="AC174">
        <v>0</v>
      </c>
      <c r="AD174">
        <v>0</v>
      </c>
      <c r="AF174">
        <v>0</v>
      </c>
      <c r="AG174">
        <v>0</v>
      </c>
      <c r="AH174">
        <v>0</v>
      </c>
      <c r="AI174">
        <v>0</v>
      </c>
      <c r="AJ174">
        <v>0</v>
      </c>
      <c r="AK174">
        <v>0</v>
      </c>
      <c r="AL174">
        <v>0</v>
      </c>
      <c r="AM174">
        <v>0</v>
      </c>
      <c r="AN174">
        <v>0</v>
      </c>
      <c r="AO174">
        <v>0</v>
      </c>
      <c r="AP174">
        <v>0</v>
      </c>
      <c r="AQ174">
        <v>0</v>
      </c>
      <c r="AR174">
        <v>0</v>
      </c>
      <c r="AS174">
        <v>0</v>
      </c>
      <c r="AT174">
        <v>0</v>
      </c>
      <c r="AU174">
        <v>0</v>
      </c>
      <c r="AV174">
        <v>0</v>
      </c>
      <c r="AW174">
        <v>0</v>
      </c>
      <c r="AX174">
        <v>0</v>
      </c>
      <c r="AY174">
        <v>0</v>
      </c>
      <c r="AZ174">
        <v>0</v>
      </c>
      <c r="BA174">
        <v>0</v>
      </c>
      <c r="BB174">
        <v>0</v>
      </c>
      <c r="BC174">
        <v>0</v>
      </c>
      <c r="BD174">
        <v>0</v>
      </c>
      <c r="BE174">
        <v>0</v>
      </c>
      <c r="BF174">
        <v>0</v>
      </c>
      <c r="BG174">
        <v>0</v>
      </c>
      <c r="BH174">
        <v>0</v>
      </c>
      <c r="BI174">
        <v>0</v>
      </c>
      <c r="BK174" s="151"/>
    </row>
    <row r="175" spans="1:63" x14ac:dyDescent="0.35">
      <c r="A175">
        <v>0</v>
      </c>
      <c r="B175">
        <v>0</v>
      </c>
      <c r="C175">
        <v>0</v>
      </c>
      <c r="D175">
        <v>0</v>
      </c>
      <c r="E175">
        <v>0</v>
      </c>
      <c r="F175">
        <v>0</v>
      </c>
      <c r="G175">
        <v>0</v>
      </c>
      <c r="H175">
        <v>0</v>
      </c>
      <c r="I175">
        <v>0</v>
      </c>
      <c r="J175">
        <v>0</v>
      </c>
      <c r="K175">
        <v>0</v>
      </c>
      <c r="L175">
        <v>0</v>
      </c>
      <c r="M175">
        <v>0</v>
      </c>
      <c r="N175">
        <v>0</v>
      </c>
      <c r="O175">
        <v>0</v>
      </c>
      <c r="P175">
        <v>0</v>
      </c>
      <c r="Q175">
        <v>0</v>
      </c>
      <c r="R175">
        <v>0</v>
      </c>
      <c r="S175">
        <v>0</v>
      </c>
      <c r="T175">
        <v>0</v>
      </c>
      <c r="U175">
        <v>0</v>
      </c>
      <c r="V175">
        <v>0</v>
      </c>
      <c r="W175">
        <v>0</v>
      </c>
      <c r="X175">
        <v>0</v>
      </c>
      <c r="Y175">
        <v>0</v>
      </c>
      <c r="Z175">
        <v>0</v>
      </c>
      <c r="AA175">
        <v>0</v>
      </c>
      <c r="AB175">
        <v>0</v>
      </c>
      <c r="AC175">
        <v>0</v>
      </c>
      <c r="AD175">
        <v>0</v>
      </c>
      <c r="AF175">
        <v>0</v>
      </c>
      <c r="AG175">
        <v>0</v>
      </c>
      <c r="AH175">
        <v>0</v>
      </c>
      <c r="AI175">
        <v>0</v>
      </c>
      <c r="AJ175">
        <v>0</v>
      </c>
      <c r="AK175">
        <v>0</v>
      </c>
      <c r="AL175">
        <v>0</v>
      </c>
      <c r="AM175">
        <v>0</v>
      </c>
      <c r="AN175">
        <v>0</v>
      </c>
      <c r="AO175">
        <v>0</v>
      </c>
      <c r="AP175">
        <v>0</v>
      </c>
      <c r="AQ175">
        <v>0</v>
      </c>
      <c r="AR175">
        <v>0</v>
      </c>
      <c r="AS175">
        <v>0</v>
      </c>
      <c r="AT175">
        <v>0</v>
      </c>
      <c r="AU175">
        <v>0</v>
      </c>
      <c r="AV175">
        <v>0</v>
      </c>
      <c r="AW175">
        <v>0</v>
      </c>
      <c r="AX175">
        <v>0</v>
      </c>
      <c r="AY175">
        <v>0</v>
      </c>
      <c r="AZ175">
        <v>0</v>
      </c>
      <c r="BA175">
        <v>0</v>
      </c>
      <c r="BB175">
        <v>0</v>
      </c>
      <c r="BC175">
        <v>0</v>
      </c>
      <c r="BD175">
        <v>0</v>
      </c>
      <c r="BE175">
        <v>0</v>
      </c>
      <c r="BF175">
        <v>0</v>
      </c>
      <c r="BG175">
        <v>0</v>
      </c>
      <c r="BH175">
        <v>0</v>
      </c>
      <c r="BI175">
        <v>0</v>
      </c>
      <c r="BK175" s="151"/>
    </row>
    <row r="176" spans="1:63" x14ac:dyDescent="0.35">
      <c r="A176">
        <v>0</v>
      </c>
      <c r="B176">
        <v>0</v>
      </c>
      <c r="C176">
        <v>0</v>
      </c>
      <c r="D176">
        <v>0</v>
      </c>
      <c r="E176">
        <v>0</v>
      </c>
      <c r="F176">
        <v>0</v>
      </c>
      <c r="G176">
        <v>0</v>
      </c>
      <c r="H176">
        <v>0</v>
      </c>
      <c r="I176">
        <v>0</v>
      </c>
      <c r="J176">
        <v>0</v>
      </c>
      <c r="K176">
        <v>0</v>
      </c>
      <c r="L176">
        <v>0</v>
      </c>
      <c r="M176">
        <v>0</v>
      </c>
      <c r="N176">
        <v>0</v>
      </c>
      <c r="O176">
        <v>0</v>
      </c>
      <c r="P176">
        <v>0</v>
      </c>
      <c r="Q176">
        <v>0</v>
      </c>
      <c r="R176">
        <v>0</v>
      </c>
      <c r="S176">
        <v>0</v>
      </c>
      <c r="T176">
        <v>0</v>
      </c>
      <c r="U176">
        <v>0</v>
      </c>
      <c r="V176">
        <v>0</v>
      </c>
      <c r="W176">
        <v>0</v>
      </c>
      <c r="X176">
        <v>0</v>
      </c>
      <c r="Y176">
        <v>0</v>
      </c>
      <c r="Z176">
        <v>0</v>
      </c>
      <c r="AA176">
        <v>0</v>
      </c>
      <c r="AB176">
        <v>0</v>
      </c>
      <c r="AC176">
        <v>0</v>
      </c>
      <c r="AD176">
        <v>0</v>
      </c>
      <c r="AF176">
        <v>0</v>
      </c>
      <c r="AG176">
        <v>0</v>
      </c>
      <c r="AH176">
        <v>0</v>
      </c>
      <c r="AI176">
        <v>0</v>
      </c>
      <c r="AJ176">
        <v>0</v>
      </c>
      <c r="AK176">
        <v>0</v>
      </c>
      <c r="AL176">
        <v>0</v>
      </c>
      <c r="AM176">
        <v>0</v>
      </c>
      <c r="AN176">
        <v>0</v>
      </c>
      <c r="AO176">
        <v>0</v>
      </c>
      <c r="AP176">
        <v>0</v>
      </c>
      <c r="AQ176">
        <v>0</v>
      </c>
      <c r="AR176">
        <v>0</v>
      </c>
      <c r="AS176">
        <v>0</v>
      </c>
      <c r="AT176">
        <v>0</v>
      </c>
      <c r="AU176">
        <v>0</v>
      </c>
      <c r="AV176">
        <v>0</v>
      </c>
      <c r="AW176">
        <v>0</v>
      </c>
      <c r="AX176">
        <v>0</v>
      </c>
      <c r="AY176">
        <v>0</v>
      </c>
      <c r="AZ176">
        <v>0</v>
      </c>
      <c r="BA176">
        <v>0</v>
      </c>
      <c r="BB176">
        <v>0</v>
      </c>
      <c r="BC176">
        <v>0</v>
      </c>
      <c r="BD176">
        <v>0</v>
      </c>
      <c r="BE176">
        <v>0</v>
      </c>
      <c r="BF176">
        <v>0</v>
      </c>
      <c r="BG176">
        <v>0</v>
      </c>
      <c r="BH176">
        <v>0</v>
      </c>
      <c r="BI176">
        <v>0</v>
      </c>
      <c r="BK176" s="151"/>
    </row>
    <row r="177" spans="1:63" x14ac:dyDescent="0.35">
      <c r="A177">
        <v>0</v>
      </c>
      <c r="B177">
        <v>0</v>
      </c>
      <c r="C177">
        <v>0</v>
      </c>
      <c r="D177">
        <v>0</v>
      </c>
      <c r="E177">
        <v>0</v>
      </c>
      <c r="F177">
        <v>0</v>
      </c>
      <c r="G177">
        <v>0</v>
      </c>
      <c r="H177">
        <v>0</v>
      </c>
      <c r="I177">
        <v>0</v>
      </c>
      <c r="J177">
        <v>0</v>
      </c>
      <c r="K177">
        <v>0</v>
      </c>
      <c r="L177">
        <v>0</v>
      </c>
      <c r="M177">
        <v>0</v>
      </c>
      <c r="N177">
        <v>0</v>
      </c>
      <c r="O177">
        <v>0</v>
      </c>
      <c r="P177">
        <v>0</v>
      </c>
      <c r="Q177">
        <v>0</v>
      </c>
      <c r="R177">
        <v>0</v>
      </c>
      <c r="S177">
        <v>0</v>
      </c>
      <c r="T177">
        <v>0</v>
      </c>
      <c r="U177">
        <v>0</v>
      </c>
      <c r="V177">
        <v>0</v>
      </c>
      <c r="W177">
        <v>0</v>
      </c>
      <c r="X177">
        <v>0</v>
      </c>
      <c r="Y177">
        <v>0</v>
      </c>
      <c r="Z177">
        <v>0</v>
      </c>
      <c r="AA177">
        <v>0</v>
      </c>
      <c r="AB177">
        <v>0</v>
      </c>
      <c r="AC177">
        <v>0</v>
      </c>
      <c r="AD177">
        <v>0</v>
      </c>
      <c r="AF177">
        <v>0</v>
      </c>
      <c r="AG177">
        <v>0</v>
      </c>
      <c r="AH177">
        <v>0</v>
      </c>
      <c r="AI177">
        <v>0</v>
      </c>
      <c r="AJ177">
        <v>0</v>
      </c>
      <c r="AK177">
        <v>0</v>
      </c>
      <c r="AL177">
        <v>0</v>
      </c>
      <c r="AM177">
        <v>0</v>
      </c>
      <c r="AN177">
        <v>0</v>
      </c>
      <c r="AO177">
        <v>0</v>
      </c>
      <c r="AP177">
        <v>0</v>
      </c>
      <c r="AQ177">
        <v>0</v>
      </c>
      <c r="AR177">
        <v>0</v>
      </c>
      <c r="AS177">
        <v>0</v>
      </c>
      <c r="AT177">
        <v>0</v>
      </c>
      <c r="AU177">
        <v>0</v>
      </c>
      <c r="AV177">
        <v>0</v>
      </c>
      <c r="AW177">
        <v>0</v>
      </c>
      <c r="AX177">
        <v>0</v>
      </c>
      <c r="AY177">
        <v>0</v>
      </c>
      <c r="AZ177">
        <v>0</v>
      </c>
      <c r="BA177">
        <v>0</v>
      </c>
      <c r="BB177">
        <v>0</v>
      </c>
      <c r="BC177">
        <v>0</v>
      </c>
      <c r="BD177">
        <v>0</v>
      </c>
      <c r="BE177">
        <v>0</v>
      </c>
      <c r="BF177">
        <v>0</v>
      </c>
      <c r="BG177">
        <v>0</v>
      </c>
      <c r="BH177">
        <v>0</v>
      </c>
      <c r="BI177">
        <v>0</v>
      </c>
      <c r="BK177" s="151"/>
    </row>
    <row r="178" spans="1:63" x14ac:dyDescent="0.35">
      <c r="A178">
        <v>0</v>
      </c>
      <c r="B178">
        <v>0</v>
      </c>
      <c r="C178">
        <v>0</v>
      </c>
      <c r="D178">
        <v>0</v>
      </c>
      <c r="E178">
        <v>0</v>
      </c>
      <c r="F178">
        <v>0</v>
      </c>
      <c r="G178">
        <v>0</v>
      </c>
      <c r="H178">
        <v>0</v>
      </c>
      <c r="I178">
        <v>0</v>
      </c>
      <c r="J178">
        <v>0</v>
      </c>
      <c r="K178">
        <v>0</v>
      </c>
      <c r="L178">
        <v>0</v>
      </c>
      <c r="M178">
        <v>0</v>
      </c>
      <c r="N178">
        <v>0</v>
      </c>
      <c r="O178">
        <v>0</v>
      </c>
      <c r="P178">
        <v>0</v>
      </c>
      <c r="Q178">
        <v>0</v>
      </c>
      <c r="R178">
        <v>0</v>
      </c>
      <c r="S178">
        <v>0</v>
      </c>
      <c r="T178">
        <v>0</v>
      </c>
      <c r="U178">
        <v>0</v>
      </c>
      <c r="V178">
        <v>0</v>
      </c>
      <c r="W178">
        <v>0</v>
      </c>
      <c r="X178">
        <v>0</v>
      </c>
      <c r="Y178">
        <v>0</v>
      </c>
      <c r="Z178">
        <v>0</v>
      </c>
      <c r="AA178">
        <v>0</v>
      </c>
      <c r="AB178">
        <v>0</v>
      </c>
      <c r="AC178">
        <v>0</v>
      </c>
      <c r="AD178">
        <v>0</v>
      </c>
      <c r="AF178">
        <v>0</v>
      </c>
      <c r="AG178">
        <v>0</v>
      </c>
      <c r="AH178">
        <v>0</v>
      </c>
      <c r="AI178">
        <v>0</v>
      </c>
      <c r="AJ178">
        <v>0</v>
      </c>
      <c r="AK178">
        <v>0</v>
      </c>
      <c r="AL178">
        <v>0</v>
      </c>
      <c r="AM178">
        <v>0</v>
      </c>
      <c r="AN178">
        <v>0</v>
      </c>
      <c r="AO178">
        <v>0</v>
      </c>
      <c r="AP178">
        <v>0</v>
      </c>
      <c r="AQ178">
        <v>0</v>
      </c>
      <c r="AR178">
        <v>0</v>
      </c>
      <c r="AS178">
        <v>0</v>
      </c>
      <c r="AT178">
        <v>0</v>
      </c>
      <c r="AU178">
        <v>0</v>
      </c>
      <c r="AV178">
        <v>0</v>
      </c>
      <c r="AW178">
        <v>0</v>
      </c>
      <c r="AX178">
        <v>0</v>
      </c>
      <c r="AY178">
        <v>0</v>
      </c>
      <c r="AZ178">
        <v>0</v>
      </c>
      <c r="BA178">
        <v>0</v>
      </c>
      <c r="BB178">
        <v>0</v>
      </c>
      <c r="BC178">
        <v>0</v>
      </c>
      <c r="BD178">
        <v>0</v>
      </c>
      <c r="BE178">
        <v>0</v>
      </c>
      <c r="BF178">
        <v>0</v>
      </c>
      <c r="BG178">
        <v>0</v>
      </c>
      <c r="BH178">
        <v>0</v>
      </c>
      <c r="BI178">
        <v>0</v>
      </c>
      <c r="BK178" s="151"/>
    </row>
    <row r="179" spans="1:63" x14ac:dyDescent="0.35">
      <c r="A179">
        <v>0</v>
      </c>
      <c r="B179">
        <v>0</v>
      </c>
      <c r="C179">
        <v>0</v>
      </c>
      <c r="D179">
        <v>0</v>
      </c>
      <c r="E179">
        <v>0</v>
      </c>
      <c r="F179">
        <v>0</v>
      </c>
      <c r="G179">
        <v>0</v>
      </c>
      <c r="H179">
        <v>0</v>
      </c>
      <c r="I179">
        <v>0</v>
      </c>
      <c r="J179">
        <v>0</v>
      </c>
      <c r="K179">
        <v>0</v>
      </c>
      <c r="L179">
        <v>0</v>
      </c>
      <c r="M179">
        <v>0</v>
      </c>
      <c r="N179">
        <v>0</v>
      </c>
      <c r="O179">
        <v>0</v>
      </c>
      <c r="P179">
        <v>0</v>
      </c>
      <c r="Q179">
        <v>0</v>
      </c>
      <c r="R179">
        <v>0</v>
      </c>
      <c r="S179">
        <v>0</v>
      </c>
      <c r="T179">
        <v>0</v>
      </c>
      <c r="U179">
        <v>0</v>
      </c>
      <c r="V179">
        <v>0</v>
      </c>
      <c r="W179">
        <v>0</v>
      </c>
      <c r="X179">
        <v>0</v>
      </c>
      <c r="Y179">
        <v>0</v>
      </c>
      <c r="Z179">
        <v>0</v>
      </c>
      <c r="AA179">
        <v>0</v>
      </c>
      <c r="AB179">
        <v>0</v>
      </c>
      <c r="AC179">
        <v>0</v>
      </c>
      <c r="AD179">
        <v>0</v>
      </c>
      <c r="AF179">
        <v>0</v>
      </c>
      <c r="AG179">
        <v>0</v>
      </c>
      <c r="AH179">
        <v>0</v>
      </c>
      <c r="AI179">
        <v>0</v>
      </c>
      <c r="AJ179">
        <v>0</v>
      </c>
      <c r="AK179">
        <v>0</v>
      </c>
      <c r="AL179">
        <v>0</v>
      </c>
      <c r="AM179">
        <v>0</v>
      </c>
      <c r="AN179">
        <v>0</v>
      </c>
      <c r="AO179">
        <v>0</v>
      </c>
      <c r="AP179">
        <v>0</v>
      </c>
      <c r="AQ179">
        <v>0</v>
      </c>
      <c r="AR179">
        <v>0</v>
      </c>
      <c r="AS179">
        <v>0</v>
      </c>
      <c r="AT179">
        <v>0</v>
      </c>
      <c r="AU179">
        <v>0</v>
      </c>
      <c r="AV179">
        <v>0</v>
      </c>
      <c r="AW179">
        <v>0</v>
      </c>
      <c r="AX179">
        <v>0</v>
      </c>
      <c r="AY179">
        <v>0</v>
      </c>
      <c r="AZ179">
        <v>0</v>
      </c>
      <c r="BA179">
        <v>0</v>
      </c>
      <c r="BB179">
        <v>0</v>
      </c>
      <c r="BC179">
        <v>0</v>
      </c>
      <c r="BD179">
        <v>0</v>
      </c>
      <c r="BE179">
        <v>0</v>
      </c>
      <c r="BF179">
        <v>0</v>
      </c>
      <c r="BG179">
        <v>0</v>
      </c>
      <c r="BH179">
        <v>0</v>
      </c>
      <c r="BI179">
        <v>0</v>
      </c>
      <c r="BK179" s="151"/>
    </row>
    <row r="180" spans="1:63" x14ac:dyDescent="0.35">
      <c r="A180">
        <v>0</v>
      </c>
      <c r="B180">
        <v>0</v>
      </c>
      <c r="C180">
        <v>0</v>
      </c>
      <c r="D180">
        <v>0</v>
      </c>
      <c r="E180">
        <v>0</v>
      </c>
      <c r="F180">
        <v>0</v>
      </c>
      <c r="G180">
        <v>0</v>
      </c>
      <c r="H180">
        <v>0</v>
      </c>
      <c r="I180">
        <v>0</v>
      </c>
      <c r="J180">
        <v>0</v>
      </c>
      <c r="K180">
        <v>0</v>
      </c>
      <c r="L180">
        <v>0</v>
      </c>
      <c r="M180">
        <v>0</v>
      </c>
      <c r="N180">
        <v>0</v>
      </c>
      <c r="O180">
        <v>0</v>
      </c>
      <c r="P180">
        <v>0</v>
      </c>
      <c r="Q180">
        <v>0</v>
      </c>
      <c r="R180">
        <v>0</v>
      </c>
      <c r="S180">
        <v>0</v>
      </c>
      <c r="T180">
        <v>0</v>
      </c>
      <c r="U180">
        <v>0</v>
      </c>
      <c r="V180">
        <v>0</v>
      </c>
      <c r="W180">
        <v>0</v>
      </c>
      <c r="X180">
        <v>0</v>
      </c>
      <c r="Y180">
        <v>0</v>
      </c>
      <c r="Z180">
        <v>0</v>
      </c>
      <c r="AA180">
        <v>0</v>
      </c>
      <c r="AB180">
        <v>0</v>
      </c>
      <c r="AC180">
        <v>0</v>
      </c>
      <c r="AD180">
        <v>0</v>
      </c>
      <c r="AF180">
        <v>0</v>
      </c>
      <c r="AG180">
        <v>0</v>
      </c>
      <c r="AH180">
        <v>0</v>
      </c>
      <c r="AI180">
        <v>0</v>
      </c>
      <c r="AJ180">
        <v>0</v>
      </c>
      <c r="AK180">
        <v>0</v>
      </c>
      <c r="AL180">
        <v>0</v>
      </c>
      <c r="AM180">
        <v>0</v>
      </c>
      <c r="AN180">
        <v>0</v>
      </c>
      <c r="AO180">
        <v>0</v>
      </c>
      <c r="AP180">
        <v>0</v>
      </c>
      <c r="AQ180">
        <v>0</v>
      </c>
      <c r="AR180">
        <v>0</v>
      </c>
      <c r="AS180">
        <v>0</v>
      </c>
      <c r="AT180">
        <v>0</v>
      </c>
      <c r="AU180">
        <v>0</v>
      </c>
      <c r="AV180">
        <v>0</v>
      </c>
      <c r="AW180">
        <v>0</v>
      </c>
      <c r="AX180">
        <v>0</v>
      </c>
      <c r="AY180">
        <v>0</v>
      </c>
      <c r="AZ180">
        <v>0</v>
      </c>
      <c r="BA180">
        <v>0</v>
      </c>
      <c r="BB180">
        <v>0</v>
      </c>
      <c r="BC180">
        <v>0</v>
      </c>
      <c r="BD180">
        <v>0</v>
      </c>
      <c r="BE180">
        <v>0</v>
      </c>
      <c r="BF180">
        <v>0</v>
      </c>
      <c r="BG180">
        <v>0</v>
      </c>
      <c r="BH180">
        <v>0</v>
      </c>
      <c r="BI180">
        <v>0</v>
      </c>
      <c r="BK180" s="151"/>
    </row>
    <row r="181" spans="1:63" x14ac:dyDescent="0.35">
      <c r="A181">
        <v>0</v>
      </c>
      <c r="B181">
        <v>0</v>
      </c>
      <c r="C181">
        <v>0</v>
      </c>
      <c r="D181">
        <v>0</v>
      </c>
      <c r="E181">
        <v>0</v>
      </c>
      <c r="F181">
        <v>0</v>
      </c>
      <c r="G181">
        <v>0</v>
      </c>
      <c r="H181">
        <v>0</v>
      </c>
      <c r="I181">
        <v>0</v>
      </c>
      <c r="J181">
        <v>0</v>
      </c>
      <c r="K181">
        <v>0</v>
      </c>
      <c r="L181">
        <v>0</v>
      </c>
      <c r="M181">
        <v>0</v>
      </c>
      <c r="N181">
        <v>0</v>
      </c>
      <c r="O181">
        <v>0</v>
      </c>
      <c r="P181">
        <v>0</v>
      </c>
      <c r="Q181">
        <v>0</v>
      </c>
      <c r="R181">
        <v>0</v>
      </c>
      <c r="S181">
        <v>0</v>
      </c>
      <c r="T181">
        <v>0</v>
      </c>
      <c r="U181">
        <v>0</v>
      </c>
      <c r="V181">
        <v>0</v>
      </c>
      <c r="W181">
        <v>0</v>
      </c>
      <c r="X181">
        <v>0</v>
      </c>
      <c r="Y181">
        <v>0</v>
      </c>
      <c r="Z181">
        <v>0</v>
      </c>
      <c r="AA181">
        <v>0</v>
      </c>
      <c r="AB181">
        <v>0</v>
      </c>
      <c r="AC181">
        <v>0</v>
      </c>
      <c r="AD181">
        <v>0</v>
      </c>
      <c r="AF181">
        <v>0</v>
      </c>
      <c r="AG181">
        <v>0</v>
      </c>
      <c r="AH181">
        <v>0</v>
      </c>
      <c r="AI181">
        <v>0</v>
      </c>
      <c r="AJ181">
        <v>0</v>
      </c>
      <c r="AK181">
        <v>0</v>
      </c>
      <c r="AL181">
        <v>0</v>
      </c>
      <c r="AM181">
        <v>0</v>
      </c>
      <c r="AN181">
        <v>0</v>
      </c>
      <c r="AO181">
        <v>0</v>
      </c>
      <c r="AP181">
        <v>0</v>
      </c>
      <c r="AQ181">
        <v>0</v>
      </c>
      <c r="AR181">
        <v>0</v>
      </c>
      <c r="AS181">
        <v>0</v>
      </c>
      <c r="AT181">
        <v>0</v>
      </c>
      <c r="AU181">
        <v>0</v>
      </c>
      <c r="AV181">
        <v>0</v>
      </c>
      <c r="AW181">
        <v>0</v>
      </c>
      <c r="AX181">
        <v>0</v>
      </c>
      <c r="AY181">
        <v>0</v>
      </c>
      <c r="AZ181">
        <v>0</v>
      </c>
      <c r="BA181">
        <v>0</v>
      </c>
      <c r="BB181">
        <v>0</v>
      </c>
      <c r="BC181">
        <v>0</v>
      </c>
      <c r="BD181">
        <v>0</v>
      </c>
      <c r="BE181">
        <v>0</v>
      </c>
      <c r="BF181">
        <v>0</v>
      </c>
      <c r="BG181">
        <v>0</v>
      </c>
      <c r="BH181">
        <v>0</v>
      </c>
      <c r="BI181">
        <v>0</v>
      </c>
      <c r="BK181" s="151"/>
    </row>
    <row r="182" spans="1:63" x14ac:dyDescent="0.35">
      <c r="A182">
        <v>0</v>
      </c>
      <c r="B182">
        <v>0</v>
      </c>
      <c r="C182">
        <v>0</v>
      </c>
      <c r="D182">
        <v>0</v>
      </c>
      <c r="E182">
        <v>0</v>
      </c>
      <c r="F182">
        <v>0</v>
      </c>
      <c r="G182">
        <v>0</v>
      </c>
      <c r="H182">
        <v>0</v>
      </c>
      <c r="I182">
        <v>0</v>
      </c>
      <c r="J182">
        <v>0</v>
      </c>
      <c r="K182">
        <v>0</v>
      </c>
      <c r="L182">
        <v>0</v>
      </c>
      <c r="M182">
        <v>0</v>
      </c>
      <c r="N182">
        <v>0</v>
      </c>
      <c r="O182">
        <v>0</v>
      </c>
      <c r="P182">
        <v>0</v>
      </c>
      <c r="Q182">
        <v>0</v>
      </c>
      <c r="R182">
        <v>0</v>
      </c>
      <c r="S182">
        <v>0</v>
      </c>
      <c r="T182">
        <v>0</v>
      </c>
      <c r="U182">
        <v>0</v>
      </c>
      <c r="V182">
        <v>0</v>
      </c>
      <c r="W182">
        <v>0</v>
      </c>
      <c r="X182">
        <v>0</v>
      </c>
      <c r="Y182">
        <v>0</v>
      </c>
      <c r="Z182">
        <v>0</v>
      </c>
      <c r="AA182">
        <v>0</v>
      </c>
      <c r="AB182">
        <v>0</v>
      </c>
      <c r="AC182">
        <v>0</v>
      </c>
      <c r="AD182">
        <v>0</v>
      </c>
      <c r="AF182">
        <v>0</v>
      </c>
      <c r="AG182">
        <v>0</v>
      </c>
      <c r="AH182">
        <v>0</v>
      </c>
      <c r="AI182">
        <v>0</v>
      </c>
      <c r="AJ182">
        <v>0</v>
      </c>
      <c r="AK182">
        <v>0</v>
      </c>
      <c r="AL182">
        <v>0</v>
      </c>
      <c r="AM182">
        <v>0</v>
      </c>
      <c r="AN182">
        <v>0</v>
      </c>
      <c r="AO182">
        <v>0</v>
      </c>
      <c r="AP182">
        <v>0</v>
      </c>
      <c r="AQ182">
        <v>0</v>
      </c>
      <c r="AR182">
        <v>0</v>
      </c>
      <c r="AS182">
        <v>0</v>
      </c>
      <c r="AT182">
        <v>0</v>
      </c>
      <c r="AU182">
        <v>0</v>
      </c>
      <c r="AV182">
        <v>0</v>
      </c>
      <c r="AW182">
        <v>0</v>
      </c>
      <c r="AX182">
        <v>0</v>
      </c>
      <c r="AY182">
        <v>0</v>
      </c>
      <c r="AZ182">
        <v>0</v>
      </c>
      <c r="BA182">
        <v>0</v>
      </c>
      <c r="BB182">
        <v>0</v>
      </c>
      <c r="BC182">
        <v>0</v>
      </c>
      <c r="BD182">
        <v>0</v>
      </c>
      <c r="BE182">
        <v>0</v>
      </c>
      <c r="BF182">
        <v>0</v>
      </c>
      <c r="BG182">
        <v>0</v>
      </c>
      <c r="BH182">
        <v>0</v>
      </c>
      <c r="BI182">
        <v>0</v>
      </c>
      <c r="BK182" s="151"/>
    </row>
    <row r="183" spans="1:63" x14ac:dyDescent="0.35">
      <c r="A183">
        <v>0</v>
      </c>
      <c r="B183">
        <v>0</v>
      </c>
      <c r="C183">
        <v>0</v>
      </c>
      <c r="D183">
        <v>0</v>
      </c>
      <c r="E183">
        <v>0</v>
      </c>
      <c r="F183">
        <v>0</v>
      </c>
      <c r="G183">
        <v>0</v>
      </c>
      <c r="H183">
        <v>0</v>
      </c>
      <c r="I183">
        <v>0</v>
      </c>
      <c r="J183">
        <v>0</v>
      </c>
      <c r="K183">
        <v>0</v>
      </c>
      <c r="L183">
        <v>0</v>
      </c>
      <c r="M183">
        <v>0</v>
      </c>
      <c r="N183">
        <v>0</v>
      </c>
      <c r="O183">
        <v>0</v>
      </c>
      <c r="P183">
        <v>0</v>
      </c>
      <c r="Q183">
        <v>0</v>
      </c>
      <c r="R183">
        <v>0</v>
      </c>
      <c r="S183">
        <v>0</v>
      </c>
      <c r="T183">
        <v>0</v>
      </c>
      <c r="U183">
        <v>0</v>
      </c>
      <c r="V183">
        <v>0</v>
      </c>
      <c r="W183">
        <v>0</v>
      </c>
      <c r="X183">
        <v>0</v>
      </c>
      <c r="Y183">
        <v>0</v>
      </c>
      <c r="Z183">
        <v>0</v>
      </c>
      <c r="AA183">
        <v>0</v>
      </c>
      <c r="AB183">
        <v>0</v>
      </c>
      <c r="AC183">
        <v>0</v>
      </c>
      <c r="AD183">
        <v>0</v>
      </c>
      <c r="AF183">
        <v>0</v>
      </c>
      <c r="AG183">
        <v>0</v>
      </c>
      <c r="AH183">
        <v>0</v>
      </c>
      <c r="AI183">
        <v>0</v>
      </c>
      <c r="AJ183">
        <v>0</v>
      </c>
      <c r="AK183">
        <v>0</v>
      </c>
      <c r="AL183">
        <v>0</v>
      </c>
      <c r="AM183">
        <v>0</v>
      </c>
      <c r="AN183">
        <v>0</v>
      </c>
      <c r="AO183">
        <v>0</v>
      </c>
      <c r="AP183">
        <v>0</v>
      </c>
      <c r="AQ183">
        <v>0</v>
      </c>
      <c r="AR183">
        <v>0</v>
      </c>
      <c r="AS183">
        <v>0</v>
      </c>
      <c r="AT183">
        <v>0</v>
      </c>
      <c r="AU183">
        <v>0</v>
      </c>
      <c r="AV183">
        <v>0</v>
      </c>
      <c r="AW183">
        <v>0</v>
      </c>
      <c r="AX183">
        <v>0</v>
      </c>
      <c r="AY183">
        <v>0</v>
      </c>
      <c r="AZ183">
        <v>0</v>
      </c>
      <c r="BA183">
        <v>0</v>
      </c>
      <c r="BB183">
        <v>0</v>
      </c>
      <c r="BC183">
        <v>0</v>
      </c>
      <c r="BD183">
        <v>0</v>
      </c>
      <c r="BE183">
        <v>0</v>
      </c>
      <c r="BF183">
        <v>0</v>
      </c>
      <c r="BG183">
        <v>0</v>
      </c>
      <c r="BH183">
        <v>0</v>
      </c>
      <c r="BI183">
        <v>0</v>
      </c>
      <c r="BK183" s="151"/>
    </row>
    <row r="184" spans="1:63" x14ac:dyDescent="0.35">
      <c r="A184">
        <v>0</v>
      </c>
      <c r="B184">
        <v>0</v>
      </c>
      <c r="C184">
        <v>0</v>
      </c>
      <c r="D184">
        <v>0</v>
      </c>
      <c r="E184">
        <v>0</v>
      </c>
      <c r="F184">
        <v>0</v>
      </c>
      <c r="G184">
        <v>0</v>
      </c>
      <c r="H184">
        <v>0</v>
      </c>
      <c r="I184">
        <v>0</v>
      </c>
      <c r="J184">
        <v>0</v>
      </c>
      <c r="K184">
        <v>0</v>
      </c>
      <c r="L184">
        <v>0</v>
      </c>
      <c r="M184">
        <v>0</v>
      </c>
      <c r="N184">
        <v>0</v>
      </c>
      <c r="O184">
        <v>0</v>
      </c>
      <c r="P184">
        <v>0</v>
      </c>
      <c r="Q184">
        <v>0</v>
      </c>
      <c r="R184">
        <v>0</v>
      </c>
      <c r="S184">
        <v>0</v>
      </c>
      <c r="T184">
        <v>0</v>
      </c>
      <c r="U184">
        <v>0</v>
      </c>
      <c r="V184">
        <v>0</v>
      </c>
      <c r="W184">
        <v>0</v>
      </c>
      <c r="X184">
        <v>0</v>
      </c>
      <c r="Y184">
        <v>0</v>
      </c>
      <c r="Z184">
        <v>0</v>
      </c>
      <c r="AA184">
        <v>0</v>
      </c>
      <c r="AB184">
        <v>0</v>
      </c>
      <c r="AC184">
        <v>0</v>
      </c>
      <c r="AD184">
        <v>0</v>
      </c>
      <c r="AF184">
        <v>0</v>
      </c>
      <c r="AG184">
        <v>0</v>
      </c>
      <c r="AH184">
        <v>0</v>
      </c>
      <c r="AI184">
        <v>0</v>
      </c>
      <c r="AJ184">
        <v>0</v>
      </c>
      <c r="AK184">
        <v>0</v>
      </c>
      <c r="AL184">
        <v>0</v>
      </c>
      <c r="AM184">
        <v>0</v>
      </c>
      <c r="AN184">
        <v>0</v>
      </c>
      <c r="AO184">
        <v>0</v>
      </c>
      <c r="AP184">
        <v>0</v>
      </c>
      <c r="AQ184">
        <v>0</v>
      </c>
      <c r="AR184">
        <v>0</v>
      </c>
      <c r="AS184">
        <v>0</v>
      </c>
      <c r="AT184">
        <v>0</v>
      </c>
      <c r="AU184">
        <v>0</v>
      </c>
      <c r="AV184">
        <v>0</v>
      </c>
      <c r="AW184">
        <v>0</v>
      </c>
      <c r="AX184">
        <v>0</v>
      </c>
      <c r="AY184">
        <v>0</v>
      </c>
      <c r="AZ184">
        <v>0</v>
      </c>
      <c r="BA184">
        <v>0</v>
      </c>
      <c r="BB184">
        <v>0</v>
      </c>
      <c r="BC184">
        <v>0</v>
      </c>
      <c r="BD184">
        <v>0</v>
      </c>
      <c r="BE184">
        <v>0</v>
      </c>
      <c r="BF184">
        <v>0</v>
      </c>
      <c r="BG184">
        <v>0</v>
      </c>
      <c r="BH184">
        <v>0</v>
      </c>
      <c r="BI184">
        <v>0</v>
      </c>
      <c r="BK184" s="151"/>
    </row>
    <row r="185" spans="1:63" x14ac:dyDescent="0.35">
      <c r="A185">
        <v>0</v>
      </c>
      <c r="B185">
        <v>0</v>
      </c>
      <c r="C185">
        <v>0</v>
      </c>
      <c r="D185">
        <v>0</v>
      </c>
      <c r="E185">
        <v>0</v>
      </c>
      <c r="F185">
        <v>0</v>
      </c>
      <c r="G185">
        <v>0</v>
      </c>
      <c r="H185">
        <v>0</v>
      </c>
      <c r="I185">
        <v>0</v>
      </c>
      <c r="J185">
        <v>0</v>
      </c>
      <c r="K185">
        <v>0</v>
      </c>
      <c r="L185">
        <v>0</v>
      </c>
      <c r="M185">
        <v>0</v>
      </c>
      <c r="N185">
        <v>0</v>
      </c>
      <c r="O185">
        <v>0</v>
      </c>
      <c r="P185">
        <v>0</v>
      </c>
      <c r="Q185">
        <v>0</v>
      </c>
      <c r="R185">
        <v>0</v>
      </c>
      <c r="S185">
        <v>0</v>
      </c>
      <c r="T185">
        <v>0</v>
      </c>
      <c r="U185">
        <v>0</v>
      </c>
      <c r="V185">
        <v>0</v>
      </c>
      <c r="W185">
        <v>0</v>
      </c>
      <c r="X185">
        <v>0</v>
      </c>
      <c r="Y185">
        <v>0</v>
      </c>
      <c r="Z185">
        <v>0</v>
      </c>
      <c r="AA185">
        <v>0</v>
      </c>
      <c r="AB185">
        <v>0</v>
      </c>
      <c r="AC185">
        <v>0</v>
      </c>
      <c r="AD185">
        <v>0</v>
      </c>
      <c r="AF185">
        <v>0</v>
      </c>
      <c r="AG185">
        <v>0</v>
      </c>
      <c r="AH185">
        <v>0</v>
      </c>
      <c r="AI185">
        <v>0</v>
      </c>
      <c r="AJ185">
        <v>0</v>
      </c>
      <c r="AK185">
        <v>0</v>
      </c>
      <c r="AL185">
        <v>0</v>
      </c>
      <c r="AM185">
        <v>0</v>
      </c>
      <c r="AN185">
        <v>0</v>
      </c>
      <c r="AO185">
        <v>0</v>
      </c>
      <c r="AP185">
        <v>0</v>
      </c>
      <c r="AQ185">
        <v>0</v>
      </c>
      <c r="AR185">
        <v>0</v>
      </c>
      <c r="AS185">
        <v>0</v>
      </c>
      <c r="AT185">
        <v>0</v>
      </c>
      <c r="AU185">
        <v>0</v>
      </c>
      <c r="AV185">
        <v>0</v>
      </c>
      <c r="AW185">
        <v>0</v>
      </c>
      <c r="AX185">
        <v>0</v>
      </c>
      <c r="AY185">
        <v>0</v>
      </c>
      <c r="AZ185">
        <v>0</v>
      </c>
      <c r="BA185">
        <v>0</v>
      </c>
      <c r="BB185">
        <v>0</v>
      </c>
      <c r="BC185">
        <v>0</v>
      </c>
      <c r="BD185">
        <v>0</v>
      </c>
      <c r="BE185">
        <v>0</v>
      </c>
      <c r="BF185">
        <v>0</v>
      </c>
      <c r="BG185">
        <v>0</v>
      </c>
      <c r="BH185">
        <v>0</v>
      </c>
      <c r="BI185">
        <v>0</v>
      </c>
      <c r="BK185" s="151"/>
    </row>
    <row r="186" spans="1:63" x14ac:dyDescent="0.35">
      <c r="A186">
        <v>0</v>
      </c>
      <c r="B186">
        <v>0</v>
      </c>
      <c r="C186">
        <v>0</v>
      </c>
      <c r="D186">
        <v>0</v>
      </c>
      <c r="E186">
        <v>0</v>
      </c>
      <c r="F186">
        <v>0</v>
      </c>
      <c r="G186">
        <v>0</v>
      </c>
      <c r="H186">
        <v>0</v>
      </c>
      <c r="I186">
        <v>0</v>
      </c>
      <c r="J186">
        <v>0</v>
      </c>
      <c r="K186">
        <v>0</v>
      </c>
      <c r="L186">
        <v>0</v>
      </c>
      <c r="M186">
        <v>0</v>
      </c>
      <c r="N186">
        <v>0</v>
      </c>
      <c r="O186">
        <v>0</v>
      </c>
      <c r="P186">
        <v>0</v>
      </c>
      <c r="Q186">
        <v>0</v>
      </c>
      <c r="R186">
        <v>0</v>
      </c>
      <c r="S186">
        <v>0</v>
      </c>
      <c r="T186">
        <v>0</v>
      </c>
      <c r="U186">
        <v>0</v>
      </c>
      <c r="V186">
        <v>0</v>
      </c>
      <c r="W186">
        <v>0</v>
      </c>
      <c r="X186">
        <v>0</v>
      </c>
      <c r="Y186">
        <v>0</v>
      </c>
      <c r="Z186">
        <v>0</v>
      </c>
      <c r="AA186">
        <v>0</v>
      </c>
      <c r="AB186">
        <v>0</v>
      </c>
      <c r="AC186">
        <v>0</v>
      </c>
      <c r="AD186">
        <v>0</v>
      </c>
      <c r="AF186">
        <v>0</v>
      </c>
      <c r="AG186">
        <v>0</v>
      </c>
      <c r="AH186">
        <v>0</v>
      </c>
      <c r="AI186">
        <v>0</v>
      </c>
      <c r="AJ186">
        <v>0</v>
      </c>
      <c r="AK186">
        <v>0</v>
      </c>
      <c r="AL186">
        <v>0</v>
      </c>
      <c r="AM186">
        <v>0</v>
      </c>
      <c r="AN186">
        <v>0</v>
      </c>
      <c r="AO186">
        <v>0</v>
      </c>
      <c r="AP186">
        <v>0</v>
      </c>
      <c r="AQ186">
        <v>0</v>
      </c>
      <c r="AR186">
        <v>0</v>
      </c>
      <c r="AS186">
        <v>0</v>
      </c>
      <c r="AT186">
        <v>0</v>
      </c>
      <c r="AU186">
        <v>0</v>
      </c>
      <c r="AV186">
        <v>0</v>
      </c>
      <c r="AW186">
        <v>0</v>
      </c>
      <c r="AX186">
        <v>0</v>
      </c>
      <c r="AY186">
        <v>0</v>
      </c>
      <c r="AZ186">
        <v>0</v>
      </c>
      <c r="BA186">
        <v>0</v>
      </c>
      <c r="BB186">
        <v>0</v>
      </c>
      <c r="BC186">
        <v>0</v>
      </c>
      <c r="BD186">
        <v>0</v>
      </c>
      <c r="BE186">
        <v>0</v>
      </c>
      <c r="BF186">
        <v>0</v>
      </c>
      <c r="BG186">
        <v>0</v>
      </c>
      <c r="BH186">
        <v>0</v>
      </c>
      <c r="BI186">
        <v>0</v>
      </c>
      <c r="BK186" s="151"/>
    </row>
    <row r="187" spans="1:63" x14ac:dyDescent="0.35">
      <c r="A187">
        <v>0</v>
      </c>
      <c r="B187">
        <v>0</v>
      </c>
      <c r="C187">
        <v>0</v>
      </c>
      <c r="D187">
        <v>0</v>
      </c>
      <c r="E187">
        <v>0</v>
      </c>
      <c r="F187">
        <v>0</v>
      </c>
      <c r="G187">
        <v>0</v>
      </c>
      <c r="H187">
        <v>0</v>
      </c>
      <c r="I187">
        <v>0</v>
      </c>
      <c r="J187">
        <v>0</v>
      </c>
      <c r="K187">
        <v>0</v>
      </c>
      <c r="L187">
        <v>0</v>
      </c>
      <c r="M187">
        <v>0</v>
      </c>
      <c r="N187">
        <v>0</v>
      </c>
      <c r="O187">
        <v>0</v>
      </c>
      <c r="P187">
        <v>0</v>
      </c>
      <c r="Q187">
        <v>0</v>
      </c>
      <c r="R187">
        <v>0</v>
      </c>
      <c r="S187">
        <v>0</v>
      </c>
      <c r="T187">
        <v>0</v>
      </c>
      <c r="U187">
        <v>0</v>
      </c>
      <c r="V187">
        <v>0</v>
      </c>
      <c r="W187">
        <v>0</v>
      </c>
      <c r="X187">
        <v>0</v>
      </c>
      <c r="Y187">
        <v>0</v>
      </c>
      <c r="Z187">
        <v>0</v>
      </c>
      <c r="AA187">
        <v>0</v>
      </c>
      <c r="AB187">
        <v>0</v>
      </c>
      <c r="AC187">
        <v>0</v>
      </c>
      <c r="AD187">
        <v>0</v>
      </c>
      <c r="AF187">
        <v>0</v>
      </c>
      <c r="AG187">
        <v>0</v>
      </c>
      <c r="AH187">
        <v>0</v>
      </c>
      <c r="AI187">
        <v>0</v>
      </c>
      <c r="AJ187">
        <v>0</v>
      </c>
      <c r="AK187">
        <v>0</v>
      </c>
      <c r="AL187">
        <v>0</v>
      </c>
      <c r="AM187">
        <v>0</v>
      </c>
      <c r="AN187">
        <v>0</v>
      </c>
      <c r="AO187">
        <v>0</v>
      </c>
      <c r="AP187">
        <v>0</v>
      </c>
      <c r="AQ187">
        <v>0</v>
      </c>
      <c r="AR187">
        <v>0</v>
      </c>
      <c r="AS187">
        <v>0</v>
      </c>
      <c r="AT187">
        <v>0</v>
      </c>
      <c r="AU187">
        <v>0</v>
      </c>
      <c r="AV187">
        <v>0</v>
      </c>
      <c r="AW187">
        <v>0</v>
      </c>
      <c r="AX187">
        <v>0</v>
      </c>
      <c r="AY187">
        <v>0</v>
      </c>
      <c r="AZ187">
        <v>0</v>
      </c>
      <c r="BA187">
        <v>0</v>
      </c>
      <c r="BB187">
        <v>0</v>
      </c>
      <c r="BC187">
        <v>0</v>
      </c>
      <c r="BD187">
        <v>0</v>
      </c>
      <c r="BE187">
        <v>0</v>
      </c>
      <c r="BF187">
        <v>0</v>
      </c>
      <c r="BG187">
        <v>0</v>
      </c>
      <c r="BH187">
        <v>0</v>
      </c>
      <c r="BI187">
        <v>0</v>
      </c>
      <c r="BK187" s="151"/>
    </row>
    <row r="188" spans="1:63" x14ac:dyDescent="0.35">
      <c r="A188">
        <v>0</v>
      </c>
      <c r="B188">
        <v>0</v>
      </c>
      <c r="C188">
        <v>0</v>
      </c>
      <c r="D188">
        <v>0</v>
      </c>
      <c r="E188">
        <v>0</v>
      </c>
      <c r="F188">
        <v>0</v>
      </c>
      <c r="G188">
        <v>0</v>
      </c>
      <c r="H188">
        <v>0</v>
      </c>
      <c r="I188">
        <v>0</v>
      </c>
      <c r="J188">
        <v>0</v>
      </c>
      <c r="K188">
        <v>0</v>
      </c>
      <c r="L188">
        <v>0</v>
      </c>
      <c r="M188">
        <v>0</v>
      </c>
      <c r="N188">
        <v>0</v>
      </c>
      <c r="O188">
        <v>0</v>
      </c>
      <c r="P188">
        <v>0</v>
      </c>
      <c r="Q188">
        <v>0</v>
      </c>
      <c r="R188">
        <v>0</v>
      </c>
      <c r="S188">
        <v>0</v>
      </c>
      <c r="T188">
        <v>0</v>
      </c>
      <c r="U188">
        <v>0</v>
      </c>
      <c r="V188">
        <v>0</v>
      </c>
      <c r="W188">
        <v>0</v>
      </c>
      <c r="X188">
        <v>0</v>
      </c>
      <c r="Y188">
        <v>0</v>
      </c>
      <c r="Z188">
        <v>0</v>
      </c>
      <c r="AA188">
        <v>0</v>
      </c>
      <c r="AB188">
        <v>0</v>
      </c>
      <c r="AC188">
        <v>0</v>
      </c>
      <c r="AD188">
        <v>0</v>
      </c>
      <c r="AF188">
        <v>0</v>
      </c>
      <c r="AG188">
        <v>0</v>
      </c>
      <c r="AH188">
        <v>0</v>
      </c>
      <c r="AI188">
        <v>0</v>
      </c>
      <c r="AJ188">
        <v>0</v>
      </c>
      <c r="AK188">
        <v>0</v>
      </c>
      <c r="AL188">
        <v>0</v>
      </c>
      <c r="AM188">
        <v>0</v>
      </c>
      <c r="AN188">
        <v>0</v>
      </c>
      <c r="AO188">
        <v>0</v>
      </c>
      <c r="AP188">
        <v>0</v>
      </c>
      <c r="AQ188">
        <v>0</v>
      </c>
      <c r="AR188">
        <v>0</v>
      </c>
      <c r="AS188">
        <v>0</v>
      </c>
      <c r="AT188">
        <v>0</v>
      </c>
      <c r="AU188">
        <v>0</v>
      </c>
      <c r="AV188">
        <v>0</v>
      </c>
      <c r="AW188">
        <v>0</v>
      </c>
      <c r="AX188">
        <v>0</v>
      </c>
      <c r="AY188">
        <v>0</v>
      </c>
      <c r="AZ188">
        <v>0</v>
      </c>
      <c r="BA188">
        <v>0</v>
      </c>
      <c r="BB188">
        <v>0</v>
      </c>
      <c r="BC188">
        <v>0</v>
      </c>
      <c r="BD188">
        <v>0</v>
      </c>
      <c r="BE188">
        <v>0</v>
      </c>
      <c r="BF188">
        <v>0</v>
      </c>
      <c r="BG188">
        <v>0</v>
      </c>
      <c r="BH188">
        <v>0</v>
      </c>
      <c r="BI188">
        <v>0</v>
      </c>
      <c r="BK188" s="151"/>
    </row>
    <row r="189" spans="1:63" x14ac:dyDescent="0.35">
      <c r="A189">
        <v>0</v>
      </c>
      <c r="B189">
        <v>0</v>
      </c>
      <c r="C189">
        <v>0</v>
      </c>
      <c r="D189">
        <v>0</v>
      </c>
      <c r="E189">
        <v>0</v>
      </c>
      <c r="F189">
        <v>0</v>
      </c>
      <c r="G189">
        <v>0</v>
      </c>
      <c r="H189">
        <v>0</v>
      </c>
      <c r="I189">
        <v>0</v>
      </c>
      <c r="J189">
        <v>0</v>
      </c>
      <c r="K189">
        <v>0</v>
      </c>
      <c r="L189">
        <v>0</v>
      </c>
      <c r="M189">
        <v>0</v>
      </c>
      <c r="N189">
        <v>0</v>
      </c>
      <c r="O189">
        <v>0</v>
      </c>
      <c r="P189">
        <v>0</v>
      </c>
      <c r="Q189">
        <v>0</v>
      </c>
      <c r="R189">
        <v>0</v>
      </c>
      <c r="S189">
        <v>0</v>
      </c>
      <c r="T189">
        <v>0</v>
      </c>
      <c r="U189">
        <v>0</v>
      </c>
      <c r="V189">
        <v>0</v>
      </c>
      <c r="W189">
        <v>0</v>
      </c>
      <c r="X189">
        <v>0</v>
      </c>
      <c r="Y189">
        <v>0</v>
      </c>
      <c r="Z189">
        <v>0</v>
      </c>
      <c r="AA189">
        <v>0</v>
      </c>
      <c r="AB189">
        <v>0</v>
      </c>
      <c r="AC189">
        <v>0</v>
      </c>
      <c r="AD189">
        <v>0</v>
      </c>
      <c r="AF189">
        <v>0</v>
      </c>
      <c r="AG189">
        <v>0</v>
      </c>
      <c r="AH189">
        <v>0</v>
      </c>
      <c r="AI189">
        <v>0</v>
      </c>
      <c r="AJ189">
        <v>0</v>
      </c>
      <c r="AK189">
        <v>0</v>
      </c>
      <c r="AL189">
        <v>0</v>
      </c>
      <c r="AM189">
        <v>0</v>
      </c>
      <c r="AN189">
        <v>0</v>
      </c>
      <c r="AO189">
        <v>0</v>
      </c>
      <c r="AP189">
        <v>0</v>
      </c>
      <c r="AQ189">
        <v>0</v>
      </c>
      <c r="AR189">
        <v>0</v>
      </c>
      <c r="AS189">
        <v>0</v>
      </c>
      <c r="AT189">
        <v>0</v>
      </c>
      <c r="AU189">
        <v>0</v>
      </c>
      <c r="AV189">
        <v>0</v>
      </c>
      <c r="AW189">
        <v>0</v>
      </c>
      <c r="AX189">
        <v>0</v>
      </c>
      <c r="AY189">
        <v>0</v>
      </c>
      <c r="AZ189">
        <v>0</v>
      </c>
      <c r="BA189">
        <v>0</v>
      </c>
      <c r="BB189">
        <v>0</v>
      </c>
      <c r="BC189">
        <v>0</v>
      </c>
      <c r="BD189">
        <v>0</v>
      </c>
      <c r="BE189">
        <v>0</v>
      </c>
      <c r="BF189">
        <v>0</v>
      </c>
      <c r="BG189">
        <v>0</v>
      </c>
      <c r="BH189">
        <v>0</v>
      </c>
      <c r="BI189">
        <v>0</v>
      </c>
      <c r="BK189" s="151"/>
    </row>
    <row r="190" spans="1:63" x14ac:dyDescent="0.35">
      <c r="A190">
        <v>0</v>
      </c>
      <c r="B190">
        <v>0</v>
      </c>
      <c r="C190">
        <v>0</v>
      </c>
      <c r="D190">
        <v>0</v>
      </c>
      <c r="E190">
        <v>0</v>
      </c>
      <c r="F190">
        <v>0</v>
      </c>
      <c r="G190">
        <v>0</v>
      </c>
      <c r="H190">
        <v>0</v>
      </c>
      <c r="I190">
        <v>0</v>
      </c>
      <c r="J190">
        <v>0</v>
      </c>
      <c r="K190">
        <v>0</v>
      </c>
      <c r="L190">
        <v>0</v>
      </c>
      <c r="M190">
        <v>0</v>
      </c>
      <c r="N190">
        <v>0</v>
      </c>
      <c r="O190">
        <v>0</v>
      </c>
      <c r="P190">
        <v>0</v>
      </c>
      <c r="Q190">
        <v>0</v>
      </c>
      <c r="R190">
        <v>0</v>
      </c>
      <c r="S190">
        <v>0</v>
      </c>
      <c r="T190">
        <v>0</v>
      </c>
      <c r="U190">
        <v>0</v>
      </c>
      <c r="V190">
        <v>0</v>
      </c>
      <c r="W190">
        <v>0</v>
      </c>
      <c r="X190">
        <v>0</v>
      </c>
      <c r="Y190">
        <v>0</v>
      </c>
      <c r="Z190">
        <v>0</v>
      </c>
      <c r="AA190">
        <v>0</v>
      </c>
      <c r="AB190">
        <v>0</v>
      </c>
      <c r="AC190">
        <v>0</v>
      </c>
      <c r="AD190">
        <v>0</v>
      </c>
      <c r="AF190">
        <v>0</v>
      </c>
      <c r="AG190">
        <v>0</v>
      </c>
      <c r="AH190">
        <v>0</v>
      </c>
      <c r="AI190">
        <v>0</v>
      </c>
      <c r="AJ190">
        <v>0</v>
      </c>
      <c r="AK190">
        <v>0</v>
      </c>
      <c r="AL190">
        <v>0</v>
      </c>
      <c r="AM190">
        <v>0</v>
      </c>
      <c r="AN190">
        <v>0</v>
      </c>
      <c r="AO190">
        <v>0</v>
      </c>
      <c r="AP190">
        <v>0</v>
      </c>
      <c r="AQ190">
        <v>0</v>
      </c>
      <c r="AR190">
        <v>0</v>
      </c>
      <c r="AS190">
        <v>0</v>
      </c>
      <c r="AT190">
        <v>0</v>
      </c>
      <c r="AU190">
        <v>0</v>
      </c>
      <c r="AV190">
        <v>0</v>
      </c>
      <c r="AW190">
        <v>0</v>
      </c>
      <c r="AX190">
        <v>0</v>
      </c>
      <c r="AY190">
        <v>0</v>
      </c>
      <c r="AZ190">
        <v>0</v>
      </c>
      <c r="BA190">
        <v>0</v>
      </c>
      <c r="BB190">
        <v>0</v>
      </c>
      <c r="BC190">
        <v>0</v>
      </c>
      <c r="BD190">
        <v>0</v>
      </c>
      <c r="BE190">
        <v>0</v>
      </c>
      <c r="BF190">
        <v>0</v>
      </c>
      <c r="BG190">
        <v>0</v>
      </c>
      <c r="BH190">
        <v>0</v>
      </c>
      <c r="BI190">
        <v>0</v>
      </c>
      <c r="BK190" s="151"/>
    </row>
    <row r="191" spans="1:63" x14ac:dyDescent="0.35">
      <c r="A191">
        <v>0</v>
      </c>
      <c r="B191">
        <v>0</v>
      </c>
      <c r="C191">
        <v>0</v>
      </c>
      <c r="D191">
        <v>0</v>
      </c>
      <c r="E191">
        <v>0</v>
      </c>
      <c r="F191">
        <v>0</v>
      </c>
      <c r="G191">
        <v>0</v>
      </c>
      <c r="H191">
        <v>0</v>
      </c>
      <c r="I191">
        <v>0</v>
      </c>
      <c r="J191">
        <v>0</v>
      </c>
      <c r="K191">
        <v>0</v>
      </c>
      <c r="L191">
        <v>0</v>
      </c>
      <c r="M191">
        <v>0</v>
      </c>
      <c r="N191">
        <v>0</v>
      </c>
      <c r="O191">
        <v>0</v>
      </c>
      <c r="P191">
        <v>0</v>
      </c>
      <c r="Q191">
        <v>0</v>
      </c>
      <c r="R191">
        <v>0</v>
      </c>
      <c r="S191">
        <v>0</v>
      </c>
      <c r="T191">
        <v>0</v>
      </c>
      <c r="U191">
        <v>0</v>
      </c>
      <c r="V191">
        <v>0</v>
      </c>
      <c r="W191">
        <v>0</v>
      </c>
      <c r="X191">
        <v>0</v>
      </c>
      <c r="Y191">
        <v>0</v>
      </c>
      <c r="Z191">
        <v>0</v>
      </c>
      <c r="AA191">
        <v>0</v>
      </c>
      <c r="AB191">
        <v>0</v>
      </c>
      <c r="AC191">
        <v>0</v>
      </c>
      <c r="AD191">
        <v>0</v>
      </c>
      <c r="AF191">
        <v>0</v>
      </c>
      <c r="AG191">
        <v>0</v>
      </c>
      <c r="AH191">
        <v>0</v>
      </c>
      <c r="AI191">
        <v>0</v>
      </c>
      <c r="AJ191">
        <v>0</v>
      </c>
      <c r="AK191">
        <v>0</v>
      </c>
      <c r="AL191">
        <v>0</v>
      </c>
      <c r="AM191">
        <v>0</v>
      </c>
      <c r="AN191">
        <v>0</v>
      </c>
      <c r="AO191">
        <v>0</v>
      </c>
      <c r="AP191">
        <v>0</v>
      </c>
      <c r="AQ191">
        <v>0</v>
      </c>
      <c r="AR191">
        <v>0</v>
      </c>
      <c r="AS191">
        <v>0</v>
      </c>
      <c r="AT191">
        <v>0</v>
      </c>
      <c r="AU191">
        <v>0</v>
      </c>
      <c r="AV191">
        <v>0</v>
      </c>
      <c r="AW191">
        <v>0</v>
      </c>
      <c r="AX191">
        <v>0</v>
      </c>
      <c r="AY191">
        <v>0</v>
      </c>
      <c r="AZ191">
        <v>0</v>
      </c>
      <c r="BA191">
        <v>0</v>
      </c>
      <c r="BB191">
        <v>0</v>
      </c>
      <c r="BC191">
        <v>0</v>
      </c>
      <c r="BD191">
        <v>0</v>
      </c>
      <c r="BE191">
        <v>0</v>
      </c>
      <c r="BF191">
        <v>0</v>
      </c>
      <c r="BG191">
        <v>0</v>
      </c>
      <c r="BH191">
        <v>0</v>
      </c>
      <c r="BI191">
        <v>0</v>
      </c>
      <c r="BK191" s="151"/>
    </row>
    <row r="192" spans="1:63" x14ac:dyDescent="0.35">
      <c r="A192">
        <v>0</v>
      </c>
      <c r="B192">
        <v>0</v>
      </c>
      <c r="C192">
        <v>0</v>
      </c>
      <c r="D192">
        <v>0</v>
      </c>
      <c r="E192">
        <v>0</v>
      </c>
      <c r="F192">
        <v>0</v>
      </c>
      <c r="G192">
        <v>0</v>
      </c>
      <c r="H192">
        <v>0</v>
      </c>
      <c r="I192">
        <v>0</v>
      </c>
      <c r="J192">
        <v>0</v>
      </c>
      <c r="K192">
        <v>0</v>
      </c>
      <c r="L192">
        <v>0</v>
      </c>
      <c r="M192">
        <v>0</v>
      </c>
      <c r="N192">
        <v>0</v>
      </c>
      <c r="O192">
        <v>0</v>
      </c>
      <c r="P192">
        <v>0</v>
      </c>
      <c r="Q192">
        <v>0</v>
      </c>
      <c r="R192">
        <v>0</v>
      </c>
      <c r="S192">
        <v>0</v>
      </c>
      <c r="T192">
        <v>0</v>
      </c>
      <c r="U192">
        <v>0</v>
      </c>
      <c r="V192">
        <v>0</v>
      </c>
      <c r="W192">
        <v>0</v>
      </c>
      <c r="X192">
        <v>0</v>
      </c>
      <c r="Y192">
        <v>0</v>
      </c>
      <c r="Z192">
        <v>0</v>
      </c>
      <c r="AA192">
        <v>0</v>
      </c>
      <c r="AB192">
        <v>0</v>
      </c>
      <c r="AC192">
        <v>0</v>
      </c>
      <c r="AD192">
        <v>0</v>
      </c>
      <c r="AF192">
        <v>0</v>
      </c>
      <c r="AG192">
        <v>0</v>
      </c>
      <c r="AH192">
        <v>0</v>
      </c>
      <c r="AI192">
        <v>0</v>
      </c>
      <c r="AJ192">
        <v>0</v>
      </c>
      <c r="AK192">
        <v>0</v>
      </c>
      <c r="AL192">
        <v>0</v>
      </c>
      <c r="AM192">
        <v>0</v>
      </c>
      <c r="AN192">
        <v>0</v>
      </c>
      <c r="AO192">
        <v>0</v>
      </c>
      <c r="AP192">
        <v>0</v>
      </c>
      <c r="AQ192">
        <v>0</v>
      </c>
      <c r="AR192">
        <v>0</v>
      </c>
      <c r="AS192">
        <v>0</v>
      </c>
      <c r="AT192">
        <v>0</v>
      </c>
      <c r="AU192">
        <v>0</v>
      </c>
      <c r="AV192">
        <v>0</v>
      </c>
      <c r="AW192">
        <v>0</v>
      </c>
      <c r="AX192">
        <v>0</v>
      </c>
      <c r="AY192">
        <v>0</v>
      </c>
      <c r="AZ192">
        <v>0</v>
      </c>
      <c r="BA192">
        <v>0</v>
      </c>
      <c r="BB192">
        <v>0</v>
      </c>
      <c r="BC192">
        <v>0</v>
      </c>
      <c r="BD192">
        <v>0</v>
      </c>
      <c r="BE192">
        <v>0</v>
      </c>
      <c r="BF192">
        <v>0</v>
      </c>
      <c r="BG192">
        <v>0</v>
      </c>
      <c r="BH192">
        <v>0</v>
      </c>
      <c r="BI192">
        <v>0</v>
      </c>
      <c r="BK192" s="151"/>
    </row>
    <row r="193" spans="1:63" x14ac:dyDescent="0.35">
      <c r="A193">
        <v>0</v>
      </c>
      <c r="B193">
        <v>0</v>
      </c>
      <c r="C193">
        <v>0</v>
      </c>
      <c r="D193">
        <v>0</v>
      </c>
      <c r="E193">
        <v>0</v>
      </c>
      <c r="F193">
        <v>0</v>
      </c>
      <c r="G193">
        <v>0</v>
      </c>
      <c r="H193">
        <v>0</v>
      </c>
      <c r="I193">
        <v>0</v>
      </c>
      <c r="J193">
        <v>0</v>
      </c>
      <c r="K193">
        <v>0</v>
      </c>
      <c r="L193">
        <v>0</v>
      </c>
      <c r="M193">
        <v>0</v>
      </c>
      <c r="N193">
        <v>0</v>
      </c>
      <c r="O193">
        <v>0</v>
      </c>
      <c r="P193">
        <v>0</v>
      </c>
      <c r="Q193">
        <v>0</v>
      </c>
      <c r="R193">
        <v>0</v>
      </c>
      <c r="S193">
        <v>0</v>
      </c>
      <c r="T193">
        <v>0</v>
      </c>
      <c r="U193">
        <v>0</v>
      </c>
      <c r="V193">
        <v>0</v>
      </c>
      <c r="W193">
        <v>0</v>
      </c>
      <c r="X193">
        <v>0</v>
      </c>
      <c r="Y193">
        <v>0</v>
      </c>
      <c r="Z193">
        <v>0</v>
      </c>
      <c r="AA193">
        <v>0</v>
      </c>
      <c r="AB193">
        <v>0</v>
      </c>
      <c r="AC193">
        <v>0</v>
      </c>
      <c r="AD193">
        <v>0</v>
      </c>
      <c r="AF193">
        <v>0</v>
      </c>
      <c r="AG193">
        <v>0</v>
      </c>
      <c r="AH193">
        <v>0</v>
      </c>
      <c r="AI193">
        <v>0</v>
      </c>
      <c r="AJ193">
        <v>0</v>
      </c>
      <c r="AK193">
        <v>0</v>
      </c>
      <c r="AL193">
        <v>0</v>
      </c>
      <c r="AM193">
        <v>0</v>
      </c>
      <c r="AN193">
        <v>0</v>
      </c>
      <c r="AO193">
        <v>0</v>
      </c>
      <c r="AP193">
        <v>0</v>
      </c>
      <c r="AQ193">
        <v>0</v>
      </c>
      <c r="AR193">
        <v>0</v>
      </c>
      <c r="AS193">
        <v>0</v>
      </c>
      <c r="AT193">
        <v>0</v>
      </c>
      <c r="AU193">
        <v>0</v>
      </c>
      <c r="AV193">
        <v>0</v>
      </c>
      <c r="AW193">
        <v>0</v>
      </c>
      <c r="AX193">
        <v>0</v>
      </c>
      <c r="AY193">
        <v>0</v>
      </c>
      <c r="AZ193">
        <v>0</v>
      </c>
      <c r="BA193">
        <v>0</v>
      </c>
      <c r="BB193">
        <v>0</v>
      </c>
      <c r="BC193">
        <v>0</v>
      </c>
      <c r="BD193">
        <v>0</v>
      </c>
      <c r="BE193">
        <v>0</v>
      </c>
      <c r="BF193">
        <v>0</v>
      </c>
      <c r="BG193">
        <v>0</v>
      </c>
      <c r="BH193">
        <v>0</v>
      </c>
      <c r="BI193">
        <v>0</v>
      </c>
      <c r="BK193" s="151"/>
    </row>
    <row r="194" spans="1:63" x14ac:dyDescent="0.35">
      <c r="A194">
        <v>0</v>
      </c>
      <c r="B194">
        <v>0</v>
      </c>
      <c r="C194">
        <v>0</v>
      </c>
      <c r="D194">
        <v>0</v>
      </c>
      <c r="E194">
        <v>0</v>
      </c>
      <c r="F194">
        <v>0</v>
      </c>
      <c r="G194">
        <v>0</v>
      </c>
      <c r="H194">
        <v>0</v>
      </c>
      <c r="I194">
        <v>0</v>
      </c>
      <c r="J194">
        <v>0</v>
      </c>
      <c r="K194">
        <v>0</v>
      </c>
      <c r="L194">
        <v>0</v>
      </c>
      <c r="M194">
        <v>0</v>
      </c>
      <c r="N194">
        <v>0</v>
      </c>
      <c r="O194">
        <v>0</v>
      </c>
      <c r="P194">
        <v>0</v>
      </c>
      <c r="Q194">
        <v>0</v>
      </c>
      <c r="R194">
        <v>0</v>
      </c>
      <c r="S194">
        <v>0</v>
      </c>
      <c r="T194">
        <v>0</v>
      </c>
      <c r="U194">
        <v>0</v>
      </c>
      <c r="V194">
        <v>0</v>
      </c>
      <c r="W194">
        <v>0</v>
      </c>
      <c r="X194">
        <v>0</v>
      </c>
      <c r="Y194">
        <v>0</v>
      </c>
      <c r="Z194">
        <v>0</v>
      </c>
      <c r="AA194">
        <v>0</v>
      </c>
      <c r="AB194">
        <v>0</v>
      </c>
      <c r="AC194">
        <v>0</v>
      </c>
      <c r="AD194">
        <v>0</v>
      </c>
      <c r="AF194">
        <v>0</v>
      </c>
      <c r="AG194">
        <v>0</v>
      </c>
      <c r="AH194">
        <v>0</v>
      </c>
      <c r="AI194">
        <v>0</v>
      </c>
      <c r="AJ194">
        <v>0</v>
      </c>
      <c r="AK194">
        <v>0</v>
      </c>
      <c r="AL194">
        <v>0</v>
      </c>
      <c r="AM194">
        <v>0</v>
      </c>
      <c r="AN194">
        <v>0</v>
      </c>
      <c r="AO194">
        <v>0</v>
      </c>
      <c r="AP194">
        <v>0</v>
      </c>
      <c r="AQ194">
        <v>0</v>
      </c>
      <c r="AR194">
        <v>0</v>
      </c>
      <c r="AS194">
        <v>0</v>
      </c>
      <c r="AT194">
        <v>0</v>
      </c>
      <c r="AU194">
        <v>0</v>
      </c>
      <c r="AV194">
        <v>0</v>
      </c>
      <c r="AW194">
        <v>0</v>
      </c>
      <c r="AX194">
        <v>0</v>
      </c>
      <c r="AY194">
        <v>0</v>
      </c>
      <c r="AZ194">
        <v>0</v>
      </c>
      <c r="BA194">
        <v>0</v>
      </c>
      <c r="BB194">
        <v>0</v>
      </c>
      <c r="BC194">
        <v>0</v>
      </c>
      <c r="BD194">
        <v>0</v>
      </c>
      <c r="BE194">
        <v>0</v>
      </c>
      <c r="BF194">
        <v>0</v>
      </c>
      <c r="BG194">
        <v>0</v>
      </c>
      <c r="BH194">
        <v>0</v>
      </c>
      <c r="BI194">
        <v>0</v>
      </c>
      <c r="BK194" s="151"/>
    </row>
    <row r="195" spans="1:63" x14ac:dyDescent="0.35">
      <c r="A195">
        <v>0</v>
      </c>
      <c r="B195">
        <v>0</v>
      </c>
      <c r="C195">
        <v>0</v>
      </c>
      <c r="D195">
        <v>0</v>
      </c>
      <c r="E195">
        <v>0</v>
      </c>
      <c r="F195">
        <v>0</v>
      </c>
      <c r="G195">
        <v>0</v>
      </c>
      <c r="H195">
        <v>0</v>
      </c>
      <c r="I195">
        <v>0</v>
      </c>
      <c r="J195">
        <v>0</v>
      </c>
      <c r="K195">
        <v>0</v>
      </c>
      <c r="L195">
        <v>0</v>
      </c>
      <c r="M195">
        <v>0</v>
      </c>
      <c r="N195">
        <v>0</v>
      </c>
      <c r="O195">
        <v>0</v>
      </c>
      <c r="P195">
        <v>0</v>
      </c>
      <c r="Q195">
        <v>0</v>
      </c>
      <c r="R195">
        <v>0</v>
      </c>
      <c r="S195">
        <v>0</v>
      </c>
      <c r="T195">
        <v>0</v>
      </c>
      <c r="U195">
        <v>0</v>
      </c>
      <c r="V195">
        <v>0</v>
      </c>
      <c r="W195">
        <v>0</v>
      </c>
      <c r="X195">
        <v>0</v>
      </c>
      <c r="Y195">
        <v>0</v>
      </c>
      <c r="Z195">
        <v>0</v>
      </c>
      <c r="AA195">
        <v>0</v>
      </c>
      <c r="AB195">
        <v>0</v>
      </c>
      <c r="AC195">
        <v>0</v>
      </c>
      <c r="AD195">
        <v>0</v>
      </c>
      <c r="AF195">
        <v>0</v>
      </c>
      <c r="AG195">
        <v>0</v>
      </c>
      <c r="AH195">
        <v>0</v>
      </c>
      <c r="AI195">
        <v>0</v>
      </c>
      <c r="AJ195">
        <v>0</v>
      </c>
      <c r="AK195">
        <v>0</v>
      </c>
      <c r="AL195">
        <v>0</v>
      </c>
      <c r="AM195">
        <v>0</v>
      </c>
      <c r="AN195">
        <v>0</v>
      </c>
      <c r="AO195">
        <v>0</v>
      </c>
      <c r="AP195">
        <v>0</v>
      </c>
      <c r="AQ195">
        <v>0</v>
      </c>
      <c r="AR195">
        <v>0</v>
      </c>
      <c r="AS195">
        <v>0</v>
      </c>
      <c r="AT195">
        <v>0</v>
      </c>
      <c r="AU195">
        <v>0</v>
      </c>
      <c r="AV195">
        <v>0</v>
      </c>
      <c r="AW195">
        <v>0</v>
      </c>
      <c r="AX195">
        <v>0</v>
      </c>
      <c r="AY195">
        <v>0</v>
      </c>
      <c r="AZ195">
        <v>0</v>
      </c>
      <c r="BA195">
        <v>0</v>
      </c>
      <c r="BB195">
        <v>0</v>
      </c>
      <c r="BC195">
        <v>0</v>
      </c>
      <c r="BD195">
        <v>0</v>
      </c>
      <c r="BE195">
        <v>0</v>
      </c>
      <c r="BF195">
        <v>0</v>
      </c>
      <c r="BG195">
        <v>0</v>
      </c>
      <c r="BH195">
        <v>0</v>
      </c>
      <c r="BI195">
        <v>0</v>
      </c>
      <c r="BK195" s="151"/>
    </row>
    <row r="196" spans="1:63" x14ac:dyDescent="0.35">
      <c r="A196">
        <v>0</v>
      </c>
      <c r="B196">
        <v>0</v>
      </c>
      <c r="C196">
        <v>0</v>
      </c>
      <c r="D196">
        <v>0</v>
      </c>
      <c r="E196">
        <v>0</v>
      </c>
      <c r="F196">
        <v>0</v>
      </c>
      <c r="G196">
        <v>0</v>
      </c>
      <c r="H196">
        <v>0</v>
      </c>
      <c r="I196">
        <v>0</v>
      </c>
      <c r="J196">
        <v>0</v>
      </c>
      <c r="K196">
        <v>0</v>
      </c>
      <c r="L196">
        <v>0</v>
      </c>
      <c r="M196">
        <v>0</v>
      </c>
      <c r="N196">
        <v>0</v>
      </c>
      <c r="O196">
        <v>0</v>
      </c>
      <c r="P196">
        <v>0</v>
      </c>
      <c r="Q196">
        <v>0</v>
      </c>
      <c r="R196">
        <v>0</v>
      </c>
      <c r="S196">
        <v>0</v>
      </c>
      <c r="T196">
        <v>0</v>
      </c>
      <c r="U196">
        <v>0</v>
      </c>
      <c r="V196">
        <v>0</v>
      </c>
      <c r="W196">
        <v>0</v>
      </c>
      <c r="X196">
        <v>0</v>
      </c>
      <c r="Y196">
        <v>0</v>
      </c>
      <c r="Z196">
        <v>0</v>
      </c>
      <c r="AA196">
        <v>0</v>
      </c>
      <c r="AB196">
        <v>0</v>
      </c>
      <c r="AC196">
        <v>0</v>
      </c>
      <c r="AD196">
        <v>0</v>
      </c>
      <c r="AF196">
        <v>0</v>
      </c>
      <c r="AG196">
        <v>0</v>
      </c>
      <c r="AH196">
        <v>0</v>
      </c>
      <c r="AI196">
        <v>0</v>
      </c>
      <c r="AJ196">
        <v>0</v>
      </c>
      <c r="AK196">
        <v>0</v>
      </c>
      <c r="AL196">
        <v>0</v>
      </c>
      <c r="AM196">
        <v>0</v>
      </c>
      <c r="AN196">
        <v>0</v>
      </c>
      <c r="AO196">
        <v>0</v>
      </c>
      <c r="AP196">
        <v>0</v>
      </c>
      <c r="AQ196">
        <v>0</v>
      </c>
      <c r="AR196">
        <v>0</v>
      </c>
      <c r="AS196">
        <v>0</v>
      </c>
      <c r="AT196">
        <v>0</v>
      </c>
      <c r="AU196">
        <v>0</v>
      </c>
      <c r="AV196">
        <v>0</v>
      </c>
      <c r="AW196">
        <v>0</v>
      </c>
      <c r="AX196">
        <v>0</v>
      </c>
      <c r="AY196">
        <v>0</v>
      </c>
      <c r="AZ196">
        <v>0</v>
      </c>
      <c r="BA196">
        <v>0</v>
      </c>
      <c r="BB196">
        <v>0</v>
      </c>
      <c r="BC196">
        <v>0</v>
      </c>
      <c r="BD196">
        <v>0</v>
      </c>
      <c r="BE196">
        <v>0</v>
      </c>
      <c r="BF196">
        <v>0</v>
      </c>
      <c r="BG196">
        <v>0</v>
      </c>
      <c r="BH196">
        <v>0</v>
      </c>
      <c r="BI196">
        <v>0</v>
      </c>
      <c r="BK196" s="151"/>
    </row>
    <row r="197" spans="1:63" x14ac:dyDescent="0.35">
      <c r="A197">
        <v>0</v>
      </c>
      <c r="B197">
        <v>0</v>
      </c>
      <c r="C197">
        <v>0</v>
      </c>
      <c r="D197">
        <v>0</v>
      </c>
      <c r="E197">
        <v>0</v>
      </c>
      <c r="F197">
        <v>0</v>
      </c>
      <c r="G197">
        <v>0</v>
      </c>
      <c r="H197">
        <v>0</v>
      </c>
      <c r="I197">
        <v>0</v>
      </c>
      <c r="J197">
        <v>0</v>
      </c>
      <c r="K197">
        <v>0</v>
      </c>
      <c r="L197">
        <v>0</v>
      </c>
      <c r="M197">
        <v>0</v>
      </c>
      <c r="N197">
        <v>0</v>
      </c>
      <c r="O197">
        <v>0</v>
      </c>
      <c r="P197">
        <v>0</v>
      </c>
      <c r="Q197">
        <v>0</v>
      </c>
      <c r="R197">
        <v>0</v>
      </c>
      <c r="S197">
        <v>0</v>
      </c>
      <c r="T197">
        <v>0</v>
      </c>
      <c r="U197">
        <v>0</v>
      </c>
      <c r="V197">
        <v>0</v>
      </c>
      <c r="W197">
        <v>0</v>
      </c>
      <c r="X197">
        <v>0</v>
      </c>
      <c r="Y197">
        <v>0</v>
      </c>
      <c r="Z197">
        <v>0</v>
      </c>
      <c r="AA197">
        <v>0</v>
      </c>
      <c r="AB197">
        <v>0</v>
      </c>
      <c r="AC197">
        <v>0</v>
      </c>
      <c r="AD197">
        <v>0</v>
      </c>
      <c r="AF197">
        <v>0</v>
      </c>
      <c r="AG197">
        <v>0</v>
      </c>
      <c r="AH197">
        <v>0</v>
      </c>
      <c r="AI197">
        <v>0</v>
      </c>
      <c r="AJ197">
        <v>0</v>
      </c>
      <c r="AK197">
        <v>0</v>
      </c>
      <c r="AL197">
        <v>0</v>
      </c>
      <c r="AM197">
        <v>0</v>
      </c>
      <c r="AN197">
        <v>0</v>
      </c>
      <c r="AO197">
        <v>0</v>
      </c>
      <c r="AP197">
        <v>0</v>
      </c>
      <c r="AQ197">
        <v>0</v>
      </c>
      <c r="AR197">
        <v>0</v>
      </c>
      <c r="AS197">
        <v>0</v>
      </c>
      <c r="AT197">
        <v>0</v>
      </c>
      <c r="AU197">
        <v>0</v>
      </c>
      <c r="AV197">
        <v>0</v>
      </c>
      <c r="AW197">
        <v>0</v>
      </c>
      <c r="AX197">
        <v>0</v>
      </c>
      <c r="AY197">
        <v>0</v>
      </c>
      <c r="AZ197">
        <v>0</v>
      </c>
      <c r="BA197">
        <v>0</v>
      </c>
      <c r="BB197">
        <v>0</v>
      </c>
      <c r="BC197">
        <v>0</v>
      </c>
      <c r="BD197">
        <v>0</v>
      </c>
      <c r="BE197">
        <v>0</v>
      </c>
      <c r="BF197">
        <v>0</v>
      </c>
      <c r="BG197">
        <v>0</v>
      </c>
      <c r="BH197">
        <v>0</v>
      </c>
      <c r="BI197">
        <v>0</v>
      </c>
      <c r="BK197" s="151"/>
    </row>
    <row r="198" spans="1:63" x14ac:dyDescent="0.35">
      <c r="A198">
        <v>0</v>
      </c>
      <c r="B198">
        <v>0</v>
      </c>
      <c r="C198">
        <v>0</v>
      </c>
      <c r="D198">
        <v>0</v>
      </c>
      <c r="E198">
        <v>0</v>
      </c>
      <c r="F198">
        <v>0</v>
      </c>
      <c r="G198">
        <v>0</v>
      </c>
      <c r="H198">
        <v>0</v>
      </c>
      <c r="I198">
        <v>0</v>
      </c>
      <c r="J198">
        <v>0</v>
      </c>
      <c r="K198">
        <v>0</v>
      </c>
      <c r="L198">
        <v>0</v>
      </c>
      <c r="M198">
        <v>0</v>
      </c>
      <c r="N198">
        <v>0</v>
      </c>
      <c r="O198">
        <v>0</v>
      </c>
      <c r="P198">
        <v>0</v>
      </c>
      <c r="Q198">
        <v>0</v>
      </c>
      <c r="R198">
        <v>0</v>
      </c>
      <c r="S198">
        <v>0</v>
      </c>
      <c r="T198">
        <v>0</v>
      </c>
      <c r="U198">
        <v>0</v>
      </c>
      <c r="V198">
        <v>0</v>
      </c>
      <c r="W198">
        <v>0</v>
      </c>
      <c r="X198">
        <v>0</v>
      </c>
      <c r="Y198">
        <v>0</v>
      </c>
      <c r="Z198">
        <v>0</v>
      </c>
      <c r="AA198">
        <v>0</v>
      </c>
      <c r="AB198">
        <v>0</v>
      </c>
      <c r="AC198">
        <v>0</v>
      </c>
      <c r="AD198">
        <v>0</v>
      </c>
      <c r="AF198">
        <v>0</v>
      </c>
      <c r="AG198">
        <v>0</v>
      </c>
      <c r="AH198">
        <v>0</v>
      </c>
      <c r="AI198">
        <v>0</v>
      </c>
      <c r="AJ198">
        <v>0</v>
      </c>
      <c r="AK198">
        <v>0</v>
      </c>
      <c r="AL198">
        <v>0</v>
      </c>
      <c r="AM198">
        <v>0</v>
      </c>
      <c r="AN198">
        <v>0</v>
      </c>
      <c r="AO198">
        <v>0</v>
      </c>
      <c r="AP198">
        <v>0</v>
      </c>
      <c r="AQ198">
        <v>0</v>
      </c>
      <c r="AR198">
        <v>0</v>
      </c>
      <c r="AS198">
        <v>0</v>
      </c>
      <c r="AT198">
        <v>0</v>
      </c>
      <c r="AU198">
        <v>0</v>
      </c>
      <c r="AV198">
        <v>0</v>
      </c>
      <c r="AW198">
        <v>0</v>
      </c>
      <c r="AX198">
        <v>0</v>
      </c>
      <c r="AY198">
        <v>0</v>
      </c>
      <c r="AZ198">
        <v>0</v>
      </c>
      <c r="BA198">
        <v>0</v>
      </c>
      <c r="BB198">
        <v>0</v>
      </c>
      <c r="BC198">
        <v>0</v>
      </c>
      <c r="BD198">
        <v>0</v>
      </c>
      <c r="BE198">
        <v>0</v>
      </c>
      <c r="BF198">
        <v>0</v>
      </c>
      <c r="BG198">
        <v>0</v>
      </c>
      <c r="BH198">
        <v>0</v>
      </c>
      <c r="BI198">
        <v>0</v>
      </c>
      <c r="BK198" s="151"/>
    </row>
    <row r="199" spans="1:63" x14ac:dyDescent="0.35">
      <c r="A199">
        <v>0</v>
      </c>
      <c r="B199">
        <v>0</v>
      </c>
      <c r="C199">
        <v>0</v>
      </c>
      <c r="D199">
        <v>0</v>
      </c>
      <c r="E199">
        <v>0</v>
      </c>
      <c r="F199">
        <v>0</v>
      </c>
      <c r="G199">
        <v>0</v>
      </c>
      <c r="H199">
        <v>0</v>
      </c>
      <c r="I199">
        <v>0</v>
      </c>
      <c r="J199">
        <v>0</v>
      </c>
      <c r="K199">
        <v>0</v>
      </c>
      <c r="L199">
        <v>0</v>
      </c>
      <c r="M199">
        <v>0</v>
      </c>
      <c r="N199">
        <v>0</v>
      </c>
      <c r="O199">
        <v>0</v>
      </c>
      <c r="P199">
        <v>0</v>
      </c>
      <c r="Q199">
        <v>0</v>
      </c>
      <c r="R199">
        <v>0</v>
      </c>
      <c r="S199">
        <v>0</v>
      </c>
      <c r="T199">
        <v>0</v>
      </c>
      <c r="U199">
        <v>0</v>
      </c>
      <c r="V199">
        <v>0</v>
      </c>
      <c r="W199">
        <v>0</v>
      </c>
      <c r="X199">
        <v>0</v>
      </c>
      <c r="Y199">
        <v>0</v>
      </c>
      <c r="Z199">
        <v>0</v>
      </c>
      <c r="AA199">
        <v>0</v>
      </c>
      <c r="AB199">
        <v>0</v>
      </c>
      <c r="AC199">
        <v>0</v>
      </c>
      <c r="AD199">
        <v>0</v>
      </c>
      <c r="AF199">
        <v>0</v>
      </c>
      <c r="AG199">
        <v>0</v>
      </c>
      <c r="AH199">
        <v>0</v>
      </c>
      <c r="AI199">
        <v>0</v>
      </c>
      <c r="AJ199">
        <v>0</v>
      </c>
      <c r="AK199">
        <v>0</v>
      </c>
      <c r="AL199">
        <v>0</v>
      </c>
      <c r="AM199">
        <v>0</v>
      </c>
      <c r="AN199">
        <v>0</v>
      </c>
      <c r="AO199">
        <v>0</v>
      </c>
      <c r="AP199">
        <v>0</v>
      </c>
      <c r="AQ199">
        <v>0</v>
      </c>
      <c r="AR199">
        <v>0</v>
      </c>
      <c r="AS199">
        <v>0</v>
      </c>
      <c r="AT199">
        <v>0</v>
      </c>
      <c r="AU199">
        <v>0</v>
      </c>
      <c r="AV199">
        <v>0</v>
      </c>
      <c r="AW199">
        <v>0</v>
      </c>
      <c r="AX199">
        <v>0</v>
      </c>
      <c r="AY199">
        <v>0</v>
      </c>
      <c r="AZ199">
        <v>0</v>
      </c>
      <c r="BA199">
        <v>0</v>
      </c>
      <c r="BB199">
        <v>0</v>
      </c>
      <c r="BC199">
        <v>0</v>
      </c>
      <c r="BD199">
        <v>0</v>
      </c>
      <c r="BE199">
        <v>0</v>
      </c>
      <c r="BF199">
        <v>0</v>
      </c>
      <c r="BG199">
        <v>0</v>
      </c>
      <c r="BH199">
        <v>0</v>
      </c>
      <c r="BI199">
        <v>0</v>
      </c>
      <c r="BK199" s="151"/>
    </row>
    <row r="200" spans="1:63" x14ac:dyDescent="0.35">
      <c r="A200">
        <v>0</v>
      </c>
      <c r="B200">
        <v>0</v>
      </c>
      <c r="C200">
        <v>0</v>
      </c>
      <c r="D200">
        <v>0</v>
      </c>
      <c r="E200">
        <v>0</v>
      </c>
      <c r="F200">
        <v>0</v>
      </c>
      <c r="G200">
        <v>0</v>
      </c>
      <c r="H200">
        <v>0</v>
      </c>
      <c r="I200">
        <v>0</v>
      </c>
      <c r="J200">
        <v>0</v>
      </c>
      <c r="K200">
        <v>0</v>
      </c>
      <c r="L200">
        <v>0</v>
      </c>
      <c r="M200">
        <v>0</v>
      </c>
      <c r="N200">
        <v>0</v>
      </c>
      <c r="O200">
        <v>0</v>
      </c>
      <c r="P200">
        <v>0</v>
      </c>
      <c r="Q200">
        <v>0</v>
      </c>
      <c r="R200">
        <v>0</v>
      </c>
      <c r="S200">
        <v>0</v>
      </c>
      <c r="T200">
        <v>0</v>
      </c>
      <c r="U200">
        <v>0</v>
      </c>
      <c r="V200">
        <v>0</v>
      </c>
      <c r="W200">
        <v>0</v>
      </c>
      <c r="X200">
        <v>0</v>
      </c>
      <c r="Y200">
        <v>0</v>
      </c>
      <c r="Z200">
        <v>0</v>
      </c>
      <c r="AA200">
        <v>0</v>
      </c>
      <c r="AB200">
        <v>0</v>
      </c>
      <c r="AC200">
        <v>0</v>
      </c>
      <c r="AD200">
        <v>0</v>
      </c>
      <c r="AF200">
        <v>0</v>
      </c>
      <c r="AG200">
        <v>0</v>
      </c>
      <c r="AH200">
        <v>0</v>
      </c>
      <c r="AI200">
        <v>0</v>
      </c>
      <c r="AJ200">
        <v>0</v>
      </c>
      <c r="AK200">
        <v>0</v>
      </c>
      <c r="AL200">
        <v>0</v>
      </c>
      <c r="AM200">
        <v>0</v>
      </c>
      <c r="AN200">
        <v>0</v>
      </c>
      <c r="AO200">
        <v>0</v>
      </c>
      <c r="AP200">
        <v>0</v>
      </c>
      <c r="AQ200">
        <v>0</v>
      </c>
      <c r="AR200">
        <v>0</v>
      </c>
      <c r="AS200">
        <v>0</v>
      </c>
      <c r="AT200">
        <v>0</v>
      </c>
      <c r="AU200">
        <v>0</v>
      </c>
      <c r="AV200">
        <v>0</v>
      </c>
      <c r="AW200">
        <v>0</v>
      </c>
      <c r="AX200">
        <v>0</v>
      </c>
      <c r="AY200">
        <v>0</v>
      </c>
      <c r="AZ200">
        <v>0</v>
      </c>
      <c r="BA200">
        <v>0</v>
      </c>
      <c r="BB200">
        <v>0</v>
      </c>
      <c r="BC200">
        <v>0</v>
      </c>
      <c r="BD200">
        <v>0</v>
      </c>
      <c r="BE200">
        <v>0</v>
      </c>
      <c r="BF200">
        <v>0</v>
      </c>
      <c r="BG200">
        <v>0</v>
      </c>
      <c r="BH200">
        <v>0</v>
      </c>
      <c r="BI200">
        <v>0</v>
      </c>
      <c r="BK200" s="151"/>
    </row>
    <row r="201" spans="1:63" x14ac:dyDescent="0.35">
      <c r="A201">
        <v>0</v>
      </c>
      <c r="B201">
        <v>0</v>
      </c>
      <c r="C201">
        <v>0</v>
      </c>
      <c r="D201">
        <v>0</v>
      </c>
      <c r="E201">
        <v>0</v>
      </c>
      <c r="F201">
        <v>0</v>
      </c>
      <c r="G201">
        <v>0</v>
      </c>
      <c r="H201">
        <v>0</v>
      </c>
      <c r="I201">
        <v>0</v>
      </c>
      <c r="J201">
        <v>0</v>
      </c>
      <c r="K201">
        <v>0</v>
      </c>
      <c r="L201">
        <v>0</v>
      </c>
      <c r="M201">
        <v>0</v>
      </c>
      <c r="N201">
        <v>0</v>
      </c>
      <c r="O201">
        <v>0</v>
      </c>
      <c r="P201">
        <v>0</v>
      </c>
      <c r="Q201">
        <v>0</v>
      </c>
      <c r="R201">
        <v>0</v>
      </c>
      <c r="S201">
        <v>0</v>
      </c>
      <c r="T201">
        <v>0</v>
      </c>
      <c r="U201">
        <v>0</v>
      </c>
      <c r="V201">
        <v>0</v>
      </c>
      <c r="W201">
        <v>0</v>
      </c>
      <c r="X201">
        <v>0</v>
      </c>
      <c r="Y201">
        <v>0</v>
      </c>
      <c r="Z201">
        <v>0</v>
      </c>
      <c r="AA201">
        <v>0</v>
      </c>
      <c r="AB201">
        <v>0</v>
      </c>
      <c r="AC201">
        <v>0</v>
      </c>
      <c r="AD201">
        <v>0</v>
      </c>
      <c r="AF201">
        <v>0</v>
      </c>
      <c r="AG201">
        <v>0</v>
      </c>
      <c r="AH201">
        <v>0</v>
      </c>
      <c r="AI201">
        <v>0</v>
      </c>
      <c r="AJ201">
        <v>0</v>
      </c>
      <c r="AK201">
        <v>0</v>
      </c>
      <c r="AL201">
        <v>0</v>
      </c>
      <c r="AM201">
        <v>0</v>
      </c>
      <c r="AN201">
        <v>0</v>
      </c>
      <c r="AO201">
        <v>0</v>
      </c>
      <c r="AP201">
        <v>0</v>
      </c>
      <c r="AQ201">
        <v>0</v>
      </c>
      <c r="AR201">
        <v>0</v>
      </c>
      <c r="AS201">
        <v>0</v>
      </c>
      <c r="AT201">
        <v>0</v>
      </c>
      <c r="AU201">
        <v>0</v>
      </c>
      <c r="AV201">
        <v>0</v>
      </c>
      <c r="AW201">
        <v>0</v>
      </c>
      <c r="AX201">
        <v>0</v>
      </c>
      <c r="AY201">
        <v>0</v>
      </c>
      <c r="AZ201">
        <v>0</v>
      </c>
      <c r="BA201">
        <v>0</v>
      </c>
      <c r="BB201">
        <v>0</v>
      </c>
      <c r="BC201">
        <v>0</v>
      </c>
      <c r="BD201">
        <v>0</v>
      </c>
      <c r="BE201">
        <v>0</v>
      </c>
      <c r="BF201">
        <v>0</v>
      </c>
      <c r="BG201">
        <v>0</v>
      </c>
      <c r="BH201">
        <v>0</v>
      </c>
      <c r="BI201">
        <v>0</v>
      </c>
      <c r="BK201" s="151"/>
    </row>
    <row r="202" spans="1:63" x14ac:dyDescent="0.35">
      <c r="A202">
        <v>0</v>
      </c>
      <c r="B202">
        <v>0</v>
      </c>
      <c r="C202">
        <v>0</v>
      </c>
      <c r="D202">
        <v>0</v>
      </c>
      <c r="E202">
        <v>0</v>
      </c>
      <c r="F202">
        <v>0</v>
      </c>
      <c r="G202">
        <v>0</v>
      </c>
      <c r="H202">
        <v>0</v>
      </c>
      <c r="I202">
        <v>0</v>
      </c>
      <c r="J202">
        <v>0</v>
      </c>
      <c r="K202">
        <v>0</v>
      </c>
      <c r="L202">
        <v>0</v>
      </c>
      <c r="M202">
        <v>0</v>
      </c>
      <c r="N202">
        <v>0</v>
      </c>
      <c r="O202">
        <v>0</v>
      </c>
      <c r="P202">
        <v>0</v>
      </c>
      <c r="Q202">
        <v>0</v>
      </c>
      <c r="R202">
        <v>0</v>
      </c>
      <c r="S202">
        <v>0</v>
      </c>
      <c r="T202">
        <v>0</v>
      </c>
      <c r="U202">
        <v>0</v>
      </c>
      <c r="V202">
        <v>0</v>
      </c>
      <c r="W202">
        <v>0</v>
      </c>
      <c r="X202">
        <v>0</v>
      </c>
      <c r="Y202">
        <v>0</v>
      </c>
      <c r="Z202">
        <v>0</v>
      </c>
      <c r="AA202">
        <v>0</v>
      </c>
      <c r="AB202">
        <v>0</v>
      </c>
      <c r="AC202">
        <v>0</v>
      </c>
      <c r="AD202">
        <v>0</v>
      </c>
      <c r="AF202">
        <v>0</v>
      </c>
      <c r="AG202">
        <v>0</v>
      </c>
      <c r="AH202">
        <v>0</v>
      </c>
      <c r="AI202">
        <v>0</v>
      </c>
      <c r="AJ202">
        <v>0</v>
      </c>
      <c r="AK202">
        <v>0</v>
      </c>
      <c r="AL202">
        <v>0</v>
      </c>
      <c r="AM202">
        <v>0</v>
      </c>
      <c r="AN202">
        <v>0</v>
      </c>
      <c r="AO202">
        <v>0</v>
      </c>
      <c r="AP202">
        <v>0</v>
      </c>
      <c r="AQ202">
        <v>0</v>
      </c>
      <c r="AR202">
        <v>0</v>
      </c>
      <c r="AS202">
        <v>0</v>
      </c>
      <c r="AT202">
        <v>0</v>
      </c>
      <c r="AU202">
        <v>0</v>
      </c>
      <c r="AV202">
        <v>0</v>
      </c>
      <c r="AW202">
        <v>0</v>
      </c>
      <c r="AX202">
        <v>0</v>
      </c>
      <c r="AY202">
        <v>0</v>
      </c>
      <c r="AZ202">
        <v>0</v>
      </c>
      <c r="BA202">
        <v>0</v>
      </c>
      <c r="BB202">
        <v>0</v>
      </c>
      <c r="BC202">
        <v>0</v>
      </c>
      <c r="BD202">
        <v>0</v>
      </c>
      <c r="BE202">
        <v>0</v>
      </c>
      <c r="BF202">
        <v>0</v>
      </c>
      <c r="BG202">
        <v>0</v>
      </c>
      <c r="BH202">
        <v>0</v>
      </c>
      <c r="BI202">
        <v>0</v>
      </c>
      <c r="BK202" s="151"/>
    </row>
    <row r="203" spans="1:63" x14ac:dyDescent="0.35">
      <c r="A203">
        <v>0</v>
      </c>
      <c r="B203">
        <v>0</v>
      </c>
      <c r="C203">
        <v>0</v>
      </c>
      <c r="D203">
        <v>0</v>
      </c>
      <c r="E203">
        <v>0</v>
      </c>
      <c r="F203">
        <v>0</v>
      </c>
      <c r="G203">
        <v>0</v>
      </c>
      <c r="H203">
        <v>0</v>
      </c>
      <c r="I203">
        <v>0</v>
      </c>
      <c r="J203">
        <v>0</v>
      </c>
      <c r="K203">
        <v>0</v>
      </c>
      <c r="L203">
        <v>0</v>
      </c>
      <c r="M203">
        <v>0</v>
      </c>
      <c r="N203">
        <v>0</v>
      </c>
      <c r="O203">
        <v>0</v>
      </c>
      <c r="P203">
        <v>0</v>
      </c>
      <c r="Q203">
        <v>0</v>
      </c>
      <c r="R203">
        <v>0</v>
      </c>
      <c r="S203">
        <v>0</v>
      </c>
      <c r="T203">
        <v>0</v>
      </c>
      <c r="U203">
        <v>0</v>
      </c>
      <c r="V203">
        <v>0</v>
      </c>
      <c r="W203">
        <v>0</v>
      </c>
      <c r="X203">
        <v>0</v>
      </c>
      <c r="Y203">
        <v>0</v>
      </c>
      <c r="Z203">
        <v>0</v>
      </c>
      <c r="AA203">
        <v>0</v>
      </c>
      <c r="AB203">
        <v>0</v>
      </c>
      <c r="AC203">
        <v>0</v>
      </c>
      <c r="AD203">
        <v>0</v>
      </c>
      <c r="AF203">
        <v>0</v>
      </c>
      <c r="AG203">
        <v>0</v>
      </c>
      <c r="AH203">
        <v>0</v>
      </c>
      <c r="AI203">
        <v>0</v>
      </c>
      <c r="AJ203">
        <v>0</v>
      </c>
      <c r="AK203">
        <v>0</v>
      </c>
      <c r="AL203">
        <v>0</v>
      </c>
      <c r="AM203">
        <v>0</v>
      </c>
      <c r="AN203">
        <v>0</v>
      </c>
      <c r="AO203">
        <v>0</v>
      </c>
      <c r="AP203">
        <v>0</v>
      </c>
      <c r="AQ203">
        <v>0</v>
      </c>
      <c r="AR203">
        <v>0</v>
      </c>
      <c r="AS203">
        <v>0</v>
      </c>
      <c r="AT203">
        <v>0</v>
      </c>
      <c r="AU203">
        <v>0</v>
      </c>
      <c r="AV203">
        <v>0</v>
      </c>
      <c r="AW203">
        <v>0</v>
      </c>
      <c r="AX203">
        <v>0</v>
      </c>
      <c r="AY203">
        <v>0</v>
      </c>
      <c r="AZ203">
        <v>0</v>
      </c>
      <c r="BA203">
        <v>0</v>
      </c>
      <c r="BB203">
        <v>0</v>
      </c>
      <c r="BC203">
        <v>0</v>
      </c>
      <c r="BD203">
        <v>0</v>
      </c>
      <c r="BE203">
        <v>0</v>
      </c>
      <c r="BF203">
        <v>0</v>
      </c>
      <c r="BG203">
        <v>0</v>
      </c>
      <c r="BH203">
        <v>0</v>
      </c>
      <c r="BI203">
        <v>0</v>
      </c>
      <c r="BK203" s="151"/>
    </row>
    <row r="204" spans="1:63" x14ac:dyDescent="0.35">
      <c r="A204">
        <v>0</v>
      </c>
      <c r="B204">
        <v>0</v>
      </c>
      <c r="C204">
        <v>0</v>
      </c>
      <c r="D204">
        <v>0</v>
      </c>
      <c r="E204">
        <v>0</v>
      </c>
      <c r="F204">
        <v>0</v>
      </c>
      <c r="G204">
        <v>0</v>
      </c>
      <c r="H204">
        <v>0</v>
      </c>
      <c r="I204">
        <v>0</v>
      </c>
      <c r="J204">
        <v>0</v>
      </c>
      <c r="K204">
        <v>0</v>
      </c>
      <c r="L204">
        <v>0</v>
      </c>
      <c r="M204">
        <v>0</v>
      </c>
      <c r="N204">
        <v>0</v>
      </c>
      <c r="O204">
        <v>0</v>
      </c>
      <c r="P204">
        <v>0</v>
      </c>
      <c r="Q204">
        <v>0</v>
      </c>
      <c r="R204">
        <v>0</v>
      </c>
      <c r="S204">
        <v>0</v>
      </c>
      <c r="T204">
        <v>0</v>
      </c>
      <c r="U204">
        <v>0</v>
      </c>
      <c r="V204">
        <v>0</v>
      </c>
      <c r="W204">
        <v>0</v>
      </c>
      <c r="X204">
        <v>0</v>
      </c>
      <c r="Y204">
        <v>0</v>
      </c>
      <c r="Z204">
        <v>0</v>
      </c>
      <c r="AA204">
        <v>0</v>
      </c>
      <c r="AB204">
        <v>0</v>
      </c>
      <c r="AC204">
        <v>0</v>
      </c>
      <c r="AD204">
        <v>0</v>
      </c>
      <c r="AF204">
        <v>0</v>
      </c>
      <c r="AG204">
        <v>0</v>
      </c>
      <c r="AH204">
        <v>0</v>
      </c>
      <c r="AI204">
        <v>0</v>
      </c>
      <c r="AJ204">
        <v>0</v>
      </c>
      <c r="AK204">
        <v>0</v>
      </c>
      <c r="AL204">
        <v>0</v>
      </c>
      <c r="AM204">
        <v>0</v>
      </c>
      <c r="AN204">
        <v>0</v>
      </c>
      <c r="AO204">
        <v>0</v>
      </c>
      <c r="AP204">
        <v>0</v>
      </c>
      <c r="AQ204">
        <v>0</v>
      </c>
      <c r="AR204">
        <v>0</v>
      </c>
      <c r="AS204">
        <v>0</v>
      </c>
      <c r="AT204">
        <v>0</v>
      </c>
      <c r="AU204">
        <v>0</v>
      </c>
      <c r="AV204">
        <v>0</v>
      </c>
      <c r="AW204">
        <v>0</v>
      </c>
      <c r="AX204">
        <v>0</v>
      </c>
      <c r="AY204">
        <v>0</v>
      </c>
      <c r="AZ204">
        <v>0</v>
      </c>
      <c r="BA204">
        <v>0</v>
      </c>
      <c r="BB204">
        <v>0</v>
      </c>
      <c r="BC204">
        <v>0</v>
      </c>
      <c r="BD204">
        <v>0</v>
      </c>
      <c r="BE204">
        <v>0</v>
      </c>
      <c r="BF204">
        <v>0</v>
      </c>
      <c r="BG204">
        <v>0</v>
      </c>
      <c r="BH204">
        <v>0</v>
      </c>
      <c r="BI204">
        <v>0</v>
      </c>
      <c r="BK204" s="151"/>
    </row>
    <row r="205" spans="1:63" x14ac:dyDescent="0.35">
      <c r="A205">
        <v>0</v>
      </c>
      <c r="B205">
        <v>0</v>
      </c>
      <c r="C205">
        <v>0</v>
      </c>
      <c r="D205">
        <v>0</v>
      </c>
      <c r="E205">
        <v>0</v>
      </c>
      <c r="F205">
        <v>0</v>
      </c>
      <c r="G205">
        <v>0</v>
      </c>
      <c r="H205">
        <v>0</v>
      </c>
      <c r="I205">
        <v>0</v>
      </c>
      <c r="J205">
        <v>0</v>
      </c>
      <c r="K205">
        <v>0</v>
      </c>
      <c r="L205">
        <v>0</v>
      </c>
      <c r="M205">
        <v>0</v>
      </c>
      <c r="N205">
        <v>0</v>
      </c>
      <c r="O205">
        <v>0</v>
      </c>
      <c r="P205">
        <v>0</v>
      </c>
      <c r="Q205">
        <v>0</v>
      </c>
      <c r="R205">
        <v>0</v>
      </c>
      <c r="S205">
        <v>0</v>
      </c>
      <c r="T205">
        <v>0</v>
      </c>
      <c r="U205">
        <v>0</v>
      </c>
      <c r="V205">
        <v>0</v>
      </c>
      <c r="W205">
        <v>0</v>
      </c>
      <c r="X205">
        <v>0</v>
      </c>
      <c r="Y205">
        <v>0</v>
      </c>
      <c r="Z205">
        <v>0</v>
      </c>
      <c r="AA205">
        <v>0</v>
      </c>
      <c r="AB205">
        <v>0</v>
      </c>
      <c r="AC205">
        <v>0</v>
      </c>
      <c r="AD205">
        <v>0</v>
      </c>
      <c r="AF205">
        <v>0</v>
      </c>
      <c r="AG205">
        <v>0</v>
      </c>
      <c r="AH205">
        <v>0</v>
      </c>
      <c r="AI205">
        <v>0</v>
      </c>
      <c r="AJ205">
        <v>0</v>
      </c>
      <c r="AK205">
        <v>0</v>
      </c>
      <c r="AL205">
        <v>0</v>
      </c>
      <c r="AM205">
        <v>0</v>
      </c>
      <c r="AN205">
        <v>0</v>
      </c>
      <c r="AO205">
        <v>0</v>
      </c>
      <c r="AP205">
        <v>0</v>
      </c>
      <c r="AQ205">
        <v>0</v>
      </c>
      <c r="AR205">
        <v>0</v>
      </c>
      <c r="AS205">
        <v>0</v>
      </c>
      <c r="AT205">
        <v>0</v>
      </c>
      <c r="AU205">
        <v>0</v>
      </c>
      <c r="AV205">
        <v>0</v>
      </c>
      <c r="AW205">
        <v>0</v>
      </c>
      <c r="AX205">
        <v>0</v>
      </c>
      <c r="AY205">
        <v>0</v>
      </c>
      <c r="AZ205">
        <v>0</v>
      </c>
      <c r="BA205">
        <v>0</v>
      </c>
      <c r="BB205">
        <v>0</v>
      </c>
      <c r="BC205">
        <v>0</v>
      </c>
      <c r="BD205">
        <v>0</v>
      </c>
      <c r="BE205">
        <v>0</v>
      </c>
      <c r="BF205">
        <v>0</v>
      </c>
      <c r="BG205">
        <v>0</v>
      </c>
      <c r="BH205">
        <v>0</v>
      </c>
      <c r="BI205">
        <v>0</v>
      </c>
      <c r="BK205" s="151"/>
    </row>
    <row r="206" spans="1:63" x14ac:dyDescent="0.35">
      <c r="A206">
        <v>0</v>
      </c>
      <c r="B206">
        <v>0</v>
      </c>
      <c r="C206">
        <v>0</v>
      </c>
      <c r="D206">
        <v>0</v>
      </c>
      <c r="E206">
        <v>0</v>
      </c>
      <c r="F206">
        <v>0</v>
      </c>
      <c r="G206">
        <v>0</v>
      </c>
      <c r="H206">
        <v>0</v>
      </c>
      <c r="I206">
        <v>0</v>
      </c>
      <c r="J206">
        <v>0</v>
      </c>
      <c r="K206">
        <v>0</v>
      </c>
      <c r="L206">
        <v>0</v>
      </c>
      <c r="M206">
        <v>0</v>
      </c>
      <c r="N206">
        <v>0</v>
      </c>
      <c r="O206">
        <v>0</v>
      </c>
      <c r="P206">
        <v>0</v>
      </c>
      <c r="Q206">
        <v>0</v>
      </c>
      <c r="R206">
        <v>0</v>
      </c>
      <c r="S206">
        <v>0</v>
      </c>
      <c r="T206">
        <v>0</v>
      </c>
      <c r="U206">
        <v>0</v>
      </c>
      <c r="V206">
        <v>0</v>
      </c>
      <c r="W206">
        <v>0</v>
      </c>
      <c r="X206">
        <v>0</v>
      </c>
      <c r="Y206">
        <v>0</v>
      </c>
      <c r="Z206">
        <v>0</v>
      </c>
      <c r="AA206">
        <v>0</v>
      </c>
      <c r="AB206">
        <v>0</v>
      </c>
      <c r="AC206">
        <v>0</v>
      </c>
      <c r="AD206">
        <v>0</v>
      </c>
      <c r="AF206">
        <v>0</v>
      </c>
      <c r="AG206">
        <v>0</v>
      </c>
      <c r="AH206">
        <v>0</v>
      </c>
      <c r="AI206">
        <v>0</v>
      </c>
      <c r="AJ206">
        <v>0</v>
      </c>
      <c r="AK206">
        <v>0</v>
      </c>
      <c r="AL206">
        <v>0</v>
      </c>
      <c r="AM206">
        <v>0</v>
      </c>
      <c r="AN206">
        <v>0</v>
      </c>
      <c r="AO206">
        <v>0</v>
      </c>
      <c r="AP206">
        <v>0</v>
      </c>
      <c r="AQ206">
        <v>0</v>
      </c>
      <c r="AR206">
        <v>0</v>
      </c>
      <c r="AS206">
        <v>0</v>
      </c>
      <c r="AT206">
        <v>0</v>
      </c>
      <c r="AU206">
        <v>0</v>
      </c>
      <c r="AV206">
        <v>0</v>
      </c>
      <c r="AW206">
        <v>0</v>
      </c>
      <c r="AX206">
        <v>0</v>
      </c>
      <c r="AY206">
        <v>0</v>
      </c>
      <c r="AZ206">
        <v>0</v>
      </c>
      <c r="BA206">
        <v>0</v>
      </c>
      <c r="BB206">
        <v>0</v>
      </c>
      <c r="BC206">
        <v>0</v>
      </c>
      <c r="BD206">
        <v>0</v>
      </c>
      <c r="BE206">
        <v>0</v>
      </c>
      <c r="BF206">
        <v>0</v>
      </c>
      <c r="BG206">
        <v>0</v>
      </c>
      <c r="BH206">
        <v>0</v>
      </c>
      <c r="BI206">
        <v>0</v>
      </c>
      <c r="BK206" s="151"/>
    </row>
    <row r="207" spans="1:63" x14ac:dyDescent="0.35">
      <c r="A207">
        <v>0</v>
      </c>
      <c r="B207">
        <v>0</v>
      </c>
      <c r="C207">
        <v>0</v>
      </c>
      <c r="D207">
        <v>0</v>
      </c>
      <c r="E207">
        <v>0</v>
      </c>
      <c r="F207">
        <v>0</v>
      </c>
      <c r="G207">
        <v>0</v>
      </c>
      <c r="H207">
        <v>0</v>
      </c>
      <c r="I207">
        <v>0</v>
      </c>
      <c r="J207">
        <v>0</v>
      </c>
      <c r="K207">
        <v>0</v>
      </c>
      <c r="L207">
        <v>0</v>
      </c>
      <c r="M207">
        <v>0</v>
      </c>
      <c r="N207">
        <v>0</v>
      </c>
      <c r="O207">
        <v>0</v>
      </c>
      <c r="P207">
        <v>0</v>
      </c>
      <c r="Q207">
        <v>0</v>
      </c>
      <c r="R207">
        <v>0</v>
      </c>
      <c r="S207">
        <v>0</v>
      </c>
      <c r="T207">
        <v>0</v>
      </c>
      <c r="U207">
        <v>0</v>
      </c>
      <c r="V207">
        <v>0</v>
      </c>
      <c r="W207">
        <v>0</v>
      </c>
      <c r="X207">
        <v>0</v>
      </c>
      <c r="Y207">
        <v>0</v>
      </c>
      <c r="Z207">
        <v>0</v>
      </c>
      <c r="AA207">
        <v>0</v>
      </c>
      <c r="AB207">
        <v>0</v>
      </c>
      <c r="AC207">
        <v>0</v>
      </c>
      <c r="AD207">
        <v>0</v>
      </c>
      <c r="AF207">
        <v>0</v>
      </c>
      <c r="AG207">
        <v>0</v>
      </c>
      <c r="AH207">
        <v>0</v>
      </c>
      <c r="AI207">
        <v>0</v>
      </c>
      <c r="AJ207">
        <v>0</v>
      </c>
      <c r="AK207">
        <v>0</v>
      </c>
      <c r="AL207">
        <v>0</v>
      </c>
      <c r="AM207">
        <v>0</v>
      </c>
      <c r="AN207">
        <v>0</v>
      </c>
      <c r="AO207">
        <v>0</v>
      </c>
      <c r="AP207">
        <v>0</v>
      </c>
      <c r="AQ207">
        <v>0</v>
      </c>
      <c r="AR207">
        <v>0</v>
      </c>
      <c r="AS207">
        <v>0</v>
      </c>
      <c r="AT207">
        <v>0</v>
      </c>
      <c r="AU207">
        <v>0</v>
      </c>
      <c r="AV207">
        <v>0</v>
      </c>
      <c r="AW207">
        <v>0</v>
      </c>
      <c r="AX207">
        <v>0</v>
      </c>
      <c r="AY207">
        <v>0</v>
      </c>
      <c r="AZ207">
        <v>0</v>
      </c>
      <c r="BA207">
        <v>0</v>
      </c>
      <c r="BB207">
        <v>0</v>
      </c>
      <c r="BC207">
        <v>0</v>
      </c>
      <c r="BD207">
        <v>0</v>
      </c>
      <c r="BE207">
        <v>0</v>
      </c>
      <c r="BF207">
        <v>0</v>
      </c>
      <c r="BG207">
        <v>0</v>
      </c>
      <c r="BH207">
        <v>0</v>
      </c>
      <c r="BI207">
        <v>0</v>
      </c>
      <c r="BK207" s="151"/>
    </row>
    <row r="208" spans="1:63" x14ac:dyDescent="0.35">
      <c r="A208">
        <v>0</v>
      </c>
      <c r="B208">
        <v>0</v>
      </c>
      <c r="C208">
        <v>0</v>
      </c>
      <c r="D208">
        <v>0</v>
      </c>
      <c r="E208">
        <v>0</v>
      </c>
      <c r="F208">
        <v>0</v>
      </c>
      <c r="G208">
        <v>0</v>
      </c>
      <c r="H208">
        <v>0</v>
      </c>
      <c r="I208">
        <v>0</v>
      </c>
      <c r="J208">
        <v>0</v>
      </c>
      <c r="K208">
        <v>0</v>
      </c>
      <c r="L208">
        <v>0</v>
      </c>
      <c r="M208">
        <v>0</v>
      </c>
      <c r="N208">
        <v>0</v>
      </c>
      <c r="O208">
        <v>0</v>
      </c>
      <c r="P208">
        <v>0</v>
      </c>
      <c r="Q208">
        <v>0</v>
      </c>
      <c r="R208">
        <v>0</v>
      </c>
      <c r="S208">
        <v>0</v>
      </c>
      <c r="T208">
        <v>0</v>
      </c>
      <c r="U208">
        <v>0</v>
      </c>
      <c r="V208">
        <v>0</v>
      </c>
      <c r="W208">
        <v>0</v>
      </c>
      <c r="X208">
        <v>0</v>
      </c>
      <c r="Y208">
        <v>0</v>
      </c>
      <c r="Z208">
        <v>0</v>
      </c>
      <c r="AA208">
        <v>0</v>
      </c>
      <c r="AB208">
        <v>0</v>
      </c>
      <c r="AC208">
        <v>0</v>
      </c>
      <c r="AD208">
        <v>0</v>
      </c>
      <c r="AF208">
        <v>0</v>
      </c>
      <c r="AG208">
        <v>0</v>
      </c>
      <c r="AH208">
        <v>0</v>
      </c>
      <c r="AI208">
        <v>0</v>
      </c>
      <c r="AJ208">
        <v>0</v>
      </c>
      <c r="AK208">
        <v>0</v>
      </c>
      <c r="AL208">
        <v>0</v>
      </c>
      <c r="AM208">
        <v>0</v>
      </c>
      <c r="AN208">
        <v>0</v>
      </c>
      <c r="AO208">
        <v>0</v>
      </c>
      <c r="AP208">
        <v>0</v>
      </c>
      <c r="AQ208">
        <v>0</v>
      </c>
      <c r="AR208">
        <v>0</v>
      </c>
      <c r="AS208">
        <v>0</v>
      </c>
      <c r="AT208">
        <v>0</v>
      </c>
      <c r="AU208">
        <v>0</v>
      </c>
      <c r="AV208">
        <v>0</v>
      </c>
      <c r="AW208">
        <v>0</v>
      </c>
      <c r="AX208">
        <v>0</v>
      </c>
      <c r="AY208">
        <v>0</v>
      </c>
      <c r="AZ208">
        <v>0</v>
      </c>
      <c r="BA208">
        <v>0</v>
      </c>
      <c r="BB208">
        <v>0</v>
      </c>
      <c r="BC208">
        <v>0</v>
      </c>
      <c r="BD208">
        <v>0</v>
      </c>
      <c r="BE208">
        <v>0</v>
      </c>
      <c r="BF208">
        <v>0</v>
      </c>
      <c r="BG208">
        <v>0</v>
      </c>
      <c r="BH208">
        <v>0</v>
      </c>
      <c r="BI208">
        <v>0</v>
      </c>
      <c r="BK208" s="151"/>
    </row>
    <row r="209" spans="1:63" x14ac:dyDescent="0.35">
      <c r="A209">
        <v>0</v>
      </c>
      <c r="B209">
        <v>0</v>
      </c>
      <c r="C209">
        <v>0</v>
      </c>
      <c r="D209">
        <v>0</v>
      </c>
      <c r="E209">
        <v>0</v>
      </c>
      <c r="F209">
        <v>0</v>
      </c>
      <c r="G209">
        <v>0</v>
      </c>
      <c r="H209">
        <v>0</v>
      </c>
      <c r="I209">
        <v>0</v>
      </c>
      <c r="J209">
        <v>0</v>
      </c>
      <c r="K209">
        <v>0</v>
      </c>
      <c r="L209">
        <v>0</v>
      </c>
      <c r="M209">
        <v>0</v>
      </c>
      <c r="N209">
        <v>0</v>
      </c>
      <c r="O209">
        <v>0</v>
      </c>
      <c r="P209">
        <v>0</v>
      </c>
      <c r="Q209">
        <v>0</v>
      </c>
      <c r="R209">
        <v>0</v>
      </c>
      <c r="S209">
        <v>0</v>
      </c>
      <c r="T209">
        <v>0</v>
      </c>
      <c r="U209">
        <v>0</v>
      </c>
      <c r="V209">
        <v>0</v>
      </c>
      <c r="W209">
        <v>0</v>
      </c>
      <c r="X209">
        <v>0</v>
      </c>
      <c r="Y209">
        <v>0</v>
      </c>
      <c r="Z209">
        <v>0</v>
      </c>
      <c r="AA209">
        <v>0</v>
      </c>
      <c r="AB209">
        <v>0</v>
      </c>
      <c r="AC209">
        <v>0</v>
      </c>
      <c r="AD209">
        <v>0</v>
      </c>
      <c r="AF209">
        <v>0</v>
      </c>
      <c r="AG209">
        <v>0</v>
      </c>
      <c r="AH209">
        <v>0</v>
      </c>
      <c r="AI209">
        <v>0</v>
      </c>
      <c r="AJ209">
        <v>0</v>
      </c>
      <c r="AK209">
        <v>0</v>
      </c>
      <c r="AL209">
        <v>0</v>
      </c>
      <c r="AM209">
        <v>0</v>
      </c>
      <c r="AN209">
        <v>0</v>
      </c>
      <c r="AO209">
        <v>0</v>
      </c>
      <c r="AP209">
        <v>0</v>
      </c>
      <c r="AQ209">
        <v>0</v>
      </c>
      <c r="AR209">
        <v>0</v>
      </c>
      <c r="AS209">
        <v>0</v>
      </c>
      <c r="AT209">
        <v>0</v>
      </c>
      <c r="AU209">
        <v>0</v>
      </c>
      <c r="AV209">
        <v>0</v>
      </c>
      <c r="AW209">
        <v>0</v>
      </c>
      <c r="AX209">
        <v>0</v>
      </c>
      <c r="AY209">
        <v>0</v>
      </c>
      <c r="AZ209">
        <v>0</v>
      </c>
      <c r="BA209">
        <v>0</v>
      </c>
      <c r="BB209">
        <v>0</v>
      </c>
      <c r="BC209">
        <v>0</v>
      </c>
      <c r="BD209">
        <v>0</v>
      </c>
      <c r="BE209">
        <v>0</v>
      </c>
      <c r="BF209">
        <v>0</v>
      </c>
      <c r="BG209">
        <v>0</v>
      </c>
      <c r="BH209">
        <v>0</v>
      </c>
      <c r="BI209">
        <v>0</v>
      </c>
      <c r="BK209" s="151"/>
    </row>
    <row r="210" spans="1:63" x14ac:dyDescent="0.35">
      <c r="A210">
        <v>0</v>
      </c>
      <c r="B210">
        <v>0</v>
      </c>
      <c r="C210">
        <v>0</v>
      </c>
      <c r="D210">
        <v>0</v>
      </c>
      <c r="E210">
        <v>0</v>
      </c>
      <c r="F210">
        <v>0</v>
      </c>
      <c r="G210">
        <v>0</v>
      </c>
      <c r="H210">
        <v>0</v>
      </c>
      <c r="I210">
        <v>0</v>
      </c>
      <c r="J210">
        <v>0</v>
      </c>
      <c r="K210">
        <v>0</v>
      </c>
      <c r="L210">
        <v>0</v>
      </c>
      <c r="M210">
        <v>0</v>
      </c>
      <c r="N210">
        <v>0</v>
      </c>
      <c r="O210">
        <v>0</v>
      </c>
      <c r="P210">
        <v>0</v>
      </c>
      <c r="Q210">
        <v>0</v>
      </c>
      <c r="R210">
        <v>0</v>
      </c>
      <c r="S210">
        <v>0</v>
      </c>
      <c r="T210">
        <v>0</v>
      </c>
      <c r="U210">
        <v>0</v>
      </c>
      <c r="V210">
        <v>0</v>
      </c>
      <c r="W210">
        <v>0</v>
      </c>
      <c r="X210">
        <v>0</v>
      </c>
      <c r="Y210">
        <v>0</v>
      </c>
      <c r="Z210">
        <v>0</v>
      </c>
      <c r="AA210">
        <v>0</v>
      </c>
      <c r="AB210">
        <v>0</v>
      </c>
      <c r="AC210">
        <v>0</v>
      </c>
      <c r="AD210">
        <v>0</v>
      </c>
      <c r="AF210">
        <v>0</v>
      </c>
      <c r="AG210">
        <v>0</v>
      </c>
      <c r="AH210">
        <v>0</v>
      </c>
      <c r="AI210">
        <v>0</v>
      </c>
      <c r="AJ210">
        <v>0</v>
      </c>
      <c r="AK210">
        <v>0</v>
      </c>
      <c r="AL210">
        <v>0</v>
      </c>
      <c r="AM210">
        <v>0</v>
      </c>
      <c r="AN210">
        <v>0</v>
      </c>
      <c r="AO210">
        <v>0</v>
      </c>
      <c r="AP210">
        <v>0</v>
      </c>
      <c r="AQ210">
        <v>0</v>
      </c>
      <c r="AR210">
        <v>0</v>
      </c>
      <c r="AS210">
        <v>0</v>
      </c>
      <c r="AT210">
        <v>0</v>
      </c>
      <c r="AU210">
        <v>0</v>
      </c>
      <c r="AV210">
        <v>0</v>
      </c>
      <c r="AW210">
        <v>0</v>
      </c>
      <c r="AX210">
        <v>0</v>
      </c>
      <c r="AY210">
        <v>0</v>
      </c>
      <c r="AZ210">
        <v>0</v>
      </c>
      <c r="BA210">
        <v>0</v>
      </c>
      <c r="BB210">
        <v>0</v>
      </c>
      <c r="BC210">
        <v>0</v>
      </c>
      <c r="BD210">
        <v>0</v>
      </c>
      <c r="BE210">
        <v>0</v>
      </c>
      <c r="BF210">
        <v>0</v>
      </c>
      <c r="BG210">
        <v>0</v>
      </c>
      <c r="BH210">
        <v>0</v>
      </c>
      <c r="BI210">
        <v>0</v>
      </c>
      <c r="BK210" s="151"/>
    </row>
    <row r="211" spans="1:63" x14ac:dyDescent="0.35">
      <c r="A211">
        <v>0</v>
      </c>
      <c r="B211">
        <v>0</v>
      </c>
      <c r="C211">
        <v>0</v>
      </c>
      <c r="D211">
        <v>0</v>
      </c>
      <c r="E211">
        <v>0</v>
      </c>
      <c r="F211">
        <v>0</v>
      </c>
      <c r="G211">
        <v>0</v>
      </c>
      <c r="H211">
        <v>0</v>
      </c>
      <c r="I211">
        <v>0</v>
      </c>
      <c r="J211">
        <v>0</v>
      </c>
      <c r="K211">
        <v>0</v>
      </c>
      <c r="L211">
        <v>0</v>
      </c>
      <c r="M211">
        <v>0</v>
      </c>
      <c r="N211">
        <v>0</v>
      </c>
      <c r="O211">
        <v>0</v>
      </c>
      <c r="P211">
        <v>0</v>
      </c>
      <c r="Q211">
        <v>0</v>
      </c>
      <c r="R211">
        <v>0</v>
      </c>
      <c r="S211">
        <v>0</v>
      </c>
      <c r="T211">
        <v>0</v>
      </c>
      <c r="U211">
        <v>0</v>
      </c>
      <c r="V211">
        <v>0</v>
      </c>
      <c r="W211">
        <v>0</v>
      </c>
      <c r="X211">
        <v>0</v>
      </c>
      <c r="Y211">
        <v>0</v>
      </c>
      <c r="Z211">
        <v>0</v>
      </c>
      <c r="AA211">
        <v>0</v>
      </c>
      <c r="AB211">
        <v>0</v>
      </c>
      <c r="AC211">
        <v>0</v>
      </c>
      <c r="AD211">
        <v>0</v>
      </c>
      <c r="AF211">
        <v>0</v>
      </c>
      <c r="AG211">
        <v>0</v>
      </c>
      <c r="AH211">
        <v>0</v>
      </c>
      <c r="AI211">
        <v>0</v>
      </c>
      <c r="AJ211">
        <v>0</v>
      </c>
      <c r="AK211">
        <v>0</v>
      </c>
      <c r="AL211">
        <v>0</v>
      </c>
      <c r="AM211">
        <v>0</v>
      </c>
      <c r="AN211">
        <v>0</v>
      </c>
      <c r="AO211">
        <v>0</v>
      </c>
      <c r="AP211">
        <v>0</v>
      </c>
      <c r="AQ211">
        <v>0</v>
      </c>
      <c r="AR211">
        <v>0</v>
      </c>
      <c r="AS211">
        <v>0</v>
      </c>
      <c r="AT211">
        <v>0</v>
      </c>
      <c r="AU211">
        <v>0</v>
      </c>
      <c r="AV211">
        <v>0</v>
      </c>
      <c r="AW211">
        <v>0</v>
      </c>
      <c r="AX211">
        <v>0</v>
      </c>
      <c r="AY211">
        <v>0</v>
      </c>
      <c r="AZ211">
        <v>0</v>
      </c>
      <c r="BA211">
        <v>0</v>
      </c>
      <c r="BB211">
        <v>0</v>
      </c>
      <c r="BC211">
        <v>0</v>
      </c>
      <c r="BD211">
        <v>0</v>
      </c>
      <c r="BE211">
        <v>0</v>
      </c>
      <c r="BF211">
        <v>0</v>
      </c>
      <c r="BG211">
        <v>0</v>
      </c>
      <c r="BH211">
        <v>0</v>
      </c>
      <c r="BI211">
        <v>0</v>
      </c>
      <c r="BK211" s="151"/>
    </row>
    <row r="212" spans="1:63" x14ac:dyDescent="0.35">
      <c r="A212">
        <v>0</v>
      </c>
      <c r="B212">
        <v>0</v>
      </c>
      <c r="C212">
        <v>0</v>
      </c>
      <c r="D212">
        <v>0</v>
      </c>
      <c r="E212">
        <v>0</v>
      </c>
      <c r="F212">
        <v>0</v>
      </c>
      <c r="G212">
        <v>0</v>
      </c>
      <c r="H212">
        <v>0</v>
      </c>
      <c r="I212">
        <v>0</v>
      </c>
      <c r="J212">
        <v>0</v>
      </c>
      <c r="K212">
        <v>0</v>
      </c>
      <c r="L212">
        <v>0</v>
      </c>
      <c r="M212">
        <v>0</v>
      </c>
      <c r="N212">
        <v>0</v>
      </c>
      <c r="O212">
        <v>0</v>
      </c>
      <c r="P212">
        <v>0</v>
      </c>
      <c r="Q212">
        <v>0</v>
      </c>
      <c r="R212">
        <v>0</v>
      </c>
      <c r="S212">
        <v>0</v>
      </c>
      <c r="T212">
        <v>0</v>
      </c>
      <c r="U212">
        <v>0</v>
      </c>
      <c r="V212">
        <v>0</v>
      </c>
      <c r="W212">
        <v>0</v>
      </c>
      <c r="X212">
        <v>0</v>
      </c>
      <c r="Y212">
        <v>0</v>
      </c>
      <c r="Z212">
        <v>0</v>
      </c>
      <c r="AA212">
        <v>0</v>
      </c>
      <c r="AB212">
        <v>0</v>
      </c>
      <c r="AC212">
        <v>0</v>
      </c>
      <c r="AD212">
        <v>0</v>
      </c>
      <c r="AF212">
        <v>0</v>
      </c>
      <c r="AG212">
        <v>0</v>
      </c>
      <c r="AH212">
        <v>0</v>
      </c>
      <c r="AI212">
        <v>0</v>
      </c>
      <c r="AJ212">
        <v>0</v>
      </c>
      <c r="AK212">
        <v>0</v>
      </c>
      <c r="AL212">
        <v>0</v>
      </c>
      <c r="AM212">
        <v>0</v>
      </c>
      <c r="AN212">
        <v>0</v>
      </c>
      <c r="AO212">
        <v>0</v>
      </c>
      <c r="AP212">
        <v>0</v>
      </c>
      <c r="AQ212">
        <v>0</v>
      </c>
      <c r="AR212">
        <v>0</v>
      </c>
      <c r="AS212">
        <v>0</v>
      </c>
      <c r="AT212">
        <v>0</v>
      </c>
      <c r="AU212">
        <v>0</v>
      </c>
      <c r="AV212">
        <v>0</v>
      </c>
      <c r="AW212">
        <v>0</v>
      </c>
      <c r="AX212">
        <v>0</v>
      </c>
      <c r="AY212">
        <v>0</v>
      </c>
      <c r="AZ212">
        <v>0</v>
      </c>
      <c r="BA212">
        <v>0</v>
      </c>
      <c r="BB212">
        <v>0</v>
      </c>
      <c r="BC212">
        <v>0</v>
      </c>
      <c r="BD212">
        <v>0</v>
      </c>
      <c r="BE212">
        <v>0</v>
      </c>
      <c r="BF212">
        <v>0</v>
      </c>
      <c r="BG212">
        <v>0</v>
      </c>
      <c r="BH212">
        <v>0</v>
      </c>
      <c r="BI212">
        <v>0</v>
      </c>
      <c r="BK212" s="151"/>
    </row>
    <row r="213" spans="1:63" x14ac:dyDescent="0.35">
      <c r="A213">
        <v>0</v>
      </c>
      <c r="B213">
        <v>0</v>
      </c>
      <c r="C213">
        <v>0</v>
      </c>
      <c r="D213">
        <v>0</v>
      </c>
      <c r="E213">
        <v>0</v>
      </c>
      <c r="F213">
        <v>0</v>
      </c>
      <c r="G213">
        <v>0</v>
      </c>
      <c r="H213">
        <v>0</v>
      </c>
      <c r="I213">
        <v>0</v>
      </c>
      <c r="J213">
        <v>0</v>
      </c>
      <c r="K213">
        <v>0</v>
      </c>
      <c r="L213">
        <v>0</v>
      </c>
      <c r="M213">
        <v>0</v>
      </c>
      <c r="N213">
        <v>0</v>
      </c>
      <c r="O213">
        <v>0</v>
      </c>
      <c r="P213">
        <v>0</v>
      </c>
      <c r="Q213">
        <v>0</v>
      </c>
      <c r="R213">
        <v>0</v>
      </c>
      <c r="S213">
        <v>0</v>
      </c>
      <c r="T213">
        <v>0</v>
      </c>
      <c r="U213">
        <v>0</v>
      </c>
      <c r="V213">
        <v>0</v>
      </c>
      <c r="W213">
        <v>0</v>
      </c>
      <c r="X213">
        <v>0</v>
      </c>
      <c r="Y213">
        <v>0</v>
      </c>
      <c r="Z213">
        <v>0</v>
      </c>
      <c r="AA213">
        <v>0</v>
      </c>
      <c r="AB213">
        <v>0</v>
      </c>
      <c r="AC213">
        <v>0</v>
      </c>
      <c r="AD213">
        <v>0</v>
      </c>
      <c r="AF213">
        <v>0</v>
      </c>
      <c r="AG213">
        <v>0</v>
      </c>
      <c r="AH213">
        <v>0</v>
      </c>
      <c r="AI213">
        <v>0</v>
      </c>
      <c r="AJ213">
        <v>0</v>
      </c>
      <c r="AK213">
        <v>0</v>
      </c>
      <c r="AL213">
        <v>0</v>
      </c>
      <c r="AM213">
        <v>0</v>
      </c>
      <c r="AN213">
        <v>0</v>
      </c>
      <c r="AO213">
        <v>0</v>
      </c>
      <c r="AP213">
        <v>0</v>
      </c>
      <c r="AQ213">
        <v>0</v>
      </c>
      <c r="AR213">
        <v>0</v>
      </c>
      <c r="AS213">
        <v>0</v>
      </c>
      <c r="AT213">
        <v>0</v>
      </c>
      <c r="AU213">
        <v>0</v>
      </c>
      <c r="AV213">
        <v>0</v>
      </c>
      <c r="AW213">
        <v>0</v>
      </c>
      <c r="AX213">
        <v>0</v>
      </c>
      <c r="AY213">
        <v>0</v>
      </c>
      <c r="AZ213">
        <v>0</v>
      </c>
      <c r="BA213">
        <v>0</v>
      </c>
      <c r="BB213">
        <v>0</v>
      </c>
      <c r="BC213">
        <v>0</v>
      </c>
      <c r="BD213">
        <v>0</v>
      </c>
      <c r="BE213">
        <v>0</v>
      </c>
      <c r="BF213">
        <v>0</v>
      </c>
      <c r="BG213">
        <v>0</v>
      </c>
      <c r="BH213">
        <v>0</v>
      </c>
      <c r="BI213">
        <v>0</v>
      </c>
      <c r="BK213" s="151"/>
    </row>
    <row r="214" spans="1:63" x14ac:dyDescent="0.35">
      <c r="A214">
        <v>0</v>
      </c>
      <c r="B214">
        <v>0</v>
      </c>
      <c r="C214">
        <v>0</v>
      </c>
      <c r="D214">
        <v>0</v>
      </c>
      <c r="E214">
        <v>0</v>
      </c>
      <c r="F214">
        <v>0</v>
      </c>
      <c r="G214">
        <v>0</v>
      </c>
      <c r="H214">
        <v>0</v>
      </c>
      <c r="I214">
        <v>0</v>
      </c>
      <c r="J214">
        <v>0</v>
      </c>
      <c r="K214">
        <v>0</v>
      </c>
      <c r="L214">
        <v>0</v>
      </c>
      <c r="M214">
        <v>0</v>
      </c>
      <c r="N214">
        <v>0</v>
      </c>
      <c r="O214">
        <v>0</v>
      </c>
      <c r="P214">
        <v>0</v>
      </c>
      <c r="Q214">
        <v>0</v>
      </c>
      <c r="R214">
        <v>0</v>
      </c>
      <c r="S214">
        <v>0</v>
      </c>
      <c r="T214">
        <v>0</v>
      </c>
      <c r="U214">
        <v>0</v>
      </c>
      <c r="V214">
        <v>0</v>
      </c>
      <c r="W214">
        <v>0</v>
      </c>
      <c r="X214">
        <v>0</v>
      </c>
      <c r="Y214">
        <v>0</v>
      </c>
      <c r="Z214">
        <v>0</v>
      </c>
      <c r="AA214">
        <v>0</v>
      </c>
      <c r="AB214">
        <v>0</v>
      </c>
      <c r="AC214">
        <v>0</v>
      </c>
      <c r="AD214">
        <v>0</v>
      </c>
      <c r="AF214">
        <v>0</v>
      </c>
      <c r="AG214">
        <v>0</v>
      </c>
      <c r="AH214">
        <v>0</v>
      </c>
      <c r="AI214">
        <v>0</v>
      </c>
      <c r="AJ214">
        <v>0</v>
      </c>
      <c r="AK214">
        <v>0</v>
      </c>
      <c r="AL214">
        <v>0</v>
      </c>
      <c r="AM214">
        <v>0</v>
      </c>
      <c r="AN214">
        <v>0</v>
      </c>
      <c r="AO214">
        <v>0</v>
      </c>
      <c r="AP214">
        <v>0</v>
      </c>
      <c r="AQ214">
        <v>0</v>
      </c>
      <c r="AR214">
        <v>0</v>
      </c>
      <c r="AS214">
        <v>0</v>
      </c>
      <c r="AT214">
        <v>0</v>
      </c>
      <c r="AU214">
        <v>0</v>
      </c>
      <c r="AV214">
        <v>0</v>
      </c>
      <c r="AW214">
        <v>0</v>
      </c>
      <c r="AX214">
        <v>0</v>
      </c>
      <c r="AY214">
        <v>0</v>
      </c>
      <c r="AZ214">
        <v>0</v>
      </c>
      <c r="BA214">
        <v>0</v>
      </c>
      <c r="BB214">
        <v>0</v>
      </c>
      <c r="BC214">
        <v>0</v>
      </c>
      <c r="BD214">
        <v>0</v>
      </c>
      <c r="BE214">
        <v>0</v>
      </c>
      <c r="BF214">
        <v>0</v>
      </c>
      <c r="BG214">
        <v>0</v>
      </c>
      <c r="BH214">
        <v>0</v>
      </c>
      <c r="BI214">
        <v>0</v>
      </c>
      <c r="BK214" s="151"/>
    </row>
    <row r="215" spans="1:63" x14ac:dyDescent="0.35">
      <c r="A215">
        <v>0</v>
      </c>
      <c r="B215">
        <v>0</v>
      </c>
      <c r="C215">
        <v>0</v>
      </c>
      <c r="D215">
        <v>0</v>
      </c>
      <c r="E215">
        <v>0</v>
      </c>
      <c r="F215">
        <v>0</v>
      </c>
      <c r="G215">
        <v>0</v>
      </c>
      <c r="H215">
        <v>0</v>
      </c>
      <c r="I215">
        <v>0</v>
      </c>
      <c r="J215">
        <v>0</v>
      </c>
      <c r="K215">
        <v>0</v>
      </c>
      <c r="L215">
        <v>0</v>
      </c>
      <c r="M215">
        <v>0</v>
      </c>
      <c r="N215">
        <v>0</v>
      </c>
      <c r="O215">
        <v>0</v>
      </c>
      <c r="P215">
        <v>0</v>
      </c>
      <c r="Q215">
        <v>0</v>
      </c>
      <c r="R215">
        <v>0</v>
      </c>
      <c r="S215">
        <v>0</v>
      </c>
      <c r="T215">
        <v>0</v>
      </c>
      <c r="U215">
        <v>0</v>
      </c>
      <c r="V215">
        <v>0</v>
      </c>
      <c r="W215">
        <v>0</v>
      </c>
      <c r="X215">
        <v>0</v>
      </c>
      <c r="Y215">
        <v>0</v>
      </c>
      <c r="Z215">
        <v>0</v>
      </c>
      <c r="AA215">
        <v>0</v>
      </c>
      <c r="AB215">
        <v>0</v>
      </c>
      <c r="AC215">
        <v>0</v>
      </c>
      <c r="AD215">
        <v>0</v>
      </c>
      <c r="AF215">
        <v>0</v>
      </c>
      <c r="AG215">
        <v>0</v>
      </c>
      <c r="AH215">
        <v>0</v>
      </c>
      <c r="AI215">
        <v>0</v>
      </c>
      <c r="AJ215">
        <v>0</v>
      </c>
      <c r="AK215">
        <v>0</v>
      </c>
      <c r="AL215">
        <v>0</v>
      </c>
      <c r="AM215">
        <v>0</v>
      </c>
      <c r="AN215">
        <v>0</v>
      </c>
      <c r="AO215">
        <v>0</v>
      </c>
      <c r="AP215">
        <v>0</v>
      </c>
      <c r="AQ215">
        <v>0</v>
      </c>
      <c r="AR215">
        <v>0</v>
      </c>
      <c r="AS215">
        <v>0</v>
      </c>
      <c r="AT215">
        <v>0</v>
      </c>
      <c r="AU215">
        <v>0</v>
      </c>
      <c r="AV215">
        <v>0</v>
      </c>
      <c r="AW215">
        <v>0</v>
      </c>
      <c r="AX215">
        <v>0</v>
      </c>
      <c r="AY215">
        <v>0</v>
      </c>
      <c r="AZ215">
        <v>0</v>
      </c>
      <c r="BA215">
        <v>0</v>
      </c>
      <c r="BB215">
        <v>0</v>
      </c>
      <c r="BC215">
        <v>0</v>
      </c>
      <c r="BD215">
        <v>0</v>
      </c>
      <c r="BE215">
        <v>0</v>
      </c>
      <c r="BF215">
        <v>0</v>
      </c>
      <c r="BG215">
        <v>0</v>
      </c>
      <c r="BH215">
        <v>0</v>
      </c>
      <c r="BI215">
        <v>0</v>
      </c>
      <c r="BK215" s="151"/>
    </row>
    <row r="216" spans="1:63" x14ac:dyDescent="0.35">
      <c r="A216">
        <v>0</v>
      </c>
      <c r="B216">
        <v>0</v>
      </c>
      <c r="C216">
        <v>0</v>
      </c>
      <c r="D216">
        <v>0</v>
      </c>
      <c r="E216">
        <v>0</v>
      </c>
      <c r="F216">
        <v>0</v>
      </c>
      <c r="G216">
        <v>0</v>
      </c>
      <c r="H216">
        <v>0</v>
      </c>
      <c r="I216">
        <v>0</v>
      </c>
      <c r="J216">
        <v>0</v>
      </c>
      <c r="K216">
        <v>0</v>
      </c>
      <c r="L216">
        <v>0</v>
      </c>
      <c r="M216">
        <v>0</v>
      </c>
      <c r="N216">
        <v>0</v>
      </c>
      <c r="O216">
        <v>0</v>
      </c>
      <c r="P216">
        <v>0</v>
      </c>
      <c r="Q216">
        <v>0</v>
      </c>
      <c r="R216">
        <v>0</v>
      </c>
      <c r="S216">
        <v>0</v>
      </c>
      <c r="T216">
        <v>0</v>
      </c>
      <c r="U216">
        <v>0</v>
      </c>
      <c r="V216">
        <v>0</v>
      </c>
      <c r="W216">
        <v>0</v>
      </c>
      <c r="X216">
        <v>0</v>
      </c>
      <c r="Y216">
        <v>0</v>
      </c>
      <c r="Z216">
        <v>0</v>
      </c>
      <c r="AA216">
        <v>0</v>
      </c>
      <c r="AB216">
        <v>0</v>
      </c>
      <c r="AC216">
        <v>0</v>
      </c>
      <c r="AD216">
        <v>0</v>
      </c>
      <c r="AF216">
        <v>0</v>
      </c>
      <c r="AG216">
        <v>0</v>
      </c>
      <c r="AH216">
        <v>0</v>
      </c>
      <c r="AI216">
        <v>0</v>
      </c>
      <c r="AJ216">
        <v>0</v>
      </c>
      <c r="AK216">
        <v>0</v>
      </c>
      <c r="AL216">
        <v>0</v>
      </c>
      <c r="AM216">
        <v>0</v>
      </c>
      <c r="AN216">
        <v>0</v>
      </c>
      <c r="AO216">
        <v>0</v>
      </c>
      <c r="AP216">
        <v>0</v>
      </c>
      <c r="AQ216">
        <v>0</v>
      </c>
      <c r="AR216">
        <v>0</v>
      </c>
      <c r="AS216">
        <v>0</v>
      </c>
      <c r="AT216">
        <v>0</v>
      </c>
      <c r="AU216">
        <v>0</v>
      </c>
      <c r="AV216">
        <v>0</v>
      </c>
      <c r="AW216">
        <v>0</v>
      </c>
      <c r="AX216">
        <v>0</v>
      </c>
      <c r="AY216">
        <v>0</v>
      </c>
      <c r="AZ216">
        <v>0</v>
      </c>
      <c r="BA216">
        <v>0</v>
      </c>
      <c r="BB216">
        <v>0</v>
      </c>
      <c r="BC216">
        <v>0</v>
      </c>
      <c r="BD216">
        <v>0</v>
      </c>
      <c r="BE216">
        <v>0</v>
      </c>
      <c r="BF216">
        <v>0</v>
      </c>
      <c r="BG216">
        <v>0</v>
      </c>
      <c r="BH216">
        <v>0</v>
      </c>
      <c r="BI216">
        <v>0</v>
      </c>
      <c r="BK216" s="151"/>
    </row>
    <row r="217" spans="1:63" x14ac:dyDescent="0.35">
      <c r="A217">
        <v>0</v>
      </c>
      <c r="B217">
        <v>0</v>
      </c>
      <c r="C217">
        <v>0</v>
      </c>
      <c r="D217">
        <v>0</v>
      </c>
      <c r="E217">
        <v>0</v>
      </c>
      <c r="F217">
        <v>0</v>
      </c>
      <c r="G217">
        <v>0</v>
      </c>
      <c r="H217">
        <v>0</v>
      </c>
      <c r="I217">
        <v>0</v>
      </c>
      <c r="J217">
        <v>0</v>
      </c>
      <c r="K217">
        <v>0</v>
      </c>
      <c r="L217">
        <v>0</v>
      </c>
      <c r="M217">
        <v>0</v>
      </c>
      <c r="N217">
        <v>0</v>
      </c>
      <c r="O217">
        <v>0</v>
      </c>
      <c r="P217">
        <v>0</v>
      </c>
      <c r="Q217">
        <v>0</v>
      </c>
      <c r="R217">
        <v>0</v>
      </c>
      <c r="S217">
        <v>0</v>
      </c>
      <c r="T217">
        <v>0</v>
      </c>
      <c r="U217">
        <v>0</v>
      </c>
      <c r="V217">
        <v>0</v>
      </c>
      <c r="W217">
        <v>0</v>
      </c>
      <c r="X217">
        <v>0</v>
      </c>
      <c r="Y217">
        <v>0</v>
      </c>
      <c r="Z217">
        <v>0</v>
      </c>
      <c r="AA217">
        <v>0</v>
      </c>
      <c r="AB217">
        <v>0</v>
      </c>
      <c r="AC217">
        <v>0</v>
      </c>
      <c r="AD217">
        <v>0</v>
      </c>
      <c r="AF217">
        <v>0</v>
      </c>
      <c r="AG217">
        <v>0</v>
      </c>
      <c r="AH217">
        <v>0</v>
      </c>
      <c r="AI217">
        <v>0</v>
      </c>
      <c r="AJ217">
        <v>0</v>
      </c>
      <c r="AK217">
        <v>0</v>
      </c>
      <c r="AL217">
        <v>0</v>
      </c>
      <c r="AM217">
        <v>0</v>
      </c>
      <c r="AN217">
        <v>0</v>
      </c>
      <c r="AO217">
        <v>0</v>
      </c>
      <c r="AP217">
        <v>0</v>
      </c>
      <c r="AQ217">
        <v>0</v>
      </c>
      <c r="AR217">
        <v>0</v>
      </c>
      <c r="AS217">
        <v>0</v>
      </c>
      <c r="AT217">
        <v>0</v>
      </c>
      <c r="AU217">
        <v>0</v>
      </c>
      <c r="AV217">
        <v>0</v>
      </c>
      <c r="AW217">
        <v>0</v>
      </c>
      <c r="AX217">
        <v>0</v>
      </c>
      <c r="AY217">
        <v>0</v>
      </c>
      <c r="AZ217">
        <v>0</v>
      </c>
      <c r="BA217">
        <v>0</v>
      </c>
      <c r="BB217">
        <v>0</v>
      </c>
      <c r="BC217">
        <v>0</v>
      </c>
      <c r="BD217">
        <v>0</v>
      </c>
      <c r="BE217">
        <v>0</v>
      </c>
      <c r="BF217">
        <v>0</v>
      </c>
      <c r="BG217">
        <v>0</v>
      </c>
      <c r="BH217">
        <v>0</v>
      </c>
      <c r="BI217">
        <v>0</v>
      </c>
      <c r="BK217" s="151"/>
    </row>
    <row r="218" spans="1:63" x14ac:dyDescent="0.35">
      <c r="A218">
        <v>0</v>
      </c>
      <c r="B218">
        <v>0</v>
      </c>
      <c r="C218">
        <v>0</v>
      </c>
      <c r="D218">
        <v>0</v>
      </c>
      <c r="E218">
        <v>0</v>
      </c>
      <c r="F218">
        <v>0</v>
      </c>
      <c r="G218">
        <v>0</v>
      </c>
      <c r="H218">
        <v>0</v>
      </c>
      <c r="I218">
        <v>0</v>
      </c>
      <c r="J218">
        <v>0</v>
      </c>
      <c r="K218">
        <v>0</v>
      </c>
      <c r="L218">
        <v>0</v>
      </c>
      <c r="M218">
        <v>0</v>
      </c>
      <c r="N218">
        <v>0</v>
      </c>
      <c r="O218">
        <v>0</v>
      </c>
      <c r="P218">
        <v>0</v>
      </c>
      <c r="Q218">
        <v>0</v>
      </c>
      <c r="R218">
        <v>0</v>
      </c>
      <c r="S218">
        <v>0</v>
      </c>
      <c r="T218">
        <v>0</v>
      </c>
      <c r="U218">
        <v>0</v>
      </c>
      <c r="V218">
        <v>0</v>
      </c>
      <c r="W218">
        <v>0</v>
      </c>
      <c r="X218">
        <v>0</v>
      </c>
      <c r="Y218">
        <v>0</v>
      </c>
      <c r="Z218">
        <v>0</v>
      </c>
      <c r="AA218">
        <v>0</v>
      </c>
      <c r="AB218">
        <v>0</v>
      </c>
      <c r="AC218">
        <v>0</v>
      </c>
      <c r="AD218">
        <v>0</v>
      </c>
      <c r="AF218">
        <v>0</v>
      </c>
      <c r="AG218">
        <v>0</v>
      </c>
      <c r="AH218">
        <v>0</v>
      </c>
      <c r="AI218">
        <v>0</v>
      </c>
      <c r="AJ218">
        <v>0</v>
      </c>
      <c r="AK218">
        <v>0</v>
      </c>
      <c r="AL218">
        <v>0</v>
      </c>
      <c r="AM218">
        <v>0</v>
      </c>
      <c r="AN218">
        <v>0</v>
      </c>
      <c r="AO218">
        <v>0</v>
      </c>
      <c r="AP218">
        <v>0</v>
      </c>
      <c r="AQ218">
        <v>0</v>
      </c>
      <c r="AR218">
        <v>0</v>
      </c>
      <c r="AS218">
        <v>0</v>
      </c>
      <c r="AT218">
        <v>0</v>
      </c>
      <c r="AU218">
        <v>0</v>
      </c>
      <c r="AV218">
        <v>0</v>
      </c>
      <c r="AW218">
        <v>0</v>
      </c>
      <c r="AX218">
        <v>0</v>
      </c>
      <c r="AY218">
        <v>0</v>
      </c>
      <c r="AZ218">
        <v>0</v>
      </c>
      <c r="BA218">
        <v>0</v>
      </c>
      <c r="BB218">
        <v>0</v>
      </c>
      <c r="BC218">
        <v>0</v>
      </c>
      <c r="BD218">
        <v>0</v>
      </c>
      <c r="BE218">
        <v>0</v>
      </c>
      <c r="BF218">
        <v>0</v>
      </c>
      <c r="BG218">
        <v>0</v>
      </c>
      <c r="BH218">
        <v>0</v>
      </c>
      <c r="BI218">
        <v>0</v>
      </c>
      <c r="BK218" s="151"/>
    </row>
    <row r="219" spans="1:63" x14ac:dyDescent="0.35">
      <c r="A219">
        <v>0</v>
      </c>
      <c r="B219">
        <v>0</v>
      </c>
      <c r="C219">
        <v>0</v>
      </c>
      <c r="D219">
        <v>0</v>
      </c>
      <c r="E219">
        <v>0</v>
      </c>
      <c r="F219">
        <v>0</v>
      </c>
      <c r="G219">
        <v>0</v>
      </c>
      <c r="H219">
        <v>0</v>
      </c>
      <c r="I219">
        <v>0</v>
      </c>
      <c r="J219">
        <v>0</v>
      </c>
      <c r="K219">
        <v>0</v>
      </c>
      <c r="L219">
        <v>0</v>
      </c>
      <c r="M219">
        <v>0</v>
      </c>
      <c r="N219">
        <v>0</v>
      </c>
      <c r="O219">
        <v>0</v>
      </c>
      <c r="P219">
        <v>0</v>
      </c>
      <c r="Q219">
        <v>0</v>
      </c>
      <c r="R219">
        <v>0</v>
      </c>
      <c r="S219">
        <v>0</v>
      </c>
      <c r="T219">
        <v>0</v>
      </c>
      <c r="U219">
        <v>0</v>
      </c>
      <c r="V219">
        <v>0</v>
      </c>
      <c r="W219">
        <v>0</v>
      </c>
      <c r="X219">
        <v>0</v>
      </c>
      <c r="Y219">
        <v>0</v>
      </c>
      <c r="Z219">
        <v>0</v>
      </c>
      <c r="AA219">
        <v>0</v>
      </c>
      <c r="AB219">
        <v>0</v>
      </c>
      <c r="AC219">
        <v>0</v>
      </c>
      <c r="AD219">
        <v>0</v>
      </c>
      <c r="AF219">
        <v>0</v>
      </c>
      <c r="AG219">
        <v>0</v>
      </c>
      <c r="AH219">
        <v>0</v>
      </c>
      <c r="AI219">
        <v>0</v>
      </c>
      <c r="AJ219">
        <v>0</v>
      </c>
      <c r="AK219">
        <v>0</v>
      </c>
      <c r="AL219">
        <v>0</v>
      </c>
      <c r="AM219">
        <v>0</v>
      </c>
      <c r="AN219">
        <v>0</v>
      </c>
      <c r="AO219">
        <v>0</v>
      </c>
      <c r="AP219">
        <v>0</v>
      </c>
      <c r="AQ219">
        <v>0</v>
      </c>
      <c r="AR219">
        <v>0</v>
      </c>
      <c r="AS219">
        <v>0</v>
      </c>
      <c r="AT219">
        <v>0</v>
      </c>
      <c r="AU219">
        <v>0</v>
      </c>
      <c r="AV219">
        <v>0</v>
      </c>
      <c r="AW219">
        <v>0</v>
      </c>
      <c r="AX219">
        <v>0</v>
      </c>
      <c r="AY219">
        <v>0</v>
      </c>
      <c r="AZ219">
        <v>0</v>
      </c>
      <c r="BA219">
        <v>0</v>
      </c>
      <c r="BB219">
        <v>0</v>
      </c>
      <c r="BC219">
        <v>0</v>
      </c>
      <c r="BD219">
        <v>0</v>
      </c>
      <c r="BE219">
        <v>0</v>
      </c>
      <c r="BF219">
        <v>0</v>
      </c>
      <c r="BG219">
        <v>0</v>
      </c>
      <c r="BH219">
        <v>0</v>
      </c>
      <c r="BI219">
        <v>0</v>
      </c>
      <c r="BK219" s="151"/>
    </row>
    <row r="220" spans="1:63" x14ac:dyDescent="0.35">
      <c r="A220">
        <v>0</v>
      </c>
      <c r="B220">
        <v>0</v>
      </c>
      <c r="C220">
        <v>0</v>
      </c>
      <c r="D220">
        <v>0</v>
      </c>
      <c r="E220">
        <v>0</v>
      </c>
      <c r="F220">
        <v>0</v>
      </c>
      <c r="G220">
        <v>0</v>
      </c>
      <c r="H220">
        <v>0</v>
      </c>
      <c r="I220">
        <v>0</v>
      </c>
      <c r="J220">
        <v>0</v>
      </c>
      <c r="K220">
        <v>0</v>
      </c>
      <c r="L220">
        <v>0</v>
      </c>
      <c r="M220">
        <v>0</v>
      </c>
      <c r="N220">
        <v>0</v>
      </c>
      <c r="O220">
        <v>0</v>
      </c>
      <c r="P220">
        <v>0</v>
      </c>
      <c r="Q220">
        <v>0</v>
      </c>
      <c r="R220">
        <v>0</v>
      </c>
      <c r="S220">
        <v>0</v>
      </c>
      <c r="T220">
        <v>0</v>
      </c>
      <c r="U220">
        <v>0</v>
      </c>
      <c r="V220">
        <v>0</v>
      </c>
      <c r="W220">
        <v>0</v>
      </c>
      <c r="X220">
        <v>0</v>
      </c>
      <c r="Y220">
        <v>0</v>
      </c>
      <c r="Z220">
        <v>0</v>
      </c>
      <c r="AA220">
        <v>0</v>
      </c>
      <c r="AB220">
        <v>0</v>
      </c>
      <c r="AC220">
        <v>0</v>
      </c>
      <c r="AD220">
        <v>0</v>
      </c>
      <c r="AF220">
        <v>0</v>
      </c>
      <c r="AG220">
        <v>0</v>
      </c>
      <c r="AH220">
        <v>0</v>
      </c>
      <c r="AI220">
        <v>0</v>
      </c>
      <c r="AJ220">
        <v>0</v>
      </c>
      <c r="AK220">
        <v>0</v>
      </c>
      <c r="AL220">
        <v>0</v>
      </c>
      <c r="AM220">
        <v>0</v>
      </c>
      <c r="AN220">
        <v>0</v>
      </c>
      <c r="AO220">
        <v>0</v>
      </c>
      <c r="AP220">
        <v>0</v>
      </c>
      <c r="AQ220">
        <v>0</v>
      </c>
      <c r="AR220">
        <v>0</v>
      </c>
      <c r="AS220">
        <v>0</v>
      </c>
      <c r="AT220">
        <v>0</v>
      </c>
      <c r="AU220">
        <v>0</v>
      </c>
      <c r="AV220">
        <v>0</v>
      </c>
      <c r="AW220">
        <v>0</v>
      </c>
      <c r="AX220">
        <v>0</v>
      </c>
      <c r="AY220">
        <v>0</v>
      </c>
      <c r="AZ220">
        <v>0</v>
      </c>
      <c r="BA220">
        <v>0</v>
      </c>
      <c r="BB220">
        <v>0</v>
      </c>
      <c r="BC220">
        <v>0</v>
      </c>
      <c r="BD220">
        <v>0</v>
      </c>
      <c r="BE220">
        <v>0</v>
      </c>
      <c r="BF220">
        <v>0</v>
      </c>
      <c r="BG220">
        <v>0</v>
      </c>
      <c r="BH220">
        <v>0</v>
      </c>
      <c r="BI220">
        <v>0</v>
      </c>
      <c r="BK220" s="151"/>
    </row>
    <row r="221" spans="1:63" x14ac:dyDescent="0.35">
      <c r="A221">
        <v>0</v>
      </c>
      <c r="B221">
        <v>0</v>
      </c>
      <c r="C221">
        <v>0</v>
      </c>
      <c r="D221">
        <v>0</v>
      </c>
      <c r="E221">
        <v>0</v>
      </c>
      <c r="F221">
        <v>0</v>
      </c>
      <c r="G221">
        <v>0</v>
      </c>
      <c r="H221">
        <v>0</v>
      </c>
      <c r="I221">
        <v>0</v>
      </c>
      <c r="J221">
        <v>0</v>
      </c>
      <c r="K221">
        <v>0</v>
      </c>
      <c r="L221">
        <v>0</v>
      </c>
      <c r="M221">
        <v>0</v>
      </c>
      <c r="N221">
        <v>0</v>
      </c>
      <c r="O221">
        <v>0</v>
      </c>
      <c r="P221">
        <v>0</v>
      </c>
      <c r="Q221">
        <v>0</v>
      </c>
      <c r="R221">
        <v>0</v>
      </c>
      <c r="S221">
        <v>0</v>
      </c>
      <c r="T221">
        <v>0</v>
      </c>
      <c r="U221">
        <v>0</v>
      </c>
      <c r="V221">
        <v>0</v>
      </c>
      <c r="W221">
        <v>0</v>
      </c>
      <c r="X221">
        <v>0</v>
      </c>
      <c r="Y221">
        <v>0</v>
      </c>
      <c r="Z221">
        <v>0</v>
      </c>
      <c r="AA221">
        <v>0</v>
      </c>
      <c r="AB221">
        <v>0</v>
      </c>
      <c r="AC221">
        <v>0</v>
      </c>
      <c r="AD221">
        <v>0</v>
      </c>
      <c r="AF221">
        <v>0</v>
      </c>
      <c r="AG221">
        <v>0</v>
      </c>
      <c r="AH221">
        <v>0</v>
      </c>
      <c r="AI221">
        <v>0</v>
      </c>
      <c r="AJ221">
        <v>0</v>
      </c>
      <c r="AK221">
        <v>0</v>
      </c>
      <c r="AL221">
        <v>0</v>
      </c>
      <c r="AM221">
        <v>0</v>
      </c>
      <c r="AN221">
        <v>0</v>
      </c>
      <c r="AO221">
        <v>0</v>
      </c>
      <c r="AP221">
        <v>0</v>
      </c>
      <c r="AQ221">
        <v>0</v>
      </c>
      <c r="AR221">
        <v>0</v>
      </c>
      <c r="AS221">
        <v>0</v>
      </c>
      <c r="AT221">
        <v>0</v>
      </c>
      <c r="AU221">
        <v>0</v>
      </c>
      <c r="AV221">
        <v>0</v>
      </c>
      <c r="AW221">
        <v>0</v>
      </c>
      <c r="AX221">
        <v>0</v>
      </c>
      <c r="AY221">
        <v>0</v>
      </c>
      <c r="AZ221">
        <v>0</v>
      </c>
      <c r="BA221">
        <v>0</v>
      </c>
      <c r="BB221">
        <v>0</v>
      </c>
      <c r="BC221">
        <v>0</v>
      </c>
      <c r="BD221">
        <v>0</v>
      </c>
      <c r="BE221">
        <v>0</v>
      </c>
      <c r="BF221">
        <v>0</v>
      </c>
      <c r="BG221">
        <v>0</v>
      </c>
      <c r="BH221">
        <v>0</v>
      </c>
      <c r="BI221">
        <v>0</v>
      </c>
      <c r="BK221" s="151"/>
    </row>
    <row r="222" spans="1:63" x14ac:dyDescent="0.35">
      <c r="A222">
        <v>0</v>
      </c>
      <c r="B222">
        <v>0</v>
      </c>
      <c r="C222">
        <v>0</v>
      </c>
      <c r="D222">
        <v>0</v>
      </c>
      <c r="E222">
        <v>0</v>
      </c>
      <c r="F222">
        <v>0</v>
      </c>
      <c r="G222">
        <v>0</v>
      </c>
      <c r="H222">
        <v>0</v>
      </c>
      <c r="I222">
        <v>0</v>
      </c>
      <c r="J222">
        <v>0</v>
      </c>
      <c r="K222">
        <v>0</v>
      </c>
      <c r="L222">
        <v>0</v>
      </c>
      <c r="M222">
        <v>0</v>
      </c>
      <c r="N222">
        <v>0</v>
      </c>
      <c r="O222">
        <v>0</v>
      </c>
      <c r="P222">
        <v>0</v>
      </c>
      <c r="Q222">
        <v>0</v>
      </c>
      <c r="R222">
        <v>0</v>
      </c>
      <c r="S222">
        <v>0</v>
      </c>
      <c r="T222">
        <v>0</v>
      </c>
      <c r="U222">
        <v>0</v>
      </c>
      <c r="V222">
        <v>0</v>
      </c>
      <c r="W222">
        <v>0</v>
      </c>
      <c r="X222">
        <v>0</v>
      </c>
      <c r="Y222">
        <v>0</v>
      </c>
      <c r="Z222">
        <v>0</v>
      </c>
      <c r="AA222">
        <v>0</v>
      </c>
      <c r="AB222">
        <v>0</v>
      </c>
      <c r="AC222">
        <v>0</v>
      </c>
      <c r="AD222">
        <v>0</v>
      </c>
      <c r="AF222">
        <v>0</v>
      </c>
      <c r="AG222">
        <v>0</v>
      </c>
      <c r="AH222">
        <v>0</v>
      </c>
      <c r="AI222">
        <v>0</v>
      </c>
      <c r="AJ222">
        <v>0</v>
      </c>
      <c r="AK222">
        <v>0</v>
      </c>
      <c r="AL222">
        <v>0</v>
      </c>
      <c r="AM222">
        <v>0</v>
      </c>
      <c r="AN222">
        <v>0</v>
      </c>
      <c r="AO222">
        <v>0</v>
      </c>
      <c r="AP222">
        <v>0</v>
      </c>
      <c r="AQ222">
        <v>0</v>
      </c>
      <c r="AR222">
        <v>0</v>
      </c>
      <c r="AS222">
        <v>0</v>
      </c>
      <c r="AT222">
        <v>0</v>
      </c>
      <c r="AU222">
        <v>0</v>
      </c>
      <c r="AV222">
        <v>0</v>
      </c>
      <c r="AW222">
        <v>0</v>
      </c>
      <c r="AX222">
        <v>0</v>
      </c>
      <c r="AY222">
        <v>0</v>
      </c>
      <c r="AZ222">
        <v>0</v>
      </c>
      <c r="BA222">
        <v>0</v>
      </c>
      <c r="BB222">
        <v>0</v>
      </c>
      <c r="BC222">
        <v>0</v>
      </c>
      <c r="BD222">
        <v>0</v>
      </c>
      <c r="BE222">
        <v>0</v>
      </c>
      <c r="BF222">
        <v>0</v>
      </c>
      <c r="BG222">
        <v>0</v>
      </c>
      <c r="BH222">
        <v>0</v>
      </c>
      <c r="BI222">
        <v>0</v>
      </c>
      <c r="BK222" s="151"/>
    </row>
    <row r="223" spans="1:63" x14ac:dyDescent="0.35">
      <c r="A223">
        <v>0</v>
      </c>
      <c r="B223">
        <v>0</v>
      </c>
      <c r="C223">
        <v>0</v>
      </c>
      <c r="D223">
        <v>0</v>
      </c>
      <c r="E223">
        <v>0</v>
      </c>
      <c r="F223">
        <v>0</v>
      </c>
      <c r="G223">
        <v>0</v>
      </c>
      <c r="H223">
        <v>0</v>
      </c>
      <c r="I223">
        <v>0</v>
      </c>
      <c r="J223">
        <v>0</v>
      </c>
      <c r="K223">
        <v>0</v>
      </c>
      <c r="L223">
        <v>0</v>
      </c>
      <c r="M223">
        <v>0</v>
      </c>
      <c r="N223">
        <v>0</v>
      </c>
      <c r="O223">
        <v>0</v>
      </c>
      <c r="P223">
        <v>0</v>
      </c>
      <c r="Q223">
        <v>0</v>
      </c>
      <c r="R223">
        <v>0</v>
      </c>
      <c r="S223">
        <v>0</v>
      </c>
      <c r="T223">
        <v>0</v>
      </c>
      <c r="U223">
        <v>0</v>
      </c>
      <c r="V223">
        <v>0</v>
      </c>
      <c r="W223">
        <v>0</v>
      </c>
      <c r="X223">
        <v>0</v>
      </c>
      <c r="Y223">
        <v>0</v>
      </c>
      <c r="Z223">
        <v>0</v>
      </c>
      <c r="AA223">
        <v>0</v>
      </c>
      <c r="AB223">
        <v>0</v>
      </c>
      <c r="AC223">
        <v>0</v>
      </c>
      <c r="AD223">
        <v>0</v>
      </c>
      <c r="AF223">
        <v>0</v>
      </c>
      <c r="AG223">
        <v>0</v>
      </c>
      <c r="AH223">
        <v>0</v>
      </c>
      <c r="AI223">
        <v>0</v>
      </c>
      <c r="AJ223">
        <v>0</v>
      </c>
      <c r="AK223">
        <v>0</v>
      </c>
      <c r="AL223">
        <v>0</v>
      </c>
      <c r="AM223">
        <v>0</v>
      </c>
      <c r="AN223">
        <v>0</v>
      </c>
      <c r="AO223">
        <v>0</v>
      </c>
      <c r="AP223">
        <v>0</v>
      </c>
      <c r="AQ223">
        <v>0</v>
      </c>
      <c r="AR223">
        <v>0</v>
      </c>
      <c r="AS223">
        <v>0</v>
      </c>
      <c r="AT223">
        <v>0</v>
      </c>
      <c r="AU223">
        <v>0</v>
      </c>
      <c r="AV223">
        <v>0</v>
      </c>
      <c r="AW223">
        <v>0</v>
      </c>
      <c r="AX223">
        <v>0</v>
      </c>
      <c r="AY223">
        <v>0</v>
      </c>
      <c r="AZ223">
        <v>0</v>
      </c>
      <c r="BA223">
        <v>0</v>
      </c>
      <c r="BB223">
        <v>0</v>
      </c>
      <c r="BC223">
        <v>0</v>
      </c>
      <c r="BD223">
        <v>0</v>
      </c>
      <c r="BE223">
        <v>0</v>
      </c>
      <c r="BF223">
        <v>0</v>
      </c>
      <c r="BG223">
        <v>0</v>
      </c>
      <c r="BH223">
        <v>0</v>
      </c>
      <c r="BI223">
        <v>0</v>
      </c>
      <c r="BK223" s="151"/>
    </row>
    <row r="224" spans="1:63" x14ac:dyDescent="0.35">
      <c r="A224">
        <v>0</v>
      </c>
      <c r="B224">
        <v>0</v>
      </c>
      <c r="C224">
        <v>0</v>
      </c>
      <c r="D224">
        <v>0</v>
      </c>
      <c r="E224">
        <v>0</v>
      </c>
      <c r="F224">
        <v>0</v>
      </c>
      <c r="G224">
        <v>0</v>
      </c>
      <c r="H224">
        <v>0</v>
      </c>
      <c r="I224">
        <v>0</v>
      </c>
      <c r="J224">
        <v>0</v>
      </c>
      <c r="K224">
        <v>0</v>
      </c>
      <c r="L224">
        <v>0</v>
      </c>
      <c r="M224">
        <v>0</v>
      </c>
      <c r="N224">
        <v>0</v>
      </c>
      <c r="O224">
        <v>0</v>
      </c>
      <c r="P224">
        <v>0</v>
      </c>
      <c r="Q224">
        <v>0</v>
      </c>
      <c r="R224">
        <v>0</v>
      </c>
      <c r="S224">
        <v>0</v>
      </c>
      <c r="T224">
        <v>0</v>
      </c>
      <c r="U224">
        <v>0</v>
      </c>
      <c r="V224">
        <v>0</v>
      </c>
      <c r="W224">
        <v>0</v>
      </c>
      <c r="X224">
        <v>0</v>
      </c>
      <c r="Y224">
        <v>0</v>
      </c>
      <c r="Z224">
        <v>0</v>
      </c>
      <c r="AA224">
        <v>0</v>
      </c>
      <c r="AB224">
        <v>0</v>
      </c>
      <c r="AC224">
        <v>0</v>
      </c>
      <c r="AD224">
        <v>0</v>
      </c>
      <c r="AF224">
        <v>0</v>
      </c>
      <c r="AG224">
        <v>0</v>
      </c>
      <c r="AH224">
        <v>0</v>
      </c>
      <c r="AI224">
        <v>0</v>
      </c>
      <c r="AJ224">
        <v>0</v>
      </c>
      <c r="AK224">
        <v>0</v>
      </c>
      <c r="AL224">
        <v>0</v>
      </c>
      <c r="AM224">
        <v>0</v>
      </c>
      <c r="AN224">
        <v>0</v>
      </c>
      <c r="AO224">
        <v>0</v>
      </c>
      <c r="AP224">
        <v>0</v>
      </c>
      <c r="AQ224">
        <v>0</v>
      </c>
      <c r="AR224">
        <v>0</v>
      </c>
      <c r="AS224">
        <v>0</v>
      </c>
      <c r="AT224">
        <v>0</v>
      </c>
      <c r="AU224">
        <v>0</v>
      </c>
      <c r="AV224">
        <v>0</v>
      </c>
      <c r="AW224">
        <v>0</v>
      </c>
      <c r="AX224">
        <v>0</v>
      </c>
      <c r="AY224">
        <v>0</v>
      </c>
      <c r="AZ224">
        <v>0</v>
      </c>
      <c r="BA224">
        <v>0</v>
      </c>
      <c r="BB224">
        <v>0</v>
      </c>
      <c r="BC224">
        <v>0</v>
      </c>
      <c r="BD224">
        <v>0</v>
      </c>
      <c r="BE224">
        <v>0</v>
      </c>
      <c r="BF224">
        <v>0</v>
      </c>
      <c r="BG224">
        <v>0</v>
      </c>
      <c r="BH224">
        <v>0</v>
      </c>
      <c r="BI224">
        <v>0</v>
      </c>
      <c r="BK224" s="151"/>
    </row>
    <row r="225" spans="1:63" x14ac:dyDescent="0.35">
      <c r="A225">
        <v>0</v>
      </c>
      <c r="B225">
        <v>0</v>
      </c>
      <c r="C225">
        <v>0</v>
      </c>
      <c r="D225">
        <v>0</v>
      </c>
      <c r="E225">
        <v>0</v>
      </c>
      <c r="F225">
        <v>0</v>
      </c>
      <c r="G225">
        <v>0</v>
      </c>
      <c r="H225">
        <v>0</v>
      </c>
      <c r="I225">
        <v>0</v>
      </c>
      <c r="J225">
        <v>0</v>
      </c>
      <c r="K225">
        <v>0</v>
      </c>
      <c r="L225">
        <v>0</v>
      </c>
      <c r="M225">
        <v>0</v>
      </c>
      <c r="N225">
        <v>0</v>
      </c>
      <c r="O225">
        <v>0</v>
      </c>
      <c r="P225">
        <v>0</v>
      </c>
      <c r="Q225">
        <v>0</v>
      </c>
      <c r="R225">
        <v>0</v>
      </c>
      <c r="S225">
        <v>0</v>
      </c>
      <c r="T225">
        <v>0</v>
      </c>
      <c r="U225">
        <v>0</v>
      </c>
      <c r="V225">
        <v>0</v>
      </c>
      <c r="W225">
        <v>0</v>
      </c>
      <c r="X225">
        <v>0</v>
      </c>
      <c r="Y225">
        <v>0</v>
      </c>
      <c r="Z225">
        <v>0</v>
      </c>
      <c r="AA225">
        <v>0</v>
      </c>
      <c r="AB225">
        <v>0</v>
      </c>
      <c r="AC225">
        <v>0</v>
      </c>
      <c r="AD225">
        <v>0</v>
      </c>
      <c r="AF225">
        <v>0</v>
      </c>
      <c r="AG225">
        <v>0</v>
      </c>
      <c r="AH225">
        <v>0</v>
      </c>
      <c r="AI225">
        <v>0</v>
      </c>
      <c r="AJ225">
        <v>0</v>
      </c>
      <c r="AK225">
        <v>0</v>
      </c>
      <c r="AL225">
        <v>0</v>
      </c>
      <c r="AM225">
        <v>0</v>
      </c>
      <c r="AN225">
        <v>0</v>
      </c>
      <c r="AO225">
        <v>0</v>
      </c>
      <c r="AP225">
        <v>0</v>
      </c>
      <c r="AQ225">
        <v>0</v>
      </c>
      <c r="AR225">
        <v>0</v>
      </c>
      <c r="AS225">
        <v>0</v>
      </c>
      <c r="AT225">
        <v>0</v>
      </c>
      <c r="AU225">
        <v>0</v>
      </c>
      <c r="AV225">
        <v>0</v>
      </c>
      <c r="AW225">
        <v>0</v>
      </c>
      <c r="AX225">
        <v>0</v>
      </c>
      <c r="AY225">
        <v>0</v>
      </c>
      <c r="AZ225">
        <v>0</v>
      </c>
      <c r="BA225">
        <v>0</v>
      </c>
      <c r="BB225">
        <v>0</v>
      </c>
      <c r="BC225">
        <v>0</v>
      </c>
      <c r="BD225">
        <v>0</v>
      </c>
      <c r="BE225">
        <v>0</v>
      </c>
      <c r="BF225">
        <v>0</v>
      </c>
      <c r="BG225">
        <v>0</v>
      </c>
      <c r="BH225">
        <v>0</v>
      </c>
      <c r="BI225">
        <v>0</v>
      </c>
      <c r="BK225" s="151"/>
    </row>
    <row r="226" spans="1:63" x14ac:dyDescent="0.35">
      <c r="A226">
        <v>0</v>
      </c>
      <c r="B226">
        <v>0</v>
      </c>
      <c r="C226">
        <v>0</v>
      </c>
      <c r="D226">
        <v>0</v>
      </c>
      <c r="E226">
        <v>0</v>
      </c>
      <c r="F226">
        <v>0</v>
      </c>
      <c r="G226">
        <v>0</v>
      </c>
      <c r="H226">
        <v>0</v>
      </c>
      <c r="I226">
        <v>0</v>
      </c>
      <c r="J226">
        <v>0</v>
      </c>
      <c r="K226">
        <v>0</v>
      </c>
      <c r="L226">
        <v>0</v>
      </c>
      <c r="M226">
        <v>0</v>
      </c>
      <c r="N226">
        <v>0</v>
      </c>
      <c r="O226">
        <v>0</v>
      </c>
      <c r="P226">
        <v>0</v>
      </c>
      <c r="Q226">
        <v>0</v>
      </c>
      <c r="R226">
        <v>0</v>
      </c>
      <c r="S226">
        <v>0</v>
      </c>
      <c r="T226">
        <v>0</v>
      </c>
      <c r="U226">
        <v>0</v>
      </c>
      <c r="V226">
        <v>0</v>
      </c>
      <c r="W226">
        <v>0</v>
      </c>
      <c r="X226">
        <v>0</v>
      </c>
      <c r="Y226">
        <v>0</v>
      </c>
      <c r="Z226">
        <v>0</v>
      </c>
      <c r="AA226">
        <v>0</v>
      </c>
      <c r="AB226">
        <v>0</v>
      </c>
      <c r="AC226">
        <v>0</v>
      </c>
      <c r="AD226">
        <v>0</v>
      </c>
      <c r="AF226">
        <v>0</v>
      </c>
      <c r="AG226">
        <v>0</v>
      </c>
      <c r="AH226">
        <v>0</v>
      </c>
      <c r="AI226">
        <v>0</v>
      </c>
      <c r="AJ226">
        <v>0</v>
      </c>
      <c r="AK226">
        <v>0</v>
      </c>
      <c r="AL226">
        <v>0</v>
      </c>
      <c r="AM226">
        <v>0</v>
      </c>
      <c r="AN226">
        <v>0</v>
      </c>
      <c r="AO226">
        <v>0</v>
      </c>
      <c r="AP226">
        <v>0</v>
      </c>
      <c r="AQ226">
        <v>0</v>
      </c>
      <c r="AR226">
        <v>0</v>
      </c>
      <c r="AS226">
        <v>0</v>
      </c>
      <c r="AT226">
        <v>0</v>
      </c>
      <c r="AU226">
        <v>0</v>
      </c>
      <c r="AV226">
        <v>0</v>
      </c>
      <c r="AW226">
        <v>0</v>
      </c>
      <c r="AX226">
        <v>0</v>
      </c>
      <c r="AY226">
        <v>0</v>
      </c>
      <c r="AZ226">
        <v>0</v>
      </c>
      <c r="BA226">
        <v>0</v>
      </c>
      <c r="BB226">
        <v>0</v>
      </c>
      <c r="BC226">
        <v>0</v>
      </c>
      <c r="BD226">
        <v>0</v>
      </c>
      <c r="BE226">
        <v>0</v>
      </c>
      <c r="BF226">
        <v>0</v>
      </c>
      <c r="BG226">
        <v>0</v>
      </c>
      <c r="BH226">
        <v>0</v>
      </c>
      <c r="BI226">
        <v>0</v>
      </c>
      <c r="BK226" s="151"/>
    </row>
    <row r="227" spans="1:63" x14ac:dyDescent="0.35">
      <c r="A227">
        <v>0</v>
      </c>
      <c r="B227">
        <v>0</v>
      </c>
      <c r="C227">
        <v>0</v>
      </c>
      <c r="D227">
        <v>0</v>
      </c>
      <c r="E227">
        <v>0</v>
      </c>
      <c r="F227">
        <v>0</v>
      </c>
      <c r="G227">
        <v>0</v>
      </c>
      <c r="H227">
        <v>0</v>
      </c>
      <c r="I227">
        <v>0</v>
      </c>
      <c r="J227">
        <v>0</v>
      </c>
      <c r="K227">
        <v>0</v>
      </c>
      <c r="L227">
        <v>0</v>
      </c>
      <c r="M227">
        <v>0</v>
      </c>
      <c r="N227">
        <v>0</v>
      </c>
      <c r="O227">
        <v>0</v>
      </c>
      <c r="P227">
        <v>0</v>
      </c>
      <c r="Q227">
        <v>0</v>
      </c>
      <c r="R227">
        <v>0</v>
      </c>
      <c r="S227">
        <v>0</v>
      </c>
      <c r="T227">
        <v>0</v>
      </c>
      <c r="U227">
        <v>0</v>
      </c>
      <c r="V227">
        <v>0</v>
      </c>
      <c r="W227">
        <v>0</v>
      </c>
      <c r="X227">
        <v>0</v>
      </c>
      <c r="Y227">
        <v>0</v>
      </c>
      <c r="Z227">
        <v>0</v>
      </c>
      <c r="AA227">
        <v>0</v>
      </c>
      <c r="AB227">
        <v>0</v>
      </c>
      <c r="AC227">
        <v>0</v>
      </c>
      <c r="AD227">
        <v>0</v>
      </c>
      <c r="AF227">
        <v>0</v>
      </c>
      <c r="AG227">
        <v>0</v>
      </c>
      <c r="AH227">
        <v>0</v>
      </c>
      <c r="AI227">
        <v>0</v>
      </c>
      <c r="AJ227">
        <v>0</v>
      </c>
      <c r="AK227">
        <v>0</v>
      </c>
      <c r="AL227">
        <v>0</v>
      </c>
      <c r="AM227">
        <v>0</v>
      </c>
      <c r="AN227">
        <v>0</v>
      </c>
      <c r="AO227">
        <v>0</v>
      </c>
      <c r="AP227">
        <v>0</v>
      </c>
      <c r="AQ227">
        <v>0</v>
      </c>
      <c r="AR227">
        <v>0</v>
      </c>
      <c r="AS227">
        <v>0</v>
      </c>
      <c r="AT227">
        <v>0</v>
      </c>
      <c r="AU227">
        <v>0</v>
      </c>
      <c r="AV227">
        <v>0</v>
      </c>
      <c r="AW227">
        <v>0</v>
      </c>
      <c r="AX227">
        <v>0</v>
      </c>
      <c r="AY227">
        <v>0</v>
      </c>
      <c r="AZ227">
        <v>0</v>
      </c>
      <c r="BA227">
        <v>0</v>
      </c>
      <c r="BB227">
        <v>0</v>
      </c>
      <c r="BC227">
        <v>0</v>
      </c>
      <c r="BD227">
        <v>0</v>
      </c>
      <c r="BE227">
        <v>0</v>
      </c>
      <c r="BF227">
        <v>0</v>
      </c>
      <c r="BG227">
        <v>0</v>
      </c>
      <c r="BH227">
        <v>0</v>
      </c>
      <c r="BI227">
        <v>0</v>
      </c>
      <c r="BK227" s="151"/>
    </row>
    <row r="228" spans="1:63" x14ac:dyDescent="0.35">
      <c r="A228">
        <v>0</v>
      </c>
      <c r="B228">
        <v>0</v>
      </c>
      <c r="C228">
        <v>0</v>
      </c>
      <c r="D228">
        <v>0</v>
      </c>
      <c r="E228">
        <v>0</v>
      </c>
      <c r="F228">
        <v>0</v>
      </c>
      <c r="G228">
        <v>0</v>
      </c>
      <c r="H228">
        <v>0</v>
      </c>
      <c r="I228">
        <v>0</v>
      </c>
      <c r="J228">
        <v>0</v>
      </c>
      <c r="K228">
        <v>0</v>
      </c>
      <c r="L228">
        <v>0</v>
      </c>
      <c r="M228">
        <v>0</v>
      </c>
      <c r="N228">
        <v>0</v>
      </c>
      <c r="O228">
        <v>0</v>
      </c>
      <c r="P228">
        <v>0</v>
      </c>
      <c r="Q228">
        <v>0</v>
      </c>
      <c r="R228">
        <v>0</v>
      </c>
      <c r="S228">
        <v>0</v>
      </c>
      <c r="T228">
        <v>0</v>
      </c>
      <c r="U228">
        <v>0</v>
      </c>
      <c r="V228">
        <v>0</v>
      </c>
      <c r="W228">
        <v>0</v>
      </c>
      <c r="X228">
        <v>0</v>
      </c>
      <c r="Y228">
        <v>0</v>
      </c>
      <c r="Z228">
        <v>0</v>
      </c>
      <c r="AA228">
        <v>0</v>
      </c>
      <c r="AB228">
        <v>0</v>
      </c>
      <c r="AC228">
        <v>0</v>
      </c>
      <c r="AD228">
        <v>0</v>
      </c>
      <c r="AF228">
        <v>0</v>
      </c>
      <c r="AG228">
        <v>0</v>
      </c>
      <c r="AH228">
        <v>0</v>
      </c>
      <c r="AI228">
        <v>0</v>
      </c>
      <c r="AJ228">
        <v>0</v>
      </c>
      <c r="AK228">
        <v>0</v>
      </c>
      <c r="AL228">
        <v>0</v>
      </c>
      <c r="AM228">
        <v>0</v>
      </c>
      <c r="AN228">
        <v>0</v>
      </c>
      <c r="AO228">
        <v>0</v>
      </c>
      <c r="AP228">
        <v>0</v>
      </c>
      <c r="AQ228">
        <v>0</v>
      </c>
      <c r="AR228">
        <v>0</v>
      </c>
      <c r="AS228">
        <v>0</v>
      </c>
      <c r="AT228">
        <v>0</v>
      </c>
      <c r="AU228">
        <v>0</v>
      </c>
      <c r="AV228">
        <v>0</v>
      </c>
      <c r="AW228">
        <v>0</v>
      </c>
      <c r="AX228">
        <v>0</v>
      </c>
      <c r="AY228">
        <v>0</v>
      </c>
      <c r="AZ228">
        <v>0</v>
      </c>
      <c r="BA228">
        <v>0</v>
      </c>
      <c r="BB228">
        <v>0</v>
      </c>
      <c r="BC228">
        <v>0</v>
      </c>
      <c r="BD228">
        <v>0</v>
      </c>
      <c r="BE228">
        <v>0</v>
      </c>
      <c r="BF228">
        <v>0</v>
      </c>
      <c r="BG228">
        <v>0</v>
      </c>
      <c r="BH228">
        <v>0</v>
      </c>
      <c r="BI228">
        <v>0</v>
      </c>
      <c r="BK228" s="151"/>
    </row>
    <row r="229" spans="1:63" x14ac:dyDescent="0.35">
      <c r="A229">
        <v>0</v>
      </c>
      <c r="B229">
        <v>0</v>
      </c>
      <c r="C229">
        <v>0</v>
      </c>
      <c r="D229">
        <v>0</v>
      </c>
      <c r="E229">
        <v>0</v>
      </c>
      <c r="F229">
        <v>0</v>
      </c>
      <c r="G229">
        <v>0</v>
      </c>
      <c r="H229">
        <v>0</v>
      </c>
      <c r="I229">
        <v>0</v>
      </c>
      <c r="J229">
        <v>0</v>
      </c>
      <c r="K229">
        <v>0</v>
      </c>
      <c r="L229">
        <v>0</v>
      </c>
      <c r="M229">
        <v>0</v>
      </c>
      <c r="N229">
        <v>0</v>
      </c>
      <c r="O229">
        <v>0</v>
      </c>
      <c r="P229">
        <v>0</v>
      </c>
      <c r="Q229">
        <v>0</v>
      </c>
      <c r="R229">
        <v>0</v>
      </c>
      <c r="S229">
        <v>0</v>
      </c>
      <c r="T229">
        <v>0</v>
      </c>
      <c r="U229">
        <v>0</v>
      </c>
      <c r="V229">
        <v>0</v>
      </c>
      <c r="W229">
        <v>0</v>
      </c>
      <c r="X229">
        <v>0</v>
      </c>
      <c r="Y229">
        <v>0</v>
      </c>
      <c r="Z229">
        <v>0</v>
      </c>
      <c r="AA229">
        <v>0</v>
      </c>
      <c r="AB229">
        <v>0</v>
      </c>
      <c r="AC229">
        <v>0</v>
      </c>
      <c r="AD229">
        <v>0</v>
      </c>
      <c r="AF229">
        <v>0</v>
      </c>
      <c r="AG229">
        <v>0</v>
      </c>
      <c r="AH229">
        <v>0</v>
      </c>
      <c r="AI229">
        <v>0</v>
      </c>
      <c r="AJ229">
        <v>0</v>
      </c>
      <c r="AK229">
        <v>0</v>
      </c>
      <c r="AL229">
        <v>0</v>
      </c>
      <c r="AM229">
        <v>0</v>
      </c>
      <c r="AN229">
        <v>0</v>
      </c>
      <c r="AO229">
        <v>0</v>
      </c>
      <c r="AP229">
        <v>0</v>
      </c>
      <c r="AQ229">
        <v>0</v>
      </c>
      <c r="AR229">
        <v>0</v>
      </c>
      <c r="AS229">
        <v>0</v>
      </c>
      <c r="AT229">
        <v>0</v>
      </c>
      <c r="AU229">
        <v>0</v>
      </c>
      <c r="AV229">
        <v>0</v>
      </c>
      <c r="AW229">
        <v>0</v>
      </c>
      <c r="AX229">
        <v>0</v>
      </c>
      <c r="AY229">
        <v>0</v>
      </c>
      <c r="AZ229">
        <v>0</v>
      </c>
      <c r="BA229">
        <v>0</v>
      </c>
      <c r="BB229">
        <v>0</v>
      </c>
      <c r="BC229">
        <v>0</v>
      </c>
      <c r="BD229">
        <v>0</v>
      </c>
      <c r="BE229">
        <v>0</v>
      </c>
      <c r="BF229">
        <v>0</v>
      </c>
      <c r="BG229">
        <v>0</v>
      </c>
      <c r="BH229">
        <v>0</v>
      </c>
      <c r="BI229">
        <v>0</v>
      </c>
      <c r="BK229" s="151"/>
    </row>
    <row r="230" spans="1:63" x14ac:dyDescent="0.35">
      <c r="A230">
        <v>0</v>
      </c>
      <c r="B230">
        <v>0</v>
      </c>
      <c r="C230">
        <v>0</v>
      </c>
      <c r="D230">
        <v>0</v>
      </c>
      <c r="E230">
        <v>0</v>
      </c>
      <c r="F230">
        <v>0</v>
      </c>
      <c r="G230">
        <v>0</v>
      </c>
      <c r="H230">
        <v>0</v>
      </c>
      <c r="I230">
        <v>0</v>
      </c>
      <c r="J230">
        <v>0</v>
      </c>
      <c r="K230">
        <v>0</v>
      </c>
      <c r="L230">
        <v>0</v>
      </c>
      <c r="M230">
        <v>0</v>
      </c>
      <c r="N230">
        <v>0</v>
      </c>
      <c r="O230">
        <v>0</v>
      </c>
      <c r="P230">
        <v>0</v>
      </c>
      <c r="Q230">
        <v>0</v>
      </c>
      <c r="R230">
        <v>0</v>
      </c>
      <c r="S230">
        <v>0</v>
      </c>
      <c r="T230">
        <v>0</v>
      </c>
      <c r="U230">
        <v>0</v>
      </c>
      <c r="V230">
        <v>0</v>
      </c>
      <c r="W230">
        <v>0</v>
      </c>
      <c r="X230">
        <v>0</v>
      </c>
      <c r="Y230">
        <v>0</v>
      </c>
      <c r="Z230">
        <v>0</v>
      </c>
      <c r="AA230">
        <v>0</v>
      </c>
      <c r="AB230">
        <v>0</v>
      </c>
      <c r="AC230">
        <v>0</v>
      </c>
      <c r="AD230">
        <v>0</v>
      </c>
      <c r="AF230">
        <v>0</v>
      </c>
      <c r="AG230">
        <v>0</v>
      </c>
      <c r="AH230">
        <v>0</v>
      </c>
      <c r="AI230">
        <v>0</v>
      </c>
      <c r="AJ230">
        <v>0</v>
      </c>
      <c r="AK230">
        <v>0</v>
      </c>
      <c r="AL230">
        <v>0</v>
      </c>
      <c r="AM230">
        <v>0</v>
      </c>
      <c r="AN230">
        <v>0</v>
      </c>
      <c r="AO230">
        <v>0</v>
      </c>
      <c r="AP230">
        <v>0</v>
      </c>
      <c r="AQ230">
        <v>0</v>
      </c>
      <c r="AR230">
        <v>0</v>
      </c>
      <c r="AS230">
        <v>0</v>
      </c>
      <c r="AT230">
        <v>0</v>
      </c>
      <c r="AU230">
        <v>0</v>
      </c>
      <c r="AV230">
        <v>0</v>
      </c>
      <c r="AW230">
        <v>0</v>
      </c>
      <c r="AX230">
        <v>0</v>
      </c>
      <c r="AY230">
        <v>0</v>
      </c>
      <c r="AZ230">
        <v>0</v>
      </c>
      <c r="BA230">
        <v>0</v>
      </c>
      <c r="BB230">
        <v>0</v>
      </c>
      <c r="BC230">
        <v>0</v>
      </c>
      <c r="BD230">
        <v>0</v>
      </c>
      <c r="BE230">
        <v>0</v>
      </c>
      <c r="BF230">
        <v>0</v>
      </c>
      <c r="BG230">
        <v>0</v>
      </c>
      <c r="BH230">
        <v>0</v>
      </c>
      <c r="BI230">
        <v>0</v>
      </c>
      <c r="BK230" s="151"/>
    </row>
    <row r="231" spans="1:63" x14ac:dyDescent="0.35">
      <c r="A231">
        <v>0</v>
      </c>
      <c r="B231">
        <v>0</v>
      </c>
      <c r="C231">
        <v>0</v>
      </c>
      <c r="D231">
        <v>0</v>
      </c>
      <c r="E231">
        <v>0</v>
      </c>
      <c r="F231">
        <v>0</v>
      </c>
      <c r="G231">
        <v>0</v>
      </c>
      <c r="H231">
        <v>0</v>
      </c>
      <c r="I231">
        <v>0</v>
      </c>
      <c r="J231">
        <v>0</v>
      </c>
      <c r="K231">
        <v>0</v>
      </c>
      <c r="L231">
        <v>0</v>
      </c>
      <c r="M231">
        <v>0</v>
      </c>
      <c r="N231">
        <v>0</v>
      </c>
      <c r="O231">
        <v>0</v>
      </c>
      <c r="P231">
        <v>0</v>
      </c>
      <c r="Q231">
        <v>0</v>
      </c>
      <c r="R231">
        <v>0</v>
      </c>
      <c r="S231">
        <v>0</v>
      </c>
      <c r="T231">
        <v>0</v>
      </c>
      <c r="U231">
        <v>0</v>
      </c>
      <c r="V231">
        <v>0</v>
      </c>
      <c r="W231">
        <v>0</v>
      </c>
      <c r="X231">
        <v>0</v>
      </c>
      <c r="Y231">
        <v>0</v>
      </c>
      <c r="Z231">
        <v>0</v>
      </c>
      <c r="AA231">
        <v>0</v>
      </c>
      <c r="AB231">
        <v>0</v>
      </c>
      <c r="AC231">
        <v>0</v>
      </c>
      <c r="AD231">
        <v>0</v>
      </c>
      <c r="AF231">
        <v>0</v>
      </c>
      <c r="AG231">
        <v>0</v>
      </c>
      <c r="AH231">
        <v>0</v>
      </c>
      <c r="AI231">
        <v>0</v>
      </c>
      <c r="AJ231">
        <v>0</v>
      </c>
      <c r="AK231">
        <v>0</v>
      </c>
      <c r="AL231">
        <v>0</v>
      </c>
      <c r="AM231">
        <v>0</v>
      </c>
      <c r="AN231">
        <v>0</v>
      </c>
      <c r="AO231">
        <v>0</v>
      </c>
      <c r="AP231">
        <v>0</v>
      </c>
      <c r="AQ231">
        <v>0</v>
      </c>
      <c r="AR231">
        <v>0</v>
      </c>
      <c r="AS231">
        <v>0</v>
      </c>
      <c r="AT231">
        <v>0</v>
      </c>
      <c r="AU231">
        <v>0</v>
      </c>
      <c r="AV231">
        <v>0</v>
      </c>
      <c r="AW231">
        <v>0</v>
      </c>
      <c r="AX231">
        <v>0</v>
      </c>
      <c r="AY231">
        <v>0</v>
      </c>
      <c r="AZ231">
        <v>0</v>
      </c>
      <c r="BA231">
        <v>0</v>
      </c>
      <c r="BB231">
        <v>0</v>
      </c>
      <c r="BC231">
        <v>0</v>
      </c>
      <c r="BD231">
        <v>0</v>
      </c>
      <c r="BE231">
        <v>0</v>
      </c>
      <c r="BF231">
        <v>0</v>
      </c>
      <c r="BG231">
        <v>0</v>
      </c>
      <c r="BH231">
        <v>0</v>
      </c>
      <c r="BI231">
        <v>0</v>
      </c>
      <c r="BK231" s="151"/>
    </row>
    <row r="232" spans="1:63" x14ac:dyDescent="0.35">
      <c r="A232">
        <v>0</v>
      </c>
      <c r="B232">
        <v>0</v>
      </c>
      <c r="C232">
        <v>0</v>
      </c>
      <c r="D232">
        <v>0</v>
      </c>
      <c r="E232">
        <v>0</v>
      </c>
      <c r="F232">
        <v>0</v>
      </c>
      <c r="G232">
        <v>0</v>
      </c>
      <c r="H232">
        <v>0</v>
      </c>
      <c r="I232">
        <v>0</v>
      </c>
      <c r="J232">
        <v>0</v>
      </c>
      <c r="K232">
        <v>0</v>
      </c>
      <c r="L232">
        <v>0</v>
      </c>
      <c r="M232">
        <v>0</v>
      </c>
      <c r="N232">
        <v>0</v>
      </c>
      <c r="O232">
        <v>0</v>
      </c>
      <c r="P232">
        <v>0</v>
      </c>
      <c r="Q232">
        <v>0</v>
      </c>
      <c r="R232">
        <v>0</v>
      </c>
      <c r="S232">
        <v>0</v>
      </c>
      <c r="T232">
        <v>0</v>
      </c>
      <c r="U232">
        <v>0</v>
      </c>
      <c r="V232">
        <v>0</v>
      </c>
      <c r="W232">
        <v>0</v>
      </c>
      <c r="X232">
        <v>0</v>
      </c>
      <c r="Y232">
        <v>0</v>
      </c>
      <c r="Z232">
        <v>0</v>
      </c>
      <c r="AA232">
        <v>0</v>
      </c>
      <c r="AB232">
        <v>0</v>
      </c>
      <c r="AC232">
        <v>0</v>
      </c>
      <c r="AD232">
        <v>0</v>
      </c>
      <c r="AF232">
        <v>0</v>
      </c>
      <c r="AG232">
        <v>0</v>
      </c>
      <c r="AH232">
        <v>0</v>
      </c>
      <c r="AI232">
        <v>0</v>
      </c>
      <c r="AJ232">
        <v>0</v>
      </c>
      <c r="AK232">
        <v>0</v>
      </c>
      <c r="AL232">
        <v>0</v>
      </c>
      <c r="AM232">
        <v>0</v>
      </c>
      <c r="AN232">
        <v>0</v>
      </c>
      <c r="AO232">
        <v>0</v>
      </c>
      <c r="AP232">
        <v>0</v>
      </c>
      <c r="AQ232">
        <v>0</v>
      </c>
      <c r="AR232">
        <v>0</v>
      </c>
      <c r="AS232">
        <v>0</v>
      </c>
      <c r="AT232">
        <v>0</v>
      </c>
      <c r="AU232">
        <v>0</v>
      </c>
      <c r="AV232">
        <v>0</v>
      </c>
      <c r="AW232">
        <v>0</v>
      </c>
      <c r="AX232">
        <v>0</v>
      </c>
      <c r="AY232">
        <v>0</v>
      </c>
      <c r="AZ232">
        <v>0</v>
      </c>
      <c r="BA232">
        <v>0</v>
      </c>
      <c r="BB232">
        <v>0</v>
      </c>
      <c r="BC232">
        <v>0</v>
      </c>
      <c r="BD232">
        <v>0</v>
      </c>
      <c r="BE232">
        <v>0</v>
      </c>
      <c r="BF232">
        <v>0</v>
      </c>
      <c r="BG232">
        <v>0</v>
      </c>
      <c r="BH232">
        <v>0</v>
      </c>
      <c r="BI232">
        <v>0</v>
      </c>
      <c r="BK232" s="151"/>
    </row>
    <row r="233" spans="1:63" x14ac:dyDescent="0.35">
      <c r="A233">
        <v>0</v>
      </c>
      <c r="B233">
        <v>0</v>
      </c>
      <c r="C233">
        <v>0</v>
      </c>
      <c r="D233">
        <v>0</v>
      </c>
      <c r="E233">
        <v>0</v>
      </c>
      <c r="F233">
        <v>0</v>
      </c>
      <c r="G233">
        <v>0</v>
      </c>
      <c r="H233">
        <v>0</v>
      </c>
      <c r="I233">
        <v>0</v>
      </c>
      <c r="J233">
        <v>0</v>
      </c>
      <c r="K233">
        <v>0</v>
      </c>
      <c r="L233">
        <v>0</v>
      </c>
      <c r="M233">
        <v>0</v>
      </c>
      <c r="N233">
        <v>0</v>
      </c>
      <c r="O233">
        <v>0</v>
      </c>
      <c r="P233">
        <v>0</v>
      </c>
      <c r="Q233">
        <v>0</v>
      </c>
      <c r="R233">
        <v>0</v>
      </c>
      <c r="S233">
        <v>0</v>
      </c>
      <c r="T233">
        <v>0</v>
      </c>
      <c r="U233">
        <v>0</v>
      </c>
      <c r="V233">
        <v>0</v>
      </c>
      <c r="W233">
        <v>0</v>
      </c>
      <c r="X233">
        <v>0</v>
      </c>
      <c r="Y233">
        <v>0</v>
      </c>
      <c r="Z233">
        <v>0</v>
      </c>
      <c r="AA233">
        <v>0</v>
      </c>
      <c r="AB233">
        <v>0</v>
      </c>
      <c r="AC233">
        <v>0</v>
      </c>
      <c r="AD233">
        <v>0</v>
      </c>
      <c r="AF233">
        <v>0</v>
      </c>
      <c r="AG233">
        <v>0</v>
      </c>
      <c r="AH233">
        <v>0</v>
      </c>
      <c r="AI233">
        <v>0</v>
      </c>
      <c r="AJ233">
        <v>0</v>
      </c>
      <c r="AK233">
        <v>0</v>
      </c>
      <c r="AL233">
        <v>0</v>
      </c>
      <c r="AM233">
        <v>0</v>
      </c>
      <c r="AN233">
        <v>0</v>
      </c>
      <c r="AO233">
        <v>0</v>
      </c>
      <c r="AP233">
        <v>0</v>
      </c>
      <c r="AQ233">
        <v>0</v>
      </c>
      <c r="AR233">
        <v>0</v>
      </c>
      <c r="AS233">
        <v>0</v>
      </c>
      <c r="AT233">
        <v>0</v>
      </c>
      <c r="AU233">
        <v>0</v>
      </c>
      <c r="AV233">
        <v>0</v>
      </c>
      <c r="AW233">
        <v>0</v>
      </c>
      <c r="AX233">
        <v>0</v>
      </c>
      <c r="AY233">
        <v>0</v>
      </c>
      <c r="AZ233">
        <v>0</v>
      </c>
      <c r="BA233">
        <v>0</v>
      </c>
      <c r="BB233">
        <v>0</v>
      </c>
      <c r="BC233">
        <v>0</v>
      </c>
      <c r="BD233">
        <v>0</v>
      </c>
      <c r="BE233">
        <v>0</v>
      </c>
      <c r="BF233">
        <v>0</v>
      </c>
      <c r="BG233">
        <v>0</v>
      </c>
      <c r="BH233">
        <v>0</v>
      </c>
      <c r="BI233">
        <v>0</v>
      </c>
      <c r="BK233" s="151"/>
    </row>
    <row r="234" spans="1:63" x14ac:dyDescent="0.35">
      <c r="A234">
        <v>0</v>
      </c>
      <c r="B234">
        <v>0</v>
      </c>
      <c r="C234">
        <v>0</v>
      </c>
      <c r="D234">
        <v>0</v>
      </c>
      <c r="E234">
        <v>0</v>
      </c>
      <c r="F234">
        <v>0</v>
      </c>
      <c r="G234">
        <v>0</v>
      </c>
      <c r="H234">
        <v>0</v>
      </c>
      <c r="I234">
        <v>0</v>
      </c>
      <c r="J234">
        <v>0</v>
      </c>
      <c r="K234">
        <v>0</v>
      </c>
      <c r="L234">
        <v>0</v>
      </c>
      <c r="M234">
        <v>0</v>
      </c>
      <c r="N234">
        <v>0</v>
      </c>
      <c r="O234">
        <v>0</v>
      </c>
      <c r="P234">
        <v>0</v>
      </c>
      <c r="Q234">
        <v>0</v>
      </c>
      <c r="R234">
        <v>0</v>
      </c>
      <c r="S234">
        <v>0</v>
      </c>
      <c r="T234">
        <v>0</v>
      </c>
      <c r="U234">
        <v>0</v>
      </c>
      <c r="V234">
        <v>0</v>
      </c>
      <c r="W234">
        <v>0</v>
      </c>
      <c r="X234">
        <v>0</v>
      </c>
      <c r="Y234">
        <v>0</v>
      </c>
      <c r="Z234">
        <v>0</v>
      </c>
      <c r="AA234">
        <v>0</v>
      </c>
      <c r="AB234">
        <v>0</v>
      </c>
      <c r="AC234">
        <v>0</v>
      </c>
      <c r="AD234">
        <v>0</v>
      </c>
      <c r="AF234">
        <v>0</v>
      </c>
      <c r="AG234">
        <v>0</v>
      </c>
      <c r="AH234">
        <v>0</v>
      </c>
      <c r="AI234">
        <v>0</v>
      </c>
      <c r="AJ234">
        <v>0</v>
      </c>
      <c r="AK234">
        <v>0</v>
      </c>
      <c r="AL234">
        <v>0</v>
      </c>
      <c r="AM234">
        <v>0</v>
      </c>
      <c r="AN234">
        <v>0</v>
      </c>
      <c r="AO234">
        <v>0</v>
      </c>
      <c r="AP234">
        <v>0</v>
      </c>
      <c r="AQ234">
        <v>0</v>
      </c>
      <c r="AR234">
        <v>0</v>
      </c>
      <c r="AS234">
        <v>0</v>
      </c>
      <c r="AT234">
        <v>0</v>
      </c>
      <c r="AU234">
        <v>0</v>
      </c>
      <c r="AV234">
        <v>0</v>
      </c>
      <c r="AW234">
        <v>0</v>
      </c>
      <c r="AX234">
        <v>0</v>
      </c>
      <c r="AY234">
        <v>0</v>
      </c>
      <c r="AZ234">
        <v>0</v>
      </c>
      <c r="BA234">
        <v>0</v>
      </c>
      <c r="BB234">
        <v>0</v>
      </c>
      <c r="BC234">
        <v>0</v>
      </c>
      <c r="BD234">
        <v>0</v>
      </c>
      <c r="BE234">
        <v>0</v>
      </c>
      <c r="BF234">
        <v>0</v>
      </c>
      <c r="BG234">
        <v>0</v>
      </c>
      <c r="BH234">
        <v>0</v>
      </c>
      <c r="BI234">
        <v>0</v>
      </c>
      <c r="BK234" s="151"/>
    </row>
    <row r="235" spans="1:63" x14ac:dyDescent="0.35">
      <c r="A235">
        <v>0</v>
      </c>
      <c r="B235">
        <v>0</v>
      </c>
      <c r="C235">
        <v>0</v>
      </c>
      <c r="D235">
        <v>0</v>
      </c>
      <c r="E235">
        <v>0</v>
      </c>
      <c r="F235">
        <v>0</v>
      </c>
      <c r="G235">
        <v>0</v>
      </c>
      <c r="H235">
        <v>0</v>
      </c>
      <c r="I235">
        <v>0</v>
      </c>
      <c r="J235">
        <v>0</v>
      </c>
      <c r="K235">
        <v>0</v>
      </c>
      <c r="L235">
        <v>0</v>
      </c>
      <c r="M235">
        <v>0</v>
      </c>
      <c r="N235">
        <v>0</v>
      </c>
      <c r="O235">
        <v>0</v>
      </c>
      <c r="P235">
        <v>0</v>
      </c>
      <c r="Q235">
        <v>0</v>
      </c>
      <c r="R235">
        <v>0</v>
      </c>
      <c r="S235">
        <v>0</v>
      </c>
      <c r="T235">
        <v>0</v>
      </c>
      <c r="U235">
        <v>0</v>
      </c>
      <c r="V235">
        <v>0</v>
      </c>
      <c r="W235">
        <v>0</v>
      </c>
      <c r="X235">
        <v>0</v>
      </c>
      <c r="Y235">
        <v>0</v>
      </c>
      <c r="Z235">
        <v>0</v>
      </c>
      <c r="AA235">
        <v>0</v>
      </c>
      <c r="AB235">
        <v>0</v>
      </c>
      <c r="AC235">
        <v>0</v>
      </c>
      <c r="AD235">
        <v>0</v>
      </c>
      <c r="AF235">
        <v>0</v>
      </c>
      <c r="AG235">
        <v>0</v>
      </c>
      <c r="AH235">
        <v>0</v>
      </c>
      <c r="AI235">
        <v>0</v>
      </c>
      <c r="AJ235">
        <v>0</v>
      </c>
      <c r="AK235">
        <v>0</v>
      </c>
      <c r="AL235">
        <v>0</v>
      </c>
      <c r="AM235">
        <v>0</v>
      </c>
      <c r="AN235">
        <v>0</v>
      </c>
      <c r="AO235">
        <v>0</v>
      </c>
      <c r="AP235">
        <v>0</v>
      </c>
      <c r="AQ235">
        <v>0</v>
      </c>
      <c r="AR235">
        <v>0</v>
      </c>
      <c r="AS235">
        <v>0</v>
      </c>
      <c r="AT235">
        <v>0</v>
      </c>
      <c r="AU235">
        <v>0</v>
      </c>
      <c r="AV235">
        <v>0</v>
      </c>
      <c r="AW235">
        <v>0</v>
      </c>
      <c r="AX235">
        <v>0</v>
      </c>
      <c r="AY235">
        <v>0</v>
      </c>
      <c r="AZ235">
        <v>0</v>
      </c>
      <c r="BA235">
        <v>0</v>
      </c>
      <c r="BB235">
        <v>0</v>
      </c>
      <c r="BC235">
        <v>0</v>
      </c>
      <c r="BD235">
        <v>0</v>
      </c>
      <c r="BE235">
        <v>0</v>
      </c>
      <c r="BF235">
        <v>0</v>
      </c>
      <c r="BG235">
        <v>0</v>
      </c>
      <c r="BH235">
        <v>0</v>
      </c>
      <c r="BI235">
        <v>0</v>
      </c>
      <c r="BK235" s="151"/>
    </row>
    <row r="236" spans="1:63" x14ac:dyDescent="0.35">
      <c r="A236">
        <v>0</v>
      </c>
      <c r="B236">
        <v>0</v>
      </c>
      <c r="C236">
        <v>0</v>
      </c>
      <c r="D236">
        <v>0</v>
      </c>
      <c r="E236">
        <v>0</v>
      </c>
      <c r="F236">
        <v>0</v>
      </c>
      <c r="G236">
        <v>0</v>
      </c>
      <c r="H236">
        <v>0</v>
      </c>
      <c r="I236">
        <v>0</v>
      </c>
      <c r="J236">
        <v>0</v>
      </c>
      <c r="K236">
        <v>0</v>
      </c>
      <c r="L236">
        <v>0</v>
      </c>
      <c r="M236">
        <v>0</v>
      </c>
      <c r="N236">
        <v>0</v>
      </c>
      <c r="O236">
        <v>0</v>
      </c>
      <c r="P236">
        <v>0</v>
      </c>
      <c r="Q236">
        <v>0</v>
      </c>
      <c r="R236">
        <v>0</v>
      </c>
      <c r="S236">
        <v>0</v>
      </c>
      <c r="T236">
        <v>0</v>
      </c>
      <c r="U236">
        <v>0</v>
      </c>
      <c r="V236">
        <v>0</v>
      </c>
      <c r="W236">
        <v>0</v>
      </c>
      <c r="X236">
        <v>0</v>
      </c>
      <c r="Y236">
        <v>0</v>
      </c>
      <c r="Z236">
        <v>0</v>
      </c>
      <c r="AA236">
        <v>0</v>
      </c>
      <c r="AB236">
        <v>0</v>
      </c>
      <c r="AC236">
        <v>0</v>
      </c>
      <c r="AD236">
        <v>0</v>
      </c>
      <c r="AF236">
        <v>0</v>
      </c>
      <c r="AG236">
        <v>0</v>
      </c>
      <c r="AH236">
        <v>0</v>
      </c>
      <c r="AI236">
        <v>0</v>
      </c>
      <c r="AJ236">
        <v>0</v>
      </c>
      <c r="AK236">
        <v>0</v>
      </c>
      <c r="AL236">
        <v>0</v>
      </c>
      <c r="AM236">
        <v>0</v>
      </c>
      <c r="AN236">
        <v>0</v>
      </c>
      <c r="AO236">
        <v>0</v>
      </c>
      <c r="AP236">
        <v>0</v>
      </c>
      <c r="AQ236">
        <v>0</v>
      </c>
      <c r="AR236">
        <v>0</v>
      </c>
      <c r="AS236">
        <v>0</v>
      </c>
      <c r="AT236">
        <v>0</v>
      </c>
      <c r="AU236">
        <v>0</v>
      </c>
      <c r="AV236">
        <v>0</v>
      </c>
      <c r="AW236">
        <v>0</v>
      </c>
      <c r="AX236">
        <v>0</v>
      </c>
      <c r="AY236">
        <v>0</v>
      </c>
      <c r="AZ236">
        <v>0</v>
      </c>
      <c r="BA236">
        <v>0</v>
      </c>
      <c r="BB236">
        <v>0</v>
      </c>
      <c r="BC236">
        <v>0</v>
      </c>
      <c r="BD236">
        <v>0</v>
      </c>
      <c r="BE236">
        <v>0</v>
      </c>
      <c r="BF236">
        <v>0</v>
      </c>
      <c r="BG236">
        <v>0</v>
      </c>
      <c r="BH236">
        <v>0</v>
      </c>
      <c r="BI236">
        <v>0</v>
      </c>
      <c r="BK236" s="151"/>
    </row>
    <row r="237" spans="1:63" x14ac:dyDescent="0.35">
      <c r="A237">
        <v>0</v>
      </c>
      <c r="B237">
        <v>0</v>
      </c>
      <c r="C237">
        <v>0</v>
      </c>
      <c r="D237">
        <v>0</v>
      </c>
      <c r="E237">
        <v>0</v>
      </c>
      <c r="F237">
        <v>0</v>
      </c>
      <c r="G237">
        <v>0</v>
      </c>
      <c r="H237">
        <v>0</v>
      </c>
      <c r="I237">
        <v>0</v>
      </c>
      <c r="J237">
        <v>0</v>
      </c>
      <c r="K237">
        <v>0</v>
      </c>
      <c r="L237">
        <v>0</v>
      </c>
      <c r="M237">
        <v>0</v>
      </c>
      <c r="N237">
        <v>0</v>
      </c>
      <c r="O237">
        <v>0</v>
      </c>
      <c r="P237">
        <v>0</v>
      </c>
      <c r="Q237">
        <v>0</v>
      </c>
      <c r="R237">
        <v>0</v>
      </c>
      <c r="S237">
        <v>0</v>
      </c>
      <c r="T237">
        <v>0</v>
      </c>
      <c r="U237">
        <v>0</v>
      </c>
      <c r="V237">
        <v>0</v>
      </c>
      <c r="W237">
        <v>0</v>
      </c>
      <c r="X237">
        <v>0</v>
      </c>
      <c r="Y237">
        <v>0</v>
      </c>
      <c r="Z237">
        <v>0</v>
      </c>
      <c r="AA237">
        <v>0</v>
      </c>
      <c r="AB237">
        <v>0</v>
      </c>
      <c r="AC237">
        <v>0</v>
      </c>
      <c r="AD237">
        <v>0</v>
      </c>
      <c r="AF237">
        <v>0</v>
      </c>
      <c r="AG237">
        <v>0</v>
      </c>
      <c r="AH237">
        <v>0</v>
      </c>
      <c r="AI237">
        <v>0</v>
      </c>
      <c r="AJ237">
        <v>0</v>
      </c>
      <c r="AK237">
        <v>0</v>
      </c>
      <c r="AL237">
        <v>0</v>
      </c>
      <c r="AM237">
        <v>0</v>
      </c>
      <c r="AN237">
        <v>0</v>
      </c>
      <c r="AO237">
        <v>0</v>
      </c>
      <c r="AP237">
        <v>0</v>
      </c>
      <c r="AQ237">
        <v>0</v>
      </c>
      <c r="AR237">
        <v>0</v>
      </c>
      <c r="AS237">
        <v>0</v>
      </c>
      <c r="AT237">
        <v>0</v>
      </c>
      <c r="AU237">
        <v>0</v>
      </c>
      <c r="AV237">
        <v>0</v>
      </c>
      <c r="AW237">
        <v>0</v>
      </c>
      <c r="AX237">
        <v>0</v>
      </c>
      <c r="AY237">
        <v>0</v>
      </c>
      <c r="AZ237">
        <v>0</v>
      </c>
      <c r="BA237">
        <v>0</v>
      </c>
      <c r="BB237">
        <v>0</v>
      </c>
      <c r="BC237">
        <v>0</v>
      </c>
      <c r="BD237">
        <v>0</v>
      </c>
      <c r="BE237">
        <v>0</v>
      </c>
      <c r="BF237">
        <v>0</v>
      </c>
      <c r="BG237">
        <v>0</v>
      </c>
      <c r="BH237">
        <v>0</v>
      </c>
      <c r="BI237">
        <v>0</v>
      </c>
      <c r="BK237" s="151"/>
    </row>
    <row r="238" spans="1:63" x14ac:dyDescent="0.35">
      <c r="A238">
        <v>0</v>
      </c>
      <c r="B238">
        <v>0</v>
      </c>
      <c r="C238">
        <v>0</v>
      </c>
      <c r="D238">
        <v>0</v>
      </c>
      <c r="E238">
        <v>0</v>
      </c>
      <c r="F238">
        <v>0</v>
      </c>
      <c r="G238">
        <v>0</v>
      </c>
      <c r="H238">
        <v>0</v>
      </c>
      <c r="I238">
        <v>0</v>
      </c>
      <c r="J238">
        <v>0</v>
      </c>
      <c r="K238">
        <v>0</v>
      </c>
      <c r="L238">
        <v>0</v>
      </c>
      <c r="M238">
        <v>0</v>
      </c>
      <c r="N238">
        <v>0</v>
      </c>
      <c r="O238">
        <v>0</v>
      </c>
      <c r="P238">
        <v>0</v>
      </c>
      <c r="Q238">
        <v>0</v>
      </c>
      <c r="R238">
        <v>0</v>
      </c>
      <c r="S238">
        <v>0</v>
      </c>
      <c r="T238">
        <v>0</v>
      </c>
      <c r="U238">
        <v>0</v>
      </c>
      <c r="V238">
        <v>0</v>
      </c>
      <c r="W238">
        <v>0</v>
      </c>
      <c r="X238">
        <v>0</v>
      </c>
      <c r="Y238">
        <v>0</v>
      </c>
      <c r="Z238">
        <v>0</v>
      </c>
      <c r="AA238">
        <v>0</v>
      </c>
      <c r="AB238">
        <v>0</v>
      </c>
      <c r="AC238">
        <v>0</v>
      </c>
      <c r="AD238">
        <v>0</v>
      </c>
      <c r="AF238">
        <v>0</v>
      </c>
      <c r="AG238">
        <v>0</v>
      </c>
      <c r="AH238">
        <v>0</v>
      </c>
      <c r="AI238">
        <v>0</v>
      </c>
      <c r="AJ238">
        <v>0</v>
      </c>
      <c r="AK238">
        <v>0</v>
      </c>
      <c r="AL238">
        <v>0</v>
      </c>
      <c r="AM238">
        <v>0</v>
      </c>
      <c r="AN238">
        <v>0</v>
      </c>
      <c r="AO238">
        <v>0</v>
      </c>
      <c r="AP238">
        <v>0</v>
      </c>
      <c r="AQ238">
        <v>0</v>
      </c>
      <c r="AR238">
        <v>0</v>
      </c>
      <c r="AS238">
        <v>0</v>
      </c>
      <c r="AT238">
        <v>0</v>
      </c>
      <c r="AU238">
        <v>0</v>
      </c>
      <c r="AV238">
        <v>0</v>
      </c>
      <c r="AW238">
        <v>0</v>
      </c>
      <c r="AX238">
        <v>0</v>
      </c>
      <c r="AY238">
        <v>0</v>
      </c>
      <c r="AZ238">
        <v>0</v>
      </c>
      <c r="BA238">
        <v>0</v>
      </c>
      <c r="BB238">
        <v>0</v>
      </c>
      <c r="BC238">
        <v>0</v>
      </c>
      <c r="BD238">
        <v>0</v>
      </c>
      <c r="BE238">
        <v>0</v>
      </c>
      <c r="BF238">
        <v>0</v>
      </c>
      <c r="BG238">
        <v>0</v>
      </c>
      <c r="BH238">
        <v>0</v>
      </c>
      <c r="BI238">
        <v>0</v>
      </c>
      <c r="BK238" s="151"/>
    </row>
    <row r="239" spans="1:63" x14ac:dyDescent="0.35">
      <c r="A239">
        <v>0</v>
      </c>
      <c r="B239">
        <v>0</v>
      </c>
      <c r="C239">
        <v>0</v>
      </c>
      <c r="D239">
        <v>0</v>
      </c>
      <c r="E239">
        <v>0</v>
      </c>
      <c r="F239">
        <v>0</v>
      </c>
      <c r="G239">
        <v>0</v>
      </c>
      <c r="H239">
        <v>0</v>
      </c>
      <c r="I239">
        <v>0</v>
      </c>
      <c r="J239">
        <v>0</v>
      </c>
      <c r="K239">
        <v>0</v>
      </c>
      <c r="L239">
        <v>0</v>
      </c>
      <c r="M239">
        <v>0</v>
      </c>
      <c r="N239">
        <v>0</v>
      </c>
      <c r="O239">
        <v>0</v>
      </c>
      <c r="P239">
        <v>0</v>
      </c>
      <c r="Q239">
        <v>0</v>
      </c>
      <c r="R239">
        <v>0</v>
      </c>
      <c r="S239">
        <v>0</v>
      </c>
      <c r="T239">
        <v>0</v>
      </c>
      <c r="U239">
        <v>0</v>
      </c>
      <c r="V239">
        <v>0</v>
      </c>
      <c r="W239">
        <v>0</v>
      </c>
      <c r="X239">
        <v>0</v>
      </c>
      <c r="Y239">
        <v>0</v>
      </c>
      <c r="Z239">
        <v>0</v>
      </c>
      <c r="AA239">
        <v>0</v>
      </c>
      <c r="AB239">
        <v>0</v>
      </c>
      <c r="AC239">
        <v>0</v>
      </c>
      <c r="AD239">
        <v>0</v>
      </c>
      <c r="AF239">
        <v>0</v>
      </c>
      <c r="AG239">
        <v>0</v>
      </c>
      <c r="AH239">
        <v>0</v>
      </c>
      <c r="AI239">
        <v>0</v>
      </c>
      <c r="AJ239">
        <v>0</v>
      </c>
      <c r="AK239">
        <v>0</v>
      </c>
      <c r="AL239">
        <v>0</v>
      </c>
      <c r="AM239">
        <v>0</v>
      </c>
      <c r="AN239">
        <v>0</v>
      </c>
      <c r="AO239">
        <v>0</v>
      </c>
      <c r="AP239">
        <v>0</v>
      </c>
      <c r="AQ239">
        <v>0</v>
      </c>
      <c r="AR239">
        <v>0</v>
      </c>
      <c r="AS239">
        <v>0</v>
      </c>
      <c r="AT239">
        <v>0</v>
      </c>
      <c r="AU239">
        <v>0</v>
      </c>
      <c r="AV239">
        <v>0</v>
      </c>
      <c r="AW239">
        <v>0</v>
      </c>
      <c r="AX239">
        <v>0</v>
      </c>
      <c r="AY239">
        <v>0</v>
      </c>
      <c r="AZ239">
        <v>0</v>
      </c>
      <c r="BA239">
        <v>0</v>
      </c>
      <c r="BB239">
        <v>0</v>
      </c>
      <c r="BC239">
        <v>0</v>
      </c>
      <c r="BD239">
        <v>0</v>
      </c>
      <c r="BE239">
        <v>0</v>
      </c>
      <c r="BF239">
        <v>0</v>
      </c>
      <c r="BG239">
        <v>0</v>
      </c>
      <c r="BH239">
        <v>0</v>
      </c>
      <c r="BI239">
        <v>0</v>
      </c>
      <c r="BK239" s="151"/>
    </row>
    <row r="240" spans="1:63" x14ac:dyDescent="0.35">
      <c r="A240">
        <v>0</v>
      </c>
      <c r="B240">
        <v>0</v>
      </c>
      <c r="C240">
        <v>0</v>
      </c>
      <c r="D240">
        <v>0</v>
      </c>
      <c r="E240">
        <v>0</v>
      </c>
      <c r="F240">
        <v>0</v>
      </c>
      <c r="G240">
        <v>0</v>
      </c>
      <c r="H240">
        <v>0</v>
      </c>
      <c r="I240">
        <v>0</v>
      </c>
      <c r="J240">
        <v>0</v>
      </c>
      <c r="K240">
        <v>0</v>
      </c>
      <c r="L240">
        <v>0</v>
      </c>
      <c r="M240">
        <v>0</v>
      </c>
      <c r="N240">
        <v>0</v>
      </c>
      <c r="O240">
        <v>0</v>
      </c>
      <c r="P240">
        <v>0</v>
      </c>
      <c r="Q240">
        <v>0</v>
      </c>
      <c r="R240">
        <v>0</v>
      </c>
      <c r="S240">
        <v>0</v>
      </c>
      <c r="T240">
        <v>0</v>
      </c>
      <c r="U240">
        <v>0</v>
      </c>
      <c r="V240">
        <v>0</v>
      </c>
      <c r="W240">
        <v>0</v>
      </c>
      <c r="X240">
        <v>0</v>
      </c>
      <c r="Y240">
        <v>0</v>
      </c>
      <c r="Z240">
        <v>0</v>
      </c>
      <c r="AA240">
        <v>0</v>
      </c>
      <c r="AB240">
        <v>0</v>
      </c>
      <c r="AC240">
        <v>0</v>
      </c>
      <c r="AD240">
        <v>0</v>
      </c>
      <c r="AF240">
        <v>0</v>
      </c>
      <c r="AG240">
        <v>0</v>
      </c>
      <c r="AH240">
        <v>0</v>
      </c>
      <c r="AI240">
        <v>0</v>
      </c>
      <c r="AJ240">
        <v>0</v>
      </c>
      <c r="AK240">
        <v>0</v>
      </c>
      <c r="AL240">
        <v>0</v>
      </c>
      <c r="AM240">
        <v>0</v>
      </c>
      <c r="AN240">
        <v>0</v>
      </c>
      <c r="AO240">
        <v>0</v>
      </c>
      <c r="AP240">
        <v>0</v>
      </c>
      <c r="AQ240">
        <v>0</v>
      </c>
      <c r="AR240">
        <v>0</v>
      </c>
      <c r="AS240">
        <v>0</v>
      </c>
      <c r="AT240">
        <v>0</v>
      </c>
      <c r="AU240">
        <v>0</v>
      </c>
      <c r="AV240">
        <v>0</v>
      </c>
      <c r="AW240">
        <v>0</v>
      </c>
      <c r="AX240">
        <v>0</v>
      </c>
      <c r="AY240">
        <v>0</v>
      </c>
      <c r="AZ240">
        <v>0</v>
      </c>
      <c r="BA240">
        <v>0</v>
      </c>
      <c r="BB240">
        <v>0</v>
      </c>
      <c r="BC240">
        <v>0</v>
      </c>
      <c r="BD240">
        <v>0</v>
      </c>
      <c r="BE240">
        <v>0</v>
      </c>
      <c r="BF240">
        <v>0</v>
      </c>
      <c r="BG240">
        <v>0</v>
      </c>
      <c r="BH240">
        <v>0</v>
      </c>
      <c r="BI240">
        <v>0</v>
      </c>
      <c r="BK240" s="151"/>
    </row>
    <row r="241" spans="1:63" x14ac:dyDescent="0.35">
      <c r="A241">
        <v>0</v>
      </c>
      <c r="B241">
        <v>0</v>
      </c>
      <c r="C241">
        <v>0</v>
      </c>
      <c r="D241">
        <v>0</v>
      </c>
      <c r="E241">
        <v>0</v>
      </c>
      <c r="F241">
        <v>0</v>
      </c>
      <c r="G241">
        <v>0</v>
      </c>
      <c r="H241">
        <v>0</v>
      </c>
      <c r="I241">
        <v>0</v>
      </c>
      <c r="J241">
        <v>0</v>
      </c>
      <c r="K241">
        <v>0</v>
      </c>
      <c r="L241">
        <v>0</v>
      </c>
      <c r="M241">
        <v>0</v>
      </c>
      <c r="N241">
        <v>0</v>
      </c>
      <c r="O241">
        <v>0</v>
      </c>
      <c r="P241">
        <v>0</v>
      </c>
      <c r="Q241">
        <v>0</v>
      </c>
      <c r="R241">
        <v>0</v>
      </c>
      <c r="S241">
        <v>0</v>
      </c>
      <c r="T241">
        <v>0</v>
      </c>
      <c r="U241">
        <v>0</v>
      </c>
      <c r="V241">
        <v>0</v>
      </c>
      <c r="W241">
        <v>0</v>
      </c>
      <c r="X241">
        <v>0</v>
      </c>
      <c r="Y241">
        <v>0</v>
      </c>
      <c r="Z241">
        <v>0</v>
      </c>
      <c r="AA241">
        <v>0</v>
      </c>
      <c r="AB241">
        <v>0</v>
      </c>
      <c r="AC241">
        <v>0</v>
      </c>
      <c r="AD241">
        <v>0</v>
      </c>
      <c r="AF241">
        <v>0</v>
      </c>
      <c r="AG241">
        <v>0</v>
      </c>
      <c r="AH241">
        <v>0</v>
      </c>
      <c r="AI241">
        <v>0</v>
      </c>
      <c r="AJ241">
        <v>0</v>
      </c>
      <c r="AK241">
        <v>0</v>
      </c>
      <c r="AL241">
        <v>0</v>
      </c>
      <c r="AM241">
        <v>0</v>
      </c>
      <c r="AN241">
        <v>0</v>
      </c>
      <c r="AO241">
        <v>0</v>
      </c>
      <c r="AP241">
        <v>0</v>
      </c>
      <c r="AQ241">
        <v>0</v>
      </c>
      <c r="AR241">
        <v>0</v>
      </c>
      <c r="AS241">
        <v>0</v>
      </c>
      <c r="AT241">
        <v>0</v>
      </c>
      <c r="AU241">
        <v>0</v>
      </c>
      <c r="AV241">
        <v>0</v>
      </c>
      <c r="AW241">
        <v>0</v>
      </c>
      <c r="AX241">
        <v>0</v>
      </c>
      <c r="AY241">
        <v>0</v>
      </c>
      <c r="AZ241">
        <v>0</v>
      </c>
      <c r="BA241">
        <v>0</v>
      </c>
      <c r="BB241">
        <v>0</v>
      </c>
      <c r="BC241">
        <v>0</v>
      </c>
      <c r="BD241">
        <v>0</v>
      </c>
      <c r="BE241">
        <v>0</v>
      </c>
      <c r="BF241">
        <v>0</v>
      </c>
      <c r="BG241">
        <v>0</v>
      </c>
      <c r="BH241">
        <v>0</v>
      </c>
      <c r="BI241">
        <v>0</v>
      </c>
      <c r="BK241" s="151"/>
    </row>
    <row r="242" spans="1:63" x14ac:dyDescent="0.35">
      <c r="A242">
        <v>0</v>
      </c>
      <c r="B242">
        <v>0</v>
      </c>
      <c r="C242">
        <v>0</v>
      </c>
      <c r="D242">
        <v>0</v>
      </c>
      <c r="E242">
        <v>0</v>
      </c>
      <c r="F242">
        <v>0</v>
      </c>
      <c r="G242">
        <v>0</v>
      </c>
      <c r="H242">
        <v>0</v>
      </c>
      <c r="I242">
        <v>0</v>
      </c>
      <c r="J242">
        <v>0</v>
      </c>
      <c r="K242">
        <v>0</v>
      </c>
      <c r="L242">
        <v>0</v>
      </c>
      <c r="M242">
        <v>0</v>
      </c>
      <c r="N242">
        <v>0</v>
      </c>
      <c r="O242">
        <v>0</v>
      </c>
      <c r="P242">
        <v>0</v>
      </c>
      <c r="Q242">
        <v>0</v>
      </c>
      <c r="R242">
        <v>0</v>
      </c>
      <c r="S242">
        <v>0</v>
      </c>
      <c r="T242">
        <v>0</v>
      </c>
      <c r="U242">
        <v>0</v>
      </c>
      <c r="V242">
        <v>0</v>
      </c>
      <c r="W242">
        <v>0</v>
      </c>
      <c r="X242">
        <v>0</v>
      </c>
      <c r="Y242">
        <v>0</v>
      </c>
      <c r="Z242">
        <v>0</v>
      </c>
      <c r="AA242">
        <v>0</v>
      </c>
      <c r="AB242">
        <v>0</v>
      </c>
      <c r="AC242">
        <v>0</v>
      </c>
      <c r="AD242">
        <v>0</v>
      </c>
      <c r="AF242">
        <v>0</v>
      </c>
      <c r="AG242">
        <v>0</v>
      </c>
      <c r="AH242">
        <v>0</v>
      </c>
      <c r="AI242">
        <v>0</v>
      </c>
      <c r="AJ242">
        <v>0</v>
      </c>
      <c r="AK242">
        <v>0</v>
      </c>
      <c r="AL242">
        <v>0</v>
      </c>
      <c r="AM242">
        <v>0</v>
      </c>
      <c r="AN242">
        <v>0</v>
      </c>
      <c r="AO242">
        <v>0</v>
      </c>
      <c r="AP242">
        <v>0</v>
      </c>
      <c r="AQ242">
        <v>0</v>
      </c>
      <c r="AR242">
        <v>0</v>
      </c>
      <c r="AS242">
        <v>0</v>
      </c>
      <c r="AT242">
        <v>0</v>
      </c>
      <c r="AU242">
        <v>0</v>
      </c>
      <c r="AV242">
        <v>0</v>
      </c>
      <c r="AW242">
        <v>0</v>
      </c>
      <c r="AX242">
        <v>0</v>
      </c>
      <c r="AY242">
        <v>0</v>
      </c>
      <c r="AZ242">
        <v>0</v>
      </c>
      <c r="BA242">
        <v>0</v>
      </c>
      <c r="BB242">
        <v>0</v>
      </c>
      <c r="BC242">
        <v>0</v>
      </c>
      <c r="BD242">
        <v>0</v>
      </c>
      <c r="BE242">
        <v>0</v>
      </c>
      <c r="BF242">
        <v>0</v>
      </c>
      <c r="BG242">
        <v>0</v>
      </c>
      <c r="BH242">
        <v>0</v>
      </c>
      <c r="BI242">
        <v>0</v>
      </c>
      <c r="BK242" s="151"/>
    </row>
    <row r="243" spans="1:63" x14ac:dyDescent="0.35">
      <c r="A243">
        <v>0</v>
      </c>
      <c r="B243">
        <v>0</v>
      </c>
      <c r="C243">
        <v>0</v>
      </c>
      <c r="D243">
        <v>0</v>
      </c>
      <c r="E243">
        <v>0</v>
      </c>
      <c r="F243">
        <v>0</v>
      </c>
      <c r="G243">
        <v>0</v>
      </c>
      <c r="H243">
        <v>0</v>
      </c>
      <c r="I243">
        <v>0</v>
      </c>
      <c r="J243">
        <v>0</v>
      </c>
      <c r="K243">
        <v>0</v>
      </c>
      <c r="L243">
        <v>0</v>
      </c>
      <c r="M243">
        <v>0</v>
      </c>
      <c r="N243">
        <v>0</v>
      </c>
      <c r="O243">
        <v>0</v>
      </c>
      <c r="P243">
        <v>0</v>
      </c>
      <c r="Q243">
        <v>0</v>
      </c>
      <c r="R243">
        <v>0</v>
      </c>
      <c r="S243">
        <v>0</v>
      </c>
      <c r="T243">
        <v>0</v>
      </c>
      <c r="U243">
        <v>0</v>
      </c>
      <c r="V243">
        <v>0</v>
      </c>
      <c r="W243">
        <v>0</v>
      </c>
      <c r="X243">
        <v>0</v>
      </c>
      <c r="Y243">
        <v>0</v>
      </c>
      <c r="Z243">
        <v>0</v>
      </c>
      <c r="AA243">
        <v>0</v>
      </c>
      <c r="AB243">
        <v>0</v>
      </c>
      <c r="AC243">
        <v>0</v>
      </c>
      <c r="AD243">
        <v>0</v>
      </c>
      <c r="AF243">
        <v>0</v>
      </c>
      <c r="AG243">
        <v>0</v>
      </c>
      <c r="AH243">
        <v>0</v>
      </c>
      <c r="AI243">
        <v>0</v>
      </c>
      <c r="AJ243">
        <v>0</v>
      </c>
      <c r="AK243">
        <v>0</v>
      </c>
      <c r="AL243">
        <v>0</v>
      </c>
      <c r="AM243">
        <v>0</v>
      </c>
      <c r="AN243">
        <v>0</v>
      </c>
      <c r="AO243">
        <v>0</v>
      </c>
      <c r="AP243">
        <v>0</v>
      </c>
      <c r="AQ243">
        <v>0</v>
      </c>
      <c r="AR243">
        <v>0</v>
      </c>
      <c r="AS243">
        <v>0</v>
      </c>
      <c r="AT243">
        <v>0</v>
      </c>
      <c r="AU243">
        <v>0</v>
      </c>
      <c r="AV243">
        <v>0</v>
      </c>
      <c r="AW243">
        <v>0</v>
      </c>
      <c r="AX243">
        <v>0</v>
      </c>
      <c r="AY243">
        <v>0</v>
      </c>
      <c r="AZ243">
        <v>0</v>
      </c>
      <c r="BA243">
        <v>0</v>
      </c>
      <c r="BB243">
        <v>0</v>
      </c>
      <c r="BC243">
        <v>0</v>
      </c>
      <c r="BD243">
        <v>0</v>
      </c>
      <c r="BE243">
        <v>0</v>
      </c>
      <c r="BF243">
        <v>0</v>
      </c>
      <c r="BG243">
        <v>0</v>
      </c>
      <c r="BH243">
        <v>0</v>
      </c>
      <c r="BI243">
        <v>0</v>
      </c>
      <c r="BK243" s="151"/>
    </row>
    <row r="244" spans="1:63" x14ac:dyDescent="0.35">
      <c r="A244">
        <v>0</v>
      </c>
      <c r="B244">
        <v>0</v>
      </c>
      <c r="C244">
        <v>0</v>
      </c>
      <c r="D244">
        <v>0</v>
      </c>
      <c r="E244">
        <v>0</v>
      </c>
      <c r="F244">
        <v>0</v>
      </c>
      <c r="G244">
        <v>0</v>
      </c>
      <c r="H244">
        <v>0</v>
      </c>
      <c r="I244">
        <v>0</v>
      </c>
      <c r="J244">
        <v>0</v>
      </c>
      <c r="K244">
        <v>0</v>
      </c>
      <c r="L244">
        <v>0</v>
      </c>
      <c r="M244">
        <v>0</v>
      </c>
      <c r="N244">
        <v>0</v>
      </c>
      <c r="O244">
        <v>0</v>
      </c>
      <c r="P244">
        <v>0</v>
      </c>
      <c r="Q244">
        <v>0</v>
      </c>
      <c r="R244">
        <v>0</v>
      </c>
      <c r="S244">
        <v>0</v>
      </c>
      <c r="T244">
        <v>0</v>
      </c>
      <c r="U244">
        <v>0</v>
      </c>
      <c r="V244">
        <v>0</v>
      </c>
      <c r="W244">
        <v>0</v>
      </c>
      <c r="X244">
        <v>0</v>
      </c>
      <c r="Y244">
        <v>0</v>
      </c>
      <c r="Z244">
        <v>0</v>
      </c>
      <c r="AA244">
        <v>0</v>
      </c>
      <c r="AB244">
        <v>0</v>
      </c>
      <c r="AC244">
        <v>0</v>
      </c>
      <c r="AD244">
        <v>0</v>
      </c>
      <c r="AF244">
        <v>0</v>
      </c>
      <c r="AG244">
        <v>0</v>
      </c>
      <c r="AH244">
        <v>0</v>
      </c>
      <c r="AI244">
        <v>0</v>
      </c>
      <c r="AJ244">
        <v>0</v>
      </c>
      <c r="AK244">
        <v>0</v>
      </c>
      <c r="AL244">
        <v>0</v>
      </c>
      <c r="AM244">
        <v>0</v>
      </c>
      <c r="AN244">
        <v>0</v>
      </c>
      <c r="AO244">
        <v>0</v>
      </c>
      <c r="AP244">
        <v>0</v>
      </c>
      <c r="AQ244">
        <v>0</v>
      </c>
      <c r="AR244">
        <v>0</v>
      </c>
      <c r="AS244">
        <v>0</v>
      </c>
      <c r="AT244">
        <v>0</v>
      </c>
      <c r="AU244">
        <v>0</v>
      </c>
      <c r="AV244">
        <v>0</v>
      </c>
      <c r="AW244">
        <v>0</v>
      </c>
      <c r="AX244">
        <v>0</v>
      </c>
      <c r="AY244">
        <v>0</v>
      </c>
      <c r="AZ244">
        <v>0</v>
      </c>
      <c r="BA244">
        <v>0</v>
      </c>
      <c r="BB244">
        <v>0</v>
      </c>
      <c r="BC244">
        <v>0</v>
      </c>
      <c r="BD244">
        <v>0</v>
      </c>
      <c r="BE244">
        <v>0</v>
      </c>
      <c r="BF244">
        <v>0</v>
      </c>
      <c r="BG244">
        <v>0</v>
      </c>
      <c r="BH244">
        <v>0</v>
      </c>
      <c r="BI244">
        <v>0</v>
      </c>
      <c r="BK244" s="151"/>
    </row>
    <row r="245" spans="1:63" x14ac:dyDescent="0.35">
      <c r="A245">
        <v>0</v>
      </c>
      <c r="B245">
        <v>0</v>
      </c>
      <c r="C245">
        <v>0</v>
      </c>
      <c r="D245">
        <v>0</v>
      </c>
      <c r="E245">
        <v>0</v>
      </c>
      <c r="F245">
        <v>0</v>
      </c>
      <c r="G245">
        <v>0</v>
      </c>
      <c r="H245">
        <v>0</v>
      </c>
      <c r="I245">
        <v>0</v>
      </c>
      <c r="J245">
        <v>0</v>
      </c>
      <c r="K245">
        <v>0</v>
      </c>
      <c r="L245">
        <v>0</v>
      </c>
      <c r="M245">
        <v>0</v>
      </c>
      <c r="N245">
        <v>0</v>
      </c>
      <c r="O245">
        <v>0</v>
      </c>
      <c r="P245">
        <v>0</v>
      </c>
      <c r="Q245">
        <v>0</v>
      </c>
      <c r="R245">
        <v>0</v>
      </c>
      <c r="S245">
        <v>0</v>
      </c>
      <c r="T245">
        <v>0</v>
      </c>
      <c r="U245">
        <v>0</v>
      </c>
      <c r="V245">
        <v>0</v>
      </c>
      <c r="W245">
        <v>0</v>
      </c>
      <c r="X245">
        <v>0</v>
      </c>
      <c r="Y245">
        <v>0</v>
      </c>
      <c r="Z245">
        <v>0</v>
      </c>
      <c r="AA245">
        <v>0</v>
      </c>
      <c r="AB245">
        <v>0</v>
      </c>
      <c r="AC245">
        <v>0</v>
      </c>
      <c r="AD245">
        <v>0</v>
      </c>
      <c r="AF245">
        <v>0</v>
      </c>
      <c r="AG245">
        <v>0</v>
      </c>
      <c r="AH245">
        <v>0</v>
      </c>
      <c r="AI245">
        <v>0</v>
      </c>
      <c r="AJ245">
        <v>0</v>
      </c>
      <c r="AK245">
        <v>0</v>
      </c>
      <c r="AL245">
        <v>0</v>
      </c>
      <c r="AM245">
        <v>0</v>
      </c>
      <c r="AN245">
        <v>0</v>
      </c>
      <c r="AO245">
        <v>0</v>
      </c>
      <c r="AP245">
        <v>0</v>
      </c>
      <c r="AQ245">
        <v>0</v>
      </c>
      <c r="AR245">
        <v>0</v>
      </c>
      <c r="AS245">
        <v>0</v>
      </c>
      <c r="AT245">
        <v>0</v>
      </c>
      <c r="AU245">
        <v>0</v>
      </c>
      <c r="AV245">
        <v>0</v>
      </c>
      <c r="AW245">
        <v>0</v>
      </c>
      <c r="AX245">
        <v>0</v>
      </c>
      <c r="AY245">
        <v>0</v>
      </c>
      <c r="AZ245">
        <v>0</v>
      </c>
      <c r="BA245">
        <v>0</v>
      </c>
      <c r="BB245">
        <v>0</v>
      </c>
      <c r="BC245">
        <v>0</v>
      </c>
      <c r="BD245">
        <v>0</v>
      </c>
      <c r="BE245">
        <v>0</v>
      </c>
      <c r="BF245">
        <v>0</v>
      </c>
      <c r="BG245">
        <v>0</v>
      </c>
      <c r="BH245">
        <v>0</v>
      </c>
      <c r="BI245">
        <v>0</v>
      </c>
      <c r="BK245" s="151"/>
    </row>
    <row r="246" spans="1:63" x14ac:dyDescent="0.35">
      <c r="A246">
        <v>0</v>
      </c>
      <c r="B246">
        <v>0</v>
      </c>
      <c r="C246">
        <v>0</v>
      </c>
      <c r="D246">
        <v>0</v>
      </c>
      <c r="E246">
        <v>0</v>
      </c>
      <c r="F246">
        <v>0</v>
      </c>
      <c r="G246">
        <v>0</v>
      </c>
      <c r="H246">
        <v>0</v>
      </c>
      <c r="I246">
        <v>0</v>
      </c>
      <c r="J246">
        <v>0</v>
      </c>
      <c r="K246">
        <v>0</v>
      </c>
      <c r="L246">
        <v>0</v>
      </c>
      <c r="M246">
        <v>0</v>
      </c>
      <c r="N246">
        <v>0</v>
      </c>
      <c r="O246">
        <v>0</v>
      </c>
      <c r="P246">
        <v>0</v>
      </c>
      <c r="Q246">
        <v>0</v>
      </c>
      <c r="R246">
        <v>0</v>
      </c>
      <c r="S246">
        <v>0</v>
      </c>
      <c r="T246">
        <v>0</v>
      </c>
      <c r="U246">
        <v>0</v>
      </c>
      <c r="V246">
        <v>0</v>
      </c>
      <c r="W246">
        <v>0</v>
      </c>
      <c r="X246">
        <v>0</v>
      </c>
      <c r="Y246">
        <v>0</v>
      </c>
      <c r="Z246">
        <v>0</v>
      </c>
      <c r="AA246">
        <v>0</v>
      </c>
      <c r="AB246">
        <v>0</v>
      </c>
      <c r="AC246">
        <v>0</v>
      </c>
      <c r="AD246">
        <v>0</v>
      </c>
      <c r="AF246">
        <v>0</v>
      </c>
      <c r="AG246">
        <v>0</v>
      </c>
      <c r="AH246">
        <v>0</v>
      </c>
      <c r="AI246">
        <v>0</v>
      </c>
      <c r="AJ246">
        <v>0</v>
      </c>
      <c r="AK246">
        <v>0</v>
      </c>
      <c r="AL246">
        <v>0</v>
      </c>
      <c r="AM246">
        <v>0</v>
      </c>
      <c r="AN246">
        <v>0</v>
      </c>
      <c r="AO246">
        <v>0</v>
      </c>
      <c r="AP246">
        <v>0</v>
      </c>
      <c r="AQ246">
        <v>0</v>
      </c>
      <c r="AR246">
        <v>0</v>
      </c>
      <c r="AS246">
        <v>0</v>
      </c>
      <c r="AT246">
        <v>0</v>
      </c>
      <c r="AU246">
        <v>0</v>
      </c>
      <c r="AV246">
        <v>0</v>
      </c>
      <c r="AW246">
        <v>0</v>
      </c>
      <c r="AX246">
        <v>0</v>
      </c>
      <c r="AY246">
        <v>0</v>
      </c>
      <c r="AZ246">
        <v>0</v>
      </c>
      <c r="BA246">
        <v>0</v>
      </c>
      <c r="BB246">
        <v>0</v>
      </c>
      <c r="BC246">
        <v>0</v>
      </c>
      <c r="BD246">
        <v>0</v>
      </c>
      <c r="BE246">
        <v>0</v>
      </c>
      <c r="BF246">
        <v>0</v>
      </c>
      <c r="BG246">
        <v>0</v>
      </c>
      <c r="BH246">
        <v>0</v>
      </c>
      <c r="BI246">
        <v>0</v>
      </c>
      <c r="BK246" s="151"/>
    </row>
    <row r="247" spans="1:63" x14ac:dyDescent="0.35">
      <c r="A247">
        <v>0</v>
      </c>
      <c r="B247">
        <v>0</v>
      </c>
      <c r="C247">
        <v>0</v>
      </c>
      <c r="D247">
        <v>0</v>
      </c>
      <c r="E247">
        <v>0</v>
      </c>
      <c r="F247">
        <v>0</v>
      </c>
      <c r="G247">
        <v>0</v>
      </c>
      <c r="H247">
        <v>0</v>
      </c>
      <c r="I247">
        <v>0</v>
      </c>
      <c r="J247">
        <v>0</v>
      </c>
      <c r="K247">
        <v>0</v>
      </c>
      <c r="L247">
        <v>0</v>
      </c>
      <c r="M247">
        <v>0</v>
      </c>
      <c r="N247">
        <v>0</v>
      </c>
      <c r="O247">
        <v>0</v>
      </c>
      <c r="P247">
        <v>0</v>
      </c>
      <c r="Q247">
        <v>0</v>
      </c>
      <c r="R247">
        <v>0</v>
      </c>
      <c r="S247">
        <v>0</v>
      </c>
      <c r="T247">
        <v>0</v>
      </c>
      <c r="U247">
        <v>0</v>
      </c>
      <c r="V247">
        <v>0</v>
      </c>
      <c r="W247">
        <v>0</v>
      </c>
      <c r="X247">
        <v>0</v>
      </c>
      <c r="Y247">
        <v>0</v>
      </c>
      <c r="Z247">
        <v>0</v>
      </c>
      <c r="AA247">
        <v>0</v>
      </c>
      <c r="AB247">
        <v>0</v>
      </c>
      <c r="AC247">
        <v>0</v>
      </c>
      <c r="AD247">
        <v>0</v>
      </c>
      <c r="AF247">
        <v>0</v>
      </c>
      <c r="AG247">
        <v>0</v>
      </c>
      <c r="AH247">
        <v>0</v>
      </c>
      <c r="AI247">
        <v>0</v>
      </c>
      <c r="AJ247">
        <v>0</v>
      </c>
      <c r="AK247">
        <v>0</v>
      </c>
      <c r="AL247">
        <v>0</v>
      </c>
      <c r="AM247">
        <v>0</v>
      </c>
      <c r="AN247">
        <v>0</v>
      </c>
      <c r="AO247">
        <v>0</v>
      </c>
      <c r="AP247">
        <v>0</v>
      </c>
      <c r="AQ247">
        <v>0</v>
      </c>
      <c r="AR247">
        <v>0</v>
      </c>
      <c r="AS247">
        <v>0</v>
      </c>
      <c r="AT247">
        <v>0</v>
      </c>
      <c r="AU247">
        <v>0</v>
      </c>
      <c r="AV247">
        <v>0</v>
      </c>
      <c r="AW247">
        <v>0</v>
      </c>
      <c r="AX247">
        <v>0</v>
      </c>
      <c r="AY247">
        <v>0</v>
      </c>
      <c r="AZ247">
        <v>0</v>
      </c>
      <c r="BA247">
        <v>0</v>
      </c>
      <c r="BB247">
        <v>0</v>
      </c>
      <c r="BC247">
        <v>0</v>
      </c>
      <c r="BD247">
        <v>0</v>
      </c>
      <c r="BE247">
        <v>0</v>
      </c>
      <c r="BF247">
        <v>0</v>
      </c>
      <c r="BG247">
        <v>0</v>
      </c>
      <c r="BH247">
        <v>0</v>
      </c>
      <c r="BI247">
        <v>0</v>
      </c>
      <c r="BK247" s="151"/>
    </row>
    <row r="248" spans="1:63" x14ac:dyDescent="0.35">
      <c r="A248">
        <v>0</v>
      </c>
      <c r="B248">
        <v>0</v>
      </c>
      <c r="C248">
        <v>0</v>
      </c>
      <c r="D248">
        <v>0</v>
      </c>
      <c r="E248">
        <v>0</v>
      </c>
      <c r="F248">
        <v>0</v>
      </c>
      <c r="G248">
        <v>0</v>
      </c>
      <c r="H248">
        <v>0</v>
      </c>
      <c r="I248">
        <v>0</v>
      </c>
      <c r="J248">
        <v>0</v>
      </c>
      <c r="K248">
        <v>0</v>
      </c>
      <c r="L248">
        <v>0</v>
      </c>
      <c r="M248">
        <v>0</v>
      </c>
      <c r="N248">
        <v>0</v>
      </c>
      <c r="O248">
        <v>0</v>
      </c>
      <c r="P248">
        <v>0</v>
      </c>
      <c r="Q248">
        <v>0</v>
      </c>
      <c r="R248">
        <v>0</v>
      </c>
      <c r="S248">
        <v>0</v>
      </c>
      <c r="T248">
        <v>0</v>
      </c>
      <c r="U248">
        <v>0</v>
      </c>
      <c r="V248">
        <v>0</v>
      </c>
      <c r="W248">
        <v>0</v>
      </c>
      <c r="X248">
        <v>0</v>
      </c>
      <c r="Y248">
        <v>0</v>
      </c>
      <c r="Z248">
        <v>0</v>
      </c>
      <c r="AA248">
        <v>0</v>
      </c>
      <c r="AB248">
        <v>0</v>
      </c>
      <c r="AC248">
        <v>0</v>
      </c>
      <c r="AD248">
        <v>0</v>
      </c>
      <c r="AF248">
        <v>0</v>
      </c>
      <c r="AG248">
        <v>0</v>
      </c>
      <c r="AH248">
        <v>0</v>
      </c>
      <c r="AI248">
        <v>0</v>
      </c>
      <c r="AJ248">
        <v>0</v>
      </c>
      <c r="AK248">
        <v>0</v>
      </c>
      <c r="AL248">
        <v>0</v>
      </c>
      <c r="AM248">
        <v>0</v>
      </c>
      <c r="AN248">
        <v>0</v>
      </c>
      <c r="AO248">
        <v>0</v>
      </c>
      <c r="AP248">
        <v>0</v>
      </c>
      <c r="AQ248">
        <v>0</v>
      </c>
      <c r="AR248">
        <v>0</v>
      </c>
      <c r="AS248">
        <v>0</v>
      </c>
      <c r="AT248">
        <v>0</v>
      </c>
      <c r="AU248">
        <v>0</v>
      </c>
      <c r="AV248">
        <v>0</v>
      </c>
      <c r="AW248">
        <v>0</v>
      </c>
      <c r="AX248">
        <v>0</v>
      </c>
      <c r="AY248">
        <v>0</v>
      </c>
      <c r="AZ248">
        <v>0</v>
      </c>
      <c r="BA248">
        <v>0</v>
      </c>
      <c r="BB248">
        <v>0</v>
      </c>
      <c r="BC248">
        <v>0</v>
      </c>
      <c r="BD248">
        <v>0</v>
      </c>
      <c r="BE248">
        <v>0</v>
      </c>
      <c r="BF248">
        <v>0</v>
      </c>
      <c r="BG248">
        <v>0</v>
      </c>
      <c r="BH248">
        <v>0</v>
      </c>
      <c r="BI248">
        <v>0</v>
      </c>
      <c r="BK248" s="151"/>
    </row>
    <row r="249" spans="1:63" x14ac:dyDescent="0.35">
      <c r="A249">
        <v>0</v>
      </c>
      <c r="B249">
        <v>0</v>
      </c>
      <c r="C249">
        <v>0</v>
      </c>
      <c r="D249">
        <v>0</v>
      </c>
      <c r="E249">
        <v>0</v>
      </c>
      <c r="F249">
        <v>0</v>
      </c>
      <c r="G249">
        <v>0</v>
      </c>
      <c r="H249">
        <v>0</v>
      </c>
      <c r="I249">
        <v>0</v>
      </c>
      <c r="J249">
        <v>0</v>
      </c>
      <c r="K249">
        <v>0</v>
      </c>
      <c r="L249">
        <v>0</v>
      </c>
      <c r="M249">
        <v>0</v>
      </c>
      <c r="N249">
        <v>0</v>
      </c>
      <c r="O249">
        <v>0</v>
      </c>
      <c r="P249">
        <v>0</v>
      </c>
      <c r="Q249">
        <v>0</v>
      </c>
      <c r="R249">
        <v>0</v>
      </c>
      <c r="S249">
        <v>0</v>
      </c>
      <c r="T249">
        <v>0</v>
      </c>
      <c r="U249">
        <v>0</v>
      </c>
      <c r="V249">
        <v>0</v>
      </c>
      <c r="W249">
        <v>0</v>
      </c>
      <c r="X249">
        <v>0</v>
      </c>
      <c r="Y249">
        <v>0</v>
      </c>
      <c r="Z249">
        <v>0</v>
      </c>
      <c r="AA249">
        <v>0</v>
      </c>
      <c r="AB249">
        <v>0</v>
      </c>
      <c r="AC249">
        <v>0</v>
      </c>
      <c r="AD249">
        <v>0</v>
      </c>
      <c r="AF249">
        <v>0</v>
      </c>
      <c r="AG249">
        <v>0</v>
      </c>
      <c r="AH249">
        <v>0</v>
      </c>
      <c r="AI249">
        <v>0</v>
      </c>
      <c r="AJ249">
        <v>0</v>
      </c>
      <c r="AK249">
        <v>0</v>
      </c>
      <c r="AL249">
        <v>0</v>
      </c>
      <c r="AM249">
        <v>0</v>
      </c>
      <c r="AN249">
        <v>0</v>
      </c>
      <c r="AO249">
        <v>0</v>
      </c>
      <c r="AP249">
        <v>0</v>
      </c>
      <c r="AQ249">
        <v>0</v>
      </c>
      <c r="AR249">
        <v>0</v>
      </c>
      <c r="AS249">
        <v>0</v>
      </c>
      <c r="AT249">
        <v>0</v>
      </c>
      <c r="AU249">
        <v>0</v>
      </c>
      <c r="AV249">
        <v>0</v>
      </c>
      <c r="AW249">
        <v>0</v>
      </c>
      <c r="AX249">
        <v>0</v>
      </c>
      <c r="AY249">
        <v>0</v>
      </c>
      <c r="AZ249">
        <v>0</v>
      </c>
      <c r="BA249">
        <v>0</v>
      </c>
      <c r="BB249">
        <v>0</v>
      </c>
      <c r="BC249">
        <v>0</v>
      </c>
      <c r="BD249">
        <v>0</v>
      </c>
      <c r="BE249">
        <v>0</v>
      </c>
      <c r="BF249">
        <v>0</v>
      </c>
      <c r="BG249">
        <v>0</v>
      </c>
      <c r="BH249">
        <v>0</v>
      </c>
      <c r="BI249">
        <v>0</v>
      </c>
      <c r="BK249" s="151"/>
    </row>
    <row r="250" spans="1:63" x14ac:dyDescent="0.35">
      <c r="A250">
        <v>0</v>
      </c>
      <c r="B250">
        <v>0</v>
      </c>
      <c r="C250">
        <v>0</v>
      </c>
      <c r="D250">
        <v>0</v>
      </c>
      <c r="E250">
        <v>0</v>
      </c>
      <c r="F250">
        <v>0</v>
      </c>
      <c r="G250">
        <v>0</v>
      </c>
      <c r="H250">
        <v>0</v>
      </c>
      <c r="I250">
        <v>0</v>
      </c>
      <c r="J250">
        <v>0</v>
      </c>
      <c r="K250">
        <v>0</v>
      </c>
      <c r="L250">
        <v>0</v>
      </c>
      <c r="M250">
        <v>0</v>
      </c>
      <c r="N250">
        <v>0</v>
      </c>
      <c r="O250">
        <v>0</v>
      </c>
      <c r="P250">
        <v>0</v>
      </c>
      <c r="Q250">
        <v>0</v>
      </c>
      <c r="R250">
        <v>0</v>
      </c>
      <c r="S250">
        <v>0</v>
      </c>
      <c r="T250">
        <v>0</v>
      </c>
      <c r="U250">
        <v>0</v>
      </c>
      <c r="V250">
        <v>0</v>
      </c>
      <c r="W250">
        <v>0</v>
      </c>
      <c r="X250">
        <v>0</v>
      </c>
      <c r="Y250">
        <v>0</v>
      </c>
      <c r="Z250">
        <v>0</v>
      </c>
      <c r="AA250">
        <v>0</v>
      </c>
      <c r="AB250">
        <v>0</v>
      </c>
      <c r="AC250">
        <v>0</v>
      </c>
      <c r="AD250">
        <v>0</v>
      </c>
      <c r="AF250">
        <v>0</v>
      </c>
      <c r="AG250">
        <v>0</v>
      </c>
      <c r="AH250">
        <v>0</v>
      </c>
      <c r="AI250">
        <v>0</v>
      </c>
      <c r="AJ250">
        <v>0</v>
      </c>
      <c r="AK250">
        <v>0</v>
      </c>
      <c r="AL250">
        <v>0</v>
      </c>
      <c r="AM250">
        <v>0</v>
      </c>
      <c r="AN250">
        <v>0</v>
      </c>
      <c r="AO250">
        <v>0</v>
      </c>
      <c r="AP250">
        <v>0</v>
      </c>
      <c r="AQ250">
        <v>0</v>
      </c>
      <c r="AR250">
        <v>0</v>
      </c>
      <c r="AS250">
        <v>0</v>
      </c>
      <c r="AT250">
        <v>0</v>
      </c>
      <c r="AU250">
        <v>0</v>
      </c>
      <c r="AV250">
        <v>0</v>
      </c>
      <c r="AW250">
        <v>0</v>
      </c>
      <c r="AX250">
        <v>0</v>
      </c>
      <c r="AY250">
        <v>0</v>
      </c>
      <c r="AZ250">
        <v>0</v>
      </c>
      <c r="BA250">
        <v>0</v>
      </c>
      <c r="BB250">
        <v>0</v>
      </c>
      <c r="BC250">
        <v>0</v>
      </c>
      <c r="BD250">
        <v>0</v>
      </c>
      <c r="BE250">
        <v>0</v>
      </c>
      <c r="BF250">
        <v>0</v>
      </c>
      <c r="BG250">
        <v>0</v>
      </c>
      <c r="BH250">
        <v>0</v>
      </c>
      <c r="BI250">
        <v>0</v>
      </c>
      <c r="BK250" s="151"/>
    </row>
    <row r="251" spans="1:63" x14ac:dyDescent="0.35">
      <c r="A251">
        <v>0</v>
      </c>
      <c r="B251">
        <v>0</v>
      </c>
      <c r="C251">
        <v>0</v>
      </c>
      <c r="D251">
        <v>0</v>
      </c>
      <c r="E251">
        <v>0</v>
      </c>
      <c r="F251">
        <v>0</v>
      </c>
      <c r="G251">
        <v>0</v>
      </c>
      <c r="H251">
        <v>0</v>
      </c>
      <c r="I251">
        <v>0</v>
      </c>
      <c r="J251">
        <v>0</v>
      </c>
      <c r="K251">
        <v>0</v>
      </c>
      <c r="L251">
        <v>0</v>
      </c>
      <c r="M251">
        <v>0</v>
      </c>
      <c r="N251">
        <v>0</v>
      </c>
      <c r="O251">
        <v>0</v>
      </c>
      <c r="P251">
        <v>0</v>
      </c>
      <c r="Q251">
        <v>0</v>
      </c>
      <c r="R251">
        <v>0</v>
      </c>
      <c r="S251">
        <v>0</v>
      </c>
      <c r="T251">
        <v>0</v>
      </c>
      <c r="U251">
        <v>0</v>
      </c>
      <c r="V251">
        <v>0</v>
      </c>
      <c r="W251">
        <v>0</v>
      </c>
      <c r="X251">
        <v>0</v>
      </c>
      <c r="Y251">
        <v>0</v>
      </c>
      <c r="Z251">
        <v>0</v>
      </c>
      <c r="AA251">
        <v>0</v>
      </c>
      <c r="AB251">
        <v>0</v>
      </c>
      <c r="AC251">
        <v>0</v>
      </c>
      <c r="AD251">
        <v>0</v>
      </c>
      <c r="AF251">
        <v>0</v>
      </c>
      <c r="AG251">
        <v>0</v>
      </c>
      <c r="AH251">
        <v>0</v>
      </c>
      <c r="AI251">
        <v>0</v>
      </c>
      <c r="AJ251">
        <v>0</v>
      </c>
      <c r="AK251">
        <v>0</v>
      </c>
      <c r="AL251">
        <v>0</v>
      </c>
      <c r="AM251">
        <v>0</v>
      </c>
      <c r="AN251">
        <v>0</v>
      </c>
      <c r="AO251">
        <v>0</v>
      </c>
      <c r="AP251">
        <v>0</v>
      </c>
      <c r="AQ251">
        <v>0</v>
      </c>
      <c r="AR251">
        <v>0</v>
      </c>
      <c r="AS251">
        <v>0</v>
      </c>
      <c r="AT251">
        <v>0</v>
      </c>
      <c r="AU251">
        <v>0</v>
      </c>
      <c r="AV251">
        <v>0</v>
      </c>
      <c r="AW251">
        <v>0</v>
      </c>
      <c r="AX251">
        <v>0</v>
      </c>
      <c r="AY251">
        <v>0</v>
      </c>
      <c r="AZ251">
        <v>0</v>
      </c>
      <c r="BA251">
        <v>0</v>
      </c>
      <c r="BB251">
        <v>0</v>
      </c>
      <c r="BC251">
        <v>0</v>
      </c>
      <c r="BD251">
        <v>0</v>
      </c>
      <c r="BE251">
        <v>0</v>
      </c>
      <c r="BF251">
        <v>0</v>
      </c>
      <c r="BG251">
        <v>0</v>
      </c>
      <c r="BH251">
        <v>0</v>
      </c>
      <c r="BI251">
        <v>0</v>
      </c>
      <c r="BK251" s="151"/>
    </row>
    <row r="252" spans="1:63" x14ac:dyDescent="0.35">
      <c r="A252">
        <v>0</v>
      </c>
      <c r="B252">
        <v>0</v>
      </c>
      <c r="C252">
        <v>0</v>
      </c>
      <c r="D252">
        <v>0</v>
      </c>
      <c r="E252">
        <v>0</v>
      </c>
      <c r="F252">
        <v>0</v>
      </c>
      <c r="G252">
        <v>0</v>
      </c>
      <c r="H252">
        <v>0</v>
      </c>
      <c r="I252">
        <v>0</v>
      </c>
      <c r="J252">
        <v>0</v>
      </c>
      <c r="K252">
        <v>0</v>
      </c>
      <c r="L252">
        <v>0</v>
      </c>
      <c r="M252">
        <v>0</v>
      </c>
      <c r="N252">
        <v>0</v>
      </c>
      <c r="O252">
        <v>0</v>
      </c>
      <c r="P252">
        <v>0</v>
      </c>
      <c r="Q252">
        <v>0</v>
      </c>
      <c r="R252">
        <v>0</v>
      </c>
      <c r="S252">
        <v>0</v>
      </c>
      <c r="T252">
        <v>0</v>
      </c>
      <c r="U252">
        <v>0</v>
      </c>
      <c r="V252">
        <v>0</v>
      </c>
      <c r="W252">
        <v>0</v>
      </c>
      <c r="X252">
        <v>0</v>
      </c>
      <c r="Y252">
        <v>0</v>
      </c>
      <c r="Z252">
        <v>0</v>
      </c>
      <c r="AA252">
        <v>0</v>
      </c>
      <c r="AB252">
        <v>0</v>
      </c>
      <c r="AC252">
        <v>0</v>
      </c>
      <c r="AD252">
        <v>0</v>
      </c>
      <c r="AF252">
        <v>0</v>
      </c>
      <c r="AG252">
        <v>0</v>
      </c>
      <c r="AH252">
        <v>0</v>
      </c>
      <c r="AI252">
        <v>0</v>
      </c>
      <c r="AJ252">
        <v>0</v>
      </c>
      <c r="AK252">
        <v>0</v>
      </c>
      <c r="AL252">
        <v>0</v>
      </c>
      <c r="AM252">
        <v>0</v>
      </c>
      <c r="AN252">
        <v>0</v>
      </c>
      <c r="AO252">
        <v>0</v>
      </c>
      <c r="AP252">
        <v>0</v>
      </c>
      <c r="AQ252">
        <v>0</v>
      </c>
      <c r="AR252">
        <v>0</v>
      </c>
      <c r="AS252">
        <v>0</v>
      </c>
      <c r="AT252">
        <v>0</v>
      </c>
      <c r="AU252">
        <v>0</v>
      </c>
      <c r="AV252">
        <v>0</v>
      </c>
      <c r="AW252">
        <v>0</v>
      </c>
      <c r="AX252">
        <v>0</v>
      </c>
      <c r="AY252">
        <v>0</v>
      </c>
      <c r="AZ252">
        <v>0</v>
      </c>
      <c r="BA252">
        <v>0</v>
      </c>
      <c r="BB252">
        <v>0</v>
      </c>
      <c r="BC252">
        <v>0</v>
      </c>
      <c r="BD252">
        <v>0</v>
      </c>
      <c r="BE252">
        <v>0</v>
      </c>
      <c r="BF252">
        <v>0</v>
      </c>
      <c r="BG252">
        <v>0</v>
      </c>
      <c r="BH252">
        <v>0</v>
      </c>
      <c r="BI252">
        <v>0</v>
      </c>
      <c r="BK252" s="151"/>
    </row>
    <row r="253" spans="1:63" x14ac:dyDescent="0.35">
      <c r="A253">
        <v>0</v>
      </c>
      <c r="B253">
        <v>0</v>
      </c>
      <c r="C253">
        <v>0</v>
      </c>
      <c r="D253">
        <v>0</v>
      </c>
      <c r="E253">
        <v>0</v>
      </c>
      <c r="F253">
        <v>0</v>
      </c>
      <c r="G253">
        <v>0</v>
      </c>
      <c r="H253">
        <v>0</v>
      </c>
      <c r="I253">
        <v>0</v>
      </c>
      <c r="J253">
        <v>0</v>
      </c>
      <c r="K253">
        <v>0</v>
      </c>
      <c r="L253">
        <v>0</v>
      </c>
      <c r="M253">
        <v>0</v>
      </c>
      <c r="N253">
        <v>0</v>
      </c>
      <c r="O253">
        <v>0</v>
      </c>
      <c r="P253">
        <v>0</v>
      </c>
      <c r="Q253">
        <v>0</v>
      </c>
      <c r="R253">
        <v>0</v>
      </c>
      <c r="S253">
        <v>0</v>
      </c>
      <c r="T253">
        <v>0</v>
      </c>
      <c r="U253">
        <v>0</v>
      </c>
      <c r="V253">
        <v>0</v>
      </c>
      <c r="W253">
        <v>0</v>
      </c>
      <c r="X253">
        <v>0</v>
      </c>
      <c r="Y253">
        <v>0</v>
      </c>
      <c r="Z253">
        <v>0</v>
      </c>
      <c r="AA253">
        <v>0</v>
      </c>
      <c r="AB253">
        <v>0</v>
      </c>
      <c r="AC253">
        <v>0</v>
      </c>
      <c r="AD253">
        <v>0</v>
      </c>
      <c r="AF253">
        <v>0</v>
      </c>
      <c r="AG253">
        <v>0</v>
      </c>
      <c r="AH253">
        <v>0</v>
      </c>
      <c r="AI253">
        <v>0</v>
      </c>
      <c r="AJ253">
        <v>0</v>
      </c>
      <c r="AK253">
        <v>0</v>
      </c>
      <c r="AL253">
        <v>0</v>
      </c>
      <c r="AM253">
        <v>0</v>
      </c>
      <c r="AN253">
        <v>0</v>
      </c>
      <c r="AO253">
        <v>0</v>
      </c>
      <c r="AP253">
        <v>0</v>
      </c>
      <c r="AQ253">
        <v>0</v>
      </c>
      <c r="AR253">
        <v>0</v>
      </c>
      <c r="AS253">
        <v>0</v>
      </c>
      <c r="AT253">
        <v>0</v>
      </c>
      <c r="AU253">
        <v>0</v>
      </c>
      <c r="AV253">
        <v>0</v>
      </c>
      <c r="AW253">
        <v>0</v>
      </c>
      <c r="AX253">
        <v>0</v>
      </c>
      <c r="AY253">
        <v>0</v>
      </c>
      <c r="AZ253">
        <v>0</v>
      </c>
      <c r="BA253">
        <v>0</v>
      </c>
      <c r="BB253">
        <v>0</v>
      </c>
      <c r="BC253">
        <v>0</v>
      </c>
      <c r="BD253">
        <v>0</v>
      </c>
      <c r="BE253">
        <v>0</v>
      </c>
      <c r="BF253">
        <v>0</v>
      </c>
      <c r="BG253">
        <v>0</v>
      </c>
      <c r="BH253">
        <v>0</v>
      </c>
      <c r="BI253">
        <v>0</v>
      </c>
      <c r="BK253" s="151"/>
    </row>
    <row r="254" spans="1:63" x14ac:dyDescent="0.35">
      <c r="A254">
        <v>0</v>
      </c>
      <c r="B254">
        <v>0</v>
      </c>
      <c r="C254">
        <v>0</v>
      </c>
      <c r="D254">
        <v>0</v>
      </c>
      <c r="E254">
        <v>0</v>
      </c>
      <c r="F254">
        <v>0</v>
      </c>
      <c r="G254">
        <v>0</v>
      </c>
      <c r="H254">
        <v>0</v>
      </c>
      <c r="I254">
        <v>0</v>
      </c>
      <c r="J254">
        <v>0</v>
      </c>
      <c r="K254">
        <v>0</v>
      </c>
      <c r="L254">
        <v>0</v>
      </c>
      <c r="M254">
        <v>0</v>
      </c>
      <c r="N254">
        <v>0</v>
      </c>
      <c r="O254">
        <v>0</v>
      </c>
      <c r="P254">
        <v>0</v>
      </c>
      <c r="Q254">
        <v>0</v>
      </c>
      <c r="R254">
        <v>0</v>
      </c>
      <c r="S254">
        <v>0</v>
      </c>
      <c r="T254">
        <v>0</v>
      </c>
      <c r="U254">
        <v>0</v>
      </c>
      <c r="V254">
        <v>0</v>
      </c>
      <c r="W254">
        <v>0</v>
      </c>
      <c r="X254">
        <v>0</v>
      </c>
      <c r="Y254">
        <v>0</v>
      </c>
      <c r="Z254">
        <v>0</v>
      </c>
      <c r="AA254">
        <v>0</v>
      </c>
      <c r="AB254">
        <v>0</v>
      </c>
      <c r="AC254">
        <v>0</v>
      </c>
      <c r="AD254">
        <v>0</v>
      </c>
      <c r="AF254">
        <v>0</v>
      </c>
      <c r="AG254">
        <v>0</v>
      </c>
      <c r="AH254">
        <v>0</v>
      </c>
      <c r="AI254">
        <v>0</v>
      </c>
      <c r="AJ254">
        <v>0</v>
      </c>
      <c r="AK254">
        <v>0</v>
      </c>
      <c r="AL254">
        <v>0</v>
      </c>
      <c r="AM254">
        <v>0</v>
      </c>
      <c r="AN254">
        <v>0</v>
      </c>
      <c r="AO254">
        <v>0</v>
      </c>
      <c r="AP254">
        <v>0</v>
      </c>
      <c r="AQ254">
        <v>0</v>
      </c>
      <c r="AR254">
        <v>0</v>
      </c>
      <c r="AS254">
        <v>0</v>
      </c>
      <c r="AT254">
        <v>0</v>
      </c>
      <c r="AU254">
        <v>0</v>
      </c>
      <c r="AV254">
        <v>0</v>
      </c>
      <c r="AW254">
        <v>0</v>
      </c>
      <c r="AX254">
        <v>0</v>
      </c>
      <c r="AY254">
        <v>0</v>
      </c>
      <c r="AZ254">
        <v>0</v>
      </c>
      <c r="BA254">
        <v>0</v>
      </c>
      <c r="BB254">
        <v>0</v>
      </c>
      <c r="BC254">
        <v>0</v>
      </c>
      <c r="BD254">
        <v>0</v>
      </c>
      <c r="BE254">
        <v>0</v>
      </c>
      <c r="BF254">
        <v>0</v>
      </c>
      <c r="BG254">
        <v>0</v>
      </c>
      <c r="BH254">
        <v>0</v>
      </c>
      <c r="BI254">
        <v>0</v>
      </c>
      <c r="BK254" s="151"/>
    </row>
    <row r="255" spans="1:63" x14ac:dyDescent="0.35">
      <c r="A255">
        <v>0</v>
      </c>
      <c r="B255">
        <v>0</v>
      </c>
      <c r="C255">
        <v>0</v>
      </c>
      <c r="D255">
        <v>0</v>
      </c>
      <c r="E255">
        <v>0</v>
      </c>
      <c r="F255">
        <v>0</v>
      </c>
      <c r="G255">
        <v>0</v>
      </c>
      <c r="H255">
        <v>0</v>
      </c>
      <c r="I255">
        <v>0</v>
      </c>
      <c r="J255">
        <v>0</v>
      </c>
      <c r="K255">
        <v>0</v>
      </c>
      <c r="L255">
        <v>0</v>
      </c>
      <c r="M255">
        <v>0</v>
      </c>
      <c r="N255">
        <v>0</v>
      </c>
      <c r="O255">
        <v>0</v>
      </c>
      <c r="P255">
        <v>0</v>
      </c>
      <c r="Q255">
        <v>0</v>
      </c>
      <c r="R255">
        <v>0</v>
      </c>
      <c r="S255">
        <v>0</v>
      </c>
      <c r="T255">
        <v>0</v>
      </c>
      <c r="U255">
        <v>0</v>
      </c>
      <c r="V255">
        <v>0</v>
      </c>
      <c r="W255">
        <v>0</v>
      </c>
      <c r="X255">
        <v>0</v>
      </c>
      <c r="Y255">
        <v>0</v>
      </c>
      <c r="Z255">
        <v>0</v>
      </c>
      <c r="AA255">
        <v>0</v>
      </c>
      <c r="AB255">
        <v>0</v>
      </c>
      <c r="AC255">
        <v>0</v>
      </c>
      <c r="AD255">
        <v>0</v>
      </c>
      <c r="AF255">
        <v>0</v>
      </c>
      <c r="AG255">
        <v>0</v>
      </c>
      <c r="AH255">
        <v>0</v>
      </c>
      <c r="AI255">
        <v>0</v>
      </c>
      <c r="AJ255">
        <v>0</v>
      </c>
      <c r="AK255">
        <v>0</v>
      </c>
      <c r="AL255">
        <v>0</v>
      </c>
      <c r="AM255">
        <v>0</v>
      </c>
      <c r="AN255">
        <v>0</v>
      </c>
      <c r="AO255">
        <v>0</v>
      </c>
      <c r="AP255">
        <v>0</v>
      </c>
      <c r="AQ255">
        <v>0</v>
      </c>
      <c r="AR255">
        <v>0</v>
      </c>
      <c r="AS255">
        <v>0</v>
      </c>
      <c r="AT255">
        <v>0</v>
      </c>
      <c r="AU255">
        <v>0</v>
      </c>
      <c r="AV255">
        <v>0</v>
      </c>
      <c r="AW255">
        <v>0</v>
      </c>
      <c r="AX255">
        <v>0</v>
      </c>
      <c r="AY255">
        <v>0</v>
      </c>
      <c r="AZ255">
        <v>0</v>
      </c>
      <c r="BA255">
        <v>0</v>
      </c>
      <c r="BB255">
        <v>0</v>
      </c>
      <c r="BC255">
        <v>0</v>
      </c>
      <c r="BD255">
        <v>0</v>
      </c>
      <c r="BE255">
        <v>0</v>
      </c>
      <c r="BF255">
        <v>0</v>
      </c>
      <c r="BG255">
        <v>0</v>
      </c>
      <c r="BH255">
        <v>0</v>
      </c>
      <c r="BI255">
        <v>0</v>
      </c>
      <c r="BK255" s="151"/>
    </row>
    <row r="256" spans="1:63" x14ac:dyDescent="0.35">
      <c r="A256">
        <v>0</v>
      </c>
      <c r="B256">
        <v>0</v>
      </c>
      <c r="C256">
        <v>0</v>
      </c>
      <c r="D256">
        <v>0</v>
      </c>
      <c r="E256">
        <v>0</v>
      </c>
      <c r="F256">
        <v>0</v>
      </c>
      <c r="G256">
        <v>0</v>
      </c>
      <c r="H256">
        <v>0</v>
      </c>
      <c r="I256">
        <v>0</v>
      </c>
      <c r="J256">
        <v>0</v>
      </c>
      <c r="K256">
        <v>0</v>
      </c>
      <c r="L256">
        <v>0</v>
      </c>
      <c r="M256">
        <v>0</v>
      </c>
      <c r="N256">
        <v>0</v>
      </c>
      <c r="O256">
        <v>0</v>
      </c>
      <c r="P256">
        <v>0</v>
      </c>
      <c r="Q256">
        <v>0</v>
      </c>
      <c r="R256">
        <v>0</v>
      </c>
      <c r="S256">
        <v>0</v>
      </c>
      <c r="T256">
        <v>0</v>
      </c>
      <c r="U256">
        <v>0</v>
      </c>
      <c r="V256">
        <v>0</v>
      </c>
      <c r="W256">
        <v>0</v>
      </c>
      <c r="X256">
        <v>0</v>
      </c>
      <c r="Y256">
        <v>0</v>
      </c>
      <c r="Z256">
        <v>0</v>
      </c>
      <c r="AA256">
        <v>0</v>
      </c>
      <c r="AB256">
        <v>0</v>
      </c>
      <c r="AC256">
        <v>0</v>
      </c>
      <c r="AD256">
        <v>0</v>
      </c>
      <c r="AF256">
        <v>0</v>
      </c>
      <c r="AG256">
        <v>0</v>
      </c>
      <c r="AH256">
        <v>0</v>
      </c>
      <c r="AI256">
        <v>0</v>
      </c>
      <c r="AJ256">
        <v>0</v>
      </c>
      <c r="AK256">
        <v>0</v>
      </c>
      <c r="AL256">
        <v>0</v>
      </c>
      <c r="AM256">
        <v>0</v>
      </c>
      <c r="AN256">
        <v>0</v>
      </c>
      <c r="AO256">
        <v>0</v>
      </c>
      <c r="AP256">
        <v>0</v>
      </c>
      <c r="AQ256">
        <v>0</v>
      </c>
      <c r="AR256">
        <v>0</v>
      </c>
      <c r="AS256">
        <v>0</v>
      </c>
      <c r="AT256">
        <v>0</v>
      </c>
      <c r="AU256">
        <v>0</v>
      </c>
      <c r="AV256">
        <v>0</v>
      </c>
      <c r="AW256">
        <v>0</v>
      </c>
      <c r="AX256">
        <v>0</v>
      </c>
      <c r="AY256">
        <v>0</v>
      </c>
      <c r="AZ256">
        <v>0</v>
      </c>
      <c r="BA256">
        <v>0</v>
      </c>
      <c r="BB256">
        <v>0</v>
      </c>
      <c r="BC256">
        <v>0</v>
      </c>
      <c r="BD256">
        <v>0</v>
      </c>
      <c r="BE256">
        <v>0</v>
      </c>
      <c r="BF256">
        <v>0</v>
      </c>
      <c r="BG256">
        <v>0</v>
      </c>
      <c r="BH256">
        <v>0</v>
      </c>
      <c r="BI256">
        <v>0</v>
      </c>
      <c r="BK256" s="151"/>
    </row>
    <row r="257" spans="1:63" x14ac:dyDescent="0.35">
      <c r="A257">
        <v>0</v>
      </c>
      <c r="B257">
        <v>0</v>
      </c>
      <c r="C257">
        <v>0</v>
      </c>
      <c r="D257">
        <v>0</v>
      </c>
      <c r="E257">
        <v>0</v>
      </c>
      <c r="F257">
        <v>0</v>
      </c>
      <c r="G257">
        <v>0</v>
      </c>
      <c r="H257">
        <v>0</v>
      </c>
      <c r="I257">
        <v>0</v>
      </c>
      <c r="J257">
        <v>0</v>
      </c>
      <c r="K257">
        <v>0</v>
      </c>
      <c r="L257">
        <v>0</v>
      </c>
      <c r="M257">
        <v>0</v>
      </c>
      <c r="N257">
        <v>0</v>
      </c>
      <c r="O257">
        <v>0</v>
      </c>
      <c r="P257">
        <v>0</v>
      </c>
      <c r="Q257">
        <v>0</v>
      </c>
      <c r="R257">
        <v>0</v>
      </c>
      <c r="S257">
        <v>0</v>
      </c>
      <c r="T257">
        <v>0</v>
      </c>
      <c r="U257">
        <v>0</v>
      </c>
      <c r="V257">
        <v>0</v>
      </c>
      <c r="W257">
        <v>0</v>
      </c>
      <c r="X257">
        <v>0</v>
      </c>
      <c r="Y257">
        <v>0</v>
      </c>
      <c r="Z257">
        <v>0</v>
      </c>
      <c r="AA257">
        <v>0</v>
      </c>
      <c r="AB257">
        <v>0</v>
      </c>
      <c r="AC257">
        <v>0</v>
      </c>
      <c r="AD257">
        <v>0</v>
      </c>
      <c r="AF257">
        <v>0</v>
      </c>
      <c r="AG257">
        <v>0</v>
      </c>
      <c r="AH257">
        <v>0</v>
      </c>
      <c r="AI257">
        <v>0</v>
      </c>
      <c r="AJ257">
        <v>0</v>
      </c>
      <c r="AK257">
        <v>0</v>
      </c>
      <c r="AL257">
        <v>0</v>
      </c>
      <c r="AM257">
        <v>0</v>
      </c>
      <c r="AN257">
        <v>0</v>
      </c>
      <c r="AO257">
        <v>0</v>
      </c>
      <c r="AP257">
        <v>0</v>
      </c>
      <c r="AQ257">
        <v>0</v>
      </c>
      <c r="AR257">
        <v>0</v>
      </c>
      <c r="AS257">
        <v>0</v>
      </c>
      <c r="AT257">
        <v>0</v>
      </c>
      <c r="AU257">
        <v>0</v>
      </c>
      <c r="AV257">
        <v>0</v>
      </c>
      <c r="AW257">
        <v>0</v>
      </c>
      <c r="AX257">
        <v>0</v>
      </c>
      <c r="AY257">
        <v>0</v>
      </c>
      <c r="AZ257">
        <v>0</v>
      </c>
      <c r="BA257">
        <v>0</v>
      </c>
      <c r="BB257">
        <v>0</v>
      </c>
      <c r="BC257">
        <v>0</v>
      </c>
      <c r="BD257">
        <v>0</v>
      </c>
      <c r="BE257">
        <v>0</v>
      </c>
      <c r="BF257">
        <v>0</v>
      </c>
      <c r="BG257">
        <v>0</v>
      </c>
      <c r="BH257">
        <v>0</v>
      </c>
      <c r="BI257">
        <v>0</v>
      </c>
      <c r="BK257" s="151"/>
    </row>
    <row r="258" spans="1:63" x14ac:dyDescent="0.35">
      <c r="A258">
        <v>0</v>
      </c>
      <c r="B258">
        <v>0</v>
      </c>
      <c r="C258">
        <v>0</v>
      </c>
      <c r="D258">
        <v>0</v>
      </c>
      <c r="E258">
        <v>0</v>
      </c>
      <c r="F258">
        <v>0</v>
      </c>
      <c r="G258">
        <v>0</v>
      </c>
      <c r="H258">
        <v>0</v>
      </c>
      <c r="I258">
        <v>0</v>
      </c>
      <c r="J258">
        <v>0</v>
      </c>
      <c r="K258">
        <v>0</v>
      </c>
      <c r="L258">
        <v>0</v>
      </c>
      <c r="M258">
        <v>0</v>
      </c>
      <c r="N258">
        <v>0</v>
      </c>
      <c r="O258">
        <v>0</v>
      </c>
      <c r="P258">
        <v>0</v>
      </c>
      <c r="Q258">
        <v>0</v>
      </c>
      <c r="R258">
        <v>0</v>
      </c>
      <c r="S258">
        <v>0</v>
      </c>
      <c r="T258">
        <v>0</v>
      </c>
      <c r="U258">
        <v>0</v>
      </c>
      <c r="V258">
        <v>0</v>
      </c>
      <c r="W258">
        <v>0</v>
      </c>
      <c r="X258">
        <v>0</v>
      </c>
      <c r="Y258">
        <v>0</v>
      </c>
      <c r="Z258">
        <v>0</v>
      </c>
      <c r="AA258">
        <v>0</v>
      </c>
      <c r="AB258">
        <v>0</v>
      </c>
      <c r="AC258">
        <v>0</v>
      </c>
      <c r="AD258">
        <v>0</v>
      </c>
      <c r="AF258">
        <v>0</v>
      </c>
      <c r="AG258">
        <v>0</v>
      </c>
      <c r="AH258">
        <v>0</v>
      </c>
      <c r="AI258">
        <v>0</v>
      </c>
      <c r="AJ258">
        <v>0</v>
      </c>
      <c r="AK258">
        <v>0</v>
      </c>
      <c r="AL258">
        <v>0</v>
      </c>
      <c r="AM258">
        <v>0</v>
      </c>
      <c r="AN258">
        <v>0</v>
      </c>
      <c r="AO258">
        <v>0</v>
      </c>
      <c r="AP258">
        <v>0</v>
      </c>
      <c r="AQ258">
        <v>0</v>
      </c>
      <c r="AR258">
        <v>0</v>
      </c>
      <c r="AS258">
        <v>0</v>
      </c>
      <c r="AT258">
        <v>0</v>
      </c>
      <c r="AU258">
        <v>0</v>
      </c>
      <c r="AV258">
        <v>0</v>
      </c>
      <c r="AW258">
        <v>0</v>
      </c>
      <c r="AX258">
        <v>0</v>
      </c>
      <c r="AY258">
        <v>0</v>
      </c>
      <c r="AZ258">
        <v>0</v>
      </c>
      <c r="BA258">
        <v>0</v>
      </c>
      <c r="BB258">
        <v>0</v>
      </c>
      <c r="BC258">
        <v>0</v>
      </c>
      <c r="BD258">
        <v>0</v>
      </c>
      <c r="BE258">
        <v>0</v>
      </c>
      <c r="BF258">
        <v>0</v>
      </c>
      <c r="BG258">
        <v>0</v>
      </c>
      <c r="BH258">
        <v>0</v>
      </c>
      <c r="BI258">
        <v>0</v>
      </c>
      <c r="BK258" s="151"/>
    </row>
    <row r="259" spans="1:63" x14ac:dyDescent="0.35">
      <c r="A259">
        <v>0</v>
      </c>
      <c r="B259">
        <v>0</v>
      </c>
      <c r="C259">
        <v>0</v>
      </c>
      <c r="D259">
        <v>0</v>
      </c>
      <c r="E259">
        <v>0</v>
      </c>
      <c r="F259">
        <v>0</v>
      </c>
      <c r="G259">
        <v>0</v>
      </c>
      <c r="H259">
        <v>0</v>
      </c>
      <c r="I259">
        <v>0</v>
      </c>
      <c r="J259">
        <v>0</v>
      </c>
      <c r="K259">
        <v>0</v>
      </c>
      <c r="L259">
        <v>0</v>
      </c>
      <c r="M259">
        <v>0</v>
      </c>
      <c r="N259">
        <v>0</v>
      </c>
      <c r="O259">
        <v>0</v>
      </c>
      <c r="P259">
        <v>0</v>
      </c>
      <c r="Q259">
        <v>0</v>
      </c>
      <c r="R259">
        <v>0</v>
      </c>
      <c r="S259">
        <v>0</v>
      </c>
      <c r="T259">
        <v>0</v>
      </c>
      <c r="U259">
        <v>0</v>
      </c>
      <c r="V259">
        <v>0</v>
      </c>
      <c r="W259">
        <v>0</v>
      </c>
      <c r="X259">
        <v>0</v>
      </c>
      <c r="Y259">
        <v>0</v>
      </c>
      <c r="Z259">
        <v>0</v>
      </c>
      <c r="AA259">
        <v>0</v>
      </c>
      <c r="AB259">
        <v>0</v>
      </c>
      <c r="AC259">
        <v>0</v>
      </c>
      <c r="AD259">
        <v>0</v>
      </c>
      <c r="AF259">
        <v>0</v>
      </c>
      <c r="AG259">
        <v>0</v>
      </c>
      <c r="AH259">
        <v>0</v>
      </c>
      <c r="AI259">
        <v>0</v>
      </c>
      <c r="AJ259">
        <v>0</v>
      </c>
      <c r="AK259">
        <v>0</v>
      </c>
      <c r="AL259">
        <v>0</v>
      </c>
      <c r="AM259">
        <v>0</v>
      </c>
      <c r="AN259">
        <v>0</v>
      </c>
      <c r="AO259">
        <v>0</v>
      </c>
      <c r="AP259">
        <v>0</v>
      </c>
      <c r="AQ259">
        <v>0</v>
      </c>
      <c r="AR259">
        <v>0</v>
      </c>
      <c r="AS259">
        <v>0</v>
      </c>
      <c r="AT259">
        <v>0</v>
      </c>
      <c r="AU259">
        <v>0</v>
      </c>
      <c r="AV259">
        <v>0</v>
      </c>
      <c r="AW259">
        <v>0</v>
      </c>
      <c r="AX259">
        <v>0</v>
      </c>
      <c r="AY259">
        <v>0</v>
      </c>
      <c r="AZ259">
        <v>0</v>
      </c>
      <c r="BA259">
        <v>0</v>
      </c>
      <c r="BB259">
        <v>0</v>
      </c>
      <c r="BC259">
        <v>0</v>
      </c>
      <c r="BD259">
        <v>0</v>
      </c>
      <c r="BE259">
        <v>0</v>
      </c>
      <c r="BF259">
        <v>0</v>
      </c>
      <c r="BG259">
        <v>0</v>
      </c>
      <c r="BH259">
        <v>0</v>
      </c>
      <c r="BI259">
        <v>0</v>
      </c>
      <c r="BK259" s="151"/>
    </row>
    <row r="260" spans="1:63" x14ac:dyDescent="0.35">
      <c r="A260">
        <v>0</v>
      </c>
      <c r="B260">
        <v>0</v>
      </c>
      <c r="C260">
        <v>0</v>
      </c>
      <c r="D260">
        <v>0</v>
      </c>
      <c r="E260">
        <v>0</v>
      </c>
      <c r="F260">
        <v>0</v>
      </c>
      <c r="G260">
        <v>0</v>
      </c>
      <c r="H260">
        <v>0</v>
      </c>
      <c r="I260">
        <v>0</v>
      </c>
      <c r="J260">
        <v>0</v>
      </c>
      <c r="K260">
        <v>0</v>
      </c>
      <c r="L260">
        <v>0</v>
      </c>
      <c r="M260">
        <v>0</v>
      </c>
      <c r="N260">
        <v>0</v>
      </c>
      <c r="O260">
        <v>0</v>
      </c>
      <c r="P260">
        <v>0</v>
      </c>
      <c r="Q260">
        <v>0</v>
      </c>
      <c r="R260">
        <v>0</v>
      </c>
      <c r="S260">
        <v>0</v>
      </c>
      <c r="T260">
        <v>0</v>
      </c>
      <c r="U260">
        <v>0</v>
      </c>
      <c r="V260">
        <v>0</v>
      </c>
      <c r="W260">
        <v>0</v>
      </c>
      <c r="X260">
        <v>0</v>
      </c>
      <c r="Y260">
        <v>0</v>
      </c>
      <c r="Z260">
        <v>0</v>
      </c>
      <c r="AA260">
        <v>0</v>
      </c>
      <c r="AB260">
        <v>0</v>
      </c>
      <c r="AC260">
        <v>0</v>
      </c>
      <c r="AD260">
        <v>0</v>
      </c>
      <c r="AF260">
        <v>0</v>
      </c>
      <c r="AG260">
        <v>0</v>
      </c>
      <c r="AH260">
        <v>0</v>
      </c>
      <c r="AI260">
        <v>0</v>
      </c>
      <c r="AJ260">
        <v>0</v>
      </c>
      <c r="AK260">
        <v>0</v>
      </c>
      <c r="AL260">
        <v>0</v>
      </c>
      <c r="AM260">
        <v>0</v>
      </c>
      <c r="AN260">
        <v>0</v>
      </c>
      <c r="AO260">
        <v>0</v>
      </c>
      <c r="AP260">
        <v>0</v>
      </c>
      <c r="AQ260">
        <v>0</v>
      </c>
      <c r="AR260">
        <v>0</v>
      </c>
      <c r="AS260">
        <v>0</v>
      </c>
      <c r="AT260">
        <v>0</v>
      </c>
      <c r="AU260">
        <v>0</v>
      </c>
      <c r="AV260">
        <v>0</v>
      </c>
      <c r="AW260">
        <v>0</v>
      </c>
      <c r="AX260">
        <v>0</v>
      </c>
      <c r="AY260">
        <v>0</v>
      </c>
      <c r="AZ260">
        <v>0</v>
      </c>
      <c r="BA260">
        <v>0</v>
      </c>
      <c r="BB260">
        <v>0</v>
      </c>
      <c r="BC260">
        <v>0</v>
      </c>
      <c r="BD260">
        <v>0</v>
      </c>
      <c r="BE260">
        <v>0</v>
      </c>
      <c r="BF260">
        <v>0</v>
      </c>
      <c r="BG260">
        <v>0</v>
      </c>
      <c r="BH260">
        <v>0</v>
      </c>
      <c r="BI260">
        <v>0</v>
      </c>
      <c r="BK260" s="151"/>
    </row>
    <row r="261" spans="1:63" x14ac:dyDescent="0.35">
      <c r="A261">
        <v>0</v>
      </c>
      <c r="B261">
        <v>0</v>
      </c>
      <c r="C261">
        <v>0</v>
      </c>
      <c r="D261">
        <v>0</v>
      </c>
      <c r="E261">
        <v>0</v>
      </c>
      <c r="F261">
        <v>0</v>
      </c>
      <c r="G261">
        <v>0</v>
      </c>
      <c r="H261">
        <v>0</v>
      </c>
      <c r="I261">
        <v>0</v>
      </c>
      <c r="J261">
        <v>0</v>
      </c>
      <c r="K261">
        <v>0</v>
      </c>
      <c r="L261">
        <v>0</v>
      </c>
      <c r="M261">
        <v>0</v>
      </c>
      <c r="N261">
        <v>0</v>
      </c>
      <c r="O261">
        <v>0</v>
      </c>
      <c r="P261">
        <v>0</v>
      </c>
      <c r="Q261">
        <v>0</v>
      </c>
      <c r="R261">
        <v>0</v>
      </c>
      <c r="S261">
        <v>0</v>
      </c>
      <c r="T261">
        <v>0</v>
      </c>
      <c r="U261">
        <v>0</v>
      </c>
      <c r="V261">
        <v>0</v>
      </c>
      <c r="W261">
        <v>0</v>
      </c>
      <c r="X261">
        <v>0</v>
      </c>
      <c r="Y261">
        <v>0</v>
      </c>
      <c r="Z261">
        <v>0</v>
      </c>
      <c r="AA261">
        <v>0</v>
      </c>
      <c r="AB261">
        <v>0</v>
      </c>
      <c r="AC261">
        <v>0</v>
      </c>
      <c r="AD261">
        <v>0</v>
      </c>
      <c r="AF261">
        <v>0</v>
      </c>
      <c r="AG261">
        <v>0</v>
      </c>
      <c r="AH261">
        <v>0</v>
      </c>
      <c r="AI261">
        <v>0</v>
      </c>
      <c r="AJ261">
        <v>0</v>
      </c>
      <c r="AK261">
        <v>0</v>
      </c>
      <c r="AL261">
        <v>0</v>
      </c>
      <c r="AM261">
        <v>0</v>
      </c>
      <c r="AN261">
        <v>0</v>
      </c>
      <c r="AO261">
        <v>0</v>
      </c>
      <c r="AP261">
        <v>0</v>
      </c>
      <c r="AQ261">
        <v>0</v>
      </c>
      <c r="AR261">
        <v>0</v>
      </c>
      <c r="AS261">
        <v>0</v>
      </c>
      <c r="AT261">
        <v>0</v>
      </c>
      <c r="AU261">
        <v>0</v>
      </c>
      <c r="AV261">
        <v>0</v>
      </c>
      <c r="AW261">
        <v>0</v>
      </c>
      <c r="AX261">
        <v>0</v>
      </c>
      <c r="AY261">
        <v>0</v>
      </c>
      <c r="AZ261">
        <v>0</v>
      </c>
      <c r="BA261">
        <v>0</v>
      </c>
      <c r="BB261">
        <v>0</v>
      </c>
      <c r="BC261">
        <v>0</v>
      </c>
      <c r="BD261">
        <v>0</v>
      </c>
      <c r="BE261">
        <v>0</v>
      </c>
      <c r="BF261">
        <v>0</v>
      </c>
      <c r="BG261">
        <v>0</v>
      </c>
      <c r="BH261">
        <v>0</v>
      </c>
      <c r="BI261">
        <v>0</v>
      </c>
      <c r="BK261" s="151"/>
    </row>
    <row r="262" spans="1:63" x14ac:dyDescent="0.35">
      <c r="A262">
        <v>0</v>
      </c>
      <c r="B262">
        <v>0</v>
      </c>
      <c r="C262">
        <v>0</v>
      </c>
      <c r="D262">
        <v>0</v>
      </c>
      <c r="E262">
        <v>0</v>
      </c>
      <c r="F262">
        <v>0</v>
      </c>
      <c r="G262">
        <v>0</v>
      </c>
      <c r="H262">
        <v>0</v>
      </c>
      <c r="I262">
        <v>0</v>
      </c>
      <c r="J262">
        <v>0</v>
      </c>
      <c r="K262">
        <v>0</v>
      </c>
      <c r="L262">
        <v>0</v>
      </c>
      <c r="M262">
        <v>0</v>
      </c>
      <c r="N262">
        <v>0</v>
      </c>
      <c r="O262">
        <v>0</v>
      </c>
      <c r="P262">
        <v>0</v>
      </c>
      <c r="Q262">
        <v>0</v>
      </c>
      <c r="R262">
        <v>0</v>
      </c>
      <c r="S262">
        <v>0</v>
      </c>
      <c r="T262">
        <v>0</v>
      </c>
      <c r="U262">
        <v>0</v>
      </c>
      <c r="V262">
        <v>0</v>
      </c>
      <c r="W262">
        <v>0</v>
      </c>
      <c r="X262">
        <v>0</v>
      </c>
      <c r="Y262">
        <v>0</v>
      </c>
      <c r="Z262">
        <v>0</v>
      </c>
      <c r="AA262">
        <v>0</v>
      </c>
      <c r="AB262">
        <v>0</v>
      </c>
      <c r="AC262">
        <v>0</v>
      </c>
      <c r="AD262">
        <v>0</v>
      </c>
      <c r="AF262">
        <v>0</v>
      </c>
      <c r="AG262">
        <v>0</v>
      </c>
      <c r="AH262">
        <v>0</v>
      </c>
      <c r="AI262">
        <v>0</v>
      </c>
      <c r="AJ262">
        <v>0</v>
      </c>
      <c r="AK262">
        <v>0</v>
      </c>
      <c r="AL262">
        <v>0</v>
      </c>
      <c r="AM262">
        <v>0</v>
      </c>
      <c r="AN262">
        <v>0</v>
      </c>
      <c r="AO262">
        <v>0</v>
      </c>
      <c r="AP262">
        <v>0</v>
      </c>
      <c r="AQ262">
        <v>0</v>
      </c>
      <c r="AR262">
        <v>0</v>
      </c>
      <c r="AS262">
        <v>0</v>
      </c>
      <c r="AT262">
        <v>0</v>
      </c>
      <c r="AU262">
        <v>0</v>
      </c>
      <c r="AV262">
        <v>0</v>
      </c>
      <c r="AW262">
        <v>0</v>
      </c>
      <c r="AX262">
        <v>0</v>
      </c>
      <c r="AY262">
        <v>0</v>
      </c>
      <c r="AZ262">
        <v>0</v>
      </c>
      <c r="BA262">
        <v>0</v>
      </c>
      <c r="BB262">
        <v>0</v>
      </c>
      <c r="BC262">
        <v>0</v>
      </c>
      <c r="BD262">
        <v>0</v>
      </c>
      <c r="BE262">
        <v>0</v>
      </c>
      <c r="BF262">
        <v>0</v>
      </c>
      <c r="BG262">
        <v>0</v>
      </c>
      <c r="BH262">
        <v>0</v>
      </c>
      <c r="BI262">
        <v>0</v>
      </c>
      <c r="BK262" s="151"/>
    </row>
    <row r="263" spans="1:63" x14ac:dyDescent="0.35">
      <c r="A263">
        <v>0</v>
      </c>
      <c r="B263">
        <v>0</v>
      </c>
      <c r="C263">
        <v>0</v>
      </c>
      <c r="D263">
        <v>0</v>
      </c>
      <c r="E263">
        <v>0</v>
      </c>
      <c r="F263">
        <v>0</v>
      </c>
      <c r="G263">
        <v>0</v>
      </c>
      <c r="H263">
        <v>0</v>
      </c>
      <c r="I263">
        <v>0</v>
      </c>
      <c r="J263">
        <v>0</v>
      </c>
      <c r="K263">
        <v>0</v>
      </c>
      <c r="L263">
        <v>0</v>
      </c>
      <c r="M263">
        <v>0</v>
      </c>
      <c r="N263">
        <v>0</v>
      </c>
      <c r="O263">
        <v>0</v>
      </c>
      <c r="P263">
        <v>0</v>
      </c>
      <c r="Q263">
        <v>0</v>
      </c>
      <c r="R263">
        <v>0</v>
      </c>
      <c r="S263">
        <v>0</v>
      </c>
      <c r="T263">
        <v>0</v>
      </c>
      <c r="U263">
        <v>0</v>
      </c>
      <c r="V263">
        <v>0</v>
      </c>
      <c r="W263">
        <v>0</v>
      </c>
      <c r="X263">
        <v>0</v>
      </c>
      <c r="Y263">
        <v>0</v>
      </c>
      <c r="Z263">
        <v>0</v>
      </c>
      <c r="AA263">
        <v>0</v>
      </c>
      <c r="AB263">
        <v>0</v>
      </c>
      <c r="AC263">
        <v>0</v>
      </c>
      <c r="AD263">
        <v>0</v>
      </c>
      <c r="AF263">
        <v>0</v>
      </c>
      <c r="AG263">
        <v>0</v>
      </c>
      <c r="AH263">
        <v>0</v>
      </c>
      <c r="AI263">
        <v>0</v>
      </c>
      <c r="AJ263">
        <v>0</v>
      </c>
      <c r="AK263">
        <v>0</v>
      </c>
      <c r="AL263">
        <v>0</v>
      </c>
      <c r="AM263">
        <v>0</v>
      </c>
      <c r="AN263">
        <v>0</v>
      </c>
      <c r="AO263">
        <v>0</v>
      </c>
      <c r="AP263">
        <v>0</v>
      </c>
      <c r="AQ263">
        <v>0</v>
      </c>
      <c r="AR263">
        <v>0</v>
      </c>
      <c r="AS263">
        <v>0</v>
      </c>
      <c r="AT263">
        <v>0</v>
      </c>
      <c r="AU263">
        <v>0</v>
      </c>
      <c r="AV263">
        <v>0</v>
      </c>
      <c r="AW263">
        <v>0</v>
      </c>
      <c r="AX263">
        <v>0</v>
      </c>
      <c r="AY263">
        <v>0</v>
      </c>
      <c r="AZ263">
        <v>0</v>
      </c>
      <c r="BA263">
        <v>0</v>
      </c>
      <c r="BB263">
        <v>0</v>
      </c>
      <c r="BC263">
        <v>0</v>
      </c>
      <c r="BD263">
        <v>0</v>
      </c>
      <c r="BE263">
        <v>0</v>
      </c>
      <c r="BF263">
        <v>0</v>
      </c>
      <c r="BG263">
        <v>0</v>
      </c>
      <c r="BH263">
        <v>0</v>
      </c>
      <c r="BI263">
        <v>0</v>
      </c>
      <c r="BK263" s="151"/>
    </row>
    <row r="264" spans="1:63" x14ac:dyDescent="0.35">
      <c r="A264">
        <v>0</v>
      </c>
      <c r="B264">
        <v>0</v>
      </c>
      <c r="C264">
        <v>0</v>
      </c>
      <c r="D264">
        <v>0</v>
      </c>
      <c r="E264">
        <v>0</v>
      </c>
      <c r="F264">
        <v>0</v>
      </c>
      <c r="G264">
        <v>0</v>
      </c>
      <c r="H264">
        <v>0</v>
      </c>
      <c r="I264">
        <v>0</v>
      </c>
      <c r="J264">
        <v>0</v>
      </c>
      <c r="K264">
        <v>0</v>
      </c>
      <c r="L264">
        <v>0</v>
      </c>
      <c r="M264">
        <v>0</v>
      </c>
      <c r="N264">
        <v>0</v>
      </c>
      <c r="O264">
        <v>0</v>
      </c>
      <c r="P264">
        <v>0</v>
      </c>
      <c r="Q264">
        <v>0</v>
      </c>
      <c r="R264">
        <v>0</v>
      </c>
      <c r="S264">
        <v>0</v>
      </c>
      <c r="T264">
        <v>0</v>
      </c>
      <c r="U264">
        <v>0</v>
      </c>
      <c r="V264">
        <v>0</v>
      </c>
      <c r="W264">
        <v>0</v>
      </c>
      <c r="X264">
        <v>0</v>
      </c>
      <c r="Y264">
        <v>0</v>
      </c>
      <c r="Z264">
        <v>0</v>
      </c>
      <c r="AA264">
        <v>0</v>
      </c>
      <c r="AB264">
        <v>0</v>
      </c>
      <c r="AC264">
        <v>0</v>
      </c>
      <c r="AD264">
        <v>0</v>
      </c>
      <c r="AF264">
        <v>0</v>
      </c>
      <c r="AG264">
        <v>0</v>
      </c>
      <c r="AH264">
        <v>0</v>
      </c>
      <c r="AI264">
        <v>0</v>
      </c>
      <c r="AJ264">
        <v>0</v>
      </c>
      <c r="AK264">
        <v>0</v>
      </c>
      <c r="AL264">
        <v>0</v>
      </c>
      <c r="AM264">
        <v>0</v>
      </c>
      <c r="AN264">
        <v>0</v>
      </c>
      <c r="AO264">
        <v>0</v>
      </c>
      <c r="AP264">
        <v>0</v>
      </c>
      <c r="AQ264">
        <v>0</v>
      </c>
      <c r="AR264">
        <v>0</v>
      </c>
      <c r="AS264">
        <v>0</v>
      </c>
      <c r="AT264">
        <v>0</v>
      </c>
      <c r="AU264">
        <v>0</v>
      </c>
      <c r="AV264">
        <v>0</v>
      </c>
      <c r="AW264">
        <v>0</v>
      </c>
      <c r="AX264">
        <v>0</v>
      </c>
      <c r="AY264">
        <v>0</v>
      </c>
      <c r="AZ264">
        <v>0</v>
      </c>
      <c r="BA264">
        <v>0</v>
      </c>
      <c r="BB264">
        <v>0</v>
      </c>
      <c r="BC264">
        <v>0</v>
      </c>
      <c r="BD264">
        <v>0</v>
      </c>
      <c r="BE264">
        <v>0</v>
      </c>
      <c r="BF264">
        <v>0</v>
      </c>
      <c r="BG264">
        <v>0</v>
      </c>
      <c r="BH264">
        <v>0</v>
      </c>
      <c r="BI264">
        <v>0</v>
      </c>
      <c r="BK264" s="151"/>
    </row>
    <row r="265" spans="1:63" x14ac:dyDescent="0.35">
      <c r="A265">
        <v>0</v>
      </c>
      <c r="B265">
        <v>0</v>
      </c>
      <c r="C265">
        <v>0</v>
      </c>
      <c r="D265">
        <v>0</v>
      </c>
      <c r="E265">
        <v>0</v>
      </c>
      <c r="F265">
        <v>0</v>
      </c>
      <c r="G265">
        <v>0</v>
      </c>
      <c r="H265">
        <v>0</v>
      </c>
      <c r="I265">
        <v>0</v>
      </c>
      <c r="J265">
        <v>0</v>
      </c>
      <c r="K265">
        <v>0</v>
      </c>
      <c r="L265">
        <v>0</v>
      </c>
      <c r="M265">
        <v>0</v>
      </c>
      <c r="N265">
        <v>0</v>
      </c>
      <c r="O265">
        <v>0</v>
      </c>
      <c r="P265">
        <v>0</v>
      </c>
      <c r="Q265">
        <v>0</v>
      </c>
      <c r="R265">
        <v>0</v>
      </c>
      <c r="S265">
        <v>0</v>
      </c>
      <c r="T265">
        <v>0</v>
      </c>
      <c r="U265">
        <v>0</v>
      </c>
      <c r="V265">
        <v>0</v>
      </c>
      <c r="W265">
        <v>0</v>
      </c>
      <c r="X265">
        <v>0</v>
      </c>
      <c r="Y265">
        <v>0</v>
      </c>
      <c r="Z265">
        <v>0</v>
      </c>
      <c r="AA265">
        <v>0</v>
      </c>
      <c r="AB265">
        <v>0</v>
      </c>
      <c r="AC265">
        <v>0</v>
      </c>
      <c r="AD265">
        <v>0</v>
      </c>
      <c r="AF265">
        <v>0</v>
      </c>
      <c r="AG265">
        <v>0</v>
      </c>
      <c r="AH265">
        <v>0</v>
      </c>
      <c r="AI265">
        <v>0</v>
      </c>
      <c r="AJ265">
        <v>0</v>
      </c>
      <c r="AK265">
        <v>0</v>
      </c>
      <c r="AL265">
        <v>0</v>
      </c>
      <c r="AM265">
        <v>0</v>
      </c>
      <c r="AN265">
        <v>0</v>
      </c>
      <c r="AO265">
        <v>0</v>
      </c>
      <c r="AP265">
        <v>0</v>
      </c>
      <c r="AQ265">
        <v>0</v>
      </c>
      <c r="AR265">
        <v>0</v>
      </c>
      <c r="AS265">
        <v>0</v>
      </c>
      <c r="AT265">
        <v>0</v>
      </c>
      <c r="AU265">
        <v>0</v>
      </c>
      <c r="AV265">
        <v>0</v>
      </c>
      <c r="AW265">
        <v>0</v>
      </c>
      <c r="AX265">
        <v>0</v>
      </c>
      <c r="AY265">
        <v>0</v>
      </c>
      <c r="AZ265">
        <v>0</v>
      </c>
      <c r="BA265">
        <v>0</v>
      </c>
      <c r="BB265">
        <v>0</v>
      </c>
      <c r="BC265">
        <v>0</v>
      </c>
      <c r="BD265">
        <v>0</v>
      </c>
      <c r="BE265">
        <v>0</v>
      </c>
      <c r="BF265">
        <v>0</v>
      </c>
      <c r="BG265">
        <v>0</v>
      </c>
      <c r="BH265">
        <v>0</v>
      </c>
      <c r="BI265">
        <v>0</v>
      </c>
      <c r="BK265" s="151"/>
    </row>
    <row r="266" spans="1:63" x14ac:dyDescent="0.35">
      <c r="A266">
        <v>0</v>
      </c>
      <c r="B266">
        <v>0</v>
      </c>
      <c r="C266">
        <v>0</v>
      </c>
      <c r="D266">
        <v>0</v>
      </c>
      <c r="E266">
        <v>0</v>
      </c>
      <c r="F266">
        <v>0</v>
      </c>
      <c r="G266">
        <v>0</v>
      </c>
      <c r="H266">
        <v>0</v>
      </c>
      <c r="I266">
        <v>0</v>
      </c>
      <c r="J266">
        <v>0</v>
      </c>
      <c r="K266">
        <v>0</v>
      </c>
      <c r="L266">
        <v>0</v>
      </c>
      <c r="M266">
        <v>0</v>
      </c>
      <c r="N266">
        <v>0</v>
      </c>
      <c r="O266">
        <v>0</v>
      </c>
      <c r="P266">
        <v>0</v>
      </c>
      <c r="Q266">
        <v>0</v>
      </c>
      <c r="R266">
        <v>0</v>
      </c>
      <c r="S266">
        <v>0</v>
      </c>
      <c r="T266">
        <v>0</v>
      </c>
      <c r="U266">
        <v>0</v>
      </c>
      <c r="V266">
        <v>0</v>
      </c>
      <c r="W266">
        <v>0</v>
      </c>
      <c r="X266">
        <v>0</v>
      </c>
      <c r="Y266">
        <v>0</v>
      </c>
      <c r="Z266">
        <v>0</v>
      </c>
      <c r="AA266">
        <v>0</v>
      </c>
      <c r="AB266">
        <v>0</v>
      </c>
      <c r="AC266">
        <v>0</v>
      </c>
      <c r="AD266">
        <v>0</v>
      </c>
      <c r="AF266">
        <v>0</v>
      </c>
      <c r="AG266">
        <v>0</v>
      </c>
      <c r="AH266">
        <v>0</v>
      </c>
      <c r="AI266">
        <v>0</v>
      </c>
      <c r="AJ266">
        <v>0</v>
      </c>
      <c r="AK266">
        <v>0</v>
      </c>
      <c r="AL266">
        <v>0</v>
      </c>
      <c r="AM266">
        <v>0</v>
      </c>
      <c r="AN266">
        <v>0</v>
      </c>
      <c r="AO266">
        <v>0</v>
      </c>
      <c r="AP266">
        <v>0</v>
      </c>
      <c r="AQ266">
        <v>0</v>
      </c>
      <c r="AR266">
        <v>0</v>
      </c>
      <c r="AS266">
        <v>0</v>
      </c>
      <c r="AT266">
        <v>0</v>
      </c>
      <c r="AU266">
        <v>0</v>
      </c>
      <c r="AV266">
        <v>0</v>
      </c>
      <c r="AW266">
        <v>0</v>
      </c>
      <c r="AX266">
        <v>0</v>
      </c>
      <c r="AY266">
        <v>0</v>
      </c>
      <c r="AZ266">
        <v>0</v>
      </c>
      <c r="BA266">
        <v>0</v>
      </c>
      <c r="BB266">
        <v>0</v>
      </c>
      <c r="BC266">
        <v>0</v>
      </c>
      <c r="BD266">
        <v>0</v>
      </c>
      <c r="BE266">
        <v>0</v>
      </c>
      <c r="BF266">
        <v>0</v>
      </c>
      <c r="BG266">
        <v>0</v>
      </c>
      <c r="BH266">
        <v>0</v>
      </c>
      <c r="BI266">
        <v>0</v>
      </c>
      <c r="BK266" s="151"/>
    </row>
    <row r="267" spans="1:63" x14ac:dyDescent="0.35">
      <c r="A267">
        <v>0</v>
      </c>
      <c r="B267">
        <v>0</v>
      </c>
      <c r="C267">
        <v>0</v>
      </c>
      <c r="D267">
        <v>0</v>
      </c>
      <c r="E267">
        <v>0</v>
      </c>
      <c r="F267">
        <v>0</v>
      </c>
      <c r="G267">
        <v>0</v>
      </c>
      <c r="H267">
        <v>0</v>
      </c>
      <c r="I267">
        <v>0</v>
      </c>
      <c r="J267">
        <v>0</v>
      </c>
      <c r="K267">
        <v>0</v>
      </c>
      <c r="L267">
        <v>0</v>
      </c>
      <c r="M267">
        <v>0</v>
      </c>
      <c r="N267">
        <v>0</v>
      </c>
      <c r="O267">
        <v>0</v>
      </c>
      <c r="P267">
        <v>0</v>
      </c>
      <c r="Q267">
        <v>0</v>
      </c>
      <c r="R267">
        <v>0</v>
      </c>
      <c r="S267">
        <v>0</v>
      </c>
      <c r="T267">
        <v>0</v>
      </c>
      <c r="U267">
        <v>0</v>
      </c>
      <c r="V267">
        <v>0</v>
      </c>
      <c r="W267">
        <v>0</v>
      </c>
      <c r="X267">
        <v>0</v>
      </c>
      <c r="Y267">
        <v>0</v>
      </c>
      <c r="Z267">
        <v>0</v>
      </c>
      <c r="AA267">
        <v>0</v>
      </c>
      <c r="AB267">
        <v>0</v>
      </c>
      <c r="AC267">
        <v>0</v>
      </c>
      <c r="AD267">
        <v>0</v>
      </c>
      <c r="AF267">
        <v>0</v>
      </c>
      <c r="AG267">
        <v>0</v>
      </c>
      <c r="AH267">
        <v>0</v>
      </c>
      <c r="AI267">
        <v>0</v>
      </c>
      <c r="AJ267">
        <v>0</v>
      </c>
      <c r="AK267">
        <v>0</v>
      </c>
      <c r="AL267">
        <v>0</v>
      </c>
      <c r="AM267">
        <v>0</v>
      </c>
      <c r="AN267">
        <v>0</v>
      </c>
      <c r="AO267">
        <v>0</v>
      </c>
      <c r="AP267">
        <v>0</v>
      </c>
      <c r="AQ267">
        <v>0</v>
      </c>
      <c r="AR267">
        <v>0</v>
      </c>
      <c r="AS267">
        <v>0</v>
      </c>
      <c r="AT267">
        <v>0</v>
      </c>
      <c r="AU267">
        <v>0</v>
      </c>
      <c r="AV267">
        <v>0</v>
      </c>
      <c r="AW267">
        <v>0</v>
      </c>
      <c r="AX267">
        <v>0</v>
      </c>
      <c r="AY267">
        <v>0</v>
      </c>
      <c r="AZ267">
        <v>0</v>
      </c>
      <c r="BA267">
        <v>0</v>
      </c>
      <c r="BB267">
        <v>0</v>
      </c>
      <c r="BC267">
        <v>0</v>
      </c>
      <c r="BD267">
        <v>0</v>
      </c>
      <c r="BE267">
        <v>0</v>
      </c>
      <c r="BF267">
        <v>0</v>
      </c>
      <c r="BG267">
        <v>0</v>
      </c>
      <c r="BH267">
        <v>0</v>
      </c>
      <c r="BI267">
        <v>0</v>
      </c>
      <c r="BK267" s="151"/>
    </row>
    <row r="268" spans="1:63" x14ac:dyDescent="0.35">
      <c r="A268">
        <v>0</v>
      </c>
      <c r="B268">
        <v>0</v>
      </c>
      <c r="C268">
        <v>0</v>
      </c>
      <c r="D268">
        <v>0</v>
      </c>
      <c r="E268">
        <v>0</v>
      </c>
      <c r="F268">
        <v>0</v>
      </c>
      <c r="G268">
        <v>0</v>
      </c>
      <c r="H268">
        <v>0</v>
      </c>
      <c r="I268">
        <v>0</v>
      </c>
      <c r="J268">
        <v>0</v>
      </c>
      <c r="K268">
        <v>0</v>
      </c>
      <c r="L268">
        <v>0</v>
      </c>
      <c r="M268">
        <v>0</v>
      </c>
      <c r="N268">
        <v>0</v>
      </c>
      <c r="O268">
        <v>0</v>
      </c>
      <c r="P268">
        <v>0</v>
      </c>
      <c r="Q268">
        <v>0</v>
      </c>
      <c r="R268">
        <v>0</v>
      </c>
      <c r="S268">
        <v>0</v>
      </c>
      <c r="T268">
        <v>0</v>
      </c>
      <c r="U268">
        <v>0</v>
      </c>
      <c r="V268">
        <v>0</v>
      </c>
      <c r="W268">
        <v>0</v>
      </c>
      <c r="X268">
        <v>0</v>
      </c>
      <c r="Y268">
        <v>0</v>
      </c>
      <c r="Z268">
        <v>0</v>
      </c>
      <c r="AA268">
        <v>0</v>
      </c>
      <c r="AB268">
        <v>0</v>
      </c>
      <c r="AC268">
        <v>0</v>
      </c>
      <c r="AD268">
        <v>0</v>
      </c>
      <c r="AF268">
        <v>0</v>
      </c>
      <c r="AG268">
        <v>0</v>
      </c>
      <c r="AH268">
        <v>0</v>
      </c>
      <c r="AI268">
        <v>0</v>
      </c>
      <c r="AJ268">
        <v>0</v>
      </c>
      <c r="AK268">
        <v>0</v>
      </c>
      <c r="AL268">
        <v>0</v>
      </c>
      <c r="AM268">
        <v>0</v>
      </c>
      <c r="AN268">
        <v>0</v>
      </c>
      <c r="AO268">
        <v>0</v>
      </c>
      <c r="AP268">
        <v>0</v>
      </c>
      <c r="AQ268">
        <v>0</v>
      </c>
      <c r="AR268">
        <v>0</v>
      </c>
      <c r="AS268">
        <v>0</v>
      </c>
      <c r="AT268">
        <v>0</v>
      </c>
      <c r="AU268">
        <v>0</v>
      </c>
      <c r="AV268">
        <v>0</v>
      </c>
      <c r="AW268">
        <v>0</v>
      </c>
      <c r="AX268">
        <v>0</v>
      </c>
      <c r="AY268">
        <v>0</v>
      </c>
      <c r="AZ268">
        <v>0</v>
      </c>
      <c r="BA268">
        <v>0</v>
      </c>
      <c r="BB268">
        <v>0</v>
      </c>
      <c r="BC268">
        <v>0</v>
      </c>
      <c r="BD268">
        <v>0</v>
      </c>
      <c r="BE268">
        <v>0</v>
      </c>
      <c r="BF268">
        <v>0</v>
      </c>
      <c r="BG268">
        <v>0</v>
      </c>
      <c r="BH268">
        <v>0</v>
      </c>
      <c r="BI268">
        <v>0</v>
      </c>
      <c r="BK268" s="151"/>
    </row>
    <row r="269" spans="1:63" x14ac:dyDescent="0.35">
      <c r="A269">
        <v>0</v>
      </c>
      <c r="B269">
        <v>0</v>
      </c>
      <c r="C269">
        <v>0</v>
      </c>
      <c r="D269">
        <v>0</v>
      </c>
      <c r="E269">
        <v>0</v>
      </c>
      <c r="F269">
        <v>0</v>
      </c>
      <c r="G269">
        <v>0</v>
      </c>
      <c r="H269">
        <v>0</v>
      </c>
      <c r="I269">
        <v>0</v>
      </c>
      <c r="J269">
        <v>0</v>
      </c>
      <c r="K269">
        <v>0</v>
      </c>
      <c r="L269">
        <v>0</v>
      </c>
      <c r="M269">
        <v>0</v>
      </c>
      <c r="N269">
        <v>0</v>
      </c>
      <c r="O269">
        <v>0</v>
      </c>
      <c r="P269">
        <v>0</v>
      </c>
      <c r="Q269">
        <v>0</v>
      </c>
      <c r="R269">
        <v>0</v>
      </c>
      <c r="S269">
        <v>0</v>
      </c>
      <c r="T269">
        <v>0</v>
      </c>
      <c r="U269">
        <v>0</v>
      </c>
      <c r="V269">
        <v>0</v>
      </c>
      <c r="W269">
        <v>0</v>
      </c>
      <c r="X269">
        <v>0</v>
      </c>
      <c r="Y269">
        <v>0</v>
      </c>
      <c r="Z269">
        <v>0</v>
      </c>
      <c r="AA269">
        <v>0</v>
      </c>
      <c r="AB269">
        <v>0</v>
      </c>
      <c r="AC269">
        <v>0</v>
      </c>
      <c r="AD269">
        <v>0</v>
      </c>
      <c r="AF269">
        <v>0</v>
      </c>
      <c r="AG269">
        <v>0</v>
      </c>
      <c r="AH269">
        <v>0</v>
      </c>
      <c r="AI269">
        <v>0</v>
      </c>
      <c r="AJ269">
        <v>0</v>
      </c>
      <c r="AK269">
        <v>0</v>
      </c>
      <c r="AL269">
        <v>0</v>
      </c>
      <c r="AM269">
        <v>0</v>
      </c>
      <c r="AN269">
        <v>0</v>
      </c>
      <c r="AO269">
        <v>0</v>
      </c>
      <c r="AP269">
        <v>0</v>
      </c>
      <c r="AQ269">
        <v>0</v>
      </c>
      <c r="AR269">
        <v>0</v>
      </c>
      <c r="AS269">
        <v>0</v>
      </c>
      <c r="AT269">
        <v>0</v>
      </c>
      <c r="AU269">
        <v>0</v>
      </c>
      <c r="AV269">
        <v>0</v>
      </c>
      <c r="AW269">
        <v>0</v>
      </c>
      <c r="AX269">
        <v>0</v>
      </c>
      <c r="AY269">
        <v>0</v>
      </c>
      <c r="AZ269">
        <v>0</v>
      </c>
      <c r="BA269">
        <v>0</v>
      </c>
      <c r="BB269">
        <v>0</v>
      </c>
      <c r="BC269">
        <v>0</v>
      </c>
      <c r="BD269">
        <v>0</v>
      </c>
      <c r="BE269">
        <v>0</v>
      </c>
      <c r="BF269">
        <v>0</v>
      </c>
      <c r="BG269">
        <v>0</v>
      </c>
      <c r="BH269">
        <v>0</v>
      </c>
      <c r="BI269">
        <v>0</v>
      </c>
      <c r="BK269" s="151"/>
    </row>
    <row r="270" spans="1:63" x14ac:dyDescent="0.35">
      <c r="A270">
        <v>0</v>
      </c>
      <c r="B270">
        <v>0</v>
      </c>
      <c r="C270">
        <v>0</v>
      </c>
      <c r="D270">
        <v>0</v>
      </c>
      <c r="E270">
        <v>0</v>
      </c>
      <c r="F270">
        <v>0</v>
      </c>
      <c r="G270">
        <v>0</v>
      </c>
      <c r="H270">
        <v>0</v>
      </c>
      <c r="I270">
        <v>0</v>
      </c>
      <c r="J270">
        <v>0</v>
      </c>
      <c r="K270">
        <v>0</v>
      </c>
      <c r="L270">
        <v>0</v>
      </c>
      <c r="M270">
        <v>0</v>
      </c>
      <c r="N270">
        <v>0</v>
      </c>
      <c r="O270">
        <v>0</v>
      </c>
      <c r="P270">
        <v>0</v>
      </c>
      <c r="Q270">
        <v>0</v>
      </c>
      <c r="R270">
        <v>0</v>
      </c>
      <c r="S270">
        <v>0</v>
      </c>
      <c r="T270">
        <v>0</v>
      </c>
      <c r="U270">
        <v>0</v>
      </c>
      <c r="V270">
        <v>0</v>
      </c>
      <c r="W270">
        <v>0</v>
      </c>
      <c r="X270">
        <v>0</v>
      </c>
      <c r="Y270">
        <v>0</v>
      </c>
      <c r="Z270">
        <v>0</v>
      </c>
      <c r="AA270">
        <v>0</v>
      </c>
      <c r="AB270">
        <v>0</v>
      </c>
      <c r="AC270">
        <v>0</v>
      </c>
      <c r="AD270">
        <v>0</v>
      </c>
      <c r="AF270">
        <v>0</v>
      </c>
      <c r="AG270">
        <v>0</v>
      </c>
      <c r="AH270">
        <v>0</v>
      </c>
      <c r="AI270">
        <v>0</v>
      </c>
      <c r="AJ270">
        <v>0</v>
      </c>
      <c r="AK270">
        <v>0</v>
      </c>
      <c r="AL270">
        <v>0</v>
      </c>
      <c r="AM270">
        <v>0</v>
      </c>
      <c r="AN270">
        <v>0</v>
      </c>
      <c r="AO270">
        <v>0</v>
      </c>
      <c r="AP270">
        <v>0</v>
      </c>
      <c r="AQ270">
        <v>0</v>
      </c>
      <c r="AR270">
        <v>0</v>
      </c>
      <c r="AS270">
        <v>0</v>
      </c>
      <c r="AT270">
        <v>0</v>
      </c>
      <c r="AU270">
        <v>0</v>
      </c>
      <c r="AV270">
        <v>0</v>
      </c>
      <c r="AW270">
        <v>0</v>
      </c>
      <c r="AX270">
        <v>0</v>
      </c>
      <c r="AY270">
        <v>0</v>
      </c>
      <c r="AZ270">
        <v>0</v>
      </c>
      <c r="BA270">
        <v>0</v>
      </c>
      <c r="BB270">
        <v>0</v>
      </c>
      <c r="BC270">
        <v>0</v>
      </c>
      <c r="BD270">
        <v>0</v>
      </c>
      <c r="BE270">
        <v>0</v>
      </c>
      <c r="BF270">
        <v>0</v>
      </c>
      <c r="BG270">
        <v>0</v>
      </c>
      <c r="BH270">
        <v>0</v>
      </c>
      <c r="BI270">
        <v>0</v>
      </c>
      <c r="BK270" s="151"/>
    </row>
    <row r="271" spans="1:63" x14ac:dyDescent="0.35">
      <c r="A271">
        <v>0</v>
      </c>
      <c r="B271">
        <v>0</v>
      </c>
      <c r="C271">
        <v>0</v>
      </c>
      <c r="D271">
        <v>0</v>
      </c>
      <c r="E271">
        <v>0</v>
      </c>
      <c r="F271">
        <v>0</v>
      </c>
      <c r="G271">
        <v>0</v>
      </c>
      <c r="H271">
        <v>0</v>
      </c>
      <c r="I271">
        <v>0</v>
      </c>
      <c r="J271">
        <v>0</v>
      </c>
      <c r="K271">
        <v>0</v>
      </c>
      <c r="L271">
        <v>0</v>
      </c>
      <c r="M271">
        <v>0</v>
      </c>
      <c r="N271">
        <v>0</v>
      </c>
      <c r="O271">
        <v>0</v>
      </c>
      <c r="P271">
        <v>0</v>
      </c>
      <c r="Q271">
        <v>0</v>
      </c>
      <c r="R271">
        <v>0</v>
      </c>
      <c r="S271">
        <v>0</v>
      </c>
      <c r="T271">
        <v>0</v>
      </c>
      <c r="U271">
        <v>0</v>
      </c>
      <c r="V271">
        <v>0</v>
      </c>
      <c r="W271">
        <v>0</v>
      </c>
      <c r="X271">
        <v>0</v>
      </c>
      <c r="Y271">
        <v>0</v>
      </c>
      <c r="Z271">
        <v>0</v>
      </c>
      <c r="AA271">
        <v>0</v>
      </c>
      <c r="AB271">
        <v>0</v>
      </c>
      <c r="AC271">
        <v>0</v>
      </c>
      <c r="AD271">
        <v>0</v>
      </c>
      <c r="AF271">
        <v>0</v>
      </c>
      <c r="AG271">
        <v>0</v>
      </c>
      <c r="AH271">
        <v>0</v>
      </c>
      <c r="AI271">
        <v>0</v>
      </c>
      <c r="AJ271">
        <v>0</v>
      </c>
      <c r="AK271">
        <v>0</v>
      </c>
      <c r="AL271">
        <v>0</v>
      </c>
      <c r="AM271">
        <v>0</v>
      </c>
      <c r="AN271">
        <v>0</v>
      </c>
      <c r="AO271">
        <v>0</v>
      </c>
      <c r="AP271">
        <v>0</v>
      </c>
      <c r="AQ271">
        <v>0</v>
      </c>
      <c r="AR271">
        <v>0</v>
      </c>
      <c r="AS271">
        <v>0</v>
      </c>
      <c r="AT271">
        <v>0</v>
      </c>
      <c r="AU271">
        <v>0</v>
      </c>
      <c r="AV271">
        <v>0</v>
      </c>
      <c r="AW271">
        <v>0</v>
      </c>
      <c r="AX271">
        <v>0</v>
      </c>
      <c r="AY271">
        <v>0</v>
      </c>
      <c r="AZ271">
        <v>0</v>
      </c>
      <c r="BA271">
        <v>0</v>
      </c>
      <c r="BB271">
        <v>0</v>
      </c>
      <c r="BC271">
        <v>0</v>
      </c>
      <c r="BD271">
        <v>0</v>
      </c>
      <c r="BE271">
        <v>0</v>
      </c>
      <c r="BF271">
        <v>0</v>
      </c>
      <c r="BG271">
        <v>0</v>
      </c>
      <c r="BH271">
        <v>0</v>
      </c>
      <c r="BI271">
        <v>0</v>
      </c>
      <c r="BK271" s="151"/>
    </row>
    <row r="272" spans="1:63" x14ac:dyDescent="0.35">
      <c r="A272">
        <v>0</v>
      </c>
      <c r="B272">
        <v>0</v>
      </c>
      <c r="C272">
        <v>0</v>
      </c>
      <c r="D272">
        <v>0</v>
      </c>
      <c r="E272">
        <v>0</v>
      </c>
      <c r="F272">
        <v>0</v>
      </c>
      <c r="G272">
        <v>0</v>
      </c>
      <c r="H272">
        <v>0</v>
      </c>
      <c r="I272">
        <v>0</v>
      </c>
      <c r="J272">
        <v>0</v>
      </c>
      <c r="K272">
        <v>0</v>
      </c>
      <c r="L272">
        <v>0</v>
      </c>
      <c r="M272">
        <v>0</v>
      </c>
      <c r="N272">
        <v>0</v>
      </c>
      <c r="O272">
        <v>0</v>
      </c>
      <c r="P272">
        <v>0</v>
      </c>
      <c r="Q272">
        <v>0</v>
      </c>
      <c r="R272">
        <v>0</v>
      </c>
      <c r="S272">
        <v>0</v>
      </c>
      <c r="T272">
        <v>0</v>
      </c>
      <c r="U272">
        <v>0</v>
      </c>
      <c r="V272">
        <v>0</v>
      </c>
      <c r="W272">
        <v>0</v>
      </c>
      <c r="X272">
        <v>0</v>
      </c>
      <c r="Y272">
        <v>0</v>
      </c>
      <c r="Z272">
        <v>0</v>
      </c>
      <c r="AA272">
        <v>0</v>
      </c>
      <c r="AB272">
        <v>0</v>
      </c>
      <c r="AC272">
        <v>0</v>
      </c>
      <c r="AD272">
        <v>0</v>
      </c>
      <c r="AF272">
        <v>0</v>
      </c>
      <c r="AG272">
        <v>0</v>
      </c>
      <c r="AH272">
        <v>0</v>
      </c>
      <c r="AI272">
        <v>0</v>
      </c>
      <c r="AJ272">
        <v>0</v>
      </c>
      <c r="AK272">
        <v>0</v>
      </c>
      <c r="AL272">
        <v>0</v>
      </c>
      <c r="AM272">
        <v>0</v>
      </c>
      <c r="AN272">
        <v>0</v>
      </c>
      <c r="AO272">
        <v>0</v>
      </c>
      <c r="AP272">
        <v>0</v>
      </c>
      <c r="AQ272">
        <v>0</v>
      </c>
      <c r="AR272">
        <v>0</v>
      </c>
      <c r="AS272">
        <v>0</v>
      </c>
      <c r="AT272">
        <v>0</v>
      </c>
      <c r="AU272">
        <v>0</v>
      </c>
      <c r="AV272">
        <v>0</v>
      </c>
      <c r="AW272">
        <v>0</v>
      </c>
      <c r="AX272">
        <v>0</v>
      </c>
      <c r="AY272">
        <v>0</v>
      </c>
      <c r="AZ272">
        <v>0</v>
      </c>
      <c r="BA272">
        <v>0</v>
      </c>
      <c r="BB272">
        <v>0</v>
      </c>
      <c r="BC272">
        <v>0</v>
      </c>
      <c r="BD272">
        <v>0</v>
      </c>
      <c r="BE272">
        <v>0</v>
      </c>
      <c r="BF272">
        <v>0</v>
      </c>
      <c r="BG272">
        <v>0</v>
      </c>
      <c r="BH272">
        <v>0</v>
      </c>
      <c r="BI272">
        <v>0</v>
      </c>
      <c r="BK272" s="151"/>
    </row>
    <row r="273" spans="1:63" x14ac:dyDescent="0.35">
      <c r="A273">
        <v>0</v>
      </c>
      <c r="B273">
        <v>0</v>
      </c>
      <c r="C273">
        <v>0</v>
      </c>
      <c r="D273">
        <v>0</v>
      </c>
      <c r="E273">
        <v>0</v>
      </c>
      <c r="F273">
        <v>0</v>
      </c>
      <c r="G273">
        <v>0</v>
      </c>
      <c r="H273">
        <v>0</v>
      </c>
      <c r="I273">
        <v>0</v>
      </c>
      <c r="J273">
        <v>0</v>
      </c>
      <c r="K273">
        <v>0</v>
      </c>
      <c r="L273">
        <v>0</v>
      </c>
      <c r="M273">
        <v>0</v>
      </c>
      <c r="N273">
        <v>0</v>
      </c>
      <c r="O273">
        <v>0</v>
      </c>
      <c r="P273">
        <v>0</v>
      </c>
      <c r="Q273">
        <v>0</v>
      </c>
      <c r="R273">
        <v>0</v>
      </c>
      <c r="S273">
        <v>0</v>
      </c>
      <c r="T273">
        <v>0</v>
      </c>
      <c r="U273">
        <v>0</v>
      </c>
      <c r="V273">
        <v>0</v>
      </c>
      <c r="W273">
        <v>0</v>
      </c>
      <c r="X273">
        <v>0</v>
      </c>
      <c r="Y273">
        <v>0</v>
      </c>
      <c r="Z273">
        <v>0</v>
      </c>
      <c r="AA273">
        <v>0</v>
      </c>
      <c r="AB273">
        <v>0</v>
      </c>
      <c r="AC273">
        <v>0</v>
      </c>
      <c r="AD273">
        <v>0</v>
      </c>
      <c r="AF273">
        <v>0</v>
      </c>
      <c r="AG273">
        <v>0</v>
      </c>
      <c r="AH273">
        <v>0</v>
      </c>
      <c r="AI273">
        <v>0</v>
      </c>
      <c r="AJ273">
        <v>0</v>
      </c>
      <c r="AK273">
        <v>0</v>
      </c>
      <c r="AL273">
        <v>0</v>
      </c>
      <c r="AM273">
        <v>0</v>
      </c>
      <c r="AN273">
        <v>0</v>
      </c>
      <c r="AO273">
        <v>0</v>
      </c>
      <c r="AP273">
        <v>0</v>
      </c>
      <c r="AQ273">
        <v>0</v>
      </c>
      <c r="AR273">
        <v>0</v>
      </c>
      <c r="AS273">
        <v>0</v>
      </c>
      <c r="AT273">
        <v>0</v>
      </c>
      <c r="AU273">
        <v>0</v>
      </c>
      <c r="AV273">
        <v>0</v>
      </c>
      <c r="AW273">
        <v>0</v>
      </c>
      <c r="AX273">
        <v>0</v>
      </c>
      <c r="AY273">
        <v>0</v>
      </c>
      <c r="AZ273">
        <v>0</v>
      </c>
      <c r="BA273">
        <v>0</v>
      </c>
      <c r="BB273">
        <v>0</v>
      </c>
      <c r="BC273">
        <v>0</v>
      </c>
      <c r="BD273">
        <v>0</v>
      </c>
      <c r="BE273">
        <v>0</v>
      </c>
      <c r="BF273">
        <v>0</v>
      </c>
      <c r="BG273">
        <v>0</v>
      </c>
      <c r="BH273">
        <v>0</v>
      </c>
      <c r="BI273">
        <v>0</v>
      </c>
      <c r="BK273" s="151"/>
    </row>
    <row r="274" spans="1:63" x14ac:dyDescent="0.35">
      <c r="A274">
        <v>0</v>
      </c>
      <c r="B274">
        <v>0</v>
      </c>
      <c r="C274">
        <v>0</v>
      </c>
      <c r="D274">
        <v>0</v>
      </c>
      <c r="E274">
        <v>0</v>
      </c>
      <c r="F274">
        <v>0</v>
      </c>
      <c r="G274">
        <v>0</v>
      </c>
      <c r="H274">
        <v>0</v>
      </c>
      <c r="I274">
        <v>0</v>
      </c>
      <c r="J274">
        <v>0</v>
      </c>
      <c r="K274">
        <v>0</v>
      </c>
      <c r="L274">
        <v>0</v>
      </c>
      <c r="M274">
        <v>0</v>
      </c>
      <c r="N274">
        <v>0</v>
      </c>
      <c r="O274">
        <v>0</v>
      </c>
      <c r="P274">
        <v>0</v>
      </c>
      <c r="Q274">
        <v>0</v>
      </c>
      <c r="R274">
        <v>0</v>
      </c>
      <c r="S274">
        <v>0</v>
      </c>
      <c r="T274">
        <v>0</v>
      </c>
      <c r="U274">
        <v>0</v>
      </c>
      <c r="V274">
        <v>0</v>
      </c>
      <c r="W274">
        <v>0</v>
      </c>
      <c r="X274">
        <v>0</v>
      </c>
      <c r="Y274">
        <v>0</v>
      </c>
      <c r="Z274">
        <v>0</v>
      </c>
      <c r="AA274">
        <v>0</v>
      </c>
      <c r="AB274">
        <v>0</v>
      </c>
      <c r="AC274">
        <v>0</v>
      </c>
      <c r="AD274">
        <v>0</v>
      </c>
      <c r="AF274">
        <v>0</v>
      </c>
      <c r="AG274">
        <v>0</v>
      </c>
      <c r="AH274">
        <v>0</v>
      </c>
      <c r="AI274">
        <v>0</v>
      </c>
      <c r="AJ274">
        <v>0</v>
      </c>
      <c r="AK274">
        <v>0</v>
      </c>
      <c r="AL274">
        <v>0</v>
      </c>
      <c r="AM274">
        <v>0</v>
      </c>
      <c r="AN274">
        <v>0</v>
      </c>
      <c r="AO274">
        <v>0</v>
      </c>
      <c r="AP274">
        <v>0</v>
      </c>
      <c r="AQ274">
        <v>0</v>
      </c>
      <c r="AR274">
        <v>0</v>
      </c>
      <c r="AS274">
        <v>0</v>
      </c>
      <c r="AT274">
        <v>0</v>
      </c>
      <c r="AU274">
        <v>0</v>
      </c>
      <c r="AV274">
        <v>0</v>
      </c>
      <c r="AW274">
        <v>0</v>
      </c>
      <c r="AX274">
        <v>0</v>
      </c>
      <c r="AY274">
        <v>0</v>
      </c>
      <c r="AZ274">
        <v>0</v>
      </c>
      <c r="BA274">
        <v>0</v>
      </c>
      <c r="BB274">
        <v>0</v>
      </c>
      <c r="BC274">
        <v>0</v>
      </c>
      <c r="BD274">
        <v>0</v>
      </c>
      <c r="BE274">
        <v>0</v>
      </c>
      <c r="BF274">
        <v>0</v>
      </c>
      <c r="BG274">
        <v>0</v>
      </c>
      <c r="BH274">
        <v>0</v>
      </c>
      <c r="BI274">
        <v>0</v>
      </c>
      <c r="BK274" s="151"/>
    </row>
    <row r="275" spans="1:63" x14ac:dyDescent="0.35">
      <c r="A275">
        <v>0</v>
      </c>
      <c r="B275">
        <v>0</v>
      </c>
      <c r="C275">
        <v>0</v>
      </c>
      <c r="D275">
        <v>0</v>
      </c>
      <c r="E275">
        <v>0</v>
      </c>
      <c r="F275">
        <v>0</v>
      </c>
      <c r="G275">
        <v>0</v>
      </c>
      <c r="H275">
        <v>0</v>
      </c>
      <c r="I275">
        <v>0</v>
      </c>
      <c r="J275">
        <v>0</v>
      </c>
      <c r="K275">
        <v>0</v>
      </c>
      <c r="L275">
        <v>0</v>
      </c>
      <c r="M275">
        <v>0</v>
      </c>
      <c r="N275">
        <v>0</v>
      </c>
      <c r="O275">
        <v>0</v>
      </c>
      <c r="P275">
        <v>0</v>
      </c>
      <c r="Q275">
        <v>0</v>
      </c>
      <c r="R275">
        <v>0</v>
      </c>
      <c r="S275">
        <v>0</v>
      </c>
      <c r="T275">
        <v>0</v>
      </c>
      <c r="U275">
        <v>0</v>
      </c>
      <c r="V275">
        <v>0</v>
      </c>
      <c r="W275">
        <v>0</v>
      </c>
      <c r="X275">
        <v>0</v>
      </c>
      <c r="Y275">
        <v>0</v>
      </c>
      <c r="Z275">
        <v>0</v>
      </c>
      <c r="AA275">
        <v>0</v>
      </c>
      <c r="AB275">
        <v>0</v>
      </c>
      <c r="AC275">
        <v>0</v>
      </c>
      <c r="AD275">
        <v>0</v>
      </c>
      <c r="AF275">
        <v>0</v>
      </c>
      <c r="AG275">
        <v>0</v>
      </c>
      <c r="AH275">
        <v>0</v>
      </c>
      <c r="AI275">
        <v>0</v>
      </c>
      <c r="AJ275">
        <v>0</v>
      </c>
      <c r="AK275">
        <v>0</v>
      </c>
      <c r="AL275">
        <v>0</v>
      </c>
      <c r="AM275">
        <v>0</v>
      </c>
      <c r="AN275">
        <v>0</v>
      </c>
      <c r="AO275">
        <v>0</v>
      </c>
      <c r="AP275">
        <v>0</v>
      </c>
      <c r="AQ275">
        <v>0</v>
      </c>
      <c r="AR275">
        <v>0</v>
      </c>
      <c r="AS275">
        <v>0</v>
      </c>
      <c r="AT275">
        <v>0</v>
      </c>
      <c r="AU275">
        <v>0</v>
      </c>
      <c r="AV275">
        <v>0</v>
      </c>
      <c r="AW275">
        <v>0</v>
      </c>
      <c r="AX275">
        <v>0</v>
      </c>
      <c r="AY275">
        <v>0</v>
      </c>
      <c r="AZ275">
        <v>0</v>
      </c>
      <c r="BA275">
        <v>0</v>
      </c>
      <c r="BB275">
        <v>0</v>
      </c>
      <c r="BC275">
        <v>0</v>
      </c>
      <c r="BD275">
        <v>0</v>
      </c>
      <c r="BE275">
        <v>0</v>
      </c>
      <c r="BF275">
        <v>0</v>
      </c>
      <c r="BG275">
        <v>0</v>
      </c>
      <c r="BH275">
        <v>0</v>
      </c>
      <c r="BI275">
        <v>0</v>
      </c>
      <c r="BK275" s="151"/>
    </row>
    <row r="276" spans="1:63" x14ac:dyDescent="0.35">
      <c r="A276">
        <v>0</v>
      </c>
      <c r="B276">
        <v>0</v>
      </c>
      <c r="C276">
        <v>0</v>
      </c>
      <c r="D276">
        <v>0</v>
      </c>
      <c r="E276">
        <v>0</v>
      </c>
      <c r="F276">
        <v>0</v>
      </c>
      <c r="G276">
        <v>0</v>
      </c>
      <c r="H276">
        <v>0</v>
      </c>
      <c r="I276">
        <v>0</v>
      </c>
      <c r="J276">
        <v>0</v>
      </c>
      <c r="K276">
        <v>0</v>
      </c>
      <c r="L276">
        <v>0</v>
      </c>
      <c r="M276">
        <v>0</v>
      </c>
      <c r="N276">
        <v>0</v>
      </c>
      <c r="O276">
        <v>0</v>
      </c>
      <c r="P276">
        <v>0</v>
      </c>
      <c r="Q276">
        <v>0</v>
      </c>
      <c r="R276">
        <v>0</v>
      </c>
      <c r="S276">
        <v>0</v>
      </c>
      <c r="T276">
        <v>0</v>
      </c>
      <c r="U276">
        <v>0</v>
      </c>
      <c r="V276">
        <v>0</v>
      </c>
      <c r="W276">
        <v>0</v>
      </c>
      <c r="X276">
        <v>0</v>
      </c>
      <c r="Y276">
        <v>0</v>
      </c>
      <c r="Z276">
        <v>0</v>
      </c>
      <c r="AA276">
        <v>0</v>
      </c>
      <c r="AB276">
        <v>0</v>
      </c>
      <c r="AC276">
        <v>0</v>
      </c>
      <c r="AD276">
        <v>0</v>
      </c>
      <c r="AF276">
        <v>0</v>
      </c>
      <c r="AG276">
        <v>0</v>
      </c>
      <c r="AH276">
        <v>0</v>
      </c>
      <c r="AI276">
        <v>0</v>
      </c>
      <c r="AJ276">
        <v>0</v>
      </c>
      <c r="AK276">
        <v>0</v>
      </c>
      <c r="AL276">
        <v>0</v>
      </c>
      <c r="AM276">
        <v>0</v>
      </c>
      <c r="AN276">
        <v>0</v>
      </c>
      <c r="AO276">
        <v>0</v>
      </c>
      <c r="AP276">
        <v>0</v>
      </c>
      <c r="AQ276">
        <v>0</v>
      </c>
      <c r="AR276">
        <v>0</v>
      </c>
      <c r="AS276">
        <v>0</v>
      </c>
      <c r="AT276">
        <v>0</v>
      </c>
      <c r="AU276">
        <v>0</v>
      </c>
      <c r="AV276">
        <v>0</v>
      </c>
      <c r="AW276">
        <v>0</v>
      </c>
      <c r="AX276">
        <v>0</v>
      </c>
      <c r="AY276">
        <v>0</v>
      </c>
      <c r="AZ276">
        <v>0</v>
      </c>
      <c r="BA276">
        <v>0</v>
      </c>
      <c r="BB276">
        <v>0</v>
      </c>
      <c r="BC276">
        <v>0</v>
      </c>
      <c r="BD276">
        <v>0</v>
      </c>
      <c r="BE276">
        <v>0</v>
      </c>
      <c r="BF276">
        <v>0</v>
      </c>
      <c r="BG276">
        <v>0</v>
      </c>
      <c r="BH276">
        <v>0</v>
      </c>
      <c r="BI276">
        <v>0</v>
      </c>
      <c r="BK276" s="151"/>
    </row>
    <row r="277" spans="1:63" x14ac:dyDescent="0.35">
      <c r="A277">
        <v>0</v>
      </c>
      <c r="B277">
        <v>0</v>
      </c>
      <c r="C277">
        <v>0</v>
      </c>
      <c r="D277">
        <v>0</v>
      </c>
      <c r="E277">
        <v>0</v>
      </c>
      <c r="F277">
        <v>0</v>
      </c>
      <c r="G277">
        <v>0</v>
      </c>
      <c r="H277">
        <v>0</v>
      </c>
      <c r="I277">
        <v>0</v>
      </c>
      <c r="J277">
        <v>0</v>
      </c>
      <c r="K277">
        <v>0</v>
      </c>
      <c r="L277">
        <v>0</v>
      </c>
      <c r="M277">
        <v>0</v>
      </c>
      <c r="N277">
        <v>0</v>
      </c>
      <c r="O277">
        <v>0</v>
      </c>
      <c r="P277">
        <v>0</v>
      </c>
      <c r="Q277">
        <v>0</v>
      </c>
      <c r="R277">
        <v>0</v>
      </c>
      <c r="S277">
        <v>0</v>
      </c>
      <c r="T277">
        <v>0</v>
      </c>
      <c r="U277">
        <v>0</v>
      </c>
      <c r="V277">
        <v>0</v>
      </c>
      <c r="W277">
        <v>0</v>
      </c>
      <c r="X277">
        <v>0</v>
      </c>
      <c r="Y277">
        <v>0</v>
      </c>
      <c r="Z277">
        <v>0</v>
      </c>
      <c r="AA277">
        <v>0</v>
      </c>
      <c r="AB277">
        <v>0</v>
      </c>
      <c r="AC277">
        <v>0</v>
      </c>
      <c r="AD277">
        <v>0</v>
      </c>
      <c r="AF277">
        <v>0</v>
      </c>
      <c r="AG277">
        <v>0</v>
      </c>
      <c r="AH277">
        <v>0</v>
      </c>
      <c r="AI277">
        <v>0</v>
      </c>
      <c r="AJ277">
        <v>0</v>
      </c>
      <c r="AK277">
        <v>0</v>
      </c>
      <c r="AL277">
        <v>0</v>
      </c>
      <c r="AM277">
        <v>0</v>
      </c>
      <c r="AN277">
        <v>0</v>
      </c>
      <c r="AO277">
        <v>0</v>
      </c>
      <c r="AP277">
        <v>0</v>
      </c>
      <c r="AQ277">
        <v>0</v>
      </c>
      <c r="AR277">
        <v>0</v>
      </c>
      <c r="AS277">
        <v>0</v>
      </c>
      <c r="AT277">
        <v>0</v>
      </c>
      <c r="AU277">
        <v>0</v>
      </c>
      <c r="AV277">
        <v>0</v>
      </c>
      <c r="AW277">
        <v>0</v>
      </c>
      <c r="AX277">
        <v>0</v>
      </c>
      <c r="AY277">
        <v>0</v>
      </c>
      <c r="AZ277">
        <v>0</v>
      </c>
      <c r="BA277">
        <v>0</v>
      </c>
      <c r="BB277">
        <v>0</v>
      </c>
      <c r="BC277">
        <v>0</v>
      </c>
      <c r="BD277">
        <v>0</v>
      </c>
      <c r="BE277">
        <v>0</v>
      </c>
      <c r="BF277">
        <v>0</v>
      </c>
      <c r="BG277">
        <v>0</v>
      </c>
      <c r="BH277">
        <v>0</v>
      </c>
      <c r="BI277">
        <v>0</v>
      </c>
      <c r="BK277" s="151"/>
    </row>
    <row r="278" spans="1:63" x14ac:dyDescent="0.35">
      <c r="A278">
        <v>0</v>
      </c>
      <c r="B278">
        <v>0</v>
      </c>
      <c r="C278">
        <v>0</v>
      </c>
      <c r="D278">
        <v>0</v>
      </c>
      <c r="E278">
        <v>0</v>
      </c>
      <c r="F278">
        <v>0</v>
      </c>
      <c r="G278">
        <v>0</v>
      </c>
      <c r="H278">
        <v>0</v>
      </c>
      <c r="I278">
        <v>0</v>
      </c>
      <c r="J278">
        <v>0</v>
      </c>
      <c r="K278">
        <v>0</v>
      </c>
      <c r="L278">
        <v>0</v>
      </c>
      <c r="M278">
        <v>0</v>
      </c>
      <c r="N278">
        <v>0</v>
      </c>
      <c r="O278">
        <v>0</v>
      </c>
      <c r="P278">
        <v>0</v>
      </c>
      <c r="Q278">
        <v>0</v>
      </c>
      <c r="R278">
        <v>0</v>
      </c>
      <c r="S278">
        <v>0</v>
      </c>
      <c r="T278">
        <v>0</v>
      </c>
      <c r="U278">
        <v>0</v>
      </c>
      <c r="V278">
        <v>0</v>
      </c>
      <c r="W278">
        <v>0</v>
      </c>
      <c r="X278">
        <v>0</v>
      </c>
      <c r="Y278">
        <v>0</v>
      </c>
      <c r="Z278">
        <v>0</v>
      </c>
      <c r="AA278">
        <v>0</v>
      </c>
      <c r="AB278">
        <v>0</v>
      </c>
      <c r="AC278">
        <v>0</v>
      </c>
      <c r="AD278">
        <v>0</v>
      </c>
      <c r="AF278">
        <v>0</v>
      </c>
      <c r="AG278">
        <v>0</v>
      </c>
      <c r="AH278">
        <v>0</v>
      </c>
      <c r="AI278">
        <v>0</v>
      </c>
      <c r="AJ278">
        <v>0</v>
      </c>
      <c r="AK278">
        <v>0</v>
      </c>
      <c r="AL278">
        <v>0</v>
      </c>
      <c r="AM278">
        <v>0</v>
      </c>
      <c r="AN278">
        <v>0</v>
      </c>
      <c r="AO278">
        <v>0</v>
      </c>
      <c r="AP278">
        <v>0</v>
      </c>
      <c r="AQ278">
        <v>0</v>
      </c>
      <c r="AR278">
        <v>0</v>
      </c>
      <c r="AS278">
        <v>0</v>
      </c>
      <c r="AT278">
        <v>0</v>
      </c>
      <c r="AU278">
        <v>0</v>
      </c>
      <c r="AV278">
        <v>0</v>
      </c>
      <c r="AW278">
        <v>0</v>
      </c>
      <c r="AX278">
        <v>0</v>
      </c>
      <c r="AY278">
        <v>0</v>
      </c>
      <c r="AZ278">
        <v>0</v>
      </c>
      <c r="BA278">
        <v>0</v>
      </c>
      <c r="BB278">
        <v>0</v>
      </c>
      <c r="BC278">
        <v>0</v>
      </c>
      <c r="BD278">
        <v>0</v>
      </c>
      <c r="BE278">
        <v>0</v>
      </c>
      <c r="BF278">
        <v>0</v>
      </c>
      <c r="BG278">
        <v>0</v>
      </c>
      <c r="BH278">
        <v>0</v>
      </c>
      <c r="BI278">
        <v>0</v>
      </c>
      <c r="BK278" s="151"/>
    </row>
    <row r="279" spans="1:63" x14ac:dyDescent="0.35">
      <c r="A279">
        <v>0</v>
      </c>
      <c r="B279">
        <v>0</v>
      </c>
      <c r="C279">
        <v>0</v>
      </c>
      <c r="D279">
        <v>0</v>
      </c>
      <c r="E279">
        <v>0</v>
      </c>
      <c r="F279">
        <v>0</v>
      </c>
      <c r="G279">
        <v>0</v>
      </c>
      <c r="H279">
        <v>0</v>
      </c>
      <c r="I279">
        <v>0</v>
      </c>
      <c r="J279">
        <v>0</v>
      </c>
      <c r="K279">
        <v>0</v>
      </c>
      <c r="L279">
        <v>0</v>
      </c>
      <c r="M279">
        <v>0</v>
      </c>
      <c r="N279">
        <v>0</v>
      </c>
      <c r="O279">
        <v>0</v>
      </c>
      <c r="P279">
        <v>0</v>
      </c>
      <c r="Q279">
        <v>0</v>
      </c>
      <c r="R279">
        <v>0</v>
      </c>
      <c r="S279">
        <v>0</v>
      </c>
      <c r="T279">
        <v>0</v>
      </c>
      <c r="U279">
        <v>0</v>
      </c>
      <c r="V279">
        <v>0</v>
      </c>
      <c r="W279">
        <v>0</v>
      </c>
      <c r="X279">
        <v>0</v>
      </c>
      <c r="Y279">
        <v>0</v>
      </c>
      <c r="Z279">
        <v>0</v>
      </c>
      <c r="AA279">
        <v>0</v>
      </c>
      <c r="AB279">
        <v>0</v>
      </c>
      <c r="AC279">
        <v>0</v>
      </c>
      <c r="AD279">
        <v>0</v>
      </c>
      <c r="AF279">
        <v>0</v>
      </c>
      <c r="AG279">
        <v>0</v>
      </c>
      <c r="AH279">
        <v>0</v>
      </c>
      <c r="AI279">
        <v>0</v>
      </c>
      <c r="AJ279">
        <v>0</v>
      </c>
      <c r="AK279">
        <v>0</v>
      </c>
      <c r="AL279">
        <v>0</v>
      </c>
      <c r="AM279">
        <v>0</v>
      </c>
      <c r="AN279">
        <v>0</v>
      </c>
      <c r="AO279">
        <v>0</v>
      </c>
      <c r="AP279">
        <v>0</v>
      </c>
      <c r="AQ279">
        <v>0</v>
      </c>
      <c r="AR279">
        <v>0</v>
      </c>
      <c r="AS279">
        <v>0</v>
      </c>
      <c r="AT279">
        <v>0</v>
      </c>
      <c r="AU279">
        <v>0</v>
      </c>
      <c r="AV279">
        <v>0</v>
      </c>
      <c r="AW279">
        <v>0</v>
      </c>
      <c r="AX279">
        <v>0</v>
      </c>
      <c r="AY279">
        <v>0</v>
      </c>
      <c r="AZ279">
        <v>0</v>
      </c>
      <c r="BA279">
        <v>0</v>
      </c>
      <c r="BB279">
        <v>0</v>
      </c>
      <c r="BC279">
        <v>0</v>
      </c>
      <c r="BD279">
        <v>0</v>
      </c>
      <c r="BE279">
        <v>0</v>
      </c>
      <c r="BF279">
        <v>0</v>
      </c>
      <c r="BG279">
        <v>0</v>
      </c>
      <c r="BH279">
        <v>0</v>
      </c>
      <c r="BI279">
        <v>0</v>
      </c>
      <c r="BK279" s="151"/>
    </row>
    <row r="280" spans="1:63" x14ac:dyDescent="0.35">
      <c r="A280">
        <v>0</v>
      </c>
      <c r="B280">
        <v>0</v>
      </c>
      <c r="C280">
        <v>0</v>
      </c>
      <c r="D280">
        <v>0</v>
      </c>
      <c r="E280">
        <v>0</v>
      </c>
      <c r="F280">
        <v>0</v>
      </c>
      <c r="G280">
        <v>0</v>
      </c>
      <c r="H280">
        <v>0</v>
      </c>
      <c r="I280">
        <v>0</v>
      </c>
      <c r="J280">
        <v>0</v>
      </c>
      <c r="K280">
        <v>0</v>
      </c>
      <c r="L280">
        <v>0</v>
      </c>
      <c r="M280">
        <v>0</v>
      </c>
      <c r="N280">
        <v>0</v>
      </c>
      <c r="O280">
        <v>0</v>
      </c>
      <c r="P280">
        <v>0</v>
      </c>
      <c r="Q280">
        <v>0</v>
      </c>
      <c r="R280">
        <v>0</v>
      </c>
      <c r="S280">
        <v>0</v>
      </c>
      <c r="T280">
        <v>0</v>
      </c>
      <c r="U280">
        <v>0</v>
      </c>
      <c r="V280">
        <v>0</v>
      </c>
      <c r="W280">
        <v>0</v>
      </c>
      <c r="X280">
        <v>0</v>
      </c>
      <c r="Y280">
        <v>0</v>
      </c>
      <c r="Z280">
        <v>0</v>
      </c>
      <c r="AA280">
        <v>0</v>
      </c>
      <c r="AB280">
        <v>0</v>
      </c>
      <c r="AC280">
        <v>0</v>
      </c>
      <c r="AD280">
        <v>0</v>
      </c>
      <c r="AF280">
        <v>0</v>
      </c>
      <c r="AG280">
        <v>0</v>
      </c>
      <c r="AH280">
        <v>0</v>
      </c>
      <c r="AI280">
        <v>0</v>
      </c>
      <c r="AJ280">
        <v>0</v>
      </c>
      <c r="AK280">
        <v>0</v>
      </c>
      <c r="AL280">
        <v>0</v>
      </c>
      <c r="AM280">
        <v>0</v>
      </c>
      <c r="AN280">
        <v>0</v>
      </c>
      <c r="AO280">
        <v>0</v>
      </c>
      <c r="AP280">
        <v>0</v>
      </c>
      <c r="AQ280">
        <v>0</v>
      </c>
      <c r="AR280">
        <v>0</v>
      </c>
      <c r="AS280">
        <v>0</v>
      </c>
      <c r="AT280">
        <v>0</v>
      </c>
      <c r="AU280">
        <v>0</v>
      </c>
      <c r="AV280">
        <v>0</v>
      </c>
      <c r="AW280">
        <v>0</v>
      </c>
      <c r="AX280">
        <v>0</v>
      </c>
      <c r="AY280">
        <v>0</v>
      </c>
      <c r="AZ280">
        <v>0</v>
      </c>
      <c r="BA280">
        <v>0</v>
      </c>
      <c r="BB280">
        <v>0</v>
      </c>
      <c r="BC280">
        <v>0</v>
      </c>
      <c r="BD280">
        <v>0</v>
      </c>
      <c r="BE280">
        <v>0</v>
      </c>
      <c r="BF280">
        <v>0</v>
      </c>
      <c r="BG280">
        <v>0</v>
      </c>
      <c r="BH280">
        <v>0</v>
      </c>
      <c r="BI280">
        <v>0</v>
      </c>
      <c r="BK280" s="151"/>
    </row>
    <row r="281" spans="1:63" x14ac:dyDescent="0.35">
      <c r="A281">
        <v>0</v>
      </c>
      <c r="B281">
        <v>0</v>
      </c>
      <c r="C281">
        <v>0</v>
      </c>
      <c r="D281">
        <v>0</v>
      </c>
      <c r="E281">
        <v>0</v>
      </c>
      <c r="F281">
        <v>0</v>
      </c>
      <c r="G281">
        <v>0</v>
      </c>
      <c r="H281">
        <v>0</v>
      </c>
      <c r="I281">
        <v>0</v>
      </c>
      <c r="J281">
        <v>0</v>
      </c>
      <c r="K281">
        <v>0</v>
      </c>
      <c r="L281">
        <v>0</v>
      </c>
      <c r="M281">
        <v>0</v>
      </c>
      <c r="N281">
        <v>0</v>
      </c>
      <c r="O281">
        <v>0</v>
      </c>
      <c r="P281">
        <v>0</v>
      </c>
      <c r="Q281">
        <v>0</v>
      </c>
      <c r="R281">
        <v>0</v>
      </c>
      <c r="S281">
        <v>0</v>
      </c>
      <c r="T281">
        <v>0</v>
      </c>
      <c r="U281">
        <v>0</v>
      </c>
      <c r="V281">
        <v>0</v>
      </c>
      <c r="W281">
        <v>0</v>
      </c>
      <c r="X281">
        <v>0</v>
      </c>
      <c r="Y281">
        <v>0</v>
      </c>
      <c r="Z281">
        <v>0</v>
      </c>
      <c r="AA281">
        <v>0</v>
      </c>
      <c r="AB281">
        <v>0</v>
      </c>
      <c r="AC281">
        <v>0</v>
      </c>
      <c r="AD281">
        <v>0</v>
      </c>
      <c r="AF281">
        <v>0</v>
      </c>
      <c r="AG281">
        <v>0</v>
      </c>
      <c r="AH281">
        <v>0</v>
      </c>
      <c r="AI281">
        <v>0</v>
      </c>
      <c r="AJ281">
        <v>0</v>
      </c>
      <c r="AK281">
        <v>0</v>
      </c>
      <c r="AL281">
        <v>0</v>
      </c>
      <c r="AM281">
        <v>0</v>
      </c>
      <c r="AN281">
        <v>0</v>
      </c>
      <c r="AO281">
        <v>0</v>
      </c>
      <c r="AP281">
        <v>0</v>
      </c>
      <c r="AQ281">
        <v>0</v>
      </c>
      <c r="AR281">
        <v>0</v>
      </c>
      <c r="AS281">
        <v>0</v>
      </c>
      <c r="AT281">
        <v>0</v>
      </c>
      <c r="AU281">
        <v>0</v>
      </c>
      <c r="AV281">
        <v>0</v>
      </c>
      <c r="AW281">
        <v>0</v>
      </c>
      <c r="AX281">
        <v>0</v>
      </c>
      <c r="AY281">
        <v>0</v>
      </c>
      <c r="AZ281">
        <v>0</v>
      </c>
      <c r="BA281">
        <v>0</v>
      </c>
      <c r="BB281">
        <v>0</v>
      </c>
      <c r="BC281">
        <v>0</v>
      </c>
      <c r="BD281">
        <v>0</v>
      </c>
      <c r="BE281">
        <v>0</v>
      </c>
      <c r="BF281">
        <v>0</v>
      </c>
      <c r="BG281">
        <v>0</v>
      </c>
      <c r="BH281">
        <v>0</v>
      </c>
      <c r="BI281">
        <v>0</v>
      </c>
      <c r="BK281" s="151"/>
    </row>
    <row r="282" spans="1:63" x14ac:dyDescent="0.35">
      <c r="A282">
        <v>0</v>
      </c>
      <c r="B282">
        <v>0</v>
      </c>
      <c r="C282">
        <v>0</v>
      </c>
      <c r="D282">
        <v>0</v>
      </c>
      <c r="E282">
        <v>0</v>
      </c>
      <c r="F282">
        <v>0</v>
      </c>
      <c r="G282">
        <v>0</v>
      </c>
      <c r="H282">
        <v>0</v>
      </c>
      <c r="I282">
        <v>0</v>
      </c>
      <c r="J282">
        <v>0</v>
      </c>
      <c r="K282">
        <v>0</v>
      </c>
      <c r="L282">
        <v>0</v>
      </c>
      <c r="M282">
        <v>0</v>
      </c>
      <c r="N282">
        <v>0</v>
      </c>
      <c r="O282">
        <v>0</v>
      </c>
      <c r="P282">
        <v>0</v>
      </c>
      <c r="Q282">
        <v>0</v>
      </c>
      <c r="R282">
        <v>0</v>
      </c>
      <c r="S282">
        <v>0</v>
      </c>
      <c r="T282">
        <v>0</v>
      </c>
      <c r="U282">
        <v>0</v>
      </c>
      <c r="V282">
        <v>0</v>
      </c>
      <c r="W282">
        <v>0</v>
      </c>
      <c r="X282">
        <v>0</v>
      </c>
      <c r="Y282">
        <v>0</v>
      </c>
      <c r="Z282">
        <v>0</v>
      </c>
      <c r="AA282">
        <v>0</v>
      </c>
      <c r="AB282">
        <v>0</v>
      </c>
      <c r="AC282">
        <v>0</v>
      </c>
      <c r="AD282">
        <v>0</v>
      </c>
      <c r="AF282">
        <v>0</v>
      </c>
      <c r="AG282">
        <v>0</v>
      </c>
      <c r="AH282">
        <v>0</v>
      </c>
      <c r="AI282">
        <v>0</v>
      </c>
      <c r="AJ282">
        <v>0</v>
      </c>
      <c r="AK282">
        <v>0</v>
      </c>
      <c r="AL282">
        <v>0</v>
      </c>
      <c r="AM282">
        <v>0</v>
      </c>
      <c r="AN282">
        <v>0</v>
      </c>
      <c r="AO282">
        <v>0</v>
      </c>
      <c r="AP282">
        <v>0</v>
      </c>
      <c r="AQ282">
        <v>0</v>
      </c>
      <c r="AR282">
        <v>0</v>
      </c>
      <c r="AS282">
        <v>0</v>
      </c>
      <c r="AT282">
        <v>0</v>
      </c>
      <c r="AU282">
        <v>0</v>
      </c>
      <c r="AV282">
        <v>0</v>
      </c>
      <c r="AW282">
        <v>0</v>
      </c>
      <c r="AX282">
        <v>0</v>
      </c>
      <c r="AY282">
        <v>0</v>
      </c>
      <c r="AZ282">
        <v>0</v>
      </c>
      <c r="BA282">
        <v>0</v>
      </c>
      <c r="BB282">
        <v>0</v>
      </c>
      <c r="BC282">
        <v>0</v>
      </c>
      <c r="BD282">
        <v>0</v>
      </c>
      <c r="BE282">
        <v>0</v>
      </c>
      <c r="BF282">
        <v>0</v>
      </c>
      <c r="BG282">
        <v>0</v>
      </c>
      <c r="BH282">
        <v>0</v>
      </c>
      <c r="BI282">
        <v>0</v>
      </c>
      <c r="BK282" s="151"/>
    </row>
    <row r="283" spans="1:63" x14ac:dyDescent="0.35">
      <c r="A283">
        <v>0</v>
      </c>
      <c r="B283">
        <v>0</v>
      </c>
      <c r="C283">
        <v>0</v>
      </c>
      <c r="D283">
        <v>0</v>
      </c>
      <c r="E283">
        <v>0</v>
      </c>
      <c r="F283">
        <v>0</v>
      </c>
      <c r="G283">
        <v>0</v>
      </c>
      <c r="H283">
        <v>0</v>
      </c>
      <c r="I283">
        <v>0</v>
      </c>
      <c r="J283">
        <v>0</v>
      </c>
      <c r="K283">
        <v>0</v>
      </c>
      <c r="L283">
        <v>0</v>
      </c>
      <c r="M283">
        <v>0</v>
      </c>
      <c r="N283">
        <v>0</v>
      </c>
      <c r="O283">
        <v>0</v>
      </c>
      <c r="P283">
        <v>0</v>
      </c>
      <c r="Q283">
        <v>0</v>
      </c>
      <c r="R283">
        <v>0</v>
      </c>
      <c r="S283">
        <v>0</v>
      </c>
      <c r="T283">
        <v>0</v>
      </c>
      <c r="U283">
        <v>0</v>
      </c>
      <c r="V283">
        <v>0</v>
      </c>
      <c r="W283">
        <v>0</v>
      </c>
      <c r="X283">
        <v>0</v>
      </c>
      <c r="Y283">
        <v>0</v>
      </c>
      <c r="Z283">
        <v>0</v>
      </c>
      <c r="AA283">
        <v>0</v>
      </c>
      <c r="AB283">
        <v>0</v>
      </c>
      <c r="AC283">
        <v>0</v>
      </c>
      <c r="AD283">
        <v>0</v>
      </c>
      <c r="AF283">
        <v>0</v>
      </c>
      <c r="AG283">
        <v>0</v>
      </c>
      <c r="AH283">
        <v>0</v>
      </c>
      <c r="AI283">
        <v>0</v>
      </c>
      <c r="AJ283">
        <v>0</v>
      </c>
      <c r="AK283">
        <v>0</v>
      </c>
      <c r="AL283">
        <v>0</v>
      </c>
      <c r="AM283">
        <v>0</v>
      </c>
      <c r="AN283">
        <v>0</v>
      </c>
      <c r="AO283">
        <v>0</v>
      </c>
      <c r="AP283">
        <v>0</v>
      </c>
      <c r="AQ283">
        <v>0</v>
      </c>
      <c r="AR283">
        <v>0</v>
      </c>
      <c r="AS283">
        <v>0</v>
      </c>
      <c r="AT283">
        <v>0</v>
      </c>
      <c r="AU283">
        <v>0</v>
      </c>
      <c r="AV283">
        <v>0</v>
      </c>
      <c r="AW283">
        <v>0</v>
      </c>
      <c r="AX283">
        <v>0</v>
      </c>
      <c r="AY283">
        <v>0</v>
      </c>
      <c r="AZ283">
        <v>0</v>
      </c>
      <c r="BA283">
        <v>0</v>
      </c>
      <c r="BB283">
        <v>0</v>
      </c>
      <c r="BC283">
        <v>0</v>
      </c>
      <c r="BD283">
        <v>0</v>
      </c>
      <c r="BE283">
        <v>0</v>
      </c>
      <c r="BF283">
        <v>0</v>
      </c>
      <c r="BG283">
        <v>0</v>
      </c>
      <c r="BH283">
        <v>0</v>
      </c>
      <c r="BI283">
        <v>0</v>
      </c>
      <c r="BK283" s="151"/>
    </row>
    <row r="284" spans="1:63" x14ac:dyDescent="0.35">
      <c r="A284">
        <v>0</v>
      </c>
      <c r="B284">
        <v>0</v>
      </c>
      <c r="C284">
        <v>0</v>
      </c>
      <c r="D284">
        <v>0</v>
      </c>
      <c r="E284">
        <v>0</v>
      </c>
      <c r="F284">
        <v>0</v>
      </c>
      <c r="G284">
        <v>0</v>
      </c>
      <c r="H284">
        <v>0</v>
      </c>
      <c r="I284">
        <v>0</v>
      </c>
      <c r="J284">
        <v>0</v>
      </c>
      <c r="K284">
        <v>0</v>
      </c>
      <c r="L284">
        <v>0</v>
      </c>
      <c r="M284">
        <v>0</v>
      </c>
      <c r="N284">
        <v>0</v>
      </c>
      <c r="O284">
        <v>0</v>
      </c>
      <c r="P284">
        <v>0</v>
      </c>
      <c r="Q284">
        <v>0</v>
      </c>
      <c r="R284">
        <v>0</v>
      </c>
      <c r="S284">
        <v>0</v>
      </c>
      <c r="T284">
        <v>0</v>
      </c>
      <c r="U284">
        <v>0</v>
      </c>
      <c r="V284">
        <v>0</v>
      </c>
      <c r="W284">
        <v>0</v>
      </c>
      <c r="X284">
        <v>0</v>
      </c>
      <c r="Y284">
        <v>0</v>
      </c>
      <c r="Z284">
        <v>0</v>
      </c>
      <c r="AA284">
        <v>0</v>
      </c>
      <c r="AB284">
        <v>0</v>
      </c>
      <c r="AC284">
        <v>0</v>
      </c>
      <c r="AD284">
        <v>0</v>
      </c>
      <c r="AF284">
        <v>0</v>
      </c>
      <c r="AG284">
        <v>0</v>
      </c>
      <c r="AH284">
        <v>0</v>
      </c>
      <c r="AI284">
        <v>0</v>
      </c>
      <c r="AJ284">
        <v>0</v>
      </c>
      <c r="AK284">
        <v>0</v>
      </c>
      <c r="AL284">
        <v>0</v>
      </c>
      <c r="AM284">
        <v>0</v>
      </c>
      <c r="AN284">
        <v>0</v>
      </c>
      <c r="AO284">
        <v>0</v>
      </c>
      <c r="AP284">
        <v>0</v>
      </c>
      <c r="AQ284">
        <v>0</v>
      </c>
      <c r="AR284">
        <v>0</v>
      </c>
      <c r="AS284">
        <v>0</v>
      </c>
      <c r="AT284">
        <v>0</v>
      </c>
      <c r="AU284">
        <v>0</v>
      </c>
      <c r="AV284">
        <v>0</v>
      </c>
      <c r="AW284">
        <v>0</v>
      </c>
      <c r="AX284">
        <v>0</v>
      </c>
      <c r="AY284">
        <v>0</v>
      </c>
      <c r="AZ284">
        <v>0</v>
      </c>
      <c r="BA284">
        <v>0</v>
      </c>
      <c r="BB284">
        <v>0</v>
      </c>
      <c r="BC284">
        <v>0</v>
      </c>
      <c r="BD284">
        <v>0</v>
      </c>
      <c r="BE284">
        <v>0</v>
      </c>
      <c r="BF284">
        <v>0</v>
      </c>
      <c r="BG284">
        <v>0</v>
      </c>
      <c r="BH284">
        <v>0</v>
      </c>
      <c r="BI284">
        <v>0</v>
      </c>
      <c r="BK284" s="151"/>
    </row>
    <row r="285" spans="1:63" x14ac:dyDescent="0.35">
      <c r="A285">
        <v>0</v>
      </c>
      <c r="B285">
        <v>0</v>
      </c>
      <c r="C285">
        <v>0</v>
      </c>
      <c r="D285">
        <v>0</v>
      </c>
      <c r="E285">
        <v>0</v>
      </c>
      <c r="F285">
        <v>0</v>
      </c>
      <c r="G285">
        <v>0</v>
      </c>
      <c r="H285">
        <v>0</v>
      </c>
      <c r="I285">
        <v>0</v>
      </c>
      <c r="J285">
        <v>0</v>
      </c>
      <c r="K285">
        <v>0</v>
      </c>
      <c r="L285">
        <v>0</v>
      </c>
      <c r="M285">
        <v>0</v>
      </c>
      <c r="N285">
        <v>0</v>
      </c>
      <c r="O285">
        <v>0</v>
      </c>
      <c r="P285">
        <v>0</v>
      </c>
      <c r="Q285">
        <v>0</v>
      </c>
      <c r="R285">
        <v>0</v>
      </c>
      <c r="S285">
        <v>0</v>
      </c>
      <c r="T285">
        <v>0</v>
      </c>
      <c r="U285">
        <v>0</v>
      </c>
      <c r="V285">
        <v>0</v>
      </c>
      <c r="W285">
        <v>0</v>
      </c>
      <c r="X285">
        <v>0</v>
      </c>
      <c r="Y285">
        <v>0</v>
      </c>
      <c r="Z285">
        <v>0</v>
      </c>
      <c r="AA285">
        <v>0</v>
      </c>
      <c r="AB285">
        <v>0</v>
      </c>
      <c r="AC285">
        <v>0</v>
      </c>
      <c r="AD285">
        <v>0</v>
      </c>
      <c r="AF285">
        <v>0</v>
      </c>
      <c r="AG285">
        <v>0</v>
      </c>
      <c r="AH285">
        <v>0</v>
      </c>
      <c r="AI285">
        <v>0</v>
      </c>
      <c r="AJ285">
        <v>0</v>
      </c>
      <c r="AK285">
        <v>0</v>
      </c>
      <c r="AL285">
        <v>0</v>
      </c>
      <c r="AM285">
        <v>0</v>
      </c>
      <c r="AN285">
        <v>0</v>
      </c>
      <c r="AO285">
        <v>0</v>
      </c>
      <c r="AP285">
        <v>0</v>
      </c>
      <c r="AQ285">
        <v>0</v>
      </c>
      <c r="AR285">
        <v>0</v>
      </c>
      <c r="AS285">
        <v>0</v>
      </c>
      <c r="AT285">
        <v>0</v>
      </c>
      <c r="AU285">
        <v>0</v>
      </c>
      <c r="AV285">
        <v>0</v>
      </c>
      <c r="AW285">
        <v>0</v>
      </c>
      <c r="AX285">
        <v>0</v>
      </c>
      <c r="AY285">
        <v>0</v>
      </c>
      <c r="AZ285">
        <v>0</v>
      </c>
      <c r="BA285">
        <v>0</v>
      </c>
      <c r="BB285">
        <v>0</v>
      </c>
      <c r="BC285">
        <v>0</v>
      </c>
      <c r="BD285">
        <v>0</v>
      </c>
      <c r="BE285">
        <v>0</v>
      </c>
      <c r="BF285">
        <v>0</v>
      </c>
      <c r="BG285">
        <v>0</v>
      </c>
      <c r="BH285">
        <v>0</v>
      </c>
      <c r="BI285">
        <v>0</v>
      </c>
      <c r="BK285" s="151"/>
    </row>
    <row r="286" spans="1:63" x14ac:dyDescent="0.35">
      <c r="A286">
        <v>0</v>
      </c>
      <c r="B286">
        <v>0</v>
      </c>
      <c r="C286">
        <v>0</v>
      </c>
      <c r="D286">
        <v>0</v>
      </c>
      <c r="E286">
        <v>0</v>
      </c>
      <c r="F286">
        <v>0</v>
      </c>
      <c r="G286">
        <v>0</v>
      </c>
      <c r="H286">
        <v>0</v>
      </c>
      <c r="I286">
        <v>0</v>
      </c>
      <c r="J286">
        <v>0</v>
      </c>
      <c r="K286">
        <v>0</v>
      </c>
      <c r="L286">
        <v>0</v>
      </c>
      <c r="M286">
        <v>0</v>
      </c>
      <c r="N286">
        <v>0</v>
      </c>
      <c r="O286">
        <v>0</v>
      </c>
      <c r="P286">
        <v>0</v>
      </c>
      <c r="Q286">
        <v>0</v>
      </c>
      <c r="R286">
        <v>0</v>
      </c>
      <c r="S286">
        <v>0</v>
      </c>
      <c r="T286">
        <v>0</v>
      </c>
      <c r="U286">
        <v>0</v>
      </c>
      <c r="V286">
        <v>0</v>
      </c>
      <c r="W286">
        <v>0</v>
      </c>
      <c r="X286">
        <v>0</v>
      </c>
      <c r="Y286">
        <v>0</v>
      </c>
      <c r="Z286">
        <v>0</v>
      </c>
      <c r="AA286">
        <v>0</v>
      </c>
      <c r="AB286">
        <v>0</v>
      </c>
      <c r="AC286">
        <v>0</v>
      </c>
      <c r="AD286">
        <v>0</v>
      </c>
      <c r="AF286">
        <v>0</v>
      </c>
      <c r="AG286">
        <v>0</v>
      </c>
      <c r="AH286">
        <v>0</v>
      </c>
      <c r="AI286">
        <v>0</v>
      </c>
      <c r="AJ286">
        <v>0</v>
      </c>
      <c r="AK286">
        <v>0</v>
      </c>
      <c r="AL286">
        <v>0</v>
      </c>
      <c r="AM286">
        <v>0</v>
      </c>
      <c r="AN286">
        <v>0</v>
      </c>
      <c r="AO286">
        <v>0</v>
      </c>
      <c r="AP286">
        <v>0</v>
      </c>
      <c r="AQ286">
        <v>0</v>
      </c>
      <c r="AR286">
        <v>0</v>
      </c>
      <c r="AS286">
        <v>0</v>
      </c>
      <c r="AT286">
        <v>0</v>
      </c>
      <c r="AU286">
        <v>0</v>
      </c>
      <c r="AV286">
        <v>0</v>
      </c>
      <c r="AW286">
        <v>0</v>
      </c>
      <c r="AX286">
        <v>0</v>
      </c>
      <c r="AY286">
        <v>0</v>
      </c>
      <c r="AZ286">
        <v>0</v>
      </c>
      <c r="BA286">
        <v>0</v>
      </c>
      <c r="BB286">
        <v>0</v>
      </c>
      <c r="BC286">
        <v>0</v>
      </c>
      <c r="BD286">
        <v>0</v>
      </c>
      <c r="BE286">
        <v>0</v>
      </c>
      <c r="BF286">
        <v>0</v>
      </c>
      <c r="BG286">
        <v>0</v>
      </c>
      <c r="BH286">
        <v>0</v>
      </c>
      <c r="BI286">
        <v>0</v>
      </c>
      <c r="BK286" s="151"/>
    </row>
    <row r="287" spans="1:63" x14ac:dyDescent="0.35">
      <c r="A287">
        <v>0</v>
      </c>
      <c r="B287">
        <v>0</v>
      </c>
      <c r="C287">
        <v>0</v>
      </c>
      <c r="D287">
        <v>0</v>
      </c>
      <c r="E287">
        <v>0</v>
      </c>
      <c r="F287">
        <v>0</v>
      </c>
      <c r="G287">
        <v>0</v>
      </c>
      <c r="H287">
        <v>0</v>
      </c>
      <c r="I287">
        <v>0</v>
      </c>
      <c r="J287">
        <v>0</v>
      </c>
      <c r="K287">
        <v>0</v>
      </c>
      <c r="L287">
        <v>0</v>
      </c>
      <c r="M287">
        <v>0</v>
      </c>
      <c r="N287">
        <v>0</v>
      </c>
      <c r="O287">
        <v>0</v>
      </c>
      <c r="P287">
        <v>0</v>
      </c>
      <c r="Q287">
        <v>0</v>
      </c>
      <c r="R287">
        <v>0</v>
      </c>
      <c r="S287">
        <v>0</v>
      </c>
      <c r="T287">
        <v>0</v>
      </c>
      <c r="U287">
        <v>0</v>
      </c>
      <c r="V287">
        <v>0</v>
      </c>
      <c r="W287">
        <v>0</v>
      </c>
      <c r="X287">
        <v>0</v>
      </c>
      <c r="Y287">
        <v>0</v>
      </c>
      <c r="Z287">
        <v>0</v>
      </c>
      <c r="AA287">
        <v>0</v>
      </c>
      <c r="AB287">
        <v>0</v>
      </c>
      <c r="AC287">
        <v>0</v>
      </c>
      <c r="AD287">
        <v>0</v>
      </c>
      <c r="AF287">
        <v>0</v>
      </c>
      <c r="AG287">
        <v>0</v>
      </c>
      <c r="AH287">
        <v>0</v>
      </c>
      <c r="AI287">
        <v>0</v>
      </c>
      <c r="AJ287">
        <v>0</v>
      </c>
      <c r="AK287">
        <v>0</v>
      </c>
      <c r="AL287">
        <v>0</v>
      </c>
      <c r="AM287">
        <v>0</v>
      </c>
      <c r="AN287">
        <v>0</v>
      </c>
      <c r="AO287">
        <v>0</v>
      </c>
      <c r="AP287">
        <v>0</v>
      </c>
      <c r="AQ287">
        <v>0</v>
      </c>
      <c r="AR287">
        <v>0</v>
      </c>
      <c r="AS287">
        <v>0</v>
      </c>
      <c r="AT287">
        <v>0</v>
      </c>
      <c r="AU287">
        <v>0</v>
      </c>
      <c r="AV287">
        <v>0</v>
      </c>
      <c r="AW287">
        <v>0</v>
      </c>
      <c r="AX287">
        <v>0</v>
      </c>
      <c r="AY287">
        <v>0</v>
      </c>
      <c r="AZ287">
        <v>0</v>
      </c>
      <c r="BA287">
        <v>0</v>
      </c>
      <c r="BB287">
        <v>0</v>
      </c>
      <c r="BC287">
        <v>0</v>
      </c>
      <c r="BD287">
        <v>0</v>
      </c>
      <c r="BE287">
        <v>0</v>
      </c>
      <c r="BF287">
        <v>0</v>
      </c>
      <c r="BG287">
        <v>0</v>
      </c>
      <c r="BH287">
        <v>0</v>
      </c>
      <c r="BI287">
        <v>0</v>
      </c>
      <c r="BK287" s="151"/>
    </row>
    <row r="288" spans="1:63" x14ac:dyDescent="0.35">
      <c r="A288">
        <v>0</v>
      </c>
      <c r="B288">
        <v>0</v>
      </c>
      <c r="C288">
        <v>0</v>
      </c>
      <c r="D288">
        <v>0</v>
      </c>
      <c r="E288">
        <v>0</v>
      </c>
      <c r="F288">
        <v>0</v>
      </c>
      <c r="G288">
        <v>0</v>
      </c>
      <c r="H288">
        <v>0</v>
      </c>
      <c r="I288">
        <v>0</v>
      </c>
      <c r="J288">
        <v>0</v>
      </c>
      <c r="K288">
        <v>0</v>
      </c>
      <c r="L288">
        <v>0</v>
      </c>
      <c r="M288">
        <v>0</v>
      </c>
      <c r="N288">
        <v>0</v>
      </c>
      <c r="O288">
        <v>0</v>
      </c>
      <c r="P288">
        <v>0</v>
      </c>
      <c r="Q288">
        <v>0</v>
      </c>
      <c r="R288">
        <v>0</v>
      </c>
      <c r="S288">
        <v>0</v>
      </c>
      <c r="T288">
        <v>0</v>
      </c>
      <c r="U288">
        <v>0</v>
      </c>
      <c r="V288">
        <v>0</v>
      </c>
      <c r="W288">
        <v>0</v>
      </c>
      <c r="X288">
        <v>0</v>
      </c>
      <c r="Y288">
        <v>0</v>
      </c>
      <c r="Z288">
        <v>0</v>
      </c>
      <c r="AA288">
        <v>0</v>
      </c>
      <c r="AB288">
        <v>0</v>
      </c>
      <c r="AC288">
        <v>0</v>
      </c>
      <c r="AD288">
        <v>0</v>
      </c>
      <c r="AF288">
        <v>0</v>
      </c>
      <c r="AG288">
        <v>0</v>
      </c>
      <c r="AH288">
        <v>0</v>
      </c>
      <c r="AI288">
        <v>0</v>
      </c>
      <c r="AJ288">
        <v>0</v>
      </c>
      <c r="AK288">
        <v>0</v>
      </c>
      <c r="AL288">
        <v>0</v>
      </c>
      <c r="AM288">
        <v>0</v>
      </c>
      <c r="AN288">
        <v>0</v>
      </c>
      <c r="AO288">
        <v>0</v>
      </c>
      <c r="AP288">
        <v>0</v>
      </c>
      <c r="AQ288">
        <v>0</v>
      </c>
      <c r="AR288">
        <v>0</v>
      </c>
      <c r="AS288">
        <v>0</v>
      </c>
      <c r="AT288">
        <v>0</v>
      </c>
      <c r="AU288">
        <v>0</v>
      </c>
      <c r="AV288">
        <v>0</v>
      </c>
      <c r="AW288">
        <v>0</v>
      </c>
      <c r="AX288">
        <v>0</v>
      </c>
      <c r="AY288">
        <v>0</v>
      </c>
      <c r="AZ288">
        <v>0</v>
      </c>
      <c r="BA288">
        <v>0</v>
      </c>
      <c r="BB288">
        <v>0</v>
      </c>
      <c r="BC288">
        <v>0</v>
      </c>
      <c r="BD288">
        <v>0</v>
      </c>
      <c r="BE288">
        <v>0</v>
      </c>
      <c r="BF288">
        <v>0</v>
      </c>
      <c r="BG288">
        <v>0</v>
      </c>
      <c r="BH288">
        <v>0</v>
      </c>
      <c r="BI288">
        <v>0</v>
      </c>
      <c r="BK288" s="151"/>
    </row>
    <row r="289" spans="1:63" x14ac:dyDescent="0.35">
      <c r="A289">
        <v>0</v>
      </c>
      <c r="B289">
        <v>0</v>
      </c>
      <c r="C289">
        <v>0</v>
      </c>
      <c r="D289">
        <v>0</v>
      </c>
      <c r="E289">
        <v>0</v>
      </c>
      <c r="F289">
        <v>0</v>
      </c>
      <c r="G289">
        <v>0</v>
      </c>
      <c r="H289">
        <v>0</v>
      </c>
      <c r="I289">
        <v>0</v>
      </c>
      <c r="J289">
        <v>0</v>
      </c>
      <c r="K289">
        <v>0</v>
      </c>
      <c r="L289">
        <v>0</v>
      </c>
      <c r="M289">
        <v>0</v>
      </c>
      <c r="N289">
        <v>0</v>
      </c>
      <c r="O289">
        <v>0</v>
      </c>
      <c r="P289">
        <v>0</v>
      </c>
      <c r="Q289">
        <v>0</v>
      </c>
      <c r="R289">
        <v>0</v>
      </c>
      <c r="S289">
        <v>0</v>
      </c>
      <c r="T289">
        <v>0</v>
      </c>
      <c r="U289">
        <v>0</v>
      </c>
      <c r="V289">
        <v>0</v>
      </c>
      <c r="W289">
        <v>0</v>
      </c>
      <c r="X289">
        <v>0</v>
      </c>
      <c r="Y289">
        <v>0</v>
      </c>
      <c r="Z289">
        <v>0</v>
      </c>
      <c r="AA289">
        <v>0</v>
      </c>
      <c r="AB289">
        <v>0</v>
      </c>
      <c r="AC289">
        <v>0</v>
      </c>
      <c r="AD289">
        <v>0</v>
      </c>
      <c r="AF289">
        <v>0</v>
      </c>
      <c r="AG289">
        <v>0</v>
      </c>
      <c r="AH289">
        <v>0</v>
      </c>
      <c r="AI289">
        <v>0</v>
      </c>
      <c r="AJ289">
        <v>0</v>
      </c>
      <c r="AK289">
        <v>0</v>
      </c>
      <c r="AL289">
        <v>0</v>
      </c>
      <c r="AM289">
        <v>0</v>
      </c>
      <c r="AN289">
        <v>0</v>
      </c>
      <c r="AO289">
        <v>0</v>
      </c>
      <c r="AP289">
        <v>0</v>
      </c>
      <c r="AQ289">
        <v>0</v>
      </c>
      <c r="AR289">
        <v>0</v>
      </c>
      <c r="AS289">
        <v>0</v>
      </c>
      <c r="AT289">
        <v>0</v>
      </c>
      <c r="AU289">
        <v>0</v>
      </c>
      <c r="AV289">
        <v>0</v>
      </c>
      <c r="AW289">
        <v>0</v>
      </c>
      <c r="AX289">
        <v>0</v>
      </c>
      <c r="AY289">
        <v>0</v>
      </c>
      <c r="AZ289">
        <v>0</v>
      </c>
      <c r="BA289">
        <v>0</v>
      </c>
      <c r="BB289">
        <v>0</v>
      </c>
      <c r="BC289">
        <v>0</v>
      </c>
      <c r="BD289">
        <v>0</v>
      </c>
      <c r="BE289">
        <v>0</v>
      </c>
      <c r="BF289">
        <v>0</v>
      </c>
      <c r="BG289">
        <v>0</v>
      </c>
      <c r="BH289">
        <v>0</v>
      </c>
      <c r="BI289">
        <v>0</v>
      </c>
      <c r="BK289" s="151"/>
    </row>
    <row r="290" spans="1:63" x14ac:dyDescent="0.35">
      <c r="A290">
        <v>0</v>
      </c>
      <c r="B290">
        <v>0</v>
      </c>
      <c r="C290">
        <v>0</v>
      </c>
      <c r="D290">
        <v>0</v>
      </c>
      <c r="E290">
        <v>0</v>
      </c>
      <c r="F290">
        <v>0</v>
      </c>
      <c r="G290">
        <v>0</v>
      </c>
      <c r="H290">
        <v>0</v>
      </c>
      <c r="I290">
        <v>0</v>
      </c>
      <c r="J290">
        <v>0</v>
      </c>
      <c r="K290">
        <v>0</v>
      </c>
      <c r="L290">
        <v>0</v>
      </c>
      <c r="M290">
        <v>0</v>
      </c>
      <c r="N290">
        <v>0</v>
      </c>
      <c r="O290">
        <v>0</v>
      </c>
      <c r="P290">
        <v>0</v>
      </c>
      <c r="Q290">
        <v>0</v>
      </c>
      <c r="R290">
        <v>0</v>
      </c>
      <c r="S290">
        <v>0</v>
      </c>
      <c r="T290">
        <v>0</v>
      </c>
      <c r="U290">
        <v>0</v>
      </c>
      <c r="V290">
        <v>0</v>
      </c>
      <c r="W290">
        <v>0</v>
      </c>
      <c r="X290">
        <v>0</v>
      </c>
      <c r="Y290">
        <v>0</v>
      </c>
      <c r="Z290">
        <v>0</v>
      </c>
      <c r="AA290">
        <v>0</v>
      </c>
      <c r="AB290">
        <v>0</v>
      </c>
      <c r="AC290">
        <v>0</v>
      </c>
      <c r="AD290">
        <v>0</v>
      </c>
      <c r="AF290">
        <v>0</v>
      </c>
      <c r="AG290">
        <v>0</v>
      </c>
      <c r="AH290">
        <v>0</v>
      </c>
      <c r="AI290">
        <v>0</v>
      </c>
      <c r="AJ290">
        <v>0</v>
      </c>
      <c r="AK290">
        <v>0</v>
      </c>
      <c r="AL290">
        <v>0</v>
      </c>
      <c r="AM290">
        <v>0</v>
      </c>
      <c r="AN290">
        <v>0</v>
      </c>
      <c r="AO290">
        <v>0</v>
      </c>
      <c r="AP290">
        <v>0</v>
      </c>
      <c r="AQ290">
        <v>0</v>
      </c>
      <c r="AR290">
        <v>0</v>
      </c>
      <c r="AS290">
        <v>0</v>
      </c>
      <c r="AT290">
        <v>0</v>
      </c>
      <c r="AU290">
        <v>0</v>
      </c>
      <c r="AV290">
        <v>0</v>
      </c>
      <c r="AW290">
        <v>0</v>
      </c>
      <c r="AX290">
        <v>0</v>
      </c>
      <c r="AY290">
        <v>0</v>
      </c>
      <c r="AZ290">
        <v>0</v>
      </c>
      <c r="BA290">
        <v>0</v>
      </c>
      <c r="BB290">
        <v>0</v>
      </c>
      <c r="BC290">
        <v>0</v>
      </c>
      <c r="BD290">
        <v>0</v>
      </c>
      <c r="BE290">
        <v>0</v>
      </c>
      <c r="BF290">
        <v>0</v>
      </c>
      <c r="BG290">
        <v>0</v>
      </c>
      <c r="BH290">
        <v>0</v>
      </c>
      <c r="BI290">
        <v>0</v>
      </c>
      <c r="BK290" s="151"/>
    </row>
    <row r="291" spans="1:63" x14ac:dyDescent="0.35">
      <c r="A291">
        <v>0</v>
      </c>
      <c r="B291">
        <v>0</v>
      </c>
      <c r="C291">
        <v>0</v>
      </c>
      <c r="D291">
        <v>0</v>
      </c>
      <c r="E291">
        <v>0</v>
      </c>
      <c r="F291">
        <v>0</v>
      </c>
      <c r="G291">
        <v>0</v>
      </c>
      <c r="H291">
        <v>0</v>
      </c>
      <c r="I291">
        <v>0</v>
      </c>
      <c r="J291">
        <v>0</v>
      </c>
      <c r="K291">
        <v>0</v>
      </c>
      <c r="L291">
        <v>0</v>
      </c>
      <c r="M291">
        <v>0</v>
      </c>
      <c r="N291">
        <v>0</v>
      </c>
      <c r="O291">
        <v>0</v>
      </c>
      <c r="P291">
        <v>0</v>
      </c>
      <c r="Q291">
        <v>0</v>
      </c>
      <c r="R291">
        <v>0</v>
      </c>
      <c r="S291">
        <v>0</v>
      </c>
      <c r="T291">
        <v>0</v>
      </c>
      <c r="U291">
        <v>0</v>
      </c>
      <c r="V291">
        <v>0</v>
      </c>
      <c r="W291">
        <v>0</v>
      </c>
      <c r="X291">
        <v>0</v>
      </c>
      <c r="Y291">
        <v>0</v>
      </c>
      <c r="Z291">
        <v>0</v>
      </c>
      <c r="AA291">
        <v>0</v>
      </c>
      <c r="AB291">
        <v>0</v>
      </c>
      <c r="AC291">
        <v>0</v>
      </c>
      <c r="AD291">
        <v>0</v>
      </c>
      <c r="AF291">
        <v>0</v>
      </c>
      <c r="AG291">
        <v>0</v>
      </c>
      <c r="AH291">
        <v>0</v>
      </c>
      <c r="AI291">
        <v>0</v>
      </c>
      <c r="AJ291">
        <v>0</v>
      </c>
      <c r="AK291">
        <v>0</v>
      </c>
      <c r="AL291">
        <v>0</v>
      </c>
      <c r="AM291">
        <v>0</v>
      </c>
      <c r="AN291">
        <v>0</v>
      </c>
      <c r="AO291">
        <v>0</v>
      </c>
      <c r="AP291">
        <v>0</v>
      </c>
      <c r="AQ291">
        <v>0</v>
      </c>
      <c r="AR291">
        <v>0</v>
      </c>
      <c r="AS291">
        <v>0</v>
      </c>
      <c r="AT291">
        <v>0</v>
      </c>
      <c r="AU291">
        <v>0</v>
      </c>
      <c r="AV291">
        <v>0</v>
      </c>
      <c r="AW291">
        <v>0</v>
      </c>
      <c r="AX291">
        <v>0</v>
      </c>
      <c r="AY291">
        <v>0</v>
      </c>
      <c r="AZ291">
        <v>0</v>
      </c>
      <c r="BA291">
        <v>0</v>
      </c>
      <c r="BB291">
        <v>0</v>
      </c>
      <c r="BC291">
        <v>0</v>
      </c>
      <c r="BD291">
        <v>0</v>
      </c>
      <c r="BE291">
        <v>0</v>
      </c>
      <c r="BF291">
        <v>0</v>
      </c>
      <c r="BG291">
        <v>0</v>
      </c>
      <c r="BH291">
        <v>0</v>
      </c>
      <c r="BI291">
        <v>0</v>
      </c>
      <c r="BK291" s="151"/>
    </row>
    <row r="292" spans="1:63" x14ac:dyDescent="0.35">
      <c r="A292">
        <v>0</v>
      </c>
      <c r="B292">
        <v>0</v>
      </c>
      <c r="C292">
        <v>0</v>
      </c>
      <c r="D292">
        <v>0</v>
      </c>
      <c r="E292">
        <v>0</v>
      </c>
      <c r="F292">
        <v>0</v>
      </c>
      <c r="G292">
        <v>0</v>
      </c>
      <c r="H292">
        <v>0</v>
      </c>
      <c r="I292">
        <v>0</v>
      </c>
      <c r="J292">
        <v>0</v>
      </c>
      <c r="K292">
        <v>0</v>
      </c>
      <c r="L292">
        <v>0</v>
      </c>
      <c r="M292">
        <v>0</v>
      </c>
      <c r="N292">
        <v>0</v>
      </c>
      <c r="O292">
        <v>0</v>
      </c>
      <c r="P292">
        <v>0</v>
      </c>
      <c r="Q292">
        <v>0</v>
      </c>
      <c r="R292">
        <v>0</v>
      </c>
      <c r="S292">
        <v>0</v>
      </c>
      <c r="T292">
        <v>0</v>
      </c>
      <c r="U292">
        <v>0</v>
      </c>
      <c r="V292">
        <v>0</v>
      </c>
      <c r="W292">
        <v>0</v>
      </c>
      <c r="X292">
        <v>0</v>
      </c>
      <c r="Y292">
        <v>0</v>
      </c>
      <c r="Z292">
        <v>0</v>
      </c>
      <c r="AA292">
        <v>0</v>
      </c>
      <c r="AB292">
        <v>0</v>
      </c>
      <c r="AC292">
        <v>0</v>
      </c>
      <c r="AD292">
        <v>0</v>
      </c>
      <c r="AF292">
        <v>0</v>
      </c>
      <c r="AG292">
        <v>0</v>
      </c>
      <c r="AH292">
        <v>0</v>
      </c>
      <c r="AI292">
        <v>0</v>
      </c>
      <c r="AJ292">
        <v>0</v>
      </c>
      <c r="AK292">
        <v>0</v>
      </c>
      <c r="AL292">
        <v>0</v>
      </c>
      <c r="AM292">
        <v>0</v>
      </c>
      <c r="AN292">
        <v>0</v>
      </c>
      <c r="AO292">
        <v>0</v>
      </c>
      <c r="AP292">
        <v>0</v>
      </c>
      <c r="AQ292">
        <v>0</v>
      </c>
      <c r="AR292">
        <v>0</v>
      </c>
      <c r="AS292">
        <v>0</v>
      </c>
      <c r="AT292">
        <v>0</v>
      </c>
      <c r="AU292">
        <v>0</v>
      </c>
      <c r="AV292">
        <v>0</v>
      </c>
      <c r="AW292">
        <v>0</v>
      </c>
      <c r="AX292">
        <v>0</v>
      </c>
      <c r="AY292">
        <v>0</v>
      </c>
      <c r="AZ292">
        <v>0</v>
      </c>
      <c r="BA292">
        <v>0</v>
      </c>
      <c r="BB292">
        <v>0</v>
      </c>
      <c r="BC292">
        <v>0</v>
      </c>
      <c r="BD292">
        <v>0</v>
      </c>
      <c r="BE292">
        <v>0</v>
      </c>
      <c r="BF292">
        <v>0</v>
      </c>
      <c r="BG292">
        <v>0</v>
      </c>
      <c r="BH292">
        <v>0</v>
      </c>
      <c r="BI292">
        <v>0</v>
      </c>
      <c r="BK292" s="151"/>
    </row>
    <row r="293" spans="1:63" x14ac:dyDescent="0.35">
      <c r="A293">
        <v>0</v>
      </c>
      <c r="B293">
        <v>0</v>
      </c>
      <c r="C293">
        <v>0</v>
      </c>
      <c r="D293">
        <v>0</v>
      </c>
      <c r="E293">
        <v>0</v>
      </c>
      <c r="F293">
        <v>0</v>
      </c>
      <c r="G293">
        <v>0</v>
      </c>
      <c r="H293">
        <v>0</v>
      </c>
      <c r="I293">
        <v>0</v>
      </c>
      <c r="J293">
        <v>0</v>
      </c>
      <c r="K293">
        <v>0</v>
      </c>
      <c r="L293">
        <v>0</v>
      </c>
      <c r="M293">
        <v>0</v>
      </c>
      <c r="N293">
        <v>0</v>
      </c>
      <c r="O293">
        <v>0</v>
      </c>
      <c r="P293">
        <v>0</v>
      </c>
      <c r="Q293">
        <v>0</v>
      </c>
      <c r="R293">
        <v>0</v>
      </c>
      <c r="S293">
        <v>0</v>
      </c>
      <c r="T293">
        <v>0</v>
      </c>
      <c r="U293">
        <v>0</v>
      </c>
      <c r="V293">
        <v>0</v>
      </c>
      <c r="W293">
        <v>0</v>
      </c>
      <c r="X293">
        <v>0</v>
      </c>
      <c r="Y293">
        <v>0</v>
      </c>
      <c r="Z293">
        <v>0</v>
      </c>
      <c r="AA293">
        <v>0</v>
      </c>
      <c r="AB293">
        <v>0</v>
      </c>
      <c r="AC293">
        <v>0</v>
      </c>
      <c r="AD293">
        <v>0</v>
      </c>
      <c r="AF293">
        <v>0</v>
      </c>
      <c r="AG293">
        <v>0</v>
      </c>
      <c r="AH293">
        <v>0</v>
      </c>
      <c r="AI293">
        <v>0</v>
      </c>
      <c r="AJ293">
        <v>0</v>
      </c>
      <c r="AK293">
        <v>0</v>
      </c>
      <c r="AL293">
        <v>0</v>
      </c>
      <c r="AM293">
        <v>0</v>
      </c>
      <c r="AN293">
        <v>0</v>
      </c>
      <c r="AO293">
        <v>0</v>
      </c>
      <c r="AP293">
        <v>0</v>
      </c>
      <c r="AQ293">
        <v>0</v>
      </c>
      <c r="AR293">
        <v>0</v>
      </c>
      <c r="AS293">
        <v>0</v>
      </c>
      <c r="AT293">
        <v>0</v>
      </c>
      <c r="AU293">
        <v>0</v>
      </c>
      <c r="AV293">
        <v>0</v>
      </c>
      <c r="AW293">
        <v>0</v>
      </c>
      <c r="AX293">
        <v>0</v>
      </c>
      <c r="AY293">
        <v>0</v>
      </c>
      <c r="AZ293">
        <v>0</v>
      </c>
      <c r="BA293">
        <v>0</v>
      </c>
      <c r="BB293">
        <v>0</v>
      </c>
      <c r="BC293">
        <v>0</v>
      </c>
      <c r="BD293">
        <v>0</v>
      </c>
      <c r="BE293">
        <v>0</v>
      </c>
      <c r="BF293">
        <v>0</v>
      </c>
      <c r="BG293">
        <v>0</v>
      </c>
      <c r="BH293">
        <v>0</v>
      </c>
      <c r="BI293">
        <v>0</v>
      </c>
      <c r="BK293" s="151"/>
    </row>
    <row r="294" spans="1:63" x14ac:dyDescent="0.35">
      <c r="A294">
        <v>0</v>
      </c>
      <c r="B294">
        <v>0</v>
      </c>
      <c r="C294">
        <v>0</v>
      </c>
      <c r="D294">
        <v>0</v>
      </c>
      <c r="E294">
        <v>0</v>
      </c>
      <c r="F294">
        <v>0</v>
      </c>
      <c r="G294">
        <v>0</v>
      </c>
      <c r="H294">
        <v>0</v>
      </c>
      <c r="I294">
        <v>0</v>
      </c>
      <c r="J294">
        <v>0</v>
      </c>
      <c r="K294">
        <v>0</v>
      </c>
      <c r="L294">
        <v>0</v>
      </c>
      <c r="M294">
        <v>0</v>
      </c>
      <c r="N294">
        <v>0</v>
      </c>
      <c r="O294">
        <v>0</v>
      </c>
      <c r="P294">
        <v>0</v>
      </c>
      <c r="Q294">
        <v>0</v>
      </c>
      <c r="R294">
        <v>0</v>
      </c>
      <c r="S294">
        <v>0</v>
      </c>
      <c r="T294">
        <v>0</v>
      </c>
      <c r="U294">
        <v>0</v>
      </c>
      <c r="V294">
        <v>0</v>
      </c>
      <c r="W294">
        <v>0</v>
      </c>
      <c r="X294">
        <v>0</v>
      </c>
      <c r="Y294">
        <v>0</v>
      </c>
      <c r="Z294">
        <v>0</v>
      </c>
      <c r="AA294">
        <v>0</v>
      </c>
      <c r="AB294">
        <v>0</v>
      </c>
      <c r="AC294">
        <v>0</v>
      </c>
      <c r="AD294">
        <v>0</v>
      </c>
      <c r="AF294">
        <v>0</v>
      </c>
      <c r="AG294">
        <v>0</v>
      </c>
      <c r="AH294">
        <v>0</v>
      </c>
      <c r="AI294">
        <v>0</v>
      </c>
      <c r="AJ294">
        <v>0</v>
      </c>
      <c r="AK294">
        <v>0</v>
      </c>
      <c r="AL294">
        <v>0</v>
      </c>
      <c r="AM294">
        <v>0</v>
      </c>
      <c r="AN294">
        <v>0</v>
      </c>
      <c r="AO294">
        <v>0</v>
      </c>
      <c r="AP294">
        <v>0</v>
      </c>
      <c r="AQ294">
        <v>0</v>
      </c>
      <c r="AR294">
        <v>0</v>
      </c>
      <c r="AS294">
        <v>0</v>
      </c>
      <c r="AT294">
        <v>0</v>
      </c>
      <c r="AU294">
        <v>0</v>
      </c>
      <c r="AV294">
        <v>0</v>
      </c>
      <c r="AW294">
        <v>0</v>
      </c>
      <c r="AX294">
        <v>0</v>
      </c>
      <c r="AY294">
        <v>0</v>
      </c>
      <c r="AZ294">
        <v>0</v>
      </c>
      <c r="BA294">
        <v>0</v>
      </c>
      <c r="BB294">
        <v>0</v>
      </c>
      <c r="BC294">
        <v>0</v>
      </c>
      <c r="BD294">
        <v>0</v>
      </c>
      <c r="BE294">
        <v>0</v>
      </c>
      <c r="BF294">
        <v>0</v>
      </c>
      <c r="BG294">
        <v>0</v>
      </c>
      <c r="BH294">
        <v>0</v>
      </c>
      <c r="BI294">
        <v>0</v>
      </c>
      <c r="BK294" s="151"/>
    </row>
    <row r="295" spans="1:63" x14ac:dyDescent="0.35">
      <c r="A295">
        <v>0</v>
      </c>
      <c r="B295">
        <v>0</v>
      </c>
      <c r="C295">
        <v>0</v>
      </c>
      <c r="D295">
        <v>0</v>
      </c>
      <c r="E295">
        <v>0</v>
      </c>
      <c r="F295">
        <v>0</v>
      </c>
      <c r="G295">
        <v>0</v>
      </c>
      <c r="H295">
        <v>0</v>
      </c>
      <c r="I295">
        <v>0</v>
      </c>
      <c r="J295">
        <v>0</v>
      </c>
      <c r="K295">
        <v>0</v>
      </c>
      <c r="L295">
        <v>0</v>
      </c>
      <c r="M295">
        <v>0</v>
      </c>
      <c r="N295">
        <v>0</v>
      </c>
      <c r="O295">
        <v>0</v>
      </c>
      <c r="P295">
        <v>0</v>
      </c>
      <c r="Q295">
        <v>0</v>
      </c>
      <c r="R295">
        <v>0</v>
      </c>
      <c r="S295">
        <v>0</v>
      </c>
      <c r="T295">
        <v>0</v>
      </c>
      <c r="U295">
        <v>0</v>
      </c>
      <c r="V295">
        <v>0</v>
      </c>
      <c r="W295">
        <v>0</v>
      </c>
      <c r="X295">
        <v>0</v>
      </c>
      <c r="Y295">
        <v>0</v>
      </c>
      <c r="Z295">
        <v>0</v>
      </c>
      <c r="AA295">
        <v>0</v>
      </c>
      <c r="AB295">
        <v>0</v>
      </c>
      <c r="AC295">
        <v>0</v>
      </c>
      <c r="AD295">
        <v>0</v>
      </c>
      <c r="AF295">
        <v>0</v>
      </c>
      <c r="AG295">
        <v>0</v>
      </c>
      <c r="AH295">
        <v>0</v>
      </c>
      <c r="AI295">
        <v>0</v>
      </c>
      <c r="AJ295">
        <v>0</v>
      </c>
      <c r="AK295">
        <v>0</v>
      </c>
      <c r="AL295">
        <v>0</v>
      </c>
      <c r="AM295">
        <v>0</v>
      </c>
      <c r="AN295">
        <v>0</v>
      </c>
      <c r="AO295">
        <v>0</v>
      </c>
      <c r="AP295">
        <v>0</v>
      </c>
      <c r="AQ295">
        <v>0</v>
      </c>
      <c r="AR295">
        <v>0</v>
      </c>
      <c r="AS295">
        <v>0</v>
      </c>
      <c r="AT295">
        <v>0</v>
      </c>
      <c r="AU295">
        <v>0</v>
      </c>
      <c r="AV295">
        <v>0</v>
      </c>
      <c r="AW295">
        <v>0</v>
      </c>
      <c r="AX295">
        <v>0</v>
      </c>
      <c r="AY295">
        <v>0</v>
      </c>
      <c r="AZ295">
        <v>0</v>
      </c>
      <c r="BA295">
        <v>0</v>
      </c>
      <c r="BB295">
        <v>0</v>
      </c>
      <c r="BC295">
        <v>0</v>
      </c>
      <c r="BD295">
        <v>0</v>
      </c>
      <c r="BE295">
        <v>0</v>
      </c>
      <c r="BF295">
        <v>0</v>
      </c>
      <c r="BG295">
        <v>0</v>
      </c>
      <c r="BH295">
        <v>0</v>
      </c>
      <c r="BI295">
        <v>0</v>
      </c>
      <c r="BK295" s="151"/>
    </row>
    <row r="296" spans="1:63" x14ac:dyDescent="0.35">
      <c r="A296">
        <v>0</v>
      </c>
      <c r="B296">
        <v>0</v>
      </c>
      <c r="C296">
        <v>0</v>
      </c>
      <c r="D296">
        <v>0</v>
      </c>
      <c r="E296">
        <v>0</v>
      </c>
      <c r="F296">
        <v>0</v>
      </c>
      <c r="G296">
        <v>0</v>
      </c>
      <c r="H296">
        <v>0</v>
      </c>
      <c r="I296">
        <v>0</v>
      </c>
      <c r="J296">
        <v>0</v>
      </c>
      <c r="K296">
        <v>0</v>
      </c>
      <c r="L296">
        <v>0</v>
      </c>
      <c r="M296">
        <v>0</v>
      </c>
      <c r="N296">
        <v>0</v>
      </c>
      <c r="O296">
        <v>0</v>
      </c>
      <c r="P296">
        <v>0</v>
      </c>
      <c r="Q296">
        <v>0</v>
      </c>
      <c r="R296">
        <v>0</v>
      </c>
      <c r="S296">
        <v>0</v>
      </c>
      <c r="T296">
        <v>0</v>
      </c>
      <c r="U296">
        <v>0</v>
      </c>
      <c r="V296">
        <v>0</v>
      </c>
      <c r="W296">
        <v>0</v>
      </c>
      <c r="X296">
        <v>0</v>
      </c>
      <c r="Y296">
        <v>0</v>
      </c>
      <c r="Z296">
        <v>0</v>
      </c>
      <c r="AA296">
        <v>0</v>
      </c>
      <c r="AB296">
        <v>0</v>
      </c>
      <c r="AC296">
        <v>0</v>
      </c>
      <c r="AD296">
        <v>0</v>
      </c>
      <c r="AF296">
        <v>0</v>
      </c>
      <c r="AG296">
        <v>0</v>
      </c>
      <c r="AH296">
        <v>0</v>
      </c>
      <c r="AI296">
        <v>0</v>
      </c>
      <c r="AJ296">
        <v>0</v>
      </c>
      <c r="AK296">
        <v>0</v>
      </c>
      <c r="AL296">
        <v>0</v>
      </c>
      <c r="AM296">
        <v>0</v>
      </c>
      <c r="AN296">
        <v>0</v>
      </c>
      <c r="AO296">
        <v>0</v>
      </c>
      <c r="AP296">
        <v>0</v>
      </c>
      <c r="AQ296">
        <v>0</v>
      </c>
      <c r="AR296">
        <v>0</v>
      </c>
      <c r="AS296">
        <v>0</v>
      </c>
      <c r="AT296">
        <v>0</v>
      </c>
      <c r="AU296">
        <v>0</v>
      </c>
      <c r="AV296">
        <v>0</v>
      </c>
      <c r="AW296">
        <v>0</v>
      </c>
      <c r="AX296">
        <v>0</v>
      </c>
      <c r="AY296">
        <v>0</v>
      </c>
      <c r="AZ296">
        <v>0</v>
      </c>
      <c r="BA296">
        <v>0</v>
      </c>
      <c r="BB296">
        <v>0</v>
      </c>
      <c r="BC296">
        <v>0</v>
      </c>
      <c r="BD296">
        <v>0</v>
      </c>
      <c r="BE296">
        <v>0</v>
      </c>
      <c r="BF296">
        <v>0</v>
      </c>
      <c r="BG296">
        <v>0</v>
      </c>
      <c r="BH296">
        <v>0</v>
      </c>
      <c r="BI296">
        <v>0</v>
      </c>
      <c r="BK296" s="151"/>
    </row>
    <row r="297" spans="1:63" x14ac:dyDescent="0.35">
      <c r="A297">
        <v>0</v>
      </c>
      <c r="B297">
        <v>0</v>
      </c>
      <c r="C297">
        <v>0</v>
      </c>
      <c r="D297">
        <v>0</v>
      </c>
      <c r="E297">
        <v>0</v>
      </c>
      <c r="F297">
        <v>0</v>
      </c>
      <c r="G297">
        <v>0</v>
      </c>
      <c r="H297">
        <v>0</v>
      </c>
      <c r="I297">
        <v>0</v>
      </c>
      <c r="J297">
        <v>0</v>
      </c>
      <c r="K297">
        <v>0</v>
      </c>
      <c r="L297">
        <v>0</v>
      </c>
      <c r="M297">
        <v>0</v>
      </c>
      <c r="N297">
        <v>0</v>
      </c>
      <c r="O297">
        <v>0</v>
      </c>
      <c r="P297">
        <v>0</v>
      </c>
      <c r="Q297">
        <v>0</v>
      </c>
      <c r="R297">
        <v>0</v>
      </c>
      <c r="S297">
        <v>0</v>
      </c>
      <c r="T297">
        <v>0</v>
      </c>
      <c r="U297">
        <v>0</v>
      </c>
      <c r="V297">
        <v>0</v>
      </c>
      <c r="W297">
        <v>0</v>
      </c>
      <c r="X297">
        <v>0</v>
      </c>
      <c r="Y297">
        <v>0</v>
      </c>
      <c r="Z297">
        <v>0</v>
      </c>
      <c r="AA297">
        <v>0</v>
      </c>
      <c r="AB297">
        <v>0</v>
      </c>
      <c r="AC297">
        <v>0</v>
      </c>
      <c r="AD297">
        <v>0</v>
      </c>
      <c r="AF297">
        <v>0</v>
      </c>
      <c r="AG297">
        <v>0</v>
      </c>
      <c r="AH297">
        <v>0</v>
      </c>
      <c r="AI297">
        <v>0</v>
      </c>
      <c r="AJ297">
        <v>0</v>
      </c>
      <c r="AK297">
        <v>0</v>
      </c>
      <c r="AL297">
        <v>0</v>
      </c>
      <c r="AM297">
        <v>0</v>
      </c>
      <c r="AN297">
        <v>0</v>
      </c>
      <c r="AO297">
        <v>0</v>
      </c>
      <c r="AP297">
        <v>0</v>
      </c>
      <c r="AQ297">
        <v>0</v>
      </c>
      <c r="AR297">
        <v>0</v>
      </c>
      <c r="AS297">
        <v>0</v>
      </c>
      <c r="AT297">
        <v>0</v>
      </c>
      <c r="AU297">
        <v>0</v>
      </c>
      <c r="AV297">
        <v>0</v>
      </c>
      <c r="AW297">
        <v>0</v>
      </c>
      <c r="AX297">
        <v>0</v>
      </c>
      <c r="AY297">
        <v>0</v>
      </c>
      <c r="AZ297">
        <v>0</v>
      </c>
      <c r="BA297">
        <v>0</v>
      </c>
      <c r="BB297">
        <v>0</v>
      </c>
      <c r="BC297">
        <v>0</v>
      </c>
      <c r="BD297">
        <v>0</v>
      </c>
      <c r="BE297">
        <v>0</v>
      </c>
      <c r="BF297">
        <v>0</v>
      </c>
      <c r="BG297">
        <v>0</v>
      </c>
      <c r="BH297">
        <v>0</v>
      </c>
      <c r="BI297">
        <v>0</v>
      </c>
      <c r="BK297" s="151"/>
    </row>
    <row r="298" spans="1:63" x14ac:dyDescent="0.35">
      <c r="A298">
        <v>0</v>
      </c>
      <c r="B298">
        <v>0</v>
      </c>
      <c r="C298">
        <v>0</v>
      </c>
      <c r="D298">
        <v>0</v>
      </c>
      <c r="E298">
        <v>0</v>
      </c>
      <c r="F298">
        <v>0</v>
      </c>
      <c r="G298">
        <v>0</v>
      </c>
      <c r="H298">
        <v>0</v>
      </c>
      <c r="I298">
        <v>0</v>
      </c>
      <c r="J298">
        <v>0</v>
      </c>
      <c r="K298">
        <v>0</v>
      </c>
      <c r="L298">
        <v>0</v>
      </c>
      <c r="M298">
        <v>0</v>
      </c>
      <c r="N298">
        <v>0</v>
      </c>
      <c r="O298">
        <v>0</v>
      </c>
      <c r="P298">
        <v>0</v>
      </c>
      <c r="Q298">
        <v>0</v>
      </c>
      <c r="R298">
        <v>0</v>
      </c>
      <c r="S298">
        <v>0</v>
      </c>
      <c r="T298">
        <v>0</v>
      </c>
      <c r="U298">
        <v>0</v>
      </c>
      <c r="V298">
        <v>0</v>
      </c>
      <c r="W298">
        <v>0</v>
      </c>
      <c r="X298">
        <v>0</v>
      </c>
      <c r="Y298">
        <v>0</v>
      </c>
      <c r="Z298">
        <v>0</v>
      </c>
      <c r="AA298">
        <v>0</v>
      </c>
      <c r="AB298">
        <v>0</v>
      </c>
      <c r="AC298">
        <v>0</v>
      </c>
      <c r="AD298">
        <v>0</v>
      </c>
      <c r="AF298">
        <v>0</v>
      </c>
      <c r="AG298">
        <v>0</v>
      </c>
      <c r="AH298">
        <v>0</v>
      </c>
      <c r="AI298">
        <v>0</v>
      </c>
      <c r="AJ298">
        <v>0</v>
      </c>
      <c r="AK298">
        <v>0</v>
      </c>
      <c r="AL298">
        <v>0</v>
      </c>
      <c r="AM298">
        <v>0</v>
      </c>
      <c r="AN298">
        <v>0</v>
      </c>
      <c r="AO298">
        <v>0</v>
      </c>
      <c r="AP298">
        <v>0</v>
      </c>
      <c r="AQ298">
        <v>0</v>
      </c>
      <c r="AR298">
        <v>0</v>
      </c>
      <c r="AS298">
        <v>0</v>
      </c>
      <c r="AT298">
        <v>0</v>
      </c>
      <c r="AU298">
        <v>0</v>
      </c>
      <c r="AV298">
        <v>0</v>
      </c>
      <c r="AW298">
        <v>0</v>
      </c>
      <c r="AX298">
        <v>0</v>
      </c>
      <c r="AY298">
        <v>0</v>
      </c>
      <c r="AZ298">
        <v>0</v>
      </c>
      <c r="BA298">
        <v>0</v>
      </c>
      <c r="BB298">
        <v>0</v>
      </c>
      <c r="BC298">
        <v>0</v>
      </c>
      <c r="BD298">
        <v>0</v>
      </c>
      <c r="BE298">
        <v>0</v>
      </c>
      <c r="BF298">
        <v>0</v>
      </c>
      <c r="BG298">
        <v>0</v>
      </c>
      <c r="BH298">
        <v>0</v>
      </c>
      <c r="BI298">
        <v>0</v>
      </c>
      <c r="BK298" s="151"/>
    </row>
    <row r="299" spans="1:63" x14ac:dyDescent="0.35">
      <c r="A299">
        <v>0</v>
      </c>
      <c r="B299">
        <v>0</v>
      </c>
      <c r="C299">
        <v>0</v>
      </c>
      <c r="D299">
        <v>0</v>
      </c>
      <c r="E299">
        <v>0</v>
      </c>
      <c r="F299">
        <v>0</v>
      </c>
      <c r="G299">
        <v>0</v>
      </c>
      <c r="H299">
        <v>0</v>
      </c>
      <c r="I299">
        <v>0</v>
      </c>
      <c r="J299">
        <v>0</v>
      </c>
      <c r="K299">
        <v>0</v>
      </c>
      <c r="L299">
        <v>0</v>
      </c>
      <c r="M299">
        <v>0</v>
      </c>
      <c r="N299">
        <v>0</v>
      </c>
      <c r="O299">
        <v>0</v>
      </c>
      <c r="P299">
        <v>0</v>
      </c>
      <c r="Q299">
        <v>0</v>
      </c>
      <c r="R299">
        <v>0</v>
      </c>
      <c r="S299">
        <v>0</v>
      </c>
      <c r="T299">
        <v>0</v>
      </c>
      <c r="U299">
        <v>0</v>
      </c>
      <c r="V299">
        <v>0</v>
      </c>
      <c r="W299">
        <v>0</v>
      </c>
      <c r="X299">
        <v>0</v>
      </c>
      <c r="Y299">
        <v>0</v>
      </c>
      <c r="Z299">
        <v>0</v>
      </c>
      <c r="AA299">
        <v>0</v>
      </c>
      <c r="AB299">
        <v>0</v>
      </c>
      <c r="AC299">
        <v>0</v>
      </c>
      <c r="AD299">
        <v>0</v>
      </c>
      <c r="AF299">
        <v>0</v>
      </c>
      <c r="AG299">
        <v>0</v>
      </c>
      <c r="AH299">
        <v>0</v>
      </c>
      <c r="AI299">
        <v>0</v>
      </c>
      <c r="AJ299">
        <v>0</v>
      </c>
      <c r="AK299">
        <v>0</v>
      </c>
      <c r="AL299">
        <v>0</v>
      </c>
      <c r="AM299">
        <v>0</v>
      </c>
      <c r="AN299">
        <v>0</v>
      </c>
      <c r="AO299">
        <v>0</v>
      </c>
      <c r="AP299">
        <v>0</v>
      </c>
      <c r="AQ299">
        <v>0</v>
      </c>
      <c r="AR299">
        <v>0</v>
      </c>
      <c r="AS299">
        <v>0</v>
      </c>
      <c r="AT299">
        <v>0</v>
      </c>
      <c r="AU299">
        <v>0</v>
      </c>
      <c r="AV299">
        <v>0</v>
      </c>
      <c r="AW299">
        <v>0</v>
      </c>
      <c r="AX299">
        <v>0</v>
      </c>
      <c r="AY299">
        <v>0</v>
      </c>
      <c r="AZ299">
        <v>0</v>
      </c>
      <c r="BA299">
        <v>0</v>
      </c>
      <c r="BB299">
        <v>0</v>
      </c>
      <c r="BC299">
        <v>0</v>
      </c>
      <c r="BD299">
        <v>0</v>
      </c>
      <c r="BE299">
        <v>0</v>
      </c>
      <c r="BF299">
        <v>0</v>
      </c>
      <c r="BG299">
        <v>0</v>
      </c>
      <c r="BH299">
        <v>0</v>
      </c>
      <c r="BI299">
        <v>0</v>
      </c>
      <c r="BK299" s="151"/>
    </row>
    <row r="300" spans="1:63" x14ac:dyDescent="0.35">
      <c r="A300">
        <v>0</v>
      </c>
      <c r="B300">
        <v>0</v>
      </c>
      <c r="C300">
        <v>0</v>
      </c>
      <c r="D300">
        <v>0</v>
      </c>
      <c r="E300">
        <v>0</v>
      </c>
      <c r="F300">
        <v>0</v>
      </c>
      <c r="G300">
        <v>0</v>
      </c>
      <c r="H300">
        <v>0</v>
      </c>
      <c r="I300">
        <v>0</v>
      </c>
      <c r="J300">
        <v>0</v>
      </c>
      <c r="K300">
        <v>0</v>
      </c>
      <c r="L300">
        <v>0</v>
      </c>
      <c r="M300">
        <v>0</v>
      </c>
      <c r="N300">
        <v>0</v>
      </c>
      <c r="O300">
        <v>0</v>
      </c>
      <c r="P300">
        <v>0</v>
      </c>
      <c r="Q300">
        <v>0</v>
      </c>
      <c r="R300">
        <v>0</v>
      </c>
      <c r="S300">
        <v>0</v>
      </c>
      <c r="T300">
        <v>0</v>
      </c>
      <c r="U300">
        <v>0</v>
      </c>
      <c r="V300">
        <v>0</v>
      </c>
      <c r="W300">
        <v>0</v>
      </c>
      <c r="X300">
        <v>0</v>
      </c>
      <c r="Y300">
        <v>0</v>
      </c>
      <c r="Z300">
        <v>0</v>
      </c>
      <c r="AA300">
        <v>0</v>
      </c>
      <c r="AB300">
        <v>0</v>
      </c>
      <c r="AC300">
        <v>0</v>
      </c>
      <c r="AD300">
        <v>0</v>
      </c>
      <c r="AF300">
        <v>0</v>
      </c>
      <c r="AG300">
        <v>0</v>
      </c>
      <c r="AH300">
        <v>0</v>
      </c>
      <c r="AI300">
        <v>0</v>
      </c>
      <c r="AJ300">
        <v>0</v>
      </c>
      <c r="AK300">
        <v>0</v>
      </c>
      <c r="AL300">
        <v>0</v>
      </c>
      <c r="AM300">
        <v>0</v>
      </c>
      <c r="AN300">
        <v>0</v>
      </c>
      <c r="AO300">
        <v>0</v>
      </c>
      <c r="AP300">
        <v>0</v>
      </c>
      <c r="AQ300">
        <v>0</v>
      </c>
      <c r="AR300">
        <v>0</v>
      </c>
      <c r="AS300">
        <v>0</v>
      </c>
      <c r="AT300">
        <v>0</v>
      </c>
      <c r="AU300">
        <v>0</v>
      </c>
      <c r="AV300">
        <v>0</v>
      </c>
      <c r="AW300">
        <v>0</v>
      </c>
      <c r="AX300">
        <v>0</v>
      </c>
      <c r="AY300">
        <v>0</v>
      </c>
      <c r="AZ300">
        <v>0</v>
      </c>
      <c r="BA300">
        <v>0</v>
      </c>
      <c r="BB300">
        <v>0</v>
      </c>
      <c r="BC300">
        <v>0</v>
      </c>
      <c r="BD300">
        <v>0</v>
      </c>
      <c r="BE300">
        <v>0</v>
      </c>
      <c r="BF300">
        <v>0</v>
      </c>
      <c r="BG300">
        <v>0</v>
      </c>
      <c r="BH300">
        <v>0</v>
      </c>
      <c r="BI300">
        <v>0</v>
      </c>
      <c r="BK300" s="151"/>
    </row>
    <row r="301" spans="1:63" x14ac:dyDescent="0.35">
      <c r="A301">
        <v>0</v>
      </c>
      <c r="B301">
        <v>0</v>
      </c>
      <c r="C301">
        <v>0</v>
      </c>
      <c r="D301">
        <v>0</v>
      </c>
      <c r="E301">
        <v>0</v>
      </c>
      <c r="F301">
        <v>0</v>
      </c>
      <c r="G301">
        <v>0</v>
      </c>
      <c r="H301">
        <v>0</v>
      </c>
      <c r="I301">
        <v>0</v>
      </c>
      <c r="J301">
        <v>0</v>
      </c>
      <c r="K301">
        <v>0</v>
      </c>
      <c r="L301">
        <v>0</v>
      </c>
      <c r="M301">
        <v>0</v>
      </c>
      <c r="N301">
        <v>0</v>
      </c>
      <c r="O301">
        <v>0</v>
      </c>
      <c r="P301">
        <v>0</v>
      </c>
      <c r="Q301">
        <v>0</v>
      </c>
      <c r="R301">
        <v>0</v>
      </c>
      <c r="S301">
        <v>0</v>
      </c>
      <c r="T301">
        <v>0</v>
      </c>
      <c r="U301">
        <v>0</v>
      </c>
      <c r="V301">
        <v>0</v>
      </c>
      <c r="W301">
        <v>0</v>
      </c>
      <c r="X301">
        <v>0</v>
      </c>
      <c r="Y301">
        <v>0</v>
      </c>
      <c r="Z301">
        <v>0</v>
      </c>
      <c r="AA301">
        <v>0</v>
      </c>
      <c r="AB301">
        <v>0</v>
      </c>
      <c r="AC301">
        <v>0</v>
      </c>
      <c r="AD301">
        <v>0</v>
      </c>
      <c r="AF301">
        <v>0</v>
      </c>
      <c r="AG301">
        <v>0</v>
      </c>
      <c r="AH301">
        <v>0</v>
      </c>
      <c r="AI301">
        <v>0</v>
      </c>
      <c r="AJ301">
        <v>0</v>
      </c>
      <c r="AK301">
        <v>0</v>
      </c>
      <c r="AL301">
        <v>0</v>
      </c>
      <c r="AM301">
        <v>0</v>
      </c>
      <c r="AN301">
        <v>0</v>
      </c>
      <c r="AO301">
        <v>0</v>
      </c>
      <c r="AP301">
        <v>0</v>
      </c>
      <c r="AQ301">
        <v>0</v>
      </c>
      <c r="AR301">
        <v>0</v>
      </c>
      <c r="AS301">
        <v>0</v>
      </c>
      <c r="AT301">
        <v>0</v>
      </c>
      <c r="AU301">
        <v>0</v>
      </c>
      <c r="AV301">
        <v>0</v>
      </c>
      <c r="AW301">
        <v>0</v>
      </c>
      <c r="AX301">
        <v>0</v>
      </c>
      <c r="AY301">
        <v>0</v>
      </c>
      <c r="AZ301">
        <v>0</v>
      </c>
      <c r="BA301">
        <v>0</v>
      </c>
      <c r="BB301">
        <v>0</v>
      </c>
      <c r="BC301">
        <v>0</v>
      </c>
      <c r="BD301">
        <v>0</v>
      </c>
      <c r="BE301">
        <v>0</v>
      </c>
      <c r="BF301">
        <v>0</v>
      </c>
      <c r="BG301">
        <v>0</v>
      </c>
      <c r="BH301">
        <v>0</v>
      </c>
      <c r="BI301">
        <v>0</v>
      </c>
      <c r="BK301" s="151"/>
    </row>
    <row r="302" spans="1:63" x14ac:dyDescent="0.35">
      <c r="A302">
        <v>0</v>
      </c>
      <c r="B302">
        <v>0</v>
      </c>
      <c r="C302">
        <v>0</v>
      </c>
      <c r="D302">
        <v>0</v>
      </c>
      <c r="E302">
        <v>0</v>
      </c>
      <c r="F302">
        <v>0</v>
      </c>
      <c r="G302">
        <v>0</v>
      </c>
      <c r="H302">
        <v>0</v>
      </c>
      <c r="I302">
        <v>0</v>
      </c>
      <c r="J302">
        <v>0</v>
      </c>
      <c r="K302">
        <v>0</v>
      </c>
      <c r="L302">
        <v>0</v>
      </c>
      <c r="M302">
        <v>0</v>
      </c>
      <c r="N302">
        <v>0</v>
      </c>
      <c r="O302">
        <v>0</v>
      </c>
      <c r="P302">
        <v>0</v>
      </c>
      <c r="Q302">
        <v>0</v>
      </c>
      <c r="R302">
        <v>0</v>
      </c>
      <c r="S302">
        <v>0</v>
      </c>
      <c r="T302">
        <v>0</v>
      </c>
      <c r="U302">
        <v>0</v>
      </c>
      <c r="V302">
        <v>0</v>
      </c>
      <c r="W302">
        <v>0</v>
      </c>
      <c r="X302">
        <v>0</v>
      </c>
      <c r="Y302">
        <v>0</v>
      </c>
      <c r="Z302">
        <v>0</v>
      </c>
      <c r="AA302">
        <v>0</v>
      </c>
      <c r="AB302">
        <v>0</v>
      </c>
      <c r="AC302">
        <v>0</v>
      </c>
      <c r="AD302">
        <v>0</v>
      </c>
      <c r="AF302">
        <v>0</v>
      </c>
      <c r="AG302">
        <v>0</v>
      </c>
      <c r="AH302">
        <v>0</v>
      </c>
      <c r="AI302">
        <v>0</v>
      </c>
      <c r="AJ302">
        <v>0</v>
      </c>
      <c r="AK302">
        <v>0</v>
      </c>
      <c r="AL302">
        <v>0</v>
      </c>
      <c r="AM302">
        <v>0</v>
      </c>
      <c r="AN302">
        <v>0</v>
      </c>
      <c r="AO302">
        <v>0</v>
      </c>
      <c r="AP302">
        <v>0</v>
      </c>
      <c r="AQ302">
        <v>0</v>
      </c>
      <c r="AR302">
        <v>0</v>
      </c>
      <c r="AS302">
        <v>0</v>
      </c>
      <c r="AT302">
        <v>0</v>
      </c>
      <c r="AU302">
        <v>0</v>
      </c>
      <c r="AV302">
        <v>0</v>
      </c>
      <c r="AW302">
        <v>0</v>
      </c>
      <c r="AX302">
        <v>0</v>
      </c>
      <c r="AY302">
        <v>0</v>
      </c>
      <c r="AZ302">
        <v>0</v>
      </c>
      <c r="BA302">
        <v>0</v>
      </c>
      <c r="BB302">
        <v>0</v>
      </c>
      <c r="BC302">
        <v>0</v>
      </c>
      <c r="BD302">
        <v>0</v>
      </c>
      <c r="BE302">
        <v>0</v>
      </c>
      <c r="BF302">
        <v>0</v>
      </c>
      <c r="BG302">
        <v>0</v>
      </c>
      <c r="BH302">
        <v>0</v>
      </c>
      <c r="BI302">
        <v>0</v>
      </c>
      <c r="BK302" s="151"/>
    </row>
    <row r="303" spans="1:63" x14ac:dyDescent="0.35">
      <c r="A303">
        <v>0</v>
      </c>
      <c r="B303">
        <v>0</v>
      </c>
      <c r="C303">
        <v>0</v>
      </c>
      <c r="D303">
        <v>0</v>
      </c>
      <c r="E303">
        <v>0</v>
      </c>
      <c r="F303">
        <v>0</v>
      </c>
      <c r="G303">
        <v>0</v>
      </c>
      <c r="H303">
        <v>0</v>
      </c>
      <c r="I303">
        <v>0</v>
      </c>
      <c r="J303">
        <v>0</v>
      </c>
      <c r="K303">
        <v>0</v>
      </c>
      <c r="L303">
        <v>0</v>
      </c>
      <c r="M303">
        <v>0</v>
      </c>
      <c r="N303">
        <v>0</v>
      </c>
      <c r="O303">
        <v>0</v>
      </c>
      <c r="P303">
        <v>0</v>
      </c>
      <c r="Q303">
        <v>0</v>
      </c>
      <c r="R303">
        <v>0</v>
      </c>
      <c r="S303">
        <v>0</v>
      </c>
      <c r="T303">
        <v>0</v>
      </c>
      <c r="U303">
        <v>0</v>
      </c>
      <c r="V303">
        <v>0</v>
      </c>
      <c r="W303">
        <v>0</v>
      </c>
      <c r="X303">
        <v>0</v>
      </c>
      <c r="Y303">
        <v>0</v>
      </c>
      <c r="Z303">
        <v>0</v>
      </c>
      <c r="AA303">
        <v>0</v>
      </c>
      <c r="AB303">
        <v>0</v>
      </c>
      <c r="AC303">
        <v>0</v>
      </c>
      <c r="AD303">
        <v>0</v>
      </c>
      <c r="AF303">
        <v>0</v>
      </c>
      <c r="AG303">
        <v>0</v>
      </c>
      <c r="AH303">
        <v>0</v>
      </c>
      <c r="AI303">
        <v>0</v>
      </c>
      <c r="AJ303">
        <v>0</v>
      </c>
      <c r="AK303">
        <v>0</v>
      </c>
      <c r="AL303">
        <v>0</v>
      </c>
      <c r="AM303">
        <v>0</v>
      </c>
      <c r="AN303">
        <v>0</v>
      </c>
      <c r="AO303">
        <v>0</v>
      </c>
      <c r="AP303">
        <v>0</v>
      </c>
      <c r="AQ303">
        <v>0</v>
      </c>
      <c r="AR303">
        <v>0</v>
      </c>
      <c r="AS303">
        <v>0</v>
      </c>
      <c r="AT303">
        <v>0</v>
      </c>
      <c r="AU303">
        <v>0</v>
      </c>
      <c r="AV303">
        <v>0</v>
      </c>
      <c r="AW303">
        <v>0</v>
      </c>
      <c r="AX303">
        <v>0</v>
      </c>
      <c r="AY303">
        <v>0</v>
      </c>
      <c r="AZ303">
        <v>0</v>
      </c>
      <c r="BA303">
        <v>0</v>
      </c>
      <c r="BB303">
        <v>0</v>
      </c>
      <c r="BC303">
        <v>0</v>
      </c>
      <c r="BD303">
        <v>0</v>
      </c>
      <c r="BE303">
        <v>0</v>
      </c>
      <c r="BF303">
        <v>0</v>
      </c>
      <c r="BG303">
        <v>0</v>
      </c>
      <c r="BH303">
        <v>0</v>
      </c>
      <c r="BI303">
        <v>0</v>
      </c>
      <c r="BK303" s="151"/>
    </row>
    <row r="304" spans="1:63" x14ac:dyDescent="0.35">
      <c r="A304">
        <v>0</v>
      </c>
      <c r="B304">
        <v>0</v>
      </c>
      <c r="C304">
        <v>0</v>
      </c>
      <c r="D304">
        <v>0</v>
      </c>
      <c r="E304">
        <v>0</v>
      </c>
      <c r="F304">
        <v>0</v>
      </c>
      <c r="G304">
        <v>0</v>
      </c>
      <c r="H304">
        <v>0</v>
      </c>
      <c r="I304">
        <v>0</v>
      </c>
      <c r="J304">
        <v>0</v>
      </c>
      <c r="K304">
        <v>0</v>
      </c>
      <c r="L304">
        <v>0</v>
      </c>
      <c r="M304">
        <v>0</v>
      </c>
      <c r="N304">
        <v>0</v>
      </c>
      <c r="O304">
        <v>0</v>
      </c>
      <c r="P304">
        <v>0</v>
      </c>
      <c r="Q304">
        <v>0</v>
      </c>
      <c r="R304">
        <v>0</v>
      </c>
      <c r="S304">
        <v>0</v>
      </c>
      <c r="T304">
        <v>0</v>
      </c>
      <c r="U304">
        <v>0</v>
      </c>
      <c r="V304">
        <v>0</v>
      </c>
      <c r="W304">
        <v>0</v>
      </c>
      <c r="X304">
        <v>0</v>
      </c>
      <c r="Y304">
        <v>0</v>
      </c>
      <c r="Z304">
        <v>0</v>
      </c>
      <c r="AA304">
        <v>0</v>
      </c>
      <c r="AB304">
        <v>0</v>
      </c>
      <c r="AC304">
        <v>0</v>
      </c>
      <c r="AD304">
        <v>0</v>
      </c>
      <c r="AF304">
        <v>0</v>
      </c>
      <c r="AG304">
        <v>0</v>
      </c>
      <c r="AH304">
        <v>0</v>
      </c>
      <c r="AI304">
        <v>0</v>
      </c>
      <c r="AJ304">
        <v>0</v>
      </c>
      <c r="AK304">
        <v>0</v>
      </c>
      <c r="AL304">
        <v>0</v>
      </c>
      <c r="AM304">
        <v>0</v>
      </c>
      <c r="AN304">
        <v>0</v>
      </c>
      <c r="AO304">
        <v>0</v>
      </c>
      <c r="AP304">
        <v>0</v>
      </c>
      <c r="AQ304">
        <v>0</v>
      </c>
      <c r="AR304">
        <v>0</v>
      </c>
      <c r="AS304">
        <v>0</v>
      </c>
      <c r="AT304">
        <v>0</v>
      </c>
      <c r="AU304">
        <v>0</v>
      </c>
      <c r="AV304">
        <v>0</v>
      </c>
      <c r="AW304">
        <v>0</v>
      </c>
      <c r="AX304">
        <v>0</v>
      </c>
      <c r="AY304">
        <v>0</v>
      </c>
      <c r="AZ304">
        <v>0</v>
      </c>
      <c r="BA304">
        <v>0</v>
      </c>
      <c r="BB304">
        <v>0</v>
      </c>
      <c r="BC304">
        <v>0</v>
      </c>
      <c r="BD304">
        <v>0</v>
      </c>
      <c r="BE304">
        <v>0</v>
      </c>
      <c r="BF304">
        <v>0</v>
      </c>
      <c r="BG304">
        <v>0</v>
      </c>
      <c r="BH304">
        <v>0</v>
      </c>
      <c r="BI304">
        <v>0</v>
      </c>
      <c r="BK304" s="151"/>
    </row>
    <row r="305" spans="1:63" x14ac:dyDescent="0.35">
      <c r="A305">
        <v>0</v>
      </c>
      <c r="B305">
        <v>0</v>
      </c>
      <c r="C305">
        <v>0</v>
      </c>
      <c r="D305">
        <v>0</v>
      </c>
      <c r="E305">
        <v>0</v>
      </c>
      <c r="F305">
        <v>0</v>
      </c>
      <c r="G305">
        <v>0</v>
      </c>
      <c r="H305">
        <v>0</v>
      </c>
      <c r="I305">
        <v>0</v>
      </c>
      <c r="J305">
        <v>0</v>
      </c>
      <c r="K305">
        <v>0</v>
      </c>
      <c r="L305">
        <v>0</v>
      </c>
      <c r="M305">
        <v>0</v>
      </c>
      <c r="N305">
        <v>0</v>
      </c>
      <c r="O305">
        <v>0</v>
      </c>
      <c r="P305">
        <v>0</v>
      </c>
      <c r="Q305">
        <v>0</v>
      </c>
      <c r="R305">
        <v>0</v>
      </c>
      <c r="S305">
        <v>0</v>
      </c>
      <c r="T305">
        <v>0</v>
      </c>
      <c r="U305">
        <v>0</v>
      </c>
      <c r="V305">
        <v>0</v>
      </c>
      <c r="W305">
        <v>0</v>
      </c>
      <c r="X305">
        <v>0</v>
      </c>
      <c r="Y305">
        <v>0</v>
      </c>
      <c r="Z305">
        <v>0</v>
      </c>
      <c r="AA305">
        <v>0</v>
      </c>
      <c r="AB305">
        <v>0</v>
      </c>
      <c r="AC305">
        <v>0</v>
      </c>
      <c r="AD305">
        <v>0</v>
      </c>
      <c r="AF305">
        <v>0</v>
      </c>
      <c r="AG305">
        <v>0</v>
      </c>
      <c r="AH305">
        <v>0</v>
      </c>
      <c r="AI305">
        <v>0</v>
      </c>
      <c r="AJ305">
        <v>0</v>
      </c>
      <c r="AK305">
        <v>0</v>
      </c>
      <c r="AL305">
        <v>0</v>
      </c>
      <c r="AM305">
        <v>0</v>
      </c>
      <c r="AN305">
        <v>0</v>
      </c>
      <c r="AO305">
        <v>0</v>
      </c>
      <c r="AP305">
        <v>0</v>
      </c>
      <c r="AQ305">
        <v>0</v>
      </c>
      <c r="AR305">
        <v>0</v>
      </c>
      <c r="AS305">
        <v>0</v>
      </c>
      <c r="AT305">
        <v>0</v>
      </c>
      <c r="AU305">
        <v>0</v>
      </c>
      <c r="AV305">
        <v>0</v>
      </c>
      <c r="AW305">
        <v>0</v>
      </c>
      <c r="AX305">
        <v>0</v>
      </c>
      <c r="AY305">
        <v>0</v>
      </c>
      <c r="AZ305">
        <v>0</v>
      </c>
      <c r="BA305">
        <v>0</v>
      </c>
      <c r="BB305">
        <v>0</v>
      </c>
      <c r="BC305">
        <v>0</v>
      </c>
      <c r="BD305">
        <v>0</v>
      </c>
      <c r="BE305">
        <v>0</v>
      </c>
      <c r="BF305">
        <v>0</v>
      </c>
      <c r="BG305">
        <v>0</v>
      </c>
      <c r="BH305">
        <v>0</v>
      </c>
      <c r="BI305">
        <v>0</v>
      </c>
      <c r="BK305" s="151"/>
    </row>
    <row r="306" spans="1:63" x14ac:dyDescent="0.35">
      <c r="A306">
        <v>0</v>
      </c>
      <c r="B306">
        <v>0</v>
      </c>
      <c r="C306">
        <v>0</v>
      </c>
      <c r="D306">
        <v>0</v>
      </c>
      <c r="E306">
        <v>0</v>
      </c>
      <c r="F306">
        <v>0</v>
      </c>
      <c r="G306">
        <v>0</v>
      </c>
      <c r="H306">
        <v>0</v>
      </c>
      <c r="I306">
        <v>0</v>
      </c>
      <c r="J306">
        <v>0</v>
      </c>
      <c r="K306">
        <v>0</v>
      </c>
      <c r="L306">
        <v>0</v>
      </c>
      <c r="M306">
        <v>0</v>
      </c>
      <c r="N306">
        <v>0</v>
      </c>
      <c r="O306">
        <v>0</v>
      </c>
      <c r="P306">
        <v>0</v>
      </c>
      <c r="Q306">
        <v>0</v>
      </c>
      <c r="R306">
        <v>0</v>
      </c>
      <c r="S306">
        <v>0</v>
      </c>
      <c r="T306">
        <v>0</v>
      </c>
      <c r="U306">
        <v>0</v>
      </c>
      <c r="V306">
        <v>0</v>
      </c>
      <c r="W306">
        <v>0</v>
      </c>
      <c r="X306">
        <v>0</v>
      </c>
      <c r="Y306">
        <v>0</v>
      </c>
      <c r="Z306">
        <v>0</v>
      </c>
      <c r="AA306">
        <v>0</v>
      </c>
      <c r="AB306">
        <v>0</v>
      </c>
      <c r="AC306">
        <v>0</v>
      </c>
      <c r="AD306">
        <v>0</v>
      </c>
      <c r="AF306">
        <v>0</v>
      </c>
      <c r="AG306">
        <v>0</v>
      </c>
      <c r="AH306">
        <v>0</v>
      </c>
      <c r="AI306">
        <v>0</v>
      </c>
      <c r="AJ306">
        <v>0</v>
      </c>
      <c r="AK306">
        <v>0</v>
      </c>
      <c r="AL306">
        <v>0</v>
      </c>
      <c r="AM306">
        <v>0</v>
      </c>
      <c r="AN306">
        <v>0</v>
      </c>
      <c r="AO306">
        <v>0</v>
      </c>
      <c r="AP306">
        <v>0</v>
      </c>
      <c r="AQ306">
        <v>0</v>
      </c>
      <c r="AR306">
        <v>0</v>
      </c>
      <c r="AS306">
        <v>0</v>
      </c>
      <c r="AT306">
        <v>0</v>
      </c>
      <c r="AU306">
        <v>0</v>
      </c>
      <c r="AV306">
        <v>0</v>
      </c>
      <c r="AW306">
        <v>0</v>
      </c>
      <c r="AX306">
        <v>0</v>
      </c>
      <c r="AY306">
        <v>0</v>
      </c>
      <c r="AZ306">
        <v>0</v>
      </c>
      <c r="BA306">
        <v>0</v>
      </c>
      <c r="BB306">
        <v>0</v>
      </c>
      <c r="BC306">
        <v>0</v>
      </c>
      <c r="BD306">
        <v>0</v>
      </c>
      <c r="BE306">
        <v>0</v>
      </c>
      <c r="BF306">
        <v>0</v>
      </c>
      <c r="BG306">
        <v>0</v>
      </c>
      <c r="BH306">
        <v>0</v>
      </c>
      <c r="BI306">
        <v>0</v>
      </c>
      <c r="BK306" s="151"/>
    </row>
    <row r="307" spans="1:63" x14ac:dyDescent="0.35">
      <c r="A307">
        <v>0</v>
      </c>
      <c r="B307">
        <v>0</v>
      </c>
      <c r="C307">
        <v>0</v>
      </c>
      <c r="D307">
        <v>0</v>
      </c>
      <c r="E307">
        <v>0</v>
      </c>
      <c r="F307">
        <v>0</v>
      </c>
      <c r="G307">
        <v>0</v>
      </c>
      <c r="H307">
        <v>0</v>
      </c>
      <c r="I307">
        <v>0</v>
      </c>
      <c r="J307">
        <v>0</v>
      </c>
      <c r="K307">
        <v>0</v>
      </c>
      <c r="L307">
        <v>0</v>
      </c>
      <c r="M307">
        <v>0</v>
      </c>
      <c r="N307">
        <v>0</v>
      </c>
      <c r="O307">
        <v>0</v>
      </c>
      <c r="P307">
        <v>0</v>
      </c>
      <c r="Q307">
        <v>0</v>
      </c>
      <c r="R307">
        <v>0</v>
      </c>
      <c r="S307">
        <v>0</v>
      </c>
      <c r="T307">
        <v>0</v>
      </c>
      <c r="U307">
        <v>0</v>
      </c>
      <c r="V307">
        <v>0</v>
      </c>
      <c r="W307">
        <v>0</v>
      </c>
      <c r="X307">
        <v>0</v>
      </c>
      <c r="Y307">
        <v>0</v>
      </c>
      <c r="Z307">
        <v>0</v>
      </c>
      <c r="AA307">
        <v>0</v>
      </c>
      <c r="AB307">
        <v>0</v>
      </c>
      <c r="AC307">
        <v>0</v>
      </c>
      <c r="AD307">
        <v>0</v>
      </c>
      <c r="AF307">
        <v>0</v>
      </c>
      <c r="AG307">
        <v>0</v>
      </c>
      <c r="AH307">
        <v>0</v>
      </c>
      <c r="AI307">
        <v>0</v>
      </c>
      <c r="AJ307">
        <v>0</v>
      </c>
      <c r="AK307">
        <v>0</v>
      </c>
      <c r="AL307">
        <v>0</v>
      </c>
      <c r="AM307">
        <v>0</v>
      </c>
      <c r="AN307">
        <v>0</v>
      </c>
      <c r="AO307">
        <v>0</v>
      </c>
      <c r="AP307">
        <v>0</v>
      </c>
      <c r="AQ307">
        <v>0</v>
      </c>
      <c r="AR307">
        <v>0</v>
      </c>
      <c r="AS307">
        <v>0</v>
      </c>
      <c r="AT307">
        <v>0</v>
      </c>
      <c r="AU307">
        <v>0</v>
      </c>
      <c r="AV307">
        <v>0</v>
      </c>
      <c r="AW307">
        <v>0</v>
      </c>
      <c r="AX307">
        <v>0</v>
      </c>
      <c r="AY307">
        <v>0</v>
      </c>
      <c r="AZ307">
        <v>0</v>
      </c>
      <c r="BA307">
        <v>0</v>
      </c>
      <c r="BB307">
        <v>0</v>
      </c>
      <c r="BC307">
        <v>0</v>
      </c>
      <c r="BD307">
        <v>0</v>
      </c>
      <c r="BE307">
        <v>0</v>
      </c>
      <c r="BF307">
        <v>0</v>
      </c>
      <c r="BG307">
        <v>0</v>
      </c>
      <c r="BH307">
        <v>0</v>
      </c>
      <c r="BI307">
        <v>0</v>
      </c>
      <c r="BK307" s="151"/>
    </row>
    <row r="308" spans="1:63" x14ac:dyDescent="0.35">
      <c r="A308">
        <v>0</v>
      </c>
      <c r="B308">
        <v>0</v>
      </c>
      <c r="C308">
        <v>0</v>
      </c>
      <c r="D308">
        <v>0</v>
      </c>
      <c r="E308">
        <v>0</v>
      </c>
      <c r="F308">
        <v>0</v>
      </c>
      <c r="G308">
        <v>0</v>
      </c>
      <c r="H308">
        <v>0</v>
      </c>
      <c r="I308">
        <v>0</v>
      </c>
      <c r="J308">
        <v>0</v>
      </c>
      <c r="K308">
        <v>0</v>
      </c>
      <c r="L308">
        <v>0</v>
      </c>
      <c r="M308">
        <v>0</v>
      </c>
      <c r="N308">
        <v>0</v>
      </c>
      <c r="O308">
        <v>0</v>
      </c>
      <c r="P308">
        <v>0</v>
      </c>
      <c r="Q308">
        <v>0</v>
      </c>
      <c r="R308">
        <v>0</v>
      </c>
      <c r="S308">
        <v>0</v>
      </c>
      <c r="T308">
        <v>0</v>
      </c>
      <c r="U308">
        <v>0</v>
      </c>
      <c r="V308">
        <v>0</v>
      </c>
      <c r="W308">
        <v>0</v>
      </c>
      <c r="X308">
        <v>0</v>
      </c>
      <c r="Y308">
        <v>0</v>
      </c>
      <c r="Z308">
        <v>0</v>
      </c>
      <c r="AA308">
        <v>0</v>
      </c>
      <c r="AB308">
        <v>0</v>
      </c>
      <c r="AC308">
        <v>0</v>
      </c>
      <c r="AD308">
        <v>0</v>
      </c>
      <c r="AF308">
        <v>0</v>
      </c>
      <c r="AG308">
        <v>0</v>
      </c>
      <c r="AH308">
        <v>0</v>
      </c>
      <c r="AI308">
        <v>0</v>
      </c>
      <c r="AJ308">
        <v>0</v>
      </c>
      <c r="AK308">
        <v>0</v>
      </c>
      <c r="AL308">
        <v>0</v>
      </c>
      <c r="AM308">
        <v>0</v>
      </c>
      <c r="AN308">
        <v>0</v>
      </c>
      <c r="AO308">
        <v>0</v>
      </c>
      <c r="AP308">
        <v>0</v>
      </c>
      <c r="AQ308">
        <v>0</v>
      </c>
      <c r="AR308">
        <v>0</v>
      </c>
      <c r="AS308">
        <v>0</v>
      </c>
      <c r="AT308">
        <v>0</v>
      </c>
      <c r="AU308">
        <v>0</v>
      </c>
      <c r="AV308">
        <v>0</v>
      </c>
      <c r="AW308">
        <v>0</v>
      </c>
      <c r="AX308">
        <v>0</v>
      </c>
      <c r="AY308">
        <v>0</v>
      </c>
      <c r="AZ308">
        <v>0</v>
      </c>
      <c r="BA308">
        <v>0</v>
      </c>
      <c r="BB308">
        <v>0</v>
      </c>
      <c r="BC308">
        <v>0</v>
      </c>
      <c r="BD308">
        <v>0</v>
      </c>
      <c r="BE308">
        <v>0</v>
      </c>
      <c r="BF308">
        <v>0</v>
      </c>
      <c r="BG308">
        <v>0</v>
      </c>
      <c r="BH308">
        <v>0</v>
      </c>
      <c r="BI308">
        <v>0</v>
      </c>
      <c r="BK308" s="151"/>
    </row>
    <row r="309" spans="1:63" x14ac:dyDescent="0.35">
      <c r="A309">
        <v>0</v>
      </c>
      <c r="B309">
        <v>0</v>
      </c>
      <c r="C309">
        <v>0</v>
      </c>
      <c r="D309">
        <v>0</v>
      </c>
      <c r="E309">
        <v>0</v>
      </c>
      <c r="F309">
        <v>0</v>
      </c>
      <c r="G309">
        <v>0</v>
      </c>
      <c r="H309">
        <v>0</v>
      </c>
      <c r="I309">
        <v>0</v>
      </c>
      <c r="J309">
        <v>0</v>
      </c>
      <c r="K309">
        <v>0</v>
      </c>
      <c r="L309">
        <v>0</v>
      </c>
      <c r="M309">
        <v>0</v>
      </c>
      <c r="N309">
        <v>0</v>
      </c>
      <c r="O309">
        <v>0</v>
      </c>
      <c r="P309">
        <v>0</v>
      </c>
      <c r="Q309">
        <v>0</v>
      </c>
      <c r="R309">
        <v>0</v>
      </c>
      <c r="S309">
        <v>0</v>
      </c>
      <c r="T309">
        <v>0</v>
      </c>
      <c r="U309">
        <v>0</v>
      </c>
      <c r="V309">
        <v>0</v>
      </c>
      <c r="W309">
        <v>0</v>
      </c>
      <c r="X309">
        <v>0</v>
      </c>
      <c r="Y309">
        <v>0</v>
      </c>
      <c r="Z309">
        <v>0</v>
      </c>
      <c r="AA309">
        <v>0</v>
      </c>
      <c r="AB309">
        <v>0</v>
      </c>
      <c r="AC309">
        <v>0</v>
      </c>
      <c r="AD309">
        <v>0</v>
      </c>
      <c r="AF309">
        <v>0</v>
      </c>
      <c r="AG309">
        <v>0</v>
      </c>
      <c r="AH309">
        <v>0</v>
      </c>
      <c r="AI309">
        <v>0</v>
      </c>
      <c r="AJ309">
        <v>0</v>
      </c>
      <c r="AK309">
        <v>0</v>
      </c>
      <c r="AL309">
        <v>0</v>
      </c>
      <c r="AM309">
        <v>0</v>
      </c>
      <c r="AN309">
        <v>0</v>
      </c>
      <c r="AO309">
        <v>0</v>
      </c>
      <c r="AP309">
        <v>0</v>
      </c>
      <c r="AQ309">
        <v>0</v>
      </c>
      <c r="AR309">
        <v>0</v>
      </c>
      <c r="AS309">
        <v>0</v>
      </c>
      <c r="AT309">
        <v>0</v>
      </c>
      <c r="AU309">
        <v>0</v>
      </c>
      <c r="AV309">
        <v>0</v>
      </c>
      <c r="AW309">
        <v>0</v>
      </c>
      <c r="AX309">
        <v>0</v>
      </c>
      <c r="AY309">
        <v>0</v>
      </c>
      <c r="AZ309">
        <v>0</v>
      </c>
      <c r="BA309">
        <v>0</v>
      </c>
      <c r="BB309">
        <v>0</v>
      </c>
      <c r="BC309">
        <v>0</v>
      </c>
      <c r="BD309">
        <v>0</v>
      </c>
      <c r="BE309">
        <v>0</v>
      </c>
      <c r="BF309">
        <v>0</v>
      </c>
      <c r="BG309">
        <v>0</v>
      </c>
      <c r="BH309">
        <v>0</v>
      </c>
      <c r="BI309">
        <v>0</v>
      </c>
      <c r="BK309" s="151"/>
    </row>
    <row r="310" spans="1:63" x14ac:dyDescent="0.35">
      <c r="A310">
        <v>0</v>
      </c>
      <c r="B310">
        <v>0</v>
      </c>
      <c r="C310">
        <v>0</v>
      </c>
      <c r="D310">
        <v>0</v>
      </c>
      <c r="E310">
        <v>0</v>
      </c>
      <c r="F310">
        <v>0</v>
      </c>
      <c r="G310">
        <v>0</v>
      </c>
      <c r="H310">
        <v>0</v>
      </c>
      <c r="I310">
        <v>0</v>
      </c>
      <c r="J310">
        <v>0</v>
      </c>
      <c r="K310">
        <v>0</v>
      </c>
      <c r="L310">
        <v>0</v>
      </c>
      <c r="M310">
        <v>0</v>
      </c>
      <c r="N310">
        <v>0</v>
      </c>
      <c r="O310">
        <v>0</v>
      </c>
      <c r="P310">
        <v>0</v>
      </c>
      <c r="Q310">
        <v>0</v>
      </c>
      <c r="R310">
        <v>0</v>
      </c>
      <c r="S310">
        <v>0</v>
      </c>
      <c r="T310">
        <v>0</v>
      </c>
      <c r="U310">
        <v>0</v>
      </c>
      <c r="V310">
        <v>0</v>
      </c>
      <c r="W310">
        <v>0</v>
      </c>
      <c r="X310">
        <v>0</v>
      </c>
      <c r="Y310">
        <v>0</v>
      </c>
      <c r="Z310">
        <v>0</v>
      </c>
      <c r="AA310">
        <v>0</v>
      </c>
      <c r="AB310">
        <v>0</v>
      </c>
      <c r="AC310">
        <v>0</v>
      </c>
      <c r="AD310">
        <v>0</v>
      </c>
      <c r="AF310">
        <v>0</v>
      </c>
      <c r="AG310">
        <v>0</v>
      </c>
      <c r="AH310">
        <v>0</v>
      </c>
      <c r="AI310">
        <v>0</v>
      </c>
      <c r="AJ310">
        <v>0</v>
      </c>
      <c r="AK310">
        <v>0</v>
      </c>
      <c r="AL310">
        <v>0</v>
      </c>
      <c r="AM310">
        <v>0</v>
      </c>
      <c r="AN310">
        <v>0</v>
      </c>
      <c r="AO310">
        <v>0</v>
      </c>
      <c r="AP310">
        <v>0</v>
      </c>
      <c r="AQ310">
        <v>0</v>
      </c>
      <c r="AR310">
        <v>0</v>
      </c>
      <c r="AS310">
        <v>0</v>
      </c>
      <c r="AT310">
        <v>0</v>
      </c>
      <c r="AU310">
        <v>0</v>
      </c>
      <c r="AV310">
        <v>0</v>
      </c>
      <c r="AW310">
        <v>0</v>
      </c>
      <c r="AX310">
        <v>0</v>
      </c>
      <c r="AY310">
        <v>0</v>
      </c>
      <c r="AZ310">
        <v>0</v>
      </c>
      <c r="BA310">
        <v>0</v>
      </c>
      <c r="BB310">
        <v>0</v>
      </c>
      <c r="BC310">
        <v>0</v>
      </c>
      <c r="BD310">
        <v>0</v>
      </c>
      <c r="BE310">
        <v>0</v>
      </c>
      <c r="BF310">
        <v>0</v>
      </c>
      <c r="BG310">
        <v>0</v>
      </c>
      <c r="BH310">
        <v>0</v>
      </c>
      <c r="BI310">
        <v>0</v>
      </c>
      <c r="BK310" s="151"/>
    </row>
    <row r="311" spans="1:63" x14ac:dyDescent="0.35">
      <c r="A311">
        <v>0</v>
      </c>
      <c r="B311">
        <v>0</v>
      </c>
      <c r="C311">
        <v>0</v>
      </c>
      <c r="D311">
        <v>0</v>
      </c>
      <c r="E311">
        <v>0</v>
      </c>
      <c r="F311">
        <v>0</v>
      </c>
      <c r="G311">
        <v>0</v>
      </c>
      <c r="H311">
        <v>0</v>
      </c>
      <c r="I311">
        <v>0</v>
      </c>
      <c r="J311">
        <v>0</v>
      </c>
      <c r="K311">
        <v>0</v>
      </c>
      <c r="L311">
        <v>0</v>
      </c>
      <c r="M311">
        <v>0</v>
      </c>
      <c r="N311">
        <v>0</v>
      </c>
      <c r="O311">
        <v>0</v>
      </c>
      <c r="P311">
        <v>0</v>
      </c>
      <c r="Q311">
        <v>0</v>
      </c>
      <c r="R311">
        <v>0</v>
      </c>
      <c r="S311">
        <v>0</v>
      </c>
      <c r="T311">
        <v>0</v>
      </c>
      <c r="U311">
        <v>0</v>
      </c>
      <c r="V311">
        <v>0</v>
      </c>
      <c r="W311">
        <v>0</v>
      </c>
      <c r="X311">
        <v>0</v>
      </c>
      <c r="Y311">
        <v>0</v>
      </c>
      <c r="Z311">
        <v>0</v>
      </c>
      <c r="AA311">
        <v>0</v>
      </c>
      <c r="AB311">
        <v>0</v>
      </c>
      <c r="AC311">
        <v>0</v>
      </c>
      <c r="AD311">
        <v>0</v>
      </c>
      <c r="AF311">
        <v>0</v>
      </c>
      <c r="AG311">
        <v>0</v>
      </c>
      <c r="AH311">
        <v>0</v>
      </c>
      <c r="AI311">
        <v>0</v>
      </c>
      <c r="AJ311">
        <v>0</v>
      </c>
      <c r="AK311">
        <v>0</v>
      </c>
      <c r="AL311">
        <v>0</v>
      </c>
      <c r="AM311">
        <v>0</v>
      </c>
      <c r="AN311">
        <v>0</v>
      </c>
      <c r="AO311">
        <v>0</v>
      </c>
      <c r="AP311">
        <v>0</v>
      </c>
      <c r="AQ311">
        <v>0</v>
      </c>
      <c r="AR311">
        <v>0</v>
      </c>
      <c r="AS311">
        <v>0</v>
      </c>
      <c r="AT311">
        <v>0</v>
      </c>
      <c r="AU311">
        <v>0</v>
      </c>
      <c r="AV311">
        <v>0</v>
      </c>
      <c r="AW311">
        <v>0</v>
      </c>
      <c r="AX311">
        <v>0</v>
      </c>
      <c r="AY311">
        <v>0</v>
      </c>
      <c r="AZ311">
        <v>0</v>
      </c>
      <c r="BA311">
        <v>0</v>
      </c>
      <c r="BB311">
        <v>0</v>
      </c>
      <c r="BC311">
        <v>0</v>
      </c>
      <c r="BD311">
        <v>0</v>
      </c>
      <c r="BE311">
        <v>0</v>
      </c>
      <c r="BF311">
        <v>0</v>
      </c>
      <c r="BG311">
        <v>0</v>
      </c>
      <c r="BH311">
        <v>0</v>
      </c>
      <c r="BI311">
        <v>0</v>
      </c>
      <c r="BK311" s="151"/>
    </row>
    <row r="312" spans="1:63" x14ac:dyDescent="0.35">
      <c r="A312">
        <v>0</v>
      </c>
      <c r="B312">
        <v>0</v>
      </c>
      <c r="C312">
        <v>0</v>
      </c>
      <c r="D312">
        <v>0</v>
      </c>
      <c r="E312">
        <v>0</v>
      </c>
      <c r="F312">
        <v>0</v>
      </c>
      <c r="G312">
        <v>0</v>
      </c>
      <c r="H312">
        <v>0</v>
      </c>
      <c r="I312">
        <v>0</v>
      </c>
      <c r="J312">
        <v>0</v>
      </c>
      <c r="K312">
        <v>0</v>
      </c>
      <c r="L312">
        <v>0</v>
      </c>
      <c r="M312">
        <v>0</v>
      </c>
      <c r="N312">
        <v>0</v>
      </c>
      <c r="O312">
        <v>0</v>
      </c>
      <c r="P312">
        <v>0</v>
      </c>
      <c r="Q312">
        <v>0</v>
      </c>
      <c r="R312">
        <v>0</v>
      </c>
      <c r="S312">
        <v>0</v>
      </c>
      <c r="T312">
        <v>0</v>
      </c>
      <c r="U312">
        <v>0</v>
      </c>
      <c r="V312">
        <v>0</v>
      </c>
      <c r="W312">
        <v>0</v>
      </c>
      <c r="X312">
        <v>0</v>
      </c>
      <c r="Y312">
        <v>0</v>
      </c>
      <c r="Z312">
        <v>0</v>
      </c>
      <c r="AA312">
        <v>0</v>
      </c>
      <c r="AB312">
        <v>0</v>
      </c>
      <c r="AC312">
        <v>0</v>
      </c>
      <c r="AD312">
        <v>0</v>
      </c>
      <c r="AF312">
        <v>0</v>
      </c>
      <c r="AG312">
        <v>0</v>
      </c>
      <c r="AH312">
        <v>0</v>
      </c>
      <c r="AI312">
        <v>0</v>
      </c>
      <c r="AJ312">
        <v>0</v>
      </c>
      <c r="AK312">
        <v>0</v>
      </c>
      <c r="AL312">
        <v>0</v>
      </c>
      <c r="AM312">
        <v>0</v>
      </c>
      <c r="AN312">
        <v>0</v>
      </c>
      <c r="AO312">
        <v>0</v>
      </c>
      <c r="AP312">
        <v>0</v>
      </c>
      <c r="AQ312">
        <v>0</v>
      </c>
      <c r="AR312">
        <v>0</v>
      </c>
      <c r="AS312">
        <v>0</v>
      </c>
      <c r="AT312">
        <v>0</v>
      </c>
      <c r="AU312">
        <v>0</v>
      </c>
      <c r="AV312">
        <v>0</v>
      </c>
      <c r="AW312">
        <v>0</v>
      </c>
      <c r="AX312">
        <v>0</v>
      </c>
      <c r="AY312">
        <v>0</v>
      </c>
      <c r="AZ312">
        <v>0</v>
      </c>
      <c r="BA312">
        <v>0</v>
      </c>
      <c r="BB312">
        <v>0</v>
      </c>
      <c r="BC312">
        <v>0</v>
      </c>
      <c r="BD312">
        <v>0</v>
      </c>
      <c r="BE312">
        <v>0</v>
      </c>
      <c r="BF312">
        <v>0</v>
      </c>
      <c r="BG312">
        <v>0</v>
      </c>
      <c r="BH312">
        <v>0</v>
      </c>
      <c r="BI312">
        <v>0</v>
      </c>
      <c r="BK312" s="151"/>
    </row>
    <row r="313" spans="1:63" x14ac:dyDescent="0.35">
      <c r="A313">
        <v>0</v>
      </c>
      <c r="B313">
        <v>0</v>
      </c>
      <c r="C313">
        <v>0</v>
      </c>
      <c r="D313">
        <v>0</v>
      </c>
      <c r="E313">
        <v>0</v>
      </c>
      <c r="F313">
        <v>0</v>
      </c>
      <c r="G313">
        <v>0</v>
      </c>
      <c r="H313">
        <v>0</v>
      </c>
      <c r="I313">
        <v>0</v>
      </c>
      <c r="J313">
        <v>0</v>
      </c>
      <c r="K313">
        <v>0</v>
      </c>
      <c r="L313">
        <v>0</v>
      </c>
      <c r="M313">
        <v>0</v>
      </c>
      <c r="N313">
        <v>0</v>
      </c>
      <c r="O313">
        <v>0</v>
      </c>
      <c r="P313">
        <v>0</v>
      </c>
      <c r="Q313">
        <v>0</v>
      </c>
      <c r="R313">
        <v>0</v>
      </c>
      <c r="S313">
        <v>0</v>
      </c>
      <c r="T313">
        <v>0</v>
      </c>
      <c r="U313">
        <v>0</v>
      </c>
      <c r="V313">
        <v>0</v>
      </c>
      <c r="W313">
        <v>0</v>
      </c>
      <c r="X313">
        <v>0</v>
      </c>
      <c r="Y313">
        <v>0</v>
      </c>
      <c r="Z313">
        <v>0</v>
      </c>
      <c r="AA313">
        <v>0</v>
      </c>
      <c r="AB313">
        <v>0</v>
      </c>
      <c r="AC313">
        <v>0</v>
      </c>
      <c r="AD313">
        <v>0</v>
      </c>
      <c r="AF313">
        <v>0</v>
      </c>
      <c r="AG313">
        <v>0</v>
      </c>
      <c r="AH313">
        <v>0</v>
      </c>
      <c r="AI313">
        <v>0</v>
      </c>
      <c r="AJ313">
        <v>0</v>
      </c>
      <c r="AK313">
        <v>0</v>
      </c>
      <c r="AL313">
        <v>0</v>
      </c>
      <c r="AM313">
        <v>0</v>
      </c>
      <c r="AN313">
        <v>0</v>
      </c>
      <c r="AO313">
        <v>0</v>
      </c>
      <c r="AP313">
        <v>0</v>
      </c>
      <c r="AQ313">
        <v>0</v>
      </c>
      <c r="AR313">
        <v>0</v>
      </c>
      <c r="AS313">
        <v>0</v>
      </c>
      <c r="AT313">
        <v>0</v>
      </c>
      <c r="AU313">
        <v>0</v>
      </c>
      <c r="AV313">
        <v>0</v>
      </c>
      <c r="AW313">
        <v>0</v>
      </c>
      <c r="AX313">
        <v>0</v>
      </c>
      <c r="AY313">
        <v>0</v>
      </c>
      <c r="AZ313">
        <v>0</v>
      </c>
      <c r="BA313">
        <v>0</v>
      </c>
      <c r="BB313">
        <v>0</v>
      </c>
      <c r="BC313">
        <v>0</v>
      </c>
      <c r="BD313">
        <v>0</v>
      </c>
      <c r="BE313">
        <v>0</v>
      </c>
      <c r="BF313">
        <v>0</v>
      </c>
      <c r="BG313">
        <v>0</v>
      </c>
      <c r="BH313">
        <v>0</v>
      </c>
      <c r="BI313">
        <v>0</v>
      </c>
      <c r="BK313" s="151"/>
    </row>
    <row r="314" spans="1:63" x14ac:dyDescent="0.35">
      <c r="A314">
        <v>0</v>
      </c>
      <c r="B314">
        <v>0</v>
      </c>
      <c r="C314">
        <v>0</v>
      </c>
      <c r="D314">
        <v>0</v>
      </c>
      <c r="E314">
        <v>0</v>
      </c>
      <c r="F314">
        <v>0</v>
      </c>
      <c r="G314">
        <v>0</v>
      </c>
      <c r="H314">
        <v>0</v>
      </c>
      <c r="I314">
        <v>0</v>
      </c>
      <c r="J314">
        <v>0</v>
      </c>
      <c r="K314">
        <v>0</v>
      </c>
      <c r="L314">
        <v>0</v>
      </c>
      <c r="M314">
        <v>0</v>
      </c>
      <c r="N314">
        <v>0</v>
      </c>
      <c r="O314">
        <v>0</v>
      </c>
      <c r="P314">
        <v>0</v>
      </c>
      <c r="Q314">
        <v>0</v>
      </c>
      <c r="R314">
        <v>0</v>
      </c>
      <c r="S314">
        <v>0</v>
      </c>
      <c r="T314">
        <v>0</v>
      </c>
      <c r="U314">
        <v>0</v>
      </c>
      <c r="V314">
        <v>0</v>
      </c>
      <c r="W314">
        <v>0</v>
      </c>
      <c r="X314">
        <v>0</v>
      </c>
      <c r="Y314">
        <v>0</v>
      </c>
      <c r="Z314">
        <v>0</v>
      </c>
      <c r="AA314">
        <v>0</v>
      </c>
      <c r="AB314">
        <v>0</v>
      </c>
      <c r="AC314">
        <v>0</v>
      </c>
      <c r="AD314">
        <v>0</v>
      </c>
      <c r="AF314">
        <v>0</v>
      </c>
      <c r="AG314">
        <v>0</v>
      </c>
      <c r="AH314">
        <v>0</v>
      </c>
      <c r="AI314">
        <v>0</v>
      </c>
      <c r="AJ314">
        <v>0</v>
      </c>
      <c r="AK314">
        <v>0</v>
      </c>
      <c r="AL314">
        <v>0</v>
      </c>
      <c r="AM314">
        <v>0</v>
      </c>
      <c r="AN314">
        <v>0</v>
      </c>
      <c r="AO314">
        <v>0</v>
      </c>
      <c r="AP314">
        <v>0</v>
      </c>
      <c r="AQ314">
        <v>0</v>
      </c>
      <c r="AR314">
        <v>0</v>
      </c>
      <c r="AS314">
        <v>0</v>
      </c>
      <c r="AT314">
        <v>0</v>
      </c>
      <c r="AU314">
        <v>0</v>
      </c>
      <c r="AV314">
        <v>0</v>
      </c>
      <c r="AW314">
        <v>0</v>
      </c>
      <c r="AX314">
        <v>0</v>
      </c>
      <c r="AY314">
        <v>0</v>
      </c>
      <c r="AZ314">
        <v>0</v>
      </c>
      <c r="BA314">
        <v>0</v>
      </c>
      <c r="BB314">
        <v>0</v>
      </c>
      <c r="BC314">
        <v>0</v>
      </c>
      <c r="BD314">
        <v>0</v>
      </c>
      <c r="BE314">
        <v>0</v>
      </c>
      <c r="BF314">
        <v>0</v>
      </c>
      <c r="BG314">
        <v>0</v>
      </c>
      <c r="BH314">
        <v>0</v>
      </c>
      <c r="BI314">
        <v>0</v>
      </c>
      <c r="BK314" s="151"/>
    </row>
    <row r="315" spans="1:63" x14ac:dyDescent="0.35">
      <c r="A315">
        <v>0</v>
      </c>
      <c r="B315">
        <v>0</v>
      </c>
      <c r="C315">
        <v>0</v>
      </c>
      <c r="D315">
        <v>0</v>
      </c>
      <c r="E315">
        <v>0</v>
      </c>
      <c r="F315">
        <v>0</v>
      </c>
      <c r="G315">
        <v>0</v>
      </c>
      <c r="H315">
        <v>0</v>
      </c>
      <c r="I315">
        <v>0</v>
      </c>
      <c r="J315">
        <v>0</v>
      </c>
      <c r="K315">
        <v>0</v>
      </c>
      <c r="L315">
        <v>0</v>
      </c>
      <c r="M315">
        <v>0</v>
      </c>
      <c r="N315">
        <v>0</v>
      </c>
      <c r="O315">
        <v>0</v>
      </c>
      <c r="P315">
        <v>0</v>
      </c>
      <c r="Q315">
        <v>0</v>
      </c>
      <c r="R315">
        <v>0</v>
      </c>
      <c r="S315">
        <v>0</v>
      </c>
      <c r="T315">
        <v>0</v>
      </c>
      <c r="U315">
        <v>0</v>
      </c>
      <c r="V315">
        <v>0</v>
      </c>
      <c r="W315">
        <v>0</v>
      </c>
      <c r="X315">
        <v>0</v>
      </c>
      <c r="Y315">
        <v>0</v>
      </c>
      <c r="Z315">
        <v>0</v>
      </c>
      <c r="AA315">
        <v>0</v>
      </c>
      <c r="AB315">
        <v>0</v>
      </c>
      <c r="AC315">
        <v>0</v>
      </c>
      <c r="AD315">
        <v>0</v>
      </c>
      <c r="AF315">
        <v>0</v>
      </c>
      <c r="AG315">
        <v>0</v>
      </c>
      <c r="AH315">
        <v>0</v>
      </c>
      <c r="AI315">
        <v>0</v>
      </c>
      <c r="AJ315">
        <v>0</v>
      </c>
      <c r="AK315">
        <v>0</v>
      </c>
      <c r="AL315">
        <v>0</v>
      </c>
      <c r="AM315">
        <v>0</v>
      </c>
      <c r="AN315">
        <v>0</v>
      </c>
      <c r="AO315">
        <v>0</v>
      </c>
      <c r="AP315">
        <v>0</v>
      </c>
      <c r="AQ315">
        <v>0</v>
      </c>
      <c r="AR315">
        <v>0</v>
      </c>
      <c r="AS315">
        <v>0</v>
      </c>
      <c r="AT315">
        <v>0</v>
      </c>
      <c r="AU315">
        <v>0</v>
      </c>
      <c r="AV315">
        <v>0</v>
      </c>
      <c r="AW315">
        <v>0</v>
      </c>
      <c r="AX315">
        <v>0</v>
      </c>
      <c r="AY315">
        <v>0</v>
      </c>
      <c r="AZ315">
        <v>0</v>
      </c>
      <c r="BA315">
        <v>0</v>
      </c>
      <c r="BB315">
        <v>0</v>
      </c>
      <c r="BC315">
        <v>0</v>
      </c>
      <c r="BD315">
        <v>0</v>
      </c>
      <c r="BE315">
        <v>0</v>
      </c>
      <c r="BF315">
        <v>0</v>
      </c>
      <c r="BG315">
        <v>0</v>
      </c>
      <c r="BH315">
        <v>0</v>
      </c>
      <c r="BI315">
        <v>0</v>
      </c>
      <c r="BK315" s="151"/>
    </row>
    <row r="316" spans="1:63" x14ac:dyDescent="0.35">
      <c r="A316">
        <v>0</v>
      </c>
      <c r="B316">
        <v>0</v>
      </c>
      <c r="C316">
        <v>0</v>
      </c>
      <c r="D316">
        <v>0</v>
      </c>
      <c r="E316">
        <v>0</v>
      </c>
      <c r="F316">
        <v>0</v>
      </c>
      <c r="G316">
        <v>0</v>
      </c>
      <c r="H316">
        <v>0</v>
      </c>
      <c r="I316">
        <v>0</v>
      </c>
      <c r="J316">
        <v>0</v>
      </c>
      <c r="K316">
        <v>0</v>
      </c>
      <c r="L316">
        <v>0</v>
      </c>
      <c r="M316">
        <v>0</v>
      </c>
      <c r="N316">
        <v>0</v>
      </c>
      <c r="O316">
        <v>0</v>
      </c>
      <c r="P316">
        <v>0</v>
      </c>
      <c r="Q316">
        <v>0</v>
      </c>
      <c r="R316">
        <v>0</v>
      </c>
      <c r="S316">
        <v>0</v>
      </c>
      <c r="T316">
        <v>0</v>
      </c>
      <c r="U316">
        <v>0</v>
      </c>
      <c r="V316">
        <v>0</v>
      </c>
      <c r="W316">
        <v>0</v>
      </c>
      <c r="X316">
        <v>0</v>
      </c>
      <c r="Y316">
        <v>0</v>
      </c>
      <c r="Z316">
        <v>0</v>
      </c>
      <c r="AA316">
        <v>0</v>
      </c>
      <c r="AB316">
        <v>0</v>
      </c>
      <c r="AC316">
        <v>0</v>
      </c>
      <c r="AD316">
        <v>0</v>
      </c>
      <c r="AF316">
        <v>0</v>
      </c>
      <c r="AG316">
        <v>0</v>
      </c>
      <c r="AH316">
        <v>0</v>
      </c>
      <c r="AI316">
        <v>0</v>
      </c>
      <c r="AJ316">
        <v>0</v>
      </c>
      <c r="AK316">
        <v>0</v>
      </c>
      <c r="AL316">
        <v>0</v>
      </c>
      <c r="AM316">
        <v>0</v>
      </c>
      <c r="AN316">
        <v>0</v>
      </c>
      <c r="AO316">
        <v>0</v>
      </c>
      <c r="AP316">
        <v>0</v>
      </c>
      <c r="AQ316">
        <v>0</v>
      </c>
      <c r="AR316">
        <v>0</v>
      </c>
      <c r="AS316">
        <v>0</v>
      </c>
      <c r="AT316">
        <v>0</v>
      </c>
      <c r="AU316">
        <v>0</v>
      </c>
      <c r="AV316">
        <v>0</v>
      </c>
      <c r="AW316">
        <v>0</v>
      </c>
      <c r="AX316">
        <v>0</v>
      </c>
      <c r="AY316">
        <v>0</v>
      </c>
      <c r="AZ316">
        <v>0</v>
      </c>
      <c r="BA316">
        <v>0</v>
      </c>
      <c r="BB316">
        <v>0</v>
      </c>
      <c r="BC316">
        <v>0</v>
      </c>
      <c r="BD316">
        <v>0</v>
      </c>
      <c r="BE316">
        <v>0</v>
      </c>
      <c r="BF316">
        <v>0</v>
      </c>
      <c r="BG316">
        <v>0</v>
      </c>
      <c r="BH316">
        <v>0</v>
      </c>
      <c r="BI316">
        <v>0</v>
      </c>
      <c r="BK316" s="151"/>
    </row>
    <row r="317" spans="1:63" x14ac:dyDescent="0.35">
      <c r="A317">
        <v>0</v>
      </c>
      <c r="B317">
        <v>0</v>
      </c>
      <c r="C317">
        <v>0</v>
      </c>
      <c r="D317">
        <v>0</v>
      </c>
      <c r="E317">
        <v>0</v>
      </c>
      <c r="F317">
        <v>0</v>
      </c>
      <c r="G317">
        <v>0</v>
      </c>
      <c r="H317">
        <v>0</v>
      </c>
      <c r="I317">
        <v>0</v>
      </c>
      <c r="J317">
        <v>0</v>
      </c>
      <c r="K317">
        <v>0</v>
      </c>
      <c r="L317">
        <v>0</v>
      </c>
      <c r="M317">
        <v>0</v>
      </c>
      <c r="N317">
        <v>0</v>
      </c>
      <c r="O317">
        <v>0</v>
      </c>
      <c r="P317">
        <v>0</v>
      </c>
      <c r="Q317">
        <v>0</v>
      </c>
      <c r="R317">
        <v>0</v>
      </c>
      <c r="S317">
        <v>0</v>
      </c>
      <c r="T317">
        <v>0</v>
      </c>
      <c r="U317">
        <v>0</v>
      </c>
      <c r="V317">
        <v>0</v>
      </c>
      <c r="W317">
        <v>0</v>
      </c>
      <c r="X317">
        <v>0</v>
      </c>
      <c r="Y317">
        <v>0</v>
      </c>
      <c r="Z317">
        <v>0</v>
      </c>
      <c r="AA317">
        <v>0</v>
      </c>
      <c r="AB317">
        <v>0</v>
      </c>
      <c r="AC317">
        <v>0</v>
      </c>
      <c r="AD317">
        <v>0</v>
      </c>
      <c r="AF317">
        <v>0</v>
      </c>
      <c r="AG317">
        <v>0</v>
      </c>
      <c r="AH317">
        <v>0</v>
      </c>
      <c r="AI317">
        <v>0</v>
      </c>
      <c r="AJ317">
        <v>0</v>
      </c>
      <c r="AK317">
        <v>0</v>
      </c>
      <c r="AL317">
        <v>0</v>
      </c>
      <c r="AM317">
        <v>0</v>
      </c>
      <c r="AN317">
        <v>0</v>
      </c>
      <c r="AO317">
        <v>0</v>
      </c>
      <c r="AP317">
        <v>0</v>
      </c>
      <c r="AQ317">
        <v>0</v>
      </c>
      <c r="AR317">
        <v>0</v>
      </c>
      <c r="AS317">
        <v>0</v>
      </c>
      <c r="AT317">
        <v>0</v>
      </c>
      <c r="AU317">
        <v>0</v>
      </c>
      <c r="AV317">
        <v>0</v>
      </c>
      <c r="AW317">
        <v>0</v>
      </c>
      <c r="AX317">
        <v>0</v>
      </c>
      <c r="AY317">
        <v>0</v>
      </c>
      <c r="AZ317">
        <v>0</v>
      </c>
      <c r="BA317">
        <v>0</v>
      </c>
      <c r="BB317">
        <v>0</v>
      </c>
      <c r="BC317">
        <v>0</v>
      </c>
      <c r="BD317">
        <v>0</v>
      </c>
      <c r="BE317">
        <v>0</v>
      </c>
      <c r="BF317">
        <v>0</v>
      </c>
      <c r="BG317">
        <v>0</v>
      </c>
      <c r="BH317">
        <v>0</v>
      </c>
      <c r="BI317">
        <v>0</v>
      </c>
      <c r="BK317" s="151"/>
    </row>
    <row r="318" spans="1:63" x14ac:dyDescent="0.35">
      <c r="A318">
        <v>0</v>
      </c>
      <c r="B318">
        <v>0</v>
      </c>
      <c r="C318">
        <v>0</v>
      </c>
      <c r="D318">
        <v>0</v>
      </c>
      <c r="E318">
        <v>0</v>
      </c>
      <c r="F318">
        <v>0</v>
      </c>
      <c r="G318">
        <v>0</v>
      </c>
      <c r="H318">
        <v>0</v>
      </c>
      <c r="I318">
        <v>0</v>
      </c>
      <c r="J318">
        <v>0</v>
      </c>
      <c r="K318">
        <v>0</v>
      </c>
      <c r="L318">
        <v>0</v>
      </c>
      <c r="M318">
        <v>0</v>
      </c>
      <c r="N318">
        <v>0</v>
      </c>
      <c r="O318">
        <v>0</v>
      </c>
      <c r="P318">
        <v>0</v>
      </c>
      <c r="Q318">
        <v>0</v>
      </c>
      <c r="R318">
        <v>0</v>
      </c>
      <c r="S318">
        <v>0</v>
      </c>
      <c r="T318">
        <v>0</v>
      </c>
      <c r="U318">
        <v>0</v>
      </c>
      <c r="V318">
        <v>0</v>
      </c>
      <c r="W318">
        <v>0</v>
      </c>
      <c r="X318">
        <v>0</v>
      </c>
      <c r="Y318">
        <v>0</v>
      </c>
      <c r="Z318">
        <v>0</v>
      </c>
      <c r="AA318">
        <v>0</v>
      </c>
      <c r="AB318">
        <v>0</v>
      </c>
      <c r="AC318">
        <v>0</v>
      </c>
      <c r="AD318">
        <v>0</v>
      </c>
      <c r="AF318">
        <v>0</v>
      </c>
      <c r="AG318">
        <v>0</v>
      </c>
      <c r="AH318">
        <v>0</v>
      </c>
      <c r="AI318">
        <v>0</v>
      </c>
      <c r="AJ318">
        <v>0</v>
      </c>
      <c r="AK318">
        <v>0</v>
      </c>
      <c r="AL318">
        <v>0</v>
      </c>
      <c r="AM318">
        <v>0</v>
      </c>
      <c r="AN318">
        <v>0</v>
      </c>
      <c r="AO318">
        <v>0</v>
      </c>
      <c r="AP318">
        <v>0</v>
      </c>
      <c r="AQ318">
        <v>0</v>
      </c>
      <c r="AR318">
        <v>0</v>
      </c>
      <c r="AS318">
        <v>0</v>
      </c>
      <c r="AT318">
        <v>0</v>
      </c>
      <c r="AU318">
        <v>0</v>
      </c>
      <c r="AV318">
        <v>0</v>
      </c>
      <c r="AW318">
        <v>0</v>
      </c>
      <c r="AX318">
        <v>0</v>
      </c>
      <c r="AY318">
        <v>0</v>
      </c>
      <c r="AZ318">
        <v>0</v>
      </c>
      <c r="BA318">
        <v>0</v>
      </c>
      <c r="BB318">
        <v>0</v>
      </c>
      <c r="BC318">
        <v>0</v>
      </c>
      <c r="BD318">
        <v>0</v>
      </c>
      <c r="BE318">
        <v>0</v>
      </c>
      <c r="BF318">
        <v>0</v>
      </c>
      <c r="BG318">
        <v>0</v>
      </c>
      <c r="BH318">
        <v>0</v>
      </c>
      <c r="BI318">
        <v>0</v>
      </c>
      <c r="BK318" s="151"/>
    </row>
    <row r="319" spans="1:63" x14ac:dyDescent="0.35">
      <c r="A319">
        <v>0</v>
      </c>
      <c r="B319">
        <v>0</v>
      </c>
      <c r="C319">
        <v>0</v>
      </c>
      <c r="D319">
        <v>0</v>
      </c>
      <c r="E319">
        <v>0</v>
      </c>
      <c r="F319">
        <v>0</v>
      </c>
      <c r="G319">
        <v>0</v>
      </c>
      <c r="H319">
        <v>0</v>
      </c>
      <c r="I319">
        <v>0</v>
      </c>
      <c r="J319">
        <v>0</v>
      </c>
      <c r="K319">
        <v>0</v>
      </c>
      <c r="L319">
        <v>0</v>
      </c>
      <c r="M319">
        <v>0</v>
      </c>
      <c r="N319">
        <v>0</v>
      </c>
      <c r="O319">
        <v>0</v>
      </c>
      <c r="P319">
        <v>0</v>
      </c>
      <c r="Q319">
        <v>0</v>
      </c>
      <c r="R319">
        <v>0</v>
      </c>
      <c r="S319">
        <v>0</v>
      </c>
      <c r="T319">
        <v>0</v>
      </c>
      <c r="U319">
        <v>0</v>
      </c>
      <c r="V319">
        <v>0</v>
      </c>
      <c r="W319">
        <v>0</v>
      </c>
      <c r="X319">
        <v>0</v>
      </c>
      <c r="Y319">
        <v>0</v>
      </c>
      <c r="Z319">
        <v>0</v>
      </c>
      <c r="AA319">
        <v>0</v>
      </c>
      <c r="AB319">
        <v>0</v>
      </c>
      <c r="AC319">
        <v>0</v>
      </c>
      <c r="AD319">
        <v>0</v>
      </c>
      <c r="AF319">
        <v>0</v>
      </c>
      <c r="AG319">
        <v>0</v>
      </c>
      <c r="AH319">
        <v>0</v>
      </c>
      <c r="AI319">
        <v>0</v>
      </c>
      <c r="AJ319">
        <v>0</v>
      </c>
      <c r="AK319">
        <v>0</v>
      </c>
      <c r="AL319">
        <v>0</v>
      </c>
      <c r="AM319">
        <v>0</v>
      </c>
      <c r="AN319">
        <v>0</v>
      </c>
      <c r="AO319">
        <v>0</v>
      </c>
      <c r="AP319">
        <v>0</v>
      </c>
      <c r="AQ319">
        <v>0</v>
      </c>
      <c r="AR319">
        <v>0</v>
      </c>
      <c r="AS319">
        <v>0</v>
      </c>
      <c r="AT319">
        <v>0</v>
      </c>
      <c r="AU319">
        <v>0</v>
      </c>
      <c r="AV319">
        <v>0</v>
      </c>
      <c r="AW319">
        <v>0</v>
      </c>
      <c r="AX319">
        <v>0</v>
      </c>
      <c r="AY319">
        <v>0</v>
      </c>
      <c r="AZ319">
        <v>0</v>
      </c>
      <c r="BA319">
        <v>0</v>
      </c>
      <c r="BB319">
        <v>0</v>
      </c>
      <c r="BC319">
        <v>0</v>
      </c>
      <c r="BD319">
        <v>0</v>
      </c>
      <c r="BE319">
        <v>0</v>
      </c>
      <c r="BF319">
        <v>0</v>
      </c>
      <c r="BG319">
        <v>0</v>
      </c>
      <c r="BH319">
        <v>0</v>
      </c>
      <c r="BI319">
        <v>0</v>
      </c>
      <c r="BK319" s="151"/>
    </row>
    <row r="320" spans="1:63" x14ac:dyDescent="0.35">
      <c r="A320">
        <v>0</v>
      </c>
      <c r="B320">
        <v>0</v>
      </c>
      <c r="C320">
        <v>0</v>
      </c>
      <c r="D320">
        <v>0</v>
      </c>
      <c r="E320">
        <v>0</v>
      </c>
      <c r="F320">
        <v>0</v>
      </c>
      <c r="G320">
        <v>0</v>
      </c>
      <c r="H320">
        <v>0</v>
      </c>
      <c r="I320">
        <v>0</v>
      </c>
      <c r="J320">
        <v>0</v>
      </c>
      <c r="K320">
        <v>0</v>
      </c>
      <c r="L320">
        <v>0</v>
      </c>
      <c r="M320">
        <v>0</v>
      </c>
      <c r="N320">
        <v>0</v>
      </c>
      <c r="O320">
        <v>0</v>
      </c>
      <c r="P320">
        <v>0</v>
      </c>
      <c r="Q320">
        <v>0</v>
      </c>
      <c r="R320">
        <v>0</v>
      </c>
      <c r="S320">
        <v>0</v>
      </c>
      <c r="T320">
        <v>0</v>
      </c>
      <c r="U320">
        <v>0</v>
      </c>
      <c r="V320">
        <v>0</v>
      </c>
      <c r="W320">
        <v>0</v>
      </c>
      <c r="X320">
        <v>0</v>
      </c>
      <c r="Y320">
        <v>0</v>
      </c>
      <c r="Z320">
        <v>0</v>
      </c>
      <c r="AA320">
        <v>0</v>
      </c>
      <c r="AB320">
        <v>0</v>
      </c>
      <c r="AC320">
        <v>0</v>
      </c>
      <c r="AD320">
        <v>0</v>
      </c>
      <c r="AF320">
        <v>0</v>
      </c>
      <c r="AG320">
        <v>0</v>
      </c>
      <c r="AH320">
        <v>0</v>
      </c>
      <c r="AI320">
        <v>0</v>
      </c>
      <c r="AJ320">
        <v>0</v>
      </c>
      <c r="AK320">
        <v>0</v>
      </c>
      <c r="AL320">
        <v>0</v>
      </c>
      <c r="AM320">
        <v>0</v>
      </c>
      <c r="AN320">
        <v>0</v>
      </c>
      <c r="AO320">
        <v>0</v>
      </c>
      <c r="AP320">
        <v>0</v>
      </c>
      <c r="AQ320">
        <v>0</v>
      </c>
      <c r="AR320">
        <v>0</v>
      </c>
      <c r="AS320">
        <v>0</v>
      </c>
      <c r="AT320">
        <v>0</v>
      </c>
      <c r="AU320">
        <v>0</v>
      </c>
      <c r="AV320">
        <v>0</v>
      </c>
      <c r="AW320">
        <v>0</v>
      </c>
      <c r="AX320">
        <v>0</v>
      </c>
      <c r="AY320">
        <v>0</v>
      </c>
      <c r="AZ320">
        <v>0</v>
      </c>
      <c r="BA320">
        <v>0</v>
      </c>
      <c r="BB320">
        <v>0</v>
      </c>
      <c r="BC320">
        <v>0</v>
      </c>
      <c r="BD320">
        <v>0</v>
      </c>
      <c r="BE320">
        <v>0</v>
      </c>
      <c r="BF320">
        <v>0</v>
      </c>
      <c r="BG320">
        <v>0</v>
      </c>
      <c r="BH320">
        <v>0</v>
      </c>
      <c r="BI320">
        <v>0</v>
      </c>
      <c r="BK320" s="151"/>
    </row>
    <row r="321" spans="1:63" x14ac:dyDescent="0.35">
      <c r="A321">
        <v>0</v>
      </c>
      <c r="B321">
        <v>0</v>
      </c>
      <c r="C321">
        <v>0</v>
      </c>
      <c r="D321">
        <v>0</v>
      </c>
      <c r="E321">
        <v>0</v>
      </c>
      <c r="F321">
        <v>0</v>
      </c>
      <c r="G321">
        <v>0</v>
      </c>
      <c r="H321">
        <v>0</v>
      </c>
      <c r="I321">
        <v>0</v>
      </c>
      <c r="J321">
        <v>0</v>
      </c>
      <c r="K321">
        <v>0</v>
      </c>
      <c r="L321">
        <v>0</v>
      </c>
      <c r="M321">
        <v>0</v>
      </c>
      <c r="N321">
        <v>0</v>
      </c>
      <c r="O321">
        <v>0</v>
      </c>
      <c r="P321">
        <v>0</v>
      </c>
      <c r="Q321">
        <v>0</v>
      </c>
      <c r="R321">
        <v>0</v>
      </c>
      <c r="S321">
        <v>0</v>
      </c>
      <c r="T321">
        <v>0</v>
      </c>
      <c r="U321">
        <v>0</v>
      </c>
      <c r="V321">
        <v>0</v>
      </c>
      <c r="W321">
        <v>0</v>
      </c>
      <c r="X321">
        <v>0</v>
      </c>
      <c r="Y321">
        <v>0</v>
      </c>
      <c r="Z321">
        <v>0</v>
      </c>
      <c r="AA321">
        <v>0</v>
      </c>
      <c r="AB321">
        <v>0</v>
      </c>
      <c r="AC321">
        <v>0</v>
      </c>
      <c r="AD321">
        <v>0</v>
      </c>
      <c r="AF321">
        <v>0</v>
      </c>
      <c r="AG321">
        <v>0</v>
      </c>
      <c r="AH321">
        <v>0</v>
      </c>
      <c r="AI321">
        <v>0</v>
      </c>
      <c r="AJ321">
        <v>0</v>
      </c>
      <c r="AK321">
        <v>0</v>
      </c>
      <c r="AL321">
        <v>0</v>
      </c>
      <c r="AM321">
        <v>0</v>
      </c>
      <c r="AN321">
        <v>0</v>
      </c>
      <c r="AO321">
        <v>0</v>
      </c>
      <c r="AP321">
        <v>0</v>
      </c>
      <c r="AQ321">
        <v>0</v>
      </c>
      <c r="AR321">
        <v>0</v>
      </c>
      <c r="AS321">
        <v>0</v>
      </c>
      <c r="AT321">
        <v>0</v>
      </c>
      <c r="AU321">
        <v>0</v>
      </c>
      <c r="AV321">
        <v>0</v>
      </c>
      <c r="AW321">
        <v>0</v>
      </c>
      <c r="AX321">
        <v>0</v>
      </c>
      <c r="AY321">
        <v>0</v>
      </c>
      <c r="AZ321">
        <v>0</v>
      </c>
      <c r="BA321">
        <v>0</v>
      </c>
      <c r="BB321">
        <v>0</v>
      </c>
      <c r="BC321">
        <v>0</v>
      </c>
      <c r="BD321">
        <v>0</v>
      </c>
      <c r="BE321">
        <v>0</v>
      </c>
      <c r="BF321">
        <v>0</v>
      </c>
      <c r="BG321">
        <v>0</v>
      </c>
      <c r="BH321">
        <v>0</v>
      </c>
      <c r="BI321">
        <v>0</v>
      </c>
      <c r="BK321" s="151"/>
    </row>
    <row r="322" spans="1:63" x14ac:dyDescent="0.35">
      <c r="A322">
        <v>0</v>
      </c>
      <c r="B322">
        <v>0</v>
      </c>
      <c r="C322">
        <v>0</v>
      </c>
      <c r="D322">
        <v>0</v>
      </c>
      <c r="E322">
        <v>0</v>
      </c>
      <c r="F322">
        <v>0</v>
      </c>
      <c r="G322">
        <v>0</v>
      </c>
      <c r="H322">
        <v>0</v>
      </c>
      <c r="I322">
        <v>0</v>
      </c>
      <c r="J322">
        <v>0</v>
      </c>
      <c r="K322">
        <v>0</v>
      </c>
      <c r="L322">
        <v>0</v>
      </c>
      <c r="M322">
        <v>0</v>
      </c>
      <c r="N322">
        <v>0</v>
      </c>
      <c r="O322">
        <v>0</v>
      </c>
      <c r="P322">
        <v>0</v>
      </c>
      <c r="Q322">
        <v>0</v>
      </c>
      <c r="R322">
        <v>0</v>
      </c>
      <c r="S322">
        <v>0</v>
      </c>
      <c r="T322">
        <v>0</v>
      </c>
      <c r="U322">
        <v>0</v>
      </c>
      <c r="V322">
        <v>0</v>
      </c>
      <c r="W322">
        <v>0</v>
      </c>
      <c r="X322">
        <v>0</v>
      </c>
      <c r="Y322">
        <v>0</v>
      </c>
      <c r="Z322">
        <v>0</v>
      </c>
      <c r="AA322">
        <v>0</v>
      </c>
      <c r="AB322">
        <v>0</v>
      </c>
      <c r="AC322">
        <v>0</v>
      </c>
      <c r="AD322">
        <v>0</v>
      </c>
      <c r="AF322">
        <v>0</v>
      </c>
      <c r="AG322">
        <v>0</v>
      </c>
      <c r="AH322">
        <v>0</v>
      </c>
      <c r="AI322">
        <v>0</v>
      </c>
      <c r="AJ322">
        <v>0</v>
      </c>
      <c r="AK322">
        <v>0</v>
      </c>
      <c r="AL322">
        <v>0</v>
      </c>
      <c r="AM322">
        <v>0</v>
      </c>
      <c r="AN322">
        <v>0</v>
      </c>
      <c r="AO322">
        <v>0</v>
      </c>
      <c r="AP322">
        <v>0</v>
      </c>
      <c r="AQ322">
        <v>0</v>
      </c>
      <c r="AR322">
        <v>0</v>
      </c>
      <c r="AS322">
        <v>0</v>
      </c>
      <c r="AT322">
        <v>0</v>
      </c>
      <c r="AU322">
        <v>0</v>
      </c>
      <c r="AV322">
        <v>0</v>
      </c>
      <c r="AW322">
        <v>0</v>
      </c>
      <c r="AX322">
        <v>0</v>
      </c>
      <c r="AY322">
        <v>0</v>
      </c>
      <c r="AZ322">
        <v>0</v>
      </c>
      <c r="BA322">
        <v>0</v>
      </c>
      <c r="BB322">
        <v>0</v>
      </c>
      <c r="BC322">
        <v>0</v>
      </c>
      <c r="BD322">
        <v>0</v>
      </c>
      <c r="BE322">
        <v>0</v>
      </c>
      <c r="BF322">
        <v>0</v>
      </c>
      <c r="BG322">
        <v>0</v>
      </c>
      <c r="BH322">
        <v>0</v>
      </c>
      <c r="BI322">
        <v>0</v>
      </c>
      <c r="BK322" s="151"/>
    </row>
    <row r="323" spans="1:63" x14ac:dyDescent="0.35">
      <c r="A323">
        <v>0</v>
      </c>
      <c r="B323">
        <v>0</v>
      </c>
      <c r="C323">
        <v>0</v>
      </c>
      <c r="D323">
        <v>0</v>
      </c>
      <c r="E323">
        <v>0</v>
      </c>
      <c r="F323">
        <v>0</v>
      </c>
      <c r="G323">
        <v>0</v>
      </c>
      <c r="H323">
        <v>0</v>
      </c>
      <c r="I323">
        <v>0</v>
      </c>
      <c r="J323">
        <v>0</v>
      </c>
      <c r="K323">
        <v>0</v>
      </c>
      <c r="L323">
        <v>0</v>
      </c>
      <c r="M323">
        <v>0</v>
      </c>
      <c r="N323">
        <v>0</v>
      </c>
      <c r="O323">
        <v>0</v>
      </c>
      <c r="P323">
        <v>0</v>
      </c>
      <c r="Q323">
        <v>0</v>
      </c>
      <c r="R323">
        <v>0</v>
      </c>
      <c r="S323">
        <v>0</v>
      </c>
      <c r="T323">
        <v>0</v>
      </c>
      <c r="U323">
        <v>0</v>
      </c>
      <c r="V323">
        <v>0</v>
      </c>
      <c r="W323">
        <v>0</v>
      </c>
      <c r="X323">
        <v>0</v>
      </c>
      <c r="Y323">
        <v>0</v>
      </c>
      <c r="Z323">
        <v>0</v>
      </c>
      <c r="AA323">
        <v>0</v>
      </c>
      <c r="AB323">
        <v>0</v>
      </c>
      <c r="AC323">
        <v>0</v>
      </c>
      <c r="AD323">
        <v>0</v>
      </c>
      <c r="AF323">
        <v>0</v>
      </c>
      <c r="AG323">
        <v>0</v>
      </c>
      <c r="AH323">
        <v>0</v>
      </c>
      <c r="AI323">
        <v>0</v>
      </c>
      <c r="AJ323">
        <v>0</v>
      </c>
      <c r="AK323">
        <v>0</v>
      </c>
      <c r="AL323">
        <v>0</v>
      </c>
      <c r="AM323">
        <v>0</v>
      </c>
      <c r="AN323">
        <v>0</v>
      </c>
      <c r="AO323">
        <v>0</v>
      </c>
      <c r="AP323">
        <v>0</v>
      </c>
      <c r="AQ323">
        <v>0</v>
      </c>
      <c r="AR323">
        <v>0</v>
      </c>
      <c r="AS323">
        <v>0</v>
      </c>
      <c r="AT323">
        <v>0</v>
      </c>
      <c r="AU323">
        <v>0</v>
      </c>
      <c r="AV323">
        <v>0</v>
      </c>
      <c r="AW323">
        <v>0</v>
      </c>
      <c r="AX323">
        <v>0</v>
      </c>
      <c r="AY323">
        <v>0</v>
      </c>
      <c r="AZ323">
        <v>0</v>
      </c>
      <c r="BA323">
        <v>0</v>
      </c>
      <c r="BB323">
        <v>0</v>
      </c>
      <c r="BC323">
        <v>0</v>
      </c>
      <c r="BD323">
        <v>0</v>
      </c>
      <c r="BE323">
        <v>0</v>
      </c>
      <c r="BF323">
        <v>0</v>
      </c>
      <c r="BG323">
        <v>0</v>
      </c>
      <c r="BH323">
        <v>0</v>
      </c>
      <c r="BI323">
        <v>0</v>
      </c>
      <c r="BK323" s="151"/>
    </row>
    <row r="324" spans="1:63" x14ac:dyDescent="0.35">
      <c r="A324">
        <v>0</v>
      </c>
      <c r="B324">
        <v>0</v>
      </c>
      <c r="C324">
        <v>0</v>
      </c>
      <c r="D324">
        <v>0</v>
      </c>
      <c r="E324">
        <v>0</v>
      </c>
      <c r="F324">
        <v>0</v>
      </c>
      <c r="G324">
        <v>0</v>
      </c>
      <c r="H324">
        <v>0</v>
      </c>
      <c r="I324">
        <v>0</v>
      </c>
      <c r="J324">
        <v>0</v>
      </c>
      <c r="K324">
        <v>0</v>
      </c>
      <c r="L324">
        <v>0</v>
      </c>
      <c r="M324">
        <v>0</v>
      </c>
      <c r="N324">
        <v>0</v>
      </c>
      <c r="O324">
        <v>0</v>
      </c>
      <c r="P324">
        <v>0</v>
      </c>
      <c r="Q324">
        <v>0</v>
      </c>
      <c r="R324">
        <v>0</v>
      </c>
      <c r="S324">
        <v>0</v>
      </c>
      <c r="T324">
        <v>0</v>
      </c>
      <c r="U324">
        <v>0</v>
      </c>
      <c r="V324">
        <v>0</v>
      </c>
      <c r="W324">
        <v>0</v>
      </c>
      <c r="X324">
        <v>0</v>
      </c>
      <c r="Y324">
        <v>0</v>
      </c>
      <c r="Z324">
        <v>0</v>
      </c>
      <c r="AA324">
        <v>0</v>
      </c>
      <c r="AB324">
        <v>0</v>
      </c>
      <c r="AC324">
        <v>0</v>
      </c>
      <c r="AD324">
        <v>0</v>
      </c>
      <c r="AF324">
        <v>0</v>
      </c>
      <c r="AG324">
        <v>0</v>
      </c>
      <c r="AH324">
        <v>0</v>
      </c>
      <c r="AI324">
        <v>0</v>
      </c>
      <c r="AJ324">
        <v>0</v>
      </c>
      <c r="AK324">
        <v>0</v>
      </c>
      <c r="AL324">
        <v>0</v>
      </c>
      <c r="AM324">
        <v>0</v>
      </c>
      <c r="AN324">
        <v>0</v>
      </c>
      <c r="AO324">
        <v>0</v>
      </c>
      <c r="AP324">
        <v>0</v>
      </c>
      <c r="AQ324">
        <v>0</v>
      </c>
      <c r="AR324">
        <v>0</v>
      </c>
      <c r="AS324">
        <v>0</v>
      </c>
      <c r="AT324">
        <v>0</v>
      </c>
      <c r="AU324">
        <v>0</v>
      </c>
      <c r="AV324">
        <v>0</v>
      </c>
      <c r="AW324">
        <v>0</v>
      </c>
      <c r="AX324">
        <v>0</v>
      </c>
      <c r="AY324">
        <v>0</v>
      </c>
      <c r="AZ324">
        <v>0</v>
      </c>
      <c r="BA324">
        <v>0</v>
      </c>
      <c r="BB324">
        <v>0</v>
      </c>
      <c r="BC324">
        <v>0</v>
      </c>
      <c r="BD324">
        <v>0</v>
      </c>
      <c r="BE324">
        <v>0</v>
      </c>
      <c r="BF324">
        <v>0</v>
      </c>
      <c r="BG324">
        <v>0</v>
      </c>
      <c r="BH324">
        <v>0</v>
      </c>
      <c r="BI324">
        <v>0</v>
      </c>
      <c r="BK324" s="151"/>
    </row>
    <row r="325" spans="1:63" x14ac:dyDescent="0.35">
      <c r="A325">
        <v>0</v>
      </c>
      <c r="B325">
        <v>0</v>
      </c>
      <c r="C325">
        <v>0</v>
      </c>
      <c r="D325">
        <v>0</v>
      </c>
      <c r="E325">
        <v>0</v>
      </c>
      <c r="F325">
        <v>0</v>
      </c>
      <c r="G325">
        <v>0</v>
      </c>
      <c r="H325">
        <v>0</v>
      </c>
      <c r="I325">
        <v>0</v>
      </c>
      <c r="J325">
        <v>0</v>
      </c>
      <c r="K325">
        <v>0</v>
      </c>
      <c r="L325">
        <v>0</v>
      </c>
      <c r="M325">
        <v>0</v>
      </c>
      <c r="N325">
        <v>0</v>
      </c>
      <c r="O325">
        <v>0</v>
      </c>
      <c r="P325">
        <v>0</v>
      </c>
      <c r="Q325">
        <v>0</v>
      </c>
      <c r="R325">
        <v>0</v>
      </c>
      <c r="S325">
        <v>0</v>
      </c>
      <c r="T325">
        <v>0</v>
      </c>
      <c r="U325">
        <v>0</v>
      </c>
      <c r="V325">
        <v>0</v>
      </c>
      <c r="W325">
        <v>0</v>
      </c>
      <c r="X325">
        <v>0</v>
      </c>
      <c r="Y325">
        <v>0</v>
      </c>
      <c r="Z325">
        <v>0</v>
      </c>
      <c r="AA325">
        <v>0</v>
      </c>
      <c r="AB325">
        <v>0</v>
      </c>
      <c r="AC325">
        <v>0</v>
      </c>
      <c r="AD325">
        <v>0</v>
      </c>
      <c r="AF325">
        <v>0</v>
      </c>
      <c r="AG325">
        <v>0</v>
      </c>
      <c r="AH325">
        <v>0</v>
      </c>
      <c r="AI325">
        <v>0</v>
      </c>
      <c r="AJ325">
        <v>0</v>
      </c>
      <c r="AK325">
        <v>0</v>
      </c>
      <c r="AL325">
        <v>0</v>
      </c>
      <c r="AM325">
        <v>0</v>
      </c>
      <c r="AN325">
        <v>0</v>
      </c>
      <c r="AO325">
        <v>0</v>
      </c>
      <c r="AP325">
        <v>0</v>
      </c>
      <c r="AQ325">
        <v>0</v>
      </c>
      <c r="AR325">
        <v>0</v>
      </c>
      <c r="AS325">
        <v>0</v>
      </c>
      <c r="AT325">
        <v>0</v>
      </c>
      <c r="AU325">
        <v>0</v>
      </c>
      <c r="AV325">
        <v>0</v>
      </c>
      <c r="AW325">
        <v>0</v>
      </c>
      <c r="AX325">
        <v>0</v>
      </c>
      <c r="AY325">
        <v>0</v>
      </c>
      <c r="AZ325">
        <v>0</v>
      </c>
      <c r="BA325">
        <v>0</v>
      </c>
      <c r="BB325">
        <v>0</v>
      </c>
      <c r="BC325">
        <v>0</v>
      </c>
      <c r="BD325">
        <v>0</v>
      </c>
      <c r="BE325">
        <v>0</v>
      </c>
      <c r="BF325">
        <v>0</v>
      </c>
      <c r="BG325">
        <v>0</v>
      </c>
      <c r="BH325">
        <v>0</v>
      </c>
      <c r="BI325">
        <v>0</v>
      </c>
      <c r="BK325" s="151"/>
    </row>
    <row r="326" spans="1:63" x14ac:dyDescent="0.35">
      <c r="A326">
        <v>0</v>
      </c>
      <c r="B326">
        <v>0</v>
      </c>
      <c r="C326">
        <v>0</v>
      </c>
      <c r="D326">
        <v>0</v>
      </c>
      <c r="E326">
        <v>0</v>
      </c>
      <c r="F326">
        <v>0</v>
      </c>
      <c r="G326">
        <v>0</v>
      </c>
      <c r="H326">
        <v>0</v>
      </c>
      <c r="I326">
        <v>0</v>
      </c>
      <c r="J326">
        <v>0</v>
      </c>
      <c r="K326">
        <v>0</v>
      </c>
      <c r="L326">
        <v>0</v>
      </c>
      <c r="M326">
        <v>0</v>
      </c>
      <c r="N326">
        <v>0</v>
      </c>
      <c r="O326">
        <v>0</v>
      </c>
      <c r="P326">
        <v>0</v>
      </c>
      <c r="Q326">
        <v>0</v>
      </c>
      <c r="R326">
        <v>0</v>
      </c>
      <c r="S326">
        <v>0</v>
      </c>
      <c r="T326">
        <v>0</v>
      </c>
      <c r="U326">
        <v>0</v>
      </c>
      <c r="V326">
        <v>0</v>
      </c>
      <c r="W326">
        <v>0</v>
      </c>
      <c r="X326">
        <v>0</v>
      </c>
      <c r="Y326">
        <v>0</v>
      </c>
      <c r="Z326">
        <v>0</v>
      </c>
      <c r="AA326">
        <v>0</v>
      </c>
      <c r="AB326">
        <v>0</v>
      </c>
      <c r="AC326">
        <v>0</v>
      </c>
      <c r="AD326">
        <v>0</v>
      </c>
      <c r="AF326">
        <v>0</v>
      </c>
      <c r="AG326">
        <v>0</v>
      </c>
      <c r="AH326">
        <v>0</v>
      </c>
      <c r="AI326">
        <v>0</v>
      </c>
      <c r="AJ326">
        <v>0</v>
      </c>
      <c r="AK326">
        <v>0</v>
      </c>
      <c r="AL326">
        <v>0</v>
      </c>
      <c r="AM326">
        <v>0</v>
      </c>
      <c r="AN326">
        <v>0</v>
      </c>
      <c r="AO326">
        <v>0</v>
      </c>
      <c r="AP326">
        <v>0</v>
      </c>
      <c r="AQ326">
        <v>0</v>
      </c>
      <c r="AR326">
        <v>0</v>
      </c>
      <c r="AS326">
        <v>0</v>
      </c>
      <c r="AT326">
        <v>0</v>
      </c>
      <c r="AU326">
        <v>0</v>
      </c>
      <c r="AV326">
        <v>0</v>
      </c>
      <c r="AW326">
        <v>0</v>
      </c>
      <c r="AX326">
        <v>0</v>
      </c>
      <c r="AY326">
        <v>0</v>
      </c>
      <c r="AZ326">
        <v>0</v>
      </c>
      <c r="BA326">
        <v>0</v>
      </c>
      <c r="BB326">
        <v>0</v>
      </c>
      <c r="BC326">
        <v>0</v>
      </c>
      <c r="BD326">
        <v>0</v>
      </c>
      <c r="BE326">
        <v>0</v>
      </c>
      <c r="BF326">
        <v>0</v>
      </c>
      <c r="BG326">
        <v>0</v>
      </c>
      <c r="BH326">
        <v>0</v>
      </c>
      <c r="BI326">
        <v>0</v>
      </c>
      <c r="BK326" s="151"/>
    </row>
    <row r="327" spans="1:63" x14ac:dyDescent="0.35">
      <c r="A327">
        <v>0</v>
      </c>
      <c r="B327">
        <v>0</v>
      </c>
      <c r="C327">
        <v>0</v>
      </c>
      <c r="D327">
        <v>0</v>
      </c>
      <c r="E327">
        <v>0</v>
      </c>
      <c r="F327">
        <v>0</v>
      </c>
      <c r="G327">
        <v>0</v>
      </c>
      <c r="H327">
        <v>0</v>
      </c>
      <c r="I327">
        <v>0</v>
      </c>
      <c r="J327">
        <v>0</v>
      </c>
      <c r="K327">
        <v>0</v>
      </c>
      <c r="L327">
        <v>0</v>
      </c>
      <c r="M327">
        <v>0</v>
      </c>
      <c r="N327">
        <v>0</v>
      </c>
      <c r="O327">
        <v>0</v>
      </c>
      <c r="P327">
        <v>0</v>
      </c>
      <c r="Q327">
        <v>0</v>
      </c>
      <c r="R327">
        <v>0</v>
      </c>
      <c r="S327">
        <v>0</v>
      </c>
      <c r="T327">
        <v>0</v>
      </c>
      <c r="U327">
        <v>0</v>
      </c>
      <c r="V327">
        <v>0</v>
      </c>
      <c r="W327">
        <v>0</v>
      </c>
      <c r="X327">
        <v>0</v>
      </c>
      <c r="Y327">
        <v>0</v>
      </c>
      <c r="Z327">
        <v>0</v>
      </c>
      <c r="AA327">
        <v>0</v>
      </c>
      <c r="AB327">
        <v>0</v>
      </c>
      <c r="AC327">
        <v>0</v>
      </c>
      <c r="AD327">
        <v>0</v>
      </c>
      <c r="AF327">
        <v>0</v>
      </c>
      <c r="AG327">
        <v>0</v>
      </c>
      <c r="AH327">
        <v>0</v>
      </c>
      <c r="AI327">
        <v>0</v>
      </c>
      <c r="AJ327">
        <v>0</v>
      </c>
      <c r="AK327">
        <v>0</v>
      </c>
      <c r="AL327">
        <v>0</v>
      </c>
      <c r="AM327">
        <v>0</v>
      </c>
      <c r="AN327">
        <v>0</v>
      </c>
      <c r="AO327">
        <v>0</v>
      </c>
      <c r="AP327">
        <v>0</v>
      </c>
      <c r="AQ327">
        <v>0</v>
      </c>
      <c r="AR327">
        <v>0</v>
      </c>
      <c r="AS327">
        <v>0</v>
      </c>
      <c r="AT327">
        <v>0</v>
      </c>
      <c r="AU327">
        <v>0</v>
      </c>
      <c r="AV327">
        <v>0</v>
      </c>
      <c r="AW327">
        <v>0</v>
      </c>
      <c r="AX327">
        <v>0</v>
      </c>
      <c r="AY327">
        <v>0</v>
      </c>
      <c r="AZ327">
        <v>0</v>
      </c>
      <c r="BA327">
        <v>0</v>
      </c>
      <c r="BB327">
        <v>0</v>
      </c>
      <c r="BC327">
        <v>0</v>
      </c>
      <c r="BD327">
        <v>0</v>
      </c>
      <c r="BE327">
        <v>0</v>
      </c>
      <c r="BF327">
        <v>0</v>
      </c>
      <c r="BG327">
        <v>0</v>
      </c>
      <c r="BH327">
        <v>0</v>
      </c>
      <c r="BI327">
        <v>0</v>
      </c>
      <c r="BK327" s="151"/>
    </row>
    <row r="328" spans="1:63" x14ac:dyDescent="0.35">
      <c r="A328">
        <v>0</v>
      </c>
      <c r="B328">
        <v>0</v>
      </c>
      <c r="C328">
        <v>0</v>
      </c>
      <c r="D328">
        <v>0</v>
      </c>
      <c r="E328">
        <v>0</v>
      </c>
      <c r="F328">
        <v>0</v>
      </c>
      <c r="G328">
        <v>0</v>
      </c>
      <c r="H328">
        <v>0</v>
      </c>
      <c r="I328">
        <v>0</v>
      </c>
      <c r="J328">
        <v>0</v>
      </c>
      <c r="K328">
        <v>0</v>
      </c>
      <c r="L328">
        <v>0</v>
      </c>
      <c r="M328">
        <v>0</v>
      </c>
      <c r="N328">
        <v>0</v>
      </c>
      <c r="O328">
        <v>0</v>
      </c>
      <c r="P328">
        <v>0</v>
      </c>
      <c r="Q328">
        <v>0</v>
      </c>
      <c r="R328">
        <v>0</v>
      </c>
      <c r="S328">
        <v>0</v>
      </c>
      <c r="T328">
        <v>0</v>
      </c>
      <c r="U328">
        <v>0</v>
      </c>
      <c r="V328">
        <v>0</v>
      </c>
      <c r="W328">
        <v>0</v>
      </c>
      <c r="X328">
        <v>0</v>
      </c>
      <c r="Y328">
        <v>0</v>
      </c>
      <c r="Z328">
        <v>0</v>
      </c>
      <c r="AA328">
        <v>0</v>
      </c>
      <c r="AB328">
        <v>0</v>
      </c>
      <c r="AC328">
        <v>0</v>
      </c>
      <c r="AD328">
        <v>0</v>
      </c>
      <c r="AF328">
        <v>0</v>
      </c>
      <c r="AG328">
        <v>0</v>
      </c>
      <c r="AH328">
        <v>0</v>
      </c>
      <c r="AI328">
        <v>0</v>
      </c>
      <c r="AJ328">
        <v>0</v>
      </c>
      <c r="AK328">
        <v>0</v>
      </c>
      <c r="AL328">
        <v>0</v>
      </c>
      <c r="AM328">
        <v>0</v>
      </c>
      <c r="AN328">
        <v>0</v>
      </c>
      <c r="AO328">
        <v>0</v>
      </c>
      <c r="AP328">
        <v>0</v>
      </c>
      <c r="AQ328">
        <v>0</v>
      </c>
      <c r="AR328">
        <v>0</v>
      </c>
      <c r="AS328">
        <v>0</v>
      </c>
      <c r="AT328">
        <v>0</v>
      </c>
      <c r="AU328">
        <v>0</v>
      </c>
      <c r="AV328">
        <v>0</v>
      </c>
      <c r="AW328">
        <v>0</v>
      </c>
      <c r="AX328">
        <v>0</v>
      </c>
      <c r="AY328">
        <v>0</v>
      </c>
      <c r="AZ328">
        <v>0</v>
      </c>
      <c r="BA328">
        <v>0</v>
      </c>
      <c r="BB328">
        <v>0</v>
      </c>
      <c r="BC328">
        <v>0</v>
      </c>
      <c r="BD328">
        <v>0</v>
      </c>
      <c r="BE328">
        <v>0</v>
      </c>
      <c r="BF328">
        <v>0</v>
      </c>
      <c r="BG328">
        <v>0</v>
      </c>
      <c r="BH328">
        <v>0</v>
      </c>
      <c r="BI328">
        <v>0</v>
      </c>
      <c r="BK328" s="151"/>
    </row>
    <row r="329" spans="1:63" x14ac:dyDescent="0.35">
      <c r="A329">
        <v>0</v>
      </c>
      <c r="B329">
        <v>0</v>
      </c>
      <c r="C329">
        <v>0</v>
      </c>
      <c r="D329">
        <v>0</v>
      </c>
      <c r="E329">
        <v>0</v>
      </c>
      <c r="F329">
        <v>0</v>
      </c>
      <c r="G329">
        <v>0</v>
      </c>
      <c r="H329">
        <v>0</v>
      </c>
      <c r="I329">
        <v>0</v>
      </c>
      <c r="J329">
        <v>0</v>
      </c>
      <c r="K329">
        <v>0</v>
      </c>
      <c r="L329">
        <v>0</v>
      </c>
      <c r="M329">
        <v>0</v>
      </c>
      <c r="N329">
        <v>0</v>
      </c>
      <c r="O329">
        <v>0</v>
      </c>
      <c r="P329">
        <v>0</v>
      </c>
      <c r="Q329">
        <v>0</v>
      </c>
      <c r="R329">
        <v>0</v>
      </c>
      <c r="S329">
        <v>0</v>
      </c>
      <c r="T329">
        <v>0</v>
      </c>
      <c r="U329">
        <v>0</v>
      </c>
      <c r="V329">
        <v>0</v>
      </c>
      <c r="W329">
        <v>0</v>
      </c>
      <c r="X329">
        <v>0</v>
      </c>
      <c r="Y329">
        <v>0</v>
      </c>
      <c r="Z329">
        <v>0</v>
      </c>
      <c r="AA329">
        <v>0</v>
      </c>
      <c r="AB329">
        <v>0</v>
      </c>
      <c r="AC329">
        <v>0</v>
      </c>
      <c r="AD329">
        <v>0</v>
      </c>
      <c r="AF329">
        <v>0</v>
      </c>
      <c r="AG329">
        <v>0</v>
      </c>
      <c r="AH329">
        <v>0</v>
      </c>
      <c r="AI329">
        <v>0</v>
      </c>
      <c r="AJ329">
        <v>0</v>
      </c>
      <c r="AK329">
        <v>0</v>
      </c>
      <c r="AL329">
        <v>0</v>
      </c>
      <c r="AM329">
        <v>0</v>
      </c>
      <c r="AN329">
        <v>0</v>
      </c>
      <c r="AO329">
        <v>0</v>
      </c>
      <c r="AP329">
        <v>0</v>
      </c>
      <c r="AQ329">
        <v>0</v>
      </c>
      <c r="AR329">
        <v>0</v>
      </c>
      <c r="AS329">
        <v>0</v>
      </c>
      <c r="AT329">
        <v>0</v>
      </c>
      <c r="AU329">
        <v>0</v>
      </c>
      <c r="AV329">
        <v>0</v>
      </c>
      <c r="AW329">
        <v>0</v>
      </c>
      <c r="AX329">
        <v>0</v>
      </c>
      <c r="AY329">
        <v>0</v>
      </c>
      <c r="AZ329">
        <v>0</v>
      </c>
      <c r="BA329">
        <v>0</v>
      </c>
      <c r="BB329">
        <v>0</v>
      </c>
      <c r="BC329">
        <v>0</v>
      </c>
      <c r="BD329">
        <v>0</v>
      </c>
      <c r="BE329">
        <v>0</v>
      </c>
      <c r="BF329">
        <v>0</v>
      </c>
      <c r="BG329">
        <v>0</v>
      </c>
      <c r="BH329">
        <v>0</v>
      </c>
      <c r="BI329">
        <v>0</v>
      </c>
      <c r="BK329" s="151"/>
    </row>
    <row r="330" spans="1:63" x14ac:dyDescent="0.35">
      <c r="A330">
        <v>0</v>
      </c>
      <c r="B330">
        <v>0</v>
      </c>
      <c r="C330">
        <v>0</v>
      </c>
      <c r="D330">
        <v>0</v>
      </c>
      <c r="E330">
        <v>0</v>
      </c>
      <c r="F330">
        <v>0</v>
      </c>
      <c r="G330">
        <v>0</v>
      </c>
      <c r="H330">
        <v>0</v>
      </c>
      <c r="I330">
        <v>0</v>
      </c>
      <c r="J330">
        <v>0</v>
      </c>
      <c r="K330">
        <v>0</v>
      </c>
      <c r="L330">
        <v>0</v>
      </c>
      <c r="M330">
        <v>0</v>
      </c>
      <c r="N330">
        <v>0</v>
      </c>
      <c r="O330">
        <v>0</v>
      </c>
      <c r="P330">
        <v>0</v>
      </c>
      <c r="Q330">
        <v>0</v>
      </c>
      <c r="R330">
        <v>0</v>
      </c>
      <c r="S330">
        <v>0</v>
      </c>
      <c r="T330">
        <v>0</v>
      </c>
      <c r="U330">
        <v>0</v>
      </c>
      <c r="V330">
        <v>0</v>
      </c>
      <c r="W330">
        <v>0</v>
      </c>
      <c r="X330">
        <v>0</v>
      </c>
      <c r="Y330">
        <v>0</v>
      </c>
      <c r="Z330">
        <v>0</v>
      </c>
      <c r="AA330">
        <v>0</v>
      </c>
      <c r="AB330">
        <v>0</v>
      </c>
      <c r="AC330">
        <v>0</v>
      </c>
      <c r="AD330">
        <v>0</v>
      </c>
      <c r="AF330">
        <v>0</v>
      </c>
      <c r="AG330">
        <v>0</v>
      </c>
      <c r="AH330">
        <v>0</v>
      </c>
      <c r="AI330">
        <v>0</v>
      </c>
      <c r="AJ330">
        <v>0</v>
      </c>
      <c r="AK330">
        <v>0</v>
      </c>
      <c r="AL330">
        <v>0</v>
      </c>
      <c r="AM330">
        <v>0</v>
      </c>
      <c r="AN330">
        <v>0</v>
      </c>
      <c r="AO330">
        <v>0</v>
      </c>
      <c r="AP330">
        <v>0</v>
      </c>
      <c r="AQ330">
        <v>0</v>
      </c>
      <c r="AR330">
        <v>0</v>
      </c>
      <c r="AS330">
        <v>0</v>
      </c>
      <c r="AT330">
        <v>0</v>
      </c>
      <c r="AU330">
        <v>0</v>
      </c>
      <c r="AV330">
        <v>0</v>
      </c>
      <c r="AW330">
        <v>0</v>
      </c>
      <c r="AX330">
        <v>0</v>
      </c>
      <c r="AY330">
        <v>0</v>
      </c>
      <c r="AZ330">
        <v>0</v>
      </c>
      <c r="BA330">
        <v>0</v>
      </c>
      <c r="BB330">
        <v>0</v>
      </c>
      <c r="BC330">
        <v>0</v>
      </c>
      <c r="BD330">
        <v>0</v>
      </c>
      <c r="BE330">
        <v>0</v>
      </c>
      <c r="BF330">
        <v>0</v>
      </c>
      <c r="BG330">
        <v>0</v>
      </c>
      <c r="BH330">
        <v>0</v>
      </c>
      <c r="BI330">
        <v>0</v>
      </c>
      <c r="BK330" s="151"/>
    </row>
    <row r="331" spans="1:63" x14ac:dyDescent="0.35">
      <c r="A331">
        <v>0</v>
      </c>
      <c r="B331">
        <v>0</v>
      </c>
      <c r="C331">
        <v>0</v>
      </c>
      <c r="D331">
        <v>0</v>
      </c>
      <c r="E331">
        <v>0</v>
      </c>
      <c r="F331">
        <v>0</v>
      </c>
      <c r="G331">
        <v>0</v>
      </c>
      <c r="H331">
        <v>0</v>
      </c>
      <c r="I331">
        <v>0</v>
      </c>
      <c r="J331">
        <v>0</v>
      </c>
      <c r="K331">
        <v>0</v>
      </c>
      <c r="L331">
        <v>0</v>
      </c>
      <c r="M331">
        <v>0</v>
      </c>
      <c r="N331">
        <v>0</v>
      </c>
      <c r="O331">
        <v>0</v>
      </c>
      <c r="P331">
        <v>0</v>
      </c>
      <c r="Q331">
        <v>0</v>
      </c>
      <c r="R331">
        <v>0</v>
      </c>
      <c r="S331">
        <v>0</v>
      </c>
      <c r="T331">
        <v>0</v>
      </c>
      <c r="U331">
        <v>0</v>
      </c>
      <c r="V331">
        <v>0</v>
      </c>
      <c r="W331">
        <v>0</v>
      </c>
      <c r="X331">
        <v>0</v>
      </c>
      <c r="Y331">
        <v>0</v>
      </c>
      <c r="Z331">
        <v>0</v>
      </c>
      <c r="AA331">
        <v>0</v>
      </c>
      <c r="AB331">
        <v>0</v>
      </c>
      <c r="AC331">
        <v>0</v>
      </c>
      <c r="AD331">
        <v>0</v>
      </c>
      <c r="AF331">
        <v>0</v>
      </c>
      <c r="AG331">
        <v>0</v>
      </c>
      <c r="AH331">
        <v>0</v>
      </c>
      <c r="AI331">
        <v>0</v>
      </c>
      <c r="AJ331">
        <v>0</v>
      </c>
      <c r="AK331">
        <v>0</v>
      </c>
      <c r="AL331">
        <v>0</v>
      </c>
      <c r="AM331">
        <v>0</v>
      </c>
      <c r="AN331">
        <v>0</v>
      </c>
      <c r="AO331">
        <v>0</v>
      </c>
      <c r="AP331">
        <v>0</v>
      </c>
      <c r="AQ331">
        <v>0</v>
      </c>
      <c r="AR331">
        <v>0</v>
      </c>
      <c r="AS331">
        <v>0</v>
      </c>
      <c r="AT331">
        <v>0</v>
      </c>
      <c r="AU331">
        <v>0</v>
      </c>
      <c r="AV331">
        <v>0</v>
      </c>
      <c r="AW331">
        <v>0</v>
      </c>
      <c r="AX331">
        <v>0</v>
      </c>
      <c r="AY331">
        <v>0</v>
      </c>
      <c r="AZ331">
        <v>0</v>
      </c>
      <c r="BA331">
        <v>0</v>
      </c>
      <c r="BB331">
        <v>0</v>
      </c>
      <c r="BC331">
        <v>0</v>
      </c>
      <c r="BD331">
        <v>0</v>
      </c>
      <c r="BE331">
        <v>0</v>
      </c>
      <c r="BF331">
        <v>0</v>
      </c>
      <c r="BG331">
        <v>0</v>
      </c>
      <c r="BH331">
        <v>0</v>
      </c>
      <c r="BI331">
        <v>0</v>
      </c>
      <c r="BK331" s="151"/>
    </row>
    <row r="332" spans="1:63" x14ac:dyDescent="0.35">
      <c r="A332">
        <v>0</v>
      </c>
      <c r="B332">
        <v>0</v>
      </c>
      <c r="C332">
        <v>0</v>
      </c>
      <c r="D332">
        <v>0</v>
      </c>
      <c r="E332">
        <v>0</v>
      </c>
      <c r="F332">
        <v>0</v>
      </c>
      <c r="G332">
        <v>0</v>
      </c>
      <c r="H332">
        <v>0</v>
      </c>
      <c r="I332">
        <v>0</v>
      </c>
      <c r="J332">
        <v>0</v>
      </c>
      <c r="K332">
        <v>0</v>
      </c>
      <c r="L332">
        <v>0</v>
      </c>
      <c r="M332">
        <v>0</v>
      </c>
      <c r="N332">
        <v>0</v>
      </c>
      <c r="O332">
        <v>0</v>
      </c>
      <c r="P332">
        <v>0</v>
      </c>
      <c r="Q332">
        <v>0</v>
      </c>
      <c r="R332">
        <v>0</v>
      </c>
      <c r="S332">
        <v>0</v>
      </c>
      <c r="T332">
        <v>0</v>
      </c>
      <c r="U332">
        <v>0</v>
      </c>
      <c r="V332">
        <v>0</v>
      </c>
      <c r="W332">
        <v>0</v>
      </c>
      <c r="X332">
        <v>0</v>
      </c>
      <c r="Y332">
        <v>0</v>
      </c>
      <c r="Z332">
        <v>0</v>
      </c>
      <c r="AA332">
        <v>0</v>
      </c>
      <c r="AB332">
        <v>0</v>
      </c>
      <c r="AC332">
        <v>0</v>
      </c>
      <c r="AD332">
        <v>0</v>
      </c>
      <c r="AF332">
        <v>0</v>
      </c>
      <c r="AG332">
        <v>0</v>
      </c>
      <c r="AH332">
        <v>0</v>
      </c>
      <c r="AI332">
        <v>0</v>
      </c>
      <c r="AJ332">
        <v>0</v>
      </c>
      <c r="AK332">
        <v>0</v>
      </c>
      <c r="AL332">
        <v>0</v>
      </c>
      <c r="AM332">
        <v>0</v>
      </c>
      <c r="AN332">
        <v>0</v>
      </c>
      <c r="AO332">
        <v>0</v>
      </c>
      <c r="AP332">
        <v>0</v>
      </c>
      <c r="AQ332">
        <v>0</v>
      </c>
      <c r="AR332">
        <v>0</v>
      </c>
      <c r="AS332">
        <v>0</v>
      </c>
      <c r="AT332">
        <v>0</v>
      </c>
      <c r="AU332">
        <v>0</v>
      </c>
      <c r="AV332">
        <v>0</v>
      </c>
      <c r="AW332">
        <v>0</v>
      </c>
      <c r="AX332">
        <v>0</v>
      </c>
      <c r="AY332">
        <v>0</v>
      </c>
      <c r="AZ332">
        <v>0</v>
      </c>
      <c r="BA332">
        <v>0</v>
      </c>
      <c r="BB332">
        <v>0</v>
      </c>
      <c r="BC332">
        <v>0</v>
      </c>
      <c r="BD332">
        <v>0</v>
      </c>
      <c r="BE332">
        <v>0</v>
      </c>
      <c r="BF332">
        <v>0</v>
      </c>
      <c r="BG332">
        <v>0</v>
      </c>
      <c r="BH332">
        <v>0</v>
      </c>
      <c r="BI332">
        <v>0</v>
      </c>
      <c r="BK332" s="151"/>
    </row>
    <row r="333" spans="1:63" x14ac:dyDescent="0.35">
      <c r="A333">
        <v>0</v>
      </c>
      <c r="B333">
        <v>0</v>
      </c>
      <c r="C333">
        <v>0</v>
      </c>
      <c r="D333">
        <v>0</v>
      </c>
      <c r="E333">
        <v>0</v>
      </c>
      <c r="F333">
        <v>0</v>
      </c>
      <c r="G333">
        <v>0</v>
      </c>
      <c r="H333">
        <v>0</v>
      </c>
      <c r="I333">
        <v>0</v>
      </c>
      <c r="J333">
        <v>0</v>
      </c>
      <c r="K333">
        <v>0</v>
      </c>
      <c r="L333">
        <v>0</v>
      </c>
      <c r="M333">
        <v>0</v>
      </c>
      <c r="N333">
        <v>0</v>
      </c>
      <c r="O333">
        <v>0</v>
      </c>
      <c r="P333">
        <v>0</v>
      </c>
      <c r="Q333">
        <v>0</v>
      </c>
      <c r="R333">
        <v>0</v>
      </c>
      <c r="S333">
        <v>0</v>
      </c>
      <c r="T333">
        <v>0</v>
      </c>
      <c r="U333">
        <v>0</v>
      </c>
      <c r="V333">
        <v>0</v>
      </c>
      <c r="W333">
        <v>0</v>
      </c>
      <c r="X333">
        <v>0</v>
      </c>
      <c r="Y333">
        <v>0</v>
      </c>
      <c r="Z333">
        <v>0</v>
      </c>
      <c r="AA333">
        <v>0</v>
      </c>
      <c r="AB333">
        <v>0</v>
      </c>
      <c r="AC333">
        <v>0</v>
      </c>
      <c r="AD333">
        <v>0</v>
      </c>
      <c r="AF333">
        <v>0</v>
      </c>
      <c r="AG333">
        <v>0</v>
      </c>
      <c r="AH333">
        <v>0</v>
      </c>
      <c r="AI333">
        <v>0</v>
      </c>
      <c r="AJ333">
        <v>0</v>
      </c>
      <c r="AK333">
        <v>0</v>
      </c>
      <c r="AL333">
        <v>0</v>
      </c>
      <c r="AM333">
        <v>0</v>
      </c>
      <c r="AN333">
        <v>0</v>
      </c>
      <c r="AO333">
        <v>0</v>
      </c>
      <c r="AP333">
        <v>0</v>
      </c>
      <c r="AQ333">
        <v>0</v>
      </c>
      <c r="AR333">
        <v>0</v>
      </c>
      <c r="AS333">
        <v>0</v>
      </c>
      <c r="AT333">
        <v>0</v>
      </c>
      <c r="AU333">
        <v>0</v>
      </c>
      <c r="AV333">
        <v>0</v>
      </c>
      <c r="AW333">
        <v>0</v>
      </c>
      <c r="AX333">
        <v>0</v>
      </c>
      <c r="AY333">
        <v>0</v>
      </c>
      <c r="AZ333">
        <v>0</v>
      </c>
      <c r="BA333">
        <v>0</v>
      </c>
      <c r="BB333">
        <v>0</v>
      </c>
      <c r="BC333">
        <v>0</v>
      </c>
      <c r="BD333">
        <v>0</v>
      </c>
      <c r="BE333">
        <v>0</v>
      </c>
      <c r="BF333">
        <v>0</v>
      </c>
      <c r="BG333">
        <v>0</v>
      </c>
      <c r="BH333">
        <v>0</v>
      </c>
      <c r="BI333">
        <v>0</v>
      </c>
      <c r="BK333" s="151"/>
    </row>
    <row r="334" spans="1:63" x14ac:dyDescent="0.35">
      <c r="A334">
        <v>0</v>
      </c>
      <c r="B334">
        <v>0</v>
      </c>
      <c r="C334">
        <v>0</v>
      </c>
      <c r="D334">
        <v>0</v>
      </c>
      <c r="E334">
        <v>0</v>
      </c>
      <c r="F334">
        <v>0</v>
      </c>
      <c r="G334">
        <v>0</v>
      </c>
      <c r="H334">
        <v>0</v>
      </c>
      <c r="I334">
        <v>0</v>
      </c>
      <c r="J334">
        <v>0</v>
      </c>
      <c r="K334">
        <v>0</v>
      </c>
      <c r="L334">
        <v>0</v>
      </c>
      <c r="M334">
        <v>0</v>
      </c>
      <c r="N334">
        <v>0</v>
      </c>
      <c r="O334">
        <v>0</v>
      </c>
      <c r="P334">
        <v>0</v>
      </c>
      <c r="Q334">
        <v>0</v>
      </c>
      <c r="R334">
        <v>0</v>
      </c>
      <c r="S334">
        <v>0</v>
      </c>
      <c r="T334">
        <v>0</v>
      </c>
      <c r="U334">
        <v>0</v>
      </c>
      <c r="V334">
        <v>0</v>
      </c>
      <c r="W334">
        <v>0</v>
      </c>
      <c r="X334">
        <v>0</v>
      </c>
      <c r="Y334">
        <v>0</v>
      </c>
      <c r="Z334">
        <v>0</v>
      </c>
      <c r="AA334">
        <v>0</v>
      </c>
      <c r="AB334">
        <v>0</v>
      </c>
      <c r="AC334">
        <v>0</v>
      </c>
      <c r="AD334">
        <v>0</v>
      </c>
      <c r="AF334">
        <v>0</v>
      </c>
      <c r="AG334">
        <v>0</v>
      </c>
      <c r="AH334">
        <v>0</v>
      </c>
      <c r="AI334">
        <v>0</v>
      </c>
      <c r="AJ334">
        <v>0</v>
      </c>
      <c r="AK334">
        <v>0</v>
      </c>
      <c r="AL334">
        <v>0</v>
      </c>
      <c r="AM334">
        <v>0</v>
      </c>
      <c r="AN334">
        <v>0</v>
      </c>
      <c r="AO334">
        <v>0</v>
      </c>
      <c r="AP334">
        <v>0</v>
      </c>
      <c r="AQ334">
        <v>0</v>
      </c>
      <c r="AR334">
        <v>0</v>
      </c>
      <c r="AS334">
        <v>0</v>
      </c>
      <c r="AT334">
        <v>0</v>
      </c>
      <c r="AU334">
        <v>0</v>
      </c>
      <c r="AV334">
        <v>0</v>
      </c>
      <c r="AW334">
        <v>0</v>
      </c>
      <c r="AX334">
        <v>0</v>
      </c>
      <c r="AY334">
        <v>0</v>
      </c>
      <c r="AZ334">
        <v>0</v>
      </c>
      <c r="BA334">
        <v>0</v>
      </c>
      <c r="BB334">
        <v>0</v>
      </c>
      <c r="BC334">
        <v>0</v>
      </c>
      <c r="BD334">
        <v>0</v>
      </c>
      <c r="BE334">
        <v>0</v>
      </c>
      <c r="BF334">
        <v>0</v>
      </c>
      <c r="BG334">
        <v>0</v>
      </c>
      <c r="BH334">
        <v>0</v>
      </c>
      <c r="BI334">
        <v>0</v>
      </c>
      <c r="BK334" s="151"/>
    </row>
    <row r="335" spans="1:63" x14ac:dyDescent="0.35">
      <c r="A335">
        <v>0</v>
      </c>
      <c r="B335">
        <v>0</v>
      </c>
      <c r="C335">
        <v>0</v>
      </c>
      <c r="D335">
        <v>0</v>
      </c>
      <c r="E335">
        <v>0</v>
      </c>
      <c r="F335">
        <v>0</v>
      </c>
      <c r="G335">
        <v>0</v>
      </c>
      <c r="H335">
        <v>0</v>
      </c>
      <c r="I335">
        <v>0</v>
      </c>
      <c r="J335">
        <v>0</v>
      </c>
      <c r="K335">
        <v>0</v>
      </c>
      <c r="L335">
        <v>0</v>
      </c>
      <c r="M335">
        <v>0</v>
      </c>
      <c r="N335">
        <v>0</v>
      </c>
      <c r="O335">
        <v>0</v>
      </c>
      <c r="P335">
        <v>0</v>
      </c>
      <c r="Q335">
        <v>0</v>
      </c>
      <c r="R335">
        <v>0</v>
      </c>
      <c r="S335">
        <v>0</v>
      </c>
      <c r="T335">
        <v>0</v>
      </c>
      <c r="U335">
        <v>0</v>
      </c>
      <c r="V335">
        <v>0</v>
      </c>
      <c r="W335">
        <v>0</v>
      </c>
      <c r="X335">
        <v>0</v>
      </c>
      <c r="Y335">
        <v>0</v>
      </c>
      <c r="Z335">
        <v>0</v>
      </c>
      <c r="AA335">
        <v>0</v>
      </c>
      <c r="AB335">
        <v>0</v>
      </c>
      <c r="AC335">
        <v>0</v>
      </c>
      <c r="AD335">
        <v>0</v>
      </c>
      <c r="AF335">
        <v>0</v>
      </c>
      <c r="AG335">
        <v>0</v>
      </c>
      <c r="AH335">
        <v>0</v>
      </c>
      <c r="AI335">
        <v>0</v>
      </c>
      <c r="AJ335">
        <v>0</v>
      </c>
      <c r="AK335">
        <v>0</v>
      </c>
      <c r="AL335">
        <v>0</v>
      </c>
      <c r="AM335">
        <v>0</v>
      </c>
      <c r="AN335">
        <v>0</v>
      </c>
      <c r="AO335">
        <v>0</v>
      </c>
      <c r="AP335">
        <v>0</v>
      </c>
      <c r="AQ335">
        <v>0</v>
      </c>
      <c r="AR335">
        <v>0</v>
      </c>
      <c r="AS335">
        <v>0</v>
      </c>
      <c r="AT335">
        <v>0</v>
      </c>
      <c r="AU335">
        <v>0</v>
      </c>
      <c r="AV335">
        <v>0</v>
      </c>
      <c r="AW335">
        <v>0</v>
      </c>
      <c r="AX335">
        <v>0</v>
      </c>
      <c r="AY335">
        <v>0</v>
      </c>
      <c r="AZ335">
        <v>0</v>
      </c>
      <c r="BA335">
        <v>0</v>
      </c>
      <c r="BB335">
        <v>0</v>
      </c>
      <c r="BC335">
        <v>0</v>
      </c>
      <c r="BD335">
        <v>0</v>
      </c>
      <c r="BE335">
        <v>0</v>
      </c>
      <c r="BF335">
        <v>0</v>
      </c>
      <c r="BG335">
        <v>0</v>
      </c>
      <c r="BH335">
        <v>0</v>
      </c>
      <c r="BI335">
        <v>0</v>
      </c>
      <c r="BK335" s="151"/>
    </row>
    <row r="336" spans="1:63" x14ac:dyDescent="0.35">
      <c r="A336">
        <v>0</v>
      </c>
      <c r="B336">
        <v>0</v>
      </c>
      <c r="C336">
        <v>0</v>
      </c>
      <c r="D336">
        <v>0</v>
      </c>
      <c r="E336">
        <v>0</v>
      </c>
      <c r="F336">
        <v>0</v>
      </c>
      <c r="G336">
        <v>0</v>
      </c>
      <c r="H336">
        <v>0</v>
      </c>
      <c r="I336">
        <v>0</v>
      </c>
      <c r="J336">
        <v>0</v>
      </c>
      <c r="K336">
        <v>0</v>
      </c>
      <c r="L336">
        <v>0</v>
      </c>
      <c r="M336">
        <v>0</v>
      </c>
      <c r="N336">
        <v>0</v>
      </c>
      <c r="O336">
        <v>0</v>
      </c>
      <c r="P336">
        <v>0</v>
      </c>
      <c r="Q336">
        <v>0</v>
      </c>
      <c r="R336">
        <v>0</v>
      </c>
      <c r="S336">
        <v>0</v>
      </c>
      <c r="T336">
        <v>0</v>
      </c>
      <c r="U336">
        <v>0</v>
      </c>
      <c r="V336">
        <v>0</v>
      </c>
      <c r="W336">
        <v>0</v>
      </c>
      <c r="X336">
        <v>0</v>
      </c>
      <c r="Y336">
        <v>0</v>
      </c>
      <c r="Z336">
        <v>0</v>
      </c>
      <c r="AA336">
        <v>0</v>
      </c>
      <c r="AB336">
        <v>0</v>
      </c>
      <c r="AC336">
        <v>0</v>
      </c>
      <c r="AD336">
        <v>0</v>
      </c>
      <c r="AF336">
        <v>0</v>
      </c>
      <c r="AG336">
        <v>0</v>
      </c>
      <c r="AH336">
        <v>0</v>
      </c>
      <c r="AI336">
        <v>0</v>
      </c>
      <c r="AJ336">
        <v>0</v>
      </c>
      <c r="AK336">
        <v>0</v>
      </c>
      <c r="AL336">
        <v>0</v>
      </c>
      <c r="AM336">
        <v>0</v>
      </c>
      <c r="AN336">
        <v>0</v>
      </c>
      <c r="AO336">
        <v>0</v>
      </c>
      <c r="AP336">
        <v>0</v>
      </c>
      <c r="AQ336">
        <v>0</v>
      </c>
      <c r="AR336">
        <v>0</v>
      </c>
      <c r="AS336">
        <v>0</v>
      </c>
      <c r="AT336">
        <v>0</v>
      </c>
      <c r="AU336">
        <v>0</v>
      </c>
      <c r="AV336">
        <v>0</v>
      </c>
      <c r="AW336">
        <v>0</v>
      </c>
      <c r="AX336">
        <v>0</v>
      </c>
      <c r="AY336">
        <v>0</v>
      </c>
      <c r="AZ336">
        <v>0</v>
      </c>
      <c r="BA336">
        <v>0</v>
      </c>
      <c r="BB336">
        <v>0</v>
      </c>
      <c r="BC336">
        <v>0</v>
      </c>
      <c r="BD336">
        <v>0</v>
      </c>
      <c r="BE336">
        <v>0</v>
      </c>
      <c r="BF336">
        <v>0</v>
      </c>
      <c r="BG336">
        <v>0</v>
      </c>
      <c r="BH336">
        <v>0</v>
      </c>
      <c r="BI336">
        <v>0</v>
      </c>
      <c r="BK336" s="151"/>
    </row>
    <row r="337" spans="1:63" x14ac:dyDescent="0.35">
      <c r="A337">
        <v>0</v>
      </c>
      <c r="B337">
        <v>0</v>
      </c>
      <c r="C337">
        <v>0</v>
      </c>
      <c r="D337">
        <v>0</v>
      </c>
      <c r="E337">
        <v>0</v>
      </c>
      <c r="F337">
        <v>0</v>
      </c>
      <c r="G337">
        <v>0</v>
      </c>
      <c r="H337">
        <v>0</v>
      </c>
      <c r="I337">
        <v>0</v>
      </c>
      <c r="J337">
        <v>0</v>
      </c>
      <c r="K337">
        <v>0</v>
      </c>
      <c r="L337">
        <v>0</v>
      </c>
      <c r="M337">
        <v>0</v>
      </c>
      <c r="N337">
        <v>0</v>
      </c>
      <c r="O337">
        <v>0</v>
      </c>
      <c r="P337">
        <v>0</v>
      </c>
      <c r="Q337">
        <v>0</v>
      </c>
      <c r="R337">
        <v>0</v>
      </c>
      <c r="S337">
        <v>0</v>
      </c>
      <c r="T337">
        <v>0</v>
      </c>
      <c r="U337">
        <v>0</v>
      </c>
      <c r="V337">
        <v>0</v>
      </c>
      <c r="W337">
        <v>0</v>
      </c>
      <c r="X337">
        <v>0</v>
      </c>
      <c r="Y337">
        <v>0</v>
      </c>
      <c r="Z337">
        <v>0</v>
      </c>
      <c r="AA337">
        <v>0</v>
      </c>
      <c r="AB337">
        <v>0</v>
      </c>
      <c r="AC337">
        <v>0</v>
      </c>
      <c r="AD337">
        <v>0</v>
      </c>
      <c r="AF337">
        <v>0</v>
      </c>
      <c r="AG337">
        <v>0</v>
      </c>
      <c r="AH337">
        <v>0</v>
      </c>
      <c r="AI337">
        <v>0</v>
      </c>
      <c r="AJ337">
        <v>0</v>
      </c>
      <c r="AK337">
        <v>0</v>
      </c>
      <c r="AL337">
        <v>0</v>
      </c>
      <c r="AM337">
        <v>0</v>
      </c>
      <c r="AN337">
        <v>0</v>
      </c>
      <c r="AO337">
        <v>0</v>
      </c>
      <c r="AP337">
        <v>0</v>
      </c>
      <c r="AQ337">
        <v>0</v>
      </c>
      <c r="AR337">
        <v>0</v>
      </c>
      <c r="AS337">
        <v>0</v>
      </c>
      <c r="AT337">
        <v>0</v>
      </c>
      <c r="AU337">
        <v>0</v>
      </c>
      <c r="AV337">
        <v>0</v>
      </c>
      <c r="AW337">
        <v>0</v>
      </c>
      <c r="AX337">
        <v>0</v>
      </c>
      <c r="AY337">
        <v>0</v>
      </c>
      <c r="AZ337">
        <v>0</v>
      </c>
      <c r="BA337">
        <v>0</v>
      </c>
      <c r="BB337">
        <v>0</v>
      </c>
      <c r="BC337">
        <v>0</v>
      </c>
      <c r="BD337">
        <v>0</v>
      </c>
      <c r="BE337">
        <v>0</v>
      </c>
      <c r="BF337">
        <v>0</v>
      </c>
      <c r="BG337">
        <v>0</v>
      </c>
      <c r="BH337">
        <v>0</v>
      </c>
      <c r="BI337">
        <v>0</v>
      </c>
      <c r="BK337" s="151"/>
    </row>
    <row r="338" spans="1:63" x14ac:dyDescent="0.35">
      <c r="A338">
        <v>0</v>
      </c>
      <c r="B338">
        <v>0</v>
      </c>
      <c r="C338">
        <v>0</v>
      </c>
      <c r="D338">
        <v>0</v>
      </c>
      <c r="E338">
        <v>0</v>
      </c>
      <c r="F338">
        <v>0</v>
      </c>
      <c r="G338">
        <v>0</v>
      </c>
      <c r="H338">
        <v>0</v>
      </c>
      <c r="I338">
        <v>0</v>
      </c>
      <c r="J338">
        <v>0</v>
      </c>
      <c r="K338">
        <v>0</v>
      </c>
      <c r="L338">
        <v>0</v>
      </c>
      <c r="M338">
        <v>0</v>
      </c>
      <c r="N338">
        <v>0</v>
      </c>
      <c r="O338">
        <v>0</v>
      </c>
      <c r="P338">
        <v>0</v>
      </c>
      <c r="Q338">
        <v>0</v>
      </c>
      <c r="R338">
        <v>0</v>
      </c>
      <c r="S338">
        <v>0</v>
      </c>
      <c r="T338">
        <v>0</v>
      </c>
      <c r="U338">
        <v>0</v>
      </c>
      <c r="V338">
        <v>0</v>
      </c>
      <c r="W338">
        <v>0</v>
      </c>
      <c r="X338">
        <v>0</v>
      </c>
      <c r="Y338">
        <v>0</v>
      </c>
      <c r="Z338">
        <v>0</v>
      </c>
      <c r="AA338">
        <v>0</v>
      </c>
      <c r="AB338">
        <v>0</v>
      </c>
      <c r="AC338">
        <v>0</v>
      </c>
      <c r="AD338">
        <v>0</v>
      </c>
      <c r="AF338">
        <v>0</v>
      </c>
      <c r="AG338">
        <v>0</v>
      </c>
      <c r="AH338">
        <v>0</v>
      </c>
      <c r="AI338">
        <v>0</v>
      </c>
      <c r="AJ338">
        <v>0</v>
      </c>
      <c r="AK338">
        <v>0</v>
      </c>
      <c r="AL338">
        <v>0</v>
      </c>
      <c r="AM338">
        <v>0</v>
      </c>
      <c r="AN338">
        <v>0</v>
      </c>
      <c r="AO338">
        <v>0</v>
      </c>
      <c r="AP338">
        <v>0</v>
      </c>
      <c r="AQ338">
        <v>0</v>
      </c>
      <c r="AR338">
        <v>0</v>
      </c>
      <c r="AS338">
        <v>0</v>
      </c>
      <c r="AT338">
        <v>0</v>
      </c>
      <c r="AU338">
        <v>0</v>
      </c>
      <c r="AV338">
        <v>0</v>
      </c>
      <c r="AW338">
        <v>0</v>
      </c>
      <c r="AX338">
        <v>0</v>
      </c>
      <c r="AY338">
        <v>0</v>
      </c>
      <c r="AZ338">
        <v>0</v>
      </c>
      <c r="BA338">
        <v>0</v>
      </c>
      <c r="BB338">
        <v>0</v>
      </c>
      <c r="BC338">
        <v>0</v>
      </c>
      <c r="BD338">
        <v>0</v>
      </c>
      <c r="BE338">
        <v>0</v>
      </c>
      <c r="BF338">
        <v>0</v>
      </c>
      <c r="BG338">
        <v>0</v>
      </c>
      <c r="BH338">
        <v>0</v>
      </c>
      <c r="BI338">
        <v>0</v>
      </c>
      <c r="BK338" s="151"/>
    </row>
    <row r="339" spans="1:63" x14ac:dyDescent="0.35">
      <c r="A339">
        <v>0</v>
      </c>
      <c r="B339">
        <v>0</v>
      </c>
      <c r="C339">
        <v>0</v>
      </c>
      <c r="D339">
        <v>0</v>
      </c>
      <c r="E339">
        <v>0</v>
      </c>
      <c r="F339">
        <v>0</v>
      </c>
      <c r="G339">
        <v>0</v>
      </c>
      <c r="H339">
        <v>0</v>
      </c>
      <c r="I339">
        <v>0</v>
      </c>
      <c r="J339">
        <v>0</v>
      </c>
      <c r="K339">
        <v>0</v>
      </c>
      <c r="L339">
        <v>0</v>
      </c>
      <c r="M339">
        <v>0</v>
      </c>
      <c r="N339">
        <v>0</v>
      </c>
      <c r="O339">
        <v>0</v>
      </c>
      <c r="P339">
        <v>0</v>
      </c>
      <c r="Q339">
        <v>0</v>
      </c>
      <c r="R339">
        <v>0</v>
      </c>
      <c r="S339">
        <v>0</v>
      </c>
      <c r="T339">
        <v>0</v>
      </c>
      <c r="U339">
        <v>0</v>
      </c>
      <c r="V339">
        <v>0</v>
      </c>
      <c r="W339">
        <v>0</v>
      </c>
      <c r="X339">
        <v>0</v>
      </c>
      <c r="Y339">
        <v>0</v>
      </c>
      <c r="Z339">
        <v>0</v>
      </c>
      <c r="AA339">
        <v>0</v>
      </c>
      <c r="AB339">
        <v>0</v>
      </c>
      <c r="AC339">
        <v>0</v>
      </c>
      <c r="AD339">
        <v>0</v>
      </c>
      <c r="AF339">
        <v>0</v>
      </c>
      <c r="AG339">
        <v>0</v>
      </c>
      <c r="AH339">
        <v>0</v>
      </c>
      <c r="AI339">
        <v>0</v>
      </c>
      <c r="AJ339">
        <v>0</v>
      </c>
      <c r="AK339">
        <v>0</v>
      </c>
      <c r="AL339">
        <v>0</v>
      </c>
      <c r="AM339">
        <v>0</v>
      </c>
      <c r="AN339">
        <v>0</v>
      </c>
      <c r="AO339">
        <v>0</v>
      </c>
      <c r="AP339">
        <v>0</v>
      </c>
      <c r="AQ339">
        <v>0</v>
      </c>
      <c r="AR339">
        <v>0</v>
      </c>
      <c r="AS339">
        <v>0</v>
      </c>
      <c r="AT339">
        <v>0</v>
      </c>
      <c r="AU339">
        <v>0</v>
      </c>
      <c r="AV339">
        <v>0</v>
      </c>
      <c r="AW339">
        <v>0</v>
      </c>
      <c r="AX339">
        <v>0</v>
      </c>
      <c r="AY339">
        <v>0</v>
      </c>
      <c r="AZ339">
        <v>0</v>
      </c>
      <c r="BA339">
        <v>0</v>
      </c>
      <c r="BB339">
        <v>0</v>
      </c>
      <c r="BC339">
        <v>0</v>
      </c>
      <c r="BD339">
        <v>0</v>
      </c>
      <c r="BE339">
        <v>0</v>
      </c>
      <c r="BF339">
        <v>0</v>
      </c>
      <c r="BG339">
        <v>0</v>
      </c>
      <c r="BH339">
        <v>0</v>
      </c>
      <c r="BI339">
        <v>0</v>
      </c>
      <c r="BK339" s="151"/>
    </row>
    <row r="340" spans="1:63" x14ac:dyDescent="0.35">
      <c r="A340">
        <v>0</v>
      </c>
      <c r="B340">
        <v>0</v>
      </c>
      <c r="C340">
        <v>0</v>
      </c>
      <c r="D340">
        <v>0</v>
      </c>
      <c r="E340">
        <v>0</v>
      </c>
      <c r="F340">
        <v>0</v>
      </c>
      <c r="G340">
        <v>0</v>
      </c>
      <c r="H340">
        <v>0</v>
      </c>
      <c r="I340">
        <v>0</v>
      </c>
      <c r="J340">
        <v>0</v>
      </c>
      <c r="K340">
        <v>0</v>
      </c>
      <c r="L340">
        <v>0</v>
      </c>
      <c r="M340">
        <v>0</v>
      </c>
      <c r="N340">
        <v>0</v>
      </c>
      <c r="O340">
        <v>0</v>
      </c>
      <c r="P340">
        <v>0</v>
      </c>
      <c r="Q340">
        <v>0</v>
      </c>
      <c r="R340">
        <v>0</v>
      </c>
      <c r="S340">
        <v>0</v>
      </c>
      <c r="T340">
        <v>0</v>
      </c>
      <c r="U340">
        <v>0</v>
      </c>
      <c r="V340">
        <v>0</v>
      </c>
      <c r="W340">
        <v>0</v>
      </c>
      <c r="X340">
        <v>0</v>
      </c>
      <c r="Y340">
        <v>0</v>
      </c>
      <c r="Z340">
        <v>0</v>
      </c>
      <c r="AA340">
        <v>0</v>
      </c>
      <c r="AB340">
        <v>0</v>
      </c>
      <c r="AC340">
        <v>0</v>
      </c>
      <c r="AD340">
        <v>0</v>
      </c>
      <c r="AF340">
        <v>0</v>
      </c>
      <c r="AG340">
        <v>0</v>
      </c>
      <c r="AH340">
        <v>0</v>
      </c>
      <c r="AI340">
        <v>0</v>
      </c>
      <c r="AJ340">
        <v>0</v>
      </c>
      <c r="AK340">
        <v>0</v>
      </c>
      <c r="AL340">
        <v>0</v>
      </c>
      <c r="AM340">
        <v>0</v>
      </c>
      <c r="AN340">
        <v>0</v>
      </c>
      <c r="AO340">
        <v>0</v>
      </c>
      <c r="AP340">
        <v>0</v>
      </c>
      <c r="AQ340">
        <v>0</v>
      </c>
      <c r="AR340">
        <v>0</v>
      </c>
      <c r="AS340">
        <v>0</v>
      </c>
      <c r="AT340">
        <v>0</v>
      </c>
      <c r="AU340">
        <v>0</v>
      </c>
      <c r="AV340">
        <v>0</v>
      </c>
      <c r="AW340">
        <v>0</v>
      </c>
      <c r="AX340">
        <v>0</v>
      </c>
      <c r="AY340">
        <v>0</v>
      </c>
      <c r="AZ340">
        <v>0</v>
      </c>
      <c r="BA340">
        <v>0</v>
      </c>
      <c r="BB340">
        <v>0</v>
      </c>
      <c r="BC340">
        <v>0</v>
      </c>
      <c r="BD340">
        <v>0</v>
      </c>
      <c r="BE340">
        <v>0</v>
      </c>
      <c r="BF340">
        <v>0</v>
      </c>
      <c r="BG340">
        <v>0</v>
      </c>
      <c r="BH340">
        <v>0</v>
      </c>
      <c r="BI340">
        <v>0</v>
      </c>
      <c r="BK340" s="151"/>
    </row>
    <row r="341" spans="1:63" x14ac:dyDescent="0.35">
      <c r="A341">
        <v>0</v>
      </c>
      <c r="B341">
        <v>0</v>
      </c>
      <c r="C341">
        <v>0</v>
      </c>
      <c r="D341">
        <v>0</v>
      </c>
      <c r="E341">
        <v>0</v>
      </c>
      <c r="F341">
        <v>0</v>
      </c>
      <c r="G341">
        <v>0</v>
      </c>
      <c r="H341">
        <v>0</v>
      </c>
      <c r="I341">
        <v>0</v>
      </c>
      <c r="J341">
        <v>0</v>
      </c>
      <c r="K341">
        <v>0</v>
      </c>
      <c r="L341">
        <v>0</v>
      </c>
      <c r="M341">
        <v>0</v>
      </c>
      <c r="N341">
        <v>0</v>
      </c>
      <c r="O341">
        <v>0</v>
      </c>
      <c r="P341">
        <v>0</v>
      </c>
      <c r="Q341">
        <v>0</v>
      </c>
      <c r="R341">
        <v>0</v>
      </c>
      <c r="S341">
        <v>0</v>
      </c>
      <c r="T341">
        <v>0</v>
      </c>
      <c r="U341">
        <v>0</v>
      </c>
      <c r="V341">
        <v>0</v>
      </c>
      <c r="W341">
        <v>0</v>
      </c>
      <c r="X341">
        <v>0</v>
      </c>
      <c r="Y341">
        <v>0</v>
      </c>
      <c r="Z341">
        <v>0</v>
      </c>
      <c r="AA341">
        <v>0</v>
      </c>
      <c r="AB341">
        <v>0</v>
      </c>
      <c r="AC341">
        <v>0</v>
      </c>
      <c r="AD341">
        <v>0</v>
      </c>
      <c r="AF341">
        <v>0</v>
      </c>
      <c r="AG341">
        <v>0</v>
      </c>
      <c r="AH341">
        <v>0</v>
      </c>
      <c r="AI341">
        <v>0</v>
      </c>
      <c r="AJ341">
        <v>0</v>
      </c>
      <c r="AK341">
        <v>0</v>
      </c>
      <c r="AL341">
        <v>0</v>
      </c>
      <c r="AM341">
        <v>0</v>
      </c>
      <c r="AN341">
        <v>0</v>
      </c>
      <c r="AO341">
        <v>0</v>
      </c>
      <c r="AP341">
        <v>0</v>
      </c>
      <c r="AQ341">
        <v>0</v>
      </c>
      <c r="AR341">
        <v>0</v>
      </c>
      <c r="AS341">
        <v>0</v>
      </c>
      <c r="AT341">
        <v>0</v>
      </c>
      <c r="AU341">
        <v>0</v>
      </c>
      <c r="AV341">
        <v>0</v>
      </c>
      <c r="AW341">
        <v>0</v>
      </c>
      <c r="AX341">
        <v>0</v>
      </c>
      <c r="AY341">
        <v>0</v>
      </c>
      <c r="AZ341">
        <v>0</v>
      </c>
      <c r="BA341">
        <v>0</v>
      </c>
      <c r="BB341">
        <v>0</v>
      </c>
      <c r="BC341">
        <v>0</v>
      </c>
      <c r="BD341">
        <v>0</v>
      </c>
      <c r="BE341">
        <v>0</v>
      </c>
      <c r="BF341">
        <v>0</v>
      </c>
      <c r="BG341">
        <v>0</v>
      </c>
      <c r="BH341">
        <v>0</v>
      </c>
      <c r="BI341">
        <v>0</v>
      </c>
      <c r="BK341" s="151"/>
    </row>
    <row r="342" spans="1:63" x14ac:dyDescent="0.35">
      <c r="A342">
        <v>0</v>
      </c>
      <c r="B342">
        <v>0</v>
      </c>
      <c r="C342">
        <v>0</v>
      </c>
      <c r="D342">
        <v>0</v>
      </c>
      <c r="E342">
        <v>0</v>
      </c>
      <c r="F342">
        <v>0</v>
      </c>
      <c r="G342">
        <v>0</v>
      </c>
      <c r="H342">
        <v>0</v>
      </c>
      <c r="I342">
        <v>0</v>
      </c>
      <c r="J342">
        <v>0</v>
      </c>
      <c r="K342">
        <v>0</v>
      </c>
      <c r="L342">
        <v>0</v>
      </c>
      <c r="M342">
        <v>0</v>
      </c>
      <c r="N342">
        <v>0</v>
      </c>
      <c r="O342">
        <v>0</v>
      </c>
      <c r="P342">
        <v>0</v>
      </c>
      <c r="Q342">
        <v>0</v>
      </c>
      <c r="R342">
        <v>0</v>
      </c>
      <c r="S342">
        <v>0</v>
      </c>
      <c r="T342">
        <v>0</v>
      </c>
      <c r="U342">
        <v>0</v>
      </c>
      <c r="V342">
        <v>0</v>
      </c>
      <c r="W342">
        <v>0</v>
      </c>
      <c r="X342">
        <v>0</v>
      </c>
      <c r="Y342">
        <v>0</v>
      </c>
      <c r="Z342">
        <v>0</v>
      </c>
      <c r="AA342">
        <v>0</v>
      </c>
      <c r="AB342">
        <v>0</v>
      </c>
      <c r="AC342">
        <v>0</v>
      </c>
      <c r="AD342">
        <v>0</v>
      </c>
      <c r="AF342">
        <v>0</v>
      </c>
      <c r="AG342">
        <v>0</v>
      </c>
      <c r="AH342">
        <v>0</v>
      </c>
      <c r="AI342">
        <v>0</v>
      </c>
      <c r="AJ342">
        <v>0</v>
      </c>
      <c r="AK342">
        <v>0</v>
      </c>
      <c r="AL342">
        <v>0</v>
      </c>
      <c r="AM342">
        <v>0</v>
      </c>
      <c r="AN342">
        <v>0</v>
      </c>
      <c r="AO342">
        <v>0</v>
      </c>
      <c r="AP342">
        <v>0</v>
      </c>
      <c r="AQ342">
        <v>0</v>
      </c>
      <c r="AR342">
        <v>0</v>
      </c>
      <c r="AS342">
        <v>0</v>
      </c>
      <c r="AT342">
        <v>0</v>
      </c>
      <c r="AU342">
        <v>0</v>
      </c>
      <c r="AV342">
        <v>0</v>
      </c>
      <c r="AW342">
        <v>0</v>
      </c>
      <c r="AX342">
        <v>0</v>
      </c>
      <c r="AY342">
        <v>0</v>
      </c>
      <c r="AZ342">
        <v>0</v>
      </c>
      <c r="BA342">
        <v>0</v>
      </c>
      <c r="BB342">
        <v>0</v>
      </c>
      <c r="BC342">
        <v>0</v>
      </c>
      <c r="BD342">
        <v>0</v>
      </c>
      <c r="BE342">
        <v>0</v>
      </c>
      <c r="BF342">
        <v>0</v>
      </c>
      <c r="BG342">
        <v>0</v>
      </c>
      <c r="BH342">
        <v>0</v>
      </c>
      <c r="BI342">
        <v>0</v>
      </c>
      <c r="BK342" s="151"/>
    </row>
    <row r="343" spans="1:63" x14ac:dyDescent="0.35">
      <c r="A343">
        <v>0</v>
      </c>
      <c r="B343">
        <v>0</v>
      </c>
      <c r="C343">
        <v>0</v>
      </c>
      <c r="D343">
        <v>0</v>
      </c>
      <c r="E343">
        <v>0</v>
      </c>
      <c r="F343">
        <v>0</v>
      </c>
      <c r="G343">
        <v>0</v>
      </c>
      <c r="H343">
        <v>0</v>
      </c>
      <c r="I343">
        <v>0</v>
      </c>
      <c r="J343">
        <v>0</v>
      </c>
      <c r="K343">
        <v>0</v>
      </c>
      <c r="L343">
        <v>0</v>
      </c>
      <c r="M343">
        <v>0</v>
      </c>
      <c r="N343">
        <v>0</v>
      </c>
      <c r="O343">
        <v>0</v>
      </c>
      <c r="P343">
        <v>0</v>
      </c>
      <c r="Q343">
        <v>0</v>
      </c>
      <c r="R343">
        <v>0</v>
      </c>
      <c r="S343">
        <v>0</v>
      </c>
      <c r="T343">
        <v>0</v>
      </c>
      <c r="U343">
        <v>0</v>
      </c>
      <c r="V343">
        <v>0</v>
      </c>
      <c r="W343">
        <v>0</v>
      </c>
      <c r="X343">
        <v>0</v>
      </c>
      <c r="Y343">
        <v>0</v>
      </c>
      <c r="Z343">
        <v>0</v>
      </c>
      <c r="AA343">
        <v>0</v>
      </c>
      <c r="AB343">
        <v>0</v>
      </c>
      <c r="AC343">
        <v>0</v>
      </c>
      <c r="AD343">
        <v>0</v>
      </c>
      <c r="AF343">
        <v>0</v>
      </c>
      <c r="AG343">
        <v>0</v>
      </c>
      <c r="AH343">
        <v>0</v>
      </c>
      <c r="AI343">
        <v>0</v>
      </c>
      <c r="AJ343">
        <v>0</v>
      </c>
      <c r="AK343">
        <v>0</v>
      </c>
      <c r="AL343">
        <v>0</v>
      </c>
      <c r="AM343">
        <v>0</v>
      </c>
      <c r="AN343">
        <v>0</v>
      </c>
      <c r="AO343">
        <v>0</v>
      </c>
      <c r="AP343">
        <v>0</v>
      </c>
      <c r="AQ343">
        <v>0</v>
      </c>
      <c r="AR343">
        <v>0</v>
      </c>
      <c r="AS343">
        <v>0</v>
      </c>
      <c r="AT343">
        <v>0</v>
      </c>
      <c r="AU343">
        <v>0</v>
      </c>
      <c r="AV343">
        <v>0</v>
      </c>
      <c r="AW343">
        <v>0</v>
      </c>
      <c r="AX343">
        <v>0</v>
      </c>
      <c r="AY343">
        <v>0</v>
      </c>
      <c r="AZ343">
        <v>0</v>
      </c>
      <c r="BA343">
        <v>0</v>
      </c>
      <c r="BB343">
        <v>0</v>
      </c>
      <c r="BC343">
        <v>0</v>
      </c>
      <c r="BD343">
        <v>0</v>
      </c>
      <c r="BE343">
        <v>0</v>
      </c>
      <c r="BF343">
        <v>0</v>
      </c>
      <c r="BG343">
        <v>0</v>
      </c>
      <c r="BH343">
        <v>0</v>
      </c>
      <c r="BI343">
        <v>0</v>
      </c>
      <c r="BK343" s="151"/>
    </row>
    <row r="344" spans="1:63" x14ac:dyDescent="0.35">
      <c r="A344">
        <v>0</v>
      </c>
      <c r="B344">
        <v>0</v>
      </c>
      <c r="C344">
        <v>0</v>
      </c>
      <c r="D344">
        <v>0</v>
      </c>
      <c r="E344">
        <v>0</v>
      </c>
      <c r="F344">
        <v>0</v>
      </c>
      <c r="G344">
        <v>0</v>
      </c>
      <c r="H344">
        <v>0</v>
      </c>
      <c r="I344">
        <v>0</v>
      </c>
      <c r="J344">
        <v>0</v>
      </c>
      <c r="K344">
        <v>0</v>
      </c>
      <c r="L344">
        <v>0</v>
      </c>
      <c r="M344">
        <v>0</v>
      </c>
      <c r="N344">
        <v>0</v>
      </c>
      <c r="O344">
        <v>0</v>
      </c>
      <c r="P344">
        <v>0</v>
      </c>
      <c r="Q344">
        <v>0</v>
      </c>
      <c r="R344">
        <v>0</v>
      </c>
      <c r="S344">
        <v>0</v>
      </c>
      <c r="T344">
        <v>0</v>
      </c>
      <c r="U344">
        <v>0</v>
      </c>
      <c r="V344">
        <v>0</v>
      </c>
      <c r="W344">
        <v>0</v>
      </c>
      <c r="X344">
        <v>0</v>
      </c>
      <c r="Y344">
        <v>0</v>
      </c>
      <c r="Z344">
        <v>0</v>
      </c>
      <c r="AA344">
        <v>0</v>
      </c>
      <c r="AB344">
        <v>0</v>
      </c>
      <c r="AC344">
        <v>0</v>
      </c>
      <c r="AD344">
        <v>0</v>
      </c>
      <c r="AF344">
        <v>0</v>
      </c>
      <c r="AG344">
        <v>0</v>
      </c>
      <c r="AH344">
        <v>0</v>
      </c>
      <c r="AI344">
        <v>0</v>
      </c>
      <c r="AJ344">
        <v>0</v>
      </c>
      <c r="AK344">
        <v>0</v>
      </c>
      <c r="AL344">
        <v>0</v>
      </c>
      <c r="AM344">
        <v>0</v>
      </c>
      <c r="AN344">
        <v>0</v>
      </c>
      <c r="AO344">
        <v>0</v>
      </c>
      <c r="AP344">
        <v>0</v>
      </c>
      <c r="AQ344">
        <v>0</v>
      </c>
      <c r="AR344">
        <v>0</v>
      </c>
      <c r="AS344">
        <v>0</v>
      </c>
      <c r="AT344">
        <v>0</v>
      </c>
      <c r="AU344">
        <v>0</v>
      </c>
      <c r="AV344">
        <v>0</v>
      </c>
      <c r="AW344">
        <v>0</v>
      </c>
      <c r="AX344">
        <v>0</v>
      </c>
      <c r="AY344">
        <v>0</v>
      </c>
      <c r="AZ344">
        <v>0</v>
      </c>
      <c r="BA344">
        <v>0</v>
      </c>
      <c r="BB344">
        <v>0</v>
      </c>
      <c r="BC344">
        <v>0</v>
      </c>
      <c r="BD344">
        <v>0</v>
      </c>
      <c r="BE344">
        <v>0</v>
      </c>
      <c r="BF344">
        <v>0</v>
      </c>
      <c r="BG344">
        <v>0</v>
      </c>
      <c r="BH344">
        <v>0</v>
      </c>
      <c r="BI344">
        <v>0</v>
      </c>
      <c r="BK344" s="151"/>
    </row>
    <row r="345" spans="1:63" x14ac:dyDescent="0.35">
      <c r="A345">
        <v>0</v>
      </c>
      <c r="B345">
        <v>0</v>
      </c>
      <c r="C345">
        <v>0</v>
      </c>
      <c r="D345">
        <v>0</v>
      </c>
      <c r="E345">
        <v>0</v>
      </c>
      <c r="F345">
        <v>0</v>
      </c>
      <c r="G345">
        <v>0</v>
      </c>
      <c r="H345">
        <v>0</v>
      </c>
      <c r="I345">
        <v>0</v>
      </c>
      <c r="J345">
        <v>0</v>
      </c>
      <c r="K345">
        <v>0</v>
      </c>
      <c r="L345">
        <v>0</v>
      </c>
      <c r="M345">
        <v>0</v>
      </c>
      <c r="N345">
        <v>0</v>
      </c>
      <c r="O345">
        <v>0</v>
      </c>
      <c r="P345">
        <v>0</v>
      </c>
      <c r="Q345">
        <v>0</v>
      </c>
      <c r="R345">
        <v>0</v>
      </c>
      <c r="S345">
        <v>0</v>
      </c>
      <c r="T345">
        <v>0</v>
      </c>
      <c r="U345">
        <v>0</v>
      </c>
      <c r="V345">
        <v>0</v>
      </c>
      <c r="W345">
        <v>0</v>
      </c>
      <c r="X345">
        <v>0</v>
      </c>
      <c r="Y345">
        <v>0</v>
      </c>
      <c r="Z345">
        <v>0</v>
      </c>
      <c r="AA345">
        <v>0</v>
      </c>
      <c r="AB345">
        <v>0</v>
      </c>
      <c r="AC345">
        <v>0</v>
      </c>
      <c r="AD345">
        <v>0</v>
      </c>
      <c r="AF345">
        <v>0</v>
      </c>
      <c r="AG345">
        <v>0</v>
      </c>
      <c r="AH345">
        <v>0</v>
      </c>
      <c r="AI345">
        <v>0</v>
      </c>
      <c r="AJ345">
        <v>0</v>
      </c>
      <c r="AK345">
        <v>0</v>
      </c>
      <c r="AL345">
        <v>0</v>
      </c>
      <c r="AM345">
        <v>0</v>
      </c>
      <c r="AN345">
        <v>0</v>
      </c>
      <c r="AO345">
        <v>0</v>
      </c>
      <c r="AP345">
        <v>0</v>
      </c>
      <c r="AQ345">
        <v>0</v>
      </c>
      <c r="AR345">
        <v>0</v>
      </c>
      <c r="AS345">
        <v>0</v>
      </c>
      <c r="AT345">
        <v>0</v>
      </c>
      <c r="AU345">
        <v>0</v>
      </c>
      <c r="AV345">
        <v>0</v>
      </c>
      <c r="AW345">
        <v>0</v>
      </c>
      <c r="AX345">
        <v>0</v>
      </c>
      <c r="AY345">
        <v>0</v>
      </c>
      <c r="AZ345">
        <v>0</v>
      </c>
      <c r="BA345">
        <v>0</v>
      </c>
      <c r="BB345">
        <v>0</v>
      </c>
      <c r="BC345">
        <v>0</v>
      </c>
      <c r="BD345">
        <v>0</v>
      </c>
      <c r="BE345">
        <v>0</v>
      </c>
      <c r="BF345">
        <v>0</v>
      </c>
      <c r="BG345">
        <v>0</v>
      </c>
      <c r="BH345">
        <v>0</v>
      </c>
      <c r="BI345">
        <v>0</v>
      </c>
      <c r="BK345" s="151"/>
    </row>
    <row r="346" spans="1:63" x14ac:dyDescent="0.35">
      <c r="A346">
        <v>0</v>
      </c>
      <c r="B346">
        <v>0</v>
      </c>
      <c r="C346">
        <v>0</v>
      </c>
      <c r="D346">
        <v>0</v>
      </c>
      <c r="E346">
        <v>0</v>
      </c>
      <c r="F346">
        <v>0</v>
      </c>
      <c r="G346">
        <v>0</v>
      </c>
      <c r="H346">
        <v>0</v>
      </c>
      <c r="I346">
        <v>0</v>
      </c>
      <c r="J346">
        <v>0</v>
      </c>
      <c r="K346">
        <v>0</v>
      </c>
      <c r="L346">
        <v>0</v>
      </c>
      <c r="M346">
        <v>0</v>
      </c>
      <c r="N346">
        <v>0</v>
      </c>
      <c r="O346">
        <v>0</v>
      </c>
      <c r="P346">
        <v>0</v>
      </c>
      <c r="Q346">
        <v>0</v>
      </c>
      <c r="R346">
        <v>0</v>
      </c>
      <c r="S346">
        <v>0</v>
      </c>
      <c r="T346">
        <v>0</v>
      </c>
      <c r="U346">
        <v>0</v>
      </c>
      <c r="V346">
        <v>0</v>
      </c>
      <c r="W346">
        <v>0</v>
      </c>
      <c r="X346">
        <v>0</v>
      </c>
      <c r="Y346">
        <v>0</v>
      </c>
      <c r="Z346">
        <v>0</v>
      </c>
      <c r="AA346">
        <v>0</v>
      </c>
      <c r="AB346">
        <v>0</v>
      </c>
      <c r="AC346">
        <v>0</v>
      </c>
      <c r="AD346">
        <v>0</v>
      </c>
      <c r="AF346">
        <v>0</v>
      </c>
      <c r="AG346">
        <v>0</v>
      </c>
      <c r="AH346">
        <v>0</v>
      </c>
      <c r="AI346">
        <v>0</v>
      </c>
      <c r="AJ346">
        <v>0</v>
      </c>
      <c r="AK346">
        <v>0</v>
      </c>
      <c r="AL346">
        <v>0</v>
      </c>
      <c r="AM346">
        <v>0</v>
      </c>
      <c r="AN346">
        <v>0</v>
      </c>
      <c r="AO346">
        <v>0</v>
      </c>
      <c r="AP346">
        <v>0</v>
      </c>
      <c r="AQ346">
        <v>0</v>
      </c>
      <c r="AR346">
        <v>0</v>
      </c>
      <c r="AS346">
        <v>0</v>
      </c>
      <c r="AT346">
        <v>0</v>
      </c>
      <c r="AU346">
        <v>0</v>
      </c>
      <c r="AV346">
        <v>0</v>
      </c>
      <c r="AW346">
        <v>0</v>
      </c>
      <c r="AX346">
        <v>0</v>
      </c>
      <c r="AY346">
        <v>0</v>
      </c>
      <c r="AZ346">
        <v>0</v>
      </c>
      <c r="BA346">
        <v>0</v>
      </c>
      <c r="BB346">
        <v>0</v>
      </c>
      <c r="BC346">
        <v>0</v>
      </c>
      <c r="BD346">
        <v>0</v>
      </c>
      <c r="BE346">
        <v>0</v>
      </c>
      <c r="BF346">
        <v>0</v>
      </c>
      <c r="BG346">
        <v>0</v>
      </c>
      <c r="BH346">
        <v>0</v>
      </c>
      <c r="BI346">
        <v>0</v>
      </c>
      <c r="BK346" s="151"/>
    </row>
    <row r="347" spans="1:63" x14ac:dyDescent="0.35">
      <c r="A347">
        <v>0</v>
      </c>
      <c r="B347">
        <v>0</v>
      </c>
      <c r="C347">
        <v>0</v>
      </c>
      <c r="D347">
        <v>0</v>
      </c>
      <c r="E347">
        <v>0</v>
      </c>
      <c r="F347">
        <v>0</v>
      </c>
      <c r="G347">
        <v>0</v>
      </c>
      <c r="H347">
        <v>0</v>
      </c>
      <c r="I347">
        <v>0</v>
      </c>
      <c r="J347">
        <v>0</v>
      </c>
      <c r="K347">
        <v>0</v>
      </c>
      <c r="L347">
        <v>0</v>
      </c>
      <c r="M347">
        <v>0</v>
      </c>
      <c r="N347">
        <v>0</v>
      </c>
      <c r="O347">
        <v>0</v>
      </c>
      <c r="P347">
        <v>0</v>
      </c>
      <c r="Q347">
        <v>0</v>
      </c>
      <c r="R347">
        <v>0</v>
      </c>
      <c r="S347">
        <v>0</v>
      </c>
      <c r="T347">
        <v>0</v>
      </c>
      <c r="U347">
        <v>0</v>
      </c>
      <c r="V347">
        <v>0</v>
      </c>
      <c r="W347">
        <v>0</v>
      </c>
      <c r="X347">
        <v>0</v>
      </c>
      <c r="Y347">
        <v>0</v>
      </c>
      <c r="Z347">
        <v>0</v>
      </c>
      <c r="AA347">
        <v>0</v>
      </c>
      <c r="AB347">
        <v>0</v>
      </c>
      <c r="AC347">
        <v>0</v>
      </c>
      <c r="AD347">
        <v>0</v>
      </c>
      <c r="AF347">
        <v>0</v>
      </c>
      <c r="AG347">
        <v>0</v>
      </c>
      <c r="AH347">
        <v>0</v>
      </c>
      <c r="AI347">
        <v>0</v>
      </c>
      <c r="AJ347">
        <v>0</v>
      </c>
      <c r="AK347">
        <v>0</v>
      </c>
      <c r="AL347">
        <v>0</v>
      </c>
      <c r="AM347">
        <v>0</v>
      </c>
      <c r="AN347">
        <v>0</v>
      </c>
      <c r="AO347">
        <v>0</v>
      </c>
      <c r="AP347">
        <v>0</v>
      </c>
      <c r="AQ347">
        <v>0</v>
      </c>
      <c r="AR347">
        <v>0</v>
      </c>
      <c r="AS347">
        <v>0</v>
      </c>
      <c r="AT347">
        <v>0</v>
      </c>
      <c r="AU347">
        <v>0</v>
      </c>
      <c r="AV347">
        <v>0</v>
      </c>
      <c r="AW347">
        <v>0</v>
      </c>
      <c r="AX347">
        <v>0</v>
      </c>
      <c r="AY347">
        <v>0</v>
      </c>
      <c r="AZ347">
        <v>0</v>
      </c>
      <c r="BA347">
        <v>0</v>
      </c>
      <c r="BB347">
        <v>0</v>
      </c>
      <c r="BC347">
        <v>0</v>
      </c>
      <c r="BD347">
        <v>0</v>
      </c>
      <c r="BE347">
        <v>0</v>
      </c>
      <c r="BF347">
        <v>0</v>
      </c>
      <c r="BG347">
        <v>0</v>
      </c>
      <c r="BH347">
        <v>0</v>
      </c>
      <c r="BI347">
        <v>0</v>
      </c>
      <c r="BK347" s="151"/>
    </row>
    <row r="348" spans="1:63" x14ac:dyDescent="0.35">
      <c r="A348">
        <v>0</v>
      </c>
      <c r="B348">
        <v>0</v>
      </c>
      <c r="C348">
        <v>0</v>
      </c>
      <c r="D348">
        <v>0</v>
      </c>
      <c r="E348">
        <v>0</v>
      </c>
      <c r="F348">
        <v>0</v>
      </c>
      <c r="G348">
        <v>0</v>
      </c>
      <c r="H348">
        <v>0</v>
      </c>
      <c r="I348">
        <v>0</v>
      </c>
      <c r="J348">
        <v>0</v>
      </c>
      <c r="K348">
        <v>0</v>
      </c>
      <c r="L348">
        <v>0</v>
      </c>
      <c r="M348">
        <v>0</v>
      </c>
      <c r="N348">
        <v>0</v>
      </c>
      <c r="O348">
        <v>0</v>
      </c>
      <c r="P348">
        <v>0</v>
      </c>
      <c r="Q348">
        <v>0</v>
      </c>
      <c r="R348">
        <v>0</v>
      </c>
      <c r="S348">
        <v>0</v>
      </c>
      <c r="T348">
        <v>0</v>
      </c>
      <c r="U348">
        <v>0</v>
      </c>
      <c r="V348">
        <v>0</v>
      </c>
      <c r="W348">
        <v>0</v>
      </c>
      <c r="X348">
        <v>0</v>
      </c>
      <c r="Y348">
        <v>0</v>
      </c>
      <c r="Z348">
        <v>0</v>
      </c>
      <c r="AA348">
        <v>0</v>
      </c>
      <c r="AB348">
        <v>0</v>
      </c>
      <c r="AC348">
        <v>0</v>
      </c>
      <c r="AD348">
        <v>0</v>
      </c>
      <c r="AF348">
        <v>0</v>
      </c>
      <c r="AG348">
        <v>0</v>
      </c>
      <c r="AH348">
        <v>0</v>
      </c>
      <c r="AI348">
        <v>0</v>
      </c>
      <c r="AJ348">
        <v>0</v>
      </c>
      <c r="AK348">
        <v>0</v>
      </c>
      <c r="AL348">
        <v>0</v>
      </c>
      <c r="AM348">
        <v>0</v>
      </c>
      <c r="AN348">
        <v>0</v>
      </c>
      <c r="AO348">
        <v>0</v>
      </c>
      <c r="AP348">
        <v>0</v>
      </c>
      <c r="AQ348">
        <v>0</v>
      </c>
      <c r="AR348">
        <v>0</v>
      </c>
      <c r="AS348">
        <v>0</v>
      </c>
      <c r="AT348">
        <v>0</v>
      </c>
      <c r="AU348">
        <v>0</v>
      </c>
      <c r="AV348">
        <v>0</v>
      </c>
      <c r="AW348">
        <v>0</v>
      </c>
      <c r="AX348">
        <v>0</v>
      </c>
      <c r="AY348">
        <v>0</v>
      </c>
      <c r="AZ348">
        <v>0</v>
      </c>
      <c r="BA348">
        <v>0</v>
      </c>
      <c r="BB348">
        <v>0</v>
      </c>
      <c r="BC348">
        <v>0</v>
      </c>
      <c r="BD348">
        <v>0</v>
      </c>
      <c r="BE348">
        <v>0</v>
      </c>
      <c r="BF348">
        <v>0</v>
      </c>
      <c r="BG348">
        <v>0</v>
      </c>
      <c r="BH348">
        <v>0</v>
      </c>
      <c r="BI348">
        <v>0</v>
      </c>
      <c r="BK348" s="151"/>
    </row>
    <row r="349" spans="1:63" x14ac:dyDescent="0.35">
      <c r="A349">
        <v>0</v>
      </c>
      <c r="B349">
        <v>0</v>
      </c>
      <c r="C349">
        <v>0</v>
      </c>
      <c r="D349">
        <v>0</v>
      </c>
      <c r="E349">
        <v>0</v>
      </c>
      <c r="F349">
        <v>0</v>
      </c>
      <c r="G349">
        <v>0</v>
      </c>
      <c r="H349">
        <v>0</v>
      </c>
      <c r="I349">
        <v>0</v>
      </c>
      <c r="J349">
        <v>0</v>
      </c>
      <c r="K349">
        <v>0</v>
      </c>
      <c r="L349">
        <v>0</v>
      </c>
      <c r="M349">
        <v>0</v>
      </c>
      <c r="N349">
        <v>0</v>
      </c>
      <c r="O349">
        <v>0</v>
      </c>
      <c r="P349">
        <v>0</v>
      </c>
      <c r="Q349">
        <v>0</v>
      </c>
      <c r="R349">
        <v>0</v>
      </c>
      <c r="S349">
        <v>0</v>
      </c>
      <c r="T349">
        <v>0</v>
      </c>
      <c r="U349">
        <v>0</v>
      </c>
      <c r="V349">
        <v>0</v>
      </c>
      <c r="W349">
        <v>0</v>
      </c>
      <c r="X349">
        <v>0</v>
      </c>
      <c r="Y349">
        <v>0</v>
      </c>
      <c r="Z349">
        <v>0</v>
      </c>
      <c r="AA349">
        <v>0</v>
      </c>
      <c r="AB349">
        <v>0</v>
      </c>
      <c r="AC349">
        <v>0</v>
      </c>
      <c r="AD349">
        <v>0</v>
      </c>
      <c r="AF349">
        <v>0</v>
      </c>
      <c r="AG349">
        <v>0</v>
      </c>
      <c r="AH349">
        <v>0</v>
      </c>
      <c r="AI349">
        <v>0</v>
      </c>
      <c r="AJ349">
        <v>0</v>
      </c>
      <c r="AK349">
        <v>0</v>
      </c>
      <c r="AL349">
        <v>0</v>
      </c>
      <c r="AM349">
        <v>0</v>
      </c>
      <c r="AN349">
        <v>0</v>
      </c>
      <c r="AO349">
        <v>0</v>
      </c>
      <c r="AP349">
        <v>0</v>
      </c>
      <c r="AQ349">
        <v>0</v>
      </c>
      <c r="AR349">
        <v>0</v>
      </c>
      <c r="AS349">
        <v>0</v>
      </c>
      <c r="AT349">
        <v>0</v>
      </c>
      <c r="AU349">
        <v>0</v>
      </c>
      <c r="AV349">
        <v>0</v>
      </c>
      <c r="AW349">
        <v>0</v>
      </c>
      <c r="AX349">
        <v>0</v>
      </c>
      <c r="AY349">
        <v>0</v>
      </c>
      <c r="AZ349">
        <v>0</v>
      </c>
      <c r="BA349">
        <v>0</v>
      </c>
      <c r="BB349">
        <v>0</v>
      </c>
      <c r="BC349">
        <v>0</v>
      </c>
      <c r="BD349">
        <v>0</v>
      </c>
      <c r="BE349">
        <v>0</v>
      </c>
      <c r="BF349">
        <v>0</v>
      </c>
      <c r="BG349">
        <v>0</v>
      </c>
      <c r="BH349">
        <v>0</v>
      </c>
      <c r="BI349">
        <v>0</v>
      </c>
      <c r="BK349" s="151"/>
    </row>
    <row r="350" spans="1:63" x14ac:dyDescent="0.35">
      <c r="A350">
        <v>0</v>
      </c>
      <c r="B350">
        <v>0</v>
      </c>
      <c r="C350">
        <v>0</v>
      </c>
      <c r="D350">
        <v>0</v>
      </c>
      <c r="E350">
        <v>0</v>
      </c>
      <c r="F350">
        <v>0</v>
      </c>
      <c r="G350">
        <v>0</v>
      </c>
      <c r="H350">
        <v>0</v>
      </c>
      <c r="I350">
        <v>0</v>
      </c>
      <c r="J350">
        <v>0</v>
      </c>
      <c r="K350">
        <v>0</v>
      </c>
      <c r="L350">
        <v>0</v>
      </c>
      <c r="M350">
        <v>0</v>
      </c>
      <c r="N350">
        <v>0</v>
      </c>
      <c r="O350">
        <v>0</v>
      </c>
      <c r="P350">
        <v>0</v>
      </c>
      <c r="Q350">
        <v>0</v>
      </c>
      <c r="R350">
        <v>0</v>
      </c>
      <c r="S350">
        <v>0</v>
      </c>
      <c r="T350">
        <v>0</v>
      </c>
      <c r="U350">
        <v>0</v>
      </c>
      <c r="V350">
        <v>0</v>
      </c>
      <c r="W350">
        <v>0</v>
      </c>
      <c r="X350">
        <v>0</v>
      </c>
      <c r="Y350">
        <v>0</v>
      </c>
      <c r="Z350">
        <v>0</v>
      </c>
      <c r="AA350">
        <v>0</v>
      </c>
      <c r="AB350">
        <v>0</v>
      </c>
      <c r="AC350">
        <v>0</v>
      </c>
      <c r="AD350">
        <v>0</v>
      </c>
      <c r="AF350">
        <v>0</v>
      </c>
      <c r="AG350">
        <v>0</v>
      </c>
      <c r="AH350">
        <v>0</v>
      </c>
      <c r="AI350">
        <v>0</v>
      </c>
      <c r="AJ350">
        <v>0</v>
      </c>
      <c r="AK350">
        <v>0</v>
      </c>
      <c r="AL350">
        <v>0</v>
      </c>
      <c r="AM350">
        <v>0</v>
      </c>
      <c r="AN350">
        <v>0</v>
      </c>
      <c r="AO350">
        <v>0</v>
      </c>
      <c r="AP350">
        <v>0</v>
      </c>
      <c r="AQ350">
        <v>0</v>
      </c>
      <c r="AR350">
        <v>0</v>
      </c>
      <c r="AS350">
        <v>0</v>
      </c>
      <c r="AT350">
        <v>0</v>
      </c>
      <c r="AU350">
        <v>0</v>
      </c>
      <c r="AV350">
        <v>0</v>
      </c>
      <c r="AW350">
        <v>0</v>
      </c>
      <c r="AX350">
        <v>0</v>
      </c>
      <c r="AY350">
        <v>0</v>
      </c>
      <c r="AZ350">
        <v>0</v>
      </c>
      <c r="BA350">
        <v>0</v>
      </c>
      <c r="BB350">
        <v>0</v>
      </c>
      <c r="BC350">
        <v>0</v>
      </c>
      <c r="BD350">
        <v>0</v>
      </c>
      <c r="BE350">
        <v>0</v>
      </c>
      <c r="BF350">
        <v>0</v>
      </c>
      <c r="BG350">
        <v>0</v>
      </c>
      <c r="BH350">
        <v>0</v>
      </c>
      <c r="BI350">
        <v>0</v>
      </c>
      <c r="BK350" s="151"/>
    </row>
    <row r="351" spans="1:63" x14ac:dyDescent="0.35">
      <c r="A351">
        <v>0</v>
      </c>
      <c r="B351">
        <v>0</v>
      </c>
      <c r="C351">
        <v>0</v>
      </c>
      <c r="D351">
        <v>0</v>
      </c>
      <c r="E351">
        <v>0</v>
      </c>
      <c r="F351">
        <v>0</v>
      </c>
      <c r="G351">
        <v>0</v>
      </c>
      <c r="H351">
        <v>0</v>
      </c>
      <c r="I351">
        <v>0</v>
      </c>
      <c r="J351">
        <v>0</v>
      </c>
      <c r="K351">
        <v>0</v>
      </c>
      <c r="L351">
        <v>0</v>
      </c>
      <c r="M351">
        <v>0</v>
      </c>
      <c r="N351">
        <v>0</v>
      </c>
      <c r="O351">
        <v>0</v>
      </c>
      <c r="P351">
        <v>0</v>
      </c>
      <c r="Q351">
        <v>0</v>
      </c>
      <c r="R351">
        <v>0</v>
      </c>
      <c r="S351">
        <v>0</v>
      </c>
      <c r="T351">
        <v>0</v>
      </c>
      <c r="U351">
        <v>0</v>
      </c>
      <c r="V351">
        <v>0</v>
      </c>
      <c r="W351">
        <v>0</v>
      </c>
      <c r="X351">
        <v>0</v>
      </c>
      <c r="Y351">
        <v>0</v>
      </c>
      <c r="Z351">
        <v>0</v>
      </c>
      <c r="AA351">
        <v>0</v>
      </c>
      <c r="AB351">
        <v>0</v>
      </c>
      <c r="AC351">
        <v>0</v>
      </c>
      <c r="AD351">
        <v>0</v>
      </c>
      <c r="AF351">
        <v>0</v>
      </c>
      <c r="AG351">
        <v>0</v>
      </c>
      <c r="AH351">
        <v>0</v>
      </c>
      <c r="AI351">
        <v>0</v>
      </c>
      <c r="AJ351">
        <v>0</v>
      </c>
      <c r="AK351">
        <v>0</v>
      </c>
      <c r="AL351">
        <v>0</v>
      </c>
      <c r="AM351">
        <v>0</v>
      </c>
      <c r="AN351">
        <v>0</v>
      </c>
      <c r="AO351">
        <v>0</v>
      </c>
      <c r="AP351">
        <v>0</v>
      </c>
      <c r="AQ351">
        <v>0</v>
      </c>
      <c r="AR351">
        <v>0</v>
      </c>
      <c r="AS351">
        <v>0</v>
      </c>
      <c r="AT351">
        <v>0</v>
      </c>
      <c r="AU351">
        <v>0</v>
      </c>
      <c r="AV351">
        <v>0</v>
      </c>
      <c r="AW351">
        <v>0</v>
      </c>
      <c r="AX351">
        <v>0</v>
      </c>
      <c r="AY351">
        <v>0</v>
      </c>
      <c r="AZ351">
        <v>0</v>
      </c>
      <c r="BA351">
        <v>0</v>
      </c>
      <c r="BB351">
        <v>0</v>
      </c>
      <c r="BC351">
        <v>0</v>
      </c>
      <c r="BD351">
        <v>0</v>
      </c>
      <c r="BE351">
        <v>0</v>
      </c>
      <c r="BF351">
        <v>0</v>
      </c>
      <c r="BG351">
        <v>0</v>
      </c>
      <c r="BH351">
        <v>0</v>
      </c>
      <c r="BI351">
        <v>0</v>
      </c>
      <c r="BK351" s="151"/>
    </row>
    <row r="352" spans="1:63" x14ac:dyDescent="0.35">
      <c r="A352">
        <v>0</v>
      </c>
      <c r="B352">
        <v>0</v>
      </c>
      <c r="C352">
        <v>0</v>
      </c>
      <c r="D352">
        <v>0</v>
      </c>
      <c r="E352">
        <v>0</v>
      </c>
      <c r="F352">
        <v>0</v>
      </c>
      <c r="G352">
        <v>0</v>
      </c>
      <c r="H352">
        <v>0</v>
      </c>
      <c r="I352">
        <v>0</v>
      </c>
      <c r="J352">
        <v>0</v>
      </c>
      <c r="K352">
        <v>0</v>
      </c>
      <c r="L352">
        <v>0</v>
      </c>
      <c r="M352">
        <v>0</v>
      </c>
      <c r="N352">
        <v>0</v>
      </c>
      <c r="O352">
        <v>0</v>
      </c>
      <c r="P352">
        <v>0</v>
      </c>
      <c r="Q352">
        <v>0</v>
      </c>
      <c r="R352">
        <v>0</v>
      </c>
      <c r="S352">
        <v>0</v>
      </c>
      <c r="T352">
        <v>0</v>
      </c>
      <c r="U352">
        <v>0</v>
      </c>
      <c r="V352">
        <v>0</v>
      </c>
      <c r="W352">
        <v>0</v>
      </c>
      <c r="X352">
        <v>0</v>
      </c>
      <c r="Y352">
        <v>0</v>
      </c>
      <c r="Z352">
        <v>0</v>
      </c>
      <c r="AA352">
        <v>0</v>
      </c>
      <c r="AB352">
        <v>0</v>
      </c>
      <c r="AC352">
        <v>0</v>
      </c>
      <c r="AD352">
        <v>0</v>
      </c>
      <c r="AF352">
        <v>0</v>
      </c>
      <c r="AG352">
        <v>0</v>
      </c>
      <c r="AH352">
        <v>0</v>
      </c>
      <c r="AI352">
        <v>0</v>
      </c>
      <c r="AJ352">
        <v>0</v>
      </c>
      <c r="AK352">
        <v>0</v>
      </c>
      <c r="AL352">
        <v>0</v>
      </c>
      <c r="AM352">
        <v>0</v>
      </c>
      <c r="AN352">
        <v>0</v>
      </c>
      <c r="AO352">
        <v>0</v>
      </c>
      <c r="AP352">
        <v>0</v>
      </c>
      <c r="AQ352">
        <v>0</v>
      </c>
      <c r="AR352">
        <v>0</v>
      </c>
      <c r="AS352">
        <v>0</v>
      </c>
      <c r="AT352">
        <v>0</v>
      </c>
      <c r="AU352">
        <v>0</v>
      </c>
      <c r="AV352">
        <v>0</v>
      </c>
      <c r="AW352">
        <v>0</v>
      </c>
      <c r="AX352">
        <v>0</v>
      </c>
      <c r="AY352">
        <v>0</v>
      </c>
      <c r="AZ352">
        <v>0</v>
      </c>
      <c r="BA352">
        <v>0</v>
      </c>
      <c r="BB352">
        <v>0</v>
      </c>
      <c r="BC352">
        <v>0</v>
      </c>
      <c r="BD352">
        <v>0</v>
      </c>
      <c r="BE352">
        <v>0</v>
      </c>
      <c r="BF352">
        <v>0</v>
      </c>
      <c r="BG352">
        <v>0</v>
      </c>
      <c r="BH352">
        <v>0</v>
      </c>
      <c r="BI352">
        <v>0</v>
      </c>
      <c r="BK352" s="151"/>
    </row>
    <row r="353" spans="1:63" x14ac:dyDescent="0.35">
      <c r="A353">
        <v>0</v>
      </c>
      <c r="B353">
        <v>0</v>
      </c>
      <c r="C353">
        <v>0</v>
      </c>
      <c r="D353">
        <v>0</v>
      </c>
      <c r="E353">
        <v>0</v>
      </c>
      <c r="F353">
        <v>0</v>
      </c>
      <c r="G353">
        <v>0</v>
      </c>
      <c r="H353">
        <v>0</v>
      </c>
      <c r="I353">
        <v>0</v>
      </c>
      <c r="J353">
        <v>0</v>
      </c>
      <c r="K353">
        <v>0</v>
      </c>
      <c r="L353">
        <v>0</v>
      </c>
      <c r="M353">
        <v>0</v>
      </c>
      <c r="N353">
        <v>0</v>
      </c>
      <c r="O353">
        <v>0</v>
      </c>
      <c r="P353">
        <v>0</v>
      </c>
      <c r="Q353">
        <v>0</v>
      </c>
      <c r="R353">
        <v>0</v>
      </c>
      <c r="S353">
        <v>0</v>
      </c>
      <c r="T353">
        <v>0</v>
      </c>
      <c r="U353">
        <v>0</v>
      </c>
      <c r="V353">
        <v>0</v>
      </c>
      <c r="W353">
        <v>0</v>
      </c>
      <c r="X353">
        <v>0</v>
      </c>
      <c r="Y353">
        <v>0</v>
      </c>
      <c r="Z353">
        <v>0</v>
      </c>
      <c r="AA353">
        <v>0</v>
      </c>
      <c r="AB353">
        <v>0</v>
      </c>
      <c r="AC353">
        <v>0</v>
      </c>
      <c r="AD353">
        <v>0</v>
      </c>
      <c r="AF353">
        <v>0</v>
      </c>
      <c r="AG353">
        <v>0</v>
      </c>
      <c r="AH353">
        <v>0</v>
      </c>
      <c r="AI353">
        <v>0</v>
      </c>
      <c r="AJ353">
        <v>0</v>
      </c>
      <c r="AK353">
        <v>0</v>
      </c>
      <c r="AL353">
        <v>0</v>
      </c>
      <c r="AM353">
        <v>0</v>
      </c>
      <c r="AN353">
        <v>0</v>
      </c>
      <c r="AO353">
        <v>0</v>
      </c>
      <c r="AP353">
        <v>0</v>
      </c>
      <c r="AQ353">
        <v>0</v>
      </c>
      <c r="AR353">
        <v>0</v>
      </c>
      <c r="AS353">
        <v>0</v>
      </c>
      <c r="AT353">
        <v>0</v>
      </c>
      <c r="AU353">
        <v>0</v>
      </c>
      <c r="AV353">
        <v>0</v>
      </c>
      <c r="AW353">
        <v>0</v>
      </c>
      <c r="AX353">
        <v>0</v>
      </c>
      <c r="AY353">
        <v>0</v>
      </c>
      <c r="AZ353">
        <v>0</v>
      </c>
      <c r="BA353">
        <v>0</v>
      </c>
      <c r="BB353">
        <v>0</v>
      </c>
      <c r="BC353">
        <v>0</v>
      </c>
      <c r="BD353">
        <v>0</v>
      </c>
      <c r="BE353">
        <v>0</v>
      </c>
      <c r="BF353">
        <v>0</v>
      </c>
      <c r="BG353">
        <v>0</v>
      </c>
      <c r="BH353">
        <v>0</v>
      </c>
      <c r="BI353">
        <v>0</v>
      </c>
      <c r="BK353" s="151"/>
    </row>
    <row r="354" spans="1:63" x14ac:dyDescent="0.35">
      <c r="A354">
        <v>0</v>
      </c>
      <c r="B354">
        <v>0</v>
      </c>
      <c r="C354">
        <v>0</v>
      </c>
      <c r="D354">
        <v>0</v>
      </c>
      <c r="E354">
        <v>0</v>
      </c>
      <c r="F354">
        <v>0</v>
      </c>
      <c r="G354">
        <v>0</v>
      </c>
      <c r="H354">
        <v>0</v>
      </c>
      <c r="I354">
        <v>0</v>
      </c>
      <c r="J354">
        <v>0</v>
      </c>
      <c r="K354">
        <v>0</v>
      </c>
      <c r="L354">
        <v>0</v>
      </c>
      <c r="M354">
        <v>0</v>
      </c>
      <c r="N354">
        <v>0</v>
      </c>
      <c r="O354">
        <v>0</v>
      </c>
      <c r="P354">
        <v>0</v>
      </c>
      <c r="Q354">
        <v>0</v>
      </c>
      <c r="R354">
        <v>0</v>
      </c>
      <c r="S354">
        <v>0</v>
      </c>
      <c r="T354">
        <v>0</v>
      </c>
      <c r="U354">
        <v>0</v>
      </c>
      <c r="V354">
        <v>0</v>
      </c>
      <c r="W354">
        <v>0</v>
      </c>
      <c r="X354">
        <v>0</v>
      </c>
      <c r="Y354">
        <v>0</v>
      </c>
      <c r="Z354">
        <v>0</v>
      </c>
      <c r="AA354">
        <v>0</v>
      </c>
      <c r="AB354">
        <v>0</v>
      </c>
      <c r="AC354">
        <v>0</v>
      </c>
      <c r="AD354">
        <v>0</v>
      </c>
      <c r="AF354">
        <v>0</v>
      </c>
      <c r="AG354">
        <v>0</v>
      </c>
      <c r="AH354">
        <v>0</v>
      </c>
      <c r="AI354">
        <v>0</v>
      </c>
      <c r="AJ354">
        <v>0</v>
      </c>
      <c r="AK354">
        <v>0</v>
      </c>
      <c r="AL354">
        <v>0</v>
      </c>
      <c r="AM354">
        <v>0</v>
      </c>
      <c r="AN354">
        <v>0</v>
      </c>
      <c r="AO354">
        <v>0</v>
      </c>
      <c r="AP354">
        <v>0</v>
      </c>
      <c r="AQ354">
        <v>0</v>
      </c>
      <c r="AR354">
        <v>0</v>
      </c>
      <c r="AS354">
        <v>0</v>
      </c>
      <c r="AT354">
        <v>0</v>
      </c>
      <c r="AU354">
        <v>0</v>
      </c>
      <c r="AV354">
        <v>0</v>
      </c>
      <c r="AW354">
        <v>0</v>
      </c>
      <c r="AX354">
        <v>0</v>
      </c>
      <c r="AY354">
        <v>0</v>
      </c>
      <c r="AZ354">
        <v>0</v>
      </c>
      <c r="BA354">
        <v>0</v>
      </c>
      <c r="BB354">
        <v>0</v>
      </c>
      <c r="BC354">
        <v>0</v>
      </c>
      <c r="BD354">
        <v>0</v>
      </c>
      <c r="BE354">
        <v>0</v>
      </c>
      <c r="BF354">
        <v>0</v>
      </c>
      <c r="BG354">
        <v>0</v>
      </c>
      <c r="BH354">
        <v>0</v>
      </c>
      <c r="BI354">
        <v>0</v>
      </c>
      <c r="BK354" s="151"/>
    </row>
    <row r="355" spans="1:63" x14ac:dyDescent="0.35">
      <c r="A355">
        <v>0</v>
      </c>
      <c r="B355">
        <v>0</v>
      </c>
      <c r="C355">
        <v>0</v>
      </c>
      <c r="D355">
        <v>0</v>
      </c>
      <c r="E355">
        <v>0</v>
      </c>
      <c r="F355">
        <v>0</v>
      </c>
      <c r="G355">
        <v>0</v>
      </c>
      <c r="H355">
        <v>0</v>
      </c>
      <c r="I355">
        <v>0</v>
      </c>
      <c r="J355">
        <v>0</v>
      </c>
      <c r="K355">
        <v>0</v>
      </c>
      <c r="L355">
        <v>0</v>
      </c>
      <c r="M355">
        <v>0</v>
      </c>
      <c r="N355">
        <v>0</v>
      </c>
      <c r="O355">
        <v>0</v>
      </c>
      <c r="P355">
        <v>0</v>
      </c>
      <c r="Q355">
        <v>0</v>
      </c>
      <c r="R355">
        <v>0</v>
      </c>
      <c r="S355">
        <v>0</v>
      </c>
      <c r="T355">
        <v>0</v>
      </c>
      <c r="U355">
        <v>0</v>
      </c>
      <c r="V355">
        <v>0</v>
      </c>
      <c r="W355">
        <v>0</v>
      </c>
      <c r="X355">
        <v>0</v>
      </c>
      <c r="Y355">
        <v>0</v>
      </c>
      <c r="Z355">
        <v>0</v>
      </c>
      <c r="AA355">
        <v>0</v>
      </c>
      <c r="AB355">
        <v>0</v>
      </c>
      <c r="AC355">
        <v>0</v>
      </c>
      <c r="AD355">
        <v>0</v>
      </c>
      <c r="AF355">
        <v>0</v>
      </c>
      <c r="AG355">
        <v>0</v>
      </c>
      <c r="AH355">
        <v>0</v>
      </c>
      <c r="AI355">
        <v>0</v>
      </c>
      <c r="AJ355">
        <v>0</v>
      </c>
      <c r="AK355">
        <v>0</v>
      </c>
      <c r="AL355">
        <v>0</v>
      </c>
      <c r="AM355">
        <v>0</v>
      </c>
      <c r="AN355">
        <v>0</v>
      </c>
      <c r="AO355">
        <v>0</v>
      </c>
      <c r="AP355">
        <v>0</v>
      </c>
      <c r="AQ355">
        <v>0</v>
      </c>
      <c r="AR355">
        <v>0</v>
      </c>
      <c r="AS355">
        <v>0</v>
      </c>
      <c r="AT355">
        <v>0</v>
      </c>
      <c r="AU355">
        <v>0</v>
      </c>
      <c r="AV355">
        <v>0</v>
      </c>
      <c r="AW355">
        <v>0</v>
      </c>
      <c r="AX355">
        <v>0</v>
      </c>
      <c r="AY355">
        <v>0</v>
      </c>
      <c r="AZ355">
        <v>0</v>
      </c>
      <c r="BA355">
        <v>0</v>
      </c>
      <c r="BB355">
        <v>0</v>
      </c>
      <c r="BC355">
        <v>0</v>
      </c>
      <c r="BD355">
        <v>0</v>
      </c>
      <c r="BE355">
        <v>0</v>
      </c>
      <c r="BF355">
        <v>0</v>
      </c>
      <c r="BG355">
        <v>0</v>
      </c>
      <c r="BH355">
        <v>0</v>
      </c>
      <c r="BI355">
        <v>0</v>
      </c>
      <c r="BK355" s="151"/>
    </row>
    <row r="356" spans="1:63" x14ac:dyDescent="0.35">
      <c r="A356">
        <v>0</v>
      </c>
      <c r="B356">
        <v>0</v>
      </c>
      <c r="C356">
        <v>0</v>
      </c>
      <c r="D356">
        <v>0</v>
      </c>
      <c r="E356">
        <v>0</v>
      </c>
      <c r="F356">
        <v>0</v>
      </c>
      <c r="G356">
        <v>0</v>
      </c>
      <c r="H356">
        <v>0</v>
      </c>
      <c r="I356">
        <v>0</v>
      </c>
      <c r="J356">
        <v>0</v>
      </c>
      <c r="K356">
        <v>0</v>
      </c>
      <c r="L356">
        <v>0</v>
      </c>
      <c r="M356">
        <v>0</v>
      </c>
      <c r="N356">
        <v>0</v>
      </c>
      <c r="O356">
        <v>0</v>
      </c>
      <c r="P356">
        <v>0</v>
      </c>
      <c r="Q356">
        <v>0</v>
      </c>
      <c r="R356">
        <v>0</v>
      </c>
      <c r="S356">
        <v>0</v>
      </c>
      <c r="T356">
        <v>0</v>
      </c>
      <c r="U356">
        <v>0</v>
      </c>
      <c r="V356">
        <v>0</v>
      </c>
      <c r="W356">
        <v>0</v>
      </c>
      <c r="X356">
        <v>0</v>
      </c>
      <c r="Y356">
        <v>0</v>
      </c>
      <c r="Z356">
        <v>0</v>
      </c>
      <c r="AA356">
        <v>0</v>
      </c>
      <c r="AB356">
        <v>0</v>
      </c>
      <c r="AC356">
        <v>0</v>
      </c>
      <c r="AD356">
        <v>0</v>
      </c>
      <c r="AF356">
        <v>0</v>
      </c>
      <c r="AG356">
        <v>0</v>
      </c>
      <c r="AH356">
        <v>0</v>
      </c>
      <c r="AI356">
        <v>0</v>
      </c>
      <c r="AJ356">
        <v>0</v>
      </c>
      <c r="AK356">
        <v>0</v>
      </c>
      <c r="AL356">
        <v>0</v>
      </c>
      <c r="AM356">
        <v>0</v>
      </c>
      <c r="AN356">
        <v>0</v>
      </c>
      <c r="AO356">
        <v>0</v>
      </c>
      <c r="AP356">
        <v>0</v>
      </c>
      <c r="AQ356">
        <v>0</v>
      </c>
      <c r="AR356">
        <v>0</v>
      </c>
      <c r="AS356">
        <v>0</v>
      </c>
      <c r="AT356">
        <v>0</v>
      </c>
      <c r="AU356">
        <v>0</v>
      </c>
      <c r="AV356">
        <v>0</v>
      </c>
      <c r="AW356">
        <v>0</v>
      </c>
      <c r="AX356">
        <v>0</v>
      </c>
      <c r="AY356">
        <v>0</v>
      </c>
      <c r="AZ356">
        <v>0</v>
      </c>
      <c r="BA356">
        <v>0</v>
      </c>
      <c r="BB356">
        <v>0</v>
      </c>
      <c r="BC356">
        <v>0</v>
      </c>
      <c r="BD356">
        <v>0</v>
      </c>
      <c r="BE356">
        <v>0</v>
      </c>
      <c r="BF356">
        <v>0</v>
      </c>
      <c r="BG356">
        <v>0</v>
      </c>
      <c r="BH356">
        <v>0</v>
      </c>
      <c r="BI356">
        <v>0</v>
      </c>
      <c r="BK356" s="151"/>
    </row>
    <row r="357" spans="1:63" x14ac:dyDescent="0.35">
      <c r="A357">
        <v>0</v>
      </c>
      <c r="B357">
        <v>0</v>
      </c>
      <c r="C357">
        <v>0</v>
      </c>
      <c r="D357">
        <v>0</v>
      </c>
      <c r="E357">
        <v>0</v>
      </c>
      <c r="F357">
        <v>0</v>
      </c>
      <c r="G357">
        <v>0</v>
      </c>
      <c r="H357">
        <v>0</v>
      </c>
      <c r="I357">
        <v>0</v>
      </c>
      <c r="J357">
        <v>0</v>
      </c>
      <c r="K357">
        <v>0</v>
      </c>
      <c r="L357">
        <v>0</v>
      </c>
      <c r="M357">
        <v>0</v>
      </c>
      <c r="N357">
        <v>0</v>
      </c>
      <c r="O357">
        <v>0</v>
      </c>
      <c r="P357">
        <v>0</v>
      </c>
      <c r="Q357">
        <v>0</v>
      </c>
      <c r="R357">
        <v>0</v>
      </c>
      <c r="S357">
        <v>0</v>
      </c>
      <c r="T357">
        <v>0</v>
      </c>
      <c r="U357">
        <v>0</v>
      </c>
      <c r="V357">
        <v>0</v>
      </c>
      <c r="W357">
        <v>0</v>
      </c>
      <c r="X357">
        <v>0</v>
      </c>
      <c r="Y357">
        <v>0</v>
      </c>
      <c r="Z357">
        <v>0</v>
      </c>
      <c r="AA357">
        <v>0</v>
      </c>
      <c r="AB357">
        <v>0</v>
      </c>
      <c r="AC357">
        <v>0</v>
      </c>
      <c r="AD357">
        <v>0</v>
      </c>
      <c r="AF357">
        <v>0</v>
      </c>
      <c r="AG357">
        <v>0</v>
      </c>
      <c r="AH357">
        <v>0</v>
      </c>
      <c r="AI357">
        <v>0</v>
      </c>
      <c r="AJ357">
        <v>0</v>
      </c>
      <c r="AK357">
        <v>0</v>
      </c>
      <c r="AL357">
        <v>0</v>
      </c>
      <c r="AM357">
        <v>0</v>
      </c>
      <c r="AN357">
        <v>0</v>
      </c>
      <c r="AO357">
        <v>0</v>
      </c>
      <c r="AP357">
        <v>0</v>
      </c>
      <c r="AQ357">
        <v>0</v>
      </c>
      <c r="AR357">
        <v>0</v>
      </c>
      <c r="AS357">
        <v>0</v>
      </c>
      <c r="AT357">
        <v>0</v>
      </c>
      <c r="AU357">
        <v>0</v>
      </c>
      <c r="AV357">
        <v>0</v>
      </c>
      <c r="AW357">
        <v>0</v>
      </c>
      <c r="AX357">
        <v>0</v>
      </c>
      <c r="AY357">
        <v>0</v>
      </c>
      <c r="AZ357">
        <v>0</v>
      </c>
      <c r="BA357">
        <v>0</v>
      </c>
      <c r="BB357">
        <v>0</v>
      </c>
      <c r="BC357">
        <v>0</v>
      </c>
      <c r="BD357">
        <v>0</v>
      </c>
      <c r="BE357">
        <v>0</v>
      </c>
      <c r="BF357">
        <v>0</v>
      </c>
      <c r="BG357">
        <v>0</v>
      </c>
      <c r="BH357">
        <v>0</v>
      </c>
      <c r="BI357">
        <v>0</v>
      </c>
      <c r="BK357" s="151"/>
    </row>
    <row r="358" spans="1:63" x14ac:dyDescent="0.35">
      <c r="A358">
        <v>0</v>
      </c>
      <c r="B358">
        <v>0</v>
      </c>
      <c r="C358">
        <v>0</v>
      </c>
      <c r="D358">
        <v>0</v>
      </c>
      <c r="E358">
        <v>0</v>
      </c>
      <c r="F358">
        <v>0</v>
      </c>
      <c r="G358">
        <v>0</v>
      </c>
      <c r="H358">
        <v>0</v>
      </c>
      <c r="I358">
        <v>0</v>
      </c>
      <c r="J358">
        <v>0</v>
      </c>
      <c r="K358">
        <v>0</v>
      </c>
      <c r="L358">
        <v>0</v>
      </c>
      <c r="M358">
        <v>0</v>
      </c>
      <c r="N358">
        <v>0</v>
      </c>
      <c r="O358">
        <v>0</v>
      </c>
      <c r="P358">
        <v>0</v>
      </c>
      <c r="Q358">
        <v>0</v>
      </c>
      <c r="R358">
        <v>0</v>
      </c>
      <c r="S358">
        <v>0</v>
      </c>
      <c r="T358">
        <v>0</v>
      </c>
      <c r="U358">
        <v>0</v>
      </c>
      <c r="V358">
        <v>0</v>
      </c>
      <c r="W358">
        <v>0</v>
      </c>
      <c r="X358">
        <v>0</v>
      </c>
      <c r="Y358">
        <v>0</v>
      </c>
      <c r="Z358">
        <v>0</v>
      </c>
      <c r="AA358">
        <v>0</v>
      </c>
      <c r="AB358">
        <v>0</v>
      </c>
      <c r="AC358">
        <v>0</v>
      </c>
      <c r="AD358">
        <v>0</v>
      </c>
      <c r="AF358">
        <v>0</v>
      </c>
      <c r="AG358">
        <v>0</v>
      </c>
      <c r="AH358">
        <v>0</v>
      </c>
      <c r="AI358">
        <v>0</v>
      </c>
      <c r="AJ358">
        <v>0</v>
      </c>
      <c r="AK358">
        <v>0</v>
      </c>
      <c r="AL358">
        <v>0</v>
      </c>
      <c r="AM358">
        <v>0</v>
      </c>
      <c r="AN358">
        <v>0</v>
      </c>
      <c r="AO358">
        <v>0</v>
      </c>
      <c r="AP358">
        <v>0</v>
      </c>
      <c r="AQ358">
        <v>0</v>
      </c>
      <c r="AR358">
        <v>0</v>
      </c>
      <c r="AS358">
        <v>0</v>
      </c>
      <c r="AT358">
        <v>0</v>
      </c>
      <c r="AU358">
        <v>0</v>
      </c>
      <c r="AV358">
        <v>0</v>
      </c>
      <c r="AW358">
        <v>0</v>
      </c>
      <c r="AX358">
        <v>0</v>
      </c>
      <c r="AY358">
        <v>0</v>
      </c>
      <c r="AZ358">
        <v>0</v>
      </c>
      <c r="BA358">
        <v>0</v>
      </c>
      <c r="BB358">
        <v>0</v>
      </c>
      <c r="BC358">
        <v>0</v>
      </c>
      <c r="BD358">
        <v>0</v>
      </c>
      <c r="BE358">
        <v>0</v>
      </c>
      <c r="BF358">
        <v>0</v>
      </c>
      <c r="BG358">
        <v>0</v>
      </c>
      <c r="BH358">
        <v>0</v>
      </c>
      <c r="BI358">
        <v>0</v>
      </c>
      <c r="BK358" s="151"/>
    </row>
    <row r="359" spans="1:63" x14ac:dyDescent="0.35">
      <c r="A359">
        <v>0</v>
      </c>
      <c r="B359">
        <v>0</v>
      </c>
      <c r="C359">
        <v>0</v>
      </c>
      <c r="D359">
        <v>0</v>
      </c>
      <c r="E359">
        <v>0</v>
      </c>
      <c r="F359">
        <v>0</v>
      </c>
      <c r="G359">
        <v>0</v>
      </c>
      <c r="H359">
        <v>0</v>
      </c>
      <c r="I359">
        <v>0</v>
      </c>
      <c r="J359">
        <v>0</v>
      </c>
      <c r="K359">
        <v>0</v>
      </c>
      <c r="L359">
        <v>0</v>
      </c>
      <c r="M359">
        <v>0</v>
      </c>
      <c r="N359">
        <v>0</v>
      </c>
      <c r="O359">
        <v>0</v>
      </c>
      <c r="P359">
        <v>0</v>
      </c>
      <c r="Q359">
        <v>0</v>
      </c>
      <c r="R359">
        <v>0</v>
      </c>
      <c r="S359">
        <v>0</v>
      </c>
      <c r="T359">
        <v>0</v>
      </c>
      <c r="U359">
        <v>0</v>
      </c>
      <c r="V359">
        <v>0</v>
      </c>
      <c r="W359">
        <v>0</v>
      </c>
      <c r="X359">
        <v>0</v>
      </c>
      <c r="Y359">
        <v>0</v>
      </c>
      <c r="Z359">
        <v>0</v>
      </c>
      <c r="AA359">
        <v>0</v>
      </c>
      <c r="AB359">
        <v>0</v>
      </c>
      <c r="AC359">
        <v>0</v>
      </c>
      <c r="AD359">
        <v>0</v>
      </c>
      <c r="AF359">
        <v>0</v>
      </c>
      <c r="AG359">
        <v>0</v>
      </c>
      <c r="AH359">
        <v>0</v>
      </c>
      <c r="AI359">
        <v>0</v>
      </c>
      <c r="AJ359">
        <v>0</v>
      </c>
      <c r="AK359">
        <v>0</v>
      </c>
      <c r="AL359">
        <v>0</v>
      </c>
      <c r="AM359">
        <v>0</v>
      </c>
      <c r="AN359">
        <v>0</v>
      </c>
      <c r="AO359">
        <v>0</v>
      </c>
      <c r="AP359">
        <v>0</v>
      </c>
      <c r="AQ359">
        <v>0</v>
      </c>
      <c r="AR359">
        <v>0</v>
      </c>
      <c r="AS359">
        <v>0</v>
      </c>
      <c r="AT359">
        <v>0</v>
      </c>
      <c r="AU359">
        <v>0</v>
      </c>
      <c r="AV359">
        <v>0</v>
      </c>
      <c r="AW359">
        <v>0</v>
      </c>
      <c r="AX359">
        <v>0</v>
      </c>
      <c r="AY359">
        <v>0</v>
      </c>
      <c r="AZ359">
        <v>0</v>
      </c>
      <c r="BA359">
        <v>0</v>
      </c>
      <c r="BB359">
        <v>0</v>
      </c>
      <c r="BC359">
        <v>0</v>
      </c>
      <c r="BD359">
        <v>0</v>
      </c>
      <c r="BE359">
        <v>0</v>
      </c>
      <c r="BF359">
        <v>0</v>
      </c>
      <c r="BG359">
        <v>0</v>
      </c>
      <c r="BH359">
        <v>0</v>
      </c>
      <c r="BI359">
        <v>0</v>
      </c>
      <c r="BK359" s="151"/>
    </row>
    <row r="360" spans="1:63" x14ac:dyDescent="0.35">
      <c r="A360">
        <v>0</v>
      </c>
      <c r="B360">
        <v>0</v>
      </c>
      <c r="C360">
        <v>0</v>
      </c>
      <c r="D360">
        <v>0</v>
      </c>
      <c r="E360">
        <v>0</v>
      </c>
      <c r="F360">
        <v>0</v>
      </c>
      <c r="G360">
        <v>0</v>
      </c>
      <c r="H360">
        <v>0</v>
      </c>
      <c r="I360">
        <v>0</v>
      </c>
      <c r="J360">
        <v>0</v>
      </c>
      <c r="K360">
        <v>0</v>
      </c>
      <c r="L360">
        <v>0</v>
      </c>
      <c r="M360">
        <v>0</v>
      </c>
      <c r="N360">
        <v>0</v>
      </c>
      <c r="O360">
        <v>0</v>
      </c>
      <c r="P360">
        <v>0</v>
      </c>
      <c r="Q360">
        <v>0</v>
      </c>
      <c r="R360">
        <v>0</v>
      </c>
      <c r="S360">
        <v>0</v>
      </c>
      <c r="T360">
        <v>0</v>
      </c>
      <c r="U360">
        <v>0</v>
      </c>
      <c r="V360">
        <v>0</v>
      </c>
      <c r="W360">
        <v>0</v>
      </c>
      <c r="X360">
        <v>0</v>
      </c>
      <c r="Y360">
        <v>0</v>
      </c>
      <c r="Z360">
        <v>0</v>
      </c>
      <c r="AA360">
        <v>0</v>
      </c>
      <c r="AB360">
        <v>0</v>
      </c>
      <c r="AC360">
        <v>0</v>
      </c>
      <c r="AD360">
        <v>0</v>
      </c>
      <c r="AF360">
        <v>0</v>
      </c>
      <c r="AG360">
        <v>0</v>
      </c>
      <c r="AH360">
        <v>0</v>
      </c>
      <c r="AI360">
        <v>0</v>
      </c>
      <c r="AJ360">
        <v>0</v>
      </c>
      <c r="AK360">
        <v>0</v>
      </c>
      <c r="AL360">
        <v>0</v>
      </c>
      <c r="AM360">
        <v>0</v>
      </c>
      <c r="AN360">
        <v>0</v>
      </c>
      <c r="AO360">
        <v>0</v>
      </c>
      <c r="AP360">
        <v>0</v>
      </c>
      <c r="AQ360">
        <v>0</v>
      </c>
      <c r="AR360">
        <v>0</v>
      </c>
      <c r="AS360">
        <v>0</v>
      </c>
      <c r="AT360">
        <v>0</v>
      </c>
      <c r="AU360">
        <v>0</v>
      </c>
      <c r="AV360">
        <v>0</v>
      </c>
      <c r="AW360">
        <v>0</v>
      </c>
      <c r="AX360">
        <v>0</v>
      </c>
      <c r="AY360">
        <v>0</v>
      </c>
      <c r="AZ360">
        <v>0</v>
      </c>
      <c r="BA360">
        <v>0</v>
      </c>
      <c r="BB360">
        <v>0</v>
      </c>
      <c r="BC360">
        <v>0</v>
      </c>
      <c r="BD360">
        <v>0</v>
      </c>
      <c r="BE360">
        <v>0</v>
      </c>
      <c r="BF360">
        <v>0</v>
      </c>
      <c r="BG360">
        <v>0</v>
      </c>
      <c r="BH360">
        <v>0</v>
      </c>
      <c r="BI360">
        <v>0</v>
      </c>
      <c r="BK360" s="151"/>
    </row>
    <row r="361" spans="1:63" x14ac:dyDescent="0.35">
      <c r="A361">
        <v>0</v>
      </c>
      <c r="B361">
        <v>0</v>
      </c>
      <c r="C361">
        <v>0</v>
      </c>
      <c r="D361">
        <v>0</v>
      </c>
      <c r="E361">
        <v>0</v>
      </c>
      <c r="F361">
        <v>0</v>
      </c>
      <c r="G361">
        <v>0</v>
      </c>
      <c r="H361">
        <v>0</v>
      </c>
      <c r="I361">
        <v>0</v>
      </c>
      <c r="J361">
        <v>0</v>
      </c>
      <c r="K361">
        <v>0</v>
      </c>
      <c r="L361">
        <v>0</v>
      </c>
      <c r="M361">
        <v>0</v>
      </c>
      <c r="N361">
        <v>0</v>
      </c>
      <c r="O361">
        <v>0</v>
      </c>
      <c r="P361">
        <v>0</v>
      </c>
      <c r="Q361">
        <v>0</v>
      </c>
      <c r="R361">
        <v>0</v>
      </c>
      <c r="S361">
        <v>0</v>
      </c>
      <c r="T361">
        <v>0</v>
      </c>
      <c r="U361">
        <v>0</v>
      </c>
      <c r="V361">
        <v>0</v>
      </c>
      <c r="W361">
        <v>0</v>
      </c>
      <c r="X361">
        <v>0</v>
      </c>
      <c r="Y361">
        <v>0</v>
      </c>
      <c r="Z361">
        <v>0</v>
      </c>
      <c r="AA361">
        <v>0</v>
      </c>
      <c r="AB361">
        <v>0</v>
      </c>
      <c r="AC361">
        <v>0</v>
      </c>
      <c r="AD361">
        <v>0</v>
      </c>
      <c r="AF361">
        <v>0</v>
      </c>
      <c r="AG361">
        <v>0</v>
      </c>
      <c r="AH361">
        <v>0</v>
      </c>
      <c r="AI361">
        <v>0</v>
      </c>
      <c r="AJ361">
        <v>0</v>
      </c>
      <c r="AK361">
        <v>0</v>
      </c>
      <c r="AL361">
        <v>0</v>
      </c>
      <c r="AM361">
        <v>0</v>
      </c>
      <c r="AN361">
        <v>0</v>
      </c>
      <c r="AO361">
        <v>0</v>
      </c>
      <c r="AP361">
        <v>0</v>
      </c>
      <c r="AQ361">
        <v>0</v>
      </c>
      <c r="AR361">
        <v>0</v>
      </c>
      <c r="AS361">
        <v>0</v>
      </c>
      <c r="AT361">
        <v>0</v>
      </c>
      <c r="AU361">
        <v>0</v>
      </c>
      <c r="AV361">
        <v>0</v>
      </c>
      <c r="AW361">
        <v>0</v>
      </c>
      <c r="AX361">
        <v>0</v>
      </c>
      <c r="AY361">
        <v>0</v>
      </c>
      <c r="AZ361">
        <v>0</v>
      </c>
      <c r="BA361">
        <v>0</v>
      </c>
      <c r="BB361">
        <v>0</v>
      </c>
      <c r="BC361">
        <v>0</v>
      </c>
      <c r="BD361">
        <v>0</v>
      </c>
      <c r="BE361">
        <v>0</v>
      </c>
      <c r="BF361">
        <v>0</v>
      </c>
      <c r="BG361">
        <v>0</v>
      </c>
      <c r="BH361">
        <v>0</v>
      </c>
      <c r="BI361">
        <v>0</v>
      </c>
      <c r="BK361" s="151"/>
    </row>
    <row r="362" spans="1:63" x14ac:dyDescent="0.35">
      <c r="A362">
        <v>0</v>
      </c>
      <c r="B362">
        <v>0</v>
      </c>
      <c r="C362">
        <v>0</v>
      </c>
      <c r="D362">
        <v>0</v>
      </c>
      <c r="E362">
        <v>0</v>
      </c>
      <c r="F362">
        <v>0</v>
      </c>
      <c r="G362">
        <v>0</v>
      </c>
      <c r="H362">
        <v>0</v>
      </c>
      <c r="I362">
        <v>0</v>
      </c>
      <c r="J362">
        <v>0</v>
      </c>
      <c r="K362">
        <v>0</v>
      </c>
      <c r="L362">
        <v>0</v>
      </c>
      <c r="M362">
        <v>0</v>
      </c>
      <c r="N362">
        <v>0</v>
      </c>
      <c r="O362">
        <v>0</v>
      </c>
      <c r="P362">
        <v>0</v>
      </c>
      <c r="Q362">
        <v>0</v>
      </c>
      <c r="R362">
        <v>0</v>
      </c>
      <c r="S362">
        <v>0</v>
      </c>
      <c r="T362">
        <v>0</v>
      </c>
      <c r="U362">
        <v>0</v>
      </c>
      <c r="V362">
        <v>0</v>
      </c>
      <c r="W362">
        <v>0</v>
      </c>
      <c r="X362">
        <v>0</v>
      </c>
      <c r="Y362">
        <v>0</v>
      </c>
      <c r="Z362">
        <v>0</v>
      </c>
      <c r="AA362">
        <v>0</v>
      </c>
      <c r="AB362">
        <v>0</v>
      </c>
      <c r="AC362">
        <v>0</v>
      </c>
      <c r="AD362">
        <v>0</v>
      </c>
      <c r="AF362">
        <v>0</v>
      </c>
      <c r="AG362">
        <v>0</v>
      </c>
      <c r="AH362">
        <v>0</v>
      </c>
      <c r="AI362">
        <v>0</v>
      </c>
      <c r="AJ362">
        <v>0</v>
      </c>
      <c r="AK362">
        <v>0</v>
      </c>
      <c r="AL362">
        <v>0</v>
      </c>
      <c r="AM362">
        <v>0</v>
      </c>
      <c r="AN362">
        <v>0</v>
      </c>
      <c r="AO362">
        <v>0</v>
      </c>
      <c r="AP362">
        <v>0</v>
      </c>
      <c r="AQ362">
        <v>0</v>
      </c>
      <c r="AR362">
        <v>0</v>
      </c>
      <c r="AS362">
        <v>0</v>
      </c>
      <c r="AT362">
        <v>0</v>
      </c>
      <c r="AU362">
        <v>0</v>
      </c>
      <c r="AV362">
        <v>0</v>
      </c>
      <c r="AW362">
        <v>0</v>
      </c>
      <c r="AX362">
        <v>0</v>
      </c>
      <c r="AY362">
        <v>0</v>
      </c>
      <c r="AZ362">
        <v>0</v>
      </c>
      <c r="BA362">
        <v>0</v>
      </c>
      <c r="BB362">
        <v>0</v>
      </c>
      <c r="BC362">
        <v>0</v>
      </c>
      <c r="BD362">
        <v>0</v>
      </c>
      <c r="BE362">
        <v>0</v>
      </c>
      <c r="BF362">
        <v>0</v>
      </c>
      <c r="BG362">
        <v>0</v>
      </c>
      <c r="BH362">
        <v>0</v>
      </c>
      <c r="BI362">
        <v>0</v>
      </c>
      <c r="BK362" s="151"/>
    </row>
    <row r="363" spans="1:63" x14ac:dyDescent="0.35">
      <c r="A363">
        <v>0</v>
      </c>
      <c r="B363">
        <v>0</v>
      </c>
      <c r="C363">
        <v>0</v>
      </c>
      <c r="D363">
        <v>0</v>
      </c>
      <c r="E363">
        <v>0</v>
      </c>
      <c r="F363">
        <v>0</v>
      </c>
      <c r="G363">
        <v>0</v>
      </c>
      <c r="H363">
        <v>0</v>
      </c>
      <c r="I363">
        <v>0</v>
      </c>
      <c r="J363">
        <v>0</v>
      </c>
      <c r="K363">
        <v>0</v>
      </c>
      <c r="L363">
        <v>0</v>
      </c>
      <c r="M363">
        <v>0</v>
      </c>
      <c r="N363">
        <v>0</v>
      </c>
      <c r="O363">
        <v>0</v>
      </c>
      <c r="P363">
        <v>0</v>
      </c>
      <c r="Q363">
        <v>0</v>
      </c>
      <c r="R363">
        <v>0</v>
      </c>
      <c r="S363">
        <v>0</v>
      </c>
      <c r="T363">
        <v>0</v>
      </c>
      <c r="U363">
        <v>0</v>
      </c>
      <c r="V363">
        <v>0</v>
      </c>
      <c r="W363">
        <v>0</v>
      </c>
      <c r="X363">
        <v>0</v>
      </c>
      <c r="Y363">
        <v>0</v>
      </c>
      <c r="Z363">
        <v>0</v>
      </c>
      <c r="AA363">
        <v>0</v>
      </c>
      <c r="AB363">
        <v>0</v>
      </c>
      <c r="AC363">
        <v>0</v>
      </c>
      <c r="AD363">
        <v>0</v>
      </c>
      <c r="AF363">
        <v>0</v>
      </c>
      <c r="AG363">
        <v>0</v>
      </c>
      <c r="AH363">
        <v>0</v>
      </c>
      <c r="AI363">
        <v>0</v>
      </c>
      <c r="AJ363">
        <v>0</v>
      </c>
      <c r="AK363">
        <v>0</v>
      </c>
      <c r="AL363">
        <v>0</v>
      </c>
      <c r="AM363">
        <v>0</v>
      </c>
      <c r="AN363">
        <v>0</v>
      </c>
      <c r="AO363">
        <v>0</v>
      </c>
      <c r="AP363">
        <v>0</v>
      </c>
      <c r="AQ363">
        <v>0</v>
      </c>
      <c r="AR363">
        <v>0</v>
      </c>
      <c r="AS363">
        <v>0</v>
      </c>
      <c r="AT363">
        <v>0</v>
      </c>
      <c r="AU363">
        <v>0</v>
      </c>
      <c r="AV363">
        <v>0</v>
      </c>
      <c r="AW363">
        <v>0</v>
      </c>
      <c r="AX363">
        <v>0</v>
      </c>
      <c r="AY363">
        <v>0</v>
      </c>
      <c r="AZ363">
        <v>0</v>
      </c>
      <c r="BA363">
        <v>0</v>
      </c>
      <c r="BB363">
        <v>0</v>
      </c>
      <c r="BC363">
        <v>0</v>
      </c>
      <c r="BD363">
        <v>0</v>
      </c>
      <c r="BE363">
        <v>0</v>
      </c>
      <c r="BF363">
        <v>0</v>
      </c>
      <c r="BG363">
        <v>0</v>
      </c>
      <c r="BH363">
        <v>0</v>
      </c>
      <c r="BI363">
        <v>0</v>
      </c>
      <c r="BK363" s="151"/>
    </row>
    <row r="364" spans="1:63" x14ac:dyDescent="0.35">
      <c r="A364">
        <v>0</v>
      </c>
      <c r="B364">
        <v>0</v>
      </c>
      <c r="C364">
        <v>0</v>
      </c>
      <c r="D364">
        <v>0</v>
      </c>
      <c r="E364">
        <v>0</v>
      </c>
      <c r="F364">
        <v>0</v>
      </c>
      <c r="G364">
        <v>0</v>
      </c>
      <c r="H364">
        <v>0</v>
      </c>
      <c r="I364">
        <v>0</v>
      </c>
      <c r="J364">
        <v>0</v>
      </c>
      <c r="K364">
        <v>0</v>
      </c>
      <c r="L364">
        <v>0</v>
      </c>
      <c r="M364">
        <v>0</v>
      </c>
      <c r="N364">
        <v>0</v>
      </c>
      <c r="O364">
        <v>0</v>
      </c>
      <c r="P364">
        <v>0</v>
      </c>
      <c r="Q364">
        <v>0</v>
      </c>
      <c r="R364">
        <v>0</v>
      </c>
      <c r="S364">
        <v>0</v>
      </c>
      <c r="T364">
        <v>0</v>
      </c>
      <c r="U364">
        <v>0</v>
      </c>
      <c r="V364">
        <v>0</v>
      </c>
      <c r="W364">
        <v>0</v>
      </c>
      <c r="X364">
        <v>0</v>
      </c>
      <c r="Y364">
        <v>0</v>
      </c>
      <c r="Z364">
        <v>0</v>
      </c>
      <c r="AA364">
        <v>0</v>
      </c>
      <c r="AB364">
        <v>0</v>
      </c>
      <c r="AC364">
        <v>0</v>
      </c>
      <c r="AD364">
        <v>0</v>
      </c>
      <c r="AF364">
        <v>0</v>
      </c>
      <c r="AG364">
        <v>0</v>
      </c>
      <c r="AH364">
        <v>0</v>
      </c>
      <c r="AI364">
        <v>0</v>
      </c>
      <c r="AJ364">
        <v>0</v>
      </c>
      <c r="AK364">
        <v>0</v>
      </c>
      <c r="AL364">
        <v>0</v>
      </c>
      <c r="AM364">
        <v>0</v>
      </c>
      <c r="AN364">
        <v>0</v>
      </c>
      <c r="AO364">
        <v>0</v>
      </c>
      <c r="AP364">
        <v>0</v>
      </c>
      <c r="AQ364">
        <v>0</v>
      </c>
      <c r="AR364">
        <v>0</v>
      </c>
      <c r="AS364">
        <v>0</v>
      </c>
      <c r="AT364">
        <v>0</v>
      </c>
      <c r="AU364">
        <v>0</v>
      </c>
      <c r="AV364">
        <v>0</v>
      </c>
      <c r="AW364">
        <v>0</v>
      </c>
      <c r="AX364">
        <v>0</v>
      </c>
      <c r="AY364">
        <v>0</v>
      </c>
      <c r="AZ364">
        <v>0</v>
      </c>
      <c r="BA364">
        <v>0</v>
      </c>
      <c r="BB364">
        <v>0</v>
      </c>
      <c r="BC364">
        <v>0</v>
      </c>
      <c r="BD364">
        <v>0</v>
      </c>
      <c r="BE364">
        <v>0</v>
      </c>
      <c r="BF364">
        <v>0</v>
      </c>
      <c r="BG364">
        <v>0</v>
      </c>
      <c r="BH364">
        <v>0</v>
      </c>
      <c r="BI364">
        <v>0</v>
      </c>
      <c r="BK364" s="151"/>
    </row>
    <row r="365" spans="1:63" x14ac:dyDescent="0.35">
      <c r="A365">
        <v>0</v>
      </c>
      <c r="B365">
        <v>0</v>
      </c>
      <c r="C365">
        <v>0</v>
      </c>
      <c r="D365">
        <v>0</v>
      </c>
      <c r="E365">
        <v>0</v>
      </c>
      <c r="F365">
        <v>0</v>
      </c>
      <c r="G365">
        <v>0</v>
      </c>
      <c r="H365">
        <v>0</v>
      </c>
      <c r="I365">
        <v>0</v>
      </c>
      <c r="J365">
        <v>0</v>
      </c>
      <c r="K365">
        <v>0</v>
      </c>
      <c r="L365">
        <v>0</v>
      </c>
      <c r="M365">
        <v>0</v>
      </c>
      <c r="N365">
        <v>0</v>
      </c>
      <c r="O365">
        <v>0</v>
      </c>
      <c r="P365">
        <v>0</v>
      </c>
      <c r="Q365">
        <v>0</v>
      </c>
      <c r="R365">
        <v>0</v>
      </c>
      <c r="S365">
        <v>0</v>
      </c>
      <c r="T365">
        <v>0</v>
      </c>
      <c r="U365">
        <v>0</v>
      </c>
      <c r="V365">
        <v>0</v>
      </c>
      <c r="W365">
        <v>0</v>
      </c>
      <c r="X365">
        <v>0</v>
      </c>
      <c r="Y365">
        <v>0</v>
      </c>
      <c r="Z365">
        <v>0</v>
      </c>
      <c r="AA365">
        <v>0</v>
      </c>
      <c r="AB365">
        <v>0</v>
      </c>
      <c r="AC365">
        <v>0</v>
      </c>
      <c r="AD365">
        <v>0</v>
      </c>
      <c r="AF365">
        <v>0</v>
      </c>
      <c r="AG365">
        <v>0</v>
      </c>
      <c r="AH365">
        <v>0</v>
      </c>
      <c r="AI365">
        <v>0</v>
      </c>
      <c r="AJ365">
        <v>0</v>
      </c>
      <c r="AK365">
        <v>0</v>
      </c>
      <c r="AL365">
        <v>0</v>
      </c>
      <c r="AM365">
        <v>0</v>
      </c>
      <c r="AN365">
        <v>0</v>
      </c>
      <c r="AO365">
        <v>0</v>
      </c>
      <c r="AP365">
        <v>0</v>
      </c>
      <c r="AQ365">
        <v>0</v>
      </c>
      <c r="AR365">
        <v>0</v>
      </c>
      <c r="AS365">
        <v>0</v>
      </c>
      <c r="AT365">
        <v>0</v>
      </c>
      <c r="AU365">
        <v>0</v>
      </c>
      <c r="AV365">
        <v>0</v>
      </c>
      <c r="AW365">
        <v>0</v>
      </c>
      <c r="AX365">
        <v>0</v>
      </c>
      <c r="AY365">
        <v>0</v>
      </c>
      <c r="AZ365">
        <v>0</v>
      </c>
      <c r="BA365">
        <v>0</v>
      </c>
      <c r="BB365">
        <v>0</v>
      </c>
      <c r="BC365">
        <v>0</v>
      </c>
      <c r="BD365">
        <v>0</v>
      </c>
      <c r="BE365">
        <v>0</v>
      </c>
      <c r="BF365">
        <v>0</v>
      </c>
      <c r="BG365">
        <v>0</v>
      </c>
      <c r="BH365">
        <v>0</v>
      </c>
      <c r="BI365">
        <v>0</v>
      </c>
      <c r="BK365" s="151"/>
    </row>
    <row r="366" spans="1:63" x14ac:dyDescent="0.35">
      <c r="A366">
        <v>0</v>
      </c>
      <c r="B366">
        <v>0</v>
      </c>
      <c r="C366">
        <v>0</v>
      </c>
      <c r="D366">
        <v>0</v>
      </c>
      <c r="E366">
        <v>0</v>
      </c>
      <c r="F366">
        <v>0</v>
      </c>
      <c r="G366">
        <v>0</v>
      </c>
      <c r="H366">
        <v>0</v>
      </c>
      <c r="I366">
        <v>0</v>
      </c>
      <c r="J366">
        <v>0</v>
      </c>
      <c r="K366">
        <v>0</v>
      </c>
      <c r="L366">
        <v>0</v>
      </c>
      <c r="M366">
        <v>0</v>
      </c>
      <c r="N366">
        <v>0</v>
      </c>
      <c r="O366">
        <v>0</v>
      </c>
      <c r="P366">
        <v>0</v>
      </c>
      <c r="Q366">
        <v>0</v>
      </c>
      <c r="R366">
        <v>0</v>
      </c>
      <c r="S366">
        <v>0</v>
      </c>
      <c r="T366">
        <v>0</v>
      </c>
      <c r="U366">
        <v>0</v>
      </c>
      <c r="V366">
        <v>0</v>
      </c>
      <c r="W366">
        <v>0</v>
      </c>
      <c r="X366">
        <v>0</v>
      </c>
      <c r="Y366">
        <v>0</v>
      </c>
      <c r="Z366">
        <v>0</v>
      </c>
      <c r="AA366">
        <v>0</v>
      </c>
      <c r="AB366">
        <v>0</v>
      </c>
      <c r="AC366">
        <v>0</v>
      </c>
      <c r="AD366">
        <v>0</v>
      </c>
      <c r="AF366">
        <v>0</v>
      </c>
      <c r="AG366">
        <v>0</v>
      </c>
      <c r="AH366">
        <v>0</v>
      </c>
      <c r="AI366">
        <v>0</v>
      </c>
      <c r="AJ366">
        <v>0</v>
      </c>
      <c r="AK366">
        <v>0</v>
      </c>
      <c r="AL366">
        <v>0</v>
      </c>
      <c r="AM366">
        <v>0</v>
      </c>
      <c r="AN366">
        <v>0</v>
      </c>
      <c r="AO366">
        <v>0</v>
      </c>
      <c r="AP366">
        <v>0</v>
      </c>
      <c r="AQ366">
        <v>0</v>
      </c>
      <c r="AR366">
        <v>0</v>
      </c>
      <c r="AS366">
        <v>0</v>
      </c>
      <c r="AT366">
        <v>0</v>
      </c>
      <c r="AU366">
        <v>0</v>
      </c>
      <c r="AV366">
        <v>0</v>
      </c>
      <c r="AW366">
        <v>0</v>
      </c>
      <c r="AX366">
        <v>0</v>
      </c>
      <c r="AY366">
        <v>0</v>
      </c>
      <c r="AZ366">
        <v>0</v>
      </c>
      <c r="BA366">
        <v>0</v>
      </c>
      <c r="BB366">
        <v>0</v>
      </c>
      <c r="BC366">
        <v>0</v>
      </c>
      <c r="BD366">
        <v>0</v>
      </c>
      <c r="BE366">
        <v>0</v>
      </c>
      <c r="BF366">
        <v>0</v>
      </c>
      <c r="BG366">
        <v>0</v>
      </c>
      <c r="BH366">
        <v>0</v>
      </c>
      <c r="BI366">
        <v>0</v>
      </c>
      <c r="BK366" s="151"/>
    </row>
    <row r="367" spans="1:63" x14ac:dyDescent="0.35">
      <c r="A367">
        <v>0</v>
      </c>
      <c r="B367">
        <v>0</v>
      </c>
      <c r="C367">
        <v>0</v>
      </c>
      <c r="D367">
        <v>0</v>
      </c>
      <c r="E367">
        <v>0</v>
      </c>
      <c r="F367">
        <v>0</v>
      </c>
      <c r="G367">
        <v>0</v>
      </c>
      <c r="H367">
        <v>0</v>
      </c>
      <c r="I367">
        <v>0</v>
      </c>
      <c r="J367">
        <v>0</v>
      </c>
      <c r="K367">
        <v>0</v>
      </c>
      <c r="L367">
        <v>0</v>
      </c>
      <c r="M367">
        <v>0</v>
      </c>
      <c r="N367">
        <v>0</v>
      </c>
      <c r="O367">
        <v>0</v>
      </c>
      <c r="P367">
        <v>0</v>
      </c>
      <c r="Q367">
        <v>0</v>
      </c>
      <c r="R367">
        <v>0</v>
      </c>
      <c r="S367">
        <v>0</v>
      </c>
      <c r="T367">
        <v>0</v>
      </c>
      <c r="U367">
        <v>0</v>
      </c>
      <c r="V367">
        <v>0</v>
      </c>
      <c r="W367">
        <v>0</v>
      </c>
      <c r="X367">
        <v>0</v>
      </c>
      <c r="Y367">
        <v>0</v>
      </c>
      <c r="Z367">
        <v>0</v>
      </c>
      <c r="AA367">
        <v>0</v>
      </c>
      <c r="AB367">
        <v>0</v>
      </c>
      <c r="AC367">
        <v>0</v>
      </c>
      <c r="AD367">
        <v>0</v>
      </c>
      <c r="AF367">
        <v>0</v>
      </c>
      <c r="AG367">
        <v>0</v>
      </c>
      <c r="AH367">
        <v>0</v>
      </c>
      <c r="AI367">
        <v>0</v>
      </c>
      <c r="AJ367">
        <v>0</v>
      </c>
      <c r="AK367">
        <v>0</v>
      </c>
      <c r="AL367">
        <v>0</v>
      </c>
      <c r="AM367">
        <v>0</v>
      </c>
      <c r="AN367">
        <v>0</v>
      </c>
      <c r="AO367">
        <v>0</v>
      </c>
      <c r="AP367">
        <v>0</v>
      </c>
      <c r="AQ367">
        <v>0</v>
      </c>
      <c r="AR367">
        <v>0</v>
      </c>
      <c r="AS367">
        <v>0</v>
      </c>
      <c r="AT367">
        <v>0</v>
      </c>
      <c r="AU367">
        <v>0</v>
      </c>
      <c r="AV367">
        <v>0</v>
      </c>
      <c r="AW367">
        <v>0</v>
      </c>
      <c r="AX367">
        <v>0</v>
      </c>
      <c r="AY367">
        <v>0</v>
      </c>
      <c r="AZ367">
        <v>0</v>
      </c>
      <c r="BA367">
        <v>0</v>
      </c>
      <c r="BB367">
        <v>0</v>
      </c>
      <c r="BC367">
        <v>0</v>
      </c>
      <c r="BD367">
        <v>0</v>
      </c>
      <c r="BE367">
        <v>0</v>
      </c>
      <c r="BF367">
        <v>0</v>
      </c>
      <c r="BG367">
        <v>0</v>
      </c>
      <c r="BH367">
        <v>0</v>
      </c>
      <c r="BI367">
        <v>0</v>
      </c>
      <c r="BK367" s="151"/>
    </row>
    <row r="368" spans="1:63" x14ac:dyDescent="0.35">
      <c r="A368">
        <v>0</v>
      </c>
      <c r="B368">
        <v>0</v>
      </c>
      <c r="C368">
        <v>0</v>
      </c>
      <c r="D368">
        <v>0</v>
      </c>
      <c r="E368">
        <v>0</v>
      </c>
      <c r="F368">
        <v>0</v>
      </c>
      <c r="G368">
        <v>0</v>
      </c>
      <c r="H368">
        <v>0</v>
      </c>
      <c r="I368">
        <v>0</v>
      </c>
      <c r="J368">
        <v>0</v>
      </c>
      <c r="K368">
        <v>0</v>
      </c>
      <c r="L368">
        <v>0</v>
      </c>
      <c r="M368">
        <v>0</v>
      </c>
      <c r="N368">
        <v>0</v>
      </c>
      <c r="O368">
        <v>0</v>
      </c>
      <c r="P368">
        <v>0</v>
      </c>
      <c r="Q368">
        <v>0</v>
      </c>
      <c r="R368">
        <v>0</v>
      </c>
      <c r="S368">
        <v>0</v>
      </c>
      <c r="T368">
        <v>0</v>
      </c>
      <c r="U368">
        <v>0</v>
      </c>
      <c r="V368">
        <v>0</v>
      </c>
      <c r="W368">
        <v>0</v>
      </c>
      <c r="X368">
        <v>0</v>
      </c>
      <c r="Y368">
        <v>0</v>
      </c>
      <c r="Z368">
        <v>0</v>
      </c>
      <c r="AA368">
        <v>0</v>
      </c>
      <c r="AB368">
        <v>0</v>
      </c>
      <c r="AC368">
        <v>0</v>
      </c>
      <c r="AD368">
        <v>0</v>
      </c>
      <c r="AF368">
        <v>0</v>
      </c>
      <c r="AG368">
        <v>0</v>
      </c>
      <c r="AH368">
        <v>0</v>
      </c>
      <c r="AI368">
        <v>0</v>
      </c>
      <c r="AJ368">
        <v>0</v>
      </c>
      <c r="AK368">
        <v>0</v>
      </c>
      <c r="AL368">
        <v>0</v>
      </c>
      <c r="AM368">
        <v>0</v>
      </c>
      <c r="AN368">
        <v>0</v>
      </c>
      <c r="AO368">
        <v>0</v>
      </c>
      <c r="AP368">
        <v>0</v>
      </c>
      <c r="AQ368">
        <v>0</v>
      </c>
      <c r="AR368">
        <v>0</v>
      </c>
      <c r="AS368">
        <v>0</v>
      </c>
      <c r="AT368">
        <v>0</v>
      </c>
      <c r="AU368">
        <v>0</v>
      </c>
      <c r="AV368">
        <v>0</v>
      </c>
      <c r="AW368">
        <v>0</v>
      </c>
      <c r="AX368">
        <v>0</v>
      </c>
      <c r="AY368">
        <v>0</v>
      </c>
      <c r="AZ368">
        <v>0</v>
      </c>
      <c r="BA368">
        <v>0</v>
      </c>
      <c r="BB368">
        <v>0</v>
      </c>
      <c r="BC368">
        <v>0</v>
      </c>
      <c r="BD368">
        <v>0</v>
      </c>
      <c r="BE368">
        <v>0</v>
      </c>
      <c r="BF368">
        <v>0</v>
      </c>
      <c r="BG368">
        <v>0</v>
      </c>
      <c r="BH368">
        <v>0</v>
      </c>
      <c r="BI368">
        <v>0</v>
      </c>
      <c r="BK368" s="151"/>
    </row>
    <row r="369" spans="1:63" x14ac:dyDescent="0.35">
      <c r="A369">
        <v>0</v>
      </c>
      <c r="B369">
        <v>0</v>
      </c>
      <c r="C369">
        <v>0</v>
      </c>
      <c r="D369">
        <v>0</v>
      </c>
      <c r="E369">
        <v>0</v>
      </c>
      <c r="F369">
        <v>0</v>
      </c>
      <c r="G369">
        <v>0</v>
      </c>
      <c r="H369">
        <v>0</v>
      </c>
      <c r="I369">
        <v>0</v>
      </c>
      <c r="J369">
        <v>0</v>
      </c>
      <c r="K369">
        <v>0</v>
      </c>
      <c r="L369">
        <v>0</v>
      </c>
      <c r="M369">
        <v>0</v>
      </c>
      <c r="N369">
        <v>0</v>
      </c>
      <c r="O369">
        <v>0</v>
      </c>
      <c r="P369">
        <v>0</v>
      </c>
      <c r="Q369">
        <v>0</v>
      </c>
      <c r="R369">
        <v>0</v>
      </c>
      <c r="S369">
        <v>0</v>
      </c>
      <c r="T369">
        <v>0</v>
      </c>
      <c r="U369">
        <v>0</v>
      </c>
      <c r="V369">
        <v>0</v>
      </c>
      <c r="W369">
        <v>0</v>
      </c>
      <c r="X369">
        <v>0</v>
      </c>
      <c r="Y369">
        <v>0</v>
      </c>
      <c r="Z369">
        <v>0</v>
      </c>
      <c r="AA369">
        <v>0</v>
      </c>
      <c r="AB369">
        <v>0</v>
      </c>
      <c r="AC369">
        <v>0</v>
      </c>
      <c r="AD369">
        <v>0</v>
      </c>
      <c r="AF369">
        <v>0</v>
      </c>
      <c r="AG369">
        <v>0</v>
      </c>
      <c r="AH369">
        <v>0</v>
      </c>
      <c r="AI369">
        <v>0</v>
      </c>
      <c r="AJ369">
        <v>0</v>
      </c>
      <c r="AK369">
        <v>0</v>
      </c>
      <c r="AL369">
        <v>0</v>
      </c>
      <c r="AM369">
        <v>0</v>
      </c>
      <c r="AN369">
        <v>0</v>
      </c>
      <c r="AO369">
        <v>0</v>
      </c>
      <c r="AP369">
        <v>0</v>
      </c>
      <c r="AQ369">
        <v>0</v>
      </c>
      <c r="AR369">
        <v>0</v>
      </c>
      <c r="AS369">
        <v>0</v>
      </c>
      <c r="AT369">
        <v>0</v>
      </c>
      <c r="AU369">
        <v>0</v>
      </c>
      <c r="AV369">
        <v>0</v>
      </c>
      <c r="AW369">
        <v>0</v>
      </c>
      <c r="AX369">
        <v>0</v>
      </c>
      <c r="AY369">
        <v>0</v>
      </c>
      <c r="AZ369">
        <v>0</v>
      </c>
      <c r="BA369">
        <v>0</v>
      </c>
      <c r="BB369">
        <v>0</v>
      </c>
      <c r="BC369">
        <v>0</v>
      </c>
      <c r="BD369">
        <v>0</v>
      </c>
      <c r="BE369">
        <v>0</v>
      </c>
      <c r="BF369">
        <v>0</v>
      </c>
      <c r="BG369">
        <v>0</v>
      </c>
      <c r="BH369">
        <v>0</v>
      </c>
      <c r="BI369">
        <v>0</v>
      </c>
      <c r="BK369" s="151"/>
    </row>
    <row r="370" spans="1:63" x14ac:dyDescent="0.35">
      <c r="A370">
        <v>0</v>
      </c>
      <c r="B370">
        <v>0</v>
      </c>
      <c r="C370">
        <v>0</v>
      </c>
      <c r="D370">
        <v>0</v>
      </c>
      <c r="E370">
        <v>0</v>
      </c>
      <c r="F370">
        <v>0</v>
      </c>
      <c r="G370">
        <v>0</v>
      </c>
      <c r="H370">
        <v>0</v>
      </c>
      <c r="I370">
        <v>0</v>
      </c>
      <c r="J370">
        <v>0</v>
      </c>
      <c r="K370">
        <v>0</v>
      </c>
      <c r="L370">
        <v>0</v>
      </c>
      <c r="M370">
        <v>0</v>
      </c>
      <c r="N370">
        <v>0</v>
      </c>
      <c r="O370">
        <v>0</v>
      </c>
      <c r="P370">
        <v>0</v>
      </c>
      <c r="Q370">
        <v>0</v>
      </c>
      <c r="R370">
        <v>0</v>
      </c>
      <c r="S370">
        <v>0</v>
      </c>
      <c r="T370">
        <v>0</v>
      </c>
      <c r="U370">
        <v>0</v>
      </c>
      <c r="V370">
        <v>0</v>
      </c>
      <c r="W370">
        <v>0</v>
      </c>
      <c r="X370">
        <v>0</v>
      </c>
      <c r="Y370">
        <v>0</v>
      </c>
      <c r="Z370">
        <v>0</v>
      </c>
      <c r="AA370">
        <v>0</v>
      </c>
      <c r="AB370">
        <v>0</v>
      </c>
      <c r="AC370">
        <v>0</v>
      </c>
      <c r="AD370">
        <v>0</v>
      </c>
      <c r="AF370">
        <v>0</v>
      </c>
      <c r="AG370">
        <v>0</v>
      </c>
      <c r="AH370">
        <v>0</v>
      </c>
      <c r="AI370">
        <v>0</v>
      </c>
      <c r="AJ370">
        <v>0</v>
      </c>
      <c r="AK370">
        <v>0</v>
      </c>
      <c r="AL370">
        <v>0</v>
      </c>
      <c r="AM370">
        <v>0</v>
      </c>
      <c r="AN370">
        <v>0</v>
      </c>
      <c r="AO370">
        <v>0</v>
      </c>
      <c r="AP370">
        <v>0</v>
      </c>
      <c r="AQ370">
        <v>0</v>
      </c>
      <c r="AR370">
        <v>0</v>
      </c>
      <c r="AS370">
        <v>0</v>
      </c>
      <c r="AT370">
        <v>0</v>
      </c>
      <c r="AU370">
        <v>0</v>
      </c>
      <c r="AV370">
        <v>0</v>
      </c>
      <c r="AW370">
        <v>0</v>
      </c>
      <c r="AX370">
        <v>0</v>
      </c>
      <c r="AY370">
        <v>0</v>
      </c>
      <c r="AZ370">
        <v>0</v>
      </c>
      <c r="BA370">
        <v>0</v>
      </c>
      <c r="BB370">
        <v>0</v>
      </c>
      <c r="BC370">
        <v>0</v>
      </c>
      <c r="BD370">
        <v>0</v>
      </c>
      <c r="BE370">
        <v>0</v>
      </c>
      <c r="BF370">
        <v>0</v>
      </c>
      <c r="BG370">
        <v>0</v>
      </c>
      <c r="BH370">
        <v>0</v>
      </c>
      <c r="BI370">
        <v>0</v>
      </c>
      <c r="BK370" s="151"/>
    </row>
    <row r="371" spans="1:63" x14ac:dyDescent="0.35">
      <c r="A371">
        <v>0</v>
      </c>
      <c r="B371">
        <v>0</v>
      </c>
      <c r="C371">
        <v>0</v>
      </c>
      <c r="D371">
        <v>0</v>
      </c>
      <c r="E371">
        <v>0</v>
      </c>
      <c r="F371">
        <v>0</v>
      </c>
      <c r="G371">
        <v>0</v>
      </c>
      <c r="H371">
        <v>0</v>
      </c>
      <c r="I371">
        <v>0</v>
      </c>
      <c r="J371">
        <v>0</v>
      </c>
      <c r="K371">
        <v>0</v>
      </c>
      <c r="L371">
        <v>0</v>
      </c>
      <c r="M371">
        <v>0</v>
      </c>
      <c r="N371">
        <v>0</v>
      </c>
      <c r="O371">
        <v>0</v>
      </c>
      <c r="P371">
        <v>0</v>
      </c>
      <c r="Q371">
        <v>0</v>
      </c>
      <c r="R371">
        <v>0</v>
      </c>
      <c r="S371">
        <v>0</v>
      </c>
      <c r="T371">
        <v>0</v>
      </c>
      <c r="U371">
        <v>0</v>
      </c>
      <c r="V371">
        <v>0</v>
      </c>
      <c r="W371">
        <v>0</v>
      </c>
      <c r="X371">
        <v>0</v>
      </c>
      <c r="Y371">
        <v>0</v>
      </c>
      <c r="Z371">
        <v>0</v>
      </c>
      <c r="AA371">
        <v>0</v>
      </c>
      <c r="AB371">
        <v>0</v>
      </c>
      <c r="AC371">
        <v>0</v>
      </c>
      <c r="AD371">
        <v>0</v>
      </c>
      <c r="AF371">
        <v>0</v>
      </c>
      <c r="AG371">
        <v>0</v>
      </c>
      <c r="AH371">
        <v>0</v>
      </c>
      <c r="AI371">
        <v>0</v>
      </c>
      <c r="AJ371">
        <v>0</v>
      </c>
      <c r="AK371">
        <v>0</v>
      </c>
      <c r="AL371">
        <v>0</v>
      </c>
      <c r="AM371">
        <v>0</v>
      </c>
      <c r="AN371">
        <v>0</v>
      </c>
      <c r="AO371">
        <v>0</v>
      </c>
      <c r="AP371">
        <v>0</v>
      </c>
      <c r="AQ371">
        <v>0</v>
      </c>
      <c r="AR371">
        <v>0</v>
      </c>
      <c r="AS371">
        <v>0</v>
      </c>
      <c r="AT371">
        <v>0</v>
      </c>
      <c r="AU371">
        <v>0</v>
      </c>
      <c r="AV371">
        <v>0</v>
      </c>
      <c r="AW371">
        <v>0</v>
      </c>
      <c r="AX371">
        <v>0</v>
      </c>
      <c r="AY371">
        <v>0</v>
      </c>
      <c r="AZ371">
        <v>0</v>
      </c>
      <c r="BA371">
        <v>0</v>
      </c>
      <c r="BB371">
        <v>0</v>
      </c>
      <c r="BC371">
        <v>0</v>
      </c>
      <c r="BD371">
        <v>0</v>
      </c>
      <c r="BE371">
        <v>0</v>
      </c>
      <c r="BF371">
        <v>0</v>
      </c>
      <c r="BG371">
        <v>0</v>
      </c>
      <c r="BH371">
        <v>0</v>
      </c>
      <c r="BI371">
        <v>0</v>
      </c>
      <c r="BK371" s="151"/>
    </row>
    <row r="372" spans="1:63" x14ac:dyDescent="0.35">
      <c r="A372">
        <v>0</v>
      </c>
      <c r="B372">
        <v>0</v>
      </c>
      <c r="C372">
        <v>0</v>
      </c>
      <c r="D372">
        <v>0</v>
      </c>
      <c r="E372">
        <v>0</v>
      </c>
      <c r="F372">
        <v>0</v>
      </c>
      <c r="G372">
        <v>0</v>
      </c>
      <c r="H372">
        <v>0</v>
      </c>
      <c r="I372">
        <v>0</v>
      </c>
      <c r="J372">
        <v>0</v>
      </c>
      <c r="K372">
        <v>0</v>
      </c>
      <c r="L372">
        <v>0</v>
      </c>
      <c r="M372">
        <v>0</v>
      </c>
      <c r="N372">
        <v>0</v>
      </c>
      <c r="O372">
        <v>0</v>
      </c>
      <c r="P372">
        <v>0</v>
      </c>
      <c r="Q372">
        <v>0</v>
      </c>
      <c r="R372">
        <v>0</v>
      </c>
      <c r="S372">
        <v>0</v>
      </c>
      <c r="T372">
        <v>0</v>
      </c>
      <c r="U372">
        <v>0</v>
      </c>
      <c r="V372">
        <v>0</v>
      </c>
      <c r="W372">
        <v>0</v>
      </c>
      <c r="X372">
        <v>0</v>
      </c>
      <c r="Y372">
        <v>0</v>
      </c>
      <c r="Z372">
        <v>0</v>
      </c>
      <c r="AA372">
        <v>0</v>
      </c>
      <c r="AB372">
        <v>0</v>
      </c>
      <c r="AC372">
        <v>0</v>
      </c>
      <c r="AD372">
        <v>0</v>
      </c>
      <c r="AF372">
        <v>0</v>
      </c>
      <c r="AG372">
        <v>0</v>
      </c>
      <c r="AH372">
        <v>0</v>
      </c>
      <c r="AI372">
        <v>0</v>
      </c>
      <c r="AJ372">
        <v>0</v>
      </c>
      <c r="AK372">
        <v>0</v>
      </c>
      <c r="AL372">
        <v>0</v>
      </c>
      <c r="AM372">
        <v>0</v>
      </c>
      <c r="AN372">
        <v>0</v>
      </c>
      <c r="AO372">
        <v>0</v>
      </c>
      <c r="AP372">
        <v>0</v>
      </c>
      <c r="AQ372">
        <v>0</v>
      </c>
      <c r="AR372">
        <v>0</v>
      </c>
      <c r="AS372">
        <v>0</v>
      </c>
      <c r="AT372">
        <v>0</v>
      </c>
      <c r="AU372">
        <v>0</v>
      </c>
      <c r="AV372">
        <v>0</v>
      </c>
      <c r="AW372">
        <v>0</v>
      </c>
      <c r="AX372">
        <v>0</v>
      </c>
      <c r="AY372">
        <v>0</v>
      </c>
      <c r="AZ372">
        <v>0</v>
      </c>
      <c r="BA372">
        <v>0</v>
      </c>
      <c r="BB372">
        <v>0</v>
      </c>
      <c r="BC372">
        <v>0</v>
      </c>
      <c r="BD372">
        <v>0</v>
      </c>
      <c r="BE372">
        <v>0</v>
      </c>
      <c r="BF372">
        <v>0</v>
      </c>
      <c r="BG372">
        <v>0</v>
      </c>
      <c r="BH372">
        <v>0</v>
      </c>
      <c r="BI372">
        <v>0</v>
      </c>
      <c r="BK372" s="151"/>
    </row>
    <row r="373" spans="1:63" x14ac:dyDescent="0.35">
      <c r="A373">
        <v>0</v>
      </c>
      <c r="B373">
        <v>0</v>
      </c>
      <c r="C373">
        <v>0</v>
      </c>
      <c r="D373">
        <v>0</v>
      </c>
      <c r="E373">
        <v>0</v>
      </c>
      <c r="F373">
        <v>0</v>
      </c>
      <c r="G373">
        <v>0</v>
      </c>
      <c r="H373">
        <v>0</v>
      </c>
      <c r="I373">
        <v>0</v>
      </c>
      <c r="J373">
        <v>0</v>
      </c>
      <c r="K373">
        <v>0</v>
      </c>
      <c r="L373">
        <v>0</v>
      </c>
      <c r="M373">
        <v>0</v>
      </c>
      <c r="N373">
        <v>0</v>
      </c>
      <c r="O373">
        <v>0</v>
      </c>
      <c r="P373">
        <v>0</v>
      </c>
      <c r="Q373">
        <v>0</v>
      </c>
      <c r="R373">
        <v>0</v>
      </c>
      <c r="S373">
        <v>0</v>
      </c>
      <c r="T373">
        <v>0</v>
      </c>
      <c r="U373">
        <v>0</v>
      </c>
      <c r="V373">
        <v>0</v>
      </c>
      <c r="W373">
        <v>0</v>
      </c>
      <c r="X373">
        <v>0</v>
      </c>
      <c r="Y373">
        <v>0</v>
      </c>
      <c r="Z373">
        <v>0</v>
      </c>
      <c r="AA373">
        <v>0</v>
      </c>
      <c r="AB373">
        <v>0</v>
      </c>
      <c r="AC373">
        <v>0</v>
      </c>
      <c r="AD373">
        <v>0</v>
      </c>
      <c r="AF373">
        <v>0</v>
      </c>
      <c r="AG373">
        <v>0</v>
      </c>
      <c r="AH373">
        <v>0</v>
      </c>
      <c r="AI373">
        <v>0</v>
      </c>
      <c r="AJ373">
        <v>0</v>
      </c>
      <c r="AK373">
        <v>0</v>
      </c>
      <c r="AL373">
        <v>0</v>
      </c>
      <c r="AM373">
        <v>0</v>
      </c>
      <c r="AN373">
        <v>0</v>
      </c>
      <c r="AO373">
        <v>0</v>
      </c>
      <c r="AP373">
        <v>0</v>
      </c>
      <c r="AQ373">
        <v>0</v>
      </c>
      <c r="AR373">
        <v>0</v>
      </c>
      <c r="AS373">
        <v>0</v>
      </c>
      <c r="AT373">
        <v>0</v>
      </c>
      <c r="AU373">
        <v>0</v>
      </c>
      <c r="AV373">
        <v>0</v>
      </c>
      <c r="AW373">
        <v>0</v>
      </c>
      <c r="AX373">
        <v>0</v>
      </c>
      <c r="AY373">
        <v>0</v>
      </c>
      <c r="AZ373">
        <v>0</v>
      </c>
      <c r="BA373">
        <v>0</v>
      </c>
      <c r="BB373">
        <v>0</v>
      </c>
      <c r="BC373">
        <v>0</v>
      </c>
      <c r="BD373">
        <v>0</v>
      </c>
      <c r="BE373">
        <v>0</v>
      </c>
      <c r="BF373">
        <v>0</v>
      </c>
      <c r="BG373">
        <v>0</v>
      </c>
      <c r="BH373">
        <v>0</v>
      </c>
      <c r="BI373">
        <v>0</v>
      </c>
      <c r="BK373" s="151"/>
    </row>
    <row r="374" spans="1:63" x14ac:dyDescent="0.35">
      <c r="A374">
        <v>0</v>
      </c>
      <c r="B374">
        <v>0</v>
      </c>
      <c r="C374">
        <v>0</v>
      </c>
      <c r="D374">
        <v>0</v>
      </c>
      <c r="E374">
        <v>0</v>
      </c>
      <c r="F374">
        <v>0</v>
      </c>
      <c r="G374">
        <v>0</v>
      </c>
      <c r="H374">
        <v>0</v>
      </c>
      <c r="I374">
        <v>0</v>
      </c>
      <c r="J374">
        <v>0</v>
      </c>
      <c r="K374">
        <v>0</v>
      </c>
      <c r="L374">
        <v>0</v>
      </c>
      <c r="M374">
        <v>0</v>
      </c>
      <c r="N374">
        <v>0</v>
      </c>
      <c r="O374">
        <v>0</v>
      </c>
      <c r="P374">
        <v>0</v>
      </c>
      <c r="Q374">
        <v>0</v>
      </c>
      <c r="R374">
        <v>0</v>
      </c>
      <c r="S374">
        <v>0</v>
      </c>
      <c r="T374">
        <v>0</v>
      </c>
      <c r="U374">
        <v>0</v>
      </c>
      <c r="V374">
        <v>0</v>
      </c>
      <c r="W374">
        <v>0</v>
      </c>
      <c r="X374">
        <v>0</v>
      </c>
      <c r="Y374">
        <v>0</v>
      </c>
      <c r="Z374">
        <v>0</v>
      </c>
      <c r="AA374">
        <v>0</v>
      </c>
      <c r="AB374">
        <v>0</v>
      </c>
      <c r="AC374">
        <v>0</v>
      </c>
      <c r="AD374">
        <v>0</v>
      </c>
      <c r="AF374">
        <v>0</v>
      </c>
      <c r="AG374">
        <v>0</v>
      </c>
      <c r="AH374">
        <v>0</v>
      </c>
      <c r="AI374">
        <v>0</v>
      </c>
      <c r="AJ374">
        <v>0</v>
      </c>
      <c r="AK374">
        <v>0</v>
      </c>
      <c r="AL374">
        <v>0</v>
      </c>
      <c r="AM374">
        <v>0</v>
      </c>
      <c r="AN374">
        <v>0</v>
      </c>
      <c r="AO374">
        <v>0</v>
      </c>
      <c r="AP374">
        <v>0</v>
      </c>
      <c r="AQ374">
        <v>0</v>
      </c>
      <c r="AR374">
        <v>0</v>
      </c>
      <c r="AS374">
        <v>0</v>
      </c>
      <c r="AT374">
        <v>0</v>
      </c>
      <c r="AU374">
        <v>0</v>
      </c>
      <c r="AV374">
        <v>0</v>
      </c>
      <c r="AW374">
        <v>0</v>
      </c>
      <c r="AX374">
        <v>0</v>
      </c>
      <c r="AY374">
        <v>0</v>
      </c>
      <c r="AZ374">
        <v>0</v>
      </c>
      <c r="BA374">
        <v>0</v>
      </c>
      <c r="BB374">
        <v>0</v>
      </c>
      <c r="BC374">
        <v>0</v>
      </c>
      <c r="BD374">
        <v>0</v>
      </c>
      <c r="BE374">
        <v>0</v>
      </c>
      <c r="BF374">
        <v>0</v>
      </c>
      <c r="BG374">
        <v>0</v>
      </c>
      <c r="BH374">
        <v>0</v>
      </c>
      <c r="BI374">
        <v>0</v>
      </c>
      <c r="BK374" s="151"/>
    </row>
    <row r="375" spans="1:63" x14ac:dyDescent="0.35">
      <c r="A375">
        <v>0</v>
      </c>
      <c r="B375">
        <v>0</v>
      </c>
      <c r="C375">
        <v>0</v>
      </c>
      <c r="D375">
        <v>0</v>
      </c>
      <c r="E375">
        <v>0</v>
      </c>
      <c r="F375">
        <v>0</v>
      </c>
      <c r="G375">
        <v>0</v>
      </c>
      <c r="H375">
        <v>0</v>
      </c>
      <c r="I375">
        <v>0</v>
      </c>
      <c r="J375">
        <v>0</v>
      </c>
      <c r="K375">
        <v>0</v>
      </c>
      <c r="L375">
        <v>0</v>
      </c>
      <c r="M375">
        <v>0</v>
      </c>
      <c r="N375">
        <v>0</v>
      </c>
      <c r="O375">
        <v>0</v>
      </c>
      <c r="P375">
        <v>0</v>
      </c>
      <c r="Q375">
        <v>0</v>
      </c>
      <c r="R375">
        <v>0</v>
      </c>
      <c r="S375">
        <v>0</v>
      </c>
      <c r="T375">
        <v>0</v>
      </c>
      <c r="U375">
        <v>0</v>
      </c>
      <c r="V375">
        <v>0</v>
      </c>
      <c r="W375">
        <v>0</v>
      </c>
      <c r="X375">
        <v>0</v>
      </c>
      <c r="Y375">
        <v>0</v>
      </c>
      <c r="Z375">
        <v>0</v>
      </c>
      <c r="AA375">
        <v>0</v>
      </c>
      <c r="AB375">
        <v>0</v>
      </c>
      <c r="AC375">
        <v>0</v>
      </c>
      <c r="AD375">
        <v>0</v>
      </c>
      <c r="AF375">
        <v>0</v>
      </c>
      <c r="AG375">
        <v>0</v>
      </c>
      <c r="AH375">
        <v>0</v>
      </c>
      <c r="AI375">
        <v>0</v>
      </c>
      <c r="AJ375">
        <v>0</v>
      </c>
      <c r="AK375">
        <v>0</v>
      </c>
      <c r="AL375">
        <v>0</v>
      </c>
      <c r="AM375">
        <v>0</v>
      </c>
      <c r="AN375">
        <v>0</v>
      </c>
      <c r="AO375">
        <v>0</v>
      </c>
      <c r="AP375">
        <v>0</v>
      </c>
      <c r="AQ375">
        <v>0</v>
      </c>
      <c r="AR375">
        <v>0</v>
      </c>
      <c r="AS375">
        <v>0</v>
      </c>
      <c r="AT375">
        <v>0</v>
      </c>
      <c r="AU375">
        <v>0</v>
      </c>
      <c r="AV375">
        <v>0</v>
      </c>
      <c r="AW375">
        <v>0</v>
      </c>
      <c r="AX375">
        <v>0</v>
      </c>
      <c r="AY375">
        <v>0</v>
      </c>
      <c r="AZ375">
        <v>0</v>
      </c>
      <c r="BA375">
        <v>0</v>
      </c>
      <c r="BB375">
        <v>0</v>
      </c>
      <c r="BC375">
        <v>0</v>
      </c>
      <c r="BD375">
        <v>0</v>
      </c>
      <c r="BE375">
        <v>0</v>
      </c>
      <c r="BF375">
        <v>0</v>
      </c>
      <c r="BG375">
        <v>0</v>
      </c>
      <c r="BH375">
        <v>0</v>
      </c>
      <c r="BI375">
        <v>0</v>
      </c>
      <c r="BK375" s="151"/>
    </row>
    <row r="376" spans="1:63" x14ac:dyDescent="0.35">
      <c r="A376">
        <v>0</v>
      </c>
      <c r="B376">
        <v>0</v>
      </c>
      <c r="C376">
        <v>0</v>
      </c>
      <c r="D376">
        <v>0</v>
      </c>
      <c r="E376">
        <v>0</v>
      </c>
      <c r="F376">
        <v>0</v>
      </c>
      <c r="G376">
        <v>0</v>
      </c>
      <c r="H376">
        <v>0</v>
      </c>
      <c r="I376">
        <v>0</v>
      </c>
      <c r="J376">
        <v>0</v>
      </c>
      <c r="K376">
        <v>0</v>
      </c>
      <c r="L376">
        <v>0</v>
      </c>
      <c r="M376">
        <v>0</v>
      </c>
      <c r="N376">
        <v>0</v>
      </c>
      <c r="O376">
        <v>0</v>
      </c>
      <c r="P376">
        <v>0</v>
      </c>
      <c r="Q376">
        <v>0</v>
      </c>
      <c r="R376">
        <v>0</v>
      </c>
      <c r="S376">
        <v>0</v>
      </c>
      <c r="T376">
        <v>0</v>
      </c>
      <c r="U376">
        <v>0</v>
      </c>
      <c r="V376">
        <v>0</v>
      </c>
      <c r="W376">
        <v>0</v>
      </c>
      <c r="X376">
        <v>0</v>
      </c>
      <c r="Y376">
        <v>0</v>
      </c>
      <c r="Z376">
        <v>0</v>
      </c>
      <c r="AA376">
        <v>0</v>
      </c>
      <c r="AB376">
        <v>0</v>
      </c>
      <c r="AC376">
        <v>0</v>
      </c>
      <c r="AD376">
        <v>0</v>
      </c>
      <c r="AF376">
        <v>0</v>
      </c>
      <c r="AG376">
        <v>0</v>
      </c>
      <c r="AH376">
        <v>0</v>
      </c>
      <c r="AI376">
        <v>0</v>
      </c>
      <c r="AJ376">
        <v>0</v>
      </c>
      <c r="AK376">
        <v>0</v>
      </c>
      <c r="AL376">
        <v>0</v>
      </c>
      <c r="AM376">
        <v>0</v>
      </c>
      <c r="AN376">
        <v>0</v>
      </c>
      <c r="AO376">
        <v>0</v>
      </c>
      <c r="AP376">
        <v>0</v>
      </c>
      <c r="AQ376">
        <v>0</v>
      </c>
      <c r="AR376">
        <v>0</v>
      </c>
      <c r="AS376">
        <v>0</v>
      </c>
      <c r="AT376">
        <v>0</v>
      </c>
      <c r="AU376">
        <v>0</v>
      </c>
      <c r="AV376">
        <v>0</v>
      </c>
      <c r="AW376">
        <v>0</v>
      </c>
      <c r="AX376">
        <v>0</v>
      </c>
      <c r="AY376">
        <v>0</v>
      </c>
      <c r="AZ376">
        <v>0</v>
      </c>
      <c r="BA376">
        <v>0</v>
      </c>
      <c r="BB376">
        <v>0</v>
      </c>
      <c r="BC376">
        <v>0</v>
      </c>
      <c r="BD376">
        <v>0</v>
      </c>
      <c r="BE376">
        <v>0</v>
      </c>
      <c r="BF376">
        <v>0</v>
      </c>
      <c r="BG376">
        <v>0</v>
      </c>
      <c r="BH376">
        <v>0</v>
      </c>
      <c r="BI376">
        <v>0</v>
      </c>
      <c r="BK376" s="151"/>
    </row>
    <row r="377" spans="1:63" x14ac:dyDescent="0.35">
      <c r="A377">
        <v>0</v>
      </c>
      <c r="B377">
        <v>0</v>
      </c>
      <c r="C377">
        <v>0</v>
      </c>
      <c r="D377">
        <v>0</v>
      </c>
      <c r="E377">
        <v>0</v>
      </c>
      <c r="F377">
        <v>0</v>
      </c>
      <c r="G377">
        <v>0</v>
      </c>
      <c r="H377">
        <v>0</v>
      </c>
      <c r="I377">
        <v>0</v>
      </c>
      <c r="J377">
        <v>0</v>
      </c>
      <c r="K377">
        <v>0</v>
      </c>
      <c r="L377">
        <v>0</v>
      </c>
      <c r="M377">
        <v>0</v>
      </c>
      <c r="N377">
        <v>0</v>
      </c>
      <c r="O377">
        <v>0</v>
      </c>
      <c r="P377">
        <v>0</v>
      </c>
      <c r="Q377">
        <v>0</v>
      </c>
      <c r="R377">
        <v>0</v>
      </c>
      <c r="S377">
        <v>0</v>
      </c>
      <c r="T377">
        <v>0</v>
      </c>
      <c r="U377">
        <v>0</v>
      </c>
      <c r="V377">
        <v>0</v>
      </c>
      <c r="W377">
        <v>0</v>
      </c>
      <c r="X377">
        <v>0</v>
      </c>
      <c r="Y377">
        <v>0</v>
      </c>
      <c r="Z377">
        <v>0</v>
      </c>
      <c r="AA377">
        <v>0</v>
      </c>
      <c r="AB377">
        <v>0</v>
      </c>
      <c r="AC377">
        <v>0</v>
      </c>
      <c r="AD377">
        <v>0</v>
      </c>
      <c r="AF377">
        <v>0</v>
      </c>
      <c r="AG377">
        <v>0</v>
      </c>
      <c r="AH377">
        <v>0</v>
      </c>
      <c r="AI377">
        <v>0</v>
      </c>
      <c r="AJ377">
        <v>0</v>
      </c>
      <c r="AK377">
        <v>0</v>
      </c>
      <c r="AL377">
        <v>0</v>
      </c>
      <c r="AM377">
        <v>0</v>
      </c>
      <c r="AN377">
        <v>0</v>
      </c>
      <c r="AO377">
        <v>0</v>
      </c>
      <c r="AP377">
        <v>0</v>
      </c>
      <c r="AQ377">
        <v>0</v>
      </c>
      <c r="AR377">
        <v>0</v>
      </c>
      <c r="AS377">
        <v>0</v>
      </c>
      <c r="AT377">
        <v>0</v>
      </c>
      <c r="AU377">
        <v>0</v>
      </c>
      <c r="AV377">
        <v>0</v>
      </c>
      <c r="AW377">
        <v>0</v>
      </c>
      <c r="AX377">
        <v>0</v>
      </c>
      <c r="AY377">
        <v>0</v>
      </c>
      <c r="AZ377">
        <v>0</v>
      </c>
      <c r="BA377">
        <v>0</v>
      </c>
      <c r="BB377">
        <v>0</v>
      </c>
      <c r="BC377">
        <v>0</v>
      </c>
      <c r="BD377">
        <v>0</v>
      </c>
      <c r="BE377">
        <v>0</v>
      </c>
      <c r="BF377">
        <v>0</v>
      </c>
      <c r="BG377">
        <v>0</v>
      </c>
      <c r="BH377">
        <v>0</v>
      </c>
      <c r="BI377">
        <v>0</v>
      </c>
      <c r="BK377" s="151"/>
    </row>
    <row r="378" spans="1:63" x14ac:dyDescent="0.35">
      <c r="A378">
        <v>0</v>
      </c>
      <c r="B378">
        <v>0</v>
      </c>
      <c r="C378">
        <v>0</v>
      </c>
      <c r="D378">
        <v>0</v>
      </c>
      <c r="E378">
        <v>0</v>
      </c>
      <c r="F378">
        <v>0</v>
      </c>
      <c r="G378">
        <v>0</v>
      </c>
      <c r="H378">
        <v>0</v>
      </c>
      <c r="I378">
        <v>0</v>
      </c>
      <c r="J378">
        <v>0</v>
      </c>
      <c r="K378">
        <v>0</v>
      </c>
      <c r="L378">
        <v>0</v>
      </c>
      <c r="M378">
        <v>0</v>
      </c>
      <c r="N378">
        <v>0</v>
      </c>
      <c r="O378">
        <v>0</v>
      </c>
      <c r="P378">
        <v>0</v>
      </c>
      <c r="Q378">
        <v>0</v>
      </c>
      <c r="R378">
        <v>0</v>
      </c>
      <c r="S378">
        <v>0</v>
      </c>
      <c r="T378">
        <v>0</v>
      </c>
      <c r="U378">
        <v>0</v>
      </c>
      <c r="V378">
        <v>0</v>
      </c>
      <c r="W378">
        <v>0</v>
      </c>
      <c r="X378">
        <v>0</v>
      </c>
      <c r="Y378">
        <v>0</v>
      </c>
      <c r="Z378">
        <v>0</v>
      </c>
      <c r="AA378">
        <v>0</v>
      </c>
      <c r="AB378">
        <v>0</v>
      </c>
      <c r="AC378">
        <v>0</v>
      </c>
      <c r="AD378">
        <v>0</v>
      </c>
      <c r="AF378">
        <v>0</v>
      </c>
      <c r="AG378">
        <v>0</v>
      </c>
      <c r="AH378">
        <v>0</v>
      </c>
      <c r="AI378">
        <v>0</v>
      </c>
      <c r="AJ378">
        <v>0</v>
      </c>
      <c r="AK378">
        <v>0</v>
      </c>
      <c r="AL378">
        <v>0</v>
      </c>
      <c r="AM378">
        <v>0</v>
      </c>
      <c r="AN378">
        <v>0</v>
      </c>
      <c r="AO378">
        <v>0</v>
      </c>
      <c r="AP378">
        <v>0</v>
      </c>
      <c r="AQ378">
        <v>0</v>
      </c>
      <c r="AR378">
        <v>0</v>
      </c>
      <c r="AS378">
        <v>0</v>
      </c>
      <c r="AT378">
        <v>0</v>
      </c>
      <c r="AU378">
        <v>0</v>
      </c>
      <c r="AV378">
        <v>0</v>
      </c>
      <c r="AW378">
        <v>0</v>
      </c>
      <c r="AX378">
        <v>0</v>
      </c>
      <c r="AY378">
        <v>0</v>
      </c>
      <c r="AZ378">
        <v>0</v>
      </c>
      <c r="BA378">
        <v>0</v>
      </c>
      <c r="BB378">
        <v>0</v>
      </c>
      <c r="BC378">
        <v>0</v>
      </c>
      <c r="BD378">
        <v>0</v>
      </c>
      <c r="BE378">
        <v>0</v>
      </c>
      <c r="BF378">
        <v>0</v>
      </c>
      <c r="BG378">
        <v>0</v>
      </c>
      <c r="BH378">
        <v>0</v>
      </c>
      <c r="BI378">
        <v>0</v>
      </c>
      <c r="BK378" s="151"/>
    </row>
    <row r="379" spans="1:63" x14ac:dyDescent="0.35">
      <c r="A379">
        <v>0</v>
      </c>
      <c r="B379">
        <v>0</v>
      </c>
      <c r="C379">
        <v>0</v>
      </c>
      <c r="D379">
        <v>0</v>
      </c>
      <c r="E379">
        <v>0</v>
      </c>
      <c r="F379">
        <v>0</v>
      </c>
      <c r="G379">
        <v>0</v>
      </c>
      <c r="H379">
        <v>0</v>
      </c>
      <c r="I379">
        <v>0</v>
      </c>
      <c r="J379">
        <v>0</v>
      </c>
      <c r="K379">
        <v>0</v>
      </c>
      <c r="L379">
        <v>0</v>
      </c>
      <c r="M379">
        <v>0</v>
      </c>
      <c r="N379">
        <v>0</v>
      </c>
      <c r="O379">
        <v>0</v>
      </c>
      <c r="P379">
        <v>0</v>
      </c>
      <c r="Q379">
        <v>0</v>
      </c>
      <c r="R379">
        <v>0</v>
      </c>
      <c r="S379">
        <v>0</v>
      </c>
      <c r="T379">
        <v>0</v>
      </c>
      <c r="U379">
        <v>0</v>
      </c>
      <c r="V379">
        <v>0</v>
      </c>
      <c r="W379">
        <v>0</v>
      </c>
      <c r="X379">
        <v>0</v>
      </c>
      <c r="Y379">
        <v>0</v>
      </c>
      <c r="Z379">
        <v>0</v>
      </c>
      <c r="AA379">
        <v>0</v>
      </c>
      <c r="AB379">
        <v>0</v>
      </c>
      <c r="AC379">
        <v>0</v>
      </c>
      <c r="AD379">
        <v>0</v>
      </c>
      <c r="AF379">
        <v>0</v>
      </c>
      <c r="AG379">
        <v>0</v>
      </c>
      <c r="AH379">
        <v>0</v>
      </c>
      <c r="AI379">
        <v>0</v>
      </c>
      <c r="AJ379">
        <v>0</v>
      </c>
      <c r="AK379">
        <v>0</v>
      </c>
      <c r="AL379">
        <v>0</v>
      </c>
      <c r="AM379">
        <v>0</v>
      </c>
      <c r="AN379">
        <v>0</v>
      </c>
      <c r="AO379">
        <v>0</v>
      </c>
      <c r="AP379">
        <v>0</v>
      </c>
      <c r="AQ379">
        <v>0</v>
      </c>
      <c r="AR379">
        <v>0</v>
      </c>
      <c r="AS379">
        <v>0</v>
      </c>
      <c r="AT379">
        <v>0</v>
      </c>
      <c r="AU379">
        <v>0</v>
      </c>
      <c r="AV379">
        <v>0</v>
      </c>
      <c r="AW379">
        <v>0</v>
      </c>
      <c r="AX379">
        <v>0</v>
      </c>
      <c r="AY379">
        <v>0</v>
      </c>
      <c r="AZ379">
        <v>0</v>
      </c>
      <c r="BA379">
        <v>0</v>
      </c>
      <c r="BB379">
        <v>0</v>
      </c>
      <c r="BC379">
        <v>0</v>
      </c>
      <c r="BD379">
        <v>0</v>
      </c>
      <c r="BE379">
        <v>0</v>
      </c>
      <c r="BF379">
        <v>0</v>
      </c>
      <c r="BG379">
        <v>0</v>
      </c>
      <c r="BH379">
        <v>0</v>
      </c>
      <c r="BI379">
        <v>0</v>
      </c>
      <c r="BK379" s="151"/>
    </row>
    <row r="380" spans="1:63" x14ac:dyDescent="0.35">
      <c r="A380">
        <v>0</v>
      </c>
      <c r="B380">
        <v>0</v>
      </c>
      <c r="C380">
        <v>0</v>
      </c>
      <c r="D380">
        <v>0</v>
      </c>
      <c r="E380">
        <v>0</v>
      </c>
      <c r="F380">
        <v>0</v>
      </c>
      <c r="G380">
        <v>0</v>
      </c>
      <c r="H380">
        <v>0</v>
      </c>
      <c r="I380">
        <v>0</v>
      </c>
      <c r="J380">
        <v>0</v>
      </c>
      <c r="K380">
        <v>0</v>
      </c>
      <c r="L380">
        <v>0</v>
      </c>
      <c r="M380">
        <v>0</v>
      </c>
      <c r="N380">
        <v>0</v>
      </c>
      <c r="O380">
        <v>0</v>
      </c>
      <c r="P380">
        <v>0</v>
      </c>
      <c r="Q380">
        <v>0</v>
      </c>
      <c r="R380">
        <v>0</v>
      </c>
      <c r="S380">
        <v>0</v>
      </c>
      <c r="T380">
        <v>0</v>
      </c>
      <c r="U380">
        <v>0</v>
      </c>
      <c r="V380">
        <v>0</v>
      </c>
      <c r="W380">
        <v>0</v>
      </c>
      <c r="X380">
        <v>0</v>
      </c>
      <c r="Y380">
        <v>0</v>
      </c>
      <c r="Z380">
        <v>0</v>
      </c>
      <c r="AA380">
        <v>0</v>
      </c>
      <c r="AB380">
        <v>0</v>
      </c>
      <c r="AC380">
        <v>0</v>
      </c>
      <c r="AD380">
        <v>0</v>
      </c>
      <c r="AF380">
        <v>0</v>
      </c>
      <c r="AG380">
        <v>0</v>
      </c>
      <c r="AH380">
        <v>0</v>
      </c>
      <c r="AI380">
        <v>0</v>
      </c>
      <c r="AJ380">
        <v>0</v>
      </c>
      <c r="AK380">
        <v>0</v>
      </c>
      <c r="AL380">
        <v>0</v>
      </c>
      <c r="AM380">
        <v>0</v>
      </c>
      <c r="AN380">
        <v>0</v>
      </c>
      <c r="AO380">
        <v>0</v>
      </c>
      <c r="AP380">
        <v>0</v>
      </c>
      <c r="AQ380">
        <v>0</v>
      </c>
      <c r="AR380">
        <v>0</v>
      </c>
      <c r="AS380">
        <v>0</v>
      </c>
      <c r="AT380">
        <v>0</v>
      </c>
      <c r="AU380">
        <v>0</v>
      </c>
      <c r="AV380">
        <v>0</v>
      </c>
      <c r="AW380">
        <v>0</v>
      </c>
      <c r="AX380">
        <v>0</v>
      </c>
      <c r="AY380">
        <v>0</v>
      </c>
      <c r="AZ380">
        <v>0</v>
      </c>
      <c r="BA380">
        <v>0</v>
      </c>
      <c r="BB380">
        <v>0</v>
      </c>
      <c r="BC380">
        <v>0</v>
      </c>
      <c r="BD380">
        <v>0</v>
      </c>
      <c r="BE380">
        <v>0</v>
      </c>
      <c r="BF380">
        <v>0</v>
      </c>
      <c r="BG380">
        <v>0</v>
      </c>
      <c r="BH380">
        <v>0</v>
      </c>
      <c r="BI380">
        <v>0</v>
      </c>
      <c r="BK380" s="151"/>
    </row>
    <row r="381" spans="1:63" x14ac:dyDescent="0.35">
      <c r="A381">
        <v>0</v>
      </c>
      <c r="B381">
        <v>0</v>
      </c>
      <c r="C381">
        <v>0</v>
      </c>
      <c r="D381">
        <v>0</v>
      </c>
      <c r="E381">
        <v>0</v>
      </c>
      <c r="F381">
        <v>0</v>
      </c>
      <c r="G381">
        <v>0</v>
      </c>
      <c r="H381">
        <v>0</v>
      </c>
      <c r="I381">
        <v>0</v>
      </c>
      <c r="J381">
        <v>0</v>
      </c>
      <c r="K381">
        <v>0</v>
      </c>
      <c r="L381">
        <v>0</v>
      </c>
      <c r="M381">
        <v>0</v>
      </c>
      <c r="N381">
        <v>0</v>
      </c>
      <c r="O381">
        <v>0</v>
      </c>
      <c r="P381">
        <v>0</v>
      </c>
      <c r="Q381">
        <v>0</v>
      </c>
      <c r="R381">
        <v>0</v>
      </c>
      <c r="S381">
        <v>0</v>
      </c>
      <c r="T381">
        <v>0</v>
      </c>
      <c r="U381">
        <v>0</v>
      </c>
      <c r="V381">
        <v>0</v>
      </c>
      <c r="W381">
        <v>0</v>
      </c>
      <c r="X381">
        <v>0</v>
      </c>
      <c r="Y381">
        <v>0</v>
      </c>
      <c r="Z381">
        <v>0</v>
      </c>
      <c r="AA381">
        <v>0</v>
      </c>
      <c r="AB381">
        <v>0</v>
      </c>
      <c r="AC381">
        <v>0</v>
      </c>
      <c r="AD381">
        <v>0</v>
      </c>
      <c r="AF381">
        <v>0</v>
      </c>
      <c r="AG381">
        <v>0</v>
      </c>
      <c r="AH381">
        <v>0</v>
      </c>
      <c r="AI381">
        <v>0</v>
      </c>
      <c r="AJ381">
        <v>0</v>
      </c>
      <c r="AK381">
        <v>0</v>
      </c>
      <c r="AL381">
        <v>0</v>
      </c>
      <c r="AM381">
        <v>0</v>
      </c>
      <c r="AN381">
        <v>0</v>
      </c>
      <c r="AO381">
        <v>0</v>
      </c>
      <c r="AP381">
        <v>0</v>
      </c>
      <c r="AQ381">
        <v>0</v>
      </c>
      <c r="AR381">
        <v>0</v>
      </c>
      <c r="AS381">
        <v>0</v>
      </c>
      <c r="AT381">
        <v>0</v>
      </c>
      <c r="AU381">
        <v>0</v>
      </c>
      <c r="AV381">
        <v>0</v>
      </c>
      <c r="AW381">
        <v>0</v>
      </c>
      <c r="AX381">
        <v>0</v>
      </c>
      <c r="AY381">
        <v>0</v>
      </c>
      <c r="AZ381">
        <v>0</v>
      </c>
      <c r="BA381">
        <v>0</v>
      </c>
      <c r="BB381">
        <v>0</v>
      </c>
      <c r="BC381">
        <v>0</v>
      </c>
      <c r="BD381">
        <v>0</v>
      </c>
      <c r="BE381">
        <v>0</v>
      </c>
      <c r="BF381">
        <v>0</v>
      </c>
      <c r="BG381">
        <v>0</v>
      </c>
      <c r="BH381">
        <v>0</v>
      </c>
      <c r="BI381">
        <v>0</v>
      </c>
      <c r="BK381" s="151"/>
    </row>
    <row r="382" spans="1:63" x14ac:dyDescent="0.35">
      <c r="A382">
        <v>0</v>
      </c>
      <c r="B382">
        <v>0</v>
      </c>
      <c r="C382">
        <v>0</v>
      </c>
      <c r="D382">
        <v>0</v>
      </c>
      <c r="E382">
        <v>0</v>
      </c>
      <c r="F382">
        <v>0</v>
      </c>
      <c r="G382">
        <v>0</v>
      </c>
      <c r="H382">
        <v>0</v>
      </c>
      <c r="I382">
        <v>0</v>
      </c>
      <c r="J382">
        <v>0</v>
      </c>
      <c r="K382">
        <v>0</v>
      </c>
      <c r="L382">
        <v>0</v>
      </c>
      <c r="M382">
        <v>0</v>
      </c>
      <c r="N382">
        <v>0</v>
      </c>
      <c r="O382">
        <v>0</v>
      </c>
      <c r="P382">
        <v>0</v>
      </c>
      <c r="Q382">
        <v>0</v>
      </c>
      <c r="R382">
        <v>0</v>
      </c>
      <c r="S382">
        <v>0</v>
      </c>
      <c r="T382">
        <v>0</v>
      </c>
      <c r="U382">
        <v>0</v>
      </c>
      <c r="V382">
        <v>0</v>
      </c>
      <c r="W382">
        <v>0</v>
      </c>
      <c r="X382">
        <v>0</v>
      </c>
      <c r="Y382">
        <v>0</v>
      </c>
      <c r="Z382">
        <v>0</v>
      </c>
      <c r="AA382">
        <v>0</v>
      </c>
      <c r="AB382">
        <v>0</v>
      </c>
      <c r="AC382">
        <v>0</v>
      </c>
      <c r="AD382">
        <v>0</v>
      </c>
      <c r="AF382">
        <v>0</v>
      </c>
      <c r="AG382">
        <v>0</v>
      </c>
      <c r="AH382">
        <v>0</v>
      </c>
      <c r="AI382">
        <v>0</v>
      </c>
      <c r="AJ382">
        <v>0</v>
      </c>
      <c r="AK382">
        <v>0</v>
      </c>
      <c r="AL382">
        <v>0</v>
      </c>
      <c r="AM382">
        <v>0</v>
      </c>
      <c r="AN382">
        <v>0</v>
      </c>
      <c r="AO382">
        <v>0</v>
      </c>
      <c r="AP382">
        <v>0</v>
      </c>
      <c r="AQ382">
        <v>0</v>
      </c>
      <c r="AR382">
        <v>0</v>
      </c>
      <c r="AS382">
        <v>0</v>
      </c>
      <c r="AT382">
        <v>0</v>
      </c>
      <c r="AU382">
        <v>0</v>
      </c>
      <c r="AV382">
        <v>0</v>
      </c>
      <c r="AW382">
        <v>0</v>
      </c>
      <c r="AX382">
        <v>0</v>
      </c>
      <c r="AY382">
        <v>0</v>
      </c>
      <c r="AZ382">
        <v>0</v>
      </c>
      <c r="BA382">
        <v>0</v>
      </c>
      <c r="BB382">
        <v>0</v>
      </c>
      <c r="BC382">
        <v>0</v>
      </c>
      <c r="BD382">
        <v>0</v>
      </c>
      <c r="BE382">
        <v>0</v>
      </c>
      <c r="BF382">
        <v>0</v>
      </c>
      <c r="BG382">
        <v>0</v>
      </c>
      <c r="BH382">
        <v>0</v>
      </c>
      <c r="BI382">
        <v>0</v>
      </c>
      <c r="BK382" s="151"/>
    </row>
    <row r="383" spans="1:63" x14ac:dyDescent="0.35">
      <c r="A383">
        <v>0</v>
      </c>
      <c r="B383">
        <v>0</v>
      </c>
      <c r="C383">
        <v>0</v>
      </c>
      <c r="D383">
        <v>0</v>
      </c>
      <c r="E383">
        <v>0</v>
      </c>
      <c r="F383">
        <v>0</v>
      </c>
      <c r="G383">
        <v>0</v>
      </c>
      <c r="H383">
        <v>0</v>
      </c>
      <c r="I383">
        <v>0</v>
      </c>
      <c r="J383">
        <v>0</v>
      </c>
      <c r="K383">
        <v>0</v>
      </c>
      <c r="L383">
        <v>0</v>
      </c>
      <c r="M383">
        <v>0</v>
      </c>
      <c r="N383">
        <v>0</v>
      </c>
      <c r="O383">
        <v>0</v>
      </c>
      <c r="P383">
        <v>0</v>
      </c>
      <c r="Q383">
        <v>0</v>
      </c>
      <c r="R383">
        <v>0</v>
      </c>
      <c r="S383">
        <v>0</v>
      </c>
      <c r="T383">
        <v>0</v>
      </c>
      <c r="U383">
        <v>0</v>
      </c>
      <c r="V383">
        <v>0</v>
      </c>
      <c r="W383">
        <v>0</v>
      </c>
      <c r="X383">
        <v>0</v>
      </c>
      <c r="Y383">
        <v>0</v>
      </c>
      <c r="Z383">
        <v>0</v>
      </c>
      <c r="AA383">
        <v>0</v>
      </c>
      <c r="AB383">
        <v>0</v>
      </c>
      <c r="AC383">
        <v>0</v>
      </c>
      <c r="AD383">
        <v>0</v>
      </c>
      <c r="AF383">
        <v>0</v>
      </c>
      <c r="AG383">
        <v>0</v>
      </c>
      <c r="AH383">
        <v>0</v>
      </c>
      <c r="AI383">
        <v>0</v>
      </c>
      <c r="AJ383">
        <v>0</v>
      </c>
      <c r="AK383">
        <v>0</v>
      </c>
      <c r="AL383">
        <v>0</v>
      </c>
      <c r="AM383">
        <v>0</v>
      </c>
      <c r="AN383">
        <v>0</v>
      </c>
      <c r="AO383">
        <v>0</v>
      </c>
      <c r="AP383">
        <v>0</v>
      </c>
      <c r="AQ383">
        <v>0</v>
      </c>
      <c r="AR383">
        <v>0</v>
      </c>
      <c r="AS383">
        <v>0</v>
      </c>
      <c r="AT383">
        <v>0</v>
      </c>
      <c r="AU383">
        <v>0</v>
      </c>
      <c r="AV383">
        <v>0</v>
      </c>
      <c r="AW383">
        <v>0</v>
      </c>
      <c r="AX383">
        <v>0</v>
      </c>
      <c r="AY383">
        <v>0</v>
      </c>
      <c r="AZ383">
        <v>0</v>
      </c>
      <c r="BA383">
        <v>0</v>
      </c>
      <c r="BB383">
        <v>0</v>
      </c>
      <c r="BC383">
        <v>0</v>
      </c>
      <c r="BD383">
        <v>0</v>
      </c>
      <c r="BE383">
        <v>0</v>
      </c>
      <c r="BF383">
        <v>0</v>
      </c>
      <c r="BG383">
        <v>0</v>
      </c>
      <c r="BH383">
        <v>0</v>
      </c>
      <c r="BI383">
        <v>0</v>
      </c>
      <c r="BK383" s="151"/>
    </row>
    <row r="384" spans="1:63" x14ac:dyDescent="0.35">
      <c r="A384">
        <v>0</v>
      </c>
      <c r="B384">
        <v>0</v>
      </c>
      <c r="C384">
        <v>0</v>
      </c>
      <c r="D384">
        <v>0</v>
      </c>
      <c r="E384">
        <v>0</v>
      </c>
      <c r="F384">
        <v>0</v>
      </c>
      <c r="G384">
        <v>0</v>
      </c>
      <c r="H384">
        <v>0</v>
      </c>
      <c r="I384">
        <v>0</v>
      </c>
      <c r="J384">
        <v>0</v>
      </c>
      <c r="K384">
        <v>0</v>
      </c>
      <c r="L384">
        <v>0</v>
      </c>
      <c r="M384">
        <v>0</v>
      </c>
      <c r="N384">
        <v>0</v>
      </c>
      <c r="O384">
        <v>0</v>
      </c>
      <c r="P384">
        <v>0</v>
      </c>
      <c r="Q384">
        <v>0</v>
      </c>
      <c r="R384">
        <v>0</v>
      </c>
      <c r="S384">
        <v>0</v>
      </c>
      <c r="T384">
        <v>0</v>
      </c>
      <c r="U384">
        <v>0</v>
      </c>
      <c r="V384">
        <v>0</v>
      </c>
      <c r="W384">
        <v>0</v>
      </c>
      <c r="X384">
        <v>0</v>
      </c>
      <c r="Y384">
        <v>0</v>
      </c>
      <c r="Z384">
        <v>0</v>
      </c>
      <c r="AA384">
        <v>0</v>
      </c>
      <c r="AB384">
        <v>0</v>
      </c>
      <c r="AC384">
        <v>0</v>
      </c>
      <c r="AD384">
        <v>0</v>
      </c>
      <c r="AF384">
        <v>0</v>
      </c>
      <c r="AG384">
        <v>0</v>
      </c>
      <c r="AH384">
        <v>0</v>
      </c>
      <c r="AI384">
        <v>0</v>
      </c>
      <c r="AJ384">
        <v>0</v>
      </c>
      <c r="AK384">
        <v>0</v>
      </c>
      <c r="AL384">
        <v>0</v>
      </c>
      <c r="AM384">
        <v>0</v>
      </c>
      <c r="AN384">
        <v>0</v>
      </c>
      <c r="AO384">
        <v>0</v>
      </c>
      <c r="AP384">
        <v>0</v>
      </c>
      <c r="AQ384">
        <v>0</v>
      </c>
      <c r="AR384">
        <v>0</v>
      </c>
      <c r="AS384">
        <v>0</v>
      </c>
      <c r="AT384">
        <v>0</v>
      </c>
      <c r="AU384">
        <v>0</v>
      </c>
      <c r="AV384">
        <v>0</v>
      </c>
      <c r="AW384">
        <v>0</v>
      </c>
      <c r="AX384">
        <v>0</v>
      </c>
      <c r="AY384">
        <v>0</v>
      </c>
      <c r="AZ384">
        <v>0</v>
      </c>
      <c r="BA384">
        <v>0</v>
      </c>
      <c r="BB384">
        <v>0</v>
      </c>
      <c r="BC384">
        <v>0</v>
      </c>
      <c r="BD384">
        <v>0</v>
      </c>
      <c r="BE384">
        <v>0</v>
      </c>
      <c r="BF384">
        <v>0</v>
      </c>
      <c r="BG384">
        <v>0</v>
      </c>
      <c r="BH384">
        <v>0</v>
      </c>
      <c r="BI384">
        <v>0</v>
      </c>
      <c r="BK384" s="151"/>
    </row>
    <row r="385" spans="1:63" x14ac:dyDescent="0.35">
      <c r="A385">
        <v>0</v>
      </c>
      <c r="B385">
        <v>0</v>
      </c>
      <c r="C385">
        <v>0</v>
      </c>
      <c r="D385">
        <v>0</v>
      </c>
      <c r="E385">
        <v>0</v>
      </c>
      <c r="F385">
        <v>0</v>
      </c>
      <c r="G385">
        <v>0</v>
      </c>
      <c r="H385">
        <v>0</v>
      </c>
      <c r="I385">
        <v>0</v>
      </c>
      <c r="J385">
        <v>0</v>
      </c>
      <c r="K385">
        <v>0</v>
      </c>
      <c r="L385">
        <v>0</v>
      </c>
      <c r="M385">
        <v>0</v>
      </c>
      <c r="N385">
        <v>0</v>
      </c>
      <c r="O385">
        <v>0</v>
      </c>
      <c r="P385">
        <v>0</v>
      </c>
      <c r="Q385">
        <v>0</v>
      </c>
      <c r="R385">
        <v>0</v>
      </c>
      <c r="S385">
        <v>0</v>
      </c>
      <c r="T385">
        <v>0</v>
      </c>
      <c r="U385">
        <v>0</v>
      </c>
      <c r="V385">
        <v>0</v>
      </c>
      <c r="W385">
        <v>0</v>
      </c>
      <c r="X385">
        <v>0</v>
      </c>
      <c r="Y385">
        <v>0</v>
      </c>
      <c r="Z385">
        <v>0</v>
      </c>
      <c r="AA385">
        <v>0</v>
      </c>
      <c r="AB385">
        <v>0</v>
      </c>
      <c r="AC385">
        <v>0</v>
      </c>
      <c r="AD385">
        <v>0</v>
      </c>
      <c r="AF385">
        <v>0</v>
      </c>
      <c r="AG385">
        <v>0</v>
      </c>
      <c r="AH385">
        <v>0</v>
      </c>
      <c r="AI385">
        <v>0</v>
      </c>
      <c r="AJ385">
        <v>0</v>
      </c>
      <c r="AK385">
        <v>0</v>
      </c>
      <c r="AL385">
        <v>0</v>
      </c>
      <c r="AM385">
        <v>0</v>
      </c>
      <c r="AN385">
        <v>0</v>
      </c>
      <c r="AO385">
        <v>0</v>
      </c>
      <c r="AP385">
        <v>0</v>
      </c>
      <c r="AQ385">
        <v>0</v>
      </c>
      <c r="AR385">
        <v>0</v>
      </c>
      <c r="AS385">
        <v>0</v>
      </c>
      <c r="AT385">
        <v>0</v>
      </c>
      <c r="AU385">
        <v>0</v>
      </c>
      <c r="AV385">
        <v>0</v>
      </c>
      <c r="AW385">
        <v>0</v>
      </c>
      <c r="AX385">
        <v>0</v>
      </c>
      <c r="AY385">
        <v>0</v>
      </c>
      <c r="AZ385">
        <v>0</v>
      </c>
      <c r="BA385">
        <v>0</v>
      </c>
      <c r="BB385">
        <v>0</v>
      </c>
      <c r="BC385">
        <v>0</v>
      </c>
      <c r="BD385">
        <v>0</v>
      </c>
      <c r="BE385">
        <v>0</v>
      </c>
      <c r="BF385">
        <v>0</v>
      </c>
      <c r="BG385">
        <v>0</v>
      </c>
      <c r="BH385">
        <v>0</v>
      </c>
      <c r="BI385">
        <v>0</v>
      </c>
      <c r="BK385" s="151"/>
    </row>
    <row r="386" spans="1:63" x14ac:dyDescent="0.35">
      <c r="A386">
        <v>0</v>
      </c>
      <c r="B386">
        <v>0</v>
      </c>
      <c r="C386">
        <v>0</v>
      </c>
      <c r="D386">
        <v>0</v>
      </c>
      <c r="E386">
        <v>0</v>
      </c>
      <c r="F386">
        <v>0</v>
      </c>
      <c r="G386">
        <v>0</v>
      </c>
      <c r="H386">
        <v>0</v>
      </c>
      <c r="I386">
        <v>0</v>
      </c>
      <c r="J386">
        <v>0</v>
      </c>
      <c r="K386">
        <v>0</v>
      </c>
      <c r="L386">
        <v>0</v>
      </c>
      <c r="M386">
        <v>0</v>
      </c>
      <c r="N386">
        <v>0</v>
      </c>
      <c r="O386">
        <v>0</v>
      </c>
      <c r="P386">
        <v>0</v>
      </c>
      <c r="Q386">
        <v>0</v>
      </c>
      <c r="R386">
        <v>0</v>
      </c>
      <c r="S386">
        <v>0</v>
      </c>
      <c r="T386">
        <v>0</v>
      </c>
      <c r="U386">
        <v>0</v>
      </c>
      <c r="V386">
        <v>0</v>
      </c>
      <c r="W386">
        <v>0</v>
      </c>
      <c r="X386">
        <v>0</v>
      </c>
      <c r="Y386">
        <v>0</v>
      </c>
      <c r="Z386">
        <v>0</v>
      </c>
      <c r="AA386">
        <v>0</v>
      </c>
      <c r="AB386">
        <v>0</v>
      </c>
      <c r="AC386">
        <v>0</v>
      </c>
      <c r="AD386">
        <v>0</v>
      </c>
      <c r="AF386">
        <v>0</v>
      </c>
      <c r="AG386">
        <v>0</v>
      </c>
      <c r="AH386">
        <v>0</v>
      </c>
      <c r="AI386">
        <v>0</v>
      </c>
      <c r="AJ386">
        <v>0</v>
      </c>
      <c r="AK386">
        <v>0</v>
      </c>
      <c r="AL386">
        <v>0</v>
      </c>
      <c r="AM386">
        <v>0</v>
      </c>
      <c r="AN386">
        <v>0</v>
      </c>
      <c r="AO386">
        <v>0</v>
      </c>
      <c r="AP386">
        <v>0</v>
      </c>
      <c r="AQ386">
        <v>0</v>
      </c>
      <c r="AR386">
        <v>0</v>
      </c>
      <c r="AS386">
        <v>0</v>
      </c>
      <c r="AT386">
        <v>0</v>
      </c>
      <c r="AU386">
        <v>0</v>
      </c>
      <c r="AV386">
        <v>0</v>
      </c>
      <c r="AW386">
        <v>0</v>
      </c>
      <c r="AX386">
        <v>0</v>
      </c>
      <c r="AY386">
        <v>0</v>
      </c>
      <c r="AZ386">
        <v>0</v>
      </c>
      <c r="BA386">
        <v>0</v>
      </c>
      <c r="BB386">
        <v>0</v>
      </c>
      <c r="BC386">
        <v>0</v>
      </c>
      <c r="BD386">
        <v>0</v>
      </c>
      <c r="BE386">
        <v>0</v>
      </c>
      <c r="BF386">
        <v>0</v>
      </c>
      <c r="BG386">
        <v>0</v>
      </c>
      <c r="BH386">
        <v>0</v>
      </c>
      <c r="BI386">
        <v>0</v>
      </c>
      <c r="BK386" s="151"/>
    </row>
    <row r="387" spans="1:63" x14ac:dyDescent="0.35">
      <c r="A387">
        <v>0</v>
      </c>
      <c r="B387">
        <v>0</v>
      </c>
      <c r="C387">
        <v>0</v>
      </c>
      <c r="D387">
        <v>0</v>
      </c>
      <c r="E387">
        <v>0</v>
      </c>
      <c r="F387">
        <v>0</v>
      </c>
      <c r="G387">
        <v>0</v>
      </c>
      <c r="H387">
        <v>0</v>
      </c>
      <c r="I387">
        <v>0</v>
      </c>
      <c r="J387">
        <v>0</v>
      </c>
      <c r="K387">
        <v>0</v>
      </c>
      <c r="L387">
        <v>0</v>
      </c>
      <c r="M387">
        <v>0</v>
      </c>
      <c r="N387">
        <v>0</v>
      </c>
      <c r="O387">
        <v>0</v>
      </c>
      <c r="P387">
        <v>0</v>
      </c>
      <c r="Q387">
        <v>0</v>
      </c>
      <c r="R387">
        <v>0</v>
      </c>
      <c r="S387">
        <v>0</v>
      </c>
      <c r="T387">
        <v>0</v>
      </c>
      <c r="U387">
        <v>0</v>
      </c>
      <c r="V387">
        <v>0</v>
      </c>
      <c r="W387">
        <v>0</v>
      </c>
      <c r="X387">
        <v>0</v>
      </c>
      <c r="Y387">
        <v>0</v>
      </c>
      <c r="Z387">
        <v>0</v>
      </c>
      <c r="AA387">
        <v>0</v>
      </c>
      <c r="AB387">
        <v>0</v>
      </c>
      <c r="AC387">
        <v>0</v>
      </c>
      <c r="AD387">
        <v>0</v>
      </c>
      <c r="AF387">
        <v>0</v>
      </c>
      <c r="AG387">
        <v>0</v>
      </c>
      <c r="AH387">
        <v>0</v>
      </c>
      <c r="AI387">
        <v>0</v>
      </c>
      <c r="AJ387">
        <v>0</v>
      </c>
      <c r="AK387">
        <v>0</v>
      </c>
      <c r="AL387">
        <v>0</v>
      </c>
      <c r="AM387">
        <v>0</v>
      </c>
      <c r="AN387">
        <v>0</v>
      </c>
      <c r="AO387">
        <v>0</v>
      </c>
      <c r="AP387">
        <v>0</v>
      </c>
      <c r="AQ387">
        <v>0</v>
      </c>
      <c r="AR387">
        <v>0</v>
      </c>
      <c r="AS387">
        <v>0</v>
      </c>
      <c r="AT387">
        <v>0</v>
      </c>
      <c r="AU387">
        <v>0</v>
      </c>
      <c r="AV387">
        <v>0</v>
      </c>
      <c r="AW387">
        <v>0</v>
      </c>
      <c r="AX387">
        <v>0</v>
      </c>
      <c r="AY387">
        <v>0</v>
      </c>
      <c r="AZ387">
        <v>0</v>
      </c>
      <c r="BA387">
        <v>0</v>
      </c>
      <c r="BB387">
        <v>0</v>
      </c>
      <c r="BC387">
        <v>0</v>
      </c>
      <c r="BD387">
        <v>0</v>
      </c>
      <c r="BE387">
        <v>0</v>
      </c>
      <c r="BF387">
        <v>0</v>
      </c>
      <c r="BG387">
        <v>0</v>
      </c>
      <c r="BH387">
        <v>0</v>
      </c>
      <c r="BI387">
        <v>0</v>
      </c>
      <c r="BK387" s="151"/>
    </row>
    <row r="388" spans="1:63" x14ac:dyDescent="0.35">
      <c r="A388">
        <v>0</v>
      </c>
      <c r="B388">
        <v>0</v>
      </c>
      <c r="C388">
        <v>0</v>
      </c>
      <c r="D388">
        <v>0</v>
      </c>
      <c r="E388">
        <v>0</v>
      </c>
      <c r="F388">
        <v>0</v>
      </c>
      <c r="G388">
        <v>0</v>
      </c>
      <c r="H388">
        <v>0</v>
      </c>
      <c r="I388">
        <v>0</v>
      </c>
      <c r="J388">
        <v>0</v>
      </c>
      <c r="K388">
        <v>0</v>
      </c>
      <c r="L388">
        <v>0</v>
      </c>
      <c r="M388">
        <v>0</v>
      </c>
      <c r="N388">
        <v>0</v>
      </c>
      <c r="O388">
        <v>0</v>
      </c>
      <c r="P388">
        <v>0</v>
      </c>
      <c r="Q388">
        <v>0</v>
      </c>
      <c r="R388">
        <v>0</v>
      </c>
      <c r="S388">
        <v>0</v>
      </c>
      <c r="T388">
        <v>0</v>
      </c>
      <c r="U388">
        <v>0</v>
      </c>
      <c r="V388">
        <v>0</v>
      </c>
      <c r="W388">
        <v>0</v>
      </c>
      <c r="X388">
        <v>0</v>
      </c>
      <c r="Y388">
        <v>0</v>
      </c>
      <c r="Z388">
        <v>0</v>
      </c>
      <c r="AA388">
        <v>0</v>
      </c>
      <c r="AB388">
        <v>0</v>
      </c>
      <c r="AC388">
        <v>0</v>
      </c>
      <c r="AD388">
        <v>0</v>
      </c>
      <c r="AF388">
        <v>0</v>
      </c>
      <c r="AG388">
        <v>0</v>
      </c>
      <c r="AH388">
        <v>0</v>
      </c>
      <c r="AI388">
        <v>0</v>
      </c>
      <c r="AJ388">
        <v>0</v>
      </c>
      <c r="AK388">
        <v>0</v>
      </c>
      <c r="AL388">
        <v>0</v>
      </c>
      <c r="AM388">
        <v>0</v>
      </c>
      <c r="AN388">
        <v>0</v>
      </c>
      <c r="AO388">
        <v>0</v>
      </c>
      <c r="AP388">
        <v>0</v>
      </c>
      <c r="AQ388">
        <v>0</v>
      </c>
      <c r="AR388">
        <v>0</v>
      </c>
      <c r="AS388">
        <v>0</v>
      </c>
      <c r="AT388">
        <v>0</v>
      </c>
      <c r="AU388">
        <v>0</v>
      </c>
      <c r="AV388">
        <v>0</v>
      </c>
      <c r="AW388">
        <v>0</v>
      </c>
      <c r="AX388">
        <v>0</v>
      </c>
      <c r="AY388">
        <v>0</v>
      </c>
      <c r="AZ388">
        <v>0</v>
      </c>
      <c r="BA388">
        <v>0</v>
      </c>
      <c r="BB388">
        <v>0</v>
      </c>
      <c r="BC388">
        <v>0</v>
      </c>
      <c r="BD388">
        <v>0</v>
      </c>
      <c r="BE388">
        <v>0</v>
      </c>
      <c r="BF388">
        <v>0</v>
      </c>
      <c r="BG388">
        <v>0</v>
      </c>
      <c r="BH388">
        <v>0</v>
      </c>
      <c r="BI388">
        <v>0</v>
      </c>
      <c r="BK388" s="151"/>
    </row>
    <row r="389" spans="1:63" x14ac:dyDescent="0.35">
      <c r="A389">
        <v>0</v>
      </c>
      <c r="B389">
        <v>0</v>
      </c>
      <c r="C389">
        <v>0</v>
      </c>
      <c r="D389">
        <v>0</v>
      </c>
      <c r="E389">
        <v>0</v>
      </c>
      <c r="F389">
        <v>0</v>
      </c>
      <c r="G389">
        <v>0</v>
      </c>
      <c r="H389">
        <v>0</v>
      </c>
      <c r="I389">
        <v>0</v>
      </c>
      <c r="J389">
        <v>0</v>
      </c>
      <c r="K389">
        <v>0</v>
      </c>
      <c r="L389">
        <v>0</v>
      </c>
      <c r="M389">
        <v>0</v>
      </c>
      <c r="N389">
        <v>0</v>
      </c>
      <c r="O389">
        <v>0</v>
      </c>
      <c r="P389">
        <v>0</v>
      </c>
      <c r="Q389">
        <v>0</v>
      </c>
      <c r="R389">
        <v>0</v>
      </c>
      <c r="S389">
        <v>0</v>
      </c>
      <c r="T389">
        <v>0</v>
      </c>
      <c r="U389">
        <v>0</v>
      </c>
      <c r="V389">
        <v>0</v>
      </c>
      <c r="W389">
        <v>0</v>
      </c>
      <c r="X389">
        <v>0</v>
      </c>
      <c r="Y389">
        <v>0</v>
      </c>
      <c r="Z389">
        <v>0</v>
      </c>
      <c r="AA389">
        <v>0</v>
      </c>
      <c r="AB389">
        <v>0</v>
      </c>
      <c r="AC389">
        <v>0</v>
      </c>
      <c r="AD389">
        <v>0</v>
      </c>
      <c r="AF389">
        <v>0</v>
      </c>
      <c r="AG389">
        <v>0</v>
      </c>
      <c r="AH389">
        <v>0</v>
      </c>
      <c r="AI389">
        <v>0</v>
      </c>
      <c r="AJ389">
        <v>0</v>
      </c>
      <c r="AK389">
        <v>0</v>
      </c>
      <c r="AL389">
        <v>0</v>
      </c>
      <c r="AM389">
        <v>0</v>
      </c>
      <c r="AN389">
        <v>0</v>
      </c>
      <c r="AO389">
        <v>0</v>
      </c>
      <c r="AP389">
        <v>0</v>
      </c>
      <c r="AQ389">
        <v>0</v>
      </c>
      <c r="AR389">
        <v>0</v>
      </c>
      <c r="AS389">
        <v>0</v>
      </c>
      <c r="AT389">
        <v>0</v>
      </c>
      <c r="AU389">
        <v>0</v>
      </c>
      <c r="AV389">
        <v>0</v>
      </c>
      <c r="AW389">
        <v>0</v>
      </c>
      <c r="AX389">
        <v>0</v>
      </c>
      <c r="AY389">
        <v>0</v>
      </c>
      <c r="AZ389">
        <v>0</v>
      </c>
      <c r="BA389">
        <v>0</v>
      </c>
      <c r="BB389">
        <v>0</v>
      </c>
      <c r="BC389">
        <v>0</v>
      </c>
      <c r="BD389">
        <v>0</v>
      </c>
      <c r="BE389">
        <v>0</v>
      </c>
      <c r="BF389">
        <v>0</v>
      </c>
      <c r="BG389">
        <v>0</v>
      </c>
      <c r="BH389">
        <v>0</v>
      </c>
      <c r="BI389">
        <v>0</v>
      </c>
      <c r="BK389" s="151"/>
    </row>
    <row r="390" spans="1:63" x14ac:dyDescent="0.35">
      <c r="A390">
        <v>0</v>
      </c>
      <c r="B390">
        <v>0</v>
      </c>
      <c r="C390">
        <v>0</v>
      </c>
      <c r="D390">
        <v>0</v>
      </c>
      <c r="E390">
        <v>0</v>
      </c>
      <c r="F390">
        <v>0</v>
      </c>
      <c r="G390">
        <v>0</v>
      </c>
      <c r="H390">
        <v>0</v>
      </c>
      <c r="I390">
        <v>0</v>
      </c>
      <c r="J390">
        <v>0</v>
      </c>
      <c r="K390">
        <v>0</v>
      </c>
      <c r="L390">
        <v>0</v>
      </c>
      <c r="M390">
        <v>0</v>
      </c>
      <c r="N390">
        <v>0</v>
      </c>
      <c r="O390">
        <v>0</v>
      </c>
      <c r="P390">
        <v>0</v>
      </c>
      <c r="Q390">
        <v>0</v>
      </c>
      <c r="R390">
        <v>0</v>
      </c>
      <c r="S390">
        <v>0</v>
      </c>
      <c r="T390">
        <v>0</v>
      </c>
      <c r="U390">
        <v>0</v>
      </c>
      <c r="V390">
        <v>0</v>
      </c>
      <c r="W390">
        <v>0</v>
      </c>
      <c r="X390">
        <v>0</v>
      </c>
      <c r="Y390">
        <v>0</v>
      </c>
      <c r="Z390">
        <v>0</v>
      </c>
      <c r="AA390">
        <v>0</v>
      </c>
      <c r="AB390">
        <v>0</v>
      </c>
      <c r="AC390">
        <v>0</v>
      </c>
      <c r="AD390">
        <v>0</v>
      </c>
      <c r="AF390">
        <v>0</v>
      </c>
      <c r="AG390">
        <v>0</v>
      </c>
      <c r="AH390">
        <v>0</v>
      </c>
      <c r="AI390">
        <v>0</v>
      </c>
      <c r="AJ390">
        <v>0</v>
      </c>
      <c r="AK390">
        <v>0</v>
      </c>
      <c r="AL390">
        <v>0</v>
      </c>
      <c r="AM390">
        <v>0</v>
      </c>
      <c r="AN390">
        <v>0</v>
      </c>
      <c r="AO390">
        <v>0</v>
      </c>
      <c r="AP390">
        <v>0</v>
      </c>
      <c r="AQ390">
        <v>0</v>
      </c>
      <c r="AR390">
        <v>0</v>
      </c>
      <c r="AS390">
        <v>0</v>
      </c>
      <c r="AT390">
        <v>0</v>
      </c>
      <c r="AU390">
        <v>0</v>
      </c>
      <c r="AV390">
        <v>0</v>
      </c>
      <c r="AW390">
        <v>0</v>
      </c>
      <c r="AX390">
        <v>0</v>
      </c>
      <c r="AY390">
        <v>0</v>
      </c>
      <c r="AZ390">
        <v>0</v>
      </c>
      <c r="BA390">
        <v>0</v>
      </c>
      <c r="BB390">
        <v>0</v>
      </c>
      <c r="BC390">
        <v>0</v>
      </c>
      <c r="BD390">
        <v>0</v>
      </c>
      <c r="BE390">
        <v>0</v>
      </c>
      <c r="BF390">
        <v>0</v>
      </c>
      <c r="BG390">
        <v>0</v>
      </c>
      <c r="BH390">
        <v>0</v>
      </c>
      <c r="BI390">
        <v>0</v>
      </c>
      <c r="BK390" s="151"/>
    </row>
    <row r="391" spans="1:63" x14ac:dyDescent="0.35">
      <c r="A391">
        <v>0</v>
      </c>
      <c r="B391">
        <v>0</v>
      </c>
      <c r="C391">
        <v>0</v>
      </c>
      <c r="D391">
        <v>0</v>
      </c>
      <c r="E391">
        <v>0</v>
      </c>
      <c r="F391">
        <v>0</v>
      </c>
      <c r="G391">
        <v>0</v>
      </c>
      <c r="H391">
        <v>0</v>
      </c>
      <c r="I391">
        <v>0</v>
      </c>
      <c r="J391">
        <v>0</v>
      </c>
      <c r="K391">
        <v>0</v>
      </c>
      <c r="L391">
        <v>0</v>
      </c>
      <c r="M391">
        <v>0</v>
      </c>
      <c r="N391">
        <v>0</v>
      </c>
      <c r="O391">
        <v>0</v>
      </c>
      <c r="P391">
        <v>0</v>
      </c>
      <c r="Q391">
        <v>0</v>
      </c>
      <c r="R391">
        <v>0</v>
      </c>
      <c r="S391">
        <v>0</v>
      </c>
      <c r="T391">
        <v>0</v>
      </c>
      <c r="U391">
        <v>0</v>
      </c>
      <c r="V391">
        <v>0</v>
      </c>
      <c r="W391">
        <v>0</v>
      </c>
      <c r="X391">
        <v>0</v>
      </c>
      <c r="Y391">
        <v>0</v>
      </c>
      <c r="Z391">
        <v>0</v>
      </c>
      <c r="AA391">
        <v>0</v>
      </c>
      <c r="AB391">
        <v>0</v>
      </c>
      <c r="AC391">
        <v>0</v>
      </c>
      <c r="AD391">
        <v>0</v>
      </c>
      <c r="AF391">
        <v>0</v>
      </c>
      <c r="AG391">
        <v>0</v>
      </c>
      <c r="AH391">
        <v>0</v>
      </c>
      <c r="AI391">
        <v>0</v>
      </c>
      <c r="AJ391">
        <v>0</v>
      </c>
      <c r="AK391">
        <v>0</v>
      </c>
      <c r="AL391">
        <v>0</v>
      </c>
      <c r="AM391">
        <v>0</v>
      </c>
      <c r="AN391">
        <v>0</v>
      </c>
      <c r="AO391">
        <v>0</v>
      </c>
      <c r="AP391">
        <v>0</v>
      </c>
      <c r="AQ391">
        <v>0</v>
      </c>
      <c r="AR391">
        <v>0</v>
      </c>
      <c r="AS391">
        <v>0</v>
      </c>
      <c r="AT391">
        <v>0</v>
      </c>
      <c r="AU391">
        <v>0</v>
      </c>
      <c r="AV391">
        <v>0</v>
      </c>
      <c r="AW391">
        <v>0</v>
      </c>
      <c r="AX391">
        <v>0</v>
      </c>
      <c r="AY391">
        <v>0</v>
      </c>
      <c r="AZ391">
        <v>0</v>
      </c>
      <c r="BA391">
        <v>0</v>
      </c>
      <c r="BB391">
        <v>0</v>
      </c>
      <c r="BC391">
        <v>0</v>
      </c>
      <c r="BD391">
        <v>0</v>
      </c>
      <c r="BE391">
        <v>0</v>
      </c>
      <c r="BF391">
        <v>0</v>
      </c>
      <c r="BG391">
        <v>0</v>
      </c>
      <c r="BH391">
        <v>0</v>
      </c>
      <c r="BI391">
        <v>0</v>
      </c>
      <c r="BK391" s="151"/>
    </row>
    <row r="392" spans="1:63" x14ac:dyDescent="0.35">
      <c r="A392">
        <v>0</v>
      </c>
      <c r="B392">
        <v>0</v>
      </c>
      <c r="C392">
        <v>0</v>
      </c>
      <c r="D392">
        <v>0</v>
      </c>
      <c r="E392">
        <v>0</v>
      </c>
      <c r="F392">
        <v>0</v>
      </c>
      <c r="G392">
        <v>0</v>
      </c>
      <c r="H392">
        <v>0</v>
      </c>
      <c r="I392">
        <v>0</v>
      </c>
      <c r="J392">
        <v>0</v>
      </c>
      <c r="K392">
        <v>0</v>
      </c>
      <c r="L392">
        <v>0</v>
      </c>
      <c r="M392">
        <v>0</v>
      </c>
      <c r="N392">
        <v>0</v>
      </c>
      <c r="O392">
        <v>0</v>
      </c>
      <c r="P392">
        <v>0</v>
      </c>
      <c r="Q392">
        <v>0</v>
      </c>
      <c r="R392">
        <v>0</v>
      </c>
      <c r="S392">
        <v>0</v>
      </c>
      <c r="T392">
        <v>0</v>
      </c>
      <c r="U392">
        <v>0</v>
      </c>
      <c r="V392">
        <v>0</v>
      </c>
      <c r="W392">
        <v>0</v>
      </c>
      <c r="X392">
        <v>0</v>
      </c>
      <c r="Y392">
        <v>0</v>
      </c>
      <c r="Z392">
        <v>0</v>
      </c>
      <c r="AA392">
        <v>0</v>
      </c>
      <c r="AB392">
        <v>0</v>
      </c>
      <c r="AC392">
        <v>0</v>
      </c>
      <c r="AD392">
        <v>0</v>
      </c>
      <c r="AF392">
        <v>0</v>
      </c>
      <c r="AG392">
        <v>0</v>
      </c>
      <c r="AH392">
        <v>0</v>
      </c>
      <c r="AI392">
        <v>0</v>
      </c>
      <c r="AJ392">
        <v>0</v>
      </c>
      <c r="AK392">
        <v>0</v>
      </c>
      <c r="AL392">
        <v>0</v>
      </c>
      <c r="AM392">
        <v>0</v>
      </c>
      <c r="AN392">
        <v>0</v>
      </c>
      <c r="AO392">
        <v>0</v>
      </c>
      <c r="AP392">
        <v>0</v>
      </c>
      <c r="AQ392">
        <v>0</v>
      </c>
      <c r="AR392">
        <v>0</v>
      </c>
      <c r="AS392">
        <v>0</v>
      </c>
      <c r="AT392">
        <v>0</v>
      </c>
      <c r="AU392">
        <v>0</v>
      </c>
      <c r="AV392">
        <v>0</v>
      </c>
      <c r="AW392">
        <v>0</v>
      </c>
      <c r="AX392">
        <v>0</v>
      </c>
      <c r="AY392">
        <v>0</v>
      </c>
      <c r="AZ392">
        <v>0</v>
      </c>
      <c r="BA392">
        <v>0</v>
      </c>
      <c r="BB392">
        <v>0</v>
      </c>
      <c r="BC392">
        <v>0</v>
      </c>
      <c r="BD392">
        <v>0</v>
      </c>
      <c r="BE392">
        <v>0</v>
      </c>
      <c r="BF392">
        <v>0</v>
      </c>
      <c r="BG392">
        <v>0</v>
      </c>
      <c r="BH392">
        <v>0</v>
      </c>
      <c r="BI392">
        <v>0</v>
      </c>
      <c r="BK392" s="151"/>
    </row>
    <row r="393" spans="1:63" x14ac:dyDescent="0.35">
      <c r="A393">
        <v>0</v>
      </c>
      <c r="B393">
        <v>0</v>
      </c>
      <c r="C393">
        <v>0</v>
      </c>
      <c r="D393">
        <v>0</v>
      </c>
      <c r="E393">
        <v>0</v>
      </c>
      <c r="F393">
        <v>0</v>
      </c>
      <c r="G393">
        <v>0</v>
      </c>
      <c r="H393">
        <v>0</v>
      </c>
      <c r="I393">
        <v>0</v>
      </c>
      <c r="J393">
        <v>0</v>
      </c>
      <c r="K393">
        <v>0</v>
      </c>
      <c r="L393">
        <v>0</v>
      </c>
      <c r="M393">
        <v>0</v>
      </c>
      <c r="N393">
        <v>0</v>
      </c>
      <c r="O393">
        <v>0</v>
      </c>
      <c r="P393">
        <v>0</v>
      </c>
      <c r="Q393">
        <v>0</v>
      </c>
      <c r="R393">
        <v>0</v>
      </c>
      <c r="S393">
        <v>0</v>
      </c>
      <c r="T393">
        <v>0</v>
      </c>
      <c r="U393">
        <v>0</v>
      </c>
      <c r="V393">
        <v>0</v>
      </c>
      <c r="W393">
        <v>0</v>
      </c>
      <c r="X393">
        <v>0</v>
      </c>
      <c r="Y393">
        <v>0</v>
      </c>
      <c r="Z393">
        <v>0</v>
      </c>
      <c r="AA393">
        <v>0</v>
      </c>
      <c r="AB393">
        <v>0</v>
      </c>
      <c r="AC393">
        <v>0</v>
      </c>
      <c r="AD393">
        <v>0</v>
      </c>
      <c r="AF393">
        <v>0</v>
      </c>
      <c r="AG393">
        <v>0</v>
      </c>
      <c r="AH393">
        <v>0</v>
      </c>
      <c r="AI393">
        <v>0</v>
      </c>
      <c r="AJ393">
        <v>0</v>
      </c>
      <c r="AK393">
        <v>0</v>
      </c>
      <c r="AL393">
        <v>0</v>
      </c>
      <c r="AM393">
        <v>0</v>
      </c>
      <c r="AN393">
        <v>0</v>
      </c>
      <c r="AO393">
        <v>0</v>
      </c>
      <c r="AP393">
        <v>0</v>
      </c>
      <c r="AQ393">
        <v>0</v>
      </c>
      <c r="AR393">
        <v>0</v>
      </c>
      <c r="AS393">
        <v>0</v>
      </c>
      <c r="AT393">
        <v>0</v>
      </c>
      <c r="AU393">
        <v>0</v>
      </c>
      <c r="AV393">
        <v>0</v>
      </c>
      <c r="AW393">
        <v>0</v>
      </c>
      <c r="AX393">
        <v>0</v>
      </c>
      <c r="AY393">
        <v>0</v>
      </c>
      <c r="AZ393">
        <v>0</v>
      </c>
      <c r="BA393">
        <v>0</v>
      </c>
      <c r="BB393">
        <v>0</v>
      </c>
      <c r="BC393">
        <v>0</v>
      </c>
      <c r="BD393">
        <v>0</v>
      </c>
      <c r="BE393">
        <v>0</v>
      </c>
      <c r="BF393">
        <v>0</v>
      </c>
      <c r="BG393">
        <v>0</v>
      </c>
      <c r="BH393">
        <v>0</v>
      </c>
      <c r="BI393">
        <v>0</v>
      </c>
      <c r="BK393" s="151"/>
    </row>
    <row r="394" spans="1:63" x14ac:dyDescent="0.35">
      <c r="A394">
        <v>0</v>
      </c>
      <c r="B394">
        <v>0</v>
      </c>
      <c r="C394">
        <v>0</v>
      </c>
      <c r="D394">
        <v>0</v>
      </c>
      <c r="E394">
        <v>0</v>
      </c>
      <c r="F394">
        <v>0</v>
      </c>
      <c r="G394">
        <v>0</v>
      </c>
      <c r="H394">
        <v>0</v>
      </c>
      <c r="I394">
        <v>0</v>
      </c>
      <c r="J394">
        <v>0</v>
      </c>
      <c r="K394">
        <v>0</v>
      </c>
      <c r="L394">
        <v>0</v>
      </c>
      <c r="M394">
        <v>0</v>
      </c>
      <c r="N394">
        <v>0</v>
      </c>
      <c r="O394">
        <v>0</v>
      </c>
      <c r="P394">
        <v>0</v>
      </c>
      <c r="Q394">
        <v>0</v>
      </c>
      <c r="R394">
        <v>0</v>
      </c>
      <c r="S394">
        <v>0</v>
      </c>
      <c r="T394">
        <v>0</v>
      </c>
      <c r="U394">
        <v>0</v>
      </c>
      <c r="V394">
        <v>0</v>
      </c>
      <c r="W394">
        <v>0</v>
      </c>
      <c r="X394">
        <v>0</v>
      </c>
      <c r="Y394">
        <v>0</v>
      </c>
      <c r="Z394">
        <v>0</v>
      </c>
      <c r="AA394">
        <v>0</v>
      </c>
      <c r="AB394">
        <v>0</v>
      </c>
      <c r="AC394">
        <v>0</v>
      </c>
      <c r="AD394">
        <v>0</v>
      </c>
      <c r="AF394">
        <v>0</v>
      </c>
      <c r="AG394">
        <v>0</v>
      </c>
      <c r="AH394">
        <v>0</v>
      </c>
      <c r="AI394">
        <v>0</v>
      </c>
      <c r="AJ394">
        <v>0</v>
      </c>
      <c r="AK394">
        <v>0</v>
      </c>
      <c r="AL394">
        <v>0</v>
      </c>
      <c r="AM394">
        <v>0</v>
      </c>
      <c r="AN394">
        <v>0</v>
      </c>
      <c r="AO394">
        <v>0</v>
      </c>
      <c r="AP394">
        <v>0</v>
      </c>
      <c r="AQ394">
        <v>0</v>
      </c>
      <c r="AR394">
        <v>0</v>
      </c>
      <c r="AS394">
        <v>0</v>
      </c>
      <c r="AT394">
        <v>0</v>
      </c>
      <c r="AU394">
        <v>0</v>
      </c>
      <c r="AV394">
        <v>0</v>
      </c>
      <c r="AW394">
        <v>0</v>
      </c>
      <c r="AX394">
        <v>0</v>
      </c>
      <c r="AY394">
        <v>0</v>
      </c>
      <c r="AZ394">
        <v>0</v>
      </c>
      <c r="BA394">
        <v>0</v>
      </c>
      <c r="BB394">
        <v>0</v>
      </c>
      <c r="BC394">
        <v>0</v>
      </c>
      <c r="BD394">
        <v>0</v>
      </c>
      <c r="BE394">
        <v>0</v>
      </c>
      <c r="BF394">
        <v>0</v>
      </c>
      <c r="BG394">
        <v>0</v>
      </c>
      <c r="BH394">
        <v>0</v>
      </c>
      <c r="BI394">
        <v>0</v>
      </c>
      <c r="BK394" s="151"/>
    </row>
    <row r="395" spans="1:63" x14ac:dyDescent="0.35">
      <c r="A395">
        <v>0</v>
      </c>
      <c r="B395">
        <v>0</v>
      </c>
      <c r="C395">
        <v>0</v>
      </c>
      <c r="D395">
        <v>0</v>
      </c>
      <c r="E395">
        <v>0</v>
      </c>
      <c r="F395">
        <v>0</v>
      </c>
      <c r="G395">
        <v>0</v>
      </c>
      <c r="H395">
        <v>0</v>
      </c>
      <c r="I395">
        <v>0</v>
      </c>
      <c r="J395">
        <v>0</v>
      </c>
      <c r="K395">
        <v>0</v>
      </c>
      <c r="L395">
        <v>0</v>
      </c>
      <c r="M395">
        <v>0</v>
      </c>
      <c r="N395">
        <v>0</v>
      </c>
      <c r="O395">
        <v>0</v>
      </c>
      <c r="P395">
        <v>0</v>
      </c>
      <c r="Q395">
        <v>0</v>
      </c>
      <c r="R395">
        <v>0</v>
      </c>
      <c r="S395">
        <v>0</v>
      </c>
      <c r="T395">
        <v>0</v>
      </c>
      <c r="U395">
        <v>0</v>
      </c>
      <c r="V395">
        <v>0</v>
      </c>
      <c r="W395">
        <v>0</v>
      </c>
      <c r="X395">
        <v>0</v>
      </c>
      <c r="Y395">
        <v>0</v>
      </c>
      <c r="Z395">
        <v>0</v>
      </c>
      <c r="AA395">
        <v>0</v>
      </c>
      <c r="AB395">
        <v>0</v>
      </c>
      <c r="AC395">
        <v>0</v>
      </c>
      <c r="AD395">
        <v>0</v>
      </c>
      <c r="AF395">
        <v>0</v>
      </c>
      <c r="AG395">
        <v>0</v>
      </c>
      <c r="AH395">
        <v>0</v>
      </c>
      <c r="AI395">
        <v>0</v>
      </c>
      <c r="AJ395">
        <v>0</v>
      </c>
      <c r="AK395">
        <v>0</v>
      </c>
      <c r="AL395">
        <v>0</v>
      </c>
      <c r="AM395">
        <v>0</v>
      </c>
      <c r="AN395">
        <v>0</v>
      </c>
      <c r="AO395">
        <v>0</v>
      </c>
      <c r="AP395">
        <v>0</v>
      </c>
      <c r="AQ395">
        <v>0</v>
      </c>
      <c r="AR395">
        <v>0</v>
      </c>
      <c r="AS395">
        <v>0</v>
      </c>
      <c r="AT395">
        <v>0</v>
      </c>
      <c r="AU395">
        <v>0</v>
      </c>
      <c r="AV395">
        <v>0</v>
      </c>
      <c r="AW395">
        <v>0</v>
      </c>
      <c r="AX395">
        <v>0</v>
      </c>
      <c r="AY395">
        <v>0</v>
      </c>
      <c r="AZ395">
        <v>0</v>
      </c>
      <c r="BA395">
        <v>0</v>
      </c>
      <c r="BB395">
        <v>0</v>
      </c>
      <c r="BC395">
        <v>0</v>
      </c>
      <c r="BD395">
        <v>0</v>
      </c>
      <c r="BE395">
        <v>0</v>
      </c>
      <c r="BF395">
        <v>0</v>
      </c>
      <c r="BG395">
        <v>0</v>
      </c>
      <c r="BH395">
        <v>0</v>
      </c>
      <c r="BI395">
        <v>0</v>
      </c>
      <c r="BK395" s="151"/>
    </row>
    <row r="396" spans="1:63" x14ac:dyDescent="0.35">
      <c r="A396">
        <v>0</v>
      </c>
      <c r="B396">
        <v>0</v>
      </c>
      <c r="C396">
        <v>0</v>
      </c>
      <c r="D396">
        <v>0</v>
      </c>
      <c r="E396">
        <v>0</v>
      </c>
      <c r="F396">
        <v>0</v>
      </c>
      <c r="G396">
        <v>0</v>
      </c>
      <c r="H396">
        <v>0</v>
      </c>
      <c r="I396">
        <v>0</v>
      </c>
      <c r="J396">
        <v>0</v>
      </c>
      <c r="K396">
        <v>0</v>
      </c>
      <c r="L396">
        <v>0</v>
      </c>
      <c r="M396">
        <v>0</v>
      </c>
      <c r="N396">
        <v>0</v>
      </c>
      <c r="O396">
        <v>0</v>
      </c>
      <c r="P396">
        <v>0</v>
      </c>
      <c r="Q396">
        <v>0</v>
      </c>
      <c r="R396">
        <v>0</v>
      </c>
      <c r="S396">
        <v>0</v>
      </c>
      <c r="T396">
        <v>0</v>
      </c>
      <c r="U396">
        <v>0</v>
      </c>
      <c r="V396">
        <v>0</v>
      </c>
      <c r="W396">
        <v>0</v>
      </c>
      <c r="X396">
        <v>0</v>
      </c>
      <c r="Y396">
        <v>0</v>
      </c>
      <c r="Z396">
        <v>0</v>
      </c>
      <c r="AA396">
        <v>0</v>
      </c>
      <c r="AB396">
        <v>0</v>
      </c>
      <c r="AC396">
        <v>0</v>
      </c>
      <c r="AD396">
        <v>0</v>
      </c>
      <c r="AF396">
        <v>0</v>
      </c>
      <c r="AG396">
        <v>0</v>
      </c>
      <c r="AH396">
        <v>0</v>
      </c>
      <c r="AI396">
        <v>0</v>
      </c>
      <c r="AJ396">
        <v>0</v>
      </c>
      <c r="AK396">
        <v>0</v>
      </c>
      <c r="AL396">
        <v>0</v>
      </c>
      <c r="AM396">
        <v>0</v>
      </c>
      <c r="AN396">
        <v>0</v>
      </c>
      <c r="AO396">
        <v>0</v>
      </c>
      <c r="AP396">
        <v>0</v>
      </c>
      <c r="AQ396">
        <v>0</v>
      </c>
      <c r="AR396">
        <v>0</v>
      </c>
      <c r="AS396">
        <v>0</v>
      </c>
      <c r="AT396">
        <v>0</v>
      </c>
      <c r="AU396">
        <v>0</v>
      </c>
      <c r="AV396">
        <v>0</v>
      </c>
      <c r="AW396">
        <v>0</v>
      </c>
      <c r="AX396">
        <v>0</v>
      </c>
      <c r="AY396">
        <v>0</v>
      </c>
      <c r="AZ396">
        <v>0</v>
      </c>
      <c r="BA396">
        <v>0</v>
      </c>
      <c r="BB396">
        <v>0</v>
      </c>
      <c r="BC396">
        <v>0</v>
      </c>
      <c r="BD396">
        <v>0</v>
      </c>
      <c r="BE396">
        <v>0</v>
      </c>
      <c r="BF396">
        <v>0</v>
      </c>
      <c r="BG396">
        <v>0</v>
      </c>
      <c r="BH396">
        <v>0</v>
      </c>
      <c r="BI396">
        <v>0</v>
      </c>
      <c r="BK396" s="151"/>
    </row>
    <row r="397" spans="1:63" x14ac:dyDescent="0.35">
      <c r="A397">
        <v>0</v>
      </c>
      <c r="B397">
        <v>0</v>
      </c>
      <c r="C397">
        <v>0</v>
      </c>
      <c r="D397">
        <v>0</v>
      </c>
      <c r="E397">
        <v>0</v>
      </c>
      <c r="F397">
        <v>0</v>
      </c>
      <c r="G397">
        <v>0</v>
      </c>
      <c r="H397">
        <v>0</v>
      </c>
      <c r="I397">
        <v>0</v>
      </c>
      <c r="J397">
        <v>0</v>
      </c>
      <c r="K397">
        <v>0</v>
      </c>
      <c r="L397">
        <v>0</v>
      </c>
      <c r="M397">
        <v>0</v>
      </c>
      <c r="N397">
        <v>0</v>
      </c>
      <c r="O397">
        <v>0</v>
      </c>
      <c r="P397">
        <v>0</v>
      </c>
      <c r="Q397">
        <v>0</v>
      </c>
      <c r="R397">
        <v>0</v>
      </c>
      <c r="S397">
        <v>0</v>
      </c>
      <c r="T397">
        <v>0</v>
      </c>
      <c r="U397">
        <v>0</v>
      </c>
      <c r="V397">
        <v>0</v>
      </c>
      <c r="W397">
        <v>0</v>
      </c>
      <c r="X397">
        <v>0</v>
      </c>
      <c r="Y397">
        <v>0</v>
      </c>
      <c r="Z397">
        <v>0</v>
      </c>
      <c r="AA397">
        <v>0</v>
      </c>
      <c r="AB397">
        <v>0</v>
      </c>
      <c r="AC397">
        <v>0</v>
      </c>
      <c r="AD397">
        <v>0</v>
      </c>
      <c r="AF397">
        <v>0</v>
      </c>
      <c r="AG397">
        <v>0</v>
      </c>
      <c r="AH397">
        <v>0</v>
      </c>
      <c r="AI397">
        <v>0</v>
      </c>
      <c r="AJ397">
        <v>0</v>
      </c>
      <c r="AK397">
        <v>0</v>
      </c>
      <c r="AL397">
        <v>0</v>
      </c>
      <c r="AM397">
        <v>0</v>
      </c>
      <c r="AN397">
        <v>0</v>
      </c>
      <c r="AO397">
        <v>0</v>
      </c>
      <c r="AP397">
        <v>0</v>
      </c>
      <c r="AQ397">
        <v>0</v>
      </c>
      <c r="AR397">
        <v>0</v>
      </c>
      <c r="AS397">
        <v>0</v>
      </c>
      <c r="AT397">
        <v>0</v>
      </c>
      <c r="AU397">
        <v>0</v>
      </c>
      <c r="AV397">
        <v>0</v>
      </c>
      <c r="AW397">
        <v>0</v>
      </c>
      <c r="AX397">
        <v>0</v>
      </c>
      <c r="AY397">
        <v>0</v>
      </c>
      <c r="AZ397">
        <v>0</v>
      </c>
      <c r="BA397">
        <v>0</v>
      </c>
      <c r="BB397">
        <v>0</v>
      </c>
      <c r="BC397">
        <v>0</v>
      </c>
      <c r="BD397">
        <v>0</v>
      </c>
      <c r="BE397">
        <v>0</v>
      </c>
      <c r="BF397">
        <v>0</v>
      </c>
      <c r="BG397">
        <v>0</v>
      </c>
      <c r="BH397">
        <v>0</v>
      </c>
      <c r="BI397">
        <v>0</v>
      </c>
      <c r="BK397" s="151"/>
    </row>
    <row r="398" spans="1:63" x14ac:dyDescent="0.35">
      <c r="A398">
        <v>0</v>
      </c>
      <c r="B398">
        <v>0</v>
      </c>
      <c r="C398">
        <v>0</v>
      </c>
      <c r="D398">
        <v>0</v>
      </c>
      <c r="E398">
        <v>0</v>
      </c>
      <c r="F398">
        <v>0</v>
      </c>
      <c r="G398">
        <v>0</v>
      </c>
      <c r="H398">
        <v>0</v>
      </c>
      <c r="I398">
        <v>0</v>
      </c>
      <c r="J398">
        <v>0</v>
      </c>
      <c r="K398">
        <v>0</v>
      </c>
      <c r="L398">
        <v>0</v>
      </c>
      <c r="M398">
        <v>0</v>
      </c>
      <c r="N398">
        <v>0</v>
      </c>
      <c r="O398">
        <v>0</v>
      </c>
      <c r="P398">
        <v>0</v>
      </c>
      <c r="Q398">
        <v>0</v>
      </c>
      <c r="R398">
        <v>0</v>
      </c>
      <c r="S398">
        <v>0</v>
      </c>
      <c r="T398">
        <v>0</v>
      </c>
      <c r="U398">
        <v>0</v>
      </c>
      <c r="V398">
        <v>0</v>
      </c>
      <c r="W398">
        <v>0</v>
      </c>
      <c r="X398">
        <v>0</v>
      </c>
      <c r="Y398">
        <v>0</v>
      </c>
      <c r="Z398">
        <v>0</v>
      </c>
      <c r="AA398">
        <v>0</v>
      </c>
      <c r="AB398">
        <v>0</v>
      </c>
      <c r="AC398">
        <v>0</v>
      </c>
      <c r="AD398">
        <v>0</v>
      </c>
      <c r="AF398">
        <v>0</v>
      </c>
      <c r="AG398">
        <v>0</v>
      </c>
      <c r="AH398">
        <v>0</v>
      </c>
      <c r="AI398">
        <v>0</v>
      </c>
      <c r="AJ398">
        <v>0</v>
      </c>
      <c r="AK398">
        <v>0</v>
      </c>
      <c r="AL398">
        <v>0</v>
      </c>
      <c r="AM398">
        <v>0</v>
      </c>
      <c r="AN398">
        <v>0</v>
      </c>
      <c r="AO398">
        <v>0</v>
      </c>
      <c r="AP398">
        <v>0</v>
      </c>
      <c r="AQ398">
        <v>0</v>
      </c>
      <c r="AR398">
        <v>0</v>
      </c>
      <c r="AS398">
        <v>0</v>
      </c>
      <c r="AT398">
        <v>0</v>
      </c>
      <c r="AU398">
        <v>0</v>
      </c>
      <c r="AV398">
        <v>0</v>
      </c>
      <c r="AW398">
        <v>0</v>
      </c>
      <c r="AX398">
        <v>0</v>
      </c>
      <c r="AY398">
        <v>0</v>
      </c>
      <c r="AZ398">
        <v>0</v>
      </c>
      <c r="BA398">
        <v>0</v>
      </c>
      <c r="BB398">
        <v>0</v>
      </c>
      <c r="BC398">
        <v>0</v>
      </c>
      <c r="BD398">
        <v>0</v>
      </c>
      <c r="BE398">
        <v>0</v>
      </c>
      <c r="BF398">
        <v>0</v>
      </c>
      <c r="BG398">
        <v>0</v>
      </c>
      <c r="BH398">
        <v>0</v>
      </c>
      <c r="BI398">
        <v>0</v>
      </c>
      <c r="BK398" s="151"/>
    </row>
    <row r="399" spans="1:63" x14ac:dyDescent="0.35">
      <c r="A399">
        <v>0</v>
      </c>
      <c r="B399">
        <v>0</v>
      </c>
      <c r="C399">
        <v>0</v>
      </c>
      <c r="D399">
        <v>0</v>
      </c>
      <c r="E399">
        <v>0</v>
      </c>
      <c r="F399">
        <v>0</v>
      </c>
      <c r="G399">
        <v>0</v>
      </c>
      <c r="H399">
        <v>0</v>
      </c>
      <c r="I399">
        <v>0</v>
      </c>
      <c r="J399">
        <v>0</v>
      </c>
      <c r="K399">
        <v>0</v>
      </c>
      <c r="L399">
        <v>0</v>
      </c>
      <c r="M399">
        <v>0</v>
      </c>
      <c r="N399">
        <v>0</v>
      </c>
      <c r="O399">
        <v>0</v>
      </c>
      <c r="P399">
        <v>0</v>
      </c>
      <c r="Q399">
        <v>0</v>
      </c>
      <c r="R399">
        <v>0</v>
      </c>
      <c r="S399">
        <v>0</v>
      </c>
      <c r="T399">
        <v>0</v>
      </c>
      <c r="U399">
        <v>0</v>
      </c>
      <c r="V399">
        <v>0</v>
      </c>
      <c r="W399">
        <v>0</v>
      </c>
      <c r="X399">
        <v>0</v>
      </c>
      <c r="Y399">
        <v>0</v>
      </c>
      <c r="Z399">
        <v>0</v>
      </c>
      <c r="AA399">
        <v>0</v>
      </c>
      <c r="AB399">
        <v>0</v>
      </c>
      <c r="AC399">
        <v>0</v>
      </c>
      <c r="AD399">
        <v>0</v>
      </c>
      <c r="AF399">
        <v>0</v>
      </c>
      <c r="AG399">
        <v>0</v>
      </c>
      <c r="AH399">
        <v>0</v>
      </c>
      <c r="AI399">
        <v>0</v>
      </c>
      <c r="AJ399">
        <v>0</v>
      </c>
      <c r="AK399">
        <v>0</v>
      </c>
      <c r="AL399">
        <v>0</v>
      </c>
      <c r="AM399">
        <v>0</v>
      </c>
      <c r="AN399">
        <v>0</v>
      </c>
      <c r="AO399">
        <v>0</v>
      </c>
      <c r="AP399">
        <v>0</v>
      </c>
      <c r="AQ399">
        <v>0</v>
      </c>
      <c r="AR399">
        <v>0</v>
      </c>
      <c r="AS399">
        <v>0</v>
      </c>
      <c r="AT399">
        <v>0</v>
      </c>
      <c r="AU399">
        <v>0</v>
      </c>
      <c r="AV399">
        <v>0</v>
      </c>
      <c r="AW399">
        <v>0</v>
      </c>
      <c r="AX399">
        <v>0</v>
      </c>
      <c r="AY399">
        <v>0</v>
      </c>
      <c r="AZ399">
        <v>0</v>
      </c>
      <c r="BA399">
        <v>0</v>
      </c>
      <c r="BB399">
        <v>0</v>
      </c>
      <c r="BC399">
        <v>0</v>
      </c>
      <c r="BD399">
        <v>0</v>
      </c>
      <c r="BE399">
        <v>0</v>
      </c>
      <c r="BF399">
        <v>0</v>
      </c>
      <c r="BG399">
        <v>0</v>
      </c>
      <c r="BH399">
        <v>0</v>
      </c>
      <c r="BI399">
        <v>0</v>
      </c>
      <c r="BK399" s="151"/>
    </row>
    <row r="400" spans="1:63" x14ac:dyDescent="0.35">
      <c r="A400">
        <v>0</v>
      </c>
      <c r="B400">
        <v>0</v>
      </c>
      <c r="C400">
        <v>0</v>
      </c>
      <c r="D400">
        <v>0</v>
      </c>
      <c r="E400">
        <v>0</v>
      </c>
      <c r="F400">
        <v>0</v>
      </c>
      <c r="G400">
        <v>0</v>
      </c>
      <c r="H400">
        <v>0</v>
      </c>
      <c r="I400">
        <v>0</v>
      </c>
      <c r="J400">
        <v>0</v>
      </c>
      <c r="K400">
        <v>0</v>
      </c>
      <c r="L400">
        <v>0</v>
      </c>
      <c r="M400">
        <v>0</v>
      </c>
      <c r="N400">
        <v>0</v>
      </c>
      <c r="O400">
        <v>0</v>
      </c>
      <c r="P400">
        <v>0</v>
      </c>
      <c r="Q400">
        <v>0</v>
      </c>
      <c r="R400">
        <v>0</v>
      </c>
      <c r="S400">
        <v>0</v>
      </c>
      <c r="T400">
        <v>0</v>
      </c>
      <c r="U400">
        <v>0</v>
      </c>
      <c r="V400">
        <v>0</v>
      </c>
      <c r="W400">
        <v>0</v>
      </c>
      <c r="X400">
        <v>0</v>
      </c>
      <c r="Y400">
        <v>0</v>
      </c>
      <c r="Z400">
        <v>0</v>
      </c>
      <c r="AA400">
        <v>0</v>
      </c>
      <c r="AB400">
        <v>0</v>
      </c>
      <c r="AC400">
        <v>0</v>
      </c>
      <c r="AD400">
        <v>0</v>
      </c>
      <c r="AF400">
        <v>0</v>
      </c>
      <c r="AG400">
        <v>0</v>
      </c>
      <c r="AH400">
        <v>0</v>
      </c>
      <c r="AI400">
        <v>0</v>
      </c>
      <c r="AJ400">
        <v>0</v>
      </c>
      <c r="AK400">
        <v>0</v>
      </c>
      <c r="AL400">
        <v>0</v>
      </c>
      <c r="AM400">
        <v>0</v>
      </c>
      <c r="AN400">
        <v>0</v>
      </c>
      <c r="AO400">
        <v>0</v>
      </c>
      <c r="AP400">
        <v>0</v>
      </c>
      <c r="AQ400">
        <v>0</v>
      </c>
      <c r="AR400">
        <v>0</v>
      </c>
      <c r="AS400">
        <v>0</v>
      </c>
      <c r="AT400">
        <v>0</v>
      </c>
      <c r="AU400">
        <v>0</v>
      </c>
      <c r="AV400">
        <v>0</v>
      </c>
      <c r="AW400">
        <v>0</v>
      </c>
      <c r="AX400">
        <v>0</v>
      </c>
      <c r="AY400">
        <v>0</v>
      </c>
      <c r="AZ400">
        <v>0</v>
      </c>
      <c r="BA400">
        <v>0</v>
      </c>
      <c r="BB400">
        <v>0</v>
      </c>
      <c r="BC400">
        <v>0</v>
      </c>
      <c r="BD400">
        <v>0</v>
      </c>
      <c r="BE400">
        <v>0</v>
      </c>
      <c r="BF400">
        <v>0</v>
      </c>
      <c r="BG400">
        <v>0</v>
      </c>
      <c r="BH400">
        <v>0</v>
      </c>
      <c r="BI400">
        <v>0</v>
      </c>
      <c r="BK400" s="151"/>
    </row>
    <row r="401" spans="1:63" x14ac:dyDescent="0.35">
      <c r="A401">
        <v>0</v>
      </c>
      <c r="B401">
        <v>0</v>
      </c>
      <c r="C401">
        <v>0</v>
      </c>
      <c r="D401">
        <v>0</v>
      </c>
      <c r="E401">
        <v>0</v>
      </c>
      <c r="F401">
        <v>0</v>
      </c>
      <c r="G401">
        <v>0</v>
      </c>
      <c r="H401">
        <v>0</v>
      </c>
      <c r="I401">
        <v>0</v>
      </c>
      <c r="J401">
        <v>0</v>
      </c>
      <c r="K401">
        <v>0</v>
      </c>
      <c r="L401">
        <v>0</v>
      </c>
      <c r="M401">
        <v>0</v>
      </c>
      <c r="N401">
        <v>0</v>
      </c>
      <c r="O401">
        <v>0</v>
      </c>
      <c r="P401">
        <v>0</v>
      </c>
      <c r="Q401">
        <v>0</v>
      </c>
      <c r="R401">
        <v>0</v>
      </c>
      <c r="S401">
        <v>0</v>
      </c>
      <c r="T401">
        <v>0</v>
      </c>
      <c r="U401">
        <v>0</v>
      </c>
      <c r="V401">
        <v>0</v>
      </c>
      <c r="W401">
        <v>0</v>
      </c>
      <c r="X401">
        <v>0</v>
      </c>
      <c r="Y401">
        <v>0</v>
      </c>
      <c r="Z401">
        <v>0</v>
      </c>
      <c r="AA401">
        <v>0</v>
      </c>
      <c r="AB401">
        <v>0</v>
      </c>
      <c r="AC401">
        <v>0</v>
      </c>
      <c r="AD401">
        <v>0</v>
      </c>
      <c r="AF401">
        <v>0</v>
      </c>
      <c r="AG401">
        <v>0</v>
      </c>
      <c r="AH401">
        <v>0</v>
      </c>
      <c r="AI401">
        <v>0</v>
      </c>
      <c r="AJ401">
        <v>0</v>
      </c>
      <c r="AK401">
        <v>0</v>
      </c>
      <c r="AL401">
        <v>0</v>
      </c>
      <c r="AM401">
        <v>0</v>
      </c>
      <c r="AN401">
        <v>0</v>
      </c>
      <c r="AO401">
        <v>0</v>
      </c>
      <c r="AP401">
        <v>0</v>
      </c>
      <c r="AQ401">
        <v>0</v>
      </c>
      <c r="AR401">
        <v>0</v>
      </c>
      <c r="AS401">
        <v>0</v>
      </c>
      <c r="AT401">
        <v>0</v>
      </c>
      <c r="AU401">
        <v>0</v>
      </c>
      <c r="AV401">
        <v>0</v>
      </c>
      <c r="AW401">
        <v>0</v>
      </c>
      <c r="AX401">
        <v>0</v>
      </c>
      <c r="AY401">
        <v>0</v>
      </c>
      <c r="AZ401">
        <v>0</v>
      </c>
      <c r="BA401">
        <v>0</v>
      </c>
      <c r="BB401">
        <v>0</v>
      </c>
      <c r="BC401">
        <v>0</v>
      </c>
      <c r="BD401">
        <v>0</v>
      </c>
      <c r="BE401">
        <v>0</v>
      </c>
      <c r="BF401">
        <v>0</v>
      </c>
      <c r="BG401">
        <v>0</v>
      </c>
      <c r="BH401">
        <v>0</v>
      </c>
      <c r="BI401">
        <v>0</v>
      </c>
      <c r="BK401" s="151"/>
    </row>
    <row r="402" spans="1:63" x14ac:dyDescent="0.35">
      <c r="A402">
        <v>0</v>
      </c>
      <c r="B402">
        <v>0</v>
      </c>
      <c r="C402">
        <v>0</v>
      </c>
      <c r="D402">
        <v>0</v>
      </c>
      <c r="E402">
        <v>0</v>
      </c>
      <c r="F402">
        <v>0</v>
      </c>
      <c r="G402">
        <v>0</v>
      </c>
      <c r="H402">
        <v>0</v>
      </c>
      <c r="I402">
        <v>0</v>
      </c>
      <c r="J402">
        <v>0</v>
      </c>
      <c r="K402">
        <v>0</v>
      </c>
      <c r="L402">
        <v>0</v>
      </c>
      <c r="M402">
        <v>0</v>
      </c>
      <c r="N402">
        <v>0</v>
      </c>
      <c r="O402">
        <v>0</v>
      </c>
      <c r="P402">
        <v>0</v>
      </c>
      <c r="Q402">
        <v>0</v>
      </c>
      <c r="R402">
        <v>0</v>
      </c>
      <c r="S402">
        <v>0</v>
      </c>
      <c r="T402">
        <v>0</v>
      </c>
      <c r="U402">
        <v>0</v>
      </c>
      <c r="V402">
        <v>0</v>
      </c>
      <c r="W402">
        <v>0</v>
      </c>
      <c r="X402">
        <v>0</v>
      </c>
      <c r="Y402">
        <v>0</v>
      </c>
      <c r="Z402">
        <v>0</v>
      </c>
      <c r="AA402">
        <v>0</v>
      </c>
      <c r="AB402">
        <v>0</v>
      </c>
      <c r="AC402">
        <v>0</v>
      </c>
      <c r="AD402">
        <v>0</v>
      </c>
      <c r="AF402">
        <v>0</v>
      </c>
      <c r="AG402">
        <v>0</v>
      </c>
      <c r="AH402">
        <v>0</v>
      </c>
      <c r="AI402">
        <v>0</v>
      </c>
      <c r="AJ402">
        <v>0</v>
      </c>
      <c r="AK402">
        <v>0</v>
      </c>
      <c r="AL402">
        <v>0</v>
      </c>
      <c r="AM402">
        <v>0</v>
      </c>
      <c r="AN402">
        <v>0</v>
      </c>
      <c r="AO402">
        <v>0</v>
      </c>
      <c r="AP402">
        <v>0</v>
      </c>
      <c r="AQ402">
        <v>0</v>
      </c>
      <c r="AR402">
        <v>0</v>
      </c>
      <c r="AS402">
        <v>0</v>
      </c>
      <c r="AT402">
        <v>0</v>
      </c>
      <c r="AU402">
        <v>0</v>
      </c>
      <c r="AV402">
        <v>0</v>
      </c>
      <c r="AW402">
        <v>0</v>
      </c>
      <c r="AX402">
        <v>0</v>
      </c>
      <c r="AY402">
        <v>0</v>
      </c>
      <c r="AZ402">
        <v>0</v>
      </c>
      <c r="BA402">
        <v>0</v>
      </c>
      <c r="BB402">
        <v>0</v>
      </c>
      <c r="BC402">
        <v>0</v>
      </c>
      <c r="BD402">
        <v>0</v>
      </c>
      <c r="BE402">
        <v>0</v>
      </c>
      <c r="BF402">
        <v>0</v>
      </c>
      <c r="BG402">
        <v>0</v>
      </c>
      <c r="BH402">
        <v>0</v>
      </c>
      <c r="BI402">
        <v>0</v>
      </c>
      <c r="BK402" s="151"/>
    </row>
    <row r="403" spans="1:63" x14ac:dyDescent="0.35">
      <c r="A403">
        <v>0</v>
      </c>
      <c r="B403">
        <v>0</v>
      </c>
      <c r="C403">
        <v>0</v>
      </c>
      <c r="D403">
        <v>0</v>
      </c>
      <c r="E403">
        <v>0</v>
      </c>
      <c r="F403">
        <v>0</v>
      </c>
      <c r="G403">
        <v>0</v>
      </c>
      <c r="H403">
        <v>0</v>
      </c>
      <c r="I403">
        <v>0</v>
      </c>
      <c r="J403">
        <v>0</v>
      </c>
      <c r="K403">
        <v>0</v>
      </c>
      <c r="L403">
        <v>0</v>
      </c>
      <c r="M403">
        <v>0</v>
      </c>
      <c r="N403">
        <v>0</v>
      </c>
      <c r="O403">
        <v>0</v>
      </c>
      <c r="P403">
        <v>0</v>
      </c>
      <c r="Q403">
        <v>0</v>
      </c>
      <c r="R403">
        <v>0</v>
      </c>
      <c r="S403">
        <v>0</v>
      </c>
      <c r="T403">
        <v>0</v>
      </c>
      <c r="U403">
        <v>0</v>
      </c>
      <c r="V403">
        <v>0</v>
      </c>
      <c r="W403">
        <v>0</v>
      </c>
      <c r="X403">
        <v>0</v>
      </c>
      <c r="Y403">
        <v>0</v>
      </c>
      <c r="Z403">
        <v>0</v>
      </c>
      <c r="AA403">
        <v>0</v>
      </c>
      <c r="AB403">
        <v>0</v>
      </c>
      <c r="AC403">
        <v>0</v>
      </c>
      <c r="AD403">
        <v>0</v>
      </c>
      <c r="AF403">
        <v>0</v>
      </c>
      <c r="AG403">
        <v>0</v>
      </c>
      <c r="AH403">
        <v>0</v>
      </c>
      <c r="AI403">
        <v>0</v>
      </c>
      <c r="AJ403">
        <v>0</v>
      </c>
      <c r="AK403">
        <v>0</v>
      </c>
      <c r="AL403">
        <v>0</v>
      </c>
      <c r="AM403">
        <v>0</v>
      </c>
      <c r="AN403">
        <v>0</v>
      </c>
      <c r="AO403">
        <v>0</v>
      </c>
      <c r="AP403">
        <v>0</v>
      </c>
      <c r="AQ403">
        <v>0</v>
      </c>
      <c r="AR403">
        <v>0</v>
      </c>
      <c r="AS403">
        <v>0</v>
      </c>
      <c r="AT403">
        <v>0</v>
      </c>
      <c r="AU403">
        <v>0</v>
      </c>
      <c r="AV403">
        <v>0</v>
      </c>
      <c r="AW403">
        <v>0</v>
      </c>
      <c r="AX403">
        <v>0</v>
      </c>
      <c r="AY403">
        <v>0</v>
      </c>
      <c r="AZ403">
        <v>0</v>
      </c>
      <c r="BA403">
        <v>0</v>
      </c>
      <c r="BB403">
        <v>0</v>
      </c>
      <c r="BC403">
        <v>0</v>
      </c>
      <c r="BD403">
        <v>0</v>
      </c>
      <c r="BE403">
        <v>0</v>
      </c>
      <c r="BF403">
        <v>0</v>
      </c>
      <c r="BG403">
        <v>0</v>
      </c>
      <c r="BH403">
        <v>0</v>
      </c>
      <c r="BI403">
        <v>0</v>
      </c>
      <c r="BK403" s="151"/>
    </row>
    <row r="404" spans="1:63" x14ac:dyDescent="0.35">
      <c r="A404">
        <v>0</v>
      </c>
      <c r="B404">
        <v>0</v>
      </c>
      <c r="C404">
        <v>0</v>
      </c>
      <c r="D404">
        <v>0</v>
      </c>
      <c r="E404">
        <v>0</v>
      </c>
      <c r="F404">
        <v>0</v>
      </c>
      <c r="G404">
        <v>0</v>
      </c>
      <c r="H404">
        <v>0</v>
      </c>
      <c r="I404">
        <v>0</v>
      </c>
      <c r="J404">
        <v>0</v>
      </c>
      <c r="K404">
        <v>0</v>
      </c>
      <c r="L404">
        <v>0</v>
      </c>
      <c r="M404">
        <v>0</v>
      </c>
      <c r="N404">
        <v>0</v>
      </c>
      <c r="O404">
        <v>0</v>
      </c>
      <c r="P404">
        <v>0</v>
      </c>
      <c r="Q404">
        <v>0</v>
      </c>
      <c r="R404">
        <v>0</v>
      </c>
      <c r="S404">
        <v>0</v>
      </c>
      <c r="T404">
        <v>0</v>
      </c>
      <c r="U404">
        <v>0</v>
      </c>
      <c r="V404">
        <v>0</v>
      </c>
      <c r="W404">
        <v>0</v>
      </c>
      <c r="X404">
        <v>0</v>
      </c>
      <c r="Y404">
        <v>0</v>
      </c>
      <c r="Z404">
        <v>0</v>
      </c>
      <c r="AA404">
        <v>0</v>
      </c>
      <c r="AB404">
        <v>0</v>
      </c>
      <c r="AC404">
        <v>0</v>
      </c>
      <c r="AD404">
        <v>0</v>
      </c>
      <c r="AF404">
        <v>0</v>
      </c>
      <c r="AG404">
        <v>0</v>
      </c>
      <c r="AH404">
        <v>0</v>
      </c>
      <c r="AI404">
        <v>0</v>
      </c>
      <c r="AJ404">
        <v>0</v>
      </c>
      <c r="AK404">
        <v>0</v>
      </c>
      <c r="AL404">
        <v>0</v>
      </c>
      <c r="AM404">
        <v>0</v>
      </c>
      <c r="AN404">
        <v>0</v>
      </c>
      <c r="AO404">
        <v>0</v>
      </c>
      <c r="AP404">
        <v>0</v>
      </c>
      <c r="AQ404">
        <v>0</v>
      </c>
      <c r="AR404">
        <v>0</v>
      </c>
      <c r="AS404">
        <v>0</v>
      </c>
      <c r="AT404">
        <v>0</v>
      </c>
      <c r="AU404">
        <v>0</v>
      </c>
      <c r="AV404">
        <v>0</v>
      </c>
      <c r="AW404">
        <v>0</v>
      </c>
      <c r="AX404">
        <v>0</v>
      </c>
      <c r="AY404">
        <v>0</v>
      </c>
      <c r="AZ404">
        <v>0</v>
      </c>
      <c r="BA404">
        <v>0</v>
      </c>
      <c r="BB404">
        <v>0</v>
      </c>
      <c r="BC404">
        <v>0</v>
      </c>
      <c r="BD404">
        <v>0</v>
      </c>
      <c r="BE404">
        <v>0</v>
      </c>
      <c r="BF404">
        <v>0</v>
      </c>
      <c r="BG404">
        <v>0</v>
      </c>
      <c r="BH404">
        <v>0</v>
      </c>
      <c r="BI404">
        <v>0</v>
      </c>
      <c r="BK404" s="151"/>
    </row>
    <row r="405" spans="1:63" x14ac:dyDescent="0.35">
      <c r="A405">
        <v>0</v>
      </c>
      <c r="B405">
        <v>0</v>
      </c>
      <c r="C405">
        <v>0</v>
      </c>
      <c r="D405">
        <v>0</v>
      </c>
      <c r="E405">
        <v>0</v>
      </c>
      <c r="F405">
        <v>0</v>
      </c>
      <c r="G405">
        <v>0</v>
      </c>
      <c r="H405">
        <v>0</v>
      </c>
      <c r="I405">
        <v>0</v>
      </c>
      <c r="J405">
        <v>0</v>
      </c>
      <c r="K405">
        <v>0</v>
      </c>
      <c r="L405">
        <v>0</v>
      </c>
      <c r="M405">
        <v>0</v>
      </c>
      <c r="N405">
        <v>0</v>
      </c>
      <c r="O405">
        <v>0</v>
      </c>
      <c r="P405">
        <v>0</v>
      </c>
      <c r="Q405">
        <v>0</v>
      </c>
      <c r="R405">
        <v>0</v>
      </c>
      <c r="S405">
        <v>0</v>
      </c>
      <c r="T405">
        <v>0</v>
      </c>
      <c r="U405">
        <v>0</v>
      </c>
      <c r="V405">
        <v>0</v>
      </c>
      <c r="W405">
        <v>0</v>
      </c>
      <c r="X405">
        <v>0</v>
      </c>
      <c r="Y405">
        <v>0</v>
      </c>
      <c r="Z405">
        <v>0</v>
      </c>
      <c r="AA405">
        <v>0</v>
      </c>
      <c r="AB405">
        <v>0</v>
      </c>
      <c r="AC405">
        <v>0</v>
      </c>
      <c r="AD405">
        <v>0</v>
      </c>
      <c r="AF405">
        <v>0</v>
      </c>
      <c r="AG405">
        <v>0</v>
      </c>
      <c r="AH405">
        <v>0</v>
      </c>
      <c r="AI405">
        <v>0</v>
      </c>
      <c r="AJ405">
        <v>0</v>
      </c>
      <c r="AK405">
        <v>0</v>
      </c>
      <c r="AL405">
        <v>0</v>
      </c>
      <c r="AM405">
        <v>0</v>
      </c>
      <c r="AN405">
        <v>0</v>
      </c>
      <c r="AO405">
        <v>0</v>
      </c>
      <c r="AP405">
        <v>0</v>
      </c>
      <c r="AQ405">
        <v>0</v>
      </c>
      <c r="AR405">
        <v>0</v>
      </c>
      <c r="AS405">
        <v>0</v>
      </c>
      <c r="AT405">
        <v>0</v>
      </c>
      <c r="AU405">
        <v>0</v>
      </c>
      <c r="AV405">
        <v>0</v>
      </c>
      <c r="AW405">
        <v>0</v>
      </c>
      <c r="AX405">
        <v>0</v>
      </c>
      <c r="AY405">
        <v>0</v>
      </c>
      <c r="AZ405">
        <v>0</v>
      </c>
      <c r="BA405">
        <v>0</v>
      </c>
      <c r="BB405">
        <v>0</v>
      </c>
      <c r="BC405">
        <v>0</v>
      </c>
      <c r="BD405">
        <v>0</v>
      </c>
      <c r="BE405">
        <v>0</v>
      </c>
      <c r="BF405">
        <v>0</v>
      </c>
      <c r="BG405">
        <v>0</v>
      </c>
      <c r="BH405">
        <v>0</v>
      </c>
      <c r="BI405">
        <v>0</v>
      </c>
      <c r="BK405" s="151"/>
    </row>
    <row r="406" spans="1:63" x14ac:dyDescent="0.35">
      <c r="A406">
        <v>0</v>
      </c>
      <c r="B406">
        <v>0</v>
      </c>
      <c r="C406">
        <v>0</v>
      </c>
      <c r="D406">
        <v>0</v>
      </c>
      <c r="E406">
        <v>0</v>
      </c>
      <c r="F406">
        <v>0</v>
      </c>
      <c r="G406">
        <v>0</v>
      </c>
      <c r="H406">
        <v>0</v>
      </c>
      <c r="I406">
        <v>0</v>
      </c>
      <c r="J406">
        <v>0</v>
      </c>
      <c r="K406">
        <v>0</v>
      </c>
      <c r="L406">
        <v>0</v>
      </c>
      <c r="M406">
        <v>0</v>
      </c>
      <c r="N406">
        <v>0</v>
      </c>
      <c r="O406">
        <v>0</v>
      </c>
      <c r="P406">
        <v>0</v>
      </c>
      <c r="Q406">
        <v>0</v>
      </c>
      <c r="R406">
        <v>0</v>
      </c>
      <c r="S406">
        <v>0</v>
      </c>
      <c r="T406">
        <v>0</v>
      </c>
      <c r="U406">
        <v>0</v>
      </c>
      <c r="V406">
        <v>0</v>
      </c>
      <c r="W406">
        <v>0</v>
      </c>
      <c r="X406">
        <v>0</v>
      </c>
      <c r="Y406">
        <v>0</v>
      </c>
      <c r="Z406">
        <v>0</v>
      </c>
      <c r="AA406">
        <v>0</v>
      </c>
      <c r="AB406">
        <v>0</v>
      </c>
      <c r="AC406">
        <v>0</v>
      </c>
      <c r="AD406">
        <v>0</v>
      </c>
      <c r="AF406">
        <v>0</v>
      </c>
      <c r="AG406">
        <v>0</v>
      </c>
      <c r="AH406">
        <v>0</v>
      </c>
      <c r="AI406">
        <v>0</v>
      </c>
      <c r="AJ406">
        <v>0</v>
      </c>
      <c r="AK406">
        <v>0</v>
      </c>
      <c r="AL406">
        <v>0</v>
      </c>
      <c r="AM406">
        <v>0</v>
      </c>
      <c r="AN406">
        <v>0</v>
      </c>
      <c r="AO406">
        <v>0</v>
      </c>
      <c r="AP406">
        <v>0</v>
      </c>
      <c r="AQ406">
        <v>0</v>
      </c>
      <c r="AR406">
        <v>0</v>
      </c>
      <c r="AS406">
        <v>0</v>
      </c>
      <c r="AT406">
        <v>0</v>
      </c>
      <c r="AU406">
        <v>0</v>
      </c>
      <c r="AV406">
        <v>0</v>
      </c>
      <c r="AW406">
        <v>0</v>
      </c>
      <c r="AX406">
        <v>0</v>
      </c>
      <c r="AY406">
        <v>0</v>
      </c>
      <c r="AZ406">
        <v>0</v>
      </c>
      <c r="BA406">
        <v>0</v>
      </c>
      <c r="BB406">
        <v>0</v>
      </c>
      <c r="BC406">
        <v>0</v>
      </c>
      <c r="BD406">
        <v>0</v>
      </c>
      <c r="BE406">
        <v>0</v>
      </c>
      <c r="BF406">
        <v>0</v>
      </c>
      <c r="BG406">
        <v>0</v>
      </c>
      <c r="BH406">
        <v>0</v>
      </c>
      <c r="BI406">
        <v>0</v>
      </c>
      <c r="BK406" s="151"/>
    </row>
    <row r="407" spans="1:63" x14ac:dyDescent="0.35">
      <c r="A407">
        <v>0</v>
      </c>
      <c r="B407">
        <v>0</v>
      </c>
      <c r="C407">
        <v>0</v>
      </c>
      <c r="D407">
        <v>0</v>
      </c>
      <c r="E407">
        <v>0</v>
      </c>
      <c r="F407">
        <v>0</v>
      </c>
      <c r="G407">
        <v>0</v>
      </c>
      <c r="H407">
        <v>0</v>
      </c>
      <c r="I407">
        <v>0</v>
      </c>
      <c r="J407">
        <v>0</v>
      </c>
      <c r="K407">
        <v>0</v>
      </c>
      <c r="L407">
        <v>0</v>
      </c>
      <c r="M407">
        <v>0</v>
      </c>
      <c r="N407">
        <v>0</v>
      </c>
      <c r="O407">
        <v>0</v>
      </c>
      <c r="P407">
        <v>0</v>
      </c>
      <c r="Q407">
        <v>0</v>
      </c>
      <c r="R407">
        <v>0</v>
      </c>
      <c r="S407">
        <v>0</v>
      </c>
      <c r="T407">
        <v>0</v>
      </c>
      <c r="U407">
        <v>0</v>
      </c>
      <c r="V407">
        <v>0</v>
      </c>
      <c r="W407">
        <v>0</v>
      </c>
      <c r="X407">
        <v>0</v>
      </c>
      <c r="Y407">
        <v>0</v>
      </c>
      <c r="Z407">
        <v>0</v>
      </c>
      <c r="AA407">
        <v>0</v>
      </c>
      <c r="AB407">
        <v>0</v>
      </c>
      <c r="AC407">
        <v>0</v>
      </c>
      <c r="AD407">
        <v>0</v>
      </c>
      <c r="AF407">
        <v>0</v>
      </c>
      <c r="AG407">
        <v>0</v>
      </c>
      <c r="AH407">
        <v>0</v>
      </c>
      <c r="AI407">
        <v>0</v>
      </c>
      <c r="AJ407">
        <v>0</v>
      </c>
      <c r="AK407">
        <v>0</v>
      </c>
      <c r="AL407">
        <v>0</v>
      </c>
      <c r="AM407">
        <v>0</v>
      </c>
      <c r="AN407">
        <v>0</v>
      </c>
      <c r="AO407">
        <v>0</v>
      </c>
      <c r="AP407">
        <v>0</v>
      </c>
      <c r="AQ407">
        <v>0</v>
      </c>
      <c r="AR407">
        <v>0</v>
      </c>
      <c r="AS407">
        <v>0</v>
      </c>
      <c r="AT407">
        <v>0</v>
      </c>
      <c r="AU407">
        <v>0</v>
      </c>
      <c r="AV407">
        <v>0</v>
      </c>
      <c r="AW407">
        <v>0</v>
      </c>
      <c r="AX407">
        <v>0</v>
      </c>
      <c r="AY407">
        <v>0</v>
      </c>
      <c r="AZ407">
        <v>0</v>
      </c>
      <c r="BA407">
        <v>0</v>
      </c>
      <c r="BB407">
        <v>0</v>
      </c>
      <c r="BC407">
        <v>0</v>
      </c>
      <c r="BD407">
        <v>0</v>
      </c>
      <c r="BE407">
        <v>0</v>
      </c>
      <c r="BF407">
        <v>0</v>
      </c>
      <c r="BG407">
        <v>0</v>
      </c>
      <c r="BH407">
        <v>0</v>
      </c>
      <c r="BI407">
        <v>0</v>
      </c>
      <c r="BK407" s="151"/>
    </row>
    <row r="408" spans="1:63" x14ac:dyDescent="0.35">
      <c r="A408">
        <v>0</v>
      </c>
      <c r="B408">
        <v>0</v>
      </c>
      <c r="C408">
        <v>0</v>
      </c>
      <c r="D408">
        <v>0</v>
      </c>
      <c r="E408">
        <v>0</v>
      </c>
      <c r="F408">
        <v>0</v>
      </c>
      <c r="G408">
        <v>0</v>
      </c>
      <c r="H408">
        <v>0</v>
      </c>
      <c r="I408">
        <v>0</v>
      </c>
      <c r="J408">
        <v>0</v>
      </c>
      <c r="K408">
        <v>0</v>
      </c>
      <c r="L408">
        <v>0</v>
      </c>
      <c r="M408">
        <v>0</v>
      </c>
      <c r="N408">
        <v>0</v>
      </c>
      <c r="O408">
        <v>0</v>
      </c>
      <c r="P408">
        <v>0</v>
      </c>
      <c r="Q408">
        <v>0</v>
      </c>
      <c r="R408">
        <v>0</v>
      </c>
      <c r="S408">
        <v>0</v>
      </c>
      <c r="T408">
        <v>0</v>
      </c>
      <c r="U408">
        <v>0</v>
      </c>
      <c r="V408">
        <v>0</v>
      </c>
      <c r="W408">
        <v>0</v>
      </c>
      <c r="X408">
        <v>0</v>
      </c>
      <c r="Y408">
        <v>0</v>
      </c>
      <c r="Z408">
        <v>0</v>
      </c>
      <c r="AA408">
        <v>0</v>
      </c>
      <c r="AB408">
        <v>0</v>
      </c>
      <c r="AC408">
        <v>0</v>
      </c>
      <c r="AD408">
        <v>0</v>
      </c>
      <c r="AF408">
        <v>0</v>
      </c>
      <c r="AG408">
        <v>0</v>
      </c>
      <c r="AH408">
        <v>0</v>
      </c>
      <c r="AI408">
        <v>0</v>
      </c>
      <c r="AJ408">
        <v>0</v>
      </c>
      <c r="AK408">
        <v>0</v>
      </c>
      <c r="AL408">
        <v>0</v>
      </c>
      <c r="AM408">
        <v>0</v>
      </c>
      <c r="AN408">
        <v>0</v>
      </c>
      <c r="AO408">
        <v>0</v>
      </c>
      <c r="AP408">
        <v>0</v>
      </c>
      <c r="AQ408">
        <v>0</v>
      </c>
      <c r="AR408">
        <v>0</v>
      </c>
      <c r="AS408">
        <v>0</v>
      </c>
      <c r="AT408">
        <v>0</v>
      </c>
      <c r="AU408">
        <v>0</v>
      </c>
      <c r="AV408">
        <v>0</v>
      </c>
      <c r="AW408">
        <v>0</v>
      </c>
      <c r="AX408">
        <v>0</v>
      </c>
      <c r="AY408">
        <v>0</v>
      </c>
      <c r="AZ408">
        <v>0</v>
      </c>
      <c r="BA408">
        <v>0</v>
      </c>
      <c r="BB408">
        <v>0</v>
      </c>
      <c r="BC408">
        <v>0</v>
      </c>
      <c r="BD408">
        <v>0</v>
      </c>
      <c r="BE408">
        <v>0</v>
      </c>
      <c r="BF408">
        <v>0</v>
      </c>
      <c r="BG408">
        <v>0</v>
      </c>
      <c r="BH408">
        <v>0</v>
      </c>
      <c r="BI408">
        <v>0</v>
      </c>
      <c r="BK408" s="151"/>
    </row>
    <row r="409" spans="1:63" x14ac:dyDescent="0.35">
      <c r="A409">
        <v>0</v>
      </c>
      <c r="B409">
        <v>0</v>
      </c>
      <c r="C409">
        <v>0</v>
      </c>
      <c r="D409">
        <v>0</v>
      </c>
      <c r="E409">
        <v>0</v>
      </c>
      <c r="F409">
        <v>0</v>
      </c>
      <c r="G409">
        <v>0</v>
      </c>
      <c r="H409">
        <v>0</v>
      </c>
      <c r="I409">
        <v>0</v>
      </c>
      <c r="J409">
        <v>0</v>
      </c>
      <c r="K409">
        <v>0</v>
      </c>
      <c r="L409">
        <v>0</v>
      </c>
      <c r="M409">
        <v>0</v>
      </c>
      <c r="N409">
        <v>0</v>
      </c>
      <c r="O409">
        <v>0</v>
      </c>
      <c r="P409">
        <v>0</v>
      </c>
      <c r="Q409">
        <v>0</v>
      </c>
      <c r="R409">
        <v>0</v>
      </c>
      <c r="S409">
        <v>0</v>
      </c>
      <c r="T409">
        <v>0</v>
      </c>
      <c r="U409">
        <v>0</v>
      </c>
      <c r="V409">
        <v>0</v>
      </c>
      <c r="W409">
        <v>0</v>
      </c>
      <c r="X409">
        <v>0</v>
      </c>
      <c r="Y409">
        <v>0</v>
      </c>
      <c r="Z409">
        <v>0</v>
      </c>
      <c r="AA409">
        <v>0</v>
      </c>
      <c r="AB409">
        <v>0</v>
      </c>
      <c r="AC409">
        <v>0</v>
      </c>
      <c r="AD409">
        <v>0</v>
      </c>
      <c r="AF409">
        <v>0</v>
      </c>
      <c r="AG409">
        <v>0</v>
      </c>
      <c r="AH409">
        <v>0</v>
      </c>
      <c r="AI409">
        <v>0</v>
      </c>
      <c r="AJ409">
        <v>0</v>
      </c>
      <c r="AK409">
        <v>0</v>
      </c>
      <c r="AL409">
        <v>0</v>
      </c>
      <c r="AM409">
        <v>0</v>
      </c>
      <c r="AN409">
        <v>0</v>
      </c>
      <c r="AO409">
        <v>0</v>
      </c>
      <c r="AP409">
        <v>0</v>
      </c>
      <c r="AQ409">
        <v>0</v>
      </c>
      <c r="AR409">
        <v>0</v>
      </c>
      <c r="AS409">
        <v>0</v>
      </c>
      <c r="AT409">
        <v>0</v>
      </c>
      <c r="AU409">
        <v>0</v>
      </c>
      <c r="AV409">
        <v>0</v>
      </c>
      <c r="AW409">
        <v>0</v>
      </c>
      <c r="AX409">
        <v>0</v>
      </c>
      <c r="AY409">
        <v>0</v>
      </c>
      <c r="AZ409">
        <v>0</v>
      </c>
      <c r="BA409">
        <v>0</v>
      </c>
      <c r="BB409">
        <v>0</v>
      </c>
      <c r="BC409">
        <v>0</v>
      </c>
      <c r="BD409">
        <v>0</v>
      </c>
      <c r="BE409">
        <v>0</v>
      </c>
      <c r="BF409">
        <v>0</v>
      </c>
      <c r="BG409">
        <v>0</v>
      </c>
      <c r="BH409">
        <v>0</v>
      </c>
      <c r="BI409">
        <v>0</v>
      </c>
      <c r="BK409" s="151"/>
    </row>
    <row r="410" spans="1:63" x14ac:dyDescent="0.35">
      <c r="A410">
        <v>0</v>
      </c>
      <c r="B410">
        <v>0</v>
      </c>
      <c r="C410">
        <v>0</v>
      </c>
      <c r="D410">
        <v>0</v>
      </c>
      <c r="E410">
        <v>0</v>
      </c>
      <c r="F410">
        <v>0</v>
      </c>
      <c r="G410">
        <v>0</v>
      </c>
      <c r="H410">
        <v>0</v>
      </c>
      <c r="I410">
        <v>0</v>
      </c>
      <c r="J410">
        <v>0</v>
      </c>
      <c r="K410">
        <v>0</v>
      </c>
      <c r="L410">
        <v>0</v>
      </c>
      <c r="M410">
        <v>0</v>
      </c>
      <c r="N410">
        <v>0</v>
      </c>
      <c r="O410">
        <v>0</v>
      </c>
      <c r="P410">
        <v>0</v>
      </c>
      <c r="Q410">
        <v>0</v>
      </c>
      <c r="R410">
        <v>0</v>
      </c>
      <c r="S410">
        <v>0</v>
      </c>
      <c r="T410">
        <v>0</v>
      </c>
      <c r="U410">
        <v>0</v>
      </c>
      <c r="V410">
        <v>0</v>
      </c>
      <c r="W410">
        <v>0</v>
      </c>
      <c r="X410">
        <v>0</v>
      </c>
      <c r="Y410">
        <v>0</v>
      </c>
      <c r="Z410">
        <v>0</v>
      </c>
      <c r="AA410">
        <v>0</v>
      </c>
      <c r="AB410">
        <v>0</v>
      </c>
      <c r="AC410">
        <v>0</v>
      </c>
      <c r="AD410">
        <v>0</v>
      </c>
      <c r="AF410">
        <v>0</v>
      </c>
      <c r="AG410">
        <v>0</v>
      </c>
      <c r="AH410">
        <v>0</v>
      </c>
      <c r="AI410">
        <v>0</v>
      </c>
      <c r="AJ410">
        <v>0</v>
      </c>
      <c r="AK410">
        <v>0</v>
      </c>
      <c r="AL410">
        <v>0</v>
      </c>
      <c r="AM410">
        <v>0</v>
      </c>
      <c r="AN410">
        <v>0</v>
      </c>
      <c r="AO410">
        <v>0</v>
      </c>
      <c r="AP410">
        <v>0</v>
      </c>
      <c r="AQ410">
        <v>0</v>
      </c>
      <c r="AR410">
        <v>0</v>
      </c>
      <c r="AS410">
        <v>0</v>
      </c>
      <c r="AT410">
        <v>0</v>
      </c>
      <c r="AU410">
        <v>0</v>
      </c>
      <c r="AV410">
        <v>0</v>
      </c>
      <c r="AW410">
        <v>0</v>
      </c>
      <c r="AX410">
        <v>0</v>
      </c>
      <c r="AY410">
        <v>0</v>
      </c>
      <c r="AZ410">
        <v>0</v>
      </c>
      <c r="BA410">
        <v>0</v>
      </c>
      <c r="BB410">
        <v>0</v>
      </c>
      <c r="BC410">
        <v>0</v>
      </c>
      <c r="BD410">
        <v>0</v>
      </c>
      <c r="BE410">
        <v>0</v>
      </c>
      <c r="BF410">
        <v>0</v>
      </c>
      <c r="BG410">
        <v>0</v>
      </c>
      <c r="BH410">
        <v>0</v>
      </c>
      <c r="BI410">
        <v>0</v>
      </c>
      <c r="BK410" s="151"/>
    </row>
    <row r="411" spans="1:63" x14ac:dyDescent="0.35">
      <c r="A411">
        <v>0</v>
      </c>
      <c r="B411">
        <v>0</v>
      </c>
      <c r="C411">
        <v>0</v>
      </c>
      <c r="D411">
        <v>0</v>
      </c>
      <c r="E411">
        <v>0</v>
      </c>
      <c r="F411">
        <v>0</v>
      </c>
      <c r="G411">
        <v>0</v>
      </c>
      <c r="H411">
        <v>0</v>
      </c>
      <c r="I411">
        <v>0</v>
      </c>
      <c r="J411">
        <v>0</v>
      </c>
      <c r="K411">
        <v>0</v>
      </c>
      <c r="L411">
        <v>0</v>
      </c>
      <c r="M411">
        <v>0</v>
      </c>
      <c r="N411">
        <v>0</v>
      </c>
      <c r="O411">
        <v>0</v>
      </c>
      <c r="P411">
        <v>0</v>
      </c>
      <c r="Q411">
        <v>0</v>
      </c>
      <c r="R411">
        <v>0</v>
      </c>
      <c r="S411">
        <v>0</v>
      </c>
      <c r="T411">
        <v>0</v>
      </c>
      <c r="U411">
        <v>0</v>
      </c>
      <c r="V411">
        <v>0</v>
      </c>
      <c r="W411">
        <v>0</v>
      </c>
      <c r="X411">
        <v>0</v>
      </c>
      <c r="Y411">
        <v>0</v>
      </c>
      <c r="Z411">
        <v>0</v>
      </c>
      <c r="AA411">
        <v>0</v>
      </c>
      <c r="AB411">
        <v>0</v>
      </c>
      <c r="AC411">
        <v>0</v>
      </c>
      <c r="AD411">
        <v>0</v>
      </c>
      <c r="AF411">
        <v>0</v>
      </c>
      <c r="AG411">
        <v>0</v>
      </c>
      <c r="AH411">
        <v>0</v>
      </c>
      <c r="AI411">
        <v>0</v>
      </c>
      <c r="AJ411">
        <v>0</v>
      </c>
      <c r="AK411">
        <v>0</v>
      </c>
      <c r="AL411">
        <v>0</v>
      </c>
      <c r="AM411">
        <v>0</v>
      </c>
      <c r="AN411">
        <v>0</v>
      </c>
      <c r="AO411">
        <v>0</v>
      </c>
      <c r="AP411">
        <v>0</v>
      </c>
      <c r="AQ411">
        <v>0</v>
      </c>
      <c r="AR411">
        <v>0</v>
      </c>
      <c r="AS411">
        <v>0</v>
      </c>
      <c r="AT411">
        <v>0</v>
      </c>
      <c r="AU411">
        <v>0</v>
      </c>
      <c r="AV411">
        <v>0</v>
      </c>
      <c r="AW411">
        <v>0</v>
      </c>
      <c r="AX411">
        <v>0</v>
      </c>
      <c r="AY411">
        <v>0</v>
      </c>
      <c r="AZ411">
        <v>0</v>
      </c>
      <c r="BA411">
        <v>0</v>
      </c>
      <c r="BB411">
        <v>0</v>
      </c>
      <c r="BC411">
        <v>0</v>
      </c>
      <c r="BD411">
        <v>0</v>
      </c>
      <c r="BE411">
        <v>0</v>
      </c>
      <c r="BF411">
        <v>0</v>
      </c>
      <c r="BG411">
        <v>0</v>
      </c>
      <c r="BH411">
        <v>0</v>
      </c>
      <c r="BI411">
        <v>0</v>
      </c>
      <c r="BK411" s="151"/>
    </row>
    <row r="412" spans="1:63" x14ac:dyDescent="0.35">
      <c r="A412">
        <v>0</v>
      </c>
      <c r="B412">
        <v>0</v>
      </c>
      <c r="C412">
        <v>0</v>
      </c>
      <c r="D412">
        <v>0</v>
      </c>
      <c r="E412">
        <v>0</v>
      </c>
      <c r="F412">
        <v>0</v>
      </c>
      <c r="G412">
        <v>0</v>
      </c>
      <c r="H412">
        <v>0</v>
      </c>
      <c r="I412">
        <v>0</v>
      </c>
      <c r="J412">
        <v>0</v>
      </c>
      <c r="K412">
        <v>0</v>
      </c>
      <c r="L412">
        <v>0</v>
      </c>
      <c r="M412">
        <v>0</v>
      </c>
      <c r="N412">
        <v>0</v>
      </c>
      <c r="O412">
        <v>0</v>
      </c>
      <c r="P412">
        <v>0</v>
      </c>
      <c r="Q412">
        <v>0</v>
      </c>
      <c r="R412">
        <v>0</v>
      </c>
      <c r="S412">
        <v>0</v>
      </c>
      <c r="T412">
        <v>0</v>
      </c>
      <c r="U412">
        <v>0</v>
      </c>
      <c r="V412">
        <v>0</v>
      </c>
      <c r="W412">
        <v>0</v>
      </c>
      <c r="X412">
        <v>0</v>
      </c>
      <c r="Y412">
        <v>0</v>
      </c>
      <c r="Z412">
        <v>0</v>
      </c>
      <c r="AA412">
        <v>0</v>
      </c>
      <c r="AB412">
        <v>0</v>
      </c>
      <c r="AC412">
        <v>0</v>
      </c>
      <c r="AD412">
        <v>0</v>
      </c>
      <c r="AF412">
        <v>0</v>
      </c>
      <c r="AG412">
        <v>0</v>
      </c>
      <c r="AH412">
        <v>0</v>
      </c>
      <c r="AI412">
        <v>0</v>
      </c>
      <c r="AJ412">
        <v>0</v>
      </c>
      <c r="AK412">
        <v>0</v>
      </c>
      <c r="AL412">
        <v>0</v>
      </c>
      <c r="AM412">
        <v>0</v>
      </c>
      <c r="AN412">
        <v>0</v>
      </c>
      <c r="AO412">
        <v>0</v>
      </c>
      <c r="AP412">
        <v>0</v>
      </c>
      <c r="AQ412">
        <v>0</v>
      </c>
      <c r="AR412">
        <v>0</v>
      </c>
      <c r="AS412">
        <v>0</v>
      </c>
      <c r="AT412">
        <v>0</v>
      </c>
      <c r="AU412">
        <v>0</v>
      </c>
      <c r="AV412">
        <v>0</v>
      </c>
      <c r="AW412">
        <v>0</v>
      </c>
      <c r="AX412">
        <v>0</v>
      </c>
      <c r="AY412">
        <v>0</v>
      </c>
      <c r="AZ412">
        <v>0</v>
      </c>
      <c r="BA412">
        <v>0</v>
      </c>
      <c r="BB412">
        <v>0</v>
      </c>
      <c r="BC412">
        <v>0</v>
      </c>
      <c r="BD412">
        <v>0</v>
      </c>
      <c r="BE412">
        <v>0</v>
      </c>
      <c r="BF412">
        <v>0</v>
      </c>
      <c r="BG412">
        <v>0</v>
      </c>
      <c r="BH412">
        <v>0</v>
      </c>
      <c r="BI412">
        <v>0</v>
      </c>
      <c r="BK412" s="151"/>
    </row>
    <row r="413" spans="1:63" x14ac:dyDescent="0.35">
      <c r="A413">
        <v>0</v>
      </c>
      <c r="B413">
        <v>0</v>
      </c>
      <c r="C413">
        <v>0</v>
      </c>
      <c r="D413">
        <v>0</v>
      </c>
      <c r="E413">
        <v>0</v>
      </c>
      <c r="F413">
        <v>0</v>
      </c>
      <c r="G413">
        <v>0</v>
      </c>
      <c r="H413">
        <v>0</v>
      </c>
      <c r="I413">
        <v>0</v>
      </c>
      <c r="J413">
        <v>0</v>
      </c>
      <c r="K413">
        <v>0</v>
      </c>
      <c r="L413">
        <v>0</v>
      </c>
      <c r="M413">
        <v>0</v>
      </c>
      <c r="N413">
        <v>0</v>
      </c>
      <c r="O413">
        <v>0</v>
      </c>
      <c r="P413">
        <v>0</v>
      </c>
      <c r="Q413">
        <v>0</v>
      </c>
      <c r="R413">
        <v>0</v>
      </c>
      <c r="S413">
        <v>0</v>
      </c>
      <c r="T413">
        <v>0</v>
      </c>
      <c r="U413">
        <v>0</v>
      </c>
      <c r="V413">
        <v>0</v>
      </c>
      <c r="W413">
        <v>0</v>
      </c>
      <c r="X413">
        <v>0</v>
      </c>
      <c r="Y413">
        <v>0</v>
      </c>
      <c r="Z413">
        <v>0</v>
      </c>
      <c r="AA413">
        <v>0</v>
      </c>
      <c r="AB413">
        <v>0</v>
      </c>
      <c r="AC413">
        <v>0</v>
      </c>
      <c r="AD413">
        <v>0</v>
      </c>
      <c r="AF413">
        <v>0</v>
      </c>
      <c r="AG413">
        <v>0</v>
      </c>
      <c r="AH413">
        <v>0</v>
      </c>
      <c r="AI413">
        <v>0</v>
      </c>
      <c r="AJ413">
        <v>0</v>
      </c>
      <c r="AK413">
        <v>0</v>
      </c>
      <c r="AL413">
        <v>0</v>
      </c>
      <c r="AM413">
        <v>0</v>
      </c>
      <c r="AN413">
        <v>0</v>
      </c>
      <c r="AO413">
        <v>0</v>
      </c>
      <c r="AP413">
        <v>0</v>
      </c>
      <c r="AQ413">
        <v>0</v>
      </c>
      <c r="AR413">
        <v>0</v>
      </c>
      <c r="AS413">
        <v>0</v>
      </c>
      <c r="AT413">
        <v>0</v>
      </c>
      <c r="AU413">
        <v>0</v>
      </c>
      <c r="AV413">
        <v>0</v>
      </c>
      <c r="AW413">
        <v>0</v>
      </c>
      <c r="AX413">
        <v>0</v>
      </c>
      <c r="AY413">
        <v>0</v>
      </c>
      <c r="AZ413">
        <v>0</v>
      </c>
      <c r="BA413">
        <v>0</v>
      </c>
      <c r="BB413">
        <v>0</v>
      </c>
      <c r="BC413">
        <v>0</v>
      </c>
      <c r="BD413">
        <v>0</v>
      </c>
      <c r="BE413">
        <v>0</v>
      </c>
      <c r="BF413">
        <v>0</v>
      </c>
      <c r="BG413">
        <v>0</v>
      </c>
      <c r="BH413">
        <v>0</v>
      </c>
      <c r="BI413">
        <v>0</v>
      </c>
      <c r="BK413" s="151"/>
    </row>
    <row r="414" spans="1:63" x14ac:dyDescent="0.35">
      <c r="A414">
        <v>0</v>
      </c>
      <c r="B414">
        <v>0</v>
      </c>
      <c r="C414">
        <v>0</v>
      </c>
      <c r="D414">
        <v>0</v>
      </c>
      <c r="E414">
        <v>0</v>
      </c>
      <c r="F414">
        <v>0</v>
      </c>
      <c r="G414">
        <v>0</v>
      </c>
      <c r="H414">
        <v>0</v>
      </c>
      <c r="I414">
        <v>0</v>
      </c>
      <c r="J414">
        <v>0</v>
      </c>
      <c r="K414">
        <v>0</v>
      </c>
      <c r="L414">
        <v>0</v>
      </c>
      <c r="M414">
        <v>0</v>
      </c>
      <c r="N414">
        <v>0</v>
      </c>
      <c r="O414">
        <v>0</v>
      </c>
      <c r="P414">
        <v>0</v>
      </c>
      <c r="Q414">
        <v>0</v>
      </c>
      <c r="R414">
        <v>0</v>
      </c>
      <c r="S414">
        <v>0</v>
      </c>
      <c r="T414">
        <v>0</v>
      </c>
      <c r="U414">
        <v>0</v>
      </c>
      <c r="V414">
        <v>0</v>
      </c>
      <c r="W414">
        <v>0</v>
      </c>
      <c r="X414">
        <v>0</v>
      </c>
      <c r="Y414">
        <v>0</v>
      </c>
      <c r="Z414">
        <v>0</v>
      </c>
      <c r="AA414">
        <v>0</v>
      </c>
      <c r="AB414">
        <v>0</v>
      </c>
      <c r="AC414">
        <v>0</v>
      </c>
      <c r="AD414">
        <v>0</v>
      </c>
      <c r="AF414">
        <v>0</v>
      </c>
      <c r="AG414">
        <v>0</v>
      </c>
      <c r="AH414">
        <v>0</v>
      </c>
      <c r="AI414">
        <v>0</v>
      </c>
      <c r="AJ414">
        <v>0</v>
      </c>
      <c r="AK414">
        <v>0</v>
      </c>
      <c r="AL414">
        <v>0</v>
      </c>
      <c r="AM414">
        <v>0</v>
      </c>
      <c r="AN414">
        <v>0</v>
      </c>
      <c r="AO414">
        <v>0</v>
      </c>
      <c r="AP414">
        <v>0</v>
      </c>
      <c r="AQ414">
        <v>0</v>
      </c>
      <c r="AR414">
        <v>0</v>
      </c>
      <c r="AS414">
        <v>0</v>
      </c>
      <c r="AT414">
        <v>0</v>
      </c>
      <c r="AU414">
        <v>0</v>
      </c>
      <c r="AV414">
        <v>0</v>
      </c>
      <c r="AW414">
        <v>0</v>
      </c>
      <c r="AX414">
        <v>0</v>
      </c>
      <c r="AY414">
        <v>0</v>
      </c>
      <c r="AZ414">
        <v>0</v>
      </c>
      <c r="BA414">
        <v>0</v>
      </c>
      <c r="BB414">
        <v>0</v>
      </c>
      <c r="BC414">
        <v>0</v>
      </c>
      <c r="BD414">
        <v>0</v>
      </c>
      <c r="BE414">
        <v>0</v>
      </c>
      <c r="BF414">
        <v>0</v>
      </c>
      <c r="BG414">
        <v>0</v>
      </c>
      <c r="BH414">
        <v>0</v>
      </c>
      <c r="BI414">
        <v>0</v>
      </c>
      <c r="BK414" s="151"/>
    </row>
    <row r="415" spans="1:63" x14ac:dyDescent="0.35">
      <c r="A415">
        <v>0</v>
      </c>
      <c r="B415">
        <v>0</v>
      </c>
      <c r="C415">
        <v>0</v>
      </c>
      <c r="D415">
        <v>0</v>
      </c>
      <c r="E415">
        <v>0</v>
      </c>
      <c r="F415">
        <v>0</v>
      </c>
      <c r="G415">
        <v>0</v>
      </c>
      <c r="H415">
        <v>0</v>
      </c>
      <c r="I415">
        <v>0</v>
      </c>
      <c r="J415">
        <v>0</v>
      </c>
      <c r="K415">
        <v>0</v>
      </c>
      <c r="L415">
        <v>0</v>
      </c>
      <c r="M415">
        <v>0</v>
      </c>
      <c r="N415">
        <v>0</v>
      </c>
      <c r="O415">
        <v>0</v>
      </c>
      <c r="P415">
        <v>0</v>
      </c>
      <c r="Q415">
        <v>0</v>
      </c>
      <c r="R415">
        <v>0</v>
      </c>
      <c r="S415">
        <v>0</v>
      </c>
      <c r="T415">
        <v>0</v>
      </c>
      <c r="U415">
        <v>0</v>
      </c>
      <c r="V415">
        <v>0</v>
      </c>
      <c r="W415">
        <v>0</v>
      </c>
      <c r="X415">
        <v>0</v>
      </c>
      <c r="Y415">
        <v>0</v>
      </c>
      <c r="Z415">
        <v>0</v>
      </c>
      <c r="AA415">
        <v>0</v>
      </c>
      <c r="AB415">
        <v>0</v>
      </c>
      <c r="AC415">
        <v>0</v>
      </c>
      <c r="AD415">
        <v>0</v>
      </c>
      <c r="AF415">
        <v>0</v>
      </c>
      <c r="AG415">
        <v>0</v>
      </c>
      <c r="AH415">
        <v>0</v>
      </c>
      <c r="AI415">
        <v>0</v>
      </c>
      <c r="AJ415">
        <v>0</v>
      </c>
      <c r="AK415">
        <v>0</v>
      </c>
      <c r="AL415">
        <v>0</v>
      </c>
      <c r="AM415">
        <v>0</v>
      </c>
      <c r="AN415">
        <v>0</v>
      </c>
      <c r="AO415">
        <v>0</v>
      </c>
      <c r="AP415">
        <v>0</v>
      </c>
      <c r="AQ415">
        <v>0</v>
      </c>
      <c r="AR415">
        <v>0</v>
      </c>
      <c r="AS415">
        <v>0</v>
      </c>
      <c r="AT415">
        <v>0</v>
      </c>
      <c r="AU415">
        <v>0</v>
      </c>
      <c r="AV415">
        <v>0</v>
      </c>
      <c r="AW415">
        <v>0</v>
      </c>
      <c r="AX415">
        <v>0</v>
      </c>
      <c r="AY415">
        <v>0</v>
      </c>
      <c r="AZ415">
        <v>0</v>
      </c>
      <c r="BA415">
        <v>0</v>
      </c>
      <c r="BB415">
        <v>0</v>
      </c>
      <c r="BC415">
        <v>0</v>
      </c>
      <c r="BD415">
        <v>0</v>
      </c>
      <c r="BE415">
        <v>0</v>
      </c>
      <c r="BF415">
        <v>0</v>
      </c>
      <c r="BG415">
        <v>0</v>
      </c>
      <c r="BH415">
        <v>0</v>
      </c>
      <c r="BI415">
        <v>0</v>
      </c>
      <c r="BK415" s="151"/>
    </row>
    <row r="416" spans="1:63" x14ac:dyDescent="0.35">
      <c r="A416">
        <v>0</v>
      </c>
      <c r="B416">
        <v>0</v>
      </c>
      <c r="C416">
        <v>0</v>
      </c>
      <c r="D416">
        <v>0</v>
      </c>
      <c r="E416">
        <v>0</v>
      </c>
      <c r="F416">
        <v>0</v>
      </c>
      <c r="G416">
        <v>0</v>
      </c>
      <c r="H416">
        <v>0</v>
      </c>
      <c r="I416">
        <v>0</v>
      </c>
      <c r="J416">
        <v>0</v>
      </c>
      <c r="K416">
        <v>0</v>
      </c>
      <c r="L416">
        <v>0</v>
      </c>
      <c r="M416">
        <v>0</v>
      </c>
      <c r="N416">
        <v>0</v>
      </c>
      <c r="O416">
        <v>0</v>
      </c>
      <c r="P416">
        <v>0</v>
      </c>
      <c r="Q416">
        <v>0</v>
      </c>
      <c r="R416">
        <v>0</v>
      </c>
      <c r="S416">
        <v>0</v>
      </c>
      <c r="T416">
        <v>0</v>
      </c>
      <c r="U416">
        <v>0</v>
      </c>
      <c r="V416">
        <v>0</v>
      </c>
      <c r="W416">
        <v>0</v>
      </c>
      <c r="X416">
        <v>0</v>
      </c>
      <c r="Y416">
        <v>0</v>
      </c>
      <c r="Z416">
        <v>0</v>
      </c>
      <c r="AA416">
        <v>0</v>
      </c>
      <c r="AB416">
        <v>0</v>
      </c>
      <c r="AC416">
        <v>0</v>
      </c>
      <c r="AD416">
        <v>0</v>
      </c>
      <c r="AF416">
        <v>0</v>
      </c>
      <c r="AG416">
        <v>0</v>
      </c>
      <c r="AH416">
        <v>0</v>
      </c>
      <c r="AI416">
        <v>0</v>
      </c>
      <c r="AJ416">
        <v>0</v>
      </c>
      <c r="AK416">
        <v>0</v>
      </c>
      <c r="AL416">
        <v>0</v>
      </c>
      <c r="AM416">
        <v>0</v>
      </c>
      <c r="AN416">
        <v>0</v>
      </c>
      <c r="AO416">
        <v>0</v>
      </c>
      <c r="AP416">
        <v>0</v>
      </c>
      <c r="AQ416">
        <v>0</v>
      </c>
      <c r="AR416">
        <v>0</v>
      </c>
      <c r="AS416">
        <v>0</v>
      </c>
      <c r="AT416">
        <v>0</v>
      </c>
      <c r="AU416">
        <v>0</v>
      </c>
      <c r="AV416">
        <v>0</v>
      </c>
      <c r="AW416">
        <v>0</v>
      </c>
      <c r="AX416">
        <v>0</v>
      </c>
      <c r="AY416">
        <v>0</v>
      </c>
      <c r="AZ416">
        <v>0</v>
      </c>
      <c r="BA416">
        <v>0</v>
      </c>
      <c r="BB416">
        <v>0</v>
      </c>
      <c r="BC416">
        <v>0</v>
      </c>
      <c r="BD416">
        <v>0</v>
      </c>
      <c r="BE416">
        <v>0</v>
      </c>
      <c r="BF416">
        <v>0</v>
      </c>
      <c r="BG416">
        <v>0</v>
      </c>
      <c r="BH416">
        <v>0</v>
      </c>
      <c r="BI416">
        <v>0</v>
      </c>
      <c r="BK416" s="151"/>
    </row>
    <row r="417" spans="1:63" x14ac:dyDescent="0.35">
      <c r="A417">
        <v>0</v>
      </c>
      <c r="B417">
        <v>0</v>
      </c>
      <c r="C417">
        <v>0</v>
      </c>
      <c r="D417">
        <v>0</v>
      </c>
      <c r="E417">
        <v>0</v>
      </c>
      <c r="F417">
        <v>0</v>
      </c>
      <c r="G417">
        <v>0</v>
      </c>
      <c r="H417">
        <v>0</v>
      </c>
      <c r="I417">
        <v>0</v>
      </c>
      <c r="J417">
        <v>0</v>
      </c>
      <c r="K417">
        <v>0</v>
      </c>
      <c r="L417">
        <v>0</v>
      </c>
      <c r="M417">
        <v>0</v>
      </c>
      <c r="N417">
        <v>0</v>
      </c>
      <c r="O417">
        <v>0</v>
      </c>
      <c r="P417">
        <v>0</v>
      </c>
      <c r="Q417">
        <v>0</v>
      </c>
      <c r="R417">
        <v>0</v>
      </c>
      <c r="S417">
        <v>0</v>
      </c>
      <c r="T417">
        <v>0</v>
      </c>
      <c r="U417">
        <v>0</v>
      </c>
      <c r="V417">
        <v>0</v>
      </c>
      <c r="W417">
        <v>0</v>
      </c>
      <c r="X417">
        <v>0</v>
      </c>
      <c r="Y417">
        <v>0</v>
      </c>
      <c r="Z417">
        <v>0</v>
      </c>
      <c r="AA417">
        <v>0</v>
      </c>
      <c r="AB417">
        <v>0</v>
      </c>
      <c r="AC417">
        <v>0</v>
      </c>
      <c r="AD417">
        <v>0</v>
      </c>
      <c r="AF417">
        <v>0</v>
      </c>
      <c r="AG417">
        <v>0</v>
      </c>
      <c r="AH417">
        <v>0</v>
      </c>
      <c r="AI417">
        <v>0</v>
      </c>
      <c r="AJ417">
        <v>0</v>
      </c>
      <c r="AK417">
        <v>0</v>
      </c>
      <c r="AL417">
        <v>0</v>
      </c>
      <c r="AM417">
        <v>0</v>
      </c>
      <c r="AN417">
        <v>0</v>
      </c>
      <c r="AO417">
        <v>0</v>
      </c>
      <c r="AP417">
        <v>0</v>
      </c>
      <c r="AQ417">
        <v>0</v>
      </c>
      <c r="AR417">
        <v>0</v>
      </c>
      <c r="AS417">
        <v>0</v>
      </c>
      <c r="AT417">
        <v>0</v>
      </c>
      <c r="AU417">
        <v>0</v>
      </c>
      <c r="AV417">
        <v>0</v>
      </c>
      <c r="AW417">
        <v>0</v>
      </c>
      <c r="AX417">
        <v>0</v>
      </c>
      <c r="AY417">
        <v>0</v>
      </c>
      <c r="AZ417">
        <v>0</v>
      </c>
      <c r="BA417">
        <v>0</v>
      </c>
      <c r="BB417">
        <v>0</v>
      </c>
      <c r="BC417">
        <v>0</v>
      </c>
      <c r="BD417">
        <v>0</v>
      </c>
      <c r="BE417">
        <v>0</v>
      </c>
      <c r="BF417">
        <v>0</v>
      </c>
      <c r="BG417">
        <v>0</v>
      </c>
      <c r="BH417">
        <v>0</v>
      </c>
      <c r="BI417">
        <v>0</v>
      </c>
      <c r="BK417" s="151"/>
    </row>
    <row r="418" spans="1:63" x14ac:dyDescent="0.35">
      <c r="A418">
        <v>0</v>
      </c>
      <c r="B418">
        <v>0</v>
      </c>
      <c r="C418">
        <v>0</v>
      </c>
      <c r="D418">
        <v>0</v>
      </c>
      <c r="E418">
        <v>0</v>
      </c>
      <c r="F418">
        <v>0</v>
      </c>
      <c r="G418">
        <v>0</v>
      </c>
      <c r="H418">
        <v>0</v>
      </c>
      <c r="I418">
        <v>0</v>
      </c>
      <c r="J418">
        <v>0</v>
      </c>
      <c r="K418">
        <v>0</v>
      </c>
      <c r="L418">
        <v>0</v>
      </c>
      <c r="M418">
        <v>0</v>
      </c>
      <c r="N418">
        <v>0</v>
      </c>
      <c r="O418">
        <v>0</v>
      </c>
      <c r="P418">
        <v>0</v>
      </c>
      <c r="Q418">
        <v>0</v>
      </c>
      <c r="R418">
        <v>0</v>
      </c>
      <c r="S418">
        <v>0</v>
      </c>
      <c r="T418">
        <v>0</v>
      </c>
      <c r="U418">
        <v>0</v>
      </c>
      <c r="V418">
        <v>0</v>
      </c>
      <c r="W418">
        <v>0</v>
      </c>
      <c r="X418">
        <v>0</v>
      </c>
      <c r="Y418">
        <v>0</v>
      </c>
      <c r="Z418">
        <v>0</v>
      </c>
      <c r="AA418">
        <v>0</v>
      </c>
      <c r="AB418">
        <v>0</v>
      </c>
      <c r="AC418">
        <v>0</v>
      </c>
      <c r="AD418">
        <v>0</v>
      </c>
      <c r="AF418">
        <v>0</v>
      </c>
      <c r="AG418">
        <v>0</v>
      </c>
      <c r="AH418">
        <v>0</v>
      </c>
      <c r="AI418">
        <v>0</v>
      </c>
      <c r="AJ418">
        <v>0</v>
      </c>
      <c r="AK418">
        <v>0</v>
      </c>
      <c r="AL418">
        <v>0</v>
      </c>
      <c r="AM418">
        <v>0</v>
      </c>
      <c r="AN418">
        <v>0</v>
      </c>
      <c r="AO418">
        <v>0</v>
      </c>
      <c r="AP418">
        <v>0</v>
      </c>
      <c r="AQ418">
        <v>0</v>
      </c>
      <c r="AR418">
        <v>0</v>
      </c>
      <c r="AS418">
        <v>0</v>
      </c>
      <c r="AT418">
        <v>0</v>
      </c>
      <c r="AU418">
        <v>0</v>
      </c>
      <c r="AV418">
        <v>0</v>
      </c>
      <c r="AW418">
        <v>0</v>
      </c>
      <c r="AX418">
        <v>0</v>
      </c>
      <c r="AY418">
        <v>0</v>
      </c>
      <c r="AZ418">
        <v>0</v>
      </c>
      <c r="BA418">
        <v>0</v>
      </c>
      <c r="BB418">
        <v>0</v>
      </c>
      <c r="BC418">
        <v>0</v>
      </c>
      <c r="BD418">
        <v>0</v>
      </c>
      <c r="BE418">
        <v>0</v>
      </c>
      <c r="BF418">
        <v>0</v>
      </c>
      <c r="BG418">
        <v>0</v>
      </c>
      <c r="BH418">
        <v>0</v>
      </c>
      <c r="BI418">
        <v>0</v>
      </c>
      <c r="BK418" s="151"/>
    </row>
    <row r="419" spans="1:63" x14ac:dyDescent="0.35">
      <c r="A419">
        <v>0</v>
      </c>
      <c r="B419">
        <v>0</v>
      </c>
      <c r="C419">
        <v>0</v>
      </c>
      <c r="D419">
        <v>0</v>
      </c>
      <c r="E419">
        <v>0</v>
      </c>
      <c r="F419">
        <v>0</v>
      </c>
      <c r="G419">
        <v>0</v>
      </c>
      <c r="H419">
        <v>0</v>
      </c>
      <c r="I419">
        <v>0</v>
      </c>
      <c r="J419">
        <v>0</v>
      </c>
      <c r="K419">
        <v>0</v>
      </c>
      <c r="L419">
        <v>0</v>
      </c>
      <c r="M419">
        <v>0</v>
      </c>
      <c r="N419">
        <v>0</v>
      </c>
      <c r="O419">
        <v>0</v>
      </c>
      <c r="P419">
        <v>0</v>
      </c>
      <c r="Q419">
        <v>0</v>
      </c>
      <c r="R419">
        <v>0</v>
      </c>
      <c r="S419">
        <v>0</v>
      </c>
      <c r="T419">
        <v>0</v>
      </c>
      <c r="U419">
        <v>0</v>
      </c>
      <c r="V419">
        <v>0</v>
      </c>
      <c r="W419">
        <v>0</v>
      </c>
      <c r="X419">
        <v>0</v>
      </c>
      <c r="Y419">
        <v>0</v>
      </c>
      <c r="Z419">
        <v>0</v>
      </c>
      <c r="AA419">
        <v>0</v>
      </c>
      <c r="AB419">
        <v>0</v>
      </c>
      <c r="AC419">
        <v>0</v>
      </c>
      <c r="AD419">
        <v>0</v>
      </c>
      <c r="AF419">
        <v>0</v>
      </c>
      <c r="AG419">
        <v>0</v>
      </c>
      <c r="AH419">
        <v>0</v>
      </c>
      <c r="AI419">
        <v>0</v>
      </c>
      <c r="AJ419">
        <v>0</v>
      </c>
      <c r="AK419">
        <v>0</v>
      </c>
      <c r="AL419">
        <v>0</v>
      </c>
      <c r="AM419">
        <v>0</v>
      </c>
      <c r="AN419">
        <v>0</v>
      </c>
      <c r="AO419">
        <v>0</v>
      </c>
      <c r="AP419">
        <v>0</v>
      </c>
      <c r="AQ419">
        <v>0</v>
      </c>
      <c r="AR419">
        <v>0</v>
      </c>
      <c r="AS419">
        <v>0</v>
      </c>
      <c r="AT419">
        <v>0</v>
      </c>
      <c r="AU419">
        <v>0</v>
      </c>
      <c r="AV419">
        <v>0</v>
      </c>
      <c r="AW419">
        <v>0</v>
      </c>
      <c r="AX419">
        <v>0</v>
      </c>
      <c r="AY419">
        <v>0</v>
      </c>
      <c r="AZ419">
        <v>0</v>
      </c>
      <c r="BA419">
        <v>0</v>
      </c>
      <c r="BB419">
        <v>0</v>
      </c>
      <c r="BC419">
        <v>0</v>
      </c>
      <c r="BD419">
        <v>0</v>
      </c>
      <c r="BE419">
        <v>0</v>
      </c>
      <c r="BF419">
        <v>0</v>
      </c>
      <c r="BG419">
        <v>0</v>
      </c>
      <c r="BH419">
        <v>0</v>
      </c>
      <c r="BI419">
        <v>0</v>
      </c>
      <c r="BK419" s="151"/>
    </row>
    <row r="420" spans="1:63" x14ac:dyDescent="0.35">
      <c r="A420">
        <v>0</v>
      </c>
      <c r="B420">
        <v>0</v>
      </c>
      <c r="C420">
        <v>0</v>
      </c>
      <c r="D420">
        <v>0</v>
      </c>
      <c r="E420">
        <v>0</v>
      </c>
      <c r="F420">
        <v>0</v>
      </c>
      <c r="G420">
        <v>0</v>
      </c>
      <c r="H420">
        <v>0</v>
      </c>
      <c r="I420">
        <v>0</v>
      </c>
      <c r="J420">
        <v>0</v>
      </c>
      <c r="K420">
        <v>0</v>
      </c>
      <c r="L420">
        <v>0</v>
      </c>
      <c r="M420">
        <v>0</v>
      </c>
      <c r="N420">
        <v>0</v>
      </c>
      <c r="O420">
        <v>0</v>
      </c>
      <c r="P420">
        <v>0</v>
      </c>
      <c r="Q420">
        <v>0</v>
      </c>
      <c r="R420">
        <v>0</v>
      </c>
      <c r="S420">
        <v>0</v>
      </c>
      <c r="T420">
        <v>0</v>
      </c>
      <c r="U420">
        <v>0</v>
      </c>
      <c r="V420">
        <v>0</v>
      </c>
      <c r="W420">
        <v>0</v>
      </c>
      <c r="X420">
        <v>0</v>
      </c>
      <c r="Y420">
        <v>0</v>
      </c>
      <c r="Z420">
        <v>0</v>
      </c>
      <c r="AA420">
        <v>0</v>
      </c>
      <c r="AB420">
        <v>0</v>
      </c>
      <c r="AC420">
        <v>0</v>
      </c>
      <c r="AD420">
        <v>0</v>
      </c>
      <c r="AF420">
        <v>0</v>
      </c>
      <c r="AG420">
        <v>0</v>
      </c>
      <c r="AH420">
        <v>0</v>
      </c>
      <c r="AI420">
        <v>0</v>
      </c>
      <c r="AJ420">
        <v>0</v>
      </c>
      <c r="AK420">
        <v>0</v>
      </c>
      <c r="AL420">
        <v>0</v>
      </c>
      <c r="AM420">
        <v>0</v>
      </c>
      <c r="AN420">
        <v>0</v>
      </c>
      <c r="AO420">
        <v>0</v>
      </c>
      <c r="AP420">
        <v>0</v>
      </c>
      <c r="AQ420">
        <v>0</v>
      </c>
      <c r="AR420">
        <v>0</v>
      </c>
      <c r="AS420">
        <v>0</v>
      </c>
      <c r="AT420">
        <v>0</v>
      </c>
      <c r="AU420">
        <v>0</v>
      </c>
      <c r="AV420">
        <v>0</v>
      </c>
      <c r="AW420">
        <v>0</v>
      </c>
      <c r="AX420">
        <v>0</v>
      </c>
      <c r="AY420">
        <v>0</v>
      </c>
      <c r="AZ420">
        <v>0</v>
      </c>
      <c r="BA420">
        <v>0</v>
      </c>
      <c r="BB420">
        <v>0</v>
      </c>
      <c r="BC420">
        <v>0</v>
      </c>
      <c r="BD420">
        <v>0</v>
      </c>
      <c r="BE420">
        <v>0</v>
      </c>
      <c r="BF420">
        <v>0</v>
      </c>
      <c r="BG420">
        <v>0</v>
      </c>
      <c r="BH420">
        <v>0</v>
      </c>
      <c r="BI420">
        <v>0</v>
      </c>
      <c r="BK420" s="151"/>
    </row>
    <row r="421" spans="1:63" x14ac:dyDescent="0.35">
      <c r="A421">
        <v>0</v>
      </c>
      <c r="B421">
        <v>0</v>
      </c>
      <c r="C421">
        <v>0</v>
      </c>
      <c r="D421">
        <v>0</v>
      </c>
      <c r="E421">
        <v>0</v>
      </c>
      <c r="F421">
        <v>0</v>
      </c>
      <c r="G421">
        <v>0</v>
      </c>
      <c r="H421">
        <v>0</v>
      </c>
      <c r="I421">
        <v>0</v>
      </c>
      <c r="J421">
        <v>0</v>
      </c>
      <c r="K421">
        <v>0</v>
      </c>
      <c r="L421">
        <v>0</v>
      </c>
      <c r="M421">
        <v>0</v>
      </c>
      <c r="N421">
        <v>0</v>
      </c>
      <c r="O421">
        <v>0</v>
      </c>
      <c r="P421">
        <v>0</v>
      </c>
      <c r="Q421">
        <v>0</v>
      </c>
      <c r="R421">
        <v>0</v>
      </c>
      <c r="S421">
        <v>0</v>
      </c>
      <c r="T421">
        <v>0</v>
      </c>
      <c r="U421">
        <v>0</v>
      </c>
      <c r="V421">
        <v>0</v>
      </c>
      <c r="W421">
        <v>0</v>
      </c>
      <c r="X421">
        <v>0</v>
      </c>
      <c r="Y421">
        <v>0</v>
      </c>
      <c r="Z421">
        <v>0</v>
      </c>
      <c r="AA421">
        <v>0</v>
      </c>
      <c r="AB421">
        <v>0</v>
      </c>
      <c r="AC421">
        <v>0</v>
      </c>
      <c r="AD421">
        <v>0</v>
      </c>
      <c r="AF421">
        <v>0</v>
      </c>
      <c r="AG421">
        <v>0</v>
      </c>
      <c r="AH421">
        <v>0</v>
      </c>
      <c r="AI421">
        <v>0</v>
      </c>
      <c r="AJ421">
        <v>0</v>
      </c>
      <c r="AK421">
        <v>0</v>
      </c>
      <c r="AL421">
        <v>0</v>
      </c>
      <c r="AM421">
        <v>0</v>
      </c>
      <c r="AN421">
        <v>0</v>
      </c>
      <c r="AO421">
        <v>0</v>
      </c>
      <c r="AP421">
        <v>0</v>
      </c>
      <c r="AQ421">
        <v>0</v>
      </c>
      <c r="AR421">
        <v>0</v>
      </c>
      <c r="AS421">
        <v>0</v>
      </c>
      <c r="AT421">
        <v>0</v>
      </c>
      <c r="AU421">
        <v>0</v>
      </c>
      <c r="AV421">
        <v>0</v>
      </c>
      <c r="AW421">
        <v>0</v>
      </c>
      <c r="AX421">
        <v>0</v>
      </c>
      <c r="AY421">
        <v>0</v>
      </c>
      <c r="AZ421">
        <v>0</v>
      </c>
      <c r="BA421">
        <v>0</v>
      </c>
      <c r="BB421">
        <v>0</v>
      </c>
      <c r="BC421">
        <v>0</v>
      </c>
      <c r="BD421">
        <v>0</v>
      </c>
      <c r="BE421">
        <v>0</v>
      </c>
      <c r="BF421">
        <v>0</v>
      </c>
      <c r="BG421">
        <v>0</v>
      </c>
      <c r="BH421">
        <v>0</v>
      </c>
      <c r="BI421">
        <v>0</v>
      </c>
      <c r="BK421" s="151"/>
    </row>
    <row r="422" spans="1:63" x14ac:dyDescent="0.35">
      <c r="A422">
        <v>0</v>
      </c>
      <c r="B422">
        <v>0</v>
      </c>
      <c r="C422">
        <v>0</v>
      </c>
      <c r="D422">
        <v>0</v>
      </c>
      <c r="E422">
        <v>0</v>
      </c>
      <c r="F422">
        <v>0</v>
      </c>
      <c r="G422">
        <v>0</v>
      </c>
      <c r="H422">
        <v>0</v>
      </c>
      <c r="I422">
        <v>0</v>
      </c>
      <c r="J422">
        <v>0</v>
      </c>
      <c r="K422">
        <v>0</v>
      </c>
      <c r="L422">
        <v>0</v>
      </c>
      <c r="M422">
        <v>0</v>
      </c>
      <c r="N422">
        <v>0</v>
      </c>
      <c r="O422">
        <v>0</v>
      </c>
      <c r="P422">
        <v>0</v>
      </c>
      <c r="Q422">
        <v>0</v>
      </c>
      <c r="R422">
        <v>0</v>
      </c>
      <c r="S422">
        <v>0</v>
      </c>
      <c r="T422">
        <v>0</v>
      </c>
      <c r="U422">
        <v>0</v>
      </c>
      <c r="V422">
        <v>0</v>
      </c>
      <c r="W422">
        <v>0</v>
      </c>
      <c r="X422">
        <v>0</v>
      </c>
      <c r="Y422">
        <v>0</v>
      </c>
      <c r="Z422">
        <v>0</v>
      </c>
      <c r="AA422">
        <v>0</v>
      </c>
      <c r="AB422">
        <v>0</v>
      </c>
      <c r="AC422">
        <v>0</v>
      </c>
      <c r="AD422">
        <v>0</v>
      </c>
      <c r="AF422">
        <v>0</v>
      </c>
      <c r="AG422">
        <v>0</v>
      </c>
      <c r="AH422">
        <v>0</v>
      </c>
      <c r="AI422">
        <v>0</v>
      </c>
      <c r="AJ422">
        <v>0</v>
      </c>
      <c r="AK422">
        <v>0</v>
      </c>
      <c r="AL422">
        <v>0</v>
      </c>
      <c r="AM422">
        <v>0</v>
      </c>
      <c r="AN422">
        <v>0</v>
      </c>
      <c r="AO422">
        <v>0</v>
      </c>
      <c r="AP422">
        <v>0</v>
      </c>
      <c r="AQ422">
        <v>0</v>
      </c>
      <c r="AR422">
        <v>0</v>
      </c>
      <c r="AS422">
        <v>0</v>
      </c>
      <c r="AT422">
        <v>0</v>
      </c>
      <c r="AU422">
        <v>0</v>
      </c>
      <c r="AV422">
        <v>0</v>
      </c>
      <c r="AW422">
        <v>0</v>
      </c>
      <c r="AX422">
        <v>0</v>
      </c>
      <c r="AY422">
        <v>0</v>
      </c>
      <c r="AZ422">
        <v>0</v>
      </c>
      <c r="BA422">
        <v>0</v>
      </c>
      <c r="BB422">
        <v>0</v>
      </c>
      <c r="BC422">
        <v>0</v>
      </c>
      <c r="BD422">
        <v>0</v>
      </c>
      <c r="BE422">
        <v>0</v>
      </c>
      <c r="BF422">
        <v>0</v>
      </c>
      <c r="BG422">
        <v>0</v>
      </c>
      <c r="BH422">
        <v>0</v>
      </c>
      <c r="BI422">
        <v>0</v>
      </c>
      <c r="BK422" s="151"/>
    </row>
    <row r="423" spans="1:63" x14ac:dyDescent="0.35">
      <c r="A423">
        <v>0</v>
      </c>
      <c r="B423">
        <v>0</v>
      </c>
      <c r="C423">
        <v>0</v>
      </c>
      <c r="D423">
        <v>0</v>
      </c>
      <c r="E423">
        <v>0</v>
      </c>
      <c r="F423">
        <v>0</v>
      </c>
      <c r="G423">
        <v>0</v>
      </c>
      <c r="H423">
        <v>0</v>
      </c>
      <c r="I423">
        <v>0</v>
      </c>
      <c r="J423">
        <v>0</v>
      </c>
      <c r="K423">
        <v>0</v>
      </c>
      <c r="L423">
        <v>0</v>
      </c>
      <c r="M423">
        <v>0</v>
      </c>
      <c r="N423">
        <v>0</v>
      </c>
      <c r="O423">
        <v>0</v>
      </c>
      <c r="P423">
        <v>0</v>
      </c>
      <c r="Q423">
        <v>0</v>
      </c>
      <c r="R423">
        <v>0</v>
      </c>
      <c r="S423">
        <v>0</v>
      </c>
      <c r="T423">
        <v>0</v>
      </c>
      <c r="U423">
        <v>0</v>
      </c>
      <c r="V423">
        <v>0</v>
      </c>
      <c r="W423">
        <v>0</v>
      </c>
      <c r="X423">
        <v>0</v>
      </c>
      <c r="Y423">
        <v>0</v>
      </c>
      <c r="Z423">
        <v>0</v>
      </c>
      <c r="AA423">
        <v>0</v>
      </c>
      <c r="AB423">
        <v>0</v>
      </c>
      <c r="AC423">
        <v>0</v>
      </c>
      <c r="AD423">
        <v>0</v>
      </c>
      <c r="AF423">
        <v>0</v>
      </c>
      <c r="AG423">
        <v>0</v>
      </c>
      <c r="AH423">
        <v>0</v>
      </c>
      <c r="AI423">
        <v>0</v>
      </c>
      <c r="AJ423">
        <v>0</v>
      </c>
      <c r="AK423">
        <v>0</v>
      </c>
      <c r="AL423">
        <v>0</v>
      </c>
      <c r="AM423">
        <v>0</v>
      </c>
      <c r="AN423">
        <v>0</v>
      </c>
      <c r="AO423">
        <v>0</v>
      </c>
      <c r="AP423">
        <v>0</v>
      </c>
      <c r="AQ423">
        <v>0</v>
      </c>
      <c r="AR423">
        <v>0</v>
      </c>
      <c r="AS423">
        <v>0</v>
      </c>
      <c r="AT423">
        <v>0</v>
      </c>
      <c r="AU423">
        <v>0</v>
      </c>
      <c r="AV423">
        <v>0</v>
      </c>
      <c r="AW423">
        <v>0</v>
      </c>
      <c r="AX423">
        <v>0</v>
      </c>
      <c r="AY423">
        <v>0</v>
      </c>
      <c r="AZ423">
        <v>0</v>
      </c>
      <c r="BA423">
        <v>0</v>
      </c>
      <c r="BB423">
        <v>0</v>
      </c>
      <c r="BC423">
        <v>0</v>
      </c>
      <c r="BD423">
        <v>0</v>
      </c>
      <c r="BE423">
        <v>0</v>
      </c>
      <c r="BF423">
        <v>0</v>
      </c>
      <c r="BG423">
        <v>0</v>
      </c>
      <c r="BH423">
        <v>0</v>
      </c>
      <c r="BI423">
        <v>0</v>
      </c>
      <c r="BK423" s="151"/>
    </row>
    <row r="424" spans="1:63" x14ac:dyDescent="0.35">
      <c r="A424">
        <v>0</v>
      </c>
      <c r="B424">
        <v>0</v>
      </c>
      <c r="C424">
        <v>0</v>
      </c>
      <c r="D424">
        <v>0</v>
      </c>
      <c r="E424">
        <v>0</v>
      </c>
      <c r="F424">
        <v>0</v>
      </c>
      <c r="G424">
        <v>0</v>
      </c>
      <c r="H424">
        <v>0</v>
      </c>
      <c r="I424">
        <v>0</v>
      </c>
      <c r="J424">
        <v>0</v>
      </c>
      <c r="K424">
        <v>0</v>
      </c>
      <c r="L424">
        <v>0</v>
      </c>
      <c r="M424">
        <v>0</v>
      </c>
      <c r="N424">
        <v>0</v>
      </c>
      <c r="O424">
        <v>0</v>
      </c>
      <c r="P424">
        <v>0</v>
      </c>
      <c r="Q424">
        <v>0</v>
      </c>
      <c r="R424">
        <v>0</v>
      </c>
      <c r="S424">
        <v>0</v>
      </c>
      <c r="T424">
        <v>0</v>
      </c>
      <c r="U424">
        <v>0</v>
      </c>
      <c r="V424">
        <v>0</v>
      </c>
      <c r="W424">
        <v>0</v>
      </c>
      <c r="X424">
        <v>0</v>
      </c>
      <c r="Y424">
        <v>0</v>
      </c>
      <c r="Z424">
        <v>0</v>
      </c>
      <c r="AA424">
        <v>0</v>
      </c>
      <c r="AB424">
        <v>0</v>
      </c>
      <c r="AC424">
        <v>0</v>
      </c>
      <c r="AD424">
        <v>0</v>
      </c>
      <c r="AF424">
        <v>0</v>
      </c>
      <c r="AG424">
        <v>0</v>
      </c>
      <c r="AH424">
        <v>0</v>
      </c>
      <c r="AI424">
        <v>0</v>
      </c>
      <c r="AJ424">
        <v>0</v>
      </c>
      <c r="AK424">
        <v>0</v>
      </c>
      <c r="AL424">
        <v>0</v>
      </c>
      <c r="AM424">
        <v>0</v>
      </c>
      <c r="AN424">
        <v>0</v>
      </c>
      <c r="AO424">
        <v>0</v>
      </c>
      <c r="AP424">
        <v>0</v>
      </c>
      <c r="AQ424">
        <v>0</v>
      </c>
      <c r="AR424">
        <v>0</v>
      </c>
      <c r="AS424">
        <v>0</v>
      </c>
      <c r="AT424">
        <v>0</v>
      </c>
      <c r="AU424">
        <v>0</v>
      </c>
      <c r="AV424">
        <v>0</v>
      </c>
      <c r="AW424">
        <v>0</v>
      </c>
      <c r="AX424">
        <v>0</v>
      </c>
      <c r="AY424">
        <v>0</v>
      </c>
      <c r="AZ424">
        <v>0</v>
      </c>
      <c r="BA424">
        <v>0</v>
      </c>
      <c r="BB424">
        <v>0</v>
      </c>
      <c r="BC424">
        <v>0</v>
      </c>
      <c r="BD424">
        <v>0</v>
      </c>
      <c r="BE424">
        <v>0</v>
      </c>
      <c r="BF424">
        <v>0</v>
      </c>
      <c r="BG424">
        <v>0</v>
      </c>
      <c r="BH424">
        <v>0</v>
      </c>
      <c r="BI424">
        <v>0</v>
      </c>
      <c r="BK424" s="151"/>
    </row>
    <row r="425" spans="1:63" x14ac:dyDescent="0.35">
      <c r="A425">
        <v>0</v>
      </c>
      <c r="B425">
        <v>0</v>
      </c>
      <c r="C425">
        <v>0</v>
      </c>
      <c r="D425">
        <v>0</v>
      </c>
      <c r="E425">
        <v>0</v>
      </c>
      <c r="F425">
        <v>0</v>
      </c>
      <c r="G425">
        <v>0</v>
      </c>
      <c r="H425">
        <v>0</v>
      </c>
      <c r="I425">
        <v>0</v>
      </c>
      <c r="J425">
        <v>0</v>
      </c>
      <c r="K425">
        <v>0</v>
      </c>
      <c r="L425">
        <v>0</v>
      </c>
      <c r="M425">
        <v>0</v>
      </c>
      <c r="N425">
        <v>0</v>
      </c>
      <c r="O425">
        <v>0</v>
      </c>
      <c r="P425">
        <v>0</v>
      </c>
      <c r="Q425">
        <v>0</v>
      </c>
      <c r="R425">
        <v>0</v>
      </c>
      <c r="S425">
        <v>0</v>
      </c>
      <c r="T425">
        <v>0</v>
      </c>
      <c r="U425">
        <v>0</v>
      </c>
      <c r="V425">
        <v>0</v>
      </c>
      <c r="W425">
        <v>0</v>
      </c>
      <c r="X425">
        <v>0</v>
      </c>
      <c r="Y425">
        <v>0</v>
      </c>
      <c r="Z425">
        <v>0</v>
      </c>
      <c r="AA425">
        <v>0</v>
      </c>
      <c r="AB425">
        <v>0</v>
      </c>
      <c r="AC425">
        <v>0</v>
      </c>
      <c r="AD425">
        <v>0</v>
      </c>
      <c r="AF425">
        <v>0</v>
      </c>
      <c r="AG425">
        <v>0</v>
      </c>
      <c r="AH425">
        <v>0</v>
      </c>
      <c r="AI425">
        <v>0</v>
      </c>
      <c r="AJ425">
        <v>0</v>
      </c>
      <c r="AK425">
        <v>0</v>
      </c>
      <c r="AL425">
        <v>0</v>
      </c>
      <c r="AM425">
        <v>0</v>
      </c>
      <c r="AN425">
        <v>0</v>
      </c>
      <c r="AO425">
        <v>0</v>
      </c>
      <c r="AP425">
        <v>0</v>
      </c>
      <c r="AQ425">
        <v>0</v>
      </c>
      <c r="AR425">
        <v>0</v>
      </c>
      <c r="AS425">
        <v>0</v>
      </c>
      <c r="AT425">
        <v>0</v>
      </c>
      <c r="AU425">
        <v>0</v>
      </c>
      <c r="AV425">
        <v>0</v>
      </c>
      <c r="AW425">
        <v>0</v>
      </c>
      <c r="AX425">
        <v>0</v>
      </c>
      <c r="AY425">
        <v>0</v>
      </c>
      <c r="AZ425">
        <v>0</v>
      </c>
      <c r="BA425">
        <v>0</v>
      </c>
      <c r="BB425">
        <v>0</v>
      </c>
      <c r="BC425">
        <v>0</v>
      </c>
      <c r="BD425">
        <v>0</v>
      </c>
      <c r="BE425">
        <v>0</v>
      </c>
      <c r="BF425">
        <v>0</v>
      </c>
      <c r="BG425">
        <v>0</v>
      </c>
      <c r="BH425">
        <v>0</v>
      </c>
      <c r="BI425">
        <v>0</v>
      </c>
      <c r="BK425" s="151"/>
    </row>
    <row r="426" spans="1:63" x14ac:dyDescent="0.35">
      <c r="A426">
        <v>0</v>
      </c>
      <c r="B426">
        <v>0</v>
      </c>
      <c r="C426">
        <v>0</v>
      </c>
      <c r="D426">
        <v>0</v>
      </c>
      <c r="E426">
        <v>0</v>
      </c>
      <c r="F426">
        <v>0</v>
      </c>
      <c r="G426">
        <v>0</v>
      </c>
      <c r="H426">
        <v>0</v>
      </c>
      <c r="I426">
        <v>0</v>
      </c>
      <c r="J426">
        <v>0</v>
      </c>
      <c r="K426">
        <v>0</v>
      </c>
      <c r="L426">
        <v>0</v>
      </c>
      <c r="M426">
        <v>0</v>
      </c>
      <c r="N426">
        <v>0</v>
      </c>
      <c r="O426">
        <v>0</v>
      </c>
      <c r="P426">
        <v>0</v>
      </c>
      <c r="Q426">
        <v>0</v>
      </c>
      <c r="R426">
        <v>0</v>
      </c>
      <c r="S426">
        <v>0</v>
      </c>
      <c r="T426">
        <v>0</v>
      </c>
      <c r="U426">
        <v>0</v>
      </c>
      <c r="V426">
        <v>0</v>
      </c>
      <c r="W426">
        <v>0</v>
      </c>
      <c r="X426">
        <v>0</v>
      </c>
      <c r="Y426">
        <v>0</v>
      </c>
      <c r="Z426">
        <v>0</v>
      </c>
      <c r="AA426">
        <v>0</v>
      </c>
      <c r="AB426">
        <v>0</v>
      </c>
      <c r="AC426">
        <v>0</v>
      </c>
      <c r="AD426">
        <v>0</v>
      </c>
      <c r="AF426">
        <v>0</v>
      </c>
      <c r="AG426">
        <v>0</v>
      </c>
      <c r="AH426">
        <v>0</v>
      </c>
      <c r="AI426">
        <v>0</v>
      </c>
      <c r="AJ426">
        <v>0</v>
      </c>
      <c r="AK426">
        <v>0</v>
      </c>
      <c r="AL426">
        <v>0</v>
      </c>
      <c r="AM426">
        <v>0</v>
      </c>
      <c r="AN426">
        <v>0</v>
      </c>
      <c r="AO426">
        <v>0</v>
      </c>
      <c r="AP426">
        <v>0</v>
      </c>
      <c r="AQ426">
        <v>0</v>
      </c>
      <c r="AR426">
        <v>0</v>
      </c>
      <c r="AS426">
        <v>0</v>
      </c>
      <c r="AT426">
        <v>0</v>
      </c>
      <c r="AU426">
        <v>0</v>
      </c>
      <c r="AV426">
        <v>0</v>
      </c>
      <c r="AW426">
        <v>0</v>
      </c>
      <c r="AX426">
        <v>0</v>
      </c>
      <c r="AY426">
        <v>0</v>
      </c>
      <c r="AZ426">
        <v>0</v>
      </c>
      <c r="BA426">
        <v>0</v>
      </c>
      <c r="BB426">
        <v>0</v>
      </c>
      <c r="BC426">
        <v>0</v>
      </c>
      <c r="BD426">
        <v>0</v>
      </c>
      <c r="BE426">
        <v>0</v>
      </c>
      <c r="BF426">
        <v>0</v>
      </c>
      <c r="BG426">
        <v>0</v>
      </c>
      <c r="BH426">
        <v>0</v>
      </c>
      <c r="BI426">
        <v>0</v>
      </c>
      <c r="BK426" s="151"/>
    </row>
    <row r="427" spans="1:63" x14ac:dyDescent="0.35">
      <c r="A427">
        <v>0</v>
      </c>
      <c r="B427">
        <v>0</v>
      </c>
      <c r="C427">
        <v>0</v>
      </c>
      <c r="D427">
        <v>0</v>
      </c>
      <c r="E427">
        <v>0</v>
      </c>
      <c r="F427">
        <v>0</v>
      </c>
      <c r="G427">
        <v>0</v>
      </c>
      <c r="H427">
        <v>0</v>
      </c>
      <c r="I427">
        <v>0</v>
      </c>
      <c r="J427">
        <v>0</v>
      </c>
      <c r="K427">
        <v>0</v>
      </c>
      <c r="L427">
        <v>0</v>
      </c>
      <c r="M427">
        <v>0</v>
      </c>
      <c r="N427">
        <v>0</v>
      </c>
      <c r="O427">
        <v>0</v>
      </c>
      <c r="P427">
        <v>0</v>
      </c>
      <c r="Q427">
        <v>0</v>
      </c>
      <c r="R427">
        <v>0</v>
      </c>
      <c r="S427">
        <v>0</v>
      </c>
      <c r="T427">
        <v>0</v>
      </c>
      <c r="U427">
        <v>0</v>
      </c>
      <c r="V427">
        <v>0</v>
      </c>
      <c r="W427">
        <v>0</v>
      </c>
      <c r="X427">
        <v>0</v>
      </c>
      <c r="Y427">
        <v>0</v>
      </c>
      <c r="Z427">
        <v>0</v>
      </c>
      <c r="AA427">
        <v>0</v>
      </c>
      <c r="AB427">
        <v>0</v>
      </c>
      <c r="AC427">
        <v>0</v>
      </c>
      <c r="AD427">
        <v>0</v>
      </c>
      <c r="AF427">
        <v>0</v>
      </c>
      <c r="AG427">
        <v>0</v>
      </c>
      <c r="AH427">
        <v>0</v>
      </c>
      <c r="AI427">
        <v>0</v>
      </c>
      <c r="AJ427">
        <v>0</v>
      </c>
      <c r="AK427">
        <v>0</v>
      </c>
      <c r="AL427">
        <v>0</v>
      </c>
      <c r="AM427">
        <v>0</v>
      </c>
      <c r="AN427">
        <v>0</v>
      </c>
      <c r="AO427">
        <v>0</v>
      </c>
      <c r="AP427">
        <v>0</v>
      </c>
      <c r="AQ427">
        <v>0</v>
      </c>
      <c r="AR427">
        <v>0</v>
      </c>
      <c r="AS427">
        <v>0</v>
      </c>
      <c r="AT427">
        <v>0</v>
      </c>
      <c r="AU427">
        <v>0</v>
      </c>
      <c r="AV427">
        <v>0</v>
      </c>
      <c r="AW427">
        <v>0</v>
      </c>
      <c r="AX427">
        <v>0</v>
      </c>
      <c r="AY427">
        <v>0</v>
      </c>
      <c r="AZ427">
        <v>0</v>
      </c>
      <c r="BA427">
        <v>0</v>
      </c>
      <c r="BB427">
        <v>0</v>
      </c>
      <c r="BC427">
        <v>0</v>
      </c>
      <c r="BD427">
        <v>0</v>
      </c>
      <c r="BE427">
        <v>0</v>
      </c>
      <c r="BF427">
        <v>0</v>
      </c>
      <c r="BG427">
        <v>0</v>
      </c>
      <c r="BH427">
        <v>0</v>
      </c>
      <c r="BI427">
        <v>0</v>
      </c>
      <c r="BK427" s="151"/>
    </row>
    <row r="428" spans="1:63" x14ac:dyDescent="0.35">
      <c r="A428">
        <v>0</v>
      </c>
      <c r="B428">
        <v>0</v>
      </c>
      <c r="C428">
        <v>0</v>
      </c>
      <c r="D428">
        <v>0</v>
      </c>
      <c r="E428">
        <v>0</v>
      </c>
      <c r="F428">
        <v>0</v>
      </c>
      <c r="G428">
        <v>0</v>
      </c>
      <c r="H428">
        <v>0</v>
      </c>
      <c r="I428">
        <v>0</v>
      </c>
      <c r="J428">
        <v>0</v>
      </c>
      <c r="K428">
        <v>0</v>
      </c>
      <c r="L428">
        <v>0</v>
      </c>
      <c r="M428">
        <v>0</v>
      </c>
      <c r="N428">
        <v>0</v>
      </c>
      <c r="O428">
        <v>0</v>
      </c>
      <c r="P428">
        <v>0</v>
      </c>
      <c r="Q428">
        <v>0</v>
      </c>
      <c r="R428">
        <v>0</v>
      </c>
      <c r="S428">
        <v>0</v>
      </c>
      <c r="T428">
        <v>0</v>
      </c>
      <c r="U428">
        <v>0</v>
      </c>
      <c r="V428">
        <v>0</v>
      </c>
      <c r="W428">
        <v>0</v>
      </c>
      <c r="X428">
        <v>0</v>
      </c>
      <c r="Y428">
        <v>0</v>
      </c>
      <c r="Z428">
        <v>0</v>
      </c>
      <c r="AA428">
        <v>0</v>
      </c>
      <c r="AB428">
        <v>0</v>
      </c>
      <c r="AC428">
        <v>0</v>
      </c>
      <c r="AD428">
        <v>0</v>
      </c>
      <c r="AF428">
        <v>0</v>
      </c>
      <c r="AG428">
        <v>0</v>
      </c>
      <c r="AH428">
        <v>0</v>
      </c>
      <c r="AI428">
        <v>0</v>
      </c>
      <c r="AJ428">
        <v>0</v>
      </c>
      <c r="AK428">
        <v>0</v>
      </c>
      <c r="AL428">
        <v>0</v>
      </c>
      <c r="AM428">
        <v>0</v>
      </c>
      <c r="AN428">
        <v>0</v>
      </c>
      <c r="AO428">
        <v>0</v>
      </c>
      <c r="AP428">
        <v>0</v>
      </c>
      <c r="AQ428">
        <v>0</v>
      </c>
      <c r="AR428">
        <v>0</v>
      </c>
      <c r="AS428">
        <v>0</v>
      </c>
      <c r="AT428">
        <v>0</v>
      </c>
      <c r="AU428">
        <v>0</v>
      </c>
      <c r="AV428">
        <v>0</v>
      </c>
      <c r="AW428">
        <v>0</v>
      </c>
      <c r="AX428">
        <v>0</v>
      </c>
      <c r="AY428">
        <v>0</v>
      </c>
      <c r="AZ428">
        <v>0</v>
      </c>
      <c r="BA428">
        <v>0</v>
      </c>
      <c r="BB428">
        <v>0</v>
      </c>
      <c r="BC428">
        <v>0</v>
      </c>
      <c r="BD428">
        <v>0</v>
      </c>
      <c r="BE428">
        <v>0</v>
      </c>
      <c r="BF428">
        <v>0</v>
      </c>
      <c r="BG428">
        <v>0</v>
      </c>
      <c r="BH428">
        <v>0</v>
      </c>
      <c r="BI428">
        <v>0</v>
      </c>
      <c r="BK428" s="151"/>
    </row>
    <row r="429" spans="1:63" x14ac:dyDescent="0.35">
      <c r="A429">
        <v>0</v>
      </c>
      <c r="B429">
        <v>0</v>
      </c>
      <c r="C429">
        <v>0</v>
      </c>
      <c r="D429">
        <v>0</v>
      </c>
      <c r="E429">
        <v>0</v>
      </c>
      <c r="F429">
        <v>0</v>
      </c>
      <c r="G429">
        <v>0</v>
      </c>
      <c r="H429">
        <v>0</v>
      </c>
      <c r="I429">
        <v>0</v>
      </c>
      <c r="J429">
        <v>0</v>
      </c>
      <c r="K429">
        <v>0</v>
      </c>
      <c r="L429">
        <v>0</v>
      </c>
      <c r="M429">
        <v>0</v>
      </c>
      <c r="N429">
        <v>0</v>
      </c>
      <c r="O429">
        <v>0</v>
      </c>
      <c r="P429">
        <v>0</v>
      </c>
      <c r="Q429">
        <v>0</v>
      </c>
      <c r="R429">
        <v>0</v>
      </c>
      <c r="S429">
        <v>0</v>
      </c>
      <c r="T429">
        <v>0</v>
      </c>
      <c r="U429">
        <v>0</v>
      </c>
      <c r="V429">
        <v>0</v>
      </c>
      <c r="W429">
        <v>0</v>
      </c>
      <c r="X429">
        <v>0</v>
      </c>
      <c r="Y429">
        <v>0</v>
      </c>
      <c r="Z429">
        <v>0</v>
      </c>
      <c r="AA429">
        <v>0</v>
      </c>
      <c r="AB429">
        <v>0</v>
      </c>
      <c r="AC429">
        <v>0</v>
      </c>
      <c r="AD429">
        <v>0</v>
      </c>
      <c r="AF429">
        <v>0</v>
      </c>
      <c r="AG429">
        <v>0</v>
      </c>
      <c r="AH429">
        <v>0</v>
      </c>
      <c r="AI429">
        <v>0</v>
      </c>
      <c r="AJ429">
        <v>0</v>
      </c>
      <c r="AK429">
        <v>0</v>
      </c>
      <c r="AL429">
        <v>0</v>
      </c>
      <c r="AM429">
        <v>0</v>
      </c>
      <c r="AN429">
        <v>0</v>
      </c>
      <c r="AO429">
        <v>0</v>
      </c>
      <c r="AP429">
        <v>0</v>
      </c>
      <c r="AQ429">
        <v>0</v>
      </c>
      <c r="AR429">
        <v>0</v>
      </c>
      <c r="AS429">
        <v>0</v>
      </c>
      <c r="AT429">
        <v>0</v>
      </c>
      <c r="AU429">
        <v>0</v>
      </c>
      <c r="AV429">
        <v>0</v>
      </c>
      <c r="AW429">
        <v>0</v>
      </c>
      <c r="AX429">
        <v>0</v>
      </c>
      <c r="AY429">
        <v>0</v>
      </c>
      <c r="AZ429">
        <v>0</v>
      </c>
      <c r="BA429">
        <v>0</v>
      </c>
      <c r="BB429">
        <v>0</v>
      </c>
      <c r="BC429">
        <v>0</v>
      </c>
      <c r="BD429">
        <v>0</v>
      </c>
      <c r="BE429">
        <v>0</v>
      </c>
      <c r="BF429">
        <v>0</v>
      </c>
      <c r="BG429">
        <v>0</v>
      </c>
      <c r="BH429">
        <v>0</v>
      </c>
      <c r="BI429">
        <v>0</v>
      </c>
      <c r="BK429" s="151"/>
    </row>
    <row r="430" spans="1:63" x14ac:dyDescent="0.35">
      <c r="A430">
        <v>0</v>
      </c>
      <c r="B430">
        <v>0</v>
      </c>
      <c r="C430">
        <v>0</v>
      </c>
      <c r="D430">
        <v>0</v>
      </c>
      <c r="E430">
        <v>0</v>
      </c>
      <c r="F430">
        <v>0</v>
      </c>
      <c r="G430">
        <v>0</v>
      </c>
      <c r="H430">
        <v>0</v>
      </c>
      <c r="I430">
        <v>0</v>
      </c>
      <c r="J430">
        <v>0</v>
      </c>
      <c r="K430">
        <v>0</v>
      </c>
      <c r="L430">
        <v>0</v>
      </c>
      <c r="M430">
        <v>0</v>
      </c>
      <c r="N430">
        <v>0</v>
      </c>
      <c r="O430">
        <v>0</v>
      </c>
      <c r="P430">
        <v>0</v>
      </c>
      <c r="Q430">
        <v>0</v>
      </c>
      <c r="R430">
        <v>0</v>
      </c>
      <c r="S430">
        <v>0</v>
      </c>
      <c r="T430">
        <v>0</v>
      </c>
      <c r="U430">
        <v>0</v>
      </c>
      <c r="V430">
        <v>0</v>
      </c>
      <c r="W430">
        <v>0</v>
      </c>
      <c r="X430">
        <v>0</v>
      </c>
      <c r="Y430">
        <v>0</v>
      </c>
      <c r="Z430">
        <v>0</v>
      </c>
      <c r="AA430">
        <v>0</v>
      </c>
      <c r="AB430">
        <v>0</v>
      </c>
      <c r="AC430">
        <v>0</v>
      </c>
      <c r="AD430">
        <v>0</v>
      </c>
      <c r="AF430">
        <v>0</v>
      </c>
      <c r="AG430">
        <v>0</v>
      </c>
      <c r="AH430">
        <v>0</v>
      </c>
      <c r="AI430">
        <v>0</v>
      </c>
      <c r="AJ430">
        <v>0</v>
      </c>
      <c r="AK430">
        <v>0</v>
      </c>
      <c r="AL430">
        <v>0</v>
      </c>
      <c r="AM430">
        <v>0</v>
      </c>
      <c r="AN430">
        <v>0</v>
      </c>
      <c r="AO430">
        <v>0</v>
      </c>
      <c r="AP430">
        <v>0</v>
      </c>
      <c r="AQ430">
        <v>0</v>
      </c>
      <c r="AR430">
        <v>0</v>
      </c>
      <c r="AS430">
        <v>0</v>
      </c>
      <c r="AT430">
        <v>0</v>
      </c>
      <c r="AU430">
        <v>0</v>
      </c>
      <c r="AV430">
        <v>0</v>
      </c>
      <c r="AW430">
        <v>0</v>
      </c>
      <c r="AX430">
        <v>0</v>
      </c>
      <c r="AY430">
        <v>0</v>
      </c>
      <c r="AZ430">
        <v>0</v>
      </c>
      <c r="BA430">
        <v>0</v>
      </c>
      <c r="BB430">
        <v>0</v>
      </c>
      <c r="BC430">
        <v>0</v>
      </c>
      <c r="BD430">
        <v>0</v>
      </c>
      <c r="BE430">
        <v>0</v>
      </c>
      <c r="BF430">
        <v>0</v>
      </c>
      <c r="BG430">
        <v>0</v>
      </c>
      <c r="BH430">
        <v>0</v>
      </c>
      <c r="BI430">
        <v>0</v>
      </c>
      <c r="BK430" s="151"/>
    </row>
    <row r="431" spans="1:63" x14ac:dyDescent="0.35">
      <c r="A431">
        <v>0</v>
      </c>
      <c r="B431">
        <v>0</v>
      </c>
      <c r="C431">
        <v>0</v>
      </c>
      <c r="D431">
        <v>0</v>
      </c>
      <c r="E431">
        <v>0</v>
      </c>
      <c r="F431">
        <v>0</v>
      </c>
      <c r="G431">
        <v>0</v>
      </c>
      <c r="H431">
        <v>0</v>
      </c>
      <c r="I431">
        <v>0</v>
      </c>
      <c r="J431">
        <v>0</v>
      </c>
      <c r="K431">
        <v>0</v>
      </c>
      <c r="L431">
        <v>0</v>
      </c>
      <c r="M431">
        <v>0</v>
      </c>
      <c r="N431">
        <v>0</v>
      </c>
      <c r="O431">
        <v>0</v>
      </c>
      <c r="P431">
        <v>0</v>
      </c>
      <c r="Q431">
        <v>0</v>
      </c>
      <c r="R431">
        <v>0</v>
      </c>
      <c r="S431">
        <v>0</v>
      </c>
      <c r="T431">
        <v>0</v>
      </c>
      <c r="U431">
        <v>0</v>
      </c>
      <c r="V431">
        <v>0</v>
      </c>
      <c r="W431">
        <v>0</v>
      </c>
      <c r="X431">
        <v>0</v>
      </c>
      <c r="Y431">
        <v>0</v>
      </c>
      <c r="Z431">
        <v>0</v>
      </c>
      <c r="AA431">
        <v>0</v>
      </c>
      <c r="AB431">
        <v>0</v>
      </c>
      <c r="AC431">
        <v>0</v>
      </c>
      <c r="AD431">
        <v>0</v>
      </c>
      <c r="AF431">
        <v>0</v>
      </c>
      <c r="AG431">
        <v>0</v>
      </c>
      <c r="AH431">
        <v>0</v>
      </c>
      <c r="AI431">
        <v>0</v>
      </c>
      <c r="AJ431">
        <v>0</v>
      </c>
      <c r="AK431">
        <v>0</v>
      </c>
      <c r="AL431">
        <v>0</v>
      </c>
      <c r="AM431">
        <v>0</v>
      </c>
      <c r="AN431">
        <v>0</v>
      </c>
      <c r="AO431">
        <v>0</v>
      </c>
      <c r="AP431">
        <v>0</v>
      </c>
      <c r="AQ431">
        <v>0</v>
      </c>
      <c r="AR431">
        <v>0</v>
      </c>
      <c r="AS431">
        <v>0</v>
      </c>
      <c r="AT431">
        <v>0</v>
      </c>
      <c r="AU431">
        <v>0</v>
      </c>
      <c r="AV431">
        <v>0</v>
      </c>
      <c r="AW431">
        <v>0</v>
      </c>
      <c r="AX431">
        <v>0</v>
      </c>
      <c r="AY431">
        <v>0</v>
      </c>
      <c r="AZ431">
        <v>0</v>
      </c>
      <c r="BA431">
        <v>0</v>
      </c>
      <c r="BB431">
        <v>0</v>
      </c>
      <c r="BC431">
        <v>0</v>
      </c>
      <c r="BD431">
        <v>0</v>
      </c>
      <c r="BE431">
        <v>0</v>
      </c>
      <c r="BF431">
        <v>0</v>
      </c>
      <c r="BG431">
        <v>0</v>
      </c>
      <c r="BH431">
        <v>0</v>
      </c>
      <c r="BI431">
        <v>0</v>
      </c>
      <c r="BK431" s="151"/>
    </row>
    <row r="432" spans="1:63" x14ac:dyDescent="0.35">
      <c r="A432">
        <v>0</v>
      </c>
      <c r="B432">
        <v>0</v>
      </c>
      <c r="C432">
        <v>0</v>
      </c>
      <c r="D432">
        <v>0</v>
      </c>
      <c r="E432">
        <v>0</v>
      </c>
      <c r="F432">
        <v>0</v>
      </c>
      <c r="G432">
        <v>0</v>
      </c>
      <c r="H432">
        <v>0</v>
      </c>
      <c r="I432">
        <v>0</v>
      </c>
      <c r="J432">
        <v>0</v>
      </c>
      <c r="K432">
        <v>0</v>
      </c>
      <c r="L432">
        <v>0</v>
      </c>
      <c r="M432">
        <v>0</v>
      </c>
      <c r="N432">
        <v>0</v>
      </c>
      <c r="O432">
        <v>0</v>
      </c>
      <c r="P432">
        <v>0</v>
      </c>
      <c r="Q432">
        <v>0</v>
      </c>
      <c r="R432">
        <v>0</v>
      </c>
      <c r="S432">
        <v>0</v>
      </c>
      <c r="T432">
        <v>0</v>
      </c>
      <c r="U432">
        <v>0</v>
      </c>
      <c r="V432">
        <v>0</v>
      </c>
      <c r="W432">
        <v>0</v>
      </c>
      <c r="X432">
        <v>0</v>
      </c>
      <c r="Y432">
        <v>0</v>
      </c>
      <c r="Z432">
        <v>0</v>
      </c>
      <c r="AA432">
        <v>0</v>
      </c>
      <c r="AB432">
        <v>0</v>
      </c>
      <c r="AC432">
        <v>0</v>
      </c>
      <c r="AD432">
        <v>0</v>
      </c>
      <c r="AF432">
        <v>0</v>
      </c>
      <c r="AG432">
        <v>0</v>
      </c>
      <c r="AH432">
        <v>0</v>
      </c>
      <c r="AI432">
        <v>0</v>
      </c>
      <c r="AJ432">
        <v>0</v>
      </c>
      <c r="AK432">
        <v>0</v>
      </c>
      <c r="AL432">
        <v>0</v>
      </c>
      <c r="AM432">
        <v>0</v>
      </c>
      <c r="AN432">
        <v>0</v>
      </c>
      <c r="AO432">
        <v>0</v>
      </c>
      <c r="AP432">
        <v>0</v>
      </c>
      <c r="AQ432">
        <v>0</v>
      </c>
      <c r="AR432">
        <v>0</v>
      </c>
      <c r="AS432">
        <v>0</v>
      </c>
      <c r="AT432">
        <v>0</v>
      </c>
      <c r="AU432">
        <v>0</v>
      </c>
      <c r="AV432">
        <v>0</v>
      </c>
      <c r="AW432">
        <v>0</v>
      </c>
      <c r="AX432">
        <v>0</v>
      </c>
      <c r="AY432">
        <v>0</v>
      </c>
      <c r="AZ432">
        <v>0</v>
      </c>
      <c r="BA432">
        <v>0</v>
      </c>
      <c r="BB432">
        <v>0</v>
      </c>
      <c r="BC432">
        <v>0</v>
      </c>
      <c r="BD432">
        <v>0</v>
      </c>
      <c r="BE432">
        <v>0</v>
      </c>
      <c r="BF432">
        <v>0</v>
      </c>
      <c r="BG432">
        <v>0</v>
      </c>
      <c r="BH432">
        <v>0</v>
      </c>
      <c r="BI432">
        <v>0</v>
      </c>
      <c r="BK432" s="151"/>
    </row>
    <row r="433" spans="1:63" x14ac:dyDescent="0.35">
      <c r="A433">
        <v>0</v>
      </c>
      <c r="B433">
        <v>0</v>
      </c>
      <c r="C433">
        <v>0</v>
      </c>
      <c r="D433">
        <v>0</v>
      </c>
      <c r="E433">
        <v>0</v>
      </c>
      <c r="F433">
        <v>0</v>
      </c>
      <c r="G433">
        <v>0</v>
      </c>
      <c r="H433">
        <v>0</v>
      </c>
      <c r="I433">
        <v>0</v>
      </c>
      <c r="J433">
        <v>0</v>
      </c>
      <c r="K433">
        <v>0</v>
      </c>
      <c r="L433">
        <v>0</v>
      </c>
      <c r="M433">
        <v>0</v>
      </c>
      <c r="N433">
        <v>0</v>
      </c>
      <c r="O433">
        <v>0</v>
      </c>
      <c r="P433">
        <v>0</v>
      </c>
      <c r="Q433">
        <v>0</v>
      </c>
      <c r="R433">
        <v>0</v>
      </c>
      <c r="S433">
        <v>0</v>
      </c>
      <c r="T433">
        <v>0</v>
      </c>
      <c r="U433">
        <v>0</v>
      </c>
      <c r="V433">
        <v>0</v>
      </c>
      <c r="W433">
        <v>0</v>
      </c>
      <c r="X433">
        <v>0</v>
      </c>
      <c r="Y433">
        <v>0</v>
      </c>
      <c r="Z433">
        <v>0</v>
      </c>
      <c r="AA433">
        <v>0</v>
      </c>
      <c r="AB433">
        <v>0</v>
      </c>
      <c r="AC433">
        <v>0</v>
      </c>
      <c r="AD433">
        <v>0</v>
      </c>
      <c r="AF433">
        <v>0</v>
      </c>
      <c r="AG433">
        <v>0</v>
      </c>
      <c r="AH433">
        <v>0</v>
      </c>
      <c r="AI433">
        <v>0</v>
      </c>
      <c r="AJ433">
        <v>0</v>
      </c>
      <c r="AK433">
        <v>0</v>
      </c>
      <c r="AL433">
        <v>0</v>
      </c>
      <c r="AM433">
        <v>0</v>
      </c>
      <c r="AN433">
        <v>0</v>
      </c>
      <c r="AO433">
        <v>0</v>
      </c>
      <c r="AP433">
        <v>0</v>
      </c>
      <c r="AQ433">
        <v>0</v>
      </c>
      <c r="AR433">
        <v>0</v>
      </c>
      <c r="AS433">
        <v>0</v>
      </c>
      <c r="AT433">
        <v>0</v>
      </c>
      <c r="AU433">
        <v>0</v>
      </c>
      <c r="AV433">
        <v>0</v>
      </c>
      <c r="AW433">
        <v>0</v>
      </c>
      <c r="AX433">
        <v>0</v>
      </c>
      <c r="AY433">
        <v>0</v>
      </c>
      <c r="AZ433">
        <v>0</v>
      </c>
      <c r="BA433">
        <v>0</v>
      </c>
      <c r="BB433">
        <v>0</v>
      </c>
      <c r="BC433">
        <v>0</v>
      </c>
      <c r="BD433">
        <v>0</v>
      </c>
      <c r="BE433">
        <v>0</v>
      </c>
      <c r="BF433">
        <v>0</v>
      </c>
      <c r="BG433">
        <v>0</v>
      </c>
      <c r="BH433">
        <v>0</v>
      </c>
      <c r="BI433">
        <v>0</v>
      </c>
      <c r="BK433" s="151"/>
    </row>
    <row r="434" spans="1:63" x14ac:dyDescent="0.35">
      <c r="A434">
        <v>0</v>
      </c>
      <c r="B434">
        <v>0</v>
      </c>
      <c r="C434">
        <v>0</v>
      </c>
      <c r="D434">
        <v>0</v>
      </c>
      <c r="E434">
        <v>0</v>
      </c>
      <c r="F434">
        <v>0</v>
      </c>
      <c r="G434">
        <v>0</v>
      </c>
      <c r="H434">
        <v>0</v>
      </c>
      <c r="I434">
        <v>0</v>
      </c>
      <c r="J434">
        <v>0</v>
      </c>
      <c r="K434">
        <v>0</v>
      </c>
      <c r="L434">
        <v>0</v>
      </c>
      <c r="M434">
        <v>0</v>
      </c>
      <c r="N434">
        <v>0</v>
      </c>
      <c r="O434">
        <v>0</v>
      </c>
      <c r="P434">
        <v>0</v>
      </c>
      <c r="Q434">
        <v>0</v>
      </c>
      <c r="R434">
        <v>0</v>
      </c>
      <c r="S434">
        <v>0</v>
      </c>
      <c r="T434">
        <v>0</v>
      </c>
      <c r="U434">
        <v>0</v>
      </c>
      <c r="V434">
        <v>0</v>
      </c>
      <c r="W434">
        <v>0</v>
      </c>
      <c r="X434">
        <v>0</v>
      </c>
      <c r="Y434">
        <v>0</v>
      </c>
      <c r="Z434">
        <v>0</v>
      </c>
      <c r="AA434">
        <v>0</v>
      </c>
      <c r="AB434">
        <v>0</v>
      </c>
      <c r="AC434">
        <v>0</v>
      </c>
      <c r="AD434">
        <v>0</v>
      </c>
      <c r="AF434">
        <v>0</v>
      </c>
      <c r="AG434">
        <v>0</v>
      </c>
      <c r="AH434">
        <v>0</v>
      </c>
      <c r="AI434">
        <v>0</v>
      </c>
      <c r="AJ434">
        <v>0</v>
      </c>
      <c r="AK434">
        <v>0</v>
      </c>
      <c r="AL434">
        <v>0</v>
      </c>
      <c r="AM434">
        <v>0</v>
      </c>
      <c r="AN434">
        <v>0</v>
      </c>
      <c r="AO434">
        <v>0</v>
      </c>
      <c r="AP434">
        <v>0</v>
      </c>
      <c r="AQ434">
        <v>0</v>
      </c>
      <c r="AR434">
        <v>0</v>
      </c>
      <c r="AS434">
        <v>0</v>
      </c>
      <c r="AT434">
        <v>0</v>
      </c>
      <c r="AU434">
        <v>0</v>
      </c>
      <c r="AV434">
        <v>0</v>
      </c>
      <c r="AW434">
        <v>0</v>
      </c>
      <c r="AX434">
        <v>0</v>
      </c>
      <c r="AY434">
        <v>0</v>
      </c>
      <c r="AZ434">
        <v>0</v>
      </c>
      <c r="BA434">
        <v>0</v>
      </c>
      <c r="BB434">
        <v>0</v>
      </c>
      <c r="BC434">
        <v>0</v>
      </c>
      <c r="BD434">
        <v>0</v>
      </c>
      <c r="BE434">
        <v>0</v>
      </c>
      <c r="BF434">
        <v>0</v>
      </c>
      <c r="BG434">
        <v>0</v>
      </c>
      <c r="BH434">
        <v>0</v>
      </c>
      <c r="BI434">
        <v>0</v>
      </c>
      <c r="BK434" s="151"/>
    </row>
    <row r="435" spans="1:63" x14ac:dyDescent="0.35">
      <c r="A435">
        <v>0</v>
      </c>
      <c r="B435">
        <v>0</v>
      </c>
      <c r="C435">
        <v>0</v>
      </c>
      <c r="D435">
        <v>0</v>
      </c>
      <c r="E435">
        <v>0</v>
      </c>
      <c r="F435">
        <v>0</v>
      </c>
      <c r="G435">
        <v>0</v>
      </c>
      <c r="H435">
        <v>0</v>
      </c>
      <c r="I435">
        <v>0</v>
      </c>
      <c r="J435">
        <v>0</v>
      </c>
      <c r="K435">
        <v>0</v>
      </c>
      <c r="L435">
        <v>0</v>
      </c>
      <c r="M435">
        <v>0</v>
      </c>
      <c r="N435">
        <v>0</v>
      </c>
      <c r="O435">
        <v>0</v>
      </c>
      <c r="P435">
        <v>0</v>
      </c>
      <c r="Q435">
        <v>0</v>
      </c>
      <c r="R435">
        <v>0</v>
      </c>
      <c r="S435">
        <v>0</v>
      </c>
      <c r="T435">
        <v>0</v>
      </c>
      <c r="U435">
        <v>0</v>
      </c>
      <c r="V435">
        <v>0</v>
      </c>
      <c r="W435">
        <v>0</v>
      </c>
      <c r="X435">
        <v>0</v>
      </c>
      <c r="Y435">
        <v>0</v>
      </c>
      <c r="Z435">
        <v>0</v>
      </c>
      <c r="AA435">
        <v>0</v>
      </c>
      <c r="AB435">
        <v>0</v>
      </c>
      <c r="AC435">
        <v>0</v>
      </c>
      <c r="AD435">
        <v>0</v>
      </c>
      <c r="AF435">
        <v>0</v>
      </c>
      <c r="AG435">
        <v>0</v>
      </c>
      <c r="AH435">
        <v>0</v>
      </c>
      <c r="AI435">
        <v>0</v>
      </c>
      <c r="AJ435">
        <v>0</v>
      </c>
      <c r="AK435">
        <v>0</v>
      </c>
      <c r="AL435">
        <v>0</v>
      </c>
      <c r="AM435">
        <v>0</v>
      </c>
      <c r="AN435">
        <v>0</v>
      </c>
      <c r="AO435">
        <v>0</v>
      </c>
      <c r="AP435">
        <v>0</v>
      </c>
      <c r="AQ435">
        <v>0</v>
      </c>
      <c r="AR435">
        <v>0</v>
      </c>
      <c r="AS435">
        <v>0</v>
      </c>
      <c r="AT435">
        <v>0</v>
      </c>
      <c r="AU435">
        <v>0</v>
      </c>
      <c r="AV435">
        <v>0</v>
      </c>
      <c r="AW435">
        <v>0</v>
      </c>
      <c r="AX435">
        <v>0</v>
      </c>
      <c r="AY435">
        <v>0</v>
      </c>
      <c r="AZ435">
        <v>0</v>
      </c>
      <c r="BA435">
        <v>0</v>
      </c>
      <c r="BB435">
        <v>0</v>
      </c>
      <c r="BC435">
        <v>0</v>
      </c>
      <c r="BD435">
        <v>0</v>
      </c>
      <c r="BE435">
        <v>0</v>
      </c>
      <c r="BF435">
        <v>0</v>
      </c>
      <c r="BG435">
        <v>0</v>
      </c>
      <c r="BH435">
        <v>0</v>
      </c>
      <c r="BI435">
        <v>0</v>
      </c>
      <c r="BK435" s="151"/>
    </row>
    <row r="436" spans="1:63" x14ac:dyDescent="0.35">
      <c r="A436">
        <v>0</v>
      </c>
      <c r="B436">
        <v>0</v>
      </c>
      <c r="C436">
        <v>0</v>
      </c>
      <c r="D436">
        <v>0</v>
      </c>
      <c r="E436">
        <v>0</v>
      </c>
      <c r="F436">
        <v>0</v>
      </c>
      <c r="G436">
        <v>0</v>
      </c>
      <c r="H436">
        <v>0</v>
      </c>
      <c r="I436">
        <v>0</v>
      </c>
      <c r="J436">
        <v>0</v>
      </c>
      <c r="K436">
        <v>0</v>
      </c>
      <c r="L436">
        <v>0</v>
      </c>
      <c r="M436">
        <v>0</v>
      </c>
      <c r="N436">
        <v>0</v>
      </c>
      <c r="O436">
        <v>0</v>
      </c>
      <c r="P436">
        <v>0</v>
      </c>
      <c r="Q436">
        <v>0</v>
      </c>
      <c r="R436">
        <v>0</v>
      </c>
      <c r="S436">
        <v>0</v>
      </c>
      <c r="T436">
        <v>0</v>
      </c>
      <c r="U436">
        <v>0</v>
      </c>
      <c r="V436">
        <v>0</v>
      </c>
      <c r="W436">
        <v>0</v>
      </c>
      <c r="X436">
        <v>0</v>
      </c>
      <c r="Y436">
        <v>0</v>
      </c>
      <c r="Z436">
        <v>0</v>
      </c>
      <c r="AA436">
        <v>0</v>
      </c>
      <c r="AB436">
        <v>0</v>
      </c>
      <c r="AC436">
        <v>0</v>
      </c>
      <c r="AD436">
        <v>0</v>
      </c>
      <c r="AF436">
        <v>0</v>
      </c>
      <c r="AG436">
        <v>0</v>
      </c>
      <c r="AH436">
        <v>0</v>
      </c>
      <c r="AI436">
        <v>0</v>
      </c>
      <c r="AJ436">
        <v>0</v>
      </c>
      <c r="AK436">
        <v>0</v>
      </c>
      <c r="AL436">
        <v>0</v>
      </c>
      <c r="AM436">
        <v>0</v>
      </c>
      <c r="AN436">
        <v>0</v>
      </c>
      <c r="AO436">
        <v>0</v>
      </c>
      <c r="AP436">
        <v>0</v>
      </c>
      <c r="AQ436">
        <v>0</v>
      </c>
      <c r="AR436">
        <v>0</v>
      </c>
      <c r="AS436">
        <v>0</v>
      </c>
      <c r="AT436">
        <v>0</v>
      </c>
      <c r="AU436">
        <v>0</v>
      </c>
      <c r="AV436">
        <v>0</v>
      </c>
      <c r="AW436">
        <v>0</v>
      </c>
      <c r="AX436">
        <v>0</v>
      </c>
      <c r="AY436">
        <v>0</v>
      </c>
      <c r="AZ436">
        <v>0</v>
      </c>
      <c r="BA436">
        <v>0</v>
      </c>
      <c r="BB436">
        <v>0</v>
      </c>
      <c r="BC436">
        <v>0</v>
      </c>
      <c r="BD436">
        <v>0</v>
      </c>
      <c r="BE436">
        <v>0</v>
      </c>
      <c r="BF436">
        <v>0</v>
      </c>
      <c r="BG436">
        <v>0</v>
      </c>
      <c r="BH436">
        <v>0</v>
      </c>
      <c r="BI436">
        <v>0</v>
      </c>
      <c r="BK436" s="151"/>
    </row>
    <row r="437" spans="1:63" x14ac:dyDescent="0.35">
      <c r="A437">
        <v>0</v>
      </c>
      <c r="B437">
        <v>0</v>
      </c>
      <c r="C437">
        <v>0</v>
      </c>
      <c r="D437">
        <v>0</v>
      </c>
      <c r="E437">
        <v>0</v>
      </c>
      <c r="F437">
        <v>0</v>
      </c>
      <c r="G437">
        <v>0</v>
      </c>
      <c r="H437">
        <v>0</v>
      </c>
      <c r="I437">
        <v>0</v>
      </c>
      <c r="J437">
        <v>0</v>
      </c>
      <c r="K437">
        <v>0</v>
      </c>
      <c r="L437">
        <v>0</v>
      </c>
      <c r="M437">
        <v>0</v>
      </c>
      <c r="N437">
        <v>0</v>
      </c>
      <c r="O437">
        <v>0</v>
      </c>
      <c r="P437">
        <v>0</v>
      </c>
      <c r="Q437">
        <v>0</v>
      </c>
      <c r="R437">
        <v>0</v>
      </c>
      <c r="S437">
        <v>0</v>
      </c>
      <c r="T437">
        <v>0</v>
      </c>
      <c r="U437">
        <v>0</v>
      </c>
      <c r="V437">
        <v>0</v>
      </c>
      <c r="W437">
        <v>0</v>
      </c>
      <c r="X437">
        <v>0</v>
      </c>
      <c r="Y437">
        <v>0</v>
      </c>
      <c r="Z437">
        <v>0</v>
      </c>
      <c r="AA437">
        <v>0</v>
      </c>
      <c r="AB437">
        <v>0</v>
      </c>
      <c r="AC437">
        <v>0</v>
      </c>
      <c r="AD437">
        <v>0</v>
      </c>
      <c r="AF437">
        <v>0</v>
      </c>
      <c r="AG437">
        <v>0</v>
      </c>
      <c r="AH437">
        <v>0</v>
      </c>
      <c r="AI437">
        <v>0</v>
      </c>
      <c r="AJ437">
        <v>0</v>
      </c>
      <c r="AK437">
        <v>0</v>
      </c>
      <c r="AL437">
        <v>0</v>
      </c>
      <c r="AM437">
        <v>0</v>
      </c>
      <c r="AN437">
        <v>0</v>
      </c>
      <c r="AO437">
        <v>0</v>
      </c>
      <c r="AP437">
        <v>0</v>
      </c>
      <c r="AQ437">
        <v>0</v>
      </c>
      <c r="AR437">
        <v>0</v>
      </c>
      <c r="AS437">
        <v>0</v>
      </c>
      <c r="AT437">
        <v>0</v>
      </c>
      <c r="AU437">
        <v>0</v>
      </c>
      <c r="AV437">
        <v>0</v>
      </c>
      <c r="AW437">
        <v>0</v>
      </c>
      <c r="AX437">
        <v>0</v>
      </c>
      <c r="AY437">
        <v>0</v>
      </c>
      <c r="AZ437">
        <v>0</v>
      </c>
      <c r="BA437">
        <v>0</v>
      </c>
      <c r="BB437">
        <v>0</v>
      </c>
      <c r="BC437">
        <v>0</v>
      </c>
      <c r="BD437">
        <v>0</v>
      </c>
      <c r="BE437">
        <v>0</v>
      </c>
      <c r="BF437">
        <v>0</v>
      </c>
      <c r="BG437">
        <v>0</v>
      </c>
      <c r="BH437">
        <v>0</v>
      </c>
      <c r="BI437">
        <v>0</v>
      </c>
      <c r="BK437" s="151"/>
    </row>
    <row r="438" spans="1:63" x14ac:dyDescent="0.35">
      <c r="A438">
        <v>0</v>
      </c>
      <c r="B438">
        <v>0</v>
      </c>
      <c r="C438">
        <v>0</v>
      </c>
      <c r="D438">
        <v>0</v>
      </c>
      <c r="E438">
        <v>0</v>
      </c>
      <c r="F438">
        <v>0</v>
      </c>
      <c r="G438">
        <v>0</v>
      </c>
      <c r="H438">
        <v>0</v>
      </c>
      <c r="I438">
        <v>0</v>
      </c>
      <c r="J438">
        <v>0</v>
      </c>
      <c r="K438">
        <v>0</v>
      </c>
      <c r="L438">
        <v>0</v>
      </c>
      <c r="M438">
        <v>0</v>
      </c>
      <c r="N438">
        <v>0</v>
      </c>
      <c r="O438">
        <v>0</v>
      </c>
      <c r="P438">
        <v>0</v>
      </c>
      <c r="Q438">
        <v>0</v>
      </c>
      <c r="R438">
        <v>0</v>
      </c>
      <c r="S438">
        <v>0</v>
      </c>
      <c r="T438">
        <v>0</v>
      </c>
      <c r="U438">
        <v>0</v>
      </c>
      <c r="V438">
        <v>0</v>
      </c>
      <c r="W438">
        <v>0</v>
      </c>
      <c r="X438">
        <v>0</v>
      </c>
      <c r="Y438">
        <v>0</v>
      </c>
      <c r="Z438">
        <v>0</v>
      </c>
      <c r="AA438">
        <v>0</v>
      </c>
      <c r="AB438">
        <v>0</v>
      </c>
      <c r="AC438">
        <v>0</v>
      </c>
      <c r="AD438">
        <v>0</v>
      </c>
      <c r="AF438">
        <v>0</v>
      </c>
      <c r="AG438">
        <v>0</v>
      </c>
      <c r="AH438">
        <v>0</v>
      </c>
      <c r="AI438">
        <v>0</v>
      </c>
      <c r="AJ438">
        <v>0</v>
      </c>
      <c r="AK438">
        <v>0</v>
      </c>
      <c r="AL438">
        <v>0</v>
      </c>
      <c r="AM438">
        <v>0</v>
      </c>
      <c r="AN438">
        <v>0</v>
      </c>
      <c r="AO438">
        <v>0</v>
      </c>
      <c r="AP438">
        <v>0</v>
      </c>
      <c r="AQ438">
        <v>0</v>
      </c>
      <c r="AR438">
        <v>0</v>
      </c>
      <c r="AS438">
        <v>0</v>
      </c>
      <c r="AT438">
        <v>0</v>
      </c>
      <c r="AU438">
        <v>0</v>
      </c>
      <c r="AV438">
        <v>0</v>
      </c>
      <c r="AW438">
        <v>0</v>
      </c>
      <c r="AX438">
        <v>0</v>
      </c>
      <c r="AY438">
        <v>0</v>
      </c>
      <c r="AZ438">
        <v>0</v>
      </c>
      <c r="BA438">
        <v>0</v>
      </c>
      <c r="BB438">
        <v>0</v>
      </c>
      <c r="BC438">
        <v>0</v>
      </c>
      <c r="BD438">
        <v>0</v>
      </c>
      <c r="BE438">
        <v>0</v>
      </c>
      <c r="BF438">
        <v>0</v>
      </c>
      <c r="BG438">
        <v>0</v>
      </c>
      <c r="BH438">
        <v>0</v>
      </c>
      <c r="BI438">
        <v>0</v>
      </c>
      <c r="BK438" s="151"/>
    </row>
    <row r="439" spans="1:63" x14ac:dyDescent="0.35">
      <c r="A439">
        <v>0</v>
      </c>
      <c r="B439">
        <v>0</v>
      </c>
      <c r="C439">
        <v>0</v>
      </c>
      <c r="D439">
        <v>0</v>
      </c>
      <c r="E439">
        <v>0</v>
      </c>
      <c r="F439">
        <v>0</v>
      </c>
      <c r="G439">
        <v>0</v>
      </c>
      <c r="H439">
        <v>0</v>
      </c>
      <c r="I439">
        <v>0</v>
      </c>
      <c r="J439">
        <v>0</v>
      </c>
      <c r="K439">
        <v>0</v>
      </c>
      <c r="L439">
        <v>0</v>
      </c>
      <c r="M439">
        <v>0</v>
      </c>
      <c r="N439">
        <v>0</v>
      </c>
      <c r="O439">
        <v>0</v>
      </c>
      <c r="P439">
        <v>0</v>
      </c>
      <c r="Q439">
        <v>0</v>
      </c>
      <c r="R439">
        <v>0</v>
      </c>
      <c r="S439">
        <v>0</v>
      </c>
      <c r="T439">
        <v>0</v>
      </c>
      <c r="U439">
        <v>0</v>
      </c>
      <c r="V439">
        <v>0</v>
      </c>
      <c r="W439">
        <v>0</v>
      </c>
      <c r="X439">
        <v>0</v>
      </c>
      <c r="Y439">
        <v>0</v>
      </c>
      <c r="Z439">
        <v>0</v>
      </c>
      <c r="AA439">
        <v>0</v>
      </c>
      <c r="AB439">
        <v>0</v>
      </c>
      <c r="AC439">
        <v>0</v>
      </c>
      <c r="AD439">
        <v>0</v>
      </c>
      <c r="AF439">
        <v>0</v>
      </c>
      <c r="AG439">
        <v>0</v>
      </c>
      <c r="AH439">
        <v>0</v>
      </c>
      <c r="AI439">
        <v>0</v>
      </c>
      <c r="AJ439">
        <v>0</v>
      </c>
      <c r="AK439">
        <v>0</v>
      </c>
      <c r="AL439">
        <v>0</v>
      </c>
      <c r="AM439">
        <v>0</v>
      </c>
      <c r="AN439">
        <v>0</v>
      </c>
      <c r="AO439">
        <v>0</v>
      </c>
      <c r="AP439">
        <v>0</v>
      </c>
      <c r="AQ439">
        <v>0</v>
      </c>
      <c r="AR439">
        <v>0</v>
      </c>
      <c r="AS439">
        <v>0</v>
      </c>
      <c r="AT439">
        <v>0</v>
      </c>
      <c r="AU439">
        <v>0</v>
      </c>
      <c r="AV439">
        <v>0</v>
      </c>
      <c r="AW439">
        <v>0</v>
      </c>
      <c r="AX439">
        <v>0</v>
      </c>
      <c r="AY439">
        <v>0</v>
      </c>
      <c r="AZ439">
        <v>0</v>
      </c>
      <c r="BA439">
        <v>0</v>
      </c>
      <c r="BB439">
        <v>0</v>
      </c>
      <c r="BC439">
        <v>0</v>
      </c>
      <c r="BD439">
        <v>0</v>
      </c>
      <c r="BE439">
        <v>0</v>
      </c>
      <c r="BF439">
        <v>0</v>
      </c>
      <c r="BG439">
        <v>0</v>
      </c>
      <c r="BH439">
        <v>0</v>
      </c>
      <c r="BI439">
        <v>0</v>
      </c>
      <c r="BK439" s="151"/>
    </row>
    <row r="440" spans="1:63" x14ac:dyDescent="0.35">
      <c r="A440">
        <v>0</v>
      </c>
      <c r="B440">
        <v>0</v>
      </c>
      <c r="C440">
        <v>0</v>
      </c>
      <c r="D440">
        <v>0</v>
      </c>
      <c r="E440">
        <v>0</v>
      </c>
      <c r="F440">
        <v>0</v>
      </c>
      <c r="G440">
        <v>0</v>
      </c>
      <c r="H440">
        <v>0</v>
      </c>
      <c r="I440">
        <v>0</v>
      </c>
      <c r="J440">
        <v>0</v>
      </c>
      <c r="K440">
        <v>0</v>
      </c>
      <c r="L440">
        <v>0</v>
      </c>
      <c r="M440">
        <v>0</v>
      </c>
      <c r="N440">
        <v>0</v>
      </c>
      <c r="O440">
        <v>0</v>
      </c>
      <c r="P440">
        <v>0</v>
      </c>
      <c r="Q440">
        <v>0</v>
      </c>
      <c r="R440">
        <v>0</v>
      </c>
      <c r="S440">
        <v>0</v>
      </c>
      <c r="T440">
        <v>0</v>
      </c>
      <c r="U440">
        <v>0</v>
      </c>
      <c r="V440">
        <v>0</v>
      </c>
      <c r="W440">
        <v>0</v>
      </c>
      <c r="X440">
        <v>0</v>
      </c>
      <c r="Y440">
        <v>0</v>
      </c>
      <c r="Z440">
        <v>0</v>
      </c>
      <c r="AA440">
        <v>0</v>
      </c>
      <c r="AB440">
        <v>0</v>
      </c>
      <c r="AC440">
        <v>0</v>
      </c>
      <c r="AD440">
        <v>0</v>
      </c>
      <c r="AF440">
        <v>0</v>
      </c>
      <c r="AG440">
        <v>0</v>
      </c>
      <c r="AH440">
        <v>0</v>
      </c>
      <c r="AI440">
        <v>0</v>
      </c>
      <c r="AJ440">
        <v>0</v>
      </c>
      <c r="AK440">
        <v>0</v>
      </c>
      <c r="AL440">
        <v>0</v>
      </c>
      <c r="AM440">
        <v>0</v>
      </c>
      <c r="AN440">
        <v>0</v>
      </c>
      <c r="AO440">
        <v>0</v>
      </c>
      <c r="AP440">
        <v>0</v>
      </c>
      <c r="AQ440">
        <v>0</v>
      </c>
      <c r="AR440">
        <v>0</v>
      </c>
      <c r="AS440">
        <v>0</v>
      </c>
      <c r="AT440">
        <v>0</v>
      </c>
      <c r="AU440">
        <v>0</v>
      </c>
      <c r="AV440">
        <v>0</v>
      </c>
      <c r="AW440">
        <v>0</v>
      </c>
      <c r="AX440">
        <v>0</v>
      </c>
      <c r="AY440">
        <v>0</v>
      </c>
      <c r="AZ440">
        <v>0</v>
      </c>
      <c r="BA440">
        <v>0</v>
      </c>
      <c r="BB440">
        <v>0</v>
      </c>
      <c r="BC440">
        <v>0</v>
      </c>
      <c r="BD440">
        <v>0</v>
      </c>
      <c r="BE440">
        <v>0</v>
      </c>
      <c r="BF440">
        <v>0</v>
      </c>
      <c r="BG440">
        <v>0</v>
      </c>
      <c r="BH440">
        <v>0</v>
      </c>
      <c r="BI440">
        <v>0</v>
      </c>
      <c r="BK440" s="151"/>
    </row>
    <row r="441" spans="1:63" x14ac:dyDescent="0.35">
      <c r="A441">
        <v>0</v>
      </c>
      <c r="B441">
        <v>0</v>
      </c>
      <c r="C441">
        <v>0</v>
      </c>
      <c r="D441">
        <v>0</v>
      </c>
      <c r="E441">
        <v>0</v>
      </c>
      <c r="F441">
        <v>0</v>
      </c>
      <c r="G441">
        <v>0</v>
      </c>
      <c r="H441">
        <v>0</v>
      </c>
      <c r="I441">
        <v>0</v>
      </c>
      <c r="J441">
        <v>0</v>
      </c>
      <c r="K441">
        <v>0</v>
      </c>
      <c r="L441">
        <v>0</v>
      </c>
      <c r="M441">
        <v>0</v>
      </c>
      <c r="N441">
        <v>0</v>
      </c>
      <c r="O441">
        <v>0</v>
      </c>
      <c r="P441">
        <v>0</v>
      </c>
      <c r="Q441">
        <v>0</v>
      </c>
      <c r="R441">
        <v>0</v>
      </c>
      <c r="S441">
        <v>0</v>
      </c>
      <c r="T441">
        <v>0</v>
      </c>
      <c r="U441">
        <v>0</v>
      </c>
      <c r="V441">
        <v>0</v>
      </c>
      <c r="W441">
        <v>0</v>
      </c>
      <c r="X441">
        <v>0</v>
      </c>
      <c r="Y441">
        <v>0</v>
      </c>
      <c r="Z441">
        <v>0</v>
      </c>
      <c r="AA441">
        <v>0</v>
      </c>
      <c r="AB441">
        <v>0</v>
      </c>
      <c r="AC441">
        <v>0</v>
      </c>
      <c r="AD441">
        <v>0</v>
      </c>
      <c r="AF441">
        <v>0</v>
      </c>
      <c r="AG441">
        <v>0</v>
      </c>
      <c r="AH441">
        <v>0</v>
      </c>
      <c r="AI441">
        <v>0</v>
      </c>
      <c r="AJ441">
        <v>0</v>
      </c>
      <c r="AK441">
        <v>0</v>
      </c>
      <c r="AL441">
        <v>0</v>
      </c>
      <c r="AM441">
        <v>0</v>
      </c>
      <c r="AN441">
        <v>0</v>
      </c>
      <c r="AO441">
        <v>0</v>
      </c>
      <c r="AP441">
        <v>0</v>
      </c>
      <c r="AQ441">
        <v>0</v>
      </c>
      <c r="AR441">
        <v>0</v>
      </c>
      <c r="AS441">
        <v>0</v>
      </c>
      <c r="AT441">
        <v>0</v>
      </c>
      <c r="AU441">
        <v>0</v>
      </c>
      <c r="AV441">
        <v>0</v>
      </c>
      <c r="AW441">
        <v>0</v>
      </c>
      <c r="AX441">
        <v>0</v>
      </c>
      <c r="AY441">
        <v>0</v>
      </c>
      <c r="AZ441">
        <v>0</v>
      </c>
      <c r="BA441">
        <v>0</v>
      </c>
      <c r="BB441">
        <v>0</v>
      </c>
      <c r="BC441">
        <v>0</v>
      </c>
      <c r="BD441">
        <v>0</v>
      </c>
      <c r="BE441">
        <v>0</v>
      </c>
      <c r="BF441">
        <v>0</v>
      </c>
      <c r="BG441">
        <v>0</v>
      </c>
      <c r="BH441">
        <v>0</v>
      </c>
      <c r="BI441">
        <v>0</v>
      </c>
      <c r="BK441" s="151"/>
    </row>
    <row r="442" spans="1:63" x14ac:dyDescent="0.35">
      <c r="A442">
        <v>0</v>
      </c>
      <c r="B442">
        <v>0</v>
      </c>
      <c r="C442">
        <v>0</v>
      </c>
      <c r="D442">
        <v>0</v>
      </c>
      <c r="E442">
        <v>0</v>
      </c>
      <c r="F442">
        <v>0</v>
      </c>
      <c r="G442">
        <v>0</v>
      </c>
      <c r="H442">
        <v>0</v>
      </c>
      <c r="I442">
        <v>0</v>
      </c>
      <c r="J442">
        <v>0</v>
      </c>
      <c r="K442">
        <v>0</v>
      </c>
      <c r="L442">
        <v>0</v>
      </c>
      <c r="M442">
        <v>0</v>
      </c>
      <c r="N442">
        <v>0</v>
      </c>
      <c r="O442">
        <v>0</v>
      </c>
      <c r="P442">
        <v>0</v>
      </c>
      <c r="Q442">
        <v>0</v>
      </c>
      <c r="R442">
        <v>0</v>
      </c>
      <c r="S442">
        <v>0</v>
      </c>
      <c r="T442">
        <v>0</v>
      </c>
      <c r="U442">
        <v>0</v>
      </c>
      <c r="V442">
        <v>0</v>
      </c>
      <c r="W442">
        <v>0</v>
      </c>
      <c r="X442">
        <v>0</v>
      </c>
      <c r="Y442">
        <v>0</v>
      </c>
      <c r="Z442">
        <v>0</v>
      </c>
      <c r="AA442">
        <v>0</v>
      </c>
      <c r="AB442">
        <v>0</v>
      </c>
      <c r="AC442">
        <v>0</v>
      </c>
      <c r="AD442">
        <v>0</v>
      </c>
      <c r="AF442">
        <v>0</v>
      </c>
      <c r="AG442">
        <v>0</v>
      </c>
      <c r="AH442">
        <v>0</v>
      </c>
      <c r="AI442">
        <v>0</v>
      </c>
      <c r="AJ442">
        <v>0</v>
      </c>
      <c r="AK442">
        <v>0</v>
      </c>
      <c r="AL442">
        <v>0</v>
      </c>
      <c r="AM442">
        <v>0</v>
      </c>
      <c r="AN442">
        <v>0</v>
      </c>
      <c r="AO442">
        <v>0</v>
      </c>
      <c r="AP442">
        <v>0</v>
      </c>
      <c r="AQ442">
        <v>0</v>
      </c>
      <c r="AR442">
        <v>0</v>
      </c>
      <c r="AS442">
        <v>0</v>
      </c>
      <c r="AT442">
        <v>0</v>
      </c>
      <c r="AU442">
        <v>0</v>
      </c>
      <c r="AV442">
        <v>0</v>
      </c>
      <c r="AW442">
        <v>0</v>
      </c>
      <c r="AX442">
        <v>0</v>
      </c>
      <c r="AY442">
        <v>0</v>
      </c>
      <c r="AZ442">
        <v>0</v>
      </c>
      <c r="BA442">
        <v>0</v>
      </c>
      <c r="BB442">
        <v>0</v>
      </c>
      <c r="BC442">
        <v>0</v>
      </c>
      <c r="BD442">
        <v>0</v>
      </c>
      <c r="BE442">
        <v>0</v>
      </c>
      <c r="BF442">
        <v>0</v>
      </c>
      <c r="BG442">
        <v>0</v>
      </c>
      <c r="BH442">
        <v>0</v>
      </c>
      <c r="BI442">
        <v>0</v>
      </c>
      <c r="BK442" s="151"/>
    </row>
    <row r="443" spans="1:63" x14ac:dyDescent="0.35">
      <c r="A443">
        <v>0</v>
      </c>
      <c r="B443">
        <v>0</v>
      </c>
      <c r="C443">
        <v>0</v>
      </c>
      <c r="D443">
        <v>0</v>
      </c>
      <c r="E443">
        <v>0</v>
      </c>
      <c r="F443">
        <v>0</v>
      </c>
      <c r="G443">
        <v>0</v>
      </c>
      <c r="H443">
        <v>0</v>
      </c>
      <c r="I443">
        <v>0</v>
      </c>
      <c r="J443">
        <v>0</v>
      </c>
      <c r="K443">
        <v>0</v>
      </c>
      <c r="L443">
        <v>0</v>
      </c>
      <c r="M443">
        <v>0</v>
      </c>
      <c r="N443">
        <v>0</v>
      </c>
      <c r="O443">
        <v>0</v>
      </c>
      <c r="P443">
        <v>0</v>
      </c>
      <c r="Q443">
        <v>0</v>
      </c>
      <c r="R443">
        <v>0</v>
      </c>
      <c r="S443">
        <v>0</v>
      </c>
      <c r="T443">
        <v>0</v>
      </c>
      <c r="U443">
        <v>0</v>
      </c>
      <c r="V443">
        <v>0</v>
      </c>
      <c r="W443">
        <v>0</v>
      </c>
      <c r="X443">
        <v>0</v>
      </c>
      <c r="Y443">
        <v>0</v>
      </c>
      <c r="Z443">
        <v>0</v>
      </c>
      <c r="AA443">
        <v>0</v>
      </c>
      <c r="AB443">
        <v>0</v>
      </c>
      <c r="AC443">
        <v>0</v>
      </c>
      <c r="AD443">
        <v>0</v>
      </c>
      <c r="AF443">
        <v>0</v>
      </c>
      <c r="AG443">
        <v>0</v>
      </c>
      <c r="AH443">
        <v>0</v>
      </c>
      <c r="AI443">
        <v>0</v>
      </c>
      <c r="AJ443">
        <v>0</v>
      </c>
      <c r="AK443">
        <v>0</v>
      </c>
      <c r="AL443">
        <v>0</v>
      </c>
      <c r="AM443">
        <v>0</v>
      </c>
      <c r="AN443">
        <v>0</v>
      </c>
      <c r="AO443">
        <v>0</v>
      </c>
      <c r="AP443">
        <v>0</v>
      </c>
      <c r="AQ443">
        <v>0</v>
      </c>
      <c r="AR443">
        <v>0</v>
      </c>
      <c r="AS443">
        <v>0</v>
      </c>
      <c r="AT443">
        <v>0</v>
      </c>
      <c r="AU443">
        <v>0</v>
      </c>
      <c r="AV443">
        <v>0</v>
      </c>
      <c r="AW443">
        <v>0</v>
      </c>
      <c r="AX443">
        <v>0</v>
      </c>
      <c r="AY443">
        <v>0</v>
      </c>
      <c r="AZ443">
        <v>0</v>
      </c>
      <c r="BA443">
        <v>0</v>
      </c>
      <c r="BB443">
        <v>0</v>
      </c>
      <c r="BC443">
        <v>0</v>
      </c>
      <c r="BD443">
        <v>0</v>
      </c>
      <c r="BE443">
        <v>0</v>
      </c>
      <c r="BF443">
        <v>0</v>
      </c>
      <c r="BG443">
        <v>0</v>
      </c>
      <c r="BH443">
        <v>0</v>
      </c>
      <c r="BI443">
        <v>0</v>
      </c>
      <c r="BK443" s="151"/>
    </row>
    <row r="444" spans="1:63" x14ac:dyDescent="0.35">
      <c r="A444">
        <v>0</v>
      </c>
      <c r="B444">
        <v>0</v>
      </c>
      <c r="C444">
        <v>0</v>
      </c>
      <c r="D444">
        <v>0</v>
      </c>
      <c r="E444">
        <v>0</v>
      </c>
      <c r="F444">
        <v>0</v>
      </c>
      <c r="G444">
        <v>0</v>
      </c>
      <c r="H444">
        <v>0</v>
      </c>
      <c r="I444">
        <v>0</v>
      </c>
      <c r="J444">
        <v>0</v>
      </c>
      <c r="K444">
        <v>0</v>
      </c>
      <c r="L444">
        <v>0</v>
      </c>
      <c r="M444">
        <v>0</v>
      </c>
      <c r="N444">
        <v>0</v>
      </c>
      <c r="O444">
        <v>0</v>
      </c>
      <c r="P444">
        <v>0</v>
      </c>
      <c r="Q444">
        <v>0</v>
      </c>
      <c r="R444">
        <v>0</v>
      </c>
      <c r="S444">
        <v>0</v>
      </c>
      <c r="T444">
        <v>0</v>
      </c>
      <c r="U444">
        <v>0</v>
      </c>
      <c r="V444">
        <v>0</v>
      </c>
      <c r="W444">
        <v>0</v>
      </c>
      <c r="X444">
        <v>0</v>
      </c>
      <c r="Y444">
        <v>0</v>
      </c>
      <c r="Z444">
        <v>0</v>
      </c>
      <c r="AA444">
        <v>0</v>
      </c>
      <c r="AB444">
        <v>0</v>
      </c>
      <c r="AC444">
        <v>0</v>
      </c>
      <c r="AD444">
        <v>0</v>
      </c>
      <c r="AF444">
        <v>0</v>
      </c>
      <c r="AG444">
        <v>0</v>
      </c>
      <c r="AH444">
        <v>0</v>
      </c>
      <c r="AI444">
        <v>0</v>
      </c>
      <c r="AJ444">
        <v>0</v>
      </c>
      <c r="AK444">
        <v>0</v>
      </c>
      <c r="AL444">
        <v>0</v>
      </c>
      <c r="AM444">
        <v>0</v>
      </c>
      <c r="AN444">
        <v>0</v>
      </c>
      <c r="AO444">
        <v>0</v>
      </c>
      <c r="AP444">
        <v>0</v>
      </c>
      <c r="AQ444">
        <v>0</v>
      </c>
      <c r="AR444">
        <v>0</v>
      </c>
      <c r="AS444">
        <v>0</v>
      </c>
      <c r="AT444">
        <v>0</v>
      </c>
      <c r="AU444">
        <v>0</v>
      </c>
      <c r="AV444">
        <v>0</v>
      </c>
      <c r="AW444">
        <v>0</v>
      </c>
      <c r="AX444">
        <v>0</v>
      </c>
      <c r="AY444">
        <v>0</v>
      </c>
      <c r="AZ444">
        <v>0</v>
      </c>
      <c r="BA444">
        <v>0</v>
      </c>
      <c r="BB444">
        <v>0</v>
      </c>
      <c r="BC444">
        <v>0</v>
      </c>
      <c r="BD444">
        <v>0</v>
      </c>
      <c r="BE444">
        <v>0</v>
      </c>
      <c r="BF444">
        <v>0</v>
      </c>
      <c r="BG444">
        <v>0</v>
      </c>
      <c r="BH444">
        <v>0</v>
      </c>
      <c r="BI444">
        <v>0</v>
      </c>
      <c r="BK444" s="151"/>
    </row>
    <row r="445" spans="1:63" x14ac:dyDescent="0.35">
      <c r="A445">
        <v>0</v>
      </c>
      <c r="B445">
        <v>0</v>
      </c>
      <c r="C445">
        <v>0</v>
      </c>
      <c r="D445">
        <v>0</v>
      </c>
      <c r="E445">
        <v>0</v>
      </c>
      <c r="F445">
        <v>0</v>
      </c>
      <c r="G445">
        <v>0</v>
      </c>
      <c r="H445">
        <v>0</v>
      </c>
      <c r="I445">
        <v>0</v>
      </c>
      <c r="J445">
        <v>0</v>
      </c>
      <c r="K445">
        <v>0</v>
      </c>
      <c r="L445">
        <v>0</v>
      </c>
      <c r="M445">
        <v>0</v>
      </c>
      <c r="N445">
        <v>0</v>
      </c>
      <c r="O445">
        <v>0</v>
      </c>
      <c r="P445">
        <v>0</v>
      </c>
      <c r="Q445">
        <v>0</v>
      </c>
      <c r="R445">
        <v>0</v>
      </c>
      <c r="S445">
        <v>0</v>
      </c>
      <c r="T445">
        <v>0</v>
      </c>
      <c r="U445">
        <v>0</v>
      </c>
      <c r="V445">
        <v>0</v>
      </c>
      <c r="W445">
        <v>0</v>
      </c>
      <c r="X445">
        <v>0</v>
      </c>
      <c r="Y445">
        <v>0</v>
      </c>
      <c r="Z445">
        <v>0</v>
      </c>
      <c r="AA445">
        <v>0</v>
      </c>
      <c r="AB445">
        <v>0</v>
      </c>
      <c r="AC445">
        <v>0</v>
      </c>
      <c r="AD445">
        <v>0</v>
      </c>
      <c r="AF445">
        <v>0</v>
      </c>
      <c r="AG445">
        <v>0</v>
      </c>
      <c r="AH445">
        <v>0</v>
      </c>
      <c r="AI445">
        <v>0</v>
      </c>
      <c r="AJ445">
        <v>0</v>
      </c>
      <c r="AK445">
        <v>0</v>
      </c>
      <c r="AL445">
        <v>0</v>
      </c>
      <c r="AM445">
        <v>0</v>
      </c>
      <c r="AN445">
        <v>0</v>
      </c>
      <c r="AO445">
        <v>0</v>
      </c>
      <c r="AP445">
        <v>0</v>
      </c>
      <c r="AQ445">
        <v>0</v>
      </c>
      <c r="AR445">
        <v>0</v>
      </c>
      <c r="AS445">
        <v>0</v>
      </c>
      <c r="AT445">
        <v>0</v>
      </c>
      <c r="AU445">
        <v>0</v>
      </c>
      <c r="AV445">
        <v>0</v>
      </c>
      <c r="AW445">
        <v>0</v>
      </c>
      <c r="AX445">
        <v>0</v>
      </c>
      <c r="AY445">
        <v>0</v>
      </c>
      <c r="AZ445">
        <v>0</v>
      </c>
      <c r="BA445">
        <v>0</v>
      </c>
      <c r="BB445">
        <v>0</v>
      </c>
      <c r="BC445">
        <v>0</v>
      </c>
      <c r="BD445">
        <v>0</v>
      </c>
      <c r="BE445">
        <v>0</v>
      </c>
      <c r="BF445">
        <v>0</v>
      </c>
      <c r="BG445">
        <v>0</v>
      </c>
      <c r="BH445">
        <v>0</v>
      </c>
      <c r="BI445">
        <v>0</v>
      </c>
      <c r="BK445" s="151"/>
    </row>
    <row r="446" spans="1:63" x14ac:dyDescent="0.35">
      <c r="A446">
        <v>0</v>
      </c>
      <c r="B446">
        <v>0</v>
      </c>
      <c r="C446">
        <v>0</v>
      </c>
      <c r="D446">
        <v>0</v>
      </c>
      <c r="E446">
        <v>0</v>
      </c>
      <c r="F446">
        <v>0</v>
      </c>
      <c r="G446">
        <v>0</v>
      </c>
      <c r="H446">
        <v>0</v>
      </c>
      <c r="I446">
        <v>0</v>
      </c>
      <c r="J446">
        <v>0</v>
      </c>
      <c r="K446">
        <v>0</v>
      </c>
      <c r="L446">
        <v>0</v>
      </c>
      <c r="M446">
        <v>0</v>
      </c>
      <c r="N446">
        <v>0</v>
      </c>
      <c r="O446">
        <v>0</v>
      </c>
      <c r="P446">
        <v>0</v>
      </c>
      <c r="Q446">
        <v>0</v>
      </c>
      <c r="R446">
        <v>0</v>
      </c>
      <c r="S446">
        <v>0</v>
      </c>
      <c r="T446">
        <v>0</v>
      </c>
      <c r="U446">
        <v>0</v>
      </c>
      <c r="V446">
        <v>0</v>
      </c>
      <c r="W446">
        <v>0</v>
      </c>
      <c r="X446">
        <v>0</v>
      </c>
      <c r="Y446">
        <v>0</v>
      </c>
      <c r="Z446">
        <v>0</v>
      </c>
      <c r="AA446">
        <v>0</v>
      </c>
      <c r="AB446">
        <v>0</v>
      </c>
      <c r="AC446">
        <v>0</v>
      </c>
      <c r="AD446">
        <v>0</v>
      </c>
      <c r="AF446">
        <v>0</v>
      </c>
      <c r="AG446">
        <v>0</v>
      </c>
      <c r="AH446">
        <v>0</v>
      </c>
      <c r="AI446">
        <v>0</v>
      </c>
      <c r="AJ446">
        <v>0</v>
      </c>
      <c r="AK446">
        <v>0</v>
      </c>
      <c r="AL446">
        <v>0</v>
      </c>
      <c r="AM446">
        <v>0</v>
      </c>
      <c r="AN446">
        <v>0</v>
      </c>
      <c r="AO446">
        <v>0</v>
      </c>
      <c r="AP446">
        <v>0</v>
      </c>
      <c r="AQ446">
        <v>0</v>
      </c>
      <c r="AR446">
        <v>0</v>
      </c>
      <c r="AS446">
        <v>0</v>
      </c>
      <c r="AT446">
        <v>0</v>
      </c>
      <c r="AU446">
        <v>0</v>
      </c>
      <c r="AV446">
        <v>0</v>
      </c>
      <c r="AW446">
        <v>0</v>
      </c>
      <c r="AX446">
        <v>0</v>
      </c>
      <c r="AY446">
        <v>0</v>
      </c>
      <c r="AZ446">
        <v>0</v>
      </c>
      <c r="BA446">
        <v>0</v>
      </c>
      <c r="BB446">
        <v>0</v>
      </c>
      <c r="BC446">
        <v>0</v>
      </c>
      <c r="BD446">
        <v>0</v>
      </c>
      <c r="BE446">
        <v>0</v>
      </c>
      <c r="BF446">
        <v>0</v>
      </c>
      <c r="BG446">
        <v>0</v>
      </c>
      <c r="BH446">
        <v>0</v>
      </c>
      <c r="BI446">
        <v>0</v>
      </c>
      <c r="BK446" s="151"/>
    </row>
    <row r="447" spans="1:63" x14ac:dyDescent="0.35">
      <c r="A447">
        <v>0</v>
      </c>
      <c r="B447">
        <v>0</v>
      </c>
      <c r="C447">
        <v>0</v>
      </c>
      <c r="D447">
        <v>0</v>
      </c>
      <c r="E447">
        <v>0</v>
      </c>
      <c r="F447">
        <v>0</v>
      </c>
      <c r="G447">
        <v>0</v>
      </c>
      <c r="H447">
        <v>0</v>
      </c>
      <c r="I447">
        <v>0</v>
      </c>
      <c r="J447">
        <v>0</v>
      </c>
      <c r="K447">
        <v>0</v>
      </c>
      <c r="L447">
        <v>0</v>
      </c>
      <c r="M447">
        <v>0</v>
      </c>
      <c r="N447">
        <v>0</v>
      </c>
      <c r="O447">
        <v>0</v>
      </c>
      <c r="P447">
        <v>0</v>
      </c>
      <c r="Q447">
        <v>0</v>
      </c>
      <c r="R447">
        <v>0</v>
      </c>
      <c r="S447">
        <v>0</v>
      </c>
      <c r="T447">
        <v>0</v>
      </c>
      <c r="U447">
        <v>0</v>
      </c>
      <c r="V447">
        <v>0</v>
      </c>
      <c r="W447">
        <v>0</v>
      </c>
      <c r="X447">
        <v>0</v>
      </c>
      <c r="Y447">
        <v>0</v>
      </c>
      <c r="Z447">
        <v>0</v>
      </c>
      <c r="AA447">
        <v>0</v>
      </c>
      <c r="AB447">
        <v>0</v>
      </c>
      <c r="AC447">
        <v>0</v>
      </c>
      <c r="AD447">
        <v>0</v>
      </c>
      <c r="AF447">
        <v>0</v>
      </c>
      <c r="AG447">
        <v>0</v>
      </c>
      <c r="AH447">
        <v>0</v>
      </c>
      <c r="AI447">
        <v>0</v>
      </c>
      <c r="AJ447">
        <v>0</v>
      </c>
      <c r="AK447">
        <v>0</v>
      </c>
      <c r="AL447">
        <v>0</v>
      </c>
      <c r="AM447">
        <v>0</v>
      </c>
      <c r="AN447">
        <v>0</v>
      </c>
      <c r="AO447">
        <v>0</v>
      </c>
      <c r="AP447">
        <v>0</v>
      </c>
      <c r="AQ447">
        <v>0</v>
      </c>
      <c r="AR447">
        <v>0</v>
      </c>
      <c r="AS447">
        <v>0</v>
      </c>
      <c r="AT447">
        <v>0</v>
      </c>
      <c r="AU447">
        <v>0</v>
      </c>
      <c r="AV447">
        <v>0</v>
      </c>
      <c r="AW447">
        <v>0</v>
      </c>
      <c r="AX447">
        <v>0</v>
      </c>
      <c r="AY447">
        <v>0</v>
      </c>
      <c r="AZ447">
        <v>0</v>
      </c>
      <c r="BA447">
        <v>0</v>
      </c>
      <c r="BB447">
        <v>0</v>
      </c>
      <c r="BC447">
        <v>0</v>
      </c>
      <c r="BD447">
        <v>0</v>
      </c>
      <c r="BE447">
        <v>0</v>
      </c>
      <c r="BF447">
        <v>0</v>
      </c>
      <c r="BG447">
        <v>0</v>
      </c>
      <c r="BH447">
        <v>0</v>
      </c>
      <c r="BI447">
        <v>0</v>
      </c>
      <c r="BK447" s="151"/>
    </row>
    <row r="448" spans="1:63" x14ac:dyDescent="0.35">
      <c r="A448">
        <v>0</v>
      </c>
      <c r="B448">
        <v>0</v>
      </c>
      <c r="C448">
        <v>0</v>
      </c>
      <c r="D448">
        <v>0</v>
      </c>
      <c r="E448">
        <v>0</v>
      </c>
      <c r="F448">
        <v>0</v>
      </c>
      <c r="G448">
        <v>0</v>
      </c>
      <c r="H448">
        <v>0</v>
      </c>
      <c r="I448">
        <v>0</v>
      </c>
      <c r="J448">
        <v>0</v>
      </c>
      <c r="K448">
        <v>0</v>
      </c>
      <c r="L448">
        <v>0</v>
      </c>
      <c r="M448">
        <v>0</v>
      </c>
      <c r="N448">
        <v>0</v>
      </c>
      <c r="O448">
        <v>0</v>
      </c>
      <c r="P448">
        <v>0</v>
      </c>
      <c r="Q448">
        <v>0</v>
      </c>
      <c r="R448">
        <v>0</v>
      </c>
      <c r="S448">
        <v>0</v>
      </c>
      <c r="T448">
        <v>0</v>
      </c>
      <c r="U448">
        <v>0</v>
      </c>
      <c r="V448">
        <v>0</v>
      </c>
      <c r="W448">
        <v>0</v>
      </c>
      <c r="X448">
        <v>0</v>
      </c>
      <c r="Y448">
        <v>0</v>
      </c>
      <c r="Z448">
        <v>0</v>
      </c>
      <c r="AA448">
        <v>0</v>
      </c>
      <c r="AB448">
        <v>0</v>
      </c>
      <c r="AC448">
        <v>0</v>
      </c>
      <c r="AD448">
        <v>0</v>
      </c>
      <c r="AF448">
        <v>0</v>
      </c>
      <c r="AG448">
        <v>0</v>
      </c>
      <c r="AH448">
        <v>0</v>
      </c>
      <c r="AI448">
        <v>0</v>
      </c>
      <c r="AJ448">
        <v>0</v>
      </c>
      <c r="AK448">
        <v>0</v>
      </c>
      <c r="AL448">
        <v>0</v>
      </c>
      <c r="AM448">
        <v>0</v>
      </c>
      <c r="AN448">
        <v>0</v>
      </c>
      <c r="AO448">
        <v>0</v>
      </c>
      <c r="AP448">
        <v>0</v>
      </c>
      <c r="AQ448">
        <v>0</v>
      </c>
      <c r="AR448">
        <v>0</v>
      </c>
      <c r="AS448">
        <v>0</v>
      </c>
      <c r="AT448">
        <v>0</v>
      </c>
      <c r="AU448">
        <v>0</v>
      </c>
      <c r="AV448">
        <v>0</v>
      </c>
      <c r="AW448">
        <v>0</v>
      </c>
      <c r="AX448">
        <v>0</v>
      </c>
      <c r="AY448">
        <v>0</v>
      </c>
      <c r="AZ448">
        <v>0</v>
      </c>
      <c r="BA448">
        <v>0</v>
      </c>
      <c r="BB448">
        <v>0</v>
      </c>
      <c r="BC448">
        <v>0</v>
      </c>
      <c r="BD448">
        <v>0</v>
      </c>
      <c r="BE448">
        <v>0</v>
      </c>
      <c r="BF448">
        <v>0</v>
      </c>
      <c r="BG448">
        <v>0</v>
      </c>
      <c r="BH448">
        <v>0</v>
      </c>
      <c r="BI448">
        <v>0</v>
      </c>
      <c r="BK448" s="151"/>
    </row>
    <row r="449" spans="1:63" x14ac:dyDescent="0.35">
      <c r="A449">
        <v>0</v>
      </c>
      <c r="B449">
        <v>0</v>
      </c>
      <c r="C449">
        <v>0</v>
      </c>
      <c r="D449">
        <v>0</v>
      </c>
      <c r="E449">
        <v>0</v>
      </c>
      <c r="F449">
        <v>0</v>
      </c>
      <c r="G449">
        <v>0</v>
      </c>
      <c r="H449">
        <v>0</v>
      </c>
      <c r="I449">
        <v>0</v>
      </c>
      <c r="J449">
        <v>0</v>
      </c>
      <c r="K449">
        <v>0</v>
      </c>
      <c r="L449">
        <v>0</v>
      </c>
      <c r="M449">
        <v>0</v>
      </c>
      <c r="N449">
        <v>0</v>
      </c>
      <c r="O449">
        <v>0</v>
      </c>
      <c r="P449">
        <v>0</v>
      </c>
      <c r="Q449">
        <v>0</v>
      </c>
      <c r="R449">
        <v>0</v>
      </c>
      <c r="S449">
        <v>0</v>
      </c>
      <c r="T449">
        <v>0</v>
      </c>
      <c r="U449">
        <v>0</v>
      </c>
      <c r="V449">
        <v>0</v>
      </c>
      <c r="W449">
        <v>0</v>
      </c>
      <c r="X449">
        <v>0</v>
      </c>
      <c r="Y449">
        <v>0</v>
      </c>
      <c r="Z449">
        <v>0</v>
      </c>
      <c r="AA449">
        <v>0</v>
      </c>
      <c r="AB449">
        <v>0</v>
      </c>
      <c r="AC449">
        <v>0</v>
      </c>
      <c r="AD449">
        <v>0</v>
      </c>
      <c r="AF449">
        <v>0</v>
      </c>
      <c r="AG449">
        <v>0</v>
      </c>
      <c r="AH449">
        <v>0</v>
      </c>
      <c r="AI449">
        <v>0</v>
      </c>
      <c r="AJ449">
        <v>0</v>
      </c>
      <c r="AK449">
        <v>0</v>
      </c>
      <c r="AL449">
        <v>0</v>
      </c>
      <c r="AM449">
        <v>0</v>
      </c>
      <c r="AN449">
        <v>0</v>
      </c>
      <c r="AO449">
        <v>0</v>
      </c>
      <c r="AP449">
        <v>0</v>
      </c>
      <c r="AQ449">
        <v>0</v>
      </c>
      <c r="AR449">
        <v>0</v>
      </c>
      <c r="AS449">
        <v>0</v>
      </c>
      <c r="AT449">
        <v>0</v>
      </c>
      <c r="AU449">
        <v>0</v>
      </c>
      <c r="AV449">
        <v>0</v>
      </c>
      <c r="AW449">
        <v>0</v>
      </c>
      <c r="AX449">
        <v>0</v>
      </c>
      <c r="AY449">
        <v>0</v>
      </c>
      <c r="AZ449">
        <v>0</v>
      </c>
      <c r="BA449">
        <v>0</v>
      </c>
      <c r="BB449">
        <v>0</v>
      </c>
      <c r="BC449">
        <v>0</v>
      </c>
      <c r="BD449">
        <v>0</v>
      </c>
      <c r="BE449">
        <v>0</v>
      </c>
      <c r="BF449">
        <v>0</v>
      </c>
      <c r="BG449">
        <v>0</v>
      </c>
      <c r="BH449">
        <v>0</v>
      </c>
      <c r="BI449">
        <v>0</v>
      </c>
      <c r="BK449" s="151"/>
    </row>
    <row r="450" spans="1:63" x14ac:dyDescent="0.35">
      <c r="A450">
        <v>0</v>
      </c>
      <c r="B450">
        <v>0</v>
      </c>
      <c r="C450">
        <v>0</v>
      </c>
      <c r="D450">
        <v>0</v>
      </c>
      <c r="E450">
        <v>0</v>
      </c>
      <c r="F450">
        <v>0</v>
      </c>
      <c r="G450">
        <v>0</v>
      </c>
      <c r="H450">
        <v>0</v>
      </c>
      <c r="I450">
        <v>0</v>
      </c>
      <c r="J450">
        <v>0</v>
      </c>
      <c r="K450">
        <v>0</v>
      </c>
      <c r="L450">
        <v>0</v>
      </c>
      <c r="M450">
        <v>0</v>
      </c>
      <c r="N450">
        <v>0</v>
      </c>
      <c r="O450">
        <v>0</v>
      </c>
      <c r="P450">
        <v>0</v>
      </c>
      <c r="Q450">
        <v>0</v>
      </c>
      <c r="R450">
        <v>0</v>
      </c>
      <c r="S450">
        <v>0</v>
      </c>
      <c r="T450">
        <v>0</v>
      </c>
      <c r="U450">
        <v>0</v>
      </c>
      <c r="V450">
        <v>0</v>
      </c>
      <c r="W450">
        <v>0</v>
      </c>
      <c r="X450">
        <v>0</v>
      </c>
      <c r="Y450">
        <v>0</v>
      </c>
      <c r="Z450">
        <v>0</v>
      </c>
      <c r="AA450">
        <v>0</v>
      </c>
      <c r="AB450">
        <v>0</v>
      </c>
      <c r="AC450">
        <v>0</v>
      </c>
      <c r="AD450">
        <v>0</v>
      </c>
      <c r="AF450">
        <v>0</v>
      </c>
      <c r="AG450">
        <v>0</v>
      </c>
      <c r="AH450">
        <v>0</v>
      </c>
      <c r="AI450">
        <v>0</v>
      </c>
      <c r="AJ450">
        <v>0</v>
      </c>
      <c r="AK450">
        <v>0</v>
      </c>
      <c r="AL450">
        <v>0</v>
      </c>
      <c r="AM450">
        <v>0</v>
      </c>
      <c r="AN450">
        <v>0</v>
      </c>
      <c r="AO450">
        <v>0</v>
      </c>
      <c r="AP450">
        <v>0</v>
      </c>
      <c r="AQ450">
        <v>0</v>
      </c>
      <c r="AR450">
        <v>0</v>
      </c>
      <c r="AS450">
        <v>0</v>
      </c>
      <c r="AT450">
        <v>0</v>
      </c>
      <c r="AU450">
        <v>0</v>
      </c>
      <c r="AV450">
        <v>0</v>
      </c>
      <c r="AW450">
        <v>0</v>
      </c>
      <c r="AX450">
        <v>0</v>
      </c>
      <c r="AY450">
        <v>0</v>
      </c>
      <c r="AZ450">
        <v>0</v>
      </c>
      <c r="BA450">
        <v>0</v>
      </c>
      <c r="BB450">
        <v>0</v>
      </c>
      <c r="BC450">
        <v>0</v>
      </c>
      <c r="BD450">
        <v>0</v>
      </c>
      <c r="BE450">
        <v>0</v>
      </c>
      <c r="BF450">
        <v>0</v>
      </c>
      <c r="BG450">
        <v>0</v>
      </c>
      <c r="BH450">
        <v>0</v>
      </c>
      <c r="BI450">
        <v>0</v>
      </c>
      <c r="BK450" s="151"/>
    </row>
    <row r="451" spans="1:63" x14ac:dyDescent="0.35">
      <c r="A451">
        <v>0</v>
      </c>
      <c r="B451">
        <v>0</v>
      </c>
      <c r="C451">
        <v>0</v>
      </c>
      <c r="D451">
        <v>0</v>
      </c>
      <c r="E451">
        <v>0</v>
      </c>
      <c r="F451">
        <v>0</v>
      </c>
      <c r="G451">
        <v>0</v>
      </c>
      <c r="H451">
        <v>0</v>
      </c>
      <c r="I451">
        <v>0</v>
      </c>
      <c r="J451">
        <v>0</v>
      </c>
      <c r="K451">
        <v>0</v>
      </c>
      <c r="L451">
        <v>0</v>
      </c>
      <c r="M451">
        <v>0</v>
      </c>
      <c r="N451">
        <v>0</v>
      </c>
      <c r="O451">
        <v>0</v>
      </c>
      <c r="P451">
        <v>0</v>
      </c>
      <c r="Q451">
        <v>0</v>
      </c>
      <c r="R451">
        <v>0</v>
      </c>
      <c r="S451">
        <v>0</v>
      </c>
      <c r="T451">
        <v>0</v>
      </c>
      <c r="U451">
        <v>0</v>
      </c>
      <c r="V451">
        <v>0</v>
      </c>
      <c r="W451">
        <v>0</v>
      </c>
      <c r="X451">
        <v>0</v>
      </c>
      <c r="Y451">
        <v>0</v>
      </c>
      <c r="Z451">
        <v>0</v>
      </c>
      <c r="AA451">
        <v>0</v>
      </c>
      <c r="AB451">
        <v>0</v>
      </c>
      <c r="AC451">
        <v>0</v>
      </c>
      <c r="AD451">
        <v>0</v>
      </c>
      <c r="AF451">
        <v>0</v>
      </c>
      <c r="AG451">
        <v>0</v>
      </c>
      <c r="AH451">
        <v>0</v>
      </c>
      <c r="AI451">
        <v>0</v>
      </c>
      <c r="AJ451">
        <v>0</v>
      </c>
      <c r="AK451">
        <v>0</v>
      </c>
      <c r="AL451">
        <v>0</v>
      </c>
      <c r="AM451">
        <v>0</v>
      </c>
      <c r="AN451">
        <v>0</v>
      </c>
      <c r="AO451">
        <v>0</v>
      </c>
      <c r="AP451">
        <v>0</v>
      </c>
      <c r="AQ451">
        <v>0</v>
      </c>
      <c r="AR451">
        <v>0</v>
      </c>
      <c r="AS451">
        <v>0</v>
      </c>
      <c r="AT451">
        <v>0</v>
      </c>
      <c r="AU451">
        <v>0</v>
      </c>
      <c r="AV451">
        <v>0</v>
      </c>
      <c r="AW451">
        <v>0</v>
      </c>
      <c r="AX451">
        <v>0</v>
      </c>
      <c r="AY451">
        <v>0</v>
      </c>
      <c r="AZ451">
        <v>0</v>
      </c>
      <c r="BA451">
        <v>0</v>
      </c>
      <c r="BB451">
        <v>0</v>
      </c>
      <c r="BC451">
        <v>0</v>
      </c>
      <c r="BD451">
        <v>0</v>
      </c>
      <c r="BE451">
        <v>0</v>
      </c>
      <c r="BF451">
        <v>0</v>
      </c>
      <c r="BG451">
        <v>0</v>
      </c>
      <c r="BH451">
        <v>0</v>
      </c>
      <c r="BI451">
        <v>0</v>
      </c>
      <c r="BK451" s="151"/>
    </row>
    <row r="452" spans="1:63" x14ac:dyDescent="0.35">
      <c r="A452">
        <v>0</v>
      </c>
      <c r="B452">
        <v>0</v>
      </c>
      <c r="C452">
        <v>0</v>
      </c>
      <c r="D452">
        <v>0</v>
      </c>
      <c r="E452">
        <v>0</v>
      </c>
      <c r="F452">
        <v>0</v>
      </c>
      <c r="G452">
        <v>0</v>
      </c>
      <c r="H452">
        <v>0</v>
      </c>
      <c r="I452">
        <v>0</v>
      </c>
      <c r="J452">
        <v>0</v>
      </c>
      <c r="K452">
        <v>0</v>
      </c>
      <c r="L452">
        <v>0</v>
      </c>
      <c r="M452">
        <v>0</v>
      </c>
      <c r="N452">
        <v>0</v>
      </c>
      <c r="O452">
        <v>0</v>
      </c>
      <c r="P452">
        <v>0</v>
      </c>
      <c r="Q452">
        <v>0</v>
      </c>
      <c r="R452">
        <v>0</v>
      </c>
      <c r="S452">
        <v>0</v>
      </c>
      <c r="T452">
        <v>0</v>
      </c>
      <c r="U452">
        <v>0</v>
      </c>
      <c r="V452">
        <v>0</v>
      </c>
      <c r="W452">
        <v>0</v>
      </c>
      <c r="X452">
        <v>0</v>
      </c>
      <c r="Y452">
        <v>0</v>
      </c>
      <c r="Z452">
        <v>0</v>
      </c>
      <c r="AA452">
        <v>0</v>
      </c>
      <c r="AB452">
        <v>0</v>
      </c>
      <c r="AC452">
        <v>0</v>
      </c>
      <c r="AD452">
        <v>0</v>
      </c>
      <c r="AF452">
        <v>0</v>
      </c>
      <c r="AG452">
        <v>0</v>
      </c>
      <c r="AH452">
        <v>0</v>
      </c>
      <c r="AI452">
        <v>0</v>
      </c>
      <c r="AJ452">
        <v>0</v>
      </c>
      <c r="AK452">
        <v>0</v>
      </c>
      <c r="AL452">
        <v>0</v>
      </c>
      <c r="AM452">
        <v>0</v>
      </c>
      <c r="AN452">
        <v>0</v>
      </c>
      <c r="AO452">
        <v>0</v>
      </c>
      <c r="AP452">
        <v>0</v>
      </c>
      <c r="AQ452">
        <v>0</v>
      </c>
      <c r="AR452">
        <v>0</v>
      </c>
      <c r="AS452">
        <v>0</v>
      </c>
      <c r="AT452">
        <v>0</v>
      </c>
      <c r="AU452">
        <v>0</v>
      </c>
      <c r="AV452">
        <v>0</v>
      </c>
      <c r="AW452">
        <v>0</v>
      </c>
      <c r="AX452">
        <v>0</v>
      </c>
      <c r="AY452">
        <v>0</v>
      </c>
      <c r="AZ452">
        <v>0</v>
      </c>
      <c r="BA452">
        <v>0</v>
      </c>
      <c r="BB452">
        <v>0</v>
      </c>
      <c r="BC452">
        <v>0</v>
      </c>
      <c r="BD452">
        <v>0</v>
      </c>
      <c r="BE452">
        <v>0</v>
      </c>
      <c r="BF452">
        <v>0</v>
      </c>
      <c r="BG452">
        <v>0</v>
      </c>
      <c r="BH452">
        <v>0</v>
      </c>
      <c r="BI452">
        <v>0</v>
      </c>
      <c r="BK452" s="151"/>
    </row>
    <row r="453" spans="1:63" x14ac:dyDescent="0.35">
      <c r="A453">
        <v>0</v>
      </c>
      <c r="B453">
        <v>0</v>
      </c>
      <c r="C453">
        <v>0</v>
      </c>
      <c r="D453">
        <v>0</v>
      </c>
      <c r="E453">
        <v>0</v>
      </c>
      <c r="F453">
        <v>0</v>
      </c>
      <c r="G453">
        <v>0</v>
      </c>
      <c r="H453">
        <v>0</v>
      </c>
      <c r="I453">
        <v>0</v>
      </c>
      <c r="J453">
        <v>0</v>
      </c>
      <c r="K453">
        <v>0</v>
      </c>
      <c r="L453">
        <v>0</v>
      </c>
      <c r="M453">
        <v>0</v>
      </c>
      <c r="N453">
        <v>0</v>
      </c>
      <c r="O453">
        <v>0</v>
      </c>
      <c r="P453">
        <v>0</v>
      </c>
      <c r="Q453">
        <v>0</v>
      </c>
      <c r="R453">
        <v>0</v>
      </c>
      <c r="S453">
        <v>0</v>
      </c>
      <c r="T453">
        <v>0</v>
      </c>
      <c r="U453">
        <v>0</v>
      </c>
      <c r="V453">
        <v>0</v>
      </c>
      <c r="W453">
        <v>0</v>
      </c>
      <c r="X453">
        <v>0</v>
      </c>
      <c r="Y453">
        <v>0</v>
      </c>
      <c r="Z453">
        <v>0</v>
      </c>
      <c r="AA453">
        <v>0</v>
      </c>
      <c r="AB453">
        <v>0</v>
      </c>
      <c r="AC453">
        <v>0</v>
      </c>
      <c r="AD453">
        <v>0</v>
      </c>
      <c r="AF453">
        <v>0</v>
      </c>
      <c r="AG453">
        <v>0</v>
      </c>
      <c r="AH453">
        <v>0</v>
      </c>
      <c r="AI453">
        <v>0</v>
      </c>
      <c r="AJ453">
        <v>0</v>
      </c>
      <c r="AK453">
        <v>0</v>
      </c>
      <c r="AL453">
        <v>0</v>
      </c>
      <c r="AM453">
        <v>0</v>
      </c>
      <c r="AN453">
        <v>0</v>
      </c>
      <c r="AO453">
        <v>0</v>
      </c>
      <c r="AP453">
        <v>0</v>
      </c>
      <c r="AQ453">
        <v>0</v>
      </c>
      <c r="AR453">
        <v>0</v>
      </c>
      <c r="AS453">
        <v>0</v>
      </c>
      <c r="AT453">
        <v>0</v>
      </c>
      <c r="AU453">
        <v>0</v>
      </c>
      <c r="AV453">
        <v>0</v>
      </c>
      <c r="AW453">
        <v>0</v>
      </c>
      <c r="AX453">
        <v>0</v>
      </c>
      <c r="AY453">
        <v>0</v>
      </c>
      <c r="AZ453">
        <v>0</v>
      </c>
      <c r="BA453">
        <v>0</v>
      </c>
      <c r="BB453">
        <v>0</v>
      </c>
      <c r="BC453">
        <v>0</v>
      </c>
      <c r="BD453">
        <v>0</v>
      </c>
      <c r="BE453">
        <v>0</v>
      </c>
      <c r="BF453">
        <v>0</v>
      </c>
      <c r="BG453">
        <v>0</v>
      </c>
      <c r="BH453">
        <v>0</v>
      </c>
      <c r="BI453">
        <v>0</v>
      </c>
      <c r="BK453" s="151"/>
    </row>
    <row r="454" spans="1:63" x14ac:dyDescent="0.35">
      <c r="A454">
        <v>0</v>
      </c>
      <c r="B454">
        <v>0</v>
      </c>
      <c r="C454">
        <v>0</v>
      </c>
      <c r="D454">
        <v>0</v>
      </c>
      <c r="E454">
        <v>0</v>
      </c>
      <c r="F454">
        <v>0</v>
      </c>
      <c r="G454">
        <v>0</v>
      </c>
      <c r="H454">
        <v>0</v>
      </c>
      <c r="I454">
        <v>0</v>
      </c>
      <c r="J454">
        <v>0</v>
      </c>
      <c r="K454">
        <v>0</v>
      </c>
      <c r="L454">
        <v>0</v>
      </c>
      <c r="M454">
        <v>0</v>
      </c>
      <c r="N454">
        <v>0</v>
      </c>
      <c r="O454">
        <v>0</v>
      </c>
      <c r="P454">
        <v>0</v>
      </c>
      <c r="Q454">
        <v>0</v>
      </c>
      <c r="R454">
        <v>0</v>
      </c>
      <c r="S454">
        <v>0</v>
      </c>
      <c r="T454">
        <v>0</v>
      </c>
      <c r="U454">
        <v>0</v>
      </c>
      <c r="V454">
        <v>0</v>
      </c>
      <c r="W454">
        <v>0</v>
      </c>
      <c r="X454">
        <v>0</v>
      </c>
      <c r="Y454">
        <v>0</v>
      </c>
      <c r="Z454">
        <v>0</v>
      </c>
      <c r="AA454">
        <v>0</v>
      </c>
      <c r="AB454">
        <v>0</v>
      </c>
      <c r="AC454">
        <v>0</v>
      </c>
      <c r="AD454">
        <v>0</v>
      </c>
      <c r="AF454">
        <v>0</v>
      </c>
      <c r="AG454">
        <v>0</v>
      </c>
      <c r="AH454">
        <v>0</v>
      </c>
      <c r="AI454">
        <v>0</v>
      </c>
      <c r="AJ454">
        <v>0</v>
      </c>
      <c r="AK454">
        <v>0</v>
      </c>
      <c r="AL454">
        <v>0</v>
      </c>
      <c r="AM454">
        <v>0</v>
      </c>
      <c r="AN454">
        <v>0</v>
      </c>
      <c r="AO454">
        <v>0</v>
      </c>
      <c r="AP454">
        <v>0</v>
      </c>
      <c r="AQ454">
        <v>0</v>
      </c>
      <c r="AR454">
        <v>0</v>
      </c>
      <c r="AS454">
        <v>0</v>
      </c>
      <c r="AT454">
        <v>0</v>
      </c>
      <c r="AU454">
        <v>0</v>
      </c>
      <c r="AV454">
        <v>0</v>
      </c>
      <c r="AW454">
        <v>0</v>
      </c>
      <c r="AX454">
        <v>0</v>
      </c>
      <c r="AY454">
        <v>0</v>
      </c>
      <c r="AZ454">
        <v>0</v>
      </c>
      <c r="BA454">
        <v>0</v>
      </c>
      <c r="BB454">
        <v>0</v>
      </c>
      <c r="BC454">
        <v>0</v>
      </c>
      <c r="BD454">
        <v>0</v>
      </c>
      <c r="BE454">
        <v>0</v>
      </c>
      <c r="BF454">
        <v>0</v>
      </c>
      <c r="BG454">
        <v>0</v>
      </c>
      <c r="BH454">
        <v>0</v>
      </c>
      <c r="BI454">
        <v>0</v>
      </c>
      <c r="BK454" s="151"/>
    </row>
    <row r="455" spans="1:63" x14ac:dyDescent="0.35">
      <c r="A455">
        <v>0</v>
      </c>
      <c r="B455">
        <v>0</v>
      </c>
      <c r="C455">
        <v>0</v>
      </c>
      <c r="D455">
        <v>0</v>
      </c>
      <c r="E455">
        <v>0</v>
      </c>
      <c r="F455">
        <v>0</v>
      </c>
      <c r="G455">
        <v>0</v>
      </c>
      <c r="H455">
        <v>0</v>
      </c>
      <c r="I455">
        <v>0</v>
      </c>
      <c r="J455">
        <v>0</v>
      </c>
      <c r="K455">
        <v>0</v>
      </c>
      <c r="L455">
        <v>0</v>
      </c>
      <c r="M455">
        <v>0</v>
      </c>
      <c r="N455">
        <v>0</v>
      </c>
      <c r="O455">
        <v>0</v>
      </c>
      <c r="P455">
        <v>0</v>
      </c>
      <c r="Q455">
        <v>0</v>
      </c>
      <c r="R455">
        <v>0</v>
      </c>
      <c r="S455">
        <v>0</v>
      </c>
      <c r="T455">
        <v>0</v>
      </c>
      <c r="U455">
        <v>0</v>
      </c>
      <c r="V455">
        <v>0</v>
      </c>
      <c r="W455">
        <v>0</v>
      </c>
      <c r="X455">
        <v>0</v>
      </c>
      <c r="Y455">
        <v>0</v>
      </c>
      <c r="Z455">
        <v>0</v>
      </c>
      <c r="AA455">
        <v>0</v>
      </c>
      <c r="AB455">
        <v>0</v>
      </c>
      <c r="AC455">
        <v>0</v>
      </c>
      <c r="AD455">
        <v>0</v>
      </c>
      <c r="AF455">
        <v>0</v>
      </c>
      <c r="AG455">
        <v>0</v>
      </c>
      <c r="AH455">
        <v>0</v>
      </c>
      <c r="AI455">
        <v>0</v>
      </c>
      <c r="AJ455">
        <v>0</v>
      </c>
      <c r="AK455">
        <v>0</v>
      </c>
      <c r="AL455">
        <v>0</v>
      </c>
      <c r="AM455">
        <v>0</v>
      </c>
      <c r="AN455">
        <v>0</v>
      </c>
      <c r="AO455">
        <v>0</v>
      </c>
      <c r="AP455">
        <v>0</v>
      </c>
      <c r="AQ455">
        <v>0</v>
      </c>
      <c r="AR455">
        <v>0</v>
      </c>
      <c r="AS455">
        <v>0</v>
      </c>
      <c r="AT455">
        <v>0</v>
      </c>
      <c r="AU455">
        <v>0</v>
      </c>
      <c r="AV455">
        <v>0</v>
      </c>
      <c r="AW455">
        <v>0</v>
      </c>
      <c r="AX455">
        <v>0</v>
      </c>
      <c r="AY455">
        <v>0</v>
      </c>
      <c r="AZ455">
        <v>0</v>
      </c>
      <c r="BA455">
        <v>0</v>
      </c>
      <c r="BB455">
        <v>0</v>
      </c>
      <c r="BC455">
        <v>0</v>
      </c>
      <c r="BD455">
        <v>0</v>
      </c>
      <c r="BE455">
        <v>0</v>
      </c>
      <c r="BF455">
        <v>0</v>
      </c>
      <c r="BG455">
        <v>0</v>
      </c>
      <c r="BH455">
        <v>0</v>
      </c>
      <c r="BI455">
        <v>0</v>
      </c>
      <c r="BK455" s="151"/>
    </row>
    <row r="456" spans="1:63" x14ac:dyDescent="0.35">
      <c r="A456">
        <v>0</v>
      </c>
      <c r="B456">
        <v>0</v>
      </c>
      <c r="C456">
        <v>0</v>
      </c>
      <c r="D456">
        <v>0</v>
      </c>
      <c r="E456">
        <v>0</v>
      </c>
      <c r="F456">
        <v>0</v>
      </c>
      <c r="G456">
        <v>0</v>
      </c>
      <c r="H456">
        <v>0</v>
      </c>
      <c r="I456">
        <v>0</v>
      </c>
      <c r="J456">
        <v>0</v>
      </c>
      <c r="K456">
        <v>0</v>
      </c>
      <c r="L456">
        <v>0</v>
      </c>
      <c r="M456">
        <v>0</v>
      </c>
      <c r="N456">
        <v>0</v>
      </c>
      <c r="O456">
        <v>0</v>
      </c>
      <c r="P456">
        <v>0</v>
      </c>
      <c r="Q456">
        <v>0</v>
      </c>
      <c r="R456">
        <v>0</v>
      </c>
      <c r="S456">
        <v>0</v>
      </c>
      <c r="T456">
        <v>0</v>
      </c>
      <c r="U456">
        <v>0</v>
      </c>
      <c r="V456">
        <v>0</v>
      </c>
      <c r="W456">
        <v>0</v>
      </c>
      <c r="X456">
        <v>0</v>
      </c>
      <c r="Y456">
        <v>0</v>
      </c>
      <c r="Z456">
        <v>0</v>
      </c>
      <c r="AA456">
        <v>0</v>
      </c>
      <c r="AB456">
        <v>0</v>
      </c>
      <c r="AC456">
        <v>0</v>
      </c>
      <c r="AD456">
        <v>0</v>
      </c>
      <c r="AF456">
        <v>0</v>
      </c>
      <c r="AG456">
        <v>0</v>
      </c>
      <c r="AH456">
        <v>0</v>
      </c>
      <c r="AI456">
        <v>0</v>
      </c>
      <c r="AJ456">
        <v>0</v>
      </c>
      <c r="AK456">
        <v>0</v>
      </c>
      <c r="AL456">
        <v>0</v>
      </c>
      <c r="AM456">
        <v>0</v>
      </c>
      <c r="AN456">
        <v>0</v>
      </c>
      <c r="AO456">
        <v>0</v>
      </c>
      <c r="AP456">
        <v>0</v>
      </c>
      <c r="AQ456">
        <v>0</v>
      </c>
      <c r="AR456">
        <v>0</v>
      </c>
      <c r="AS456">
        <v>0</v>
      </c>
      <c r="AT456">
        <v>0</v>
      </c>
      <c r="AU456">
        <v>0</v>
      </c>
      <c r="AV456">
        <v>0</v>
      </c>
      <c r="AW456">
        <v>0</v>
      </c>
      <c r="AX456">
        <v>0</v>
      </c>
      <c r="AY456">
        <v>0</v>
      </c>
      <c r="AZ456">
        <v>0</v>
      </c>
      <c r="BA456">
        <v>0</v>
      </c>
      <c r="BB456">
        <v>0</v>
      </c>
      <c r="BC456">
        <v>0</v>
      </c>
      <c r="BD456">
        <v>0</v>
      </c>
      <c r="BE456">
        <v>0</v>
      </c>
      <c r="BF456">
        <v>0</v>
      </c>
      <c r="BG456">
        <v>0</v>
      </c>
      <c r="BH456">
        <v>0</v>
      </c>
      <c r="BI456">
        <v>0</v>
      </c>
      <c r="BK456" s="151"/>
    </row>
    <row r="457" spans="1:63" x14ac:dyDescent="0.35">
      <c r="A457">
        <v>0</v>
      </c>
      <c r="B457">
        <v>0</v>
      </c>
      <c r="C457">
        <v>0</v>
      </c>
      <c r="D457">
        <v>0</v>
      </c>
      <c r="E457">
        <v>0</v>
      </c>
      <c r="F457">
        <v>0</v>
      </c>
      <c r="G457">
        <v>0</v>
      </c>
      <c r="H457">
        <v>0</v>
      </c>
      <c r="I457">
        <v>0</v>
      </c>
      <c r="J457">
        <v>0</v>
      </c>
      <c r="K457">
        <v>0</v>
      </c>
      <c r="L457">
        <v>0</v>
      </c>
      <c r="M457">
        <v>0</v>
      </c>
      <c r="N457">
        <v>0</v>
      </c>
      <c r="O457">
        <v>0</v>
      </c>
      <c r="P457">
        <v>0</v>
      </c>
      <c r="Q457">
        <v>0</v>
      </c>
      <c r="R457">
        <v>0</v>
      </c>
      <c r="S457">
        <v>0</v>
      </c>
      <c r="T457">
        <v>0</v>
      </c>
      <c r="U457">
        <v>0</v>
      </c>
      <c r="V457">
        <v>0</v>
      </c>
      <c r="W457">
        <v>0</v>
      </c>
      <c r="X457">
        <v>0</v>
      </c>
      <c r="Y457">
        <v>0</v>
      </c>
      <c r="Z457">
        <v>0</v>
      </c>
      <c r="AA457">
        <v>0</v>
      </c>
      <c r="AB457">
        <v>0</v>
      </c>
      <c r="AC457">
        <v>0</v>
      </c>
      <c r="AD457">
        <v>0</v>
      </c>
      <c r="AF457">
        <v>0</v>
      </c>
      <c r="AG457">
        <v>0</v>
      </c>
      <c r="AH457">
        <v>0</v>
      </c>
      <c r="AI457">
        <v>0</v>
      </c>
      <c r="AJ457">
        <v>0</v>
      </c>
      <c r="AK457">
        <v>0</v>
      </c>
      <c r="AL457">
        <v>0</v>
      </c>
      <c r="AM457">
        <v>0</v>
      </c>
      <c r="AN457">
        <v>0</v>
      </c>
      <c r="AO457">
        <v>0</v>
      </c>
      <c r="AP457">
        <v>0</v>
      </c>
      <c r="AQ457">
        <v>0</v>
      </c>
      <c r="AR457">
        <v>0</v>
      </c>
      <c r="AS457">
        <v>0</v>
      </c>
      <c r="AT457">
        <v>0</v>
      </c>
      <c r="AU457">
        <v>0</v>
      </c>
      <c r="AV457">
        <v>0</v>
      </c>
      <c r="AW457">
        <v>0</v>
      </c>
      <c r="AX457">
        <v>0</v>
      </c>
      <c r="AY457">
        <v>0</v>
      </c>
      <c r="AZ457">
        <v>0</v>
      </c>
      <c r="BA457">
        <v>0</v>
      </c>
      <c r="BB457">
        <v>0</v>
      </c>
      <c r="BC457">
        <v>0</v>
      </c>
      <c r="BD457">
        <v>0</v>
      </c>
      <c r="BE457">
        <v>0</v>
      </c>
      <c r="BF457">
        <v>0</v>
      </c>
      <c r="BG457">
        <v>0</v>
      </c>
      <c r="BH457">
        <v>0</v>
      </c>
      <c r="BI457">
        <v>0</v>
      </c>
      <c r="BK457" s="151"/>
    </row>
    <row r="458" spans="1:63" x14ac:dyDescent="0.35">
      <c r="A458">
        <v>0</v>
      </c>
      <c r="B458">
        <v>0</v>
      </c>
      <c r="C458">
        <v>0</v>
      </c>
      <c r="D458">
        <v>0</v>
      </c>
      <c r="E458">
        <v>0</v>
      </c>
      <c r="F458">
        <v>0</v>
      </c>
      <c r="G458">
        <v>0</v>
      </c>
      <c r="H458">
        <v>0</v>
      </c>
      <c r="I458">
        <v>0</v>
      </c>
      <c r="J458">
        <v>0</v>
      </c>
      <c r="K458">
        <v>0</v>
      </c>
      <c r="L458">
        <v>0</v>
      </c>
      <c r="M458">
        <v>0</v>
      </c>
      <c r="N458">
        <v>0</v>
      </c>
      <c r="O458">
        <v>0</v>
      </c>
      <c r="P458">
        <v>0</v>
      </c>
      <c r="Q458">
        <v>0</v>
      </c>
      <c r="R458">
        <v>0</v>
      </c>
      <c r="S458">
        <v>0</v>
      </c>
      <c r="T458">
        <v>0</v>
      </c>
      <c r="U458">
        <v>0</v>
      </c>
      <c r="V458">
        <v>0</v>
      </c>
      <c r="W458">
        <v>0</v>
      </c>
      <c r="X458">
        <v>0</v>
      </c>
      <c r="Y458">
        <v>0</v>
      </c>
      <c r="Z458">
        <v>0</v>
      </c>
      <c r="AA458">
        <v>0</v>
      </c>
      <c r="AB458">
        <v>0</v>
      </c>
      <c r="AC458">
        <v>0</v>
      </c>
      <c r="AD458">
        <v>0</v>
      </c>
      <c r="AF458">
        <v>0</v>
      </c>
      <c r="AG458">
        <v>0</v>
      </c>
      <c r="AH458">
        <v>0</v>
      </c>
      <c r="AI458">
        <v>0</v>
      </c>
      <c r="AJ458">
        <v>0</v>
      </c>
      <c r="AK458">
        <v>0</v>
      </c>
      <c r="AL458">
        <v>0</v>
      </c>
      <c r="AM458">
        <v>0</v>
      </c>
      <c r="AN458">
        <v>0</v>
      </c>
      <c r="AO458">
        <v>0</v>
      </c>
      <c r="AP458">
        <v>0</v>
      </c>
      <c r="AQ458">
        <v>0</v>
      </c>
      <c r="AR458">
        <v>0</v>
      </c>
      <c r="AS458">
        <v>0</v>
      </c>
      <c r="AT458">
        <v>0</v>
      </c>
      <c r="AU458">
        <v>0</v>
      </c>
      <c r="AV458">
        <v>0</v>
      </c>
      <c r="AW458">
        <v>0</v>
      </c>
      <c r="AX458">
        <v>0</v>
      </c>
      <c r="AY458">
        <v>0</v>
      </c>
      <c r="AZ458">
        <v>0</v>
      </c>
      <c r="BA458">
        <v>0</v>
      </c>
      <c r="BB458">
        <v>0</v>
      </c>
      <c r="BC458">
        <v>0</v>
      </c>
      <c r="BD458">
        <v>0</v>
      </c>
      <c r="BE458">
        <v>0</v>
      </c>
      <c r="BF458">
        <v>0</v>
      </c>
      <c r="BG458">
        <v>0</v>
      </c>
      <c r="BH458">
        <v>0</v>
      </c>
      <c r="BI458">
        <v>0</v>
      </c>
      <c r="BK458" s="151"/>
    </row>
    <row r="459" spans="1:63" x14ac:dyDescent="0.35">
      <c r="A459">
        <v>0</v>
      </c>
      <c r="B459">
        <v>0</v>
      </c>
      <c r="C459">
        <v>0</v>
      </c>
      <c r="D459">
        <v>0</v>
      </c>
      <c r="E459">
        <v>0</v>
      </c>
      <c r="F459">
        <v>0</v>
      </c>
      <c r="G459">
        <v>0</v>
      </c>
      <c r="H459">
        <v>0</v>
      </c>
      <c r="I459">
        <v>0</v>
      </c>
      <c r="J459">
        <v>0</v>
      </c>
      <c r="K459">
        <v>0</v>
      </c>
      <c r="L459">
        <v>0</v>
      </c>
      <c r="M459">
        <v>0</v>
      </c>
      <c r="N459">
        <v>0</v>
      </c>
      <c r="O459">
        <v>0</v>
      </c>
      <c r="P459">
        <v>0</v>
      </c>
      <c r="Q459">
        <v>0</v>
      </c>
      <c r="R459">
        <v>0</v>
      </c>
      <c r="S459">
        <v>0</v>
      </c>
      <c r="T459">
        <v>0</v>
      </c>
      <c r="U459">
        <v>0</v>
      </c>
      <c r="V459">
        <v>0</v>
      </c>
      <c r="W459">
        <v>0</v>
      </c>
      <c r="X459">
        <v>0</v>
      </c>
      <c r="Y459">
        <v>0</v>
      </c>
      <c r="Z459">
        <v>0</v>
      </c>
      <c r="AA459">
        <v>0</v>
      </c>
      <c r="AB459">
        <v>0</v>
      </c>
      <c r="AC459">
        <v>0</v>
      </c>
      <c r="AD459">
        <v>0</v>
      </c>
      <c r="AF459">
        <v>0</v>
      </c>
      <c r="AG459">
        <v>0</v>
      </c>
      <c r="AH459">
        <v>0</v>
      </c>
      <c r="AI459">
        <v>0</v>
      </c>
      <c r="AJ459">
        <v>0</v>
      </c>
      <c r="AK459">
        <v>0</v>
      </c>
      <c r="AL459">
        <v>0</v>
      </c>
      <c r="AM459">
        <v>0</v>
      </c>
      <c r="AN459">
        <v>0</v>
      </c>
      <c r="AO459">
        <v>0</v>
      </c>
      <c r="AP459">
        <v>0</v>
      </c>
      <c r="AQ459">
        <v>0</v>
      </c>
      <c r="AR459">
        <v>0</v>
      </c>
      <c r="AS459">
        <v>0</v>
      </c>
      <c r="AT459">
        <v>0</v>
      </c>
      <c r="AU459">
        <v>0</v>
      </c>
      <c r="AV459">
        <v>0</v>
      </c>
      <c r="AW459">
        <v>0</v>
      </c>
      <c r="AX459">
        <v>0</v>
      </c>
      <c r="AY459">
        <v>0</v>
      </c>
      <c r="AZ459">
        <v>0</v>
      </c>
      <c r="BA459">
        <v>0</v>
      </c>
      <c r="BB459">
        <v>0</v>
      </c>
      <c r="BC459">
        <v>0</v>
      </c>
      <c r="BD459">
        <v>0</v>
      </c>
      <c r="BE459">
        <v>0</v>
      </c>
      <c r="BF459">
        <v>0</v>
      </c>
      <c r="BG459">
        <v>0</v>
      </c>
      <c r="BH459">
        <v>0</v>
      </c>
      <c r="BI459">
        <v>0</v>
      </c>
      <c r="BK459" s="151"/>
    </row>
    <row r="460" spans="1:63" x14ac:dyDescent="0.35">
      <c r="A460">
        <v>0</v>
      </c>
      <c r="B460">
        <v>0</v>
      </c>
      <c r="C460">
        <v>0</v>
      </c>
      <c r="D460">
        <v>0</v>
      </c>
      <c r="E460">
        <v>0</v>
      </c>
      <c r="F460">
        <v>0</v>
      </c>
      <c r="G460">
        <v>0</v>
      </c>
      <c r="H460">
        <v>0</v>
      </c>
      <c r="I460">
        <v>0</v>
      </c>
      <c r="J460">
        <v>0</v>
      </c>
      <c r="K460">
        <v>0</v>
      </c>
      <c r="L460">
        <v>0</v>
      </c>
      <c r="M460">
        <v>0</v>
      </c>
      <c r="N460">
        <v>0</v>
      </c>
      <c r="O460">
        <v>0</v>
      </c>
      <c r="P460">
        <v>0</v>
      </c>
      <c r="Q460">
        <v>0</v>
      </c>
      <c r="R460">
        <v>0</v>
      </c>
      <c r="S460">
        <v>0</v>
      </c>
      <c r="T460">
        <v>0</v>
      </c>
      <c r="U460">
        <v>0</v>
      </c>
      <c r="V460">
        <v>0</v>
      </c>
      <c r="W460">
        <v>0</v>
      </c>
      <c r="X460">
        <v>0</v>
      </c>
      <c r="Y460">
        <v>0</v>
      </c>
      <c r="Z460">
        <v>0</v>
      </c>
      <c r="AA460">
        <v>0</v>
      </c>
      <c r="AB460">
        <v>0</v>
      </c>
      <c r="AC460">
        <v>0</v>
      </c>
      <c r="AD460">
        <v>0</v>
      </c>
      <c r="AF460">
        <v>0</v>
      </c>
      <c r="AG460">
        <v>0</v>
      </c>
      <c r="AH460">
        <v>0</v>
      </c>
      <c r="AI460">
        <v>0</v>
      </c>
      <c r="AJ460">
        <v>0</v>
      </c>
      <c r="AK460">
        <v>0</v>
      </c>
      <c r="AL460">
        <v>0</v>
      </c>
      <c r="AM460">
        <v>0</v>
      </c>
      <c r="AN460">
        <v>0</v>
      </c>
      <c r="AO460">
        <v>0</v>
      </c>
      <c r="AP460">
        <v>0</v>
      </c>
      <c r="AQ460">
        <v>0</v>
      </c>
      <c r="AR460">
        <v>0</v>
      </c>
      <c r="AS460">
        <v>0</v>
      </c>
      <c r="AT460">
        <v>0</v>
      </c>
      <c r="AU460">
        <v>0</v>
      </c>
      <c r="AV460">
        <v>0</v>
      </c>
      <c r="AW460">
        <v>0</v>
      </c>
      <c r="AX460">
        <v>0</v>
      </c>
      <c r="AY460">
        <v>0</v>
      </c>
      <c r="AZ460">
        <v>0</v>
      </c>
      <c r="BA460">
        <v>0</v>
      </c>
      <c r="BB460">
        <v>0</v>
      </c>
      <c r="BC460">
        <v>0</v>
      </c>
      <c r="BD460">
        <v>0</v>
      </c>
      <c r="BE460">
        <v>0</v>
      </c>
      <c r="BF460">
        <v>0</v>
      </c>
      <c r="BG460">
        <v>0</v>
      </c>
      <c r="BH460">
        <v>0</v>
      </c>
      <c r="BI460">
        <v>0</v>
      </c>
      <c r="BK460" s="151"/>
    </row>
    <row r="461" spans="1:63" x14ac:dyDescent="0.35">
      <c r="A461">
        <v>0</v>
      </c>
      <c r="B461">
        <v>0</v>
      </c>
      <c r="C461">
        <v>0</v>
      </c>
      <c r="D461">
        <v>0</v>
      </c>
      <c r="E461">
        <v>0</v>
      </c>
      <c r="F461">
        <v>0</v>
      </c>
      <c r="G461">
        <v>0</v>
      </c>
      <c r="H461">
        <v>0</v>
      </c>
      <c r="I461">
        <v>0</v>
      </c>
      <c r="J461">
        <v>0</v>
      </c>
      <c r="K461">
        <v>0</v>
      </c>
      <c r="L461">
        <v>0</v>
      </c>
      <c r="M461">
        <v>0</v>
      </c>
      <c r="N461">
        <v>0</v>
      </c>
      <c r="O461">
        <v>0</v>
      </c>
      <c r="P461">
        <v>0</v>
      </c>
      <c r="Q461">
        <v>0</v>
      </c>
      <c r="R461">
        <v>0</v>
      </c>
      <c r="S461">
        <v>0</v>
      </c>
      <c r="T461">
        <v>0</v>
      </c>
      <c r="U461">
        <v>0</v>
      </c>
      <c r="V461">
        <v>0</v>
      </c>
      <c r="W461">
        <v>0</v>
      </c>
      <c r="X461">
        <v>0</v>
      </c>
      <c r="Y461">
        <v>0</v>
      </c>
      <c r="Z461">
        <v>0</v>
      </c>
      <c r="AA461">
        <v>0</v>
      </c>
      <c r="AB461">
        <v>0</v>
      </c>
      <c r="AC461">
        <v>0</v>
      </c>
      <c r="AD461">
        <v>0</v>
      </c>
      <c r="AF461">
        <v>0</v>
      </c>
      <c r="AG461">
        <v>0</v>
      </c>
      <c r="AH461">
        <v>0</v>
      </c>
      <c r="AI461">
        <v>0</v>
      </c>
      <c r="AJ461">
        <v>0</v>
      </c>
      <c r="AK461">
        <v>0</v>
      </c>
      <c r="AL461">
        <v>0</v>
      </c>
      <c r="AM461">
        <v>0</v>
      </c>
      <c r="AN461">
        <v>0</v>
      </c>
      <c r="AO461">
        <v>0</v>
      </c>
      <c r="AP461">
        <v>0</v>
      </c>
      <c r="AQ461">
        <v>0</v>
      </c>
      <c r="AR461">
        <v>0</v>
      </c>
      <c r="AS461">
        <v>0</v>
      </c>
      <c r="AT461">
        <v>0</v>
      </c>
      <c r="AU461">
        <v>0</v>
      </c>
      <c r="AV461">
        <v>0</v>
      </c>
      <c r="AW461">
        <v>0</v>
      </c>
      <c r="AX461">
        <v>0</v>
      </c>
      <c r="AY461">
        <v>0</v>
      </c>
      <c r="AZ461">
        <v>0</v>
      </c>
      <c r="BA461">
        <v>0</v>
      </c>
      <c r="BB461">
        <v>0</v>
      </c>
      <c r="BC461">
        <v>0</v>
      </c>
      <c r="BD461">
        <v>0</v>
      </c>
      <c r="BE461">
        <v>0</v>
      </c>
      <c r="BF461">
        <v>0</v>
      </c>
      <c r="BG461">
        <v>0</v>
      </c>
      <c r="BH461">
        <v>0</v>
      </c>
      <c r="BI461">
        <v>0</v>
      </c>
      <c r="BK461" s="151"/>
    </row>
    <row r="462" spans="1:63" x14ac:dyDescent="0.35">
      <c r="A462">
        <v>0</v>
      </c>
      <c r="B462">
        <v>0</v>
      </c>
      <c r="C462">
        <v>0</v>
      </c>
      <c r="D462">
        <v>0</v>
      </c>
      <c r="E462">
        <v>0</v>
      </c>
      <c r="F462">
        <v>0</v>
      </c>
      <c r="G462">
        <v>0</v>
      </c>
      <c r="H462">
        <v>0</v>
      </c>
      <c r="I462">
        <v>0</v>
      </c>
      <c r="J462">
        <v>0</v>
      </c>
      <c r="K462">
        <v>0</v>
      </c>
      <c r="L462">
        <v>0</v>
      </c>
      <c r="M462">
        <v>0</v>
      </c>
      <c r="N462">
        <v>0</v>
      </c>
      <c r="O462">
        <v>0</v>
      </c>
      <c r="P462">
        <v>0</v>
      </c>
      <c r="Q462">
        <v>0</v>
      </c>
      <c r="R462">
        <v>0</v>
      </c>
      <c r="S462">
        <v>0</v>
      </c>
      <c r="T462">
        <v>0</v>
      </c>
      <c r="U462">
        <v>0</v>
      </c>
      <c r="V462">
        <v>0</v>
      </c>
      <c r="W462">
        <v>0</v>
      </c>
      <c r="X462">
        <v>0</v>
      </c>
      <c r="Y462">
        <v>0</v>
      </c>
      <c r="Z462">
        <v>0</v>
      </c>
      <c r="AA462">
        <v>0</v>
      </c>
      <c r="AB462">
        <v>0</v>
      </c>
      <c r="AC462">
        <v>0</v>
      </c>
      <c r="AD462">
        <v>0</v>
      </c>
      <c r="AF462">
        <v>0</v>
      </c>
      <c r="AG462">
        <v>0</v>
      </c>
      <c r="AH462">
        <v>0</v>
      </c>
      <c r="AI462">
        <v>0</v>
      </c>
      <c r="AJ462">
        <v>0</v>
      </c>
      <c r="AK462">
        <v>0</v>
      </c>
      <c r="AL462">
        <v>0</v>
      </c>
      <c r="AM462">
        <v>0</v>
      </c>
      <c r="AN462">
        <v>0</v>
      </c>
      <c r="AO462">
        <v>0</v>
      </c>
      <c r="AP462">
        <v>0</v>
      </c>
      <c r="AQ462">
        <v>0</v>
      </c>
      <c r="AR462">
        <v>0</v>
      </c>
      <c r="AS462">
        <v>0</v>
      </c>
      <c r="AT462">
        <v>0</v>
      </c>
      <c r="AU462">
        <v>0</v>
      </c>
      <c r="AV462">
        <v>0</v>
      </c>
      <c r="AW462">
        <v>0</v>
      </c>
      <c r="AX462">
        <v>0</v>
      </c>
      <c r="AY462">
        <v>0</v>
      </c>
      <c r="AZ462">
        <v>0</v>
      </c>
      <c r="BA462">
        <v>0</v>
      </c>
      <c r="BB462">
        <v>0</v>
      </c>
      <c r="BC462">
        <v>0</v>
      </c>
      <c r="BD462">
        <v>0</v>
      </c>
      <c r="BE462">
        <v>0</v>
      </c>
      <c r="BF462">
        <v>0</v>
      </c>
      <c r="BG462">
        <v>0</v>
      </c>
      <c r="BH462">
        <v>0</v>
      </c>
      <c r="BI462">
        <v>0</v>
      </c>
      <c r="BK462" s="151"/>
    </row>
    <row r="463" spans="1:63" x14ac:dyDescent="0.35">
      <c r="A463">
        <v>0</v>
      </c>
      <c r="B463">
        <v>0</v>
      </c>
      <c r="C463">
        <v>0</v>
      </c>
      <c r="D463">
        <v>0</v>
      </c>
      <c r="E463">
        <v>0</v>
      </c>
      <c r="F463">
        <v>0</v>
      </c>
      <c r="G463">
        <v>0</v>
      </c>
      <c r="H463">
        <v>0</v>
      </c>
      <c r="I463">
        <v>0</v>
      </c>
      <c r="J463">
        <v>0</v>
      </c>
      <c r="K463">
        <v>0</v>
      </c>
      <c r="L463">
        <v>0</v>
      </c>
      <c r="M463">
        <v>0</v>
      </c>
      <c r="N463">
        <v>0</v>
      </c>
      <c r="O463">
        <v>0</v>
      </c>
      <c r="P463">
        <v>0</v>
      </c>
      <c r="Q463">
        <v>0</v>
      </c>
      <c r="R463">
        <v>0</v>
      </c>
      <c r="S463">
        <v>0</v>
      </c>
      <c r="T463">
        <v>0</v>
      </c>
      <c r="U463">
        <v>0</v>
      </c>
      <c r="V463">
        <v>0</v>
      </c>
      <c r="W463">
        <v>0</v>
      </c>
      <c r="X463">
        <v>0</v>
      </c>
      <c r="Y463">
        <v>0</v>
      </c>
      <c r="Z463">
        <v>0</v>
      </c>
      <c r="AA463">
        <v>0</v>
      </c>
      <c r="AB463">
        <v>0</v>
      </c>
      <c r="AC463">
        <v>0</v>
      </c>
      <c r="AD463">
        <v>0</v>
      </c>
      <c r="AF463">
        <v>0</v>
      </c>
      <c r="AG463">
        <v>0</v>
      </c>
      <c r="AH463">
        <v>0</v>
      </c>
      <c r="AI463">
        <v>0</v>
      </c>
      <c r="AJ463">
        <v>0</v>
      </c>
      <c r="AK463">
        <v>0</v>
      </c>
      <c r="AL463">
        <v>0</v>
      </c>
      <c r="AM463">
        <v>0</v>
      </c>
      <c r="AN463">
        <v>0</v>
      </c>
      <c r="AO463">
        <v>0</v>
      </c>
      <c r="AP463">
        <v>0</v>
      </c>
      <c r="AQ463">
        <v>0</v>
      </c>
      <c r="AR463">
        <v>0</v>
      </c>
      <c r="AS463">
        <v>0</v>
      </c>
      <c r="AT463">
        <v>0</v>
      </c>
      <c r="AU463">
        <v>0</v>
      </c>
      <c r="AV463">
        <v>0</v>
      </c>
      <c r="AW463">
        <v>0</v>
      </c>
      <c r="AX463">
        <v>0</v>
      </c>
      <c r="AY463">
        <v>0</v>
      </c>
      <c r="AZ463">
        <v>0</v>
      </c>
      <c r="BA463">
        <v>0</v>
      </c>
      <c r="BB463">
        <v>0</v>
      </c>
      <c r="BC463">
        <v>0</v>
      </c>
      <c r="BD463">
        <v>0</v>
      </c>
      <c r="BE463">
        <v>0</v>
      </c>
      <c r="BF463">
        <v>0</v>
      </c>
      <c r="BG463">
        <v>0</v>
      </c>
      <c r="BH463">
        <v>0</v>
      </c>
      <c r="BI463">
        <v>0</v>
      </c>
      <c r="BK463" s="151"/>
    </row>
    <row r="464" spans="1:63" x14ac:dyDescent="0.35">
      <c r="A464">
        <v>0</v>
      </c>
      <c r="B464">
        <v>0</v>
      </c>
      <c r="C464">
        <v>0</v>
      </c>
      <c r="D464">
        <v>0</v>
      </c>
      <c r="E464">
        <v>0</v>
      </c>
      <c r="F464">
        <v>0</v>
      </c>
      <c r="G464">
        <v>0</v>
      </c>
      <c r="H464">
        <v>0</v>
      </c>
      <c r="I464">
        <v>0</v>
      </c>
      <c r="J464">
        <v>0</v>
      </c>
      <c r="K464">
        <v>0</v>
      </c>
      <c r="L464">
        <v>0</v>
      </c>
      <c r="M464">
        <v>0</v>
      </c>
      <c r="N464">
        <v>0</v>
      </c>
      <c r="O464">
        <v>0</v>
      </c>
      <c r="P464">
        <v>0</v>
      </c>
      <c r="Q464">
        <v>0</v>
      </c>
      <c r="R464">
        <v>0</v>
      </c>
      <c r="S464">
        <v>0</v>
      </c>
      <c r="T464">
        <v>0</v>
      </c>
      <c r="U464">
        <v>0</v>
      </c>
      <c r="V464">
        <v>0</v>
      </c>
      <c r="W464">
        <v>0</v>
      </c>
      <c r="X464">
        <v>0</v>
      </c>
      <c r="Y464">
        <v>0</v>
      </c>
      <c r="Z464">
        <v>0</v>
      </c>
      <c r="AA464">
        <v>0</v>
      </c>
      <c r="AB464">
        <v>0</v>
      </c>
      <c r="AC464">
        <v>0</v>
      </c>
      <c r="AD464">
        <v>0</v>
      </c>
      <c r="AF464">
        <v>0</v>
      </c>
      <c r="AG464">
        <v>0</v>
      </c>
      <c r="AH464">
        <v>0</v>
      </c>
      <c r="AI464">
        <v>0</v>
      </c>
      <c r="AJ464">
        <v>0</v>
      </c>
      <c r="AK464">
        <v>0</v>
      </c>
      <c r="AL464">
        <v>0</v>
      </c>
      <c r="AM464">
        <v>0</v>
      </c>
      <c r="AN464">
        <v>0</v>
      </c>
      <c r="AO464">
        <v>0</v>
      </c>
      <c r="AP464">
        <v>0</v>
      </c>
      <c r="AQ464">
        <v>0</v>
      </c>
      <c r="AR464">
        <v>0</v>
      </c>
      <c r="AS464">
        <v>0</v>
      </c>
      <c r="AT464">
        <v>0</v>
      </c>
      <c r="AU464">
        <v>0</v>
      </c>
      <c r="AV464">
        <v>0</v>
      </c>
      <c r="AW464">
        <v>0</v>
      </c>
      <c r="AX464">
        <v>0</v>
      </c>
      <c r="AY464">
        <v>0</v>
      </c>
      <c r="AZ464">
        <v>0</v>
      </c>
      <c r="BA464">
        <v>0</v>
      </c>
      <c r="BB464">
        <v>0</v>
      </c>
      <c r="BC464">
        <v>0</v>
      </c>
      <c r="BD464">
        <v>0</v>
      </c>
      <c r="BE464">
        <v>0</v>
      </c>
      <c r="BF464">
        <v>0</v>
      </c>
      <c r="BG464">
        <v>0</v>
      </c>
      <c r="BH464">
        <v>0</v>
      </c>
      <c r="BI464">
        <v>0</v>
      </c>
      <c r="BK464" s="151"/>
    </row>
    <row r="465" spans="1:63" x14ac:dyDescent="0.35">
      <c r="A465">
        <v>0</v>
      </c>
      <c r="B465">
        <v>0</v>
      </c>
      <c r="C465">
        <v>0</v>
      </c>
      <c r="D465">
        <v>0</v>
      </c>
      <c r="E465">
        <v>0</v>
      </c>
      <c r="F465">
        <v>0</v>
      </c>
      <c r="G465">
        <v>0</v>
      </c>
      <c r="H465">
        <v>0</v>
      </c>
      <c r="I465">
        <v>0</v>
      </c>
      <c r="J465">
        <v>0</v>
      </c>
      <c r="K465">
        <v>0</v>
      </c>
      <c r="L465">
        <v>0</v>
      </c>
      <c r="M465">
        <v>0</v>
      </c>
      <c r="N465">
        <v>0</v>
      </c>
      <c r="O465">
        <v>0</v>
      </c>
      <c r="P465">
        <v>0</v>
      </c>
      <c r="Q465">
        <v>0</v>
      </c>
      <c r="R465">
        <v>0</v>
      </c>
      <c r="S465">
        <v>0</v>
      </c>
      <c r="T465">
        <v>0</v>
      </c>
      <c r="U465">
        <v>0</v>
      </c>
      <c r="V465">
        <v>0</v>
      </c>
      <c r="W465">
        <v>0</v>
      </c>
      <c r="X465">
        <v>0</v>
      </c>
      <c r="Y465">
        <v>0</v>
      </c>
      <c r="Z465">
        <v>0</v>
      </c>
      <c r="AA465">
        <v>0</v>
      </c>
      <c r="AB465">
        <v>0</v>
      </c>
      <c r="AC465">
        <v>0</v>
      </c>
      <c r="AD465">
        <v>0</v>
      </c>
      <c r="AF465">
        <v>0</v>
      </c>
      <c r="AG465">
        <v>0</v>
      </c>
      <c r="AH465">
        <v>0</v>
      </c>
      <c r="AI465">
        <v>0</v>
      </c>
      <c r="AJ465">
        <v>0</v>
      </c>
      <c r="AK465">
        <v>0</v>
      </c>
      <c r="AL465">
        <v>0</v>
      </c>
      <c r="AM465">
        <v>0</v>
      </c>
      <c r="AN465">
        <v>0</v>
      </c>
      <c r="AO465">
        <v>0</v>
      </c>
      <c r="AP465">
        <v>0</v>
      </c>
      <c r="AQ465">
        <v>0</v>
      </c>
      <c r="AR465">
        <v>0</v>
      </c>
      <c r="AS465">
        <v>0</v>
      </c>
      <c r="AT465">
        <v>0</v>
      </c>
      <c r="AU465">
        <v>0</v>
      </c>
      <c r="AV465">
        <v>0</v>
      </c>
      <c r="AW465">
        <v>0</v>
      </c>
      <c r="AX465">
        <v>0</v>
      </c>
      <c r="AY465">
        <v>0</v>
      </c>
      <c r="AZ465">
        <v>0</v>
      </c>
      <c r="BA465">
        <v>0</v>
      </c>
      <c r="BB465">
        <v>0</v>
      </c>
      <c r="BC465">
        <v>0</v>
      </c>
      <c r="BD465">
        <v>0</v>
      </c>
      <c r="BE465">
        <v>0</v>
      </c>
      <c r="BF465">
        <v>0</v>
      </c>
      <c r="BG465">
        <v>0</v>
      </c>
      <c r="BH465">
        <v>0</v>
      </c>
      <c r="BI465">
        <v>0</v>
      </c>
      <c r="BK465" s="151"/>
    </row>
    <row r="466" spans="1:63" x14ac:dyDescent="0.35">
      <c r="A466">
        <v>0</v>
      </c>
      <c r="B466">
        <v>0</v>
      </c>
      <c r="C466">
        <v>0</v>
      </c>
      <c r="D466">
        <v>0</v>
      </c>
      <c r="E466">
        <v>0</v>
      </c>
      <c r="F466">
        <v>0</v>
      </c>
      <c r="G466">
        <v>0</v>
      </c>
      <c r="H466">
        <v>0</v>
      </c>
      <c r="I466">
        <v>0</v>
      </c>
      <c r="J466">
        <v>0</v>
      </c>
      <c r="K466">
        <v>0</v>
      </c>
      <c r="L466">
        <v>0</v>
      </c>
      <c r="M466">
        <v>0</v>
      </c>
      <c r="N466">
        <v>0</v>
      </c>
      <c r="O466">
        <v>0</v>
      </c>
      <c r="P466">
        <v>0</v>
      </c>
      <c r="Q466">
        <v>0</v>
      </c>
      <c r="R466">
        <v>0</v>
      </c>
      <c r="S466">
        <v>0</v>
      </c>
      <c r="T466">
        <v>0</v>
      </c>
      <c r="U466">
        <v>0</v>
      </c>
      <c r="V466">
        <v>0</v>
      </c>
      <c r="W466">
        <v>0</v>
      </c>
      <c r="X466">
        <v>0</v>
      </c>
      <c r="Y466">
        <v>0</v>
      </c>
      <c r="Z466">
        <v>0</v>
      </c>
      <c r="AA466">
        <v>0</v>
      </c>
      <c r="AB466">
        <v>0</v>
      </c>
      <c r="AC466">
        <v>0</v>
      </c>
      <c r="AD466">
        <v>0</v>
      </c>
      <c r="AF466">
        <v>0</v>
      </c>
      <c r="AG466">
        <v>0</v>
      </c>
      <c r="AH466">
        <v>0</v>
      </c>
      <c r="AI466">
        <v>0</v>
      </c>
      <c r="AJ466">
        <v>0</v>
      </c>
      <c r="AK466">
        <v>0</v>
      </c>
      <c r="AL466">
        <v>0</v>
      </c>
      <c r="AM466">
        <v>0</v>
      </c>
      <c r="AN466">
        <v>0</v>
      </c>
      <c r="AO466">
        <v>0</v>
      </c>
      <c r="AP466">
        <v>0</v>
      </c>
      <c r="AQ466">
        <v>0</v>
      </c>
      <c r="AR466">
        <v>0</v>
      </c>
      <c r="AS466">
        <v>0</v>
      </c>
      <c r="AT466">
        <v>0</v>
      </c>
      <c r="AU466">
        <v>0</v>
      </c>
      <c r="AV466">
        <v>0</v>
      </c>
      <c r="AW466">
        <v>0</v>
      </c>
      <c r="AX466">
        <v>0</v>
      </c>
      <c r="AY466">
        <v>0</v>
      </c>
      <c r="AZ466">
        <v>0</v>
      </c>
      <c r="BA466">
        <v>0</v>
      </c>
      <c r="BB466">
        <v>0</v>
      </c>
      <c r="BC466">
        <v>0</v>
      </c>
      <c r="BD466">
        <v>0</v>
      </c>
      <c r="BE466">
        <v>0</v>
      </c>
      <c r="BF466">
        <v>0</v>
      </c>
      <c r="BG466">
        <v>0</v>
      </c>
      <c r="BH466">
        <v>0</v>
      </c>
      <c r="BI466">
        <v>0</v>
      </c>
      <c r="BK466" s="151"/>
    </row>
    <row r="467" spans="1:63" x14ac:dyDescent="0.35">
      <c r="A467">
        <v>0</v>
      </c>
      <c r="B467">
        <v>0</v>
      </c>
      <c r="C467">
        <v>0</v>
      </c>
      <c r="D467">
        <v>0</v>
      </c>
      <c r="E467">
        <v>0</v>
      </c>
      <c r="F467">
        <v>0</v>
      </c>
      <c r="G467">
        <v>0</v>
      </c>
      <c r="H467">
        <v>0</v>
      </c>
      <c r="I467">
        <v>0</v>
      </c>
      <c r="J467">
        <v>0</v>
      </c>
      <c r="K467">
        <v>0</v>
      </c>
      <c r="L467">
        <v>0</v>
      </c>
      <c r="M467">
        <v>0</v>
      </c>
      <c r="N467">
        <v>0</v>
      </c>
      <c r="O467">
        <v>0</v>
      </c>
      <c r="P467">
        <v>0</v>
      </c>
      <c r="Q467">
        <v>0</v>
      </c>
      <c r="R467">
        <v>0</v>
      </c>
      <c r="S467">
        <v>0</v>
      </c>
      <c r="T467">
        <v>0</v>
      </c>
      <c r="U467">
        <v>0</v>
      </c>
      <c r="V467">
        <v>0</v>
      </c>
      <c r="W467">
        <v>0</v>
      </c>
      <c r="X467">
        <v>0</v>
      </c>
      <c r="Y467">
        <v>0</v>
      </c>
      <c r="Z467">
        <v>0</v>
      </c>
      <c r="AA467">
        <v>0</v>
      </c>
      <c r="AB467">
        <v>0</v>
      </c>
      <c r="AC467">
        <v>0</v>
      </c>
      <c r="AD467">
        <v>0</v>
      </c>
      <c r="AF467">
        <v>0</v>
      </c>
      <c r="AG467">
        <v>0</v>
      </c>
      <c r="AH467">
        <v>0</v>
      </c>
      <c r="AI467">
        <v>0</v>
      </c>
      <c r="AJ467">
        <v>0</v>
      </c>
      <c r="AK467">
        <v>0</v>
      </c>
      <c r="AL467">
        <v>0</v>
      </c>
      <c r="AM467">
        <v>0</v>
      </c>
      <c r="AN467">
        <v>0</v>
      </c>
      <c r="AO467">
        <v>0</v>
      </c>
      <c r="AP467">
        <v>0</v>
      </c>
      <c r="AQ467">
        <v>0</v>
      </c>
      <c r="AR467">
        <v>0</v>
      </c>
      <c r="AS467">
        <v>0</v>
      </c>
      <c r="AT467">
        <v>0</v>
      </c>
      <c r="AU467">
        <v>0</v>
      </c>
      <c r="AV467">
        <v>0</v>
      </c>
      <c r="AW467">
        <v>0</v>
      </c>
      <c r="AX467">
        <v>0</v>
      </c>
      <c r="AY467">
        <v>0</v>
      </c>
      <c r="AZ467">
        <v>0</v>
      </c>
      <c r="BA467">
        <v>0</v>
      </c>
      <c r="BB467">
        <v>0</v>
      </c>
      <c r="BC467">
        <v>0</v>
      </c>
      <c r="BD467">
        <v>0</v>
      </c>
      <c r="BE467">
        <v>0</v>
      </c>
      <c r="BF467">
        <v>0</v>
      </c>
      <c r="BG467">
        <v>0</v>
      </c>
      <c r="BH467">
        <v>0</v>
      </c>
      <c r="BI467">
        <v>0</v>
      </c>
      <c r="BK467" s="151"/>
    </row>
    <row r="468" spans="1:63" x14ac:dyDescent="0.35">
      <c r="A468">
        <v>0</v>
      </c>
      <c r="B468">
        <v>0</v>
      </c>
      <c r="C468">
        <v>0</v>
      </c>
      <c r="D468">
        <v>0</v>
      </c>
      <c r="E468">
        <v>0</v>
      </c>
      <c r="F468">
        <v>0</v>
      </c>
      <c r="G468">
        <v>0</v>
      </c>
      <c r="H468">
        <v>0</v>
      </c>
      <c r="I468">
        <v>0</v>
      </c>
      <c r="J468">
        <v>0</v>
      </c>
      <c r="K468">
        <v>0</v>
      </c>
      <c r="L468">
        <v>0</v>
      </c>
      <c r="M468">
        <v>0</v>
      </c>
      <c r="N468">
        <v>0</v>
      </c>
      <c r="O468">
        <v>0</v>
      </c>
      <c r="P468">
        <v>0</v>
      </c>
      <c r="Q468">
        <v>0</v>
      </c>
      <c r="R468">
        <v>0</v>
      </c>
      <c r="S468">
        <v>0</v>
      </c>
      <c r="T468">
        <v>0</v>
      </c>
      <c r="U468">
        <v>0</v>
      </c>
      <c r="V468">
        <v>0</v>
      </c>
      <c r="W468">
        <v>0</v>
      </c>
      <c r="X468">
        <v>0</v>
      </c>
      <c r="Y468">
        <v>0</v>
      </c>
      <c r="Z468">
        <v>0</v>
      </c>
      <c r="AA468">
        <v>0</v>
      </c>
      <c r="AB468">
        <v>0</v>
      </c>
      <c r="AC468">
        <v>0</v>
      </c>
      <c r="AD468">
        <v>0</v>
      </c>
      <c r="AF468">
        <v>0</v>
      </c>
      <c r="AG468">
        <v>0</v>
      </c>
      <c r="AH468">
        <v>0</v>
      </c>
      <c r="AI468">
        <v>0</v>
      </c>
      <c r="AJ468">
        <v>0</v>
      </c>
      <c r="AK468">
        <v>0</v>
      </c>
      <c r="AL468">
        <v>0</v>
      </c>
      <c r="AM468">
        <v>0</v>
      </c>
      <c r="AN468">
        <v>0</v>
      </c>
      <c r="AO468">
        <v>0</v>
      </c>
      <c r="AP468">
        <v>0</v>
      </c>
      <c r="AQ468">
        <v>0</v>
      </c>
      <c r="AR468">
        <v>0</v>
      </c>
      <c r="AS468">
        <v>0</v>
      </c>
      <c r="AT468">
        <v>0</v>
      </c>
      <c r="AU468">
        <v>0</v>
      </c>
      <c r="AV468">
        <v>0</v>
      </c>
      <c r="AW468">
        <v>0</v>
      </c>
      <c r="AX468">
        <v>0</v>
      </c>
      <c r="AY468">
        <v>0</v>
      </c>
      <c r="AZ468">
        <v>0</v>
      </c>
      <c r="BA468">
        <v>0</v>
      </c>
      <c r="BB468">
        <v>0</v>
      </c>
      <c r="BC468">
        <v>0</v>
      </c>
      <c r="BD468">
        <v>0</v>
      </c>
      <c r="BE468">
        <v>0</v>
      </c>
      <c r="BF468">
        <v>0</v>
      </c>
      <c r="BG468">
        <v>0</v>
      </c>
      <c r="BH468">
        <v>0</v>
      </c>
      <c r="BI468">
        <v>0</v>
      </c>
      <c r="BK468" s="151"/>
    </row>
    <row r="469" spans="1:63" x14ac:dyDescent="0.35">
      <c r="A469">
        <v>0</v>
      </c>
      <c r="B469">
        <v>0</v>
      </c>
      <c r="C469">
        <v>0</v>
      </c>
      <c r="D469">
        <v>0</v>
      </c>
      <c r="E469">
        <v>0</v>
      </c>
      <c r="F469">
        <v>0</v>
      </c>
      <c r="G469">
        <v>0</v>
      </c>
      <c r="H469">
        <v>0</v>
      </c>
      <c r="I469">
        <v>0</v>
      </c>
      <c r="J469">
        <v>0</v>
      </c>
      <c r="K469">
        <v>0</v>
      </c>
      <c r="L469">
        <v>0</v>
      </c>
      <c r="M469">
        <v>0</v>
      </c>
      <c r="N469">
        <v>0</v>
      </c>
      <c r="O469">
        <v>0</v>
      </c>
      <c r="P469">
        <v>0</v>
      </c>
      <c r="Q469">
        <v>0</v>
      </c>
      <c r="R469">
        <v>0</v>
      </c>
      <c r="S469">
        <v>0</v>
      </c>
      <c r="T469">
        <v>0</v>
      </c>
      <c r="U469">
        <v>0</v>
      </c>
      <c r="V469">
        <v>0</v>
      </c>
      <c r="W469">
        <v>0</v>
      </c>
      <c r="X469">
        <v>0</v>
      </c>
      <c r="Y469">
        <v>0</v>
      </c>
      <c r="Z469">
        <v>0</v>
      </c>
      <c r="AA469">
        <v>0</v>
      </c>
      <c r="AB469">
        <v>0</v>
      </c>
      <c r="AC469">
        <v>0</v>
      </c>
      <c r="AD469">
        <v>0</v>
      </c>
      <c r="AF469">
        <v>0</v>
      </c>
      <c r="AG469">
        <v>0</v>
      </c>
      <c r="AH469">
        <v>0</v>
      </c>
      <c r="AI469">
        <v>0</v>
      </c>
      <c r="AJ469">
        <v>0</v>
      </c>
      <c r="AK469">
        <v>0</v>
      </c>
      <c r="AL469">
        <v>0</v>
      </c>
      <c r="AM469">
        <v>0</v>
      </c>
      <c r="AN469">
        <v>0</v>
      </c>
      <c r="AO469">
        <v>0</v>
      </c>
      <c r="AP469">
        <v>0</v>
      </c>
      <c r="AQ469">
        <v>0</v>
      </c>
      <c r="AR469">
        <v>0</v>
      </c>
      <c r="AS469">
        <v>0</v>
      </c>
      <c r="AT469">
        <v>0</v>
      </c>
      <c r="AU469">
        <v>0</v>
      </c>
      <c r="AV469">
        <v>0</v>
      </c>
      <c r="AW469">
        <v>0</v>
      </c>
      <c r="AX469">
        <v>0</v>
      </c>
      <c r="AY469">
        <v>0</v>
      </c>
      <c r="AZ469">
        <v>0</v>
      </c>
      <c r="BA469">
        <v>0</v>
      </c>
      <c r="BB469">
        <v>0</v>
      </c>
      <c r="BC469">
        <v>0</v>
      </c>
      <c r="BD469">
        <v>0</v>
      </c>
      <c r="BE469">
        <v>0</v>
      </c>
      <c r="BF469">
        <v>0</v>
      </c>
      <c r="BG469">
        <v>0</v>
      </c>
      <c r="BH469">
        <v>0</v>
      </c>
      <c r="BI469">
        <v>0</v>
      </c>
      <c r="BK469" s="151"/>
    </row>
    <row r="470" spans="1:63" x14ac:dyDescent="0.35">
      <c r="A470">
        <v>0</v>
      </c>
      <c r="B470">
        <v>0</v>
      </c>
      <c r="C470">
        <v>0</v>
      </c>
      <c r="D470">
        <v>0</v>
      </c>
      <c r="E470">
        <v>0</v>
      </c>
      <c r="F470">
        <v>0</v>
      </c>
      <c r="G470">
        <v>0</v>
      </c>
      <c r="H470">
        <v>0</v>
      </c>
      <c r="I470">
        <v>0</v>
      </c>
      <c r="J470">
        <v>0</v>
      </c>
      <c r="K470">
        <v>0</v>
      </c>
      <c r="L470">
        <v>0</v>
      </c>
      <c r="M470">
        <v>0</v>
      </c>
      <c r="N470">
        <v>0</v>
      </c>
      <c r="O470">
        <v>0</v>
      </c>
      <c r="P470">
        <v>0</v>
      </c>
      <c r="Q470">
        <v>0</v>
      </c>
      <c r="R470">
        <v>0</v>
      </c>
      <c r="S470">
        <v>0</v>
      </c>
      <c r="T470">
        <v>0</v>
      </c>
      <c r="U470">
        <v>0</v>
      </c>
      <c r="V470">
        <v>0</v>
      </c>
      <c r="W470">
        <v>0</v>
      </c>
      <c r="X470">
        <v>0</v>
      </c>
      <c r="Y470">
        <v>0</v>
      </c>
      <c r="Z470">
        <v>0</v>
      </c>
      <c r="AA470">
        <v>0</v>
      </c>
      <c r="AB470">
        <v>0</v>
      </c>
      <c r="AC470">
        <v>0</v>
      </c>
      <c r="AD470">
        <v>0</v>
      </c>
      <c r="AF470">
        <v>0</v>
      </c>
      <c r="AG470">
        <v>0</v>
      </c>
      <c r="AH470">
        <v>0</v>
      </c>
      <c r="AI470">
        <v>0</v>
      </c>
      <c r="AJ470">
        <v>0</v>
      </c>
      <c r="AK470">
        <v>0</v>
      </c>
      <c r="AL470">
        <v>0</v>
      </c>
      <c r="AM470">
        <v>0</v>
      </c>
      <c r="AN470">
        <v>0</v>
      </c>
      <c r="AO470">
        <v>0</v>
      </c>
      <c r="AP470">
        <v>0</v>
      </c>
      <c r="AQ470">
        <v>0</v>
      </c>
      <c r="AR470">
        <v>0</v>
      </c>
      <c r="AS470">
        <v>0</v>
      </c>
      <c r="AT470">
        <v>0</v>
      </c>
      <c r="AU470">
        <v>0</v>
      </c>
      <c r="AV470">
        <v>0</v>
      </c>
      <c r="AW470">
        <v>0</v>
      </c>
      <c r="AX470">
        <v>0</v>
      </c>
      <c r="AY470">
        <v>0</v>
      </c>
      <c r="AZ470">
        <v>0</v>
      </c>
      <c r="BA470">
        <v>0</v>
      </c>
      <c r="BB470">
        <v>0</v>
      </c>
      <c r="BC470">
        <v>0</v>
      </c>
      <c r="BD470">
        <v>0</v>
      </c>
      <c r="BE470">
        <v>0</v>
      </c>
      <c r="BF470">
        <v>0</v>
      </c>
      <c r="BG470">
        <v>0</v>
      </c>
      <c r="BH470">
        <v>0</v>
      </c>
      <c r="BI470">
        <v>0</v>
      </c>
      <c r="BK470" s="151"/>
    </row>
    <row r="471" spans="1:63" x14ac:dyDescent="0.35">
      <c r="A471">
        <v>0</v>
      </c>
      <c r="B471">
        <v>0</v>
      </c>
      <c r="C471">
        <v>0</v>
      </c>
      <c r="D471">
        <v>0</v>
      </c>
      <c r="E471">
        <v>0</v>
      </c>
      <c r="F471">
        <v>0</v>
      </c>
      <c r="G471">
        <v>0</v>
      </c>
      <c r="H471">
        <v>0</v>
      </c>
      <c r="I471">
        <v>0</v>
      </c>
      <c r="J471">
        <v>0</v>
      </c>
      <c r="K471">
        <v>0</v>
      </c>
      <c r="L471">
        <v>0</v>
      </c>
      <c r="M471">
        <v>0</v>
      </c>
      <c r="N471">
        <v>0</v>
      </c>
      <c r="O471">
        <v>0</v>
      </c>
      <c r="P471">
        <v>0</v>
      </c>
      <c r="Q471">
        <v>0</v>
      </c>
      <c r="R471">
        <v>0</v>
      </c>
      <c r="S471">
        <v>0</v>
      </c>
      <c r="T471">
        <v>0</v>
      </c>
      <c r="U471">
        <v>0</v>
      </c>
      <c r="V471">
        <v>0</v>
      </c>
      <c r="W471">
        <v>0</v>
      </c>
      <c r="X471">
        <v>0</v>
      </c>
      <c r="Y471">
        <v>0</v>
      </c>
      <c r="Z471">
        <v>0</v>
      </c>
      <c r="AA471">
        <v>0</v>
      </c>
      <c r="AB471">
        <v>0</v>
      </c>
      <c r="AC471">
        <v>0</v>
      </c>
      <c r="AD471">
        <v>0</v>
      </c>
      <c r="AF471">
        <v>0</v>
      </c>
      <c r="AG471">
        <v>0</v>
      </c>
      <c r="AH471">
        <v>0</v>
      </c>
      <c r="AI471">
        <v>0</v>
      </c>
      <c r="AJ471">
        <v>0</v>
      </c>
      <c r="AK471">
        <v>0</v>
      </c>
      <c r="AL471">
        <v>0</v>
      </c>
      <c r="AM471">
        <v>0</v>
      </c>
      <c r="AN471">
        <v>0</v>
      </c>
      <c r="AO471">
        <v>0</v>
      </c>
      <c r="AP471">
        <v>0</v>
      </c>
      <c r="AQ471">
        <v>0</v>
      </c>
      <c r="AR471">
        <v>0</v>
      </c>
      <c r="AS471">
        <v>0</v>
      </c>
      <c r="AT471">
        <v>0</v>
      </c>
      <c r="AU471">
        <v>0</v>
      </c>
      <c r="AV471">
        <v>0</v>
      </c>
      <c r="AW471">
        <v>0</v>
      </c>
      <c r="AX471">
        <v>0</v>
      </c>
      <c r="AY471">
        <v>0</v>
      </c>
      <c r="AZ471">
        <v>0</v>
      </c>
      <c r="BA471">
        <v>0</v>
      </c>
      <c r="BB471">
        <v>0</v>
      </c>
      <c r="BC471">
        <v>0</v>
      </c>
      <c r="BD471">
        <v>0</v>
      </c>
      <c r="BE471">
        <v>0</v>
      </c>
      <c r="BF471">
        <v>0</v>
      </c>
      <c r="BG471">
        <v>0</v>
      </c>
      <c r="BH471">
        <v>0</v>
      </c>
      <c r="BI471">
        <v>0</v>
      </c>
      <c r="BK471" s="151"/>
    </row>
    <row r="472" spans="1:63" x14ac:dyDescent="0.35">
      <c r="A472">
        <v>0</v>
      </c>
      <c r="B472">
        <v>0</v>
      </c>
      <c r="C472">
        <v>0</v>
      </c>
      <c r="D472">
        <v>0</v>
      </c>
      <c r="E472">
        <v>0</v>
      </c>
      <c r="F472">
        <v>0</v>
      </c>
      <c r="G472">
        <v>0</v>
      </c>
      <c r="H472">
        <v>0</v>
      </c>
      <c r="I472">
        <v>0</v>
      </c>
      <c r="J472">
        <v>0</v>
      </c>
      <c r="K472">
        <v>0</v>
      </c>
      <c r="L472">
        <v>0</v>
      </c>
      <c r="M472">
        <v>0</v>
      </c>
      <c r="N472">
        <v>0</v>
      </c>
      <c r="O472">
        <v>0</v>
      </c>
      <c r="P472">
        <v>0</v>
      </c>
      <c r="Q472">
        <v>0</v>
      </c>
      <c r="R472">
        <v>0</v>
      </c>
      <c r="S472">
        <v>0</v>
      </c>
      <c r="T472">
        <v>0</v>
      </c>
      <c r="U472">
        <v>0</v>
      </c>
      <c r="V472">
        <v>0</v>
      </c>
      <c r="W472">
        <v>0</v>
      </c>
      <c r="X472">
        <v>0</v>
      </c>
      <c r="Y472">
        <v>0</v>
      </c>
      <c r="Z472">
        <v>0</v>
      </c>
      <c r="AA472">
        <v>0</v>
      </c>
      <c r="AB472">
        <v>0</v>
      </c>
      <c r="AC472">
        <v>0</v>
      </c>
      <c r="AD472">
        <v>0</v>
      </c>
      <c r="AF472">
        <v>0</v>
      </c>
      <c r="AG472">
        <v>0</v>
      </c>
      <c r="AH472">
        <v>0</v>
      </c>
      <c r="AI472">
        <v>0</v>
      </c>
      <c r="AJ472">
        <v>0</v>
      </c>
      <c r="AK472">
        <v>0</v>
      </c>
      <c r="AL472">
        <v>0</v>
      </c>
      <c r="AM472">
        <v>0</v>
      </c>
      <c r="AN472">
        <v>0</v>
      </c>
      <c r="AO472">
        <v>0</v>
      </c>
      <c r="AP472">
        <v>0</v>
      </c>
      <c r="AQ472">
        <v>0</v>
      </c>
      <c r="AR472">
        <v>0</v>
      </c>
      <c r="AS472">
        <v>0</v>
      </c>
      <c r="AT472">
        <v>0</v>
      </c>
      <c r="AU472">
        <v>0</v>
      </c>
      <c r="AV472">
        <v>0</v>
      </c>
      <c r="AW472">
        <v>0</v>
      </c>
      <c r="AX472">
        <v>0</v>
      </c>
      <c r="AY472">
        <v>0</v>
      </c>
      <c r="AZ472">
        <v>0</v>
      </c>
      <c r="BA472">
        <v>0</v>
      </c>
      <c r="BB472">
        <v>0</v>
      </c>
      <c r="BC472">
        <v>0</v>
      </c>
      <c r="BD472">
        <v>0</v>
      </c>
      <c r="BE472">
        <v>0</v>
      </c>
      <c r="BF472">
        <v>0</v>
      </c>
      <c r="BG472">
        <v>0</v>
      </c>
      <c r="BH472">
        <v>0</v>
      </c>
      <c r="BI472">
        <v>0</v>
      </c>
      <c r="BK472" s="151"/>
    </row>
    <row r="473" spans="1:63" x14ac:dyDescent="0.35">
      <c r="A473">
        <v>0</v>
      </c>
      <c r="B473">
        <v>0</v>
      </c>
      <c r="C473">
        <v>0</v>
      </c>
      <c r="D473">
        <v>0</v>
      </c>
      <c r="E473">
        <v>0</v>
      </c>
      <c r="F473">
        <v>0</v>
      </c>
      <c r="G473">
        <v>0</v>
      </c>
      <c r="H473">
        <v>0</v>
      </c>
      <c r="I473">
        <v>0</v>
      </c>
      <c r="J473">
        <v>0</v>
      </c>
      <c r="K473">
        <v>0</v>
      </c>
      <c r="L473">
        <v>0</v>
      </c>
      <c r="M473">
        <v>0</v>
      </c>
      <c r="N473">
        <v>0</v>
      </c>
      <c r="O473">
        <v>0</v>
      </c>
      <c r="P473">
        <v>0</v>
      </c>
      <c r="Q473">
        <v>0</v>
      </c>
      <c r="R473">
        <v>0</v>
      </c>
      <c r="S473">
        <v>0</v>
      </c>
      <c r="T473">
        <v>0</v>
      </c>
      <c r="U473">
        <v>0</v>
      </c>
      <c r="V473">
        <v>0</v>
      </c>
      <c r="W473">
        <v>0</v>
      </c>
      <c r="X473">
        <v>0</v>
      </c>
      <c r="Y473">
        <v>0</v>
      </c>
      <c r="Z473">
        <v>0</v>
      </c>
      <c r="AA473">
        <v>0</v>
      </c>
      <c r="AB473">
        <v>0</v>
      </c>
      <c r="AC473">
        <v>0</v>
      </c>
      <c r="AD473">
        <v>0</v>
      </c>
      <c r="AF473">
        <v>0</v>
      </c>
      <c r="AG473">
        <v>0</v>
      </c>
      <c r="AH473">
        <v>0</v>
      </c>
      <c r="AI473">
        <v>0</v>
      </c>
      <c r="AJ473">
        <v>0</v>
      </c>
      <c r="AK473">
        <v>0</v>
      </c>
      <c r="AL473">
        <v>0</v>
      </c>
      <c r="AM473">
        <v>0</v>
      </c>
      <c r="AN473">
        <v>0</v>
      </c>
      <c r="AO473">
        <v>0</v>
      </c>
      <c r="AP473">
        <v>0</v>
      </c>
      <c r="AQ473">
        <v>0</v>
      </c>
      <c r="AR473">
        <v>0</v>
      </c>
      <c r="AS473">
        <v>0</v>
      </c>
      <c r="AT473">
        <v>0</v>
      </c>
      <c r="AU473">
        <v>0</v>
      </c>
      <c r="AV473">
        <v>0</v>
      </c>
      <c r="AW473">
        <v>0</v>
      </c>
      <c r="AX473">
        <v>0</v>
      </c>
      <c r="AY473">
        <v>0</v>
      </c>
      <c r="AZ473">
        <v>0</v>
      </c>
      <c r="BA473">
        <v>0</v>
      </c>
      <c r="BB473">
        <v>0</v>
      </c>
      <c r="BC473">
        <v>0</v>
      </c>
      <c r="BD473">
        <v>0</v>
      </c>
      <c r="BE473">
        <v>0</v>
      </c>
      <c r="BF473">
        <v>0</v>
      </c>
      <c r="BG473">
        <v>0</v>
      </c>
      <c r="BH473">
        <v>0</v>
      </c>
      <c r="BI473">
        <v>0</v>
      </c>
      <c r="BK473" s="151"/>
    </row>
    <row r="474" spans="1:63" x14ac:dyDescent="0.35">
      <c r="A474">
        <v>0</v>
      </c>
      <c r="B474">
        <v>0</v>
      </c>
      <c r="C474">
        <v>0</v>
      </c>
      <c r="D474">
        <v>0</v>
      </c>
      <c r="E474">
        <v>0</v>
      </c>
      <c r="F474">
        <v>0</v>
      </c>
      <c r="G474">
        <v>0</v>
      </c>
      <c r="H474">
        <v>0</v>
      </c>
      <c r="I474">
        <v>0</v>
      </c>
      <c r="J474">
        <v>0</v>
      </c>
      <c r="K474">
        <v>0</v>
      </c>
      <c r="L474">
        <v>0</v>
      </c>
      <c r="M474">
        <v>0</v>
      </c>
      <c r="N474">
        <v>0</v>
      </c>
      <c r="O474">
        <v>0</v>
      </c>
      <c r="P474">
        <v>0</v>
      </c>
      <c r="Q474">
        <v>0</v>
      </c>
      <c r="R474">
        <v>0</v>
      </c>
      <c r="S474">
        <v>0</v>
      </c>
      <c r="T474">
        <v>0</v>
      </c>
      <c r="U474">
        <v>0</v>
      </c>
      <c r="V474">
        <v>0</v>
      </c>
      <c r="W474">
        <v>0</v>
      </c>
      <c r="X474">
        <v>0</v>
      </c>
      <c r="Y474">
        <v>0</v>
      </c>
      <c r="Z474">
        <v>0</v>
      </c>
      <c r="AA474">
        <v>0</v>
      </c>
      <c r="AB474">
        <v>0</v>
      </c>
      <c r="AC474">
        <v>0</v>
      </c>
      <c r="AD474">
        <v>0</v>
      </c>
      <c r="AF474">
        <v>0</v>
      </c>
      <c r="AG474">
        <v>0</v>
      </c>
      <c r="AH474">
        <v>0</v>
      </c>
      <c r="AI474">
        <v>0</v>
      </c>
      <c r="AJ474">
        <v>0</v>
      </c>
      <c r="AK474">
        <v>0</v>
      </c>
      <c r="AL474">
        <v>0</v>
      </c>
      <c r="AM474">
        <v>0</v>
      </c>
      <c r="AN474">
        <v>0</v>
      </c>
      <c r="AO474">
        <v>0</v>
      </c>
      <c r="AP474">
        <v>0</v>
      </c>
      <c r="AQ474">
        <v>0</v>
      </c>
      <c r="AR474">
        <v>0</v>
      </c>
      <c r="AS474">
        <v>0</v>
      </c>
      <c r="AT474">
        <v>0</v>
      </c>
      <c r="AU474">
        <v>0</v>
      </c>
      <c r="AV474">
        <v>0</v>
      </c>
      <c r="AW474">
        <v>0</v>
      </c>
      <c r="AX474">
        <v>0</v>
      </c>
      <c r="AY474">
        <v>0</v>
      </c>
      <c r="AZ474">
        <v>0</v>
      </c>
      <c r="BA474">
        <v>0</v>
      </c>
      <c r="BB474">
        <v>0</v>
      </c>
      <c r="BC474">
        <v>0</v>
      </c>
      <c r="BD474">
        <v>0</v>
      </c>
      <c r="BE474">
        <v>0</v>
      </c>
      <c r="BF474">
        <v>0</v>
      </c>
      <c r="BG474">
        <v>0</v>
      </c>
      <c r="BH474">
        <v>0</v>
      </c>
      <c r="BI474">
        <v>0</v>
      </c>
      <c r="BK474" s="151"/>
    </row>
    <row r="475" spans="1:63" x14ac:dyDescent="0.35">
      <c r="A475">
        <v>0</v>
      </c>
      <c r="B475">
        <v>0</v>
      </c>
      <c r="C475">
        <v>0</v>
      </c>
      <c r="D475">
        <v>0</v>
      </c>
      <c r="E475">
        <v>0</v>
      </c>
      <c r="F475">
        <v>0</v>
      </c>
      <c r="G475">
        <v>0</v>
      </c>
      <c r="H475">
        <v>0</v>
      </c>
      <c r="I475">
        <v>0</v>
      </c>
      <c r="J475">
        <v>0</v>
      </c>
      <c r="K475">
        <v>0</v>
      </c>
      <c r="L475">
        <v>0</v>
      </c>
      <c r="M475">
        <v>0</v>
      </c>
      <c r="N475">
        <v>0</v>
      </c>
      <c r="O475">
        <v>0</v>
      </c>
      <c r="P475">
        <v>0</v>
      </c>
      <c r="Q475">
        <v>0</v>
      </c>
      <c r="R475">
        <v>0</v>
      </c>
      <c r="S475">
        <v>0</v>
      </c>
      <c r="T475">
        <v>0</v>
      </c>
      <c r="U475">
        <v>0</v>
      </c>
      <c r="V475">
        <v>0</v>
      </c>
      <c r="W475">
        <v>0</v>
      </c>
      <c r="X475">
        <v>0</v>
      </c>
      <c r="Y475">
        <v>0</v>
      </c>
      <c r="Z475">
        <v>0</v>
      </c>
      <c r="AA475">
        <v>0</v>
      </c>
      <c r="AB475">
        <v>0</v>
      </c>
      <c r="AC475">
        <v>0</v>
      </c>
      <c r="AD475">
        <v>0</v>
      </c>
      <c r="AF475">
        <v>0</v>
      </c>
      <c r="AG475">
        <v>0</v>
      </c>
      <c r="AH475">
        <v>0</v>
      </c>
      <c r="AI475">
        <v>0</v>
      </c>
      <c r="AJ475">
        <v>0</v>
      </c>
      <c r="AK475">
        <v>0</v>
      </c>
      <c r="AL475">
        <v>0</v>
      </c>
      <c r="AM475">
        <v>0</v>
      </c>
      <c r="AN475">
        <v>0</v>
      </c>
      <c r="AO475">
        <v>0</v>
      </c>
      <c r="AP475">
        <v>0</v>
      </c>
      <c r="AQ475">
        <v>0</v>
      </c>
      <c r="AR475">
        <v>0</v>
      </c>
      <c r="AS475">
        <v>0</v>
      </c>
      <c r="AT475">
        <v>0</v>
      </c>
      <c r="AU475">
        <v>0</v>
      </c>
      <c r="AV475">
        <v>0</v>
      </c>
      <c r="AW475">
        <v>0</v>
      </c>
      <c r="AX475">
        <v>0</v>
      </c>
      <c r="AY475">
        <v>0</v>
      </c>
      <c r="AZ475">
        <v>0</v>
      </c>
      <c r="BA475">
        <v>0</v>
      </c>
      <c r="BB475">
        <v>0</v>
      </c>
      <c r="BC475">
        <v>0</v>
      </c>
      <c r="BD475">
        <v>0</v>
      </c>
      <c r="BE475">
        <v>0</v>
      </c>
      <c r="BF475">
        <v>0</v>
      </c>
      <c r="BG475">
        <v>0</v>
      </c>
      <c r="BH475">
        <v>0</v>
      </c>
      <c r="BI475">
        <v>0</v>
      </c>
      <c r="BK475" s="151"/>
    </row>
    <row r="476" spans="1:63" x14ac:dyDescent="0.35">
      <c r="A476">
        <v>0</v>
      </c>
      <c r="B476">
        <v>0</v>
      </c>
      <c r="C476">
        <v>0</v>
      </c>
      <c r="D476">
        <v>0</v>
      </c>
      <c r="E476">
        <v>0</v>
      </c>
      <c r="F476">
        <v>0</v>
      </c>
      <c r="G476">
        <v>0</v>
      </c>
      <c r="H476">
        <v>0</v>
      </c>
      <c r="I476">
        <v>0</v>
      </c>
      <c r="J476">
        <v>0</v>
      </c>
      <c r="K476">
        <v>0</v>
      </c>
      <c r="L476">
        <v>0</v>
      </c>
      <c r="M476">
        <v>0</v>
      </c>
      <c r="N476">
        <v>0</v>
      </c>
      <c r="O476">
        <v>0</v>
      </c>
      <c r="P476">
        <v>0</v>
      </c>
      <c r="Q476">
        <v>0</v>
      </c>
      <c r="R476">
        <v>0</v>
      </c>
      <c r="S476">
        <v>0</v>
      </c>
      <c r="T476">
        <v>0</v>
      </c>
      <c r="U476">
        <v>0</v>
      </c>
      <c r="V476">
        <v>0</v>
      </c>
      <c r="W476">
        <v>0</v>
      </c>
      <c r="X476">
        <v>0</v>
      </c>
      <c r="Y476">
        <v>0</v>
      </c>
      <c r="Z476">
        <v>0</v>
      </c>
      <c r="AA476">
        <v>0</v>
      </c>
      <c r="AB476">
        <v>0</v>
      </c>
      <c r="AC476">
        <v>0</v>
      </c>
      <c r="AD476">
        <v>0</v>
      </c>
      <c r="AF476">
        <v>0</v>
      </c>
      <c r="AG476">
        <v>0</v>
      </c>
      <c r="AH476">
        <v>0</v>
      </c>
      <c r="AI476">
        <v>0</v>
      </c>
      <c r="AJ476">
        <v>0</v>
      </c>
      <c r="AK476">
        <v>0</v>
      </c>
      <c r="AL476">
        <v>0</v>
      </c>
      <c r="AM476">
        <v>0</v>
      </c>
      <c r="AN476">
        <v>0</v>
      </c>
      <c r="AO476">
        <v>0</v>
      </c>
      <c r="AP476">
        <v>0</v>
      </c>
      <c r="AQ476">
        <v>0</v>
      </c>
      <c r="AR476">
        <v>0</v>
      </c>
      <c r="AS476">
        <v>0</v>
      </c>
      <c r="AT476">
        <v>0</v>
      </c>
      <c r="AU476">
        <v>0</v>
      </c>
      <c r="AV476">
        <v>0</v>
      </c>
      <c r="AW476">
        <v>0</v>
      </c>
      <c r="AX476">
        <v>0</v>
      </c>
      <c r="AY476">
        <v>0</v>
      </c>
      <c r="AZ476">
        <v>0</v>
      </c>
      <c r="BA476">
        <v>0</v>
      </c>
      <c r="BB476">
        <v>0</v>
      </c>
      <c r="BC476">
        <v>0</v>
      </c>
      <c r="BD476">
        <v>0</v>
      </c>
      <c r="BE476">
        <v>0</v>
      </c>
      <c r="BF476">
        <v>0</v>
      </c>
      <c r="BG476">
        <v>0</v>
      </c>
      <c r="BH476">
        <v>0</v>
      </c>
      <c r="BI476">
        <v>0</v>
      </c>
      <c r="BK476" s="151"/>
    </row>
    <row r="477" spans="1:63" x14ac:dyDescent="0.35">
      <c r="A477">
        <v>0</v>
      </c>
      <c r="B477">
        <v>0</v>
      </c>
      <c r="C477">
        <v>0</v>
      </c>
      <c r="D477">
        <v>0</v>
      </c>
      <c r="E477">
        <v>0</v>
      </c>
      <c r="F477">
        <v>0</v>
      </c>
      <c r="G477">
        <v>0</v>
      </c>
      <c r="H477">
        <v>0</v>
      </c>
      <c r="I477">
        <v>0</v>
      </c>
      <c r="J477">
        <v>0</v>
      </c>
      <c r="K477">
        <v>0</v>
      </c>
      <c r="L477">
        <v>0</v>
      </c>
      <c r="M477">
        <v>0</v>
      </c>
      <c r="N477">
        <v>0</v>
      </c>
      <c r="O477">
        <v>0</v>
      </c>
      <c r="P477">
        <v>0</v>
      </c>
      <c r="Q477">
        <v>0</v>
      </c>
      <c r="R477">
        <v>0</v>
      </c>
      <c r="S477">
        <v>0</v>
      </c>
      <c r="T477">
        <v>0</v>
      </c>
      <c r="U477">
        <v>0</v>
      </c>
      <c r="V477">
        <v>0</v>
      </c>
      <c r="W477">
        <v>0</v>
      </c>
      <c r="X477">
        <v>0</v>
      </c>
      <c r="Y477">
        <v>0</v>
      </c>
      <c r="Z477">
        <v>0</v>
      </c>
      <c r="AA477">
        <v>0</v>
      </c>
      <c r="AB477">
        <v>0</v>
      </c>
      <c r="AC477">
        <v>0</v>
      </c>
      <c r="AD477">
        <v>0</v>
      </c>
      <c r="AF477">
        <v>0</v>
      </c>
      <c r="AG477">
        <v>0</v>
      </c>
      <c r="AH477">
        <v>0</v>
      </c>
      <c r="AI477">
        <v>0</v>
      </c>
      <c r="AJ477">
        <v>0</v>
      </c>
      <c r="AK477">
        <v>0</v>
      </c>
      <c r="AL477">
        <v>0</v>
      </c>
      <c r="AM477">
        <v>0</v>
      </c>
      <c r="AN477">
        <v>0</v>
      </c>
      <c r="AO477">
        <v>0</v>
      </c>
      <c r="AP477">
        <v>0</v>
      </c>
      <c r="AQ477">
        <v>0</v>
      </c>
      <c r="AR477">
        <v>0</v>
      </c>
      <c r="AS477">
        <v>0</v>
      </c>
      <c r="AT477">
        <v>0</v>
      </c>
      <c r="AU477">
        <v>0</v>
      </c>
      <c r="AV477">
        <v>0</v>
      </c>
      <c r="AW477">
        <v>0</v>
      </c>
      <c r="AX477">
        <v>0</v>
      </c>
      <c r="AY477">
        <v>0</v>
      </c>
      <c r="AZ477">
        <v>0</v>
      </c>
      <c r="BA477">
        <v>0</v>
      </c>
      <c r="BB477">
        <v>0</v>
      </c>
      <c r="BC477">
        <v>0</v>
      </c>
      <c r="BD477">
        <v>0</v>
      </c>
      <c r="BE477">
        <v>0</v>
      </c>
      <c r="BF477">
        <v>0</v>
      </c>
      <c r="BG477">
        <v>0</v>
      </c>
      <c r="BH477">
        <v>0</v>
      </c>
      <c r="BI477">
        <v>0</v>
      </c>
      <c r="BK477" s="151"/>
    </row>
    <row r="478" spans="1:63" x14ac:dyDescent="0.35">
      <c r="A478">
        <v>0</v>
      </c>
      <c r="B478">
        <v>0</v>
      </c>
      <c r="C478">
        <v>0</v>
      </c>
      <c r="D478">
        <v>0</v>
      </c>
      <c r="E478">
        <v>0</v>
      </c>
      <c r="F478">
        <v>0</v>
      </c>
      <c r="G478">
        <v>0</v>
      </c>
      <c r="H478">
        <v>0</v>
      </c>
      <c r="I478">
        <v>0</v>
      </c>
      <c r="J478">
        <v>0</v>
      </c>
      <c r="K478">
        <v>0</v>
      </c>
      <c r="L478">
        <v>0</v>
      </c>
      <c r="M478">
        <v>0</v>
      </c>
      <c r="N478">
        <v>0</v>
      </c>
      <c r="O478">
        <v>0</v>
      </c>
      <c r="P478">
        <v>0</v>
      </c>
      <c r="Q478">
        <v>0</v>
      </c>
      <c r="R478">
        <v>0</v>
      </c>
      <c r="S478">
        <v>0</v>
      </c>
      <c r="T478">
        <v>0</v>
      </c>
      <c r="U478">
        <v>0</v>
      </c>
      <c r="V478">
        <v>0</v>
      </c>
      <c r="W478">
        <v>0</v>
      </c>
      <c r="X478">
        <v>0</v>
      </c>
      <c r="Y478">
        <v>0</v>
      </c>
      <c r="Z478">
        <v>0</v>
      </c>
      <c r="AA478">
        <v>0</v>
      </c>
      <c r="AB478">
        <v>0</v>
      </c>
      <c r="AC478">
        <v>0</v>
      </c>
      <c r="AD478">
        <v>0</v>
      </c>
      <c r="AF478">
        <v>0</v>
      </c>
      <c r="AG478">
        <v>0</v>
      </c>
      <c r="AH478">
        <v>0</v>
      </c>
      <c r="AI478">
        <v>0</v>
      </c>
      <c r="AJ478">
        <v>0</v>
      </c>
      <c r="AK478">
        <v>0</v>
      </c>
      <c r="AL478">
        <v>0</v>
      </c>
      <c r="AM478">
        <v>0</v>
      </c>
      <c r="AN478">
        <v>0</v>
      </c>
      <c r="AO478">
        <v>0</v>
      </c>
      <c r="AP478">
        <v>0</v>
      </c>
      <c r="AQ478">
        <v>0</v>
      </c>
      <c r="AR478">
        <v>0</v>
      </c>
      <c r="AS478">
        <v>0</v>
      </c>
      <c r="AT478">
        <v>0</v>
      </c>
      <c r="AU478">
        <v>0</v>
      </c>
      <c r="AV478">
        <v>0</v>
      </c>
      <c r="AW478">
        <v>0</v>
      </c>
      <c r="AX478">
        <v>0</v>
      </c>
      <c r="AY478">
        <v>0</v>
      </c>
      <c r="AZ478">
        <v>0</v>
      </c>
      <c r="BA478">
        <v>0</v>
      </c>
      <c r="BB478">
        <v>0</v>
      </c>
      <c r="BC478">
        <v>0</v>
      </c>
      <c r="BD478">
        <v>0</v>
      </c>
      <c r="BE478">
        <v>0</v>
      </c>
      <c r="BF478">
        <v>0</v>
      </c>
      <c r="BG478">
        <v>0</v>
      </c>
      <c r="BH478">
        <v>0</v>
      </c>
      <c r="BI478">
        <v>0</v>
      </c>
      <c r="BK478" s="151"/>
    </row>
    <row r="479" spans="1:63" x14ac:dyDescent="0.35">
      <c r="A479">
        <v>0</v>
      </c>
      <c r="B479">
        <v>0</v>
      </c>
      <c r="C479">
        <v>0</v>
      </c>
      <c r="D479">
        <v>0</v>
      </c>
      <c r="E479">
        <v>0</v>
      </c>
      <c r="F479">
        <v>0</v>
      </c>
      <c r="G479">
        <v>0</v>
      </c>
      <c r="H479">
        <v>0</v>
      </c>
      <c r="I479">
        <v>0</v>
      </c>
      <c r="J479">
        <v>0</v>
      </c>
      <c r="K479">
        <v>0</v>
      </c>
      <c r="L479">
        <v>0</v>
      </c>
      <c r="M479">
        <v>0</v>
      </c>
      <c r="N479">
        <v>0</v>
      </c>
      <c r="O479">
        <v>0</v>
      </c>
      <c r="P479">
        <v>0</v>
      </c>
      <c r="Q479">
        <v>0</v>
      </c>
      <c r="R479">
        <v>0</v>
      </c>
      <c r="S479">
        <v>0</v>
      </c>
      <c r="T479">
        <v>0</v>
      </c>
      <c r="U479">
        <v>0</v>
      </c>
      <c r="V479">
        <v>0</v>
      </c>
      <c r="W479">
        <v>0</v>
      </c>
      <c r="X479">
        <v>0</v>
      </c>
      <c r="Y479">
        <v>0</v>
      </c>
      <c r="Z479">
        <v>0</v>
      </c>
      <c r="AA479">
        <v>0</v>
      </c>
      <c r="AB479">
        <v>0</v>
      </c>
      <c r="AC479">
        <v>0</v>
      </c>
      <c r="AD479">
        <v>0</v>
      </c>
      <c r="AF479">
        <v>0</v>
      </c>
      <c r="AG479">
        <v>0</v>
      </c>
      <c r="AH479">
        <v>0</v>
      </c>
      <c r="AI479">
        <v>0</v>
      </c>
      <c r="AJ479">
        <v>0</v>
      </c>
      <c r="AK479">
        <v>0</v>
      </c>
      <c r="AL479">
        <v>0</v>
      </c>
      <c r="AM479">
        <v>0</v>
      </c>
      <c r="AN479">
        <v>0</v>
      </c>
      <c r="AO479">
        <v>0</v>
      </c>
      <c r="AP479">
        <v>0</v>
      </c>
      <c r="AQ479">
        <v>0</v>
      </c>
      <c r="AR479">
        <v>0</v>
      </c>
      <c r="AS479">
        <v>0</v>
      </c>
      <c r="AT479">
        <v>0</v>
      </c>
      <c r="AU479">
        <v>0</v>
      </c>
      <c r="AV479">
        <v>0</v>
      </c>
      <c r="AW479">
        <v>0</v>
      </c>
      <c r="AX479">
        <v>0</v>
      </c>
      <c r="AY479">
        <v>0</v>
      </c>
      <c r="AZ479">
        <v>0</v>
      </c>
      <c r="BA479">
        <v>0</v>
      </c>
      <c r="BB479">
        <v>0</v>
      </c>
      <c r="BC479">
        <v>0</v>
      </c>
      <c r="BD479">
        <v>0</v>
      </c>
      <c r="BE479">
        <v>0</v>
      </c>
      <c r="BF479">
        <v>0</v>
      </c>
      <c r="BG479">
        <v>0</v>
      </c>
      <c r="BH479">
        <v>0</v>
      </c>
      <c r="BI479">
        <v>0</v>
      </c>
      <c r="BK479" s="151"/>
    </row>
    <row r="480" spans="1:63" x14ac:dyDescent="0.35">
      <c r="A480">
        <v>0</v>
      </c>
      <c r="B480">
        <v>0</v>
      </c>
      <c r="C480">
        <v>0</v>
      </c>
      <c r="D480">
        <v>0</v>
      </c>
      <c r="E480">
        <v>0</v>
      </c>
      <c r="F480">
        <v>0</v>
      </c>
      <c r="G480">
        <v>0</v>
      </c>
      <c r="H480">
        <v>0</v>
      </c>
      <c r="I480">
        <v>0</v>
      </c>
      <c r="J480">
        <v>0</v>
      </c>
      <c r="K480">
        <v>0</v>
      </c>
      <c r="L480">
        <v>0</v>
      </c>
      <c r="M480">
        <v>0</v>
      </c>
      <c r="N480">
        <v>0</v>
      </c>
      <c r="O480">
        <v>0</v>
      </c>
      <c r="P480">
        <v>0</v>
      </c>
      <c r="Q480">
        <v>0</v>
      </c>
      <c r="R480">
        <v>0</v>
      </c>
      <c r="S480">
        <v>0</v>
      </c>
      <c r="T480">
        <v>0</v>
      </c>
      <c r="U480">
        <v>0</v>
      </c>
      <c r="V480">
        <v>0</v>
      </c>
      <c r="W480">
        <v>0</v>
      </c>
      <c r="X480">
        <v>0</v>
      </c>
      <c r="Y480">
        <v>0</v>
      </c>
      <c r="Z480">
        <v>0</v>
      </c>
      <c r="AA480">
        <v>0</v>
      </c>
      <c r="AB480">
        <v>0</v>
      </c>
      <c r="AC480">
        <v>0</v>
      </c>
      <c r="AD480">
        <v>0</v>
      </c>
      <c r="AF480">
        <v>0</v>
      </c>
      <c r="AG480">
        <v>0</v>
      </c>
      <c r="AH480">
        <v>0</v>
      </c>
      <c r="AI480">
        <v>0</v>
      </c>
      <c r="AJ480">
        <v>0</v>
      </c>
      <c r="AK480">
        <v>0</v>
      </c>
      <c r="AL480">
        <v>0</v>
      </c>
      <c r="AM480">
        <v>0</v>
      </c>
      <c r="AN480">
        <v>0</v>
      </c>
      <c r="AO480">
        <v>0</v>
      </c>
      <c r="AP480">
        <v>0</v>
      </c>
      <c r="AQ480">
        <v>0</v>
      </c>
      <c r="AR480">
        <v>0</v>
      </c>
      <c r="AS480">
        <v>0</v>
      </c>
      <c r="AT480">
        <v>0</v>
      </c>
      <c r="AU480">
        <v>0</v>
      </c>
      <c r="AV480">
        <v>0</v>
      </c>
      <c r="AW480">
        <v>0</v>
      </c>
      <c r="AX480">
        <v>0</v>
      </c>
      <c r="AY480">
        <v>0</v>
      </c>
      <c r="AZ480">
        <v>0</v>
      </c>
      <c r="BA480">
        <v>0</v>
      </c>
      <c r="BB480">
        <v>0</v>
      </c>
      <c r="BC480">
        <v>0</v>
      </c>
      <c r="BD480">
        <v>0</v>
      </c>
      <c r="BE480">
        <v>0</v>
      </c>
      <c r="BF480">
        <v>0</v>
      </c>
      <c r="BG480">
        <v>0</v>
      </c>
      <c r="BH480">
        <v>0</v>
      </c>
      <c r="BI480">
        <v>0</v>
      </c>
      <c r="BK480" s="151"/>
    </row>
    <row r="481" spans="1:63" x14ac:dyDescent="0.35">
      <c r="A481">
        <v>0</v>
      </c>
      <c r="B481">
        <v>0</v>
      </c>
      <c r="C481">
        <v>0</v>
      </c>
      <c r="D481">
        <v>0</v>
      </c>
      <c r="E481">
        <v>0</v>
      </c>
      <c r="F481">
        <v>0</v>
      </c>
      <c r="G481">
        <v>0</v>
      </c>
      <c r="H481">
        <v>0</v>
      </c>
      <c r="I481">
        <v>0</v>
      </c>
      <c r="J481">
        <v>0</v>
      </c>
      <c r="K481">
        <v>0</v>
      </c>
      <c r="L481">
        <v>0</v>
      </c>
      <c r="M481">
        <v>0</v>
      </c>
      <c r="N481">
        <v>0</v>
      </c>
      <c r="O481">
        <v>0</v>
      </c>
      <c r="P481">
        <v>0</v>
      </c>
      <c r="Q481">
        <v>0</v>
      </c>
      <c r="R481">
        <v>0</v>
      </c>
      <c r="S481">
        <v>0</v>
      </c>
      <c r="T481">
        <v>0</v>
      </c>
      <c r="U481">
        <v>0</v>
      </c>
      <c r="V481">
        <v>0</v>
      </c>
      <c r="W481">
        <v>0</v>
      </c>
      <c r="X481">
        <v>0</v>
      </c>
      <c r="Y481">
        <v>0</v>
      </c>
      <c r="Z481">
        <v>0</v>
      </c>
      <c r="AA481">
        <v>0</v>
      </c>
      <c r="AB481">
        <v>0</v>
      </c>
      <c r="AC481">
        <v>0</v>
      </c>
      <c r="AD481">
        <v>0</v>
      </c>
      <c r="AF481">
        <v>0</v>
      </c>
      <c r="AG481">
        <v>0</v>
      </c>
      <c r="AH481">
        <v>0</v>
      </c>
      <c r="AI481">
        <v>0</v>
      </c>
      <c r="AJ481">
        <v>0</v>
      </c>
      <c r="AK481">
        <v>0</v>
      </c>
      <c r="AL481">
        <v>0</v>
      </c>
      <c r="AM481">
        <v>0</v>
      </c>
      <c r="AN481">
        <v>0</v>
      </c>
      <c r="AO481">
        <v>0</v>
      </c>
      <c r="AP481">
        <v>0</v>
      </c>
      <c r="AQ481">
        <v>0</v>
      </c>
      <c r="AR481">
        <v>0</v>
      </c>
      <c r="AS481">
        <v>0</v>
      </c>
      <c r="AT481">
        <v>0</v>
      </c>
      <c r="AU481">
        <v>0</v>
      </c>
      <c r="AV481">
        <v>0</v>
      </c>
      <c r="AW481">
        <v>0</v>
      </c>
      <c r="AX481">
        <v>0</v>
      </c>
      <c r="AY481">
        <v>0</v>
      </c>
      <c r="AZ481">
        <v>0</v>
      </c>
      <c r="BA481">
        <v>0</v>
      </c>
      <c r="BB481">
        <v>0</v>
      </c>
      <c r="BC481">
        <v>0</v>
      </c>
      <c r="BD481">
        <v>0</v>
      </c>
      <c r="BE481">
        <v>0</v>
      </c>
      <c r="BF481">
        <v>0</v>
      </c>
      <c r="BG481">
        <v>0</v>
      </c>
      <c r="BH481">
        <v>0</v>
      </c>
      <c r="BI481">
        <v>0</v>
      </c>
      <c r="BK481" s="151"/>
    </row>
    <row r="482" spans="1:63" x14ac:dyDescent="0.35">
      <c r="A482">
        <v>0</v>
      </c>
      <c r="B482">
        <v>0</v>
      </c>
      <c r="C482">
        <v>0</v>
      </c>
      <c r="D482">
        <v>0</v>
      </c>
      <c r="E482">
        <v>0</v>
      </c>
      <c r="F482">
        <v>0</v>
      </c>
      <c r="G482">
        <v>0</v>
      </c>
      <c r="H482">
        <v>0</v>
      </c>
      <c r="I482">
        <v>0</v>
      </c>
      <c r="J482">
        <v>0</v>
      </c>
      <c r="K482">
        <v>0</v>
      </c>
      <c r="L482">
        <v>0</v>
      </c>
      <c r="M482">
        <v>0</v>
      </c>
      <c r="N482">
        <v>0</v>
      </c>
      <c r="O482">
        <v>0</v>
      </c>
      <c r="P482">
        <v>0</v>
      </c>
      <c r="Q482">
        <v>0</v>
      </c>
      <c r="R482">
        <v>0</v>
      </c>
      <c r="S482">
        <v>0</v>
      </c>
      <c r="T482">
        <v>0</v>
      </c>
      <c r="U482">
        <v>0</v>
      </c>
      <c r="V482">
        <v>0</v>
      </c>
      <c r="W482">
        <v>0</v>
      </c>
      <c r="X482">
        <v>0</v>
      </c>
      <c r="Y482">
        <v>0</v>
      </c>
      <c r="Z482">
        <v>0</v>
      </c>
      <c r="AA482">
        <v>0</v>
      </c>
      <c r="AB482">
        <v>0</v>
      </c>
      <c r="AC482">
        <v>0</v>
      </c>
      <c r="AD482">
        <v>0</v>
      </c>
      <c r="AF482">
        <v>0</v>
      </c>
      <c r="AG482">
        <v>0</v>
      </c>
      <c r="AH482">
        <v>0</v>
      </c>
      <c r="AI482">
        <v>0</v>
      </c>
      <c r="AJ482">
        <v>0</v>
      </c>
      <c r="AK482">
        <v>0</v>
      </c>
      <c r="AL482">
        <v>0</v>
      </c>
      <c r="AM482">
        <v>0</v>
      </c>
      <c r="AN482">
        <v>0</v>
      </c>
      <c r="AO482">
        <v>0</v>
      </c>
      <c r="AP482">
        <v>0</v>
      </c>
      <c r="AQ482">
        <v>0</v>
      </c>
      <c r="AR482">
        <v>0</v>
      </c>
      <c r="AS482">
        <v>0</v>
      </c>
      <c r="AT482">
        <v>0</v>
      </c>
      <c r="AU482">
        <v>0</v>
      </c>
      <c r="AV482">
        <v>0</v>
      </c>
      <c r="AW482">
        <v>0</v>
      </c>
      <c r="AX482">
        <v>0</v>
      </c>
      <c r="AY482">
        <v>0</v>
      </c>
      <c r="AZ482">
        <v>0</v>
      </c>
      <c r="BA482">
        <v>0</v>
      </c>
      <c r="BB482">
        <v>0</v>
      </c>
      <c r="BC482">
        <v>0</v>
      </c>
      <c r="BD482">
        <v>0</v>
      </c>
      <c r="BE482">
        <v>0</v>
      </c>
      <c r="BF482">
        <v>0</v>
      </c>
      <c r="BG482">
        <v>0</v>
      </c>
      <c r="BH482">
        <v>0</v>
      </c>
      <c r="BI482">
        <v>0</v>
      </c>
      <c r="BK482" s="151"/>
    </row>
    <row r="483" spans="1:63" x14ac:dyDescent="0.35">
      <c r="A483">
        <v>0</v>
      </c>
      <c r="B483">
        <v>0</v>
      </c>
      <c r="C483">
        <v>0</v>
      </c>
      <c r="D483">
        <v>0</v>
      </c>
      <c r="E483">
        <v>0</v>
      </c>
      <c r="F483">
        <v>0</v>
      </c>
      <c r="G483">
        <v>0</v>
      </c>
      <c r="H483">
        <v>0</v>
      </c>
      <c r="I483">
        <v>0</v>
      </c>
      <c r="J483">
        <v>0</v>
      </c>
      <c r="K483">
        <v>0</v>
      </c>
      <c r="L483">
        <v>0</v>
      </c>
      <c r="M483">
        <v>0</v>
      </c>
      <c r="N483">
        <v>0</v>
      </c>
      <c r="O483">
        <v>0</v>
      </c>
      <c r="P483">
        <v>0</v>
      </c>
      <c r="Q483">
        <v>0</v>
      </c>
      <c r="R483">
        <v>0</v>
      </c>
      <c r="S483">
        <v>0</v>
      </c>
      <c r="T483">
        <v>0</v>
      </c>
      <c r="U483">
        <v>0</v>
      </c>
      <c r="V483">
        <v>0</v>
      </c>
      <c r="W483">
        <v>0</v>
      </c>
      <c r="X483">
        <v>0</v>
      </c>
      <c r="Y483">
        <v>0</v>
      </c>
      <c r="Z483">
        <v>0</v>
      </c>
      <c r="AA483">
        <v>0</v>
      </c>
      <c r="AB483">
        <v>0</v>
      </c>
      <c r="AC483">
        <v>0</v>
      </c>
      <c r="AD483">
        <v>0</v>
      </c>
      <c r="AF483">
        <v>0</v>
      </c>
      <c r="AG483">
        <v>0</v>
      </c>
      <c r="AH483">
        <v>0</v>
      </c>
      <c r="AI483">
        <v>0</v>
      </c>
      <c r="AJ483">
        <v>0</v>
      </c>
      <c r="AK483">
        <v>0</v>
      </c>
      <c r="AL483">
        <v>0</v>
      </c>
      <c r="AM483">
        <v>0</v>
      </c>
      <c r="AN483">
        <v>0</v>
      </c>
      <c r="AO483">
        <v>0</v>
      </c>
      <c r="AP483">
        <v>0</v>
      </c>
      <c r="AQ483">
        <v>0</v>
      </c>
      <c r="AR483">
        <v>0</v>
      </c>
      <c r="AS483">
        <v>0</v>
      </c>
      <c r="AT483">
        <v>0</v>
      </c>
      <c r="AU483">
        <v>0</v>
      </c>
      <c r="AV483">
        <v>0</v>
      </c>
      <c r="AW483">
        <v>0</v>
      </c>
      <c r="AX483">
        <v>0</v>
      </c>
      <c r="AY483">
        <v>0</v>
      </c>
      <c r="AZ483">
        <v>0</v>
      </c>
      <c r="BA483">
        <v>0</v>
      </c>
      <c r="BB483">
        <v>0</v>
      </c>
      <c r="BC483">
        <v>0</v>
      </c>
      <c r="BD483">
        <v>0</v>
      </c>
      <c r="BE483">
        <v>0</v>
      </c>
      <c r="BF483">
        <v>0</v>
      </c>
      <c r="BG483">
        <v>0</v>
      </c>
      <c r="BH483">
        <v>0</v>
      </c>
      <c r="BI483">
        <v>0</v>
      </c>
      <c r="BK483" s="151"/>
    </row>
    <row r="484" spans="1:63" x14ac:dyDescent="0.35">
      <c r="A484">
        <v>0</v>
      </c>
      <c r="B484">
        <v>0</v>
      </c>
      <c r="C484">
        <v>0</v>
      </c>
      <c r="D484">
        <v>0</v>
      </c>
      <c r="E484">
        <v>0</v>
      </c>
      <c r="F484">
        <v>0</v>
      </c>
      <c r="G484">
        <v>0</v>
      </c>
      <c r="H484">
        <v>0</v>
      </c>
      <c r="I484">
        <v>0</v>
      </c>
      <c r="J484">
        <v>0</v>
      </c>
      <c r="K484">
        <v>0</v>
      </c>
      <c r="L484">
        <v>0</v>
      </c>
      <c r="M484">
        <v>0</v>
      </c>
      <c r="N484">
        <v>0</v>
      </c>
      <c r="O484">
        <v>0</v>
      </c>
      <c r="P484">
        <v>0</v>
      </c>
      <c r="Q484">
        <v>0</v>
      </c>
      <c r="R484">
        <v>0</v>
      </c>
      <c r="S484">
        <v>0</v>
      </c>
      <c r="T484">
        <v>0</v>
      </c>
      <c r="U484">
        <v>0</v>
      </c>
      <c r="V484">
        <v>0</v>
      </c>
      <c r="W484">
        <v>0</v>
      </c>
      <c r="X484">
        <v>0</v>
      </c>
      <c r="Y484">
        <v>0</v>
      </c>
      <c r="Z484">
        <v>0</v>
      </c>
      <c r="AA484">
        <v>0</v>
      </c>
      <c r="AB484">
        <v>0</v>
      </c>
      <c r="AC484">
        <v>0</v>
      </c>
      <c r="AD484">
        <v>0</v>
      </c>
      <c r="AF484">
        <v>0</v>
      </c>
      <c r="AG484">
        <v>0</v>
      </c>
      <c r="AH484">
        <v>0</v>
      </c>
      <c r="AI484">
        <v>0</v>
      </c>
      <c r="AJ484">
        <v>0</v>
      </c>
      <c r="AK484">
        <v>0</v>
      </c>
      <c r="AL484">
        <v>0</v>
      </c>
      <c r="AM484">
        <v>0</v>
      </c>
      <c r="AN484">
        <v>0</v>
      </c>
      <c r="AO484">
        <v>0</v>
      </c>
      <c r="AP484">
        <v>0</v>
      </c>
      <c r="AQ484">
        <v>0</v>
      </c>
      <c r="AR484">
        <v>0</v>
      </c>
      <c r="AS484">
        <v>0</v>
      </c>
      <c r="AT484">
        <v>0</v>
      </c>
      <c r="AU484">
        <v>0</v>
      </c>
      <c r="AV484">
        <v>0</v>
      </c>
      <c r="AW484">
        <v>0</v>
      </c>
      <c r="AX484">
        <v>0</v>
      </c>
      <c r="AY484">
        <v>0</v>
      </c>
      <c r="AZ484">
        <v>0</v>
      </c>
      <c r="BA484">
        <v>0</v>
      </c>
      <c r="BB484">
        <v>0</v>
      </c>
      <c r="BC484">
        <v>0</v>
      </c>
      <c r="BD484">
        <v>0</v>
      </c>
      <c r="BE484">
        <v>0</v>
      </c>
      <c r="BF484">
        <v>0</v>
      </c>
      <c r="BG484">
        <v>0</v>
      </c>
      <c r="BH484">
        <v>0</v>
      </c>
      <c r="BI484">
        <v>0</v>
      </c>
      <c r="BK484" s="151"/>
    </row>
    <row r="485" spans="1:63" x14ac:dyDescent="0.35">
      <c r="A485">
        <v>0</v>
      </c>
      <c r="B485">
        <v>0</v>
      </c>
      <c r="C485">
        <v>0</v>
      </c>
      <c r="D485">
        <v>0</v>
      </c>
      <c r="E485">
        <v>0</v>
      </c>
      <c r="F485">
        <v>0</v>
      </c>
      <c r="G485">
        <v>0</v>
      </c>
      <c r="H485">
        <v>0</v>
      </c>
      <c r="I485">
        <v>0</v>
      </c>
      <c r="J485">
        <v>0</v>
      </c>
      <c r="K485">
        <v>0</v>
      </c>
      <c r="L485">
        <v>0</v>
      </c>
      <c r="M485">
        <v>0</v>
      </c>
      <c r="N485">
        <v>0</v>
      </c>
      <c r="O485">
        <v>0</v>
      </c>
      <c r="P485">
        <v>0</v>
      </c>
      <c r="Q485">
        <v>0</v>
      </c>
      <c r="R485">
        <v>0</v>
      </c>
      <c r="S485">
        <v>0</v>
      </c>
      <c r="T485">
        <v>0</v>
      </c>
      <c r="U485">
        <v>0</v>
      </c>
      <c r="V485">
        <v>0</v>
      </c>
      <c r="W485">
        <v>0</v>
      </c>
      <c r="X485">
        <v>0</v>
      </c>
      <c r="Y485">
        <v>0</v>
      </c>
      <c r="Z485">
        <v>0</v>
      </c>
      <c r="AA485">
        <v>0</v>
      </c>
      <c r="AB485">
        <v>0</v>
      </c>
      <c r="AC485">
        <v>0</v>
      </c>
      <c r="AD485">
        <v>0</v>
      </c>
      <c r="AF485">
        <v>0</v>
      </c>
      <c r="AG485">
        <v>0</v>
      </c>
      <c r="AH485">
        <v>0</v>
      </c>
      <c r="AI485">
        <v>0</v>
      </c>
      <c r="AJ485">
        <v>0</v>
      </c>
      <c r="AK485">
        <v>0</v>
      </c>
      <c r="AL485">
        <v>0</v>
      </c>
      <c r="AM485">
        <v>0</v>
      </c>
      <c r="AN485">
        <v>0</v>
      </c>
      <c r="AO485">
        <v>0</v>
      </c>
      <c r="AP485">
        <v>0</v>
      </c>
      <c r="AQ485">
        <v>0</v>
      </c>
      <c r="AR485">
        <v>0</v>
      </c>
      <c r="AS485">
        <v>0</v>
      </c>
      <c r="AT485">
        <v>0</v>
      </c>
      <c r="AU485">
        <v>0</v>
      </c>
      <c r="AV485">
        <v>0</v>
      </c>
      <c r="AW485">
        <v>0</v>
      </c>
      <c r="AX485">
        <v>0</v>
      </c>
      <c r="AY485">
        <v>0</v>
      </c>
      <c r="AZ485">
        <v>0</v>
      </c>
      <c r="BA485">
        <v>0</v>
      </c>
      <c r="BB485">
        <v>0</v>
      </c>
      <c r="BC485">
        <v>0</v>
      </c>
      <c r="BD485">
        <v>0</v>
      </c>
      <c r="BE485">
        <v>0</v>
      </c>
      <c r="BF485">
        <v>0</v>
      </c>
      <c r="BG485">
        <v>0</v>
      </c>
      <c r="BH485">
        <v>0</v>
      </c>
      <c r="BI485">
        <v>0</v>
      </c>
      <c r="BK485" s="151"/>
    </row>
    <row r="486" spans="1:63" x14ac:dyDescent="0.35">
      <c r="A486">
        <v>0</v>
      </c>
      <c r="B486">
        <v>0</v>
      </c>
      <c r="C486">
        <v>0</v>
      </c>
      <c r="D486">
        <v>0</v>
      </c>
      <c r="E486">
        <v>0</v>
      </c>
      <c r="F486">
        <v>0</v>
      </c>
      <c r="G486">
        <v>0</v>
      </c>
      <c r="H486">
        <v>0</v>
      </c>
      <c r="I486">
        <v>0</v>
      </c>
      <c r="J486">
        <v>0</v>
      </c>
      <c r="K486">
        <v>0</v>
      </c>
      <c r="L486">
        <v>0</v>
      </c>
      <c r="M486">
        <v>0</v>
      </c>
      <c r="N486">
        <v>0</v>
      </c>
      <c r="O486">
        <v>0</v>
      </c>
      <c r="P486">
        <v>0</v>
      </c>
      <c r="Q486">
        <v>0</v>
      </c>
      <c r="R486">
        <v>0</v>
      </c>
      <c r="S486">
        <v>0</v>
      </c>
      <c r="T486">
        <v>0</v>
      </c>
      <c r="U486">
        <v>0</v>
      </c>
      <c r="V486">
        <v>0</v>
      </c>
      <c r="W486">
        <v>0</v>
      </c>
      <c r="X486">
        <v>0</v>
      </c>
      <c r="Y486">
        <v>0</v>
      </c>
      <c r="Z486">
        <v>0</v>
      </c>
      <c r="AA486">
        <v>0</v>
      </c>
      <c r="AB486">
        <v>0</v>
      </c>
      <c r="AC486">
        <v>0</v>
      </c>
      <c r="AD486">
        <v>0</v>
      </c>
      <c r="AF486">
        <v>0</v>
      </c>
      <c r="AG486">
        <v>0</v>
      </c>
      <c r="AH486">
        <v>0</v>
      </c>
      <c r="AI486">
        <v>0</v>
      </c>
      <c r="AJ486">
        <v>0</v>
      </c>
      <c r="AK486">
        <v>0</v>
      </c>
      <c r="AL486">
        <v>0</v>
      </c>
      <c r="AM486">
        <v>0</v>
      </c>
      <c r="AN486">
        <v>0</v>
      </c>
      <c r="AO486">
        <v>0</v>
      </c>
      <c r="AP486">
        <v>0</v>
      </c>
      <c r="AQ486">
        <v>0</v>
      </c>
      <c r="AR486">
        <v>0</v>
      </c>
      <c r="AS486">
        <v>0</v>
      </c>
      <c r="AT486">
        <v>0</v>
      </c>
      <c r="AU486">
        <v>0</v>
      </c>
      <c r="AV486">
        <v>0</v>
      </c>
      <c r="AW486">
        <v>0</v>
      </c>
      <c r="AX486">
        <v>0</v>
      </c>
      <c r="AY486">
        <v>0</v>
      </c>
      <c r="AZ486">
        <v>0</v>
      </c>
      <c r="BA486">
        <v>0</v>
      </c>
      <c r="BB486">
        <v>0</v>
      </c>
      <c r="BC486">
        <v>0</v>
      </c>
      <c r="BD486">
        <v>0</v>
      </c>
      <c r="BE486">
        <v>0</v>
      </c>
      <c r="BF486">
        <v>0</v>
      </c>
      <c r="BG486">
        <v>0</v>
      </c>
      <c r="BH486">
        <v>0</v>
      </c>
      <c r="BI486">
        <v>0</v>
      </c>
      <c r="BK486" s="151"/>
    </row>
    <row r="487" spans="1:63" x14ac:dyDescent="0.35">
      <c r="A487">
        <v>0</v>
      </c>
      <c r="B487">
        <v>0</v>
      </c>
      <c r="C487">
        <v>0</v>
      </c>
      <c r="D487">
        <v>0</v>
      </c>
      <c r="E487">
        <v>0</v>
      </c>
      <c r="F487">
        <v>0</v>
      </c>
      <c r="G487">
        <v>0</v>
      </c>
      <c r="H487">
        <v>0</v>
      </c>
      <c r="I487">
        <v>0</v>
      </c>
      <c r="J487">
        <v>0</v>
      </c>
      <c r="K487">
        <v>0</v>
      </c>
      <c r="L487">
        <v>0</v>
      </c>
      <c r="M487">
        <v>0</v>
      </c>
      <c r="N487">
        <v>0</v>
      </c>
      <c r="O487">
        <v>0</v>
      </c>
      <c r="P487">
        <v>0</v>
      </c>
      <c r="Q487">
        <v>0</v>
      </c>
      <c r="R487">
        <v>0</v>
      </c>
      <c r="S487">
        <v>0</v>
      </c>
      <c r="T487">
        <v>0</v>
      </c>
      <c r="U487">
        <v>0</v>
      </c>
      <c r="V487">
        <v>0</v>
      </c>
      <c r="W487">
        <v>0</v>
      </c>
      <c r="X487">
        <v>0</v>
      </c>
      <c r="Y487">
        <v>0</v>
      </c>
      <c r="Z487">
        <v>0</v>
      </c>
      <c r="AA487">
        <v>0</v>
      </c>
      <c r="AB487">
        <v>0</v>
      </c>
      <c r="AC487">
        <v>0</v>
      </c>
      <c r="AD487">
        <v>0</v>
      </c>
      <c r="AF487">
        <v>0</v>
      </c>
      <c r="AG487">
        <v>0</v>
      </c>
      <c r="AH487">
        <v>0</v>
      </c>
      <c r="AI487">
        <v>0</v>
      </c>
      <c r="AJ487">
        <v>0</v>
      </c>
      <c r="AK487">
        <v>0</v>
      </c>
      <c r="AL487">
        <v>0</v>
      </c>
      <c r="AM487">
        <v>0</v>
      </c>
      <c r="AN487">
        <v>0</v>
      </c>
      <c r="AO487">
        <v>0</v>
      </c>
      <c r="AP487">
        <v>0</v>
      </c>
      <c r="AQ487">
        <v>0</v>
      </c>
      <c r="AR487">
        <v>0</v>
      </c>
      <c r="AS487">
        <v>0</v>
      </c>
      <c r="AT487">
        <v>0</v>
      </c>
      <c r="AU487">
        <v>0</v>
      </c>
      <c r="AV487">
        <v>0</v>
      </c>
      <c r="AW487">
        <v>0</v>
      </c>
      <c r="AX487">
        <v>0</v>
      </c>
      <c r="AY487">
        <v>0</v>
      </c>
      <c r="AZ487">
        <v>0</v>
      </c>
      <c r="BA487">
        <v>0</v>
      </c>
      <c r="BB487">
        <v>0</v>
      </c>
      <c r="BC487">
        <v>0</v>
      </c>
      <c r="BD487">
        <v>0</v>
      </c>
      <c r="BE487">
        <v>0</v>
      </c>
      <c r="BF487">
        <v>0</v>
      </c>
      <c r="BG487">
        <v>0</v>
      </c>
      <c r="BH487">
        <v>0</v>
      </c>
      <c r="BI487">
        <v>0</v>
      </c>
      <c r="BK487" s="151"/>
    </row>
    <row r="488" spans="1:63" x14ac:dyDescent="0.35">
      <c r="A488">
        <v>0</v>
      </c>
      <c r="B488">
        <v>0</v>
      </c>
      <c r="C488">
        <v>0</v>
      </c>
      <c r="D488">
        <v>0</v>
      </c>
      <c r="E488">
        <v>0</v>
      </c>
      <c r="F488">
        <v>0</v>
      </c>
      <c r="G488">
        <v>0</v>
      </c>
      <c r="H488">
        <v>0</v>
      </c>
      <c r="I488">
        <v>0</v>
      </c>
      <c r="J488">
        <v>0</v>
      </c>
      <c r="K488">
        <v>0</v>
      </c>
      <c r="L488">
        <v>0</v>
      </c>
      <c r="M488">
        <v>0</v>
      </c>
      <c r="N488">
        <v>0</v>
      </c>
      <c r="O488">
        <v>0</v>
      </c>
      <c r="P488">
        <v>0</v>
      </c>
      <c r="Q488">
        <v>0</v>
      </c>
      <c r="R488">
        <v>0</v>
      </c>
      <c r="S488">
        <v>0</v>
      </c>
      <c r="T488">
        <v>0</v>
      </c>
      <c r="U488">
        <v>0</v>
      </c>
      <c r="V488">
        <v>0</v>
      </c>
      <c r="W488">
        <v>0</v>
      </c>
      <c r="X488">
        <v>0</v>
      </c>
      <c r="Y488">
        <v>0</v>
      </c>
      <c r="Z488">
        <v>0</v>
      </c>
      <c r="AA488">
        <v>0</v>
      </c>
      <c r="AB488">
        <v>0</v>
      </c>
      <c r="AC488">
        <v>0</v>
      </c>
      <c r="AD488">
        <v>0</v>
      </c>
      <c r="AF488">
        <v>0</v>
      </c>
      <c r="AG488">
        <v>0</v>
      </c>
      <c r="AH488">
        <v>0</v>
      </c>
      <c r="AI488">
        <v>0</v>
      </c>
      <c r="AJ488">
        <v>0</v>
      </c>
      <c r="AK488">
        <v>0</v>
      </c>
      <c r="AL488">
        <v>0</v>
      </c>
      <c r="AM488">
        <v>0</v>
      </c>
      <c r="AN488">
        <v>0</v>
      </c>
      <c r="AO488">
        <v>0</v>
      </c>
      <c r="AP488">
        <v>0</v>
      </c>
      <c r="AQ488">
        <v>0</v>
      </c>
      <c r="AR488">
        <v>0</v>
      </c>
      <c r="AS488">
        <v>0</v>
      </c>
      <c r="AT488">
        <v>0</v>
      </c>
      <c r="AU488">
        <v>0</v>
      </c>
      <c r="AV488">
        <v>0</v>
      </c>
      <c r="AW488">
        <v>0</v>
      </c>
      <c r="AX488">
        <v>0</v>
      </c>
      <c r="AY488">
        <v>0</v>
      </c>
      <c r="AZ488">
        <v>0</v>
      </c>
      <c r="BA488">
        <v>0</v>
      </c>
      <c r="BB488">
        <v>0</v>
      </c>
      <c r="BC488">
        <v>0</v>
      </c>
      <c r="BD488">
        <v>0</v>
      </c>
      <c r="BE488">
        <v>0</v>
      </c>
      <c r="BF488">
        <v>0</v>
      </c>
      <c r="BG488">
        <v>0</v>
      </c>
      <c r="BH488">
        <v>0</v>
      </c>
      <c r="BI488">
        <v>0</v>
      </c>
      <c r="BK488" s="151"/>
    </row>
    <row r="489" spans="1:63" x14ac:dyDescent="0.35">
      <c r="A489">
        <v>0</v>
      </c>
      <c r="B489">
        <v>0</v>
      </c>
      <c r="C489">
        <v>0</v>
      </c>
      <c r="D489">
        <v>0</v>
      </c>
      <c r="E489">
        <v>0</v>
      </c>
      <c r="F489">
        <v>0</v>
      </c>
      <c r="G489">
        <v>0</v>
      </c>
      <c r="H489">
        <v>0</v>
      </c>
      <c r="I489">
        <v>0</v>
      </c>
      <c r="J489">
        <v>0</v>
      </c>
      <c r="K489">
        <v>0</v>
      </c>
      <c r="L489">
        <v>0</v>
      </c>
      <c r="M489">
        <v>0</v>
      </c>
      <c r="N489">
        <v>0</v>
      </c>
      <c r="O489">
        <v>0</v>
      </c>
      <c r="P489">
        <v>0</v>
      </c>
      <c r="Q489">
        <v>0</v>
      </c>
      <c r="R489">
        <v>0</v>
      </c>
      <c r="S489">
        <v>0</v>
      </c>
      <c r="T489">
        <v>0</v>
      </c>
      <c r="U489">
        <v>0</v>
      </c>
      <c r="V489">
        <v>0</v>
      </c>
      <c r="W489">
        <v>0</v>
      </c>
      <c r="X489">
        <v>0</v>
      </c>
      <c r="Y489">
        <v>0</v>
      </c>
      <c r="Z489">
        <v>0</v>
      </c>
      <c r="AA489">
        <v>0</v>
      </c>
      <c r="AB489">
        <v>0</v>
      </c>
      <c r="AC489">
        <v>0</v>
      </c>
      <c r="AD489">
        <v>0</v>
      </c>
      <c r="AF489">
        <v>0</v>
      </c>
      <c r="AG489">
        <v>0</v>
      </c>
      <c r="AH489">
        <v>0</v>
      </c>
      <c r="AI489">
        <v>0</v>
      </c>
      <c r="AJ489">
        <v>0</v>
      </c>
      <c r="AK489">
        <v>0</v>
      </c>
      <c r="AL489">
        <v>0</v>
      </c>
      <c r="AM489">
        <v>0</v>
      </c>
      <c r="AN489">
        <v>0</v>
      </c>
      <c r="AO489">
        <v>0</v>
      </c>
      <c r="AP489">
        <v>0</v>
      </c>
      <c r="AQ489">
        <v>0</v>
      </c>
      <c r="AR489">
        <v>0</v>
      </c>
      <c r="AS489">
        <v>0</v>
      </c>
      <c r="AT489">
        <v>0</v>
      </c>
      <c r="AU489">
        <v>0</v>
      </c>
      <c r="AV489">
        <v>0</v>
      </c>
      <c r="AW489">
        <v>0</v>
      </c>
      <c r="AX489">
        <v>0</v>
      </c>
      <c r="AY489">
        <v>0</v>
      </c>
      <c r="AZ489">
        <v>0</v>
      </c>
      <c r="BA489">
        <v>0</v>
      </c>
      <c r="BB489">
        <v>0</v>
      </c>
      <c r="BC489">
        <v>0</v>
      </c>
      <c r="BD489">
        <v>0</v>
      </c>
      <c r="BE489">
        <v>0</v>
      </c>
      <c r="BF489">
        <v>0</v>
      </c>
      <c r="BG489">
        <v>0</v>
      </c>
      <c r="BH489">
        <v>0</v>
      </c>
      <c r="BI489">
        <v>0</v>
      </c>
      <c r="BK489" s="151"/>
    </row>
    <row r="490" spans="1:63" x14ac:dyDescent="0.35">
      <c r="A490">
        <v>0</v>
      </c>
      <c r="B490">
        <v>0</v>
      </c>
      <c r="C490">
        <v>0</v>
      </c>
      <c r="D490">
        <v>0</v>
      </c>
      <c r="E490">
        <v>0</v>
      </c>
      <c r="F490">
        <v>0</v>
      </c>
      <c r="G490">
        <v>0</v>
      </c>
      <c r="H490">
        <v>0</v>
      </c>
      <c r="I490">
        <v>0</v>
      </c>
      <c r="J490">
        <v>0</v>
      </c>
      <c r="K490">
        <v>0</v>
      </c>
      <c r="L490">
        <v>0</v>
      </c>
      <c r="M490">
        <v>0</v>
      </c>
      <c r="N490">
        <v>0</v>
      </c>
      <c r="O490">
        <v>0</v>
      </c>
      <c r="P490">
        <v>0</v>
      </c>
      <c r="Q490">
        <v>0</v>
      </c>
      <c r="R490">
        <v>0</v>
      </c>
      <c r="S490">
        <v>0</v>
      </c>
      <c r="T490">
        <v>0</v>
      </c>
      <c r="U490">
        <v>0</v>
      </c>
      <c r="V490">
        <v>0</v>
      </c>
      <c r="W490">
        <v>0</v>
      </c>
      <c r="X490">
        <v>0</v>
      </c>
      <c r="Y490">
        <v>0</v>
      </c>
      <c r="Z490">
        <v>0</v>
      </c>
      <c r="AA490">
        <v>0</v>
      </c>
      <c r="AB490">
        <v>0</v>
      </c>
      <c r="AC490">
        <v>0</v>
      </c>
      <c r="AD490">
        <v>0</v>
      </c>
      <c r="AF490">
        <v>0</v>
      </c>
      <c r="AG490">
        <v>0</v>
      </c>
      <c r="AH490">
        <v>0</v>
      </c>
      <c r="AI490">
        <v>0</v>
      </c>
      <c r="AJ490">
        <v>0</v>
      </c>
      <c r="AK490">
        <v>0</v>
      </c>
      <c r="AL490">
        <v>0</v>
      </c>
      <c r="AM490">
        <v>0</v>
      </c>
      <c r="AN490">
        <v>0</v>
      </c>
      <c r="AO490">
        <v>0</v>
      </c>
      <c r="AP490">
        <v>0</v>
      </c>
      <c r="AQ490">
        <v>0</v>
      </c>
      <c r="AR490">
        <v>0</v>
      </c>
      <c r="AS490">
        <v>0</v>
      </c>
      <c r="AT490">
        <v>0</v>
      </c>
      <c r="AU490">
        <v>0</v>
      </c>
      <c r="AV490">
        <v>0</v>
      </c>
      <c r="AW490">
        <v>0</v>
      </c>
      <c r="AX490">
        <v>0</v>
      </c>
      <c r="AY490">
        <v>0</v>
      </c>
      <c r="AZ490">
        <v>0</v>
      </c>
      <c r="BA490">
        <v>0</v>
      </c>
      <c r="BB490">
        <v>0</v>
      </c>
      <c r="BC490">
        <v>0</v>
      </c>
      <c r="BD490">
        <v>0</v>
      </c>
      <c r="BE490">
        <v>0</v>
      </c>
      <c r="BF490">
        <v>0</v>
      </c>
      <c r="BG490">
        <v>0</v>
      </c>
      <c r="BH490">
        <v>0</v>
      </c>
      <c r="BI490">
        <v>0</v>
      </c>
      <c r="BK490" s="151"/>
    </row>
    <row r="491" spans="1:63" x14ac:dyDescent="0.35">
      <c r="A491">
        <v>0</v>
      </c>
      <c r="B491">
        <v>0</v>
      </c>
      <c r="C491">
        <v>0</v>
      </c>
      <c r="D491">
        <v>0</v>
      </c>
      <c r="E491">
        <v>0</v>
      </c>
      <c r="F491">
        <v>0</v>
      </c>
      <c r="G491">
        <v>0</v>
      </c>
      <c r="H491">
        <v>0</v>
      </c>
      <c r="I491">
        <v>0</v>
      </c>
      <c r="J491">
        <v>0</v>
      </c>
      <c r="K491">
        <v>0</v>
      </c>
      <c r="L491">
        <v>0</v>
      </c>
      <c r="M491">
        <v>0</v>
      </c>
      <c r="N491">
        <v>0</v>
      </c>
      <c r="O491">
        <v>0</v>
      </c>
      <c r="P491">
        <v>0</v>
      </c>
      <c r="Q491">
        <v>0</v>
      </c>
      <c r="R491">
        <v>0</v>
      </c>
      <c r="S491">
        <v>0</v>
      </c>
      <c r="T491">
        <v>0</v>
      </c>
      <c r="U491">
        <v>0</v>
      </c>
      <c r="V491">
        <v>0</v>
      </c>
      <c r="W491">
        <v>0</v>
      </c>
      <c r="X491">
        <v>0</v>
      </c>
      <c r="Y491">
        <v>0</v>
      </c>
      <c r="Z491">
        <v>0</v>
      </c>
      <c r="AA491">
        <v>0</v>
      </c>
      <c r="AB491">
        <v>0</v>
      </c>
      <c r="AC491">
        <v>0</v>
      </c>
      <c r="AD491">
        <v>0</v>
      </c>
      <c r="AF491">
        <v>0</v>
      </c>
      <c r="AG491">
        <v>0</v>
      </c>
      <c r="AH491">
        <v>0</v>
      </c>
      <c r="AI491">
        <v>0</v>
      </c>
      <c r="AJ491">
        <v>0</v>
      </c>
      <c r="AK491">
        <v>0</v>
      </c>
      <c r="AL491">
        <v>0</v>
      </c>
      <c r="AM491">
        <v>0</v>
      </c>
      <c r="AN491">
        <v>0</v>
      </c>
      <c r="AO491">
        <v>0</v>
      </c>
      <c r="AP491">
        <v>0</v>
      </c>
      <c r="AQ491">
        <v>0</v>
      </c>
      <c r="AR491">
        <v>0</v>
      </c>
      <c r="AS491">
        <v>0</v>
      </c>
      <c r="AT491">
        <v>0</v>
      </c>
      <c r="AU491">
        <v>0</v>
      </c>
      <c r="AV491">
        <v>0</v>
      </c>
      <c r="AW491">
        <v>0</v>
      </c>
      <c r="AX491">
        <v>0</v>
      </c>
      <c r="AY491">
        <v>0</v>
      </c>
      <c r="AZ491">
        <v>0</v>
      </c>
      <c r="BA491">
        <v>0</v>
      </c>
      <c r="BB491">
        <v>0</v>
      </c>
      <c r="BC491">
        <v>0</v>
      </c>
      <c r="BD491">
        <v>0</v>
      </c>
      <c r="BE491">
        <v>0</v>
      </c>
      <c r="BF491">
        <v>0</v>
      </c>
      <c r="BG491">
        <v>0</v>
      </c>
      <c r="BH491">
        <v>0</v>
      </c>
      <c r="BI491">
        <v>0</v>
      </c>
      <c r="BK491" s="151"/>
    </row>
    <row r="492" spans="1:63" x14ac:dyDescent="0.35">
      <c r="A492">
        <v>0</v>
      </c>
      <c r="B492">
        <v>0</v>
      </c>
      <c r="C492">
        <v>0</v>
      </c>
      <c r="D492">
        <v>0</v>
      </c>
      <c r="E492">
        <v>0</v>
      </c>
      <c r="F492">
        <v>0</v>
      </c>
      <c r="G492">
        <v>0</v>
      </c>
      <c r="H492">
        <v>0</v>
      </c>
      <c r="I492">
        <v>0</v>
      </c>
      <c r="J492">
        <v>0</v>
      </c>
      <c r="K492">
        <v>0</v>
      </c>
      <c r="L492">
        <v>0</v>
      </c>
      <c r="M492">
        <v>0</v>
      </c>
      <c r="N492">
        <v>0</v>
      </c>
      <c r="O492">
        <v>0</v>
      </c>
      <c r="P492">
        <v>0</v>
      </c>
      <c r="Q492">
        <v>0</v>
      </c>
      <c r="R492">
        <v>0</v>
      </c>
      <c r="S492">
        <v>0</v>
      </c>
      <c r="T492">
        <v>0</v>
      </c>
      <c r="U492">
        <v>0</v>
      </c>
      <c r="V492">
        <v>0</v>
      </c>
      <c r="W492">
        <v>0</v>
      </c>
      <c r="X492">
        <v>0</v>
      </c>
      <c r="Y492">
        <v>0</v>
      </c>
      <c r="Z492">
        <v>0</v>
      </c>
      <c r="AA492">
        <v>0</v>
      </c>
      <c r="AB492">
        <v>0</v>
      </c>
      <c r="AC492">
        <v>0</v>
      </c>
      <c r="AD492">
        <v>0</v>
      </c>
      <c r="AF492">
        <v>0</v>
      </c>
      <c r="AG492">
        <v>0</v>
      </c>
      <c r="AH492">
        <v>0</v>
      </c>
      <c r="AI492">
        <v>0</v>
      </c>
      <c r="AJ492">
        <v>0</v>
      </c>
      <c r="AK492">
        <v>0</v>
      </c>
      <c r="AL492">
        <v>0</v>
      </c>
      <c r="AM492">
        <v>0</v>
      </c>
      <c r="AN492">
        <v>0</v>
      </c>
      <c r="AO492">
        <v>0</v>
      </c>
      <c r="AP492">
        <v>0</v>
      </c>
      <c r="AQ492">
        <v>0</v>
      </c>
      <c r="AR492">
        <v>0</v>
      </c>
      <c r="AS492">
        <v>0</v>
      </c>
      <c r="AT492">
        <v>0</v>
      </c>
      <c r="AU492">
        <v>0</v>
      </c>
      <c r="AV492">
        <v>0</v>
      </c>
      <c r="AW492">
        <v>0</v>
      </c>
      <c r="AX492">
        <v>0</v>
      </c>
      <c r="AY492">
        <v>0</v>
      </c>
      <c r="AZ492">
        <v>0</v>
      </c>
      <c r="BA492">
        <v>0</v>
      </c>
      <c r="BB492">
        <v>0</v>
      </c>
      <c r="BC492">
        <v>0</v>
      </c>
      <c r="BD492">
        <v>0</v>
      </c>
      <c r="BE492">
        <v>0</v>
      </c>
      <c r="BF492">
        <v>0</v>
      </c>
      <c r="BG492">
        <v>0</v>
      </c>
      <c r="BH492">
        <v>0</v>
      </c>
      <c r="BI492">
        <v>0</v>
      </c>
      <c r="BK492" s="151"/>
    </row>
    <row r="493" spans="1:63" x14ac:dyDescent="0.35">
      <c r="A493">
        <v>0</v>
      </c>
      <c r="B493">
        <v>0</v>
      </c>
      <c r="C493">
        <v>0</v>
      </c>
      <c r="D493">
        <v>0</v>
      </c>
      <c r="E493">
        <v>0</v>
      </c>
      <c r="F493">
        <v>0</v>
      </c>
      <c r="G493">
        <v>0</v>
      </c>
      <c r="H493">
        <v>0</v>
      </c>
      <c r="I493">
        <v>0</v>
      </c>
      <c r="J493">
        <v>0</v>
      </c>
      <c r="K493">
        <v>0</v>
      </c>
      <c r="L493">
        <v>0</v>
      </c>
      <c r="M493">
        <v>0</v>
      </c>
      <c r="N493">
        <v>0</v>
      </c>
      <c r="O493">
        <v>0</v>
      </c>
      <c r="P493">
        <v>0</v>
      </c>
      <c r="Q493">
        <v>0</v>
      </c>
      <c r="R493">
        <v>0</v>
      </c>
      <c r="S493">
        <v>0</v>
      </c>
      <c r="T493">
        <v>0</v>
      </c>
      <c r="U493">
        <v>0</v>
      </c>
      <c r="V493">
        <v>0</v>
      </c>
      <c r="W493">
        <v>0</v>
      </c>
      <c r="X493">
        <v>0</v>
      </c>
      <c r="Y493">
        <v>0</v>
      </c>
      <c r="Z493">
        <v>0</v>
      </c>
      <c r="AA493">
        <v>0</v>
      </c>
      <c r="AB493">
        <v>0</v>
      </c>
      <c r="AC493">
        <v>0</v>
      </c>
      <c r="AD493">
        <v>0</v>
      </c>
      <c r="AF493">
        <v>0</v>
      </c>
      <c r="AG493">
        <v>0</v>
      </c>
      <c r="AH493">
        <v>0</v>
      </c>
      <c r="AI493">
        <v>0</v>
      </c>
      <c r="AJ493">
        <v>0</v>
      </c>
      <c r="AK493">
        <v>0</v>
      </c>
      <c r="AL493">
        <v>0</v>
      </c>
      <c r="AM493">
        <v>0</v>
      </c>
      <c r="AN493">
        <v>0</v>
      </c>
      <c r="AO493">
        <v>0</v>
      </c>
      <c r="AP493">
        <v>0</v>
      </c>
      <c r="AQ493">
        <v>0</v>
      </c>
      <c r="AR493">
        <v>0</v>
      </c>
      <c r="AS493">
        <v>0</v>
      </c>
      <c r="AT493">
        <v>0</v>
      </c>
      <c r="AU493">
        <v>0</v>
      </c>
      <c r="AV493">
        <v>0</v>
      </c>
      <c r="AW493">
        <v>0</v>
      </c>
      <c r="AX493">
        <v>0</v>
      </c>
      <c r="AY493">
        <v>0</v>
      </c>
      <c r="AZ493">
        <v>0</v>
      </c>
      <c r="BA493">
        <v>0</v>
      </c>
      <c r="BB493">
        <v>0</v>
      </c>
      <c r="BC493">
        <v>0</v>
      </c>
      <c r="BD493">
        <v>0</v>
      </c>
      <c r="BE493">
        <v>0</v>
      </c>
      <c r="BF493">
        <v>0</v>
      </c>
      <c r="BG493">
        <v>0</v>
      </c>
      <c r="BH493">
        <v>0</v>
      </c>
      <c r="BI493">
        <v>0</v>
      </c>
      <c r="BK493" s="151"/>
    </row>
    <row r="494" spans="1:63" x14ac:dyDescent="0.35">
      <c r="A494">
        <v>0</v>
      </c>
      <c r="B494">
        <v>0</v>
      </c>
      <c r="C494">
        <v>0</v>
      </c>
      <c r="D494">
        <v>0</v>
      </c>
      <c r="E494">
        <v>0</v>
      </c>
      <c r="F494">
        <v>0</v>
      </c>
      <c r="G494">
        <v>0</v>
      </c>
      <c r="H494">
        <v>0</v>
      </c>
      <c r="I494">
        <v>0</v>
      </c>
      <c r="J494">
        <v>0</v>
      </c>
      <c r="K494">
        <v>0</v>
      </c>
      <c r="L494">
        <v>0</v>
      </c>
      <c r="M494">
        <v>0</v>
      </c>
      <c r="N494">
        <v>0</v>
      </c>
      <c r="O494">
        <v>0</v>
      </c>
      <c r="P494">
        <v>0</v>
      </c>
      <c r="Q494">
        <v>0</v>
      </c>
      <c r="R494">
        <v>0</v>
      </c>
      <c r="S494">
        <v>0</v>
      </c>
      <c r="T494">
        <v>0</v>
      </c>
      <c r="U494">
        <v>0</v>
      </c>
      <c r="V494">
        <v>0</v>
      </c>
      <c r="W494">
        <v>0</v>
      </c>
      <c r="X494">
        <v>0</v>
      </c>
      <c r="Y494">
        <v>0</v>
      </c>
      <c r="Z494">
        <v>0</v>
      </c>
      <c r="AA494">
        <v>0</v>
      </c>
      <c r="AB494">
        <v>0</v>
      </c>
      <c r="AC494">
        <v>0</v>
      </c>
      <c r="AD494">
        <v>0</v>
      </c>
      <c r="AF494">
        <v>0</v>
      </c>
      <c r="AG494">
        <v>0</v>
      </c>
      <c r="AH494">
        <v>0</v>
      </c>
      <c r="AI494">
        <v>0</v>
      </c>
      <c r="AJ494">
        <v>0</v>
      </c>
      <c r="AK494">
        <v>0</v>
      </c>
      <c r="AL494">
        <v>0</v>
      </c>
      <c r="AM494">
        <v>0</v>
      </c>
      <c r="AN494">
        <v>0</v>
      </c>
      <c r="AO494">
        <v>0</v>
      </c>
      <c r="AP494">
        <v>0</v>
      </c>
      <c r="AQ494">
        <v>0</v>
      </c>
      <c r="AR494">
        <v>0</v>
      </c>
      <c r="AS494">
        <v>0</v>
      </c>
      <c r="AT494">
        <v>0</v>
      </c>
      <c r="AU494">
        <v>0</v>
      </c>
      <c r="AV494">
        <v>0</v>
      </c>
      <c r="AW494">
        <v>0</v>
      </c>
      <c r="AX494">
        <v>0</v>
      </c>
      <c r="AY494">
        <v>0</v>
      </c>
      <c r="AZ494">
        <v>0</v>
      </c>
      <c r="BA494">
        <v>0</v>
      </c>
      <c r="BB494">
        <v>0</v>
      </c>
      <c r="BC494">
        <v>0</v>
      </c>
      <c r="BD494">
        <v>0</v>
      </c>
      <c r="BE494">
        <v>0</v>
      </c>
      <c r="BF494">
        <v>0</v>
      </c>
      <c r="BG494">
        <v>0</v>
      </c>
      <c r="BH494">
        <v>0</v>
      </c>
      <c r="BI494">
        <v>0</v>
      </c>
      <c r="BK494" s="151"/>
    </row>
    <row r="495" spans="1:63" x14ac:dyDescent="0.35">
      <c r="A495">
        <v>0</v>
      </c>
      <c r="B495">
        <v>0</v>
      </c>
      <c r="C495">
        <v>0</v>
      </c>
      <c r="D495">
        <v>0</v>
      </c>
      <c r="E495">
        <v>0</v>
      </c>
      <c r="F495">
        <v>0</v>
      </c>
      <c r="G495">
        <v>0</v>
      </c>
      <c r="H495">
        <v>0</v>
      </c>
      <c r="I495">
        <v>0</v>
      </c>
      <c r="J495">
        <v>0</v>
      </c>
      <c r="K495">
        <v>0</v>
      </c>
      <c r="L495">
        <v>0</v>
      </c>
      <c r="M495">
        <v>0</v>
      </c>
      <c r="N495">
        <v>0</v>
      </c>
      <c r="O495">
        <v>0</v>
      </c>
      <c r="P495">
        <v>0</v>
      </c>
      <c r="Q495">
        <v>0</v>
      </c>
      <c r="R495">
        <v>0</v>
      </c>
      <c r="S495">
        <v>0</v>
      </c>
      <c r="T495">
        <v>0</v>
      </c>
      <c r="U495">
        <v>0</v>
      </c>
      <c r="V495">
        <v>0</v>
      </c>
      <c r="W495">
        <v>0</v>
      </c>
      <c r="X495">
        <v>0</v>
      </c>
      <c r="Y495">
        <v>0</v>
      </c>
      <c r="Z495">
        <v>0</v>
      </c>
      <c r="AA495">
        <v>0</v>
      </c>
      <c r="AB495">
        <v>0</v>
      </c>
      <c r="AC495">
        <v>0</v>
      </c>
      <c r="AD495">
        <v>0</v>
      </c>
      <c r="AF495">
        <v>0</v>
      </c>
      <c r="AG495">
        <v>0</v>
      </c>
      <c r="AH495">
        <v>0</v>
      </c>
      <c r="AI495">
        <v>0</v>
      </c>
      <c r="AJ495">
        <v>0</v>
      </c>
      <c r="AK495">
        <v>0</v>
      </c>
      <c r="AL495">
        <v>0</v>
      </c>
      <c r="AM495">
        <v>0</v>
      </c>
      <c r="AN495">
        <v>0</v>
      </c>
      <c r="AO495">
        <v>0</v>
      </c>
      <c r="AP495">
        <v>0</v>
      </c>
      <c r="AQ495">
        <v>0</v>
      </c>
      <c r="AR495">
        <v>0</v>
      </c>
      <c r="AS495">
        <v>0</v>
      </c>
      <c r="AT495">
        <v>0</v>
      </c>
      <c r="AU495">
        <v>0</v>
      </c>
      <c r="AV495">
        <v>0</v>
      </c>
      <c r="AW495">
        <v>0</v>
      </c>
      <c r="AX495">
        <v>0</v>
      </c>
      <c r="AY495">
        <v>0</v>
      </c>
      <c r="AZ495">
        <v>0</v>
      </c>
      <c r="BA495">
        <v>0</v>
      </c>
      <c r="BB495">
        <v>0</v>
      </c>
      <c r="BC495">
        <v>0</v>
      </c>
      <c r="BD495">
        <v>0</v>
      </c>
      <c r="BE495">
        <v>0</v>
      </c>
      <c r="BF495">
        <v>0</v>
      </c>
      <c r="BG495">
        <v>0</v>
      </c>
      <c r="BH495">
        <v>0</v>
      </c>
      <c r="BI495">
        <v>0</v>
      </c>
      <c r="BK495" s="151"/>
    </row>
    <row r="496" spans="1:63" x14ac:dyDescent="0.35">
      <c r="A496">
        <v>0</v>
      </c>
      <c r="B496">
        <v>0</v>
      </c>
      <c r="C496">
        <v>0</v>
      </c>
      <c r="D496">
        <v>0</v>
      </c>
      <c r="E496">
        <v>0</v>
      </c>
      <c r="F496">
        <v>0</v>
      </c>
      <c r="G496">
        <v>0</v>
      </c>
      <c r="H496">
        <v>0</v>
      </c>
      <c r="I496">
        <v>0</v>
      </c>
      <c r="J496">
        <v>0</v>
      </c>
      <c r="K496">
        <v>0</v>
      </c>
      <c r="L496">
        <v>0</v>
      </c>
      <c r="M496">
        <v>0</v>
      </c>
      <c r="N496">
        <v>0</v>
      </c>
      <c r="O496">
        <v>0</v>
      </c>
      <c r="P496">
        <v>0</v>
      </c>
      <c r="Q496">
        <v>0</v>
      </c>
      <c r="R496">
        <v>0</v>
      </c>
      <c r="S496">
        <v>0</v>
      </c>
      <c r="T496">
        <v>0</v>
      </c>
      <c r="U496">
        <v>0</v>
      </c>
      <c r="V496">
        <v>0</v>
      </c>
      <c r="W496">
        <v>0</v>
      </c>
      <c r="X496">
        <v>0</v>
      </c>
      <c r="Y496">
        <v>0</v>
      </c>
      <c r="Z496">
        <v>0</v>
      </c>
      <c r="AA496">
        <v>0</v>
      </c>
      <c r="AB496">
        <v>0</v>
      </c>
      <c r="AC496">
        <v>0</v>
      </c>
      <c r="AD496">
        <v>0</v>
      </c>
      <c r="AF496">
        <v>0</v>
      </c>
      <c r="AG496">
        <v>0</v>
      </c>
      <c r="AH496">
        <v>0</v>
      </c>
      <c r="AI496">
        <v>0</v>
      </c>
      <c r="AJ496">
        <v>0</v>
      </c>
      <c r="AK496">
        <v>0</v>
      </c>
      <c r="AL496">
        <v>0</v>
      </c>
      <c r="AM496">
        <v>0</v>
      </c>
      <c r="AN496">
        <v>0</v>
      </c>
      <c r="AO496">
        <v>0</v>
      </c>
      <c r="AP496">
        <v>0</v>
      </c>
      <c r="AQ496">
        <v>0</v>
      </c>
      <c r="AR496">
        <v>0</v>
      </c>
      <c r="AS496">
        <v>0</v>
      </c>
      <c r="AT496">
        <v>0</v>
      </c>
      <c r="AU496">
        <v>0</v>
      </c>
      <c r="AV496">
        <v>0</v>
      </c>
      <c r="AW496">
        <v>0</v>
      </c>
      <c r="AX496">
        <v>0</v>
      </c>
      <c r="AY496">
        <v>0</v>
      </c>
      <c r="AZ496">
        <v>0</v>
      </c>
      <c r="BA496">
        <v>0</v>
      </c>
      <c r="BB496">
        <v>0</v>
      </c>
      <c r="BC496">
        <v>0</v>
      </c>
      <c r="BD496">
        <v>0</v>
      </c>
      <c r="BE496">
        <v>0</v>
      </c>
      <c r="BF496">
        <v>0</v>
      </c>
      <c r="BG496">
        <v>0</v>
      </c>
      <c r="BH496">
        <v>0</v>
      </c>
      <c r="BI496">
        <v>0</v>
      </c>
      <c r="BK496" s="151"/>
    </row>
    <row r="497" spans="1:63" x14ac:dyDescent="0.35">
      <c r="A497">
        <v>0</v>
      </c>
      <c r="B497">
        <v>0</v>
      </c>
      <c r="C497">
        <v>0</v>
      </c>
      <c r="D497">
        <v>0</v>
      </c>
      <c r="E497">
        <v>0</v>
      </c>
      <c r="F497">
        <v>0</v>
      </c>
      <c r="G497">
        <v>0</v>
      </c>
      <c r="H497">
        <v>0</v>
      </c>
      <c r="I497">
        <v>0</v>
      </c>
      <c r="J497">
        <v>0</v>
      </c>
      <c r="K497">
        <v>0</v>
      </c>
      <c r="L497">
        <v>0</v>
      </c>
      <c r="M497">
        <v>0</v>
      </c>
      <c r="N497">
        <v>0</v>
      </c>
      <c r="O497">
        <v>0</v>
      </c>
      <c r="P497">
        <v>0</v>
      </c>
      <c r="Q497">
        <v>0</v>
      </c>
      <c r="R497">
        <v>0</v>
      </c>
      <c r="S497">
        <v>0</v>
      </c>
      <c r="T497">
        <v>0</v>
      </c>
      <c r="U497">
        <v>0</v>
      </c>
      <c r="V497">
        <v>0</v>
      </c>
      <c r="W497">
        <v>0</v>
      </c>
      <c r="X497">
        <v>0</v>
      </c>
      <c r="Y497">
        <v>0</v>
      </c>
      <c r="Z497">
        <v>0</v>
      </c>
      <c r="AA497">
        <v>0</v>
      </c>
      <c r="AB497">
        <v>0</v>
      </c>
      <c r="AC497">
        <v>0</v>
      </c>
      <c r="AD497">
        <v>0</v>
      </c>
      <c r="AF497">
        <v>0</v>
      </c>
      <c r="AG497">
        <v>0</v>
      </c>
      <c r="AH497">
        <v>0</v>
      </c>
      <c r="AI497">
        <v>0</v>
      </c>
      <c r="AJ497">
        <v>0</v>
      </c>
      <c r="AK497">
        <v>0</v>
      </c>
      <c r="AL497">
        <v>0</v>
      </c>
      <c r="AM497">
        <v>0</v>
      </c>
      <c r="AN497">
        <v>0</v>
      </c>
      <c r="AO497">
        <v>0</v>
      </c>
      <c r="AP497">
        <v>0</v>
      </c>
      <c r="AQ497">
        <v>0</v>
      </c>
      <c r="AR497">
        <v>0</v>
      </c>
      <c r="AS497">
        <v>0</v>
      </c>
      <c r="AT497">
        <v>0</v>
      </c>
      <c r="AU497">
        <v>0</v>
      </c>
      <c r="AV497">
        <v>0</v>
      </c>
      <c r="AW497">
        <v>0</v>
      </c>
      <c r="AX497">
        <v>0</v>
      </c>
      <c r="AY497">
        <v>0</v>
      </c>
      <c r="AZ497">
        <v>0</v>
      </c>
      <c r="BA497">
        <v>0</v>
      </c>
      <c r="BB497">
        <v>0</v>
      </c>
      <c r="BC497">
        <v>0</v>
      </c>
      <c r="BD497">
        <v>0</v>
      </c>
      <c r="BE497">
        <v>0</v>
      </c>
      <c r="BF497">
        <v>0</v>
      </c>
      <c r="BG497">
        <v>0</v>
      </c>
      <c r="BH497">
        <v>0</v>
      </c>
      <c r="BI497">
        <v>0</v>
      </c>
      <c r="BK497" s="151"/>
    </row>
    <row r="498" spans="1:63" x14ac:dyDescent="0.35">
      <c r="A498">
        <v>0</v>
      </c>
      <c r="B498">
        <v>0</v>
      </c>
      <c r="C498">
        <v>0</v>
      </c>
      <c r="D498">
        <v>0</v>
      </c>
      <c r="E498">
        <v>0</v>
      </c>
      <c r="F498">
        <v>0</v>
      </c>
      <c r="G498">
        <v>0</v>
      </c>
      <c r="H498">
        <v>0</v>
      </c>
      <c r="I498">
        <v>0</v>
      </c>
      <c r="J498">
        <v>0</v>
      </c>
      <c r="K498">
        <v>0</v>
      </c>
      <c r="L498">
        <v>0</v>
      </c>
      <c r="M498">
        <v>0</v>
      </c>
      <c r="N498">
        <v>0</v>
      </c>
      <c r="O498">
        <v>0</v>
      </c>
      <c r="P498">
        <v>0</v>
      </c>
      <c r="Q498">
        <v>0</v>
      </c>
      <c r="R498">
        <v>0</v>
      </c>
      <c r="S498">
        <v>0</v>
      </c>
      <c r="T498">
        <v>0</v>
      </c>
      <c r="U498">
        <v>0</v>
      </c>
      <c r="V498">
        <v>0</v>
      </c>
      <c r="W498">
        <v>0</v>
      </c>
      <c r="X498">
        <v>0</v>
      </c>
      <c r="Y498">
        <v>0</v>
      </c>
      <c r="Z498">
        <v>0</v>
      </c>
      <c r="AA498">
        <v>0</v>
      </c>
      <c r="AB498">
        <v>0</v>
      </c>
      <c r="AC498">
        <v>0</v>
      </c>
      <c r="AD498">
        <v>0</v>
      </c>
      <c r="AF498">
        <v>0</v>
      </c>
      <c r="AG498">
        <v>0</v>
      </c>
      <c r="AH498">
        <v>0</v>
      </c>
      <c r="AI498">
        <v>0</v>
      </c>
      <c r="AJ498">
        <v>0</v>
      </c>
      <c r="AK498">
        <v>0</v>
      </c>
      <c r="AL498">
        <v>0</v>
      </c>
      <c r="AM498">
        <v>0</v>
      </c>
      <c r="AN498">
        <v>0</v>
      </c>
      <c r="AO498">
        <v>0</v>
      </c>
      <c r="AP498">
        <v>0</v>
      </c>
      <c r="AQ498">
        <v>0</v>
      </c>
      <c r="AR498">
        <v>0</v>
      </c>
      <c r="AS498">
        <v>0</v>
      </c>
      <c r="AT498">
        <v>0</v>
      </c>
      <c r="AU498">
        <v>0</v>
      </c>
      <c r="AV498">
        <v>0</v>
      </c>
      <c r="AW498">
        <v>0</v>
      </c>
      <c r="AX498">
        <v>0</v>
      </c>
      <c r="AY498">
        <v>0</v>
      </c>
      <c r="AZ498">
        <v>0</v>
      </c>
      <c r="BA498">
        <v>0</v>
      </c>
      <c r="BB498">
        <v>0</v>
      </c>
      <c r="BC498">
        <v>0</v>
      </c>
      <c r="BD498">
        <v>0</v>
      </c>
      <c r="BE498">
        <v>0</v>
      </c>
      <c r="BF498">
        <v>0</v>
      </c>
      <c r="BG498">
        <v>0</v>
      </c>
      <c r="BH498">
        <v>0</v>
      </c>
      <c r="BI498">
        <v>0</v>
      </c>
      <c r="BK498" s="151"/>
    </row>
    <row r="499" spans="1:63" x14ac:dyDescent="0.35">
      <c r="A499">
        <v>0</v>
      </c>
      <c r="B499">
        <v>0</v>
      </c>
      <c r="C499">
        <v>0</v>
      </c>
      <c r="D499">
        <v>0</v>
      </c>
      <c r="E499">
        <v>0</v>
      </c>
      <c r="F499">
        <v>0</v>
      </c>
      <c r="G499">
        <v>0</v>
      </c>
      <c r="H499">
        <v>0</v>
      </c>
      <c r="I499">
        <v>0</v>
      </c>
      <c r="J499">
        <v>0</v>
      </c>
      <c r="K499">
        <v>0</v>
      </c>
      <c r="L499">
        <v>0</v>
      </c>
      <c r="M499">
        <v>0</v>
      </c>
      <c r="N499">
        <v>0</v>
      </c>
      <c r="O499">
        <v>0</v>
      </c>
      <c r="P499">
        <v>0</v>
      </c>
      <c r="Q499">
        <v>0</v>
      </c>
      <c r="R499">
        <v>0</v>
      </c>
      <c r="S499">
        <v>0</v>
      </c>
      <c r="T499">
        <v>0</v>
      </c>
      <c r="U499">
        <v>0</v>
      </c>
      <c r="V499">
        <v>0</v>
      </c>
      <c r="W499">
        <v>0</v>
      </c>
      <c r="X499">
        <v>0</v>
      </c>
      <c r="Y499">
        <v>0</v>
      </c>
      <c r="Z499">
        <v>0</v>
      </c>
      <c r="AA499">
        <v>0</v>
      </c>
      <c r="AB499">
        <v>0</v>
      </c>
      <c r="AC499">
        <v>0</v>
      </c>
      <c r="AD499">
        <v>0</v>
      </c>
      <c r="AF499">
        <v>0</v>
      </c>
      <c r="AG499">
        <v>0</v>
      </c>
      <c r="AH499">
        <v>0</v>
      </c>
      <c r="AI499">
        <v>0</v>
      </c>
      <c r="AJ499">
        <v>0</v>
      </c>
      <c r="AK499">
        <v>0</v>
      </c>
      <c r="AL499">
        <v>0</v>
      </c>
      <c r="AM499">
        <v>0</v>
      </c>
      <c r="AN499">
        <v>0</v>
      </c>
      <c r="AO499">
        <v>0</v>
      </c>
      <c r="AP499">
        <v>0</v>
      </c>
      <c r="AQ499">
        <v>0</v>
      </c>
      <c r="AR499">
        <v>0</v>
      </c>
      <c r="AS499">
        <v>0</v>
      </c>
      <c r="AT499">
        <v>0</v>
      </c>
      <c r="AU499">
        <v>0</v>
      </c>
      <c r="AV499">
        <v>0</v>
      </c>
      <c r="AW499">
        <v>0</v>
      </c>
      <c r="AX499">
        <v>0</v>
      </c>
      <c r="AY499">
        <v>0</v>
      </c>
      <c r="AZ499">
        <v>0</v>
      </c>
      <c r="BA499">
        <v>0</v>
      </c>
      <c r="BB499">
        <v>0</v>
      </c>
      <c r="BC499">
        <v>0</v>
      </c>
      <c r="BD499">
        <v>0</v>
      </c>
      <c r="BE499">
        <v>0</v>
      </c>
      <c r="BF499">
        <v>0</v>
      </c>
      <c r="BG499">
        <v>0</v>
      </c>
      <c r="BH499">
        <v>0</v>
      </c>
      <c r="BI499">
        <v>0</v>
      </c>
      <c r="BK499" s="151"/>
    </row>
    <row r="500" spans="1:63" x14ac:dyDescent="0.35">
      <c r="A500">
        <v>0</v>
      </c>
      <c r="B500">
        <v>0</v>
      </c>
      <c r="C500">
        <v>0</v>
      </c>
      <c r="D500">
        <v>0</v>
      </c>
      <c r="E500">
        <v>0</v>
      </c>
      <c r="F500">
        <v>0</v>
      </c>
      <c r="G500">
        <v>0</v>
      </c>
      <c r="H500">
        <v>0</v>
      </c>
      <c r="I500">
        <v>0</v>
      </c>
      <c r="J500">
        <v>0</v>
      </c>
      <c r="K500">
        <v>0</v>
      </c>
      <c r="L500">
        <v>0</v>
      </c>
      <c r="M500">
        <v>0</v>
      </c>
      <c r="N500">
        <v>0</v>
      </c>
      <c r="O500">
        <v>0</v>
      </c>
      <c r="P500">
        <v>0</v>
      </c>
      <c r="Q500">
        <v>0</v>
      </c>
      <c r="R500">
        <v>0</v>
      </c>
      <c r="S500">
        <v>0</v>
      </c>
      <c r="T500">
        <v>0</v>
      </c>
      <c r="U500">
        <v>0</v>
      </c>
      <c r="V500">
        <v>0</v>
      </c>
      <c r="W500">
        <v>0</v>
      </c>
      <c r="X500">
        <v>0</v>
      </c>
      <c r="Y500">
        <v>0</v>
      </c>
      <c r="Z500">
        <v>0</v>
      </c>
      <c r="AA500">
        <v>0</v>
      </c>
      <c r="AB500">
        <v>0</v>
      </c>
      <c r="AC500">
        <v>0</v>
      </c>
      <c r="AD500">
        <v>0</v>
      </c>
      <c r="AF500">
        <v>0</v>
      </c>
      <c r="AG500">
        <v>0</v>
      </c>
      <c r="AH500">
        <v>0</v>
      </c>
      <c r="AI500">
        <v>0</v>
      </c>
      <c r="AJ500">
        <v>0</v>
      </c>
      <c r="AK500">
        <v>0</v>
      </c>
      <c r="AL500">
        <v>0</v>
      </c>
      <c r="AM500">
        <v>0</v>
      </c>
      <c r="AN500">
        <v>0</v>
      </c>
      <c r="AO500">
        <v>0</v>
      </c>
      <c r="AP500">
        <v>0</v>
      </c>
      <c r="AQ500">
        <v>0</v>
      </c>
      <c r="AR500">
        <v>0</v>
      </c>
      <c r="AS500">
        <v>0</v>
      </c>
      <c r="AT500">
        <v>0</v>
      </c>
      <c r="AU500">
        <v>0</v>
      </c>
      <c r="AV500">
        <v>0</v>
      </c>
      <c r="AW500">
        <v>0</v>
      </c>
      <c r="AX500">
        <v>0</v>
      </c>
      <c r="AY500">
        <v>0</v>
      </c>
      <c r="AZ500">
        <v>0</v>
      </c>
      <c r="BA500">
        <v>0</v>
      </c>
      <c r="BB500">
        <v>0</v>
      </c>
      <c r="BC500">
        <v>0</v>
      </c>
      <c r="BD500">
        <v>0</v>
      </c>
      <c r="BE500">
        <v>0</v>
      </c>
      <c r="BF500">
        <v>0</v>
      </c>
      <c r="BG500">
        <v>0</v>
      </c>
      <c r="BH500">
        <v>0</v>
      </c>
      <c r="BI500">
        <v>0</v>
      </c>
      <c r="BK500" s="151"/>
    </row>
    <row r="501" spans="1:63" x14ac:dyDescent="0.35">
      <c r="A501">
        <v>0</v>
      </c>
      <c r="B501">
        <v>0</v>
      </c>
      <c r="C501">
        <v>0</v>
      </c>
      <c r="D501">
        <v>0</v>
      </c>
      <c r="E501">
        <v>0</v>
      </c>
      <c r="F501">
        <v>0</v>
      </c>
      <c r="G501">
        <v>0</v>
      </c>
      <c r="H501">
        <v>0</v>
      </c>
      <c r="I501">
        <v>0</v>
      </c>
      <c r="J501">
        <v>0</v>
      </c>
      <c r="K501">
        <v>0</v>
      </c>
      <c r="L501">
        <v>0</v>
      </c>
      <c r="M501">
        <v>0</v>
      </c>
      <c r="N501">
        <v>0</v>
      </c>
      <c r="O501">
        <v>0</v>
      </c>
      <c r="P501">
        <v>0</v>
      </c>
      <c r="Q501">
        <v>0</v>
      </c>
      <c r="R501">
        <v>0</v>
      </c>
      <c r="S501">
        <v>0</v>
      </c>
      <c r="T501">
        <v>0</v>
      </c>
      <c r="U501">
        <v>0</v>
      </c>
      <c r="V501">
        <v>0</v>
      </c>
      <c r="W501">
        <v>0</v>
      </c>
      <c r="X501">
        <v>0</v>
      </c>
      <c r="Y501">
        <v>0</v>
      </c>
      <c r="Z501">
        <v>0</v>
      </c>
      <c r="AA501">
        <v>0</v>
      </c>
      <c r="AB501">
        <v>0</v>
      </c>
      <c r="AC501">
        <v>0</v>
      </c>
      <c r="AD501">
        <v>0</v>
      </c>
      <c r="AF501">
        <v>0</v>
      </c>
      <c r="AG501">
        <v>0</v>
      </c>
      <c r="AH501">
        <v>0</v>
      </c>
      <c r="AI501">
        <v>0</v>
      </c>
      <c r="AJ501">
        <v>0</v>
      </c>
      <c r="AK501">
        <v>0</v>
      </c>
      <c r="AL501">
        <v>0</v>
      </c>
      <c r="AM501">
        <v>0</v>
      </c>
      <c r="AN501">
        <v>0</v>
      </c>
      <c r="AO501">
        <v>0</v>
      </c>
      <c r="AP501">
        <v>0</v>
      </c>
      <c r="AQ501">
        <v>0</v>
      </c>
      <c r="AR501">
        <v>0</v>
      </c>
      <c r="AS501">
        <v>0</v>
      </c>
      <c r="AT501">
        <v>0</v>
      </c>
      <c r="AU501">
        <v>0</v>
      </c>
      <c r="AV501">
        <v>0</v>
      </c>
      <c r="AW501">
        <v>0</v>
      </c>
      <c r="AX501">
        <v>0</v>
      </c>
      <c r="AY501">
        <v>0</v>
      </c>
      <c r="AZ501">
        <v>0</v>
      </c>
      <c r="BA501">
        <v>0</v>
      </c>
      <c r="BB501">
        <v>0</v>
      </c>
      <c r="BC501">
        <v>0</v>
      </c>
      <c r="BD501">
        <v>0</v>
      </c>
      <c r="BE501">
        <v>0</v>
      </c>
      <c r="BF501">
        <v>0</v>
      </c>
      <c r="BG501">
        <v>0</v>
      </c>
      <c r="BH501">
        <v>0</v>
      </c>
      <c r="BI501">
        <v>0</v>
      </c>
      <c r="BK501" s="151"/>
    </row>
    <row r="502" spans="1:63" x14ac:dyDescent="0.35">
      <c r="A502">
        <v>0</v>
      </c>
      <c r="B502">
        <v>0</v>
      </c>
      <c r="C502">
        <v>0</v>
      </c>
      <c r="D502">
        <v>0</v>
      </c>
      <c r="E502">
        <v>0</v>
      </c>
      <c r="F502">
        <v>0</v>
      </c>
      <c r="G502">
        <v>0</v>
      </c>
      <c r="H502">
        <v>0</v>
      </c>
      <c r="I502">
        <v>0</v>
      </c>
      <c r="J502">
        <v>0</v>
      </c>
      <c r="K502">
        <v>0</v>
      </c>
      <c r="L502">
        <v>0</v>
      </c>
      <c r="M502">
        <v>0</v>
      </c>
      <c r="N502">
        <v>0</v>
      </c>
      <c r="O502">
        <v>0</v>
      </c>
      <c r="P502">
        <v>0</v>
      </c>
      <c r="Q502">
        <v>0</v>
      </c>
      <c r="R502">
        <v>0</v>
      </c>
      <c r="S502">
        <v>0</v>
      </c>
      <c r="T502">
        <v>0</v>
      </c>
      <c r="U502">
        <v>0</v>
      </c>
      <c r="V502">
        <v>0</v>
      </c>
      <c r="W502">
        <v>0</v>
      </c>
      <c r="X502">
        <v>0</v>
      </c>
      <c r="Y502">
        <v>0</v>
      </c>
      <c r="Z502">
        <v>0</v>
      </c>
      <c r="AA502">
        <v>0</v>
      </c>
      <c r="AB502">
        <v>0</v>
      </c>
      <c r="AC502">
        <v>0</v>
      </c>
      <c r="AD502">
        <v>0</v>
      </c>
      <c r="AF502">
        <v>0</v>
      </c>
      <c r="AG502">
        <v>0</v>
      </c>
      <c r="AH502">
        <v>0</v>
      </c>
      <c r="AI502">
        <v>0</v>
      </c>
      <c r="AJ502">
        <v>0</v>
      </c>
      <c r="AK502">
        <v>0</v>
      </c>
      <c r="AL502">
        <v>0</v>
      </c>
      <c r="AM502">
        <v>0</v>
      </c>
      <c r="AN502">
        <v>0</v>
      </c>
      <c r="AO502">
        <v>0</v>
      </c>
      <c r="AP502">
        <v>0</v>
      </c>
      <c r="AQ502">
        <v>0</v>
      </c>
      <c r="AR502">
        <v>0</v>
      </c>
      <c r="AS502">
        <v>0</v>
      </c>
      <c r="AT502">
        <v>0</v>
      </c>
      <c r="AU502">
        <v>0</v>
      </c>
      <c r="AV502">
        <v>0</v>
      </c>
      <c r="AW502">
        <v>0</v>
      </c>
      <c r="AX502">
        <v>0</v>
      </c>
      <c r="AY502">
        <v>0</v>
      </c>
      <c r="AZ502">
        <v>0</v>
      </c>
      <c r="BA502">
        <v>0</v>
      </c>
      <c r="BB502">
        <v>0</v>
      </c>
      <c r="BC502">
        <v>0</v>
      </c>
      <c r="BD502">
        <v>0</v>
      </c>
      <c r="BE502">
        <v>0</v>
      </c>
      <c r="BF502">
        <v>0</v>
      </c>
      <c r="BG502">
        <v>0</v>
      </c>
      <c r="BH502">
        <v>0</v>
      </c>
      <c r="BI502">
        <v>0</v>
      </c>
      <c r="BK502" s="151"/>
    </row>
    <row r="503" spans="1:63" x14ac:dyDescent="0.35">
      <c r="A503">
        <v>0</v>
      </c>
      <c r="B503">
        <v>0</v>
      </c>
      <c r="C503">
        <v>0</v>
      </c>
      <c r="D503">
        <v>0</v>
      </c>
      <c r="E503">
        <v>0</v>
      </c>
      <c r="F503">
        <v>0</v>
      </c>
      <c r="G503">
        <v>0</v>
      </c>
      <c r="H503">
        <v>0</v>
      </c>
      <c r="I503">
        <v>0</v>
      </c>
      <c r="J503">
        <v>0</v>
      </c>
      <c r="K503">
        <v>0</v>
      </c>
      <c r="L503">
        <v>0</v>
      </c>
      <c r="M503">
        <v>0</v>
      </c>
      <c r="N503">
        <v>0</v>
      </c>
      <c r="O503">
        <v>0</v>
      </c>
      <c r="P503">
        <v>0</v>
      </c>
      <c r="Q503">
        <v>0</v>
      </c>
      <c r="R503">
        <v>0</v>
      </c>
      <c r="S503">
        <v>0</v>
      </c>
      <c r="T503">
        <v>0</v>
      </c>
      <c r="U503">
        <v>0</v>
      </c>
      <c r="V503">
        <v>0</v>
      </c>
      <c r="W503">
        <v>0</v>
      </c>
      <c r="X503">
        <v>0</v>
      </c>
      <c r="Y503">
        <v>0</v>
      </c>
      <c r="Z503">
        <v>0</v>
      </c>
      <c r="AA503">
        <v>0</v>
      </c>
      <c r="AB503">
        <v>0</v>
      </c>
      <c r="AC503">
        <v>0</v>
      </c>
      <c r="AD503">
        <v>0</v>
      </c>
      <c r="AF503">
        <v>0</v>
      </c>
      <c r="AG503">
        <v>0</v>
      </c>
      <c r="AH503">
        <v>0</v>
      </c>
      <c r="AI503">
        <v>0</v>
      </c>
      <c r="AJ503">
        <v>0</v>
      </c>
      <c r="AK503">
        <v>0</v>
      </c>
      <c r="AL503">
        <v>0</v>
      </c>
      <c r="AM503">
        <v>0</v>
      </c>
      <c r="AN503">
        <v>0</v>
      </c>
      <c r="AO503">
        <v>0</v>
      </c>
      <c r="AP503">
        <v>0</v>
      </c>
      <c r="AQ503">
        <v>0</v>
      </c>
      <c r="AR503">
        <v>0</v>
      </c>
      <c r="AS503">
        <v>0</v>
      </c>
      <c r="AT503">
        <v>0</v>
      </c>
      <c r="AU503">
        <v>0</v>
      </c>
      <c r="AV503">
        <v>0</v>
      </c>
      <c r="AW503">
        <v>0</v>
      </c>
      <c r="AX503">
        <v>0</v>
      </c>
      <c r="AY503">
        <v>0</v>
      </c>
      <c r="AZ503">
        <v>0</v>
      </c>
      <c r="BA503">
        <v>0</v>
      </c>
      <c r="BB503">
        <v>0</v>
      </c>
      <c r="BC503">
        <v>0</v>
      </c>
      <c r="BD503">
        <v>0</v>
      </c>
      <c r="BE503">
        <v>0</v>
      </c>
      <c r="BF503">
        <v>0</v>
      </c>
      <c r="BG503">
        <v>0</v>
      </c>
      <c r="BH503">
        <v>0</v>
      </c>
      <c r="BI503">
        <v>0</v>
      </c>
      <c r="BK503" s="151"/>
    </row>
    <row r="504" spans="1:63" x14ac:dyDescent="0.35">
      <c r="A504">
        <v>0</v>
      </c>
      <c r="B504">
        <v>0</v>
      </c>
      <c r="C504">
        <v>0</v>
      </c>
      <c r="D504">
        <v>0</v>
      </c>
      <c r="E504">
        <v>0</v>
      </c>
      <c r="F504">
        <v>0</v>
      </c>
      <c r="G504">
        <v>0</v>
      </c>
      <c r="H504">
        <v>0</v>
      </c>
      <c r="I504">
        <v>0</v>
      </c>
      <c r="J504">
        <v>0</v>
      </c>
      <c r="K504">
        <v>0</v>
      </c>
      <c r="L504">
        <v>0</v>
      </c>
      <c r="M504">
        <v>0</v>
      </c>
      <c r="N504">
        <v>0</v>
      </c>
      <c r="O504">
        <v>0</v>
      </c>
      <c r="P504">
        <v>0</v>
      </c>
      <c r="Q504">
        <v>0</v>
      </c>
      <c r="R504">
        <v>0</v>
      </c>
      <c r="S504">
        <v>0</v>
      </c>
      <c r="T504">
        <v>0</v>
      </c>
      <c r="U504">
        <v>0</v>
      </c>
      <c r="V504">
        <v>0</v>
      </c>
      <c r="W504">
        <v>0</v>
      </c>
      <c r="X504">
        <v>0</v>
      </c>
      <c r="Y504">
        <v>0</v>
      </c>
      <c r="Z504">
        <v>0</v>
      </c>
      <c r="AA504">
        <v>0</v>
      </c>
      <c r="AB504">
        <v>0</v>
      </c>
      <c r="AC504">
        <v>0</v>
      </c>
      <c r="AD504">
        <v>0</v>
      </c>
      <c r="AF504">
        <v>0</v>
      </c>
      <c r="AG504">
        <v>0</v>
      </c>
      <c r="AH504">
        <v>0</v>
      </c>
      <c r="AI504">
        <v>0</v>
      </c>
      <c r="AJ504">
        <v>0</v>
      </c>
      <c r="AK504">
        <v>0</v>
      </c>
      <c r="AL504">
        <v>0</v>
      </c>
      <c r="AM504">
        <v>0</v>
      </c>
      <c r="AN504">
        <v>0</v>
      </c>
      <c r="AO504">
        <v>0</v>
      </c>
      <c r="AP504">
        <v>0</v>
      </c>
      <c r="AQ504">
        <v>0</v>
      </c>
      <c r="AR504">
        <v>0</v>
      </c>
      <c r="AS504">
        <v>0</v>
      </c>
      <c r="AT504">
        <v>0</v>
      </c>
      <c r="AU504">
        <v>0</v>
      </c>
      <c r="AV504">
        <v>0</v>
      </c>
      <c r="AW504">
        <v>0</v>
      </c>
      <c r="AX504">
        <v>0</v>
      </c>
      <c r="AY504">
        <v>0</v>
      </c>
      <c r="AZ504">
        <v>0</v>
      </c>
      <c r="BA504">
        <v>0</v>
      </c>
      <c r="BB504">
        <v>0</v>
      </c>
      <c r="BC504">
        <v>0</v>
      </c>
      <c r="BD504">
        <v>0</v>
      </c>
      <c r="BE504">
        <v>0</v>
      </c>
      <c r="BF504">
        <v>0</v>
      </c>
      <c r="BG504">
        <v>0</v>
      </c>
      <c r="BH504">
        <v>0</v>
      </c>
      <c r="BI504">
        <v>0</v>
      </c>
      <c r="BK504" s="151"/>
    </row>
    <row r="505" spans="1:63" x14ac:dyDescent="0.35">
      <c r="A505">
        <v>0</v>
      </c>
      <c r="B505">
        <v>0</v>
      </c>
      <c r="C505">
        <v>0</v>
      </c>
      <c r="D505">
        <v>0</v>
      </c>
      <c r="E505">
        <v>0</v>
      </c>
      <c r="F505">
        <v>0</v>
      </c>
      <c r="G505">
        <v>0</v>
      </c>
      <c r="H505">
        <v>0</v>
      </c>
      <c r="I505">
        <v>0</v>
      </c>
      <c r="J505">
        <v>0</v>
      </c>
      <c r="K505">
        <v>0</v>
      </c>
      <c r="L505">
        <v>0</v>
      </c>
      <c r="M505">
        <v>0</v>
      </c>
      <c r="N505">
        <v>0</v>
      </c>
      <c r="O505">
        <v>0</v>
      </c>
      <c r="P505">
        <v>0</v>
      </c>
      <c r="Q505">
        <v>0</v>
      </c>
      <c r="R505">
        <v>0</v>
      </c>
      <c r="S505">
        <v>0</v>
      </c>
      <c r="T505">
        <v>0</v>
      </c>
      <c r="U505">
        <v>0</v>
      </c>
      <c r="V505">
        <v>0</v>
      </c>
      <c r="W505">
        <v>0</v>
      </c>
      <c r="X505">
        <v>0</v>
      </c>
      <c r="Y505">
        <v>0</v>
      </c>
      <c r="Z505">
        <v>0</v>
      </c>
      <c r="AA505">
        <v>0</v>
      </c>
      <c r="AB505">
        <v>0</v>
      </c>
      <c r="AC505">
        <v>0</v>
      </c>
      <c r="AD505">
        <v>0</v>
      </c>
      <c r="AF505">
        <v>0</v>
      </c>
      <c r="AG505">
        <v>0</v>
      </c>
      <c r="AH505">
        <v>0</v>
      </c>
      <c r="AI505">
        <v>0</v>
      </c>
      <c r="AJ505">
        <v>0</v>
      </c>
      <c r="AK505">
        <v>0</v>
      </c>
      <c r="AL505">
        <v>0</v>
      </c>
      <c r="AM505">
        <v>0</v>
      </c>
      <c r="AN505">
        <v>0</v>
      </c>
      <c r="AO505">
        <v>0</v>
      </c>
      <c r="AP505">
        <v>0</v>
      </c>
      <c r="AQ505">
        <v>0</v>
      </c>
      <c r="AR505">
        <v>0</v>
      </c>
      <c r="AS505">
        <v>0</v>
      </c>
      <c r="AT505">
        <v>0</v>
      </c>
      <c r="AU505">
        <v>0</v>
      </c>
      <c r="AV505">
        <v>0</v>
      </c>
      <c r="AW505">
        <v>0</v>
      </c>
      <c r="AX505">
        <v>0</v>
      </c>
      <c r="AY505">
        <v>0</v>
      </c>
      <c r="AZ505">
        <v>0</v>
      </c>
      <c r="BA505">
        <v>0</v>
      </c>
      <c r="BB505">
        <v>0</v>
      </c>
      <c r="BC505">
        <v>0</v>
      </c>
      <c r="BD505">
        <v>0</v>
      </c>
      <c r="BE505">
        <v>0</v>
      </c>
      <c r="BF505">
        <v>0</v>
      </c>
      <c r="BG505">
        <v>0</v>
      </c>
      <c r="BH505">
        <v>0</v>
      </c>
      <c r="BI505">
        <v>0</v>
      </c>
      <c r="BK505" s="151"/>
    </row>
    <row r="506" spans="1:63" x14ac:dyDescent="0.35">
      <c r="A506">
        <v>0</v>
      </c>
      <c r="B506">
        <v>0</v>
      </c>
      <c r="C506">
        <v>0</v>
      </c>
      <c r="D506">
        <v>0</v>
      </c>
      <c r="E506">
        <v>0</v>
      </c>
      <c r="F506">
        <v>0</v>
      </c>
      <c r="G506">
        <v>0</v>
      </c>
      <c r="H506">
        <v>0</v>
      </c>
      <c r="I506">
        <v>0</v>
      </c>
      <c r="J506">
        <v>0</v>
      </c>
      <c r="K506">
        <v>0</v>
      </c>
      <c r="L506">
        <v>0</v>
      </c>
      <c r="M506">
        <v>0</v>
      </c>
      <c r="N506">
        <v>0</v>
      </c>
      <c r="O506">
        <v>0</v>
      </c>
      <c r="P506">
        <v>0</v>
      </c>
      <c r="Q506">
        <v>0</v>
      </c>
      <c r="R506">
        <v>0</v>
      </c>
      <c r="S506">
        <v>0</v>
      </c>
      <c r="T506">
        <v>0</v>
      </c>
      <c r="U506">
        <v>0</v>
      </c>
      <c r="V506">
        <v>0</v>
      </c>
      <c r="W506">
        <v>0</v>
      </c>
      <c r="X506">
        <v>0</v>
      </c>
      <c r="Y506">
        <v>0</v>
      </c>
      <c r="Z506">
        <v>0</v>
      </c>
      <c r="AA506">
        <v>0</v>
      </c>
      <c r="AB506">
        <v>0</v>
      </c>
      <c r="AC506">
        <v>0</v>
      </c>
      <c r="AD506">
        <v>0</v>
      </c>
      <c r="AF506">
        <v>0</v>
      </c>
      <c r="AG506">
        <v>0</v>
      </c>
      <c r="AH506">
        <v>0</v>
      </c>
      <c r="AI506">
        <v>0</v>
      </c>
      <c r="AJ506">
        <v>0</v>
      </c>
      <c r="AK506">
        <v>0</v>
      </c>
      <c r="AL506">
        <v>0</v>
      </c>
      <c r="AM506">
        <v>0</v>
      </c>
      <c r="AN506">
        <v>0</v>
      </c>
      <c r="AO506">
        <v>0</v>
      </c>
      <c r="AP506">
        <v>0</v>
      </c>
      <c r="AQ506">
        <v>0</v>
      </c>
      <c r="AR506">
        <v>0</v>
      </c>
      <c r="AS506">
        <v>0</v>
      </c>
      <c r="AT506">
        <v>0</v>
      </c>
      <c r="AU506">
        <v>0</v>
      </c>
      <c r="AV506">
        <v>0</v>
      </c>
      <c r="AW506">
        <v>0</v>
      </c>
      <c r="AX506">
        <v>0</v>
      </c>
      <c r="AY506">
        <v>0</v>
      </c>
      <c r="AZ506">
        <v>0</v>
      </c>
      <c r="BA506">
        <v>0</v>
      </c>
      <c r="BB506">
        <v>0</v>
      </c>
      <c r="BC506">
        <v>0</v>
      </c>
      <c r="BD506">
        <v>0</v>
      </c>
      <c r="BE506">
        <v>0</v>
      </c>
      <c r="BF506">
        <v>0</v>
      </c>
      <c r="BG506">
        <v>0</v>
      </c>
      <c r="BH506">
        <v>0</v>
      </c>
      <c r="BI506">
        <v>0</v>
      </c>
      <c r="BK506" s="151"/>
    </row>
    <row r="507" spans="1:63" x14ac:dyDescent="0.35">
      <c r="A507">
        <v>0</v>
      </c>
      <c r="B507">
        <v>0</v>
      </c>
      <c r="C507">
        <v>0</v>
      </c>
      <c r="D507">
        <v>0</v>
      </c>
      <c r="E507">
        <v>0</v>
      </c>
      <c r="F507">
        <v>0</v>
      </c>
      <c r="G507">
        <v>0</v>
      </c>
      <c r="H507">
        <v>0</v>
      </c>
      <c r="I507">
        <v>0</v>
      </c>
      <c r="J507">
        <v>0</v>
      </c>
      <c r="K507">
        <v>0</v>
      </c>
      <c r="L507">
        <v>0</v>
      </c>
      <c r="M507">
        <v>0</v>
      </c>
      <c r="N507">
        <v>0</v>
      </c>
      <c r="O507">
        <v>0</v>
      </c>
      <c r="P507">
        <v>0</v>
      </c>
      <c r="Q507">
        <v>0</v>
      </c>
      <c r="R507">
        <v>0</v>
      </c>
      <c r="S507">
        <v>0</v>
      </c>
      <c r="T507">
        <v>0</v>
      </c>
      <c r="U507">
        <v>0</v>
      </c>
      <c r="V507">
        <v>0</v>
      </c>
      <c r="W507">
        <v>0</v>
      </c>
      <c r="X507">
        <v>0</v>
      </c>
      <c r="Y507">
        <v>0</v>
      </c>
      <c r="Z507">
        <v>0</v>
      </c>
      <c r="AA507">
        <v>0</v>
      </c>
      <c r="AB507">
        <v>0</v>
      </c>
      <c r="AC507">
        <v>0</v>
      </c>
      <c r="AD507">
        <v>0</v>
      </c>
      <c r="AF507">
        <v>0</v>
      </c>
      <c r="AG507">
        <v>0</v>
      </c>
      <c r="AH507">
        <v>0</v>
      </c>
      <c r="AI507">
        <v>0</v>
      </c>
      <c r="AJ507">
        <v>0</v>
      </c>
      <c r="AK507">
        <v>0</v>
      </c>
      <c r="AL507">
        <v>0</v>
      </c>
      <c r="AM507">
        <v>0</v>
      </c>
      <c r="AN507">
        <v>0</v>
      </c>
      <c r="AO507">
        <v>0</v>
      </c>
      <c r="AP507">
        <v>0</v>
      </c>
      <c r="AQ507">
        <v>0</v>
      </c>
      <c r="AR507">
        <v>0</v>
      </c>
      <c r="AS507">
        <v>0</v>
      </c>
      <c r="AT507">
        <v>0</v>
      </c>
      <c r="AU507">
        <v>0</v>
      </c>
      <c r="AV507">
        <v>0</v>
      </c>
      <c r="AW507">
        <v>0</v>
      </c>
      <c r="AX507">
        <v>0</v>
      </c>
      <c r="AY507">
        <v>0</v>
      </c>
      <c r="AZ507">
        <v>0</v>
      </c>
      <c r="BA507">
        <v>0</v>
      </c>
      <c r="BB507">
        <v>0</v>
      </c>
      <c r="BC507">
        <v>0</v>
      </c>
      <c r="BD507">
        <v>0</v>
      </c>
      <c r="BE507">
        <v>0</v>
      </c>
      <c r="BF507">
        <v>0</v>
      </c>
      <c r="BG507">
        <v>0</v>
      </c>
      <c r="BH507">
        <v>0</v>
      </c>
      <c r="BI507">
        <v>0</v>
      </c>
      <c r="BK507" s="151"/>
    </row>
    <row r="508" spans="1:63" x14ac:dyDescent="0.35">
      <c r="A508">
        <v>0</v>
      </c>
      <c r="B508">
        <v>0</v>
      </c>
      <c r="C508">
        <v>0</v>
      </c>
      <c r="D508">
        <v>0</v>
      </c>
      <c r="E508">
        <v>0</v>
      </c>
      <c r="F508">
        <v>0</v>
      </c>
      <c r="G508">
        <v>0</v>
      </c>
      <c r="H508">
        <v>0</v>
      </c>
      <c r="I508">
        <v>0</v>
      </c>
      <c r="J508">
        <v>0</v>
      </c>
      <c r="K508">
        <v>0</v>
      </c>
      <c r="L508">
        <v>0</v>
      </c>
      <c r="M508">
        <v>0</v>
      </c>
      <c r="N508">
        <v>0</v>
      </c>
      <c r="O508">
        <v>0</v>
      </c>
      <c r="P508">
        <v>0</v>
      </c>
      <c r="Q508">
        <v>0</v>
      </c>
      <c r="R508">
        <v>0</v>
      </c>
      <c r="S508">
        <v>0</v>
      </c>
      <c r="T508">
        <v>0</v>
      </c>
      <c r="U508">
        <v>0</v>
      </c>
      <c r="V508">
        <v>0</v>
      </c>
      <c r="W508">
        <v>0</v>
      </c>
      <c r="X508">
        <v>0</v>
      </c>
      <c r="Y508">
        <v>0</v>
      </c>
      <c r="Z508">
        <v>0</v>
      </c>
      <c r="AA508">
        <v>0</v>
      </c>
      <c r="AB508">
        <v>0</v>
      </c>
      <c r="AC508">
        <v>0</v>
      </c>
      <c r="AD508">
        <v>0</v>
      </c>
      <c r="AF508">
        <v>0</v>
      </c>
      <c r="AG508">
        <v>0</v>
      </c>
      <c r="AH508">
        <v>0</v>
      </c>
      <c r="AI508">
        <v>0</v>
      </c>
      <c r="AJ508">
        <v>0</v>
      </c>
      <c r="AK508">
        <v>0</v>
      </c>
      <c r="AL508">
        <v>0</v>
      </c>
      <c r="AM508">
        <v>0</v>
      </c>
      <c r="AN508">
        <v>0</v>
      </c>
      <c r="AO508">
        <v>0</v>
      </c>
      <c r="AP508">
        <v>0</v>
      </c>
      <c r="AQ508">
        <v>0</v>
      </c>
      <c r="AR508">
        <v>0</v>
      </c>
      <c r="AS508">
        <v>0</v>
      </c>
      <c r="AT508">
        <v>0</v>
      </c>
      <c r="AU508">
        <v>0</v>
      </c>
      <c r="AV508">
        <v>0</v>
      </c>
      <c r="AW508">
        <v>0</v>
      </c>
      <c r="AX508">
        <v>0</v>
      </c>
      <c r="AY508">
        <v>0</v>
      </c>
      <c r="AZ508">
        <v>0</v>
      </c>
      <c r="BA508">
        <v>0</v>
      </c>
      <c r="BB508">
        <v>0</v>
      </c>
      <c r="BC508">
        <v>0</v>
      </c>
      <c r="BD508">
        <v>0</v>
      </c>
      <c r="BE508">
        <v>0</v>
      </c>
      <c r="BF508">
        <v>0</v>
      </c>
      <c r="BG508">
        <v>0</v>
      </c>
      <c r="BH508">
        <v>0</v>
      </c>
      <c r="BI508">
        <v>0</v>
      </c>
      <c r="BK508" s="151"/>
    </row>
    <row r="509" spans="1:63" x14ac:dyDescent="0.35">
      <c r="A509">
        <v>0</v>
      </c>
      <c r="B509">
        <v>0</v>
      </c>
      <c r="C509">
        <v>0</v>
      </c>
      <c r="D509">
        <v>0</v>
      </c>
      <c r="E509">
        <v>0</v>
      </c>
      <c r="F509">
        <v>0</v>
      </c>
      <c r="G509">
        <v>0</v>
      </c>
      <c r="H509">
        <v>0</v>
      </c>
      <c r="I509">
        <v>0</v>
      </c>
      <c r="J509">
        <v>0</v>
      </c>
      <c r="K509">
        <v>0</v>
      </c>
      <c r="L509">
        <v>0</v>
      </c>
      <c r="M509">
        <v>0</v>
      </c>
      <c r="N509">
        <v>0</v>
      </c>
      <c r="O509">
        <v>0</v>
      </c>
      <c r="P509">
        <v>0</v>
      </c>
      <c r="Q509">
        <v>0</v>
      </c>
      <c r="R509">
        <v>0</v>
      </c>
      <c r="S509">
        <v>0</v>
      </c>
      <c r="T509">
        <v>0</v>
      </c>
      <c r="U509">
        <v>0</v>
      </c>
      <c r="V509">
        <v>0</v>
      </c>
      <c r="W509">
        <v>0</v>
      </c>
      <c r="X509">
        <v>0</v>
      </c>
      <c r="Y509">
        <v>0</v>
      </c>
      <c r="Z509">
        <v>0</v>
      </c>
      <c r="AA509">
        <v>0</v>
      </c>
      <c r="AB509">
        <v>0</v>
      </c>
      <c r="AC509">
        <v>0</v>
      </c>
      <c r="AD509">
        <v>0</v>
      </c>
      <c r="AF509">
        <v>0</v>
      </c>
      <c r="AG509">
        <v>0</v>
      </c>
      <c r="AH509">
        <v>0</v>
      </c>
      <c r="AI509">
        <v>0</v>
      </c>
      <c r="AJ509">
        <v>0</v>
      </c>
      <c r="AK509">
        <v>0</v>
      </c>
      <c r="AL509">
        <v>0</v>
      </c>
      <c r="AM509">
        <v>0</v>
      </c>
      <c r="AN509">
        <v>0</v>
      </c>
      <c r="AO509">
        <v>0</v>
      </c>
      <c r="AP509">
        <v>0</v>
      </c>
      <c r="AQ509">
        <v>0</v>
      </c>
      <c r="AR509">
        <v>0</v>
      </c>
      <c r="AS509">
        <v>0</v>
      </c>
      <c r="AT509">
        <v>0</v>
      </c>
      <c r="AU509">
        <v>0</v>
      </c>
      <c r="AV509">
        <v>0</v>
      </c>
      <c r="AW509">
        <v>0</v>
      </c>
      <c r="AX509">
        <v>0</v>
      </c>
      <c r="AY509">
        <v>0</v>
      </c>
      <c r="AZ509">
        <v>0</v>
      </c>
      <c r="BA509">
        <v>0</v>
      </c>
      <c r="BB509">
        <v>0</v>
      </c>
      <c r="BC509">
        <v>0</v>
      </c>
      <c r="BD509">
        <v>0</v>
      </c>
      <c r="BE509">
        <v>0</v>
      </c>
      <c r="BF509">
        <v>0</v>
      </c>
      <c r="BG509">
        <v>0</v>
      </c>
      <c r="BH509">
        <v>0</v>
      </c>
      <c r="BI509">
        <v>0</v>
      </c>
      <c r="BK509" s="151"/>
    </row>
    <row r="510" spans="1:63" x14ac:dyDescent="0.35">
      <c r="A510">
        <v>0</v>
      </c>
      <c r="B510">
        <v>0</v>
      </c>
      <c r="C510">
        <v>0</v>
      </c>
      <c r="D510">
        <v>0</v>
      </c>
      <c r="E510">
        <v>0</v>
      </c>
      <c r="F510">
        <v>0</v>
      </c>
      <c r="G510">
        <v>0</v>
      </c>
      <c r="H510">
        <v>0</v>
      </c>
      <c r="I510">
        <v>0</v>
      </c>
      <c r="J510">
        <v>0</v>
      </c>
      <c r="K510">
        <v>0</v>
      </c>
      <c r="L510">
        <v>0</v>
      </c>
      <c r="M510">
        <v>0</v>
      </c>
      <c r="N510">
        <v>0</v>
      </c>
      <c r="O510">
        <v>0</v>
      </c>
      <c r="P510">
        <v>0</v>
      </c>
      <c r="Q510">
        <v>0</v>
      </c>
      <c r="R510">
        <v>0</v>
      </c>
      <c r="S510">
        <v>0</v>
      </c>
      <c r="T510">
        <v>0</v>
      </c>
      <c r="U510">
        <v>0</v>
      </c>
      <c r="V510">
        <v>0</v>
      </c>
      <c r="W510">
        <v>0</v>
      </c>
      <c r="X510">
        <v>0</v>
      </c>
      <c r="Y510">
        <v>0</v>
      </c>
      <c r="Z510">
        <v>0</v>
      </c>
      <c r="AA510">
        <v>0</v>
      </c>
      <c r="AB510">
        <v>0</v>
      </c>
      <c r="AC510">
        <v>0</v>
      </c>
      <c r="AD510">
        <v>0</v>
      </c>
      <c r="AF510">
        <v>0</v>
      </c>
      <c r="AG510">
        <v>0</v>
      </c>
      <c r="AH510">
        <v>0</v>
      </c>
      <c r="AI510">
        <v>0</v>
      </c>
      <c r="AJ510">
        <v>0</v>
      </c>
      <c r="AK510">
        <v>0</v>
      </c>
      <c r="AL510">
        <v>0</v>
      </c>
      <c r="AM510">
        <v>0</v>
      </c>
      <c r="AN510">
        <v>0</v>
      </c>
      <c r="AO510">
        <v>0</v>
      </c>
      <c r="AP510">
        <v>0</v>
      </c>
      <c r="AQ510">
        <v>0</v>
      </c>
      <c r="AR510">
        <v>0</v>
      </c>
      <c r="AS510">
        <v>0</v>
      </c>
      <c r="AT510">
        <v>0</v>
      </c>
      <c r="AU510">
        <v>0</v>
      </c>
      <c r="AV510">
        <v>0</v>
      </c>
      <c r="AW510">
        <v>0</v>
      </c>
      <c r="AX510">
        <v>0</v>
      </c>
      <c r="AY510">
        <v>0</v>
      </c>
      <c r="AZ510">
        <v>0</v>
      </c>
      <c r="BA510">
        <v>0</v>
      </c>
      <c r="BB510">
        <v>0</v>
      </c>
      <c r="BC510">
        <v>0</v>
      </c>
      <c r="BD510">
        <v>0</v>
      </c>
      <c r="BE510">
        <v>0</v>
      </c>
      <c r="BF510">
        <v>0</v>
      </c>
      <c r="BG510">
        <v>0</v>
      </c>
      <c r="BH510">
        <v>0</v>
      </c>
      <c r="BI510">
        <v>0</v>
      </c>
      <c r="BK510" s="151"/>
    </row>
    <row r="511" spans="1:63" x14ac:dyDescent="0.35">
      <c r="A511">
        <v>0</v>
      </c>
      <c r="B511">
        <v>0</v>
      </c>
      <c r="C511">
        <v>0</v>
      </c>
      <c r="D511">
        <v>0</v>
      </c>
      <c r="E511">
        <v>0</v>
      </c>
      <c r="F511">
        <v>0</v>
      </c>
      <c r="G511">
        <v>0</v>
      </c>
      <c r="H511">
        <v>0</v>
      </c>
      <c r="I511">
        <v>0</v>
      </c>
      <c r="J511">
        <v>0</v>
      </c>
      <c r="K511">
        <v>0</v>
      </c>
      <c r="L511">
        <v>0</v>
      </c>
      <c r="M511">
        <v>0</v>
      </c>
      <c r="N511">
        <v>0</v>
      </c>
      <c r="O511">
        <v>0</v>
      </c>
      <c r="P511">
        <v>0</v>
      </c>
      <c r="Q511">
        <v>0</v>
      </c>
      <c r="R511">
        <v>0</v>
      </c>
      <c r="S511">
        <v>0</v>
      </c>
      <c r="T511">
        <v>0</v>
      </c>
      <c r="U511">
        <v>0</v>
      </c>
      <c r="V511">
        <v>0</v>
      </c>
      <c r="W511">
        <v>0</v>
      </c>
      <c r="X511">
        <v>0</v>
      </c>
      <c r="Y511">
        <v>0</v>
      </c>
      <c r="Z511">
        <v>0</v>
      </c>
      <c r="AA511">
        <v>0</v>
      </c>
      <c r="AB511">
        <v>0</v>
      </c>
      <c r="AC511">
        <v>0</v>
      </c>
      <c r="AD511">
        <v>0</v>
      </c>
      <c r="AF511">
        <v>0</v>
      </c>
      <c r="AG511">
        <v>0</v>
      </c>
      <c r="AH511">
        <v>0</v>
      </c>
      <c r="AI511">
        <v>0</v>
      </c>
      <c r="AJ511">
        <v>0</v>
      </c>
      <c r="AK511">
        <v>0</v>
      </c>
      <c r="AL511">
        <v>0</v>
      </c>
      <c r="AM511">
        <v>0</v>
      </c>
      <c r="AN511">
        <v>0</v>
      </c>
      <c r="AO511">
        <v>0</v>
      </c>
      <c r="AP511">
        <v>0</v>
      </c>
      <c r="AQ511">
        <v>0</v>
      </c>
      <c r="AR511">
        <v>0</v>
      </c>
      <c r="AS511">
        <v>0</v>
      </c>
      <c r="AT511">
        <v>0</v>
      </c>
      <c r="AU511">
        <v>0</v>
      </c>
      <c r="AV511">
        <v>0</v>
      </c>
      <c r="AW511">
        <v>0</v>
      </c>
      <c r="AX511">
        <v>0</v>
      </c>
      <c r="AY511">
        <v>0</v>
      </c>
      <c r="AZ511">
        <v>0</v>
      </c>
      <c r="BA511">
        <v>0</v>
      </c>
      <c r="BB511">
        <v>0</v>
      </c>
      <c r="BC511">
        <v>0</v>
      </c>
      <c r="BD511">
        <v>0</v>
      </c>
      <c r="BE511">
        <v>0</v>
      </c>
      <c r="BF511">
        <v>0</v>
      </c>
      <c r="BG511">
        <v>0</v>
      </c>
      <c r="BH511">
        <v>0</v>
      </c>
      <c r="BI511">
        <v>0</v>
      </c>
      <c r="BK511" s="151"/>
    </row>
    <row r="512" spans="1:63" x14ac:dyDescent="0.35">
      <c r="A512">
        <v>0</v>
      </c>
      <c r="B512">
        <v>0</v>
      </c>
      <c r="C512">
        <v>0</v>
      </c>
      <c r="D512">
        <v>0</v>
      </c>
      <c r="E512">
        <v>0</v>
      </c>
      <c r="F512">
        <v>0</v>
      </c>
      <c r="G512">
        <v>0</v>
      </c>
      <c r="H512">
        <v>0</v>
      </c>
      <c r="I512">
        <v>0</v>
      </c>
      <c r="J512">
        <v>0</v>
      </c>
      <c r="K512">
        <v>0</v>
      </c>
      <c r="L512">
        <v>0</v>
      </c>
      <c r="M512">
        <v>0</v>
      </c>
      <c r="N512">
        <v>0</v>
      </c>
      <c r="O512">
        <v>0</v>
      </c>
      <c r="P512">
        <v>0</v>
      </c>
      <c r="Q512">
        <v>0</v>
      </c>
      <c r="R512">
        <v>0</v>
      </c>
      <c r="S512">
        <v>0</v>
      </c>
      <c r="T512">
        <v>0</v>
      </c>
      <c r="U512">
        <v>0</v>
      </c>
      <c r="V512">
        <v>0</v>
      </c>
      <c r="W512">
        <v>0</v>
      </c>
      <c r="X512">
        <v>0</v>
      </c>
      <c r="Y512">
        <v>0</v>
      </c>
      <c r="Z512">
        <v>0</v>
      </c>
      <c r="AA512">
        <v>0</v>
      </c>
      <c r="AB512">
        <v>0</v>
      </c>
      <c r="AC512">
        <v>0</v>
      </c>
      <c r="AD512">
        <v>0</v>
      </c>
      <c r="AF512">
        <v>0</v>
      </c>
      <c r="AG512">
        <v>0</v>
      </c>
      <c r="AH512">
        <v>0</v>
      </c>
      <c r="AI512">
        <v>0</v>
      </c>
      <c r="AJ512">
        <v>0</v>
      </c>
      <c r="AK512">
        <v>0</v>
      </c>
      <c r="AL512">
        <v>0</v>
      </c>
      <c r="AM512">
        <v>0</v>
      </c>
      <c r="AN512">
        <v>0</v>
      </c>
      <c r="AO512">
        <v>0</v>
      </c>
      <c r="AP512">
        <v>0</v>
      </c>
      <c r="AQ512">
        <v>0</v>
      </c>
      <c r="AR512">
        <v>0</v>
      </c>
      <c r="AS512">
        <v>0</v>
      </c>
      <c r="AT512">
        <v>0</v>
      </c>
      <c r="AU512">
        <v>0</v>
      </c>
      <c r="AV512">
        <v>0</v>
      </c>
      <c r="AW512">
        <v>0</v>
      </c>
      <c r="AX512">
        <v>0</v>
      </c>
      <c r="AY512">
        <v>0</v>
      </c>
      <c r="AZ512">
        <v>0</v>
      </c>
      <c r="BA512">
        <v>0</v>
      </c>
      <c r="BB512">
        <v>0</v>
      </c>
      <c r="BC512">
        <v>0</v>
      </c>
      <c r="BD512">
        <v>0</v>
      </c>
      <c r="BE512">
        <v>0</v>
      </c>
      <c r="BF512">
        <v>0</v>
      </c>
      <c r="BG512">
        <v>0</v>
      </c>
      <c r="BH512">
        <v>0</v>
      </c>
      <c r="BI512">
        <v>0</v>
      </c>
      <c r="BK512" s="151"/>
    </row>
    <row r="513" spans="1:63" x14ac:dyDescent="0.35">
      <c r="A513">
        <v>0</v>
      </c>
      <c r="B513">
        <v>0</v>
      </c>
      <c r="C513">
        <v>0</v>
      </c>
      <c r="D513">
        <v>0</v>
      </c>
      <c r="E513">
        <v>0</v>
      </c>
      <c r="F513">
        <v>0</v>
      </c>
      <c r="G513">
        <v>0</v>
      </c>
      <c r="H513">
        <v>0</v>
      </c>
      <c r="I513">
        <v>0</v>
      </c>
      <c r="J513">
        <v>0</v>
      </c>
      <c r="K513">
        <v>0</v>
      </c>
      <c r="L513">
        <v>0</v>
      </c>
      <c r="M513">
        <v>0</v>
      </c>
      <c r="N513">
        <v>0</v>
      </c>
      <c r="O513">
        <v>0</v>
      </c>
      <c r="P513">
        <v>0</v>
      </c>
      <c r="Q513">
        <v>0</v>
      </c>
      <c r="R513">
        <v>0</v>
      </c>
      <c r="S513">
        <v>0</v>
      </c>
      <c r="T513">
        <v>0</v>
      </c>
      <c r="U513">
        <v>0</v>
      </c>
      <c r="V513">
        <v>0</v>
      </c>
      <c r="W513">
        <v>0</v>
      </c>
      <c r="X513">
        <v>0</v>
      </c>
      <c r="Y513">
        <v>0</v>
      </c>
      <c r="Z513">
        <v>0</v>
      </c>
      <c r="AA513">
        <v>0</v>
      </c>
      <c r="AB513">
        <v>0</v>
      </c>
      <c r="AC513">
        <v>0</v>
      </c>
      <c r="AD513">
        <v>0</v>
      </c>
      <c r="AF513">
        <v>0</v>
      </c>
      <c r="AG513">
        <v>0</v>
      </c>
      <c r="AH513">
        <v>0</v>
      </c>
      <c r="AI513">
        <v>0</v>
      </c>
      <c r="AJ513">
        <v>0</v>
      </c>
      <c r="AK513">
        <v>0</v>
      </c>
      <c r="AL513">
        <v>0</v>
      </c>
      <c r="AM513">
        <v>0</v>
      </c>
      <c r="AN513">
        <v>0</v>
      </c>
      <c r="AO513">
        <v>0</v>
      </c>
      <c r="AP513">
        <v>0</v>
      </c>
      <c r="AQ513">
        <v>0</v>
      </c>
      <c r="AR513">
        <v>0</v>
      </c>
      <c r="AS513">
        <v>0</v>
      </c>
      <c r="AT513">
        <v>0</v>
      </c>
      <c r="AU513">
        <v>0</v>
      </c>
      <c r="AV513">
        <v>0</v>
      </c>
      <c r="AW513">
        <v>0</v>
      </c>
      <c r="AX513">
        <v>0</v>
      </c>
      <c r="AY513">
        <v>0</v>
      </c>
      <c r="AZ513">
        <v>0</v>
      </c>
      <c r="BA513">
        <v>0</v>
      </c>
      <c r="BB513">
        <v>0</v>
      </c>
      <c r="BC513">
        <v>0</v>
      </c>
      <c r="BD513">
        <v>0</v>
      </c>
      <c r="BE513">
        <v>0</v>
      </c>
      <c r="BF513">
        <v>0</v>
      </c>
      <c r="BG513">
        <v>0</v>
      </c>
      <c r="BH513">
        <v>0</v>
      </c>
      <c r="BI513">
        <v>0</v>
      </c>
      <c r="BK513" s="151"/>
    </row>
    <row r="514" spans="1:63" x14ac:dyDescent="0.35">
      <c r="A514">
        <v>0</v>
      </c>
      <c r="B514">
        <v>0</v>
      </c>
      <c r="C514">
        <v>0</v>
      </c>
      <c r="D514">
        <v>0</v>
      </c>
      <c r="E514">
        <v>0</v>
      </c>
      <c r="F514">
        <v>0</v>
      </c>
      <c r="G514">
        <v>0</v>
      </c>
      <c r="H514">
        <v>0</v>
      </c>
      <c r="I514">
        <v>0</v>
      </c>
      <c r="J514">
        <v>0</v>
      </c>
      <c r="K514">
        <v>0</v>
      </c>
      <c r="L514">
        <v>0</v>
      </c>
      <c r="M514">
        <v>0</v>
      </c>
      <c r="N514">
        <v>0</v>
      </c>
      <c r="O514">
        <v>0</v>
      </c>
      <c r="P514">
        <v>0</v>
      </c>
      <c r="Q514">
        <v>0</v>
      </c>
      <c r="R514">
        <v>0</v>
      </c>
      <c r="S514">
        <v>0</v>
      </c>
      <c r="T514">
        <v>0</v>
      </c>
      <c r="U514">
        <v>0</v>
      </c>
      <c r="V514">
        <v>0</v>
      </c>
      <c r="W514">
        <v>0</v>
      </c>
      <c r="X514">
        <v>0</v>
      </c>
      <c r="Y514">
        <v>0</v>
      </c>
      <c r="Z514">
        <v>0</v>
      </c>
      <c r="AA514">
        <v>0</v>
      </c>
      <c r="AB514">
        <v>0</v>
      </c>
      <c r="AC514">
        <v>0</v>
      </c>
      <c r="AD514">
        <v>0</v>
      </c>
      <c r="AF514">
        <v>0</v>
      </c>
      <c r="AG514">
        <v>0</v>
      </c>
      <c r="AH514">
        <v>0</v>
      </c>
      <c r="AI514">
        <v>0</v>
      </c>
      <c r="AJ514">
        <v>0</v>
      </c>
      <c r="AK514">
        <v>0</v>
      </c>
      <c r="AL514">
        <v>0</v>
      </c>
      <c r="AM514">
        <v>0</v>
      </c>
      <c r="AN514">
        <v>0</v>
      </c>
      <c r="AO514">
        <v>0</v>
      </c>
      <c r="AP514">
        <v>0</v>
      </c>
      <c r="AQ514">
        <v>0</v>
      </c>
      <c r="AR514">
        <v>0</v>
      </c>
      <c r="AS514">
        <v>0</v>
      </c>
      <c r="AT514">
        <v>0</v>
      </c>
      <c r="AU514">
        <v>0</v>
      </c>
      <c r="AV514">
        <v>0</v>
      </c>
      <c r="AW514">
        <v>0</v>
      </c>
      <c r="AX514">
        <v>0</v>
      </c>
      <c r="AY514">
        <v>0</v>
      </c>
      <c r="AZ514">
        <v>0</v>
      </c>
      <c r="BA514">
        <v>0</v>
      </c>
      <c r="BB514">
        <v>0</v>
      </c>
      <c r="BC514">
        <v>0</v>
      </c>
      <c r="BD514">
        <v>0</v>
      </c>
      <c r="BE514">
        <v>0</v>
      </c>
      <c r="BF514">
        <v>0</v>
      </c>
      <c r="BG514">
        <v>0</v>
      </c>
      <c r="BH514">
        <v>0</v>
      </c>
      <c r="BI514">
        <v>0</v>
      </c>
      <c r="BK514" s="151"/>
    </row>
    <row r="515" spans="1:63" x14ac:dyDescent="0.35">
      <c r="A515">
        <v>0</v>
      </c>
      <c r="B515">
        <v>0</v>
      </c>
      <c r="C515">
        <v>0</v>
      </c>
      <c r="D515">
        <v>0</v>
      </c>
      <c r="E515">
        <v>0</v>
      </c>
      <c r="F515">
        <v>0</v>
      </c>
      <c r="G515">
        <v>0</v>
      </c>
      <c r="H515">
        <v>0</v>
      </c>
      <c r="I515">
        <v>0</v>
      </c>
      <c r="J515">
        <v>0</v>
      </c>
      <c r="K515">
        <v>0</v>
      </c>
      <c r="L515">
        <v>0</v>
      </c>
      <c r="M515">
        <v>0</v>
      </c>
      <c r="N515">
        <v>0</v>
      </c>
      <c r="O515">
        <v>0</v>
      </c>
      <c r="P515">
        <v>0</v>
      </c>
      <c r="Q515">
        <v>0</v>
      </c>
      <c r="R515">
        <v>0</v>
      </c>
      <c r="S515">
        <v>0</v>
      </c>
      <c r="T515">
        <v>0</v>
      </c>
      <c r="U515">
        <v>0</v>
      </c>
      <c r="V515">
        <v>0</v>
      </c>
      <c r="W515">
        <v>0</v>
      </c>
      <c r="X515">
        <v>0</v>
      </c>
      <c r="Y515">
        <v>0</v>
      </c>
      <c r="Z515">
        <v>0</v>
      </c>
      <c r="AA515">
        <v>0</v>
      </c>
      <c r="AB515">
        <v>0</v>
      </c>
      <c r="AC515">
        <v>0</v>
      </c>
      <c r="AD515">
        <v>0</v>
      </c>
      <c r="AF515">
        <v>0</v>
      </c>
      <c r="AG515">
        <v>0</v>
      </c>
      <c r="AH515">
        <v>0</v>
      </c>
      <c r="AI515">
        <v>0</v>
      </c>
      <c r="AJ515">
        <v>0</v>
      </c>
      <c r="AK515">
        <v>0</v>
      </c>
      <c r="AL515">
        <v>0</v>
      </c>
      <c r="AM515">
        <v>0</v>
      </c>
      <c r="AN515">
        <v>0</v>
      </c>
      <c r="AO515">
        <v>0</v>
      </c>
      <c r="AP515">
        <v>0</v>
      </c>
      <c r="AQ515">
        <v>0</v>
      </c>
      <c r="AR515">
        <v>0</v>
      </c>
      <c r="AS515">
        <v>0</v>
      </c>
      <c r="AT515">
        <v>0</v>
      </c>
      <c r="AU515">
        <v>0</v>
      </c>
      <c r="AV515">
        <v>0</v>
      </c>
      <c r="AW515">
        <v>0</v>
      </c>
      <c r="AX515">
        <v>0</v>
      </c>
      <c r="AY515">
        <v>0</v>
      </c>
      <c r="AZ515">
        <v>0</v>
      </c>
      <c r="BA515">
        <v>0</v>
      </c>
      <c r="BB515">
        <v>0</v>
      </c>
      <c r="BC515">
        <v>0</v>
      </c>
      <c r="BD515">
        <v>0</v>
      </c>
      <c r="BE515">
        <v>0</v>
      </c>
      <c r="BF515">
        <v>0</v>
      </c>
      <c r="BG515">
        <v>0</v>
      </c>
      <c r="BH515">
        <v>0</v>
      </c>
      <c r="BI515">
        <v>0</v>
      </c>
      <c r="BK515" s="151"/>
    </row>
    <row r="516" spans="1:63" x14ac:dyDescent="0.35">
      <c r="A516">
        <v>0</v>
      </c>
      <c r="B516">
        <v>0</v>
      </c>
      <c r="C516">
        <v>0</v>
      </c>
      <c r="D516">
        <v>0</v>
      </c>
      <c r="E516">
        <v>0</v>
      </c>
      <c r="F516">
        <v>0</v>
      </c>
      <c r="G516">
        <v>0</v>
      </c>
      <c r="H516">
        <v>0</v>
      </c>
      <c r="I516">
        <v>0</v>
      </c>
      <c r="J516">
        <v>0</v>
      </c>
      <c r="K516">
        <v>0</v>
      </c>
      <c r="L516">
        <v>0</v>
      </c>
      <c r="M516">
        <v>0</v>
      </c>
      <c r="N516">
        <v>0</v>
      </c>
      <c r="O516">
        <v>0</v>
      </c>
      <c r="P516">
        <v>0</v>
      </c>
      <c r="Q516">
        <v>0</v>
      </c>
      <c r="R516">
        <v>0</v>
      </c>
      <c r="S516">
        <v>0</v>
      </c>
      <c r="T516">
        <v>0</v>
      </c>
      <c r="U516">
        <v>0</v>
      </c>
      <c r="V516">
        <v>0</v>
      </c>
      <c r="W516">
        <v>0</v>
      </c>
      <c r="X516">
        <v>0</v>
      </c>
      <c r="Y516">
        <v>0</v>
      </c>
      <c r="Z516">
        <v>0</v>
      </c>
      <c r="AA516">
        <v>0</v>
      </c>
      <c r="AB516">
        <v>0</v>
      </c>
      <c r="AC516">
        <v>0</v>
      </c>
      <c r="AD516">
        <v>0</v>
      </c>
      <c r="AF516">
        <v>0</v>
      </c>
      <c r="AG516">
        <v>0</v>
      </c>
      <c r="AH516">
        <v>0</v>
      </c>
      <c r="AI516">
        <v>0</v>
      </c>
      <c r="AJ516">
        <v>0</v>
      </c>
      <c r="AK516">
        <v>0</v>
      </c>
      <c r="AL516">
        <v>0</v>
      </c>
      <c r="AM516">
        <v>0</v>
      </c>
      <c r="AN516">
        <v>0</v>
      </c>
      <c r="AO516">
        <v>0</v>
      </c>
      <c r="AP516">
        <v>0</v>
      </c>
      <c r="AQ516">
        <v>0</v>
      </c>
      <c r="AR516">
        <v>0</v>
      </c>
      <c r="AS516">
        <v>0</v>
      </c>
      <c r="AT516">
        <v>0</v>
      </c>
      <c r="AU516">
        <v>0</v>
      </c>
      <c r="AV516">
        <v>0</v>
      </c>
      <c r="AW516">
        <v>0</v>
      </c>
      <c r="AX516">
        <v>0</v>
      </c>
      <c r="AY516">
        <v>0</v>
      </c>
      <c r="AZ516">
        <v>0</v>
      </c>
      <c r="BA516">
        <v>0</v>
      </c>
      <c r="BB516">
        <v>0</v>
      </c>
      <c r="BC516">
        <v>0</v>
      </c>
      <c r="BD516">
        <v>0</v>
      </c>
      <c r="BE516">
        <v>0</v>
      </c>
      <c r="BF516">
        <v>0</v>
      </c>
      <c r="BG516">
        <v>0</v>
      </c>
      <c r="BH516">
        <v>0</v>
      </c>
      <c r="BI516">
        <v>0</v>
      </c>
      <c r="BK516" s="151"/>
    </row>
    <row r="517" spans="1:63" x14ac:dyDescent="0.35">
      <c r="A517">
        <v>0</v>
      </c>
      <c r="B517">
        <v>0</v>
      </c>
      <c r="C517">
        <v>0</v>
      </c>
      <c r="D517">
        <v>0</v>
      </c>
      <c r="E517">
        <v>0</v>
      </c>
      <c r="F517">
        <v>0</v>
      </c>
      <c r="G517">
        <v>0</v>
      </c>
      <c r="H517">
        <v>0</v>
      </c>
      <c r="I517">
        <v>0</v>
      </c>
      <c r="J517">
        <v>0</v>
      </c>
      <c r="K517">
        <v>0</v>
      </c>
      <c r="L517">
        <v>0</v>
      </c>
      <c r="M517">
        <v>0</v>
      </c>
      <c r="N517">
        <v>0</v>
      </c>
      <c r="O517">
        <v>0</v>
      </c>
      <c r="P517">
        <v>0</v>
      </c>
      <c r="Q517">
        <v>0</v>
      </c>
      <c r="R517">
        <v>0</v>
      </c>
      <c r="S517">
        <v>0</v>
      </c>
      <c r="T517">
        <v>0</v>
      </c>
      <c r="U517">
        <v>0</v>
      </c>
      <c r="V517">
        <v>0</v>
      </c>
      <c r="W517">
        <v>0</v>
      </c>
      <c r="X517">
        <v>0</v>
      </c>
      <c r="Y517">
        <v>0</v>
      </c>
      <c r="Z517">
        <v>0</v>
      </c>
      <c r="AA517">
        <v>0</v>
      </c>
      <c r="AB517">
        <v>0</v>
      </c>
      <c r="AC517">
        <v>0</v>
      </c>
      <c r="AD517">
        <v>0</v>
      </c>
      <c r="AF517">
        <v>0</v>
      </c>
      <c r="AG517">
        <v>0</v>
      </c>
      <c r="AH517">
        <v>0</v>
      </c>
      <c r="AI517">
        <v>0</v>
      </c>
      <c r="AJ517">
        <v>0</v>
      </c>
      <c r="AK517">
        <v>0</v>
      </c>
      <c r="AL517">
        <v>0</v>
      </c>
      <c r="AM517">
        <v>0</v>
      </c>
      <c r="AN517">
        <v>0</v>
      </c>
      <c r="AO517">
        <v>0</v>
      </c>
      <c r="AP517">
        <v>0</v>
      </c>
      <c r="AQ517">
        <v>0</v>
      </c>
      <c r="AR517">
        <v>0</v>
      </c>
      <c r="AS517">
        <v>0</v>
      </c>
      <c r="AT517">
        <v>0</v>
      </c>
      <c r="AU517">
        <v>0</v>
      </c>
      <c r="AV517">
        <v>0</v>
      </c>
      <c r="AW517">
        <v>0</v>
      </c>
      <c r="AX517">
        <v>0</v>
      </c>
      <c r="AY517">
        <v>0</v>
      </c>
      <c r="AZ517">
        <v>0</v>
      </c>
      <c r="BA517">
        <v>0</v>
      </c>
      <c r="BB517">
        <v>0</v>
      </c>
      <c r="BC517">
        <v>0</v>
      </c>
      <c r="BD517">
        <v>0</v>
      </c>
      <c r="BE517">
        <v>0</v>
      </c>
      <c r="BF517">
        <v>0</v>
      </c>
      <c r="BG517">
        <v>0</v>
      </c>
      <c r="BH517">
        <v>0</v>
      </c>
      <c r="BI517">
        <v>0</v>
      </c>
      <c r="BK517" s="151"/>
    </row>
    <row r="518" spans="1:63" x14ac:dyDescent="0.35">
      <c r="A518">
        <v>0</v>
      </c>
      <c r="B518">
        <v>0</v>
      </c>
      <c r="C518">
        <v>0</v>
      </c>
      <c r="D518">
        <v>0</v>
      </c>
      <c r="E518">
        <v>0</v>
      </c>
      <c r="F518">
        <v>0</v>
      </c>
      <c r="G518">
        <v>0</v>
      </c>
      <c r="H518">
        <v>0</v>
      </c>
      <c r="I518">
        <v>0</v>
      </c>
      <c r="J518">
        <v>0</v>
      </c>
      <c r="K518">
        <v>0</v>
      </c>
      <c r="L518">
        <v>0</v>
      </c>
      <c r="M518">
        <v>0</v>
      </c>
      <c r="N518">
        <v>0</v>
      </c>
      <c r="O518">
        <v>0</v>
      </c>
      <c r="P518">
        <v>0</v>
      </c>
      <c r="Q518">
        <v>0</v>
      </c>
      <c r="R518">
        <v>0</v>
      </c>
      <c r="S518">
        <v>0</v>
      </c>
      <c r="T518">
        <v>0</v>
      </c>
      <c r="U518">
        <v>0</v>
      </c>
      <c r="V518">
        <v>0</v>
      </c>
      <c r="W518">
        <v>0</v>
      </c>
      <c r="X518">
        <v>0</v>
      </c>
      <c r="Y518">
        <v>0</v>
      </c>
      <c r="Z518">
        <v>0</v>
      </c>
      <c r="AA518">
        <v>0</v>
      </c>
      <c r="AB518">
        <v>0</v>
      </c>
      <c r="AC518">
        <v>0</v>
      </c>
      <c r="AD518">
        <v>0</v>
      </c>
      <c r="AF518">
        <v>0</v>
      </c>
      <c r="AG518">
        <v>0</v>
      </c>
      <c r="AH518">
        <v>0</v>
      </c>
      <c r="AI518">
        <v>0</v>
      </c>
      <c r="AJ518">
        <v>0</v>
      </c>
      <c r="AK518">
        <v>0</v>
      </c>
      <c r="AL518">
        <v>0</v>
      </c>
      <c r="AM518">
        <v>0</v>
      </c>
      <c r="AN518">
        <v>0</v>
      </c>
      <c r="AO518">
        <v>0</v>
      </c>
      <c r="AP518">
        <v>0</v>
      </c>
      <c r="AQ518">
        <v>0</v>
      </c>
      <c r="AR518">
        <v>0</v>
      </c>
      <c r="AS518">
        <v>0</v>
      </c>
      <c r="AT518">
        <v>0</v>
      </c>
      <c r="AU518">
        <v>0</v>
      </c>
      <c r="AV518">
        <v>0</v>
      </c>
      <c r="AW518">
        <v>0</v>
      </c>
      <c r="AX518">
        <v>0</v>
      </c>
      <c r="AY518">
        <v>0</v>
      </c>
      <c r="AZ518">
        <v>0</v>
      </c>
      <c r="BA518">
        <v>0</v>
      </c>
      <c r="BB518">
        <v>0</v>
      </c>
      <c r="BC518">
        <v>0</v>
      </c>
      <c r="BD518">
        <v>0</v>
      </c>
      <c r="BE518">
        <v>0</v>
      </c>
      <c r="BF518">
        <v>0</v>
      </c>
      <c r="BG518">
        <v>0</v>
      </c>
      <c r="BH518">
        <v>0</v>
      </c>
      <c r="BI518">
        <v>0</v>
      </c>
      <c r="BK518" s="151"/>
    </row>
    <row r="519" spans="1:63" x14ac:dyDescent="0.35">
      <c r="A519">
        <v>0</v>
      </c>
      <c r="B519">
        <v>0</v>
      </c>
      <c r="C519">
        <v>0</v>
      </c>
      <c r="D519">
        <v>0</v>
      </c>
      <c r="E519">
        <v>0</v>
      </c>
      <c r="F519">
        <v>0</v>
      </c>
      <c r="G519">
        <v>0</v>
      </c>
      <c r="H519">
        <v>0</v>
      </c>
      <c r="I519">
        <v>0</v>
      </c>
      <c r="J519">
        <v>0</v>
      </c>
      <c r="K519">
        <v>0</v>
      </c>
      <c r="L519">
        <v>0</v>
      </c>
      <c r="M519">
        <v>0</v>
      </c>
      <c r="N519">
        <v>0</v>
      </c>
      <c r="O519">
        <v>0</v>
      </c>
      <c r="P519">
        <v>0</v>
      </c>
      <c r="Q519">
        <v>0</v>
      </c>
      <c r="R519">
        <v>0</v>
      </c>
      <c r="S519">
        <v>0</v>
      </c>
      <c r="T519">
        <v>0</v>
      </c>
      <c r="U519">
        <v>0</v>
      </c>
      <c r="V519">
        <v>0</v>
      </c>
      <c r="W519">
        <v>0</v>
      </c>
      <c r="X519">
        <v>0</v>
      </c>
      <c r="Y519">
        <v>0</v>
      </c>
      <c r="Z519">
        <v>0</v>
      </c>
      <c r="AA519">
        <v>0</v>
      </c>
      <c r="AB519">
        <v>0</v>
      </c>
      <c r="AC519">
        <v>0</v>
      </c>
      <c r="AD519">
        <v>0</v>
      </c>
      <c r="AF519">
        <v>0</v>
      </c>
      <c r="AG519">
        <v>0</v>
      </c>
      <c r="AH519">
        <v>0</v>
      </c>
      <c r="AI519">
        <v>0</v>
      </c>
      <c r="AJ519">
        <v>0</v>
      </c>
      <c r="AK519">
        <v>0</v>
      </c>
      <c r="AL519">
        <v>0</v>
      </c>
      <c r="AM519">
        <v>0</v>
      </c>
      <c r="AN519">
        <v>0</v>
      </c>
      <c r="AO519">
        <v>0</v>
      </c>
      <c r="AP519">
        <v>0</v>
      </c>
      <c r="AQ519">
        <v>0</v>
      </c>
      <c r="AR519">
        <v>0</v>
      </c>
      <c r="AS519">
        <v>0</v>
      </c>
      <c r="AT519">
        <v>0</v>
      </c>
      <c r="AU519">
        <v>0</v>
      </c>
      <c r="AV519">
        <v>0</v>
      </c>
      <c r="AW519">
        <v>0</v>
      </c>
      <c r="AX519">
        <v>0</v>
      </c>
      <c r="AY519">
        <v>0</v>
      </c>
      <c r="AZ519">
        <v>0</v>
      </c>
      <c r="BA519">
        <v>0</v>
      </c>
      <c r="BB519">
        <v>0</v>
      </c>
      <c r="BC519">
        <v>0</v>
      </c>
      <c r="BD519">
        <v>0</v>
      </c>
      <c r="BE519">
        <v>0</v>
      </c>
      <c r="BF519">
        <v>0</v>
      </c>
      <c r="BG519">
        <v>0</v>
      </c>
      <c r="BH519">
        <v>0</v>
      </c>
      <c r="BI519">
        <v>0</v>
      </c>
      <c r="BK519" s="151"/>
    </row>
    <row r="520" spans="1:63" x14ac:dyDescent="0.35">
      <c r="A520">
        <v>0</v>
      </c>
      <c r="B520">
        <v>0</v>
      </c>
      <c r="C520">
        <v>0</v>
      </c>
      <c r="D520">
        <v>0</v>
      </c>
      <c r="E520">
        <v>0</v>
      </c>
      <c r="F520">
        <v>0</v>
      </c>
      <c r="G520">
        <v>0</v>
      </c>
      <c r="H520">
        <v>0</v>
      </c>
      <c r="I520">
        <v>0</v>
      </c>
      <c r="J520">
        <v>0</v>
      </c>
      <c r="K520">
        <v>0</v>
      </c>
      <c r="L520">
        <v>0</v>
      </c>
      <c r="M520">
        <v>0</v>
      </c>
      <c r="N520">
        <v>0</v>
      </c>
      <c r="O520">
        <v>0</v>
      </c>
      <c r="P520">
        <v>0</v>
      </c>
      <c r="Q520">
        <v>0</v>
      </c>
      <c r="R520">
        <v>0</v>
      </c>
      <c r="S520">
        <v>0</v>
      </c>
      <c r="T520">
        <v>0</v>
      </c>
      <c r="U520">
        <v>0</v>
      </c>
      <c r="V520">
        <v>0</v>
      </c>
      <c r="W520">
        <v>0</v>
      </c>
      <c r="X520">
        <v>0</v>
      </c>
      <c r="Y520">
        <v>0</v>
      </c>
      <c r="Z520">
        <v>0</v>
      </c>
      <c r="AA520">
        <v>0</v>
      </c>
      <c r="AB520">
        <v>0</v>
      </c>
      <c r="AC520">
        <v>0</v>
      </c>
      <c r="AD520">
        <v>0</v>
      </c>
      <c r="AF520">
        <v>0</v>
      </c>
      <c r="AG520">
        <v>0</v>
      </c>
      <c r="AH520">
        <v>0</v>
      </c>
      <c r="AI520">
        <v>0</v>
      </c>
      <c r="AJ520">
        <v>0</v>
      </c>
      <c r="AK520">
        <v>0</v>
      </c>
      <c r="AL520">
        <v>0</v>
      </c>
      <c r="AM520">
        <v>0</v>
      </c>
      <c r="AN520">
        <v>0</v>
      </c>
      <c r="AO520">
        <v>0</v>
      </c>
      <c r="AP520">
        <v>0</v>
      </c>
      <c r="AQ520">
        <v>0</v>
      </c>
      <c r="AR520">
        <v>0</v>
      </c>
      <c r="AS520">
        <v>0</v>
      </c>
      <c r="AT520">
        <v>0</v>
      </c>
      <c r="AU520">
        <v>0</v>
      </c>
      <c r="AV520">
        <v>0</v>
      </c>
      <c r="AW520">
        <v>0</v>
      </c>
      <c r="AX520">
        <v>0</v>
      </c>
      <c r="AY520">
        <v>0</v>
      </c>
      <c r="AZ520">
        <v>0</v>
      </c>
      <c r="BA520">
        <v>0</v>
      </c>
      <c r="BB520">
        <v>0</v>
      </c>
      <c r="BC520">
        <v>0</v>
      </c>
      <c r="BD520">
        <v>0</v>
      </c>
      <c r="BE520">
        <v>0</v>
      </c>
      <c r="BF520">
        <v>0</v>
      </c>
      <c r="BG520">
        <v>0</v>
      </c>
      <c r="BH520">
        <v>0</v>
      </c>
      <c r="BI520">
        <v>0</v>
      </c>
      <c r="BK520" s="151"/>
    </row>
    <row r="521" spans="1:63" x14ac:dyDescent="0.35">
      <c r="A521">
        <v>0</v>
      </c>
      <c r="B521">
        <v>0</v>
      </c>
      <c r="C521">
        <v>0</v>
      </c>
      <c r="D521">
        <v>0</v>
      </c>
      <c r="E521">
        <v>0</v>
      </c>
      <c r="F521">
        <v>0</v>
      </c>
      <c r="G521">
        <v>0</v>
      </c>
      <c r="H521">
        <v>0</v>
      </c>
      <c r="I521">
        <v>0</v>
      </c>
      <c r="J521">
        <v>0</v>
      </c>
      <c r="K521">
        <v>0</v>
      </c>
      <c r="L521">
        <v>0</v>
      </c>
      <c r="M521">
        <v>0</v>
      </c>
      <c r="N521">
        <v>0</v>
      </c>
      <c r="O521">
        <v>0</v>
      </c>
      <c r="P521">
        <v>0</v>
      </c>
      <c r="Q521">
        <v>0</v>
      </c>
      <c r="R521">
        <v>0</v>
      </c>
      <c r="S521">
        <v>0</v>
      </c>
      <c r="T521">
        <v>0</v>
      </c>
      <c r="U521">
        <v>0</v>
      </c>
      <c r="V521">
        <v>0</v>
      </c>
      <c r="W521">
        <v>0</v>
      </c>
      <c r="X521">
        <v>0</v>
      </c>
      <c r="Y521">
        <v>0</v>
      </c>
      <c r="Z521">
        <v>0</v>
      </c>
      <c r="AA521">
        <v>0</v>
      </c>
      <c r="AB521">
        <v>0</v>
      </c>
      <c r="AC521">
        <v>0</v>
      </c>
      <c r="AD521">
        <v>0</v>
      </c>
      <c r="AF521">
        <v>0</v>
      </c>
      <c r="AG521">
        <v>0</v>
      </c>
      <c r="AH521">
        <v>0</v>
      </c>
      <c r="AI521">
        <v>0</v>
      </c>
      <c r="AJ521">
        <v>0</v>
      </c>
      <c r="AK521">
        <v>0</v>
      </c>
      <c r="AL521">
        <v>0</v>
      </c>
      <c r="AM521">
        <v>0</v>
      </c>
      <c r="AN521">
        <v>0</v>
      </c>
      <c r="AO521">
        <v>0</v>
      </c>
      <c r="AP521">
        <v>0</v>
      </c>
      <c r="AQ521">
        <v>0</v>
      </c>
      <c r="AR521">
        <v>0</v>
      </c>
      <c r="AS521">
        <v>0</v>
      </c>
      <c r="AT521">
        <v>0</v>
      </c>
      <c r="AU521">
        <v>0</v>
      </c>
      <c r="AV521">
        <v>0</v>
      </c>
      <c r="AW521">
        <v>0</v>
      </c>
      <c r="AX521">
        <v>0</v>
      </c>
      <c r="AY521">
        <v>0</v>
      </c>
      <c r="AZ521">
        <v>0</v>
      </c>
      <c r="BA521">
        <v>0</v>
      </c>
      <c r="BB521">
        <v>0</v>
      </c>
      <c r="BC521">
        <v>0</v>
      </c>
      <c r="BD521">
        <v>0</v>
      </c>
      <c r="BE521">
        <v>0</v>
      </c>
      <c r="BF521">
        <v>0</v>
      </c>
      <c r="BG521">
        <v>0</v>
      </c>
      <c r="BH521">
        <v>0</v>
      </c>
      <c r="BI521">
        <v>0</v>
      </c>
      <c r="BK521" s="151"/>
    </row>
    <row r="522" spans="1:63" x14ac:dyDescent="0.35">
      <c r="A522">
        <v>0</v>
      </c>
      <c r="B522">
        <v>0</v>
      </c>
      <c r="C522">
        <v>0</v>
      </c>
      <c r="D522">
        <v>0</v>
      </c>
      <c r="E522">
        <v>0</v>
      </c>
      <c r="F522">
        <v>0</v>
      </c>
      <c r="G522">
        <v>0</v>
      </c>
      <c r="H522">
        <v>0</v>
      </c>
      <c r="I522">
        <v>0</v>
      </c>
      <c r="J522">
        <v>0</v>
      </c>
      <c r="K522">
        <v>0</v>
      </c>
      <c r="L522">
        <v>0</v>
      </c>
      <c r="M522">
        <v>0</v>
      </c>
      <c r="N522">
        <v>0</v>
      </c>
      <c r="O522">
        <v>0</v>
      </c>
      <c r="P522">
        <v>0</v>
      </c>
      <c r="Q522">
        <v>0</v>
      </c>
      <c r="R522">
        <v>0</v>
      </c>
      <c r="S522">
        <v>0</v>
      </c>
      <c r="T522">
        <v>0</v>
      </c>
      <c r="U522">
        <v>0</v>
      </c>
      <c r="V522">
        <v>0</v>
      </c>
      <c r="W522">
        <v>0</v>
      </c>
      <c r="X522">
        <v>0</v>
      </c>
      <c r="Y522">
        <v>0</v>
      </c>
      <c r="Z522">
        <v>0</v>
      </c>
      <c r="AA522">
        <v>0</v>
      </c>
      <c r="AB522">
        <v>0</v>
      </c>
      <c r="AC522">
        <v>0</v>
      </c>
      <c r="AD522">
        <v>0</v>
      </c>
      <c r="AF522">
        <v>0</v>
      </c>
      <c r="AG522">
        <v>0</v>
      </c>
      <c r="AH522">
        <v>0</v>
      </c>
      <c r="AI522">
        <v>0</v>
      </c>
      <c r="AJ522">
        <v>0</v>
      </c>
      <c r="AK522">
        <v>0</v>
      </c>
      <c r="AL522">
        <v>0</v>
      </c>
      <c r="AM522">
        <v>0</v>
      </c>
      <c r="AN522">
        <v>0</v>
      </c>
      <c r="AO522">
        <v>0</v>
      </c>
      <c r="AP522">
        <v>0</v>
      </c>
      <c r="AQ522">
        <v>0</v>
      </c>
      <c r="AR522">
        <v>0</v>
      </c>
      <c r="AS522">
        <v>0</v>
      </c>
      <c r="AT522">
        <v>0</v>
      </c>
      <c r="AU522">
        <v>0</v>
      </c>
      <c r="AV522">
        <v>0</v>
      </c>
      <c r="AW522">
        <v>0</v>
      </c>
      <c r="AX522">
        <v>0</v>
      </c>
      <c r="AY522">
        <v>0</v>
      </c>
      <c r="AZ522">
        <v>0</v>
      </c>
      <c r="BA522">
        <v>0</v>
      </c>
      <c r="BB522">
        <v>0</v>
      </c>
      <c r="BC522">
        <v>0</v>
      </c>
      <c r="BD522">
        <v>0</v>
      </c>
      <c r="BE522">
        <v>0</v>
      </c>
      <c r="BF522">
        <v>0</v>
      </c>
      <c r="BG522">
        <v>0</v>
      </c>
      <c r="BH522">
        <v>0</v>
      </c>
      <c r="BI522">
        <v>0</v>
      </c>
      <c r="BK522" s="151"/>
    </row>
    <row r="523" spans="1:63" x14ac:dyDescent="0.35">
      <c r="A523">
        <v>0</v>
      </c>
      <c r="B523">
        <v>0</v>
      </c>
      <c r="C523">
        <v>0</v>
      </c>
      <c r="D523">
        <v>0</v>
      </c>
      <c r="E523">
        <v>0</v>
      </c>
      <c r="F523">
        <v>0</v>
      </c>
      <c r="G523">
        <v>0</v>
      </c>
      <c r="H523">
        <v>0</v>
      </c>
      <c r="I523">
        <v>0</v>
      </c>
      <c r="J523">
        <v>0</v>
      </c>
      <c r="K523">
        <v>0</v>
      </c>
      <c r="L523">
        <v>0</v>
      </c>
      <c r="M523">
        <v>0</v>
      </c>
      <c r="N523">
        <v>0</v>
      </c>
      <c r="O523">
        <v>0</v>
      </c>
      <c r="P523">
        <v>0</v>
      </c>
      <c r="Q523">
        <v>0</v>
      </c>
      <c r="R523">
        <v>0</v>
      </c>
      <c r="S523">
        <v>0</v>
      </c>
      <c r="T523">
        <v>0</v>
      </c>
      <c r="U523">
        <v>0</v>
      </c>
      <c r="V523">
        <v>0</v>
      </c>
      <c r="W523">
        <v>0</v>
      </c>
      <c r="X523">
        <v>0</v>
      </c>
      <c r="Y523">
        <v>0</v>
      </c>
      <c r="Z523">
        <v>0</v>
      </c>
      <c r="AA523">
        <v>0</v>
      </c>
      <c r="AB523">
        <v>0</v>
      </c>
      <c r="AC523">
        <v>0</v>
      </c>
      <c r="AD523">
        <v>0</v>
      </c>
      <c r="AF523">
        <v>0</v>
      </c>
      <c r="AG523">
        <v>0</v>
      </c>
      <c r="AH523">
        <v>0</v>
      </c>
      <c r="AI523">
        <v>0</v>
      </c>
      <c r="AJ523">
        <v>0</v>
      </c>
      <c r="AK523">
        <v>0</v>
      </c>
      <c r="AL523">
        <v>0</v>
      </c>
      <c r="AM523">
        <v>0</v>
      </c>
      <c r="AN523">
        <v>0</v>
      </c>
      <c r="AO523">
        <v>0</v>
      </c>
      <c r="AP523">
        <v>0</v>
      </c>
      <c r="AQ523">
        <v>0</v>
      </c>
      <c r="AR523">
        <v>0</v>
      </c>
      <c r="AS523">
        <v>0</v>
      </c>
      <c r="AT523">
        <v>0</v>
      </c>
      <c r="AU523">
        <v>0</v>
      </c>
      <c r="AV523">
        <v>0</v>
      </c>
      <c r="AW523">
        <v>0</v>
      </c>
      <c r="AX523">
        <v>0</v>
      </c>
      <c r="AY523">
        <v>0</v>
      </c>
      <c r="AZ523">
        <v>0</v>
      </c>
      <c r="BA523">
        <v>0</v>
      </c>
      <c r="BB523">
        <v>0</v>
      </c>
      <c r="BC523">
        <v>0</v>
      </c>
      <c r="BD523">
        <v>0</v>
      </c>
      <c r="BE523">
        <v>0</v>
      </c>
      <c r="BF523">
        <v>0</v>
      </c>
      <c r="BG523">
        <v>0</v>
      </c>
      <c r="BH523">
        <v>0</v>
      </c>
      <c r="BI523">
        <v>0</v>
      </c>
      <c r="BK523" s="151"/>
    </row>
    <row r="524" spans="1:63" x14ac:dyDescent="0.35">
      <c r="A524">
        <v>0</v>
      </c>
      <c r="B524">
        <v>0</v>
      </c>
      <c r="C524">
        <v>0</v>
      </c>
      <c r="D524">
        <v>0</v>
      </c>
      <c r="E524">
        <v>0</v>
      </c>
      <c r="F524">
        <v>0</v>
      </c>
      <c r="G524">
        <v>0</v>
      </c>
      <c r="H524">
        <v>0</v>
      </c>
      <c r="I524">
        <v>0</v>
      </c>
      <c r="J524">
        <v>0</v>
      </c>
      <c r="K524">
        <v>0</v>
      </c>
      <c r="L524">
        <v>0</v>
      </c>
      <c r="M524">
        <v>0</v>
      </c>
      <c r="N524">
        <v>0</v>
      </c>
      <c r="O524">
        <v>0</v>
      </c>
      <c r="P524">
        <v>0</v>
      </c>
      <c r="Q524">
        <v>0</v>
      </c>
      <c r="R524">
        <v>0</v>
      </c>
      <c r="S524">
        <v>0</v>
      </c>
      <c r="T524">
        <v>0</v>
      </c>
      <c r="U524">
        <v>0</v>
      </c>
      <c r="V524">
        <v>0</v>
      </c>
      <c r="W524">
        <v>0</v>
      </c>
      <c r="X524">
        <v>0</v>
      </c>
      <c r="Y524">
        <v>0</v>
      </c>
      <c r="Z524">
        <v>0</v>
      </c>
      <c r="AA524">
        <v>0</v>
      </c>
      <c r="AB524">
        <v>0</v>
      </c>
      <c r="AC524">
        <v>0</v>
      </c>
      <c r="AD524">
        <v>0</v>
      </c>
      <c r="AF524">
        <v>0</v>
      </c>
      <c r="AG524">
        <v>0</v>
      </c>
      <c r="AH524">
        <v>0</v>
      </c>
      <c r="AI524">
        <v>0</v>
      </c>
      <c r="AJ524">
        <v>0</v>
      </c>
      <c r="AK524">
        <v>0</v>
      </c>
      <c r="AL524">
        <v>0</v>
      </c>
      <c r="AM524">
        <v>0</v>
      </c>
      <c r="AN524">
        <v>0</v>
      </c>
      <c r="AO524">
        <v>0</v>
      </c>
      <c r="AP524">
        <v>0</v>
      </c>
      <c r="AQ524">
        <v>0</v>
      </c>
      <c r="AR524">
        <v>0</v>
      </c>
      <c r="AS524">
        <v>0</v>
      </c>
      <c r="AT524">
        <v>0</v>
      </c>
      <c r="AU524">
        <v>0</v>
      </c>
      <c r="AV524">
        <v>0</v>
      </c>
      <c r="AW524">
        <v>0</v>
      </c>
      <c r="AX524">
        <v>0</v>
      </c>
      <c r="AY524">
        <v>0</v>
      </c>
      <c r="AZ524">
        <v>0</v>
      </c>
      <c r="BA524">
        <v>0</v>
      </c>
      <c r="BB524">
        <v>0</v>
      </c>
      <c r="BC524">
        <v>0</v>
      </c>
      <c r="BD524">
        <v>0</v>
      </c>
      <c r="BE524">
        <v>0</v>
      </c>
      <c r="BF524">
        <v>0</v>
      </c>
      <c r="BG524">
        <v>0</v>
      </c>
      <c r="BH524">
        <v>0</v>
      </c>
      <c r="BI524">
        <v>0</v>
      </c>
      <c r="BK524" s="151"/>
    </row>
    <row r="525" spans="1:63" x14ac:dyDescent="0.35">
      <c r="A525">
        <v>0</v>
      </c>
      <c r="B525">
        <v>0</v>
      </c>
      <c r="C525">
        <v>0</v>
      </c>
      <c r="D525">
        <v>0</v>
      </c>
      <c r="E525">
        <v>0</v>
      </c>
      <c r="F525">
        <v>0</v>
      </c>
      <c r="G525">
        <v>0</v>
      </c>
      <c r="H525">
        <v>0</v>
      </c>
      <c r="I525">
        <v>0</v>
      </c>
      <c r="J525">
        <v>0</v>
      </c>
      <c r="K525">
        <v>0</v>
      </c>
      <c r="L525">
        <v>0</v>
      </c>
      <c r="M525">
        <v>0</v>
      </c>
      <c r="N525">
        <v>0</v>
      </c>
      <c r="O525">
        <v>0</v>
      </c>
      <c r="P525">
        <v>0</v>
      </c>
      <c r="Q525">
        <v>0</v>
      </c>
      <c r="R525">
        <v>0</v>
      </c>
      <c r="S525">
        <v>0</v>
      </c>
      <c r="T525">
        <v>0</v>
      </c>
      <c r="U525">
        <v>0</v>
      </c>
      <c r="V525">
        <v>0</v>
      </c>
      <c r="W525">
        <v>0</v>
      </c>
      <c r="X525">
        <v>0</v>
      </c>
      <c r="Y525">
        <v>0</v>
      </c>
      <c r="Z525">
        <v>0</v>
      </c>
      <c r="AA525">
        <v>0</v>
      </c>
      <c r="AB525">
        <v>0</v>
      </c>
      <c r="AC525">
        <v>0</v>
      </c>
      <c r="AD525">
        <v>0</v>
      </c>
      <c r="AF525">
        <v>0</v>
      </c>
      <c r="AG525">
        <v>0</v>
      </c>
      <c r="AH525">
        <v>0</v>
      </c>
      <c r="AI525">
        <v>0</v>
      </c>
      <c r="AJ525">
        <v>0</v>
      </c>
      <c r="AK525">
        <v>0</v>
      </c>
      <c r="AL525">
        <v>0</v>
      </c>
      <c r="AM525">
        <v>0</v>
      </c>
      <c r="AN525">
        <v>0</v>
      </c>
      <c r="AO525">
        <v>0</v>
      </c>
      <c r="AP525">
        <v>0</v>
      </c>
      <c r="AQ525">
        <v>0</v>
      </c>
      <c r="AR525">
        <v>0</v>
      </c>
      <c r="AS525">
        <v>0</v>
      </c>
      <c r="AT525">
        <v>0</v>
      </c>
      <c r="AU525">
        <v>0</v>
      </c>
      <c r="AV525">
        <v>0</v>
      </c>
      <c r="AW525">
        <v>0</v>
      </c>
      <c r="AX525">
        <v>0</v>
      </c>
      <c r="AY525">
        <v>0</v>
      </c>
      <c r="AZ525">
        <v>0</v>
      </c>
      <c r="BA525">
        <v>0</v>
      </c>
      <c r="BB525">
        <v>0</v>
      </c>
      <c r="BC525">
        <v>0</v>
      </c>
      <c r="BD525">
        <v>0</v>
      </c>
      <c r="BE525">
        <v>0</v>
      </c>
      <c r="BF525">
        <v>0</v>
      </c>
      <c r="BG525">
        <v>0</v>
      </c>
      <c r="BH525">
        <v>0</v>
      </c>
      <c r="BI525">
        <v>0</v>
      </c>
      <c r="BK525" s="151"/>
    </row>
    <row r="526" spans="1:63" x14ac:dyDescent="0.35">
      <c r="A526">
        <v>0</v>
      </c>
      <c r="B526">
        <v>0</v>
      </c>
      <c r="C526">
        <v>0</v>
      </c>
      <c r="D526">
        <v>0</v>
      </c>
      <c r="E526">
        <v>0</v>
      </c>
      <c r="F526">
        <v>0</v>
      </c>
      <c r="G526">
        <v>0</v>
      </c>
      <c r="H526">
        <v>0</v>
      </c>
      <c r="I526">
        <v>0</v>
      </c>
      <c r="J526">
        <v>0</v>
      </c>
      <c r="K526">
        <v>0</v>
      </c>
      <c r="L526">
        <v>0</v>
      </c>
      <c r="M526">
        <v>0</v>
      </c>
      <c r="N526">
        <v>0</v>
      </c>
      <c r="O526">
        <v>0</v>
      </c>
      <c r="P526">
        <v>0</v>
      </c>
      <c r="Q526">
        <v>0</v>
      </c>
      <c r="R526">
        <v>0</v>
      </c>
      <c r="S526">
        <v>0</v>
      </c>
      <c r="T526">
        <v>0</v>
      </c>
      <c r="U526">
        <v>0</v>
      </c>
      <c r="V526">
        <v>0</v>
      </c>
      <c r="W526">
        <v>0</v>
      </c>
      <c r="X526">
        <v>0</v>
      </c>
      <c r="Y526">
        <v>0</v>
      </c>
      <c r="Z526">
        <v>0</v>
      </c>
      <c r="AA526">
        <v>0</v>
      </c>
      <c r="AB526">
        <v>0</v>
      </c>
      <c r="AC526">
        <v>0</v>
      </c>
      <c r="AD526">
        <v>0</v>
      </c>
      <c r="AF526">
        <v>0</v>
      </c>
      <c r="AG526">
        <v>0</v>
      </c>
      <c r="AH526">
        <v>0</v>
      </c>
      <c r="AI526">
        <v>0</v>
      </c>
      <c r="AJ526">
        <v>0</v>
      </c>
      <c r="AK526">
        <v>0</v>
      </c>
      <c r="AL526">
        <v>0</v>
      </c>
      <c r="AM526">
        <v>0</v>
      </c>
      <c r="AN526">
        <v>0</v>
      </c>
      <c r="AO526">
        <v>0</v>
      </c>
      <c r="AP526">
        <v>0</v>
      </c>
      <c r="AQ526">
        <v>0</v>
      </c>
      <c r="AR526">
        <v>0</v>
      </c>
      <c r="AS526">
        <v>0</v>
      </c>
      <c r="AT526">
        <v>0</v>
      </c>
      <c r="AU526">
        <v>0</v>
      </c>
      <c r="AV526">
        <v>0</v>
      </c>
      <c r="AW526">
        <v>0</v>
      </c>
      <c r="AX526">
        <v>0</v>
      </c>
      <c r="AY526">
        <v>0</v>
      </c>
      <c r="AZ526">
        <v>0</v>
      </c>
      <c r="BA526">
        <v>0</v>
      </c>
      <c r="BB526">
        <v>0</v>
      </c>
      <c r="BC526">
        <v>0</v>
      </c>
      <c r="BD526">
        <v>0</v>
      </c>
      <c r="BE526">
        <v>0</v>
      </c>
      <c r="BF526">
        <v>0</v>
      </c>
      <c r="BG526">
        <v>0</v>
      </c>
      <c r="BH526">
        <v>0</v>
      </c>
      <c r="BI526">
        <v>0</v>
      </c>
      <c r="BK526" s="151"/>
    </row>
    <row r="527" spans="1:63" x14ac:dyDescent="0.35">
      <c r="A527">
        <v>0</v>
      </c>
      <c r="B527">
        <v>0</v>
      </c>
      <c r="C527">
        <v>0</v>
      </c>
      <c r="D527">
        <v>0</v>
      </c>
      <c r="E527">
        <v>0</v>
      </c>
      <c r="F527">
        <v>0</v>
      </c>
      <c r="G527">
        <v>0</v>
      </c>
      <c r="H527">
        <v>0</v>
      </c>
      <c r="I527">
        <v>0</v>
      </c>
      <c r="J527">
        <v>0</v>
      </c>
      <c r="K527">
        <v>0</v>
      </c>
      <c r="L527">
        <v>0</v>
      </c>
      <c r="M527">
        <v>0</v>
      </c>
      <c r="N527">
        <v>0</v>
      </c>
      <c r="O527">
        <v>0</v>
      </c>
      <c r="P527">
        <v>0</v>
      </c>
      <c r="Q527">
        <v>0</v>
      </c>
      <c r="R527">
        <v>0</v>
      </c>
      <c r="S527">
        <v>0</v>
      </c>
      <c r="T527">
        <v>0</v>
      </c>
      <c r="U527">
        <v>0</v>
      </c>
      <c r="V527">
        <v>0</v>
      </c>
      <c r="W527">
        <v>0</v>
      </c>
      <c r="X527">
        <v>0</v>
      </c>
      <c r="Y527">
        <v>0</v>
      </c>
      <c r="Z527">
        <v>0</v>
      </c>
      <c r="AA527">
        <v>0</v>
      </c>
      <c r="AB527">
        <v>0</v>
      </c>
      <c r="AC527">
        <v>0</v>
      </c>
      <c r="AD527">
        <v>0</v>
      </c>
      <c r="AF527">
        <v>0</v>
      </c>
      <c r="AG527">
        <v>0</v>
      </c>
      <c r="AH527">
        <v>0</v>
      </c>
      <c r="AI527">
        <v>0</v>
      </c>
      <c r="AJ527">
        <v>0</v>
      </c>
      <c r="AK527">
        <v>0</v>
      </c>
      <c r="AL527">
        <v>0</v>
      </c>
      <c r="AM527">
        <v>0</v>
      </c>
      <c r="AN527">
        <v>0</v>
      </c>
      <c r="AO527">
        <v>0</v>
      </c>
      <c r="AP527">
        <v>0</v>
      </c>
      <c r="AQ527">
        <v>0</v>
      </c>
      <c r="AR527">
        <v>0</v>
      </c>
      <c r="AS527">
        <v>0</v>
      </c>
      <c r="AT527">
        <v>0</v>
      </c>
      <c r="AU527">
        <v>0</v>
      </c>
      <c r="AV527">
        <v>0</v>
      </c>
      <c r="AW527">
        <v>0</v>
      </c>
      <c r="AX527">
        <v>0</v>
      </c>
      <c r="AY527">
        <v>0</v>
      </c>
      <c r="AZ527">
        <v>0</v>
      </c>
      <c r="BA527">
        <v>0</v>
      </c>
      <c r="BB527">
        <v>0</v>
      </c>
      <c r="BC527">
        <v>0</v>
      </c>
      <c r="BD527">
        <v>0</v>
      </c>
      <c r="BE527">
        <v>0</v>
      </c>
      <c r="BF527">
        <v>0</v>
      </c>
      <c r="BG527">
        <v>0</v>
      </c>
      <c r="BH527">
        <v>0</v>
      </c>
      <c r="BI527">
        <v>0</v>
      </c>
      <c r="BK527" s="151"/>
    </row>
    <row r="528" spans="1:63" x14ac:dyDescent="0.35">
      <c r="A528">
        <v>0</v>
      </c>
      <c r="B528">
        <v>0</v>
      </c>
      <c r="C528">
        <v>0</v>
      </c>
      <c r="D528">
        <v>0</v>
      </c>
      <c r="E528">
        <v>0</v>
      </c>
      <c r="F528">
        <v>0</v>
      </c>
      <c r="G528">
        <v>0</v>
      </c>
      <c r="H528">
        <v>0</v>
      </c>
      <c r="I528">
        <v>0</v>
      </c>
      <c r="J528">
        <v>0</v>
      </c>
      <c r="K528">
        <v>0</v>
      </c>
      <c r="L528">
        <v>0</v>
      </c>
      <c r="M528">
        <v>0</v>
      </c>
      <c r="N528">
        <v>0</v>
      </c>
      <c r="O528">
        <v>0</v>
      </c>
      <c r="P528">
        <v>0</v>
      </c>
      <c r="Q528">
        <v>0</v>
      </c>
      <c r="R528">
        <v>0</v>
      </c>
      <c r="S528">
        <v>0</v>
      </c>
      <c r="T528">
        <v>0</v>
      </c>
      <c r="U528">
        <v>0</v>
      </c>
      <c r="V528">
        <v>0</v>
      </c>
      <c r="W528">
        <v>0</v>
      </c>
      <c r="X528">
        <v>0</v>
      </c>
      <c r="Y528">
        <v>0</v>
      </c>
      <c r="Z528">
        <v>0</v>
      </c>
      <c r="AA528">
        <v>0</v>
      </c>
      <c r="AB528">
        <v>0</v>
      </c>
      <c r="AC528">
        <v>0</v>
      </c>
      <c r="AD528">
        <v>0</v>
      </c>
      <c r="AF528">
        <v>0</v>
      </c>
      <c r="AG528">
        <v>0</v>
      </c>
      <c r="AH528">
        <v>0</v>
      </c>
      <c r="AI528">
        <v>0</v>
      </c>
      <c r="AJ528">
        <v>0</v>
      </c>
      <c r="AK528">
        <v>0</v>
      </c>
      <c r="AL528">
        <v>0</v>
      </c>
      <c r="AM528">
        <v>0</v>
      </c>
      <c r="AN528">
        <v>0</v>
      </c>
      <c r="AO528">
        <v>0</v>
      </c>
      <c r="AP528">
        <v>0</v>
      </c>
      <c r="AQ528">
        <v>0</v>
      </c>
      <c r="AR528">
        <v>0</v>
      </c>
      <c r="AS528">
        <v>0</v>
      </c>
      <c r="AT528">
        <v>0</v>
      </c>
      <c r="AU528">
        <v>0</v>
      </c>
      <c r="AV528">
        <v>0</v>
      </c>
      <c r="AW528">
        <v>0</v>
      </c>
      <c r="AX528">
        <v>0</v>
      </c>
      <c r="AY528">
        <v>0</v>
      </c>
      <c r="AZ528">
        <v>0</v>
      </c>
      <c r="BA528">
        <v>0</v>
      </c>
      <c r="BB528">
        <v>0</v>
      </c>
      <c r="BC528">
        <v>0</v>
      </c>
      <c r="BD528">
        <v>0</v>
      </c>
      <c r="BE528">
        <v>0</v>
      </c>
      <c r="BF528">
        <v>0</v>
      </c>
      <c r="BG528">
        <v>0</v>
      </c>
      <c r="BH528">
        <v>0</v>
      </c>
      <c r="BI528">
        <v>0</v>
      </c>
      <c r="BK528" s="151"/>
    </row>
    <row r="529" spans="1:63" x14ac:dyDescent="0.35">
      <c r="A529">
        <v>0</v>
      </c>
      <c r="B529">
        <v>0</v>
      </c>
      <c r="C529">
        <v>0</v>
      </c>
      <c r="D529">
        <v>0</v>
      </c>
      <c r="E529">
        <v>0</v>
      </c>
      <c r="F529">
        <v>0</v>
      </c>
      <c r="G529">
        <v>0</v>
      </c>
      <c r="H529">
        <v>0</v>
      </c>
      <c r="I529">
        <v>0</v>
      </c>
      <c r="J529">
        <v>0</v>
      </c>
      <c r="K529">
        <v>0</v>
      </c>
      <c r="L529">
        <v>0</v>
      </c>
      <c r="M529">
        <v>0</v>
      </c>
      <c r="N529">
        <v>0</v>
      </c>
      <c r="O529">
        <v>0</v>
      </c>
      <c r="P529">
        <v>0</v>
      </c>
      <c r="Q529">
        <v>0</v>
      </c>
      <c r="R529">
        <v>0</v>
      </c>
      <c r="S529">
        <v>0</v>
      </c>
      <c r="T529">
        <v>0</v>
      </c>
      <c r="U529">
        <v>0</v>
      </c>
      <c r="V529">
        <v>0</v>
      </c>
      <c r="W529">
        <v>0</v>
      </c>
      <c r="X529">
        <v>0</v>
      </c>
      <c r="Y529">
        <v>0</v>
      </c>
      <c r="Z529">
        <v>0</v>
      </c>
      <c r="AA529">
        <v>0</v>
      </c>
      <c r="AB529">
        <v>0</v>
      </c>
      <c r="AC529">
        <v>0</v>
      </c>
      <c r="AD529">
        <v>0</v>
      </c>
      <c r="AF529">
        <v>0</v>
      </c>
      <c r="AG529">
        <v>0</v>
      </c>
      <c r="AH529">
        <v>0</v>
      </c>
      <c r="AI529">
        <v>0</v>
      </c>
      <c r="AJ529">
        <v>0</v>
      </c>
      <c r="AK529">
        <v>0</v>
      </c>
      <c r="AL529">
        <v>0</v>
      </c>
      <c r="AM529">
        <v>0</v>
      </c>
      <c r="AN529">
        <v>0</v>
      </c>
      <c r="AO529">
        <v>0</v>
      </c>
      <c r="AP529">
        <v>0</v>
      </c>
      <c r="AQ529">
        <v>0</v>
      </c>
      <c r="AR529">
        <v>0</v>
      </c>
      <c r="AS529">
        <v>0</v>
      </c>
      <c r="AT529">
        <v>0</v>
      </c>
      <c r="AU529">
        <v>0</v>
      </c>
      <c r="AV529">
        <v>0</v>
      </c>
      <c r="AW529">
        <v>0</v>
      </c>
      <c r="AX529">
        <v>0</v>
      </c>
      <c r="AY529">
        <v>0</v>
      </c>
      <c r="AZ529">
        <v>0</v>
      </c>
      <c r="BA529">
        <v>0</v>
      </c>
      <c r="BB529">
        <v>0</v>
      </c>
      <c r="BC529">
        <v>0</v>
      </c>
      <c r="BD529">
        <v>0</v>
      </c>
      <c r="BE529">
        <v>0</v>
      </c>
      <c r="BF529">
        <v>0</v>
      </c>
      <c r="BG529">
        <v>0</v>
      </c>
      <c r="BH529">
        <v>0</v>
      </c>
      <c r="BI529">
        <v>0</v>
      </c>
      <c r="BK529" s="151"/>
    </row>
    <row r="530" spans="1:63" x14ac:dyDescent="0.35">
      <c r="A530">
        <v>0</v>
      </c>
      <c r="B530">
        <v>0</v>
      </c>
      <c r="C530">
        <v>0</v>
      </c>
      <c r="D530">
        <v>0</v>
      </c>
      <c r="E530">
        <v>0</v>
      </c>
      <c r="F530">
        <v>0</v>
      </c>
      <c r="G530">
        <v>0</v>
      </c>
      <c r="H530">
        <v>0</v>
      </c>
      <c r="I530">
        <v>0</v>
      </c>
      <c r="J530">
        <v>0</v>
      </c>
      <c r="K530">
        <v>0</v>
      </c>
      <c r="L530">
        <v>0</v>
      </c>
      <c r="M530">
        <v>0</v>
      </c>
      <c r="N530">
        <v>0</v>
      </c>
      <c r="O530">
        <v>0</v>
      </c>
      <c r="P530">
        <v>0</v>
      </c>
      <c r="Q530">
        <v>0</v>
      </c>
      <c r="R530">
        <v>0</v>
      </c>
      <c r="S530">
        <v>0</v>
      </c>
      <c r="T530">
        <v>0</v>
      </c>
      <c r="U530">
        <v>0</v>
      </c>
      <c r="V530">
        <v>0</v>
      </c>
      <c r="W530">
        <v>0</v>
      </c>
      <c r="X530">
        <v>0</v>
      </c>
      <c r="Y530">
        <v>0</v>
      </c>
      <c r="Z530">
        <v>0</v>
      </c>
      <c r="AA530">
        <v>0</v>
      </c>
      <c r="AB530">
        <v>0</v>
      </c>
      <c r="AC530">
        <v>0</v>
      </c>
      <c r="AD530">
        <v>0</v>
      </c>
      <c r="AF530">
        <v>0</v>
      </c>
      <c r="AG530">
        <v>0</v>
      </c>
      <c r="AH530">
        <v>0</v>
      </c>
      <c r="AI530">
        <v>0</v>
      </c>
      <c r="AJ530">
        <v>0</v>
      </c>
      <c r="AK530">
        <v>0</v>
      </c>
      <c r="AL530">
        <v>0</v>
      </c>
      <c r="AM530">
        <v>0</v>
      </c>
      <c r="AN530">
        <v>0</v>
      </c>
      <c r="AO530">
        <v>0</v>
      </c>
      <c r="AP530">
        <v>0</v>
      </c>
      <c r="AQ530">
        <v>0</v>
      </c>
      <c r="AR530">
        <v>0</v>
      </c>
      <c r="AS530">
        <v>0</v>
      </c>
      <c r="AT530">
        <v>0</v>
      </c>
      <c r="AU530">
        <v>0</v>
      </c>
      <c r="AV530">
        <v>0</v>
      </c>
      <c r="AW530">
        <v>0</v>
      </c>
      <c r="AX530">
        <v>0</v>
      </c>
      <c r="AY530">
        <v>0</v>
      </c>
      <c r="AZ530">
        <v>0</v>
      </c>
      <c r="BA530">
        <v>0</v>
      </c>
      <c r="BB530">
        <v>0</v>
      </c>
      <c r="BC530">
        <v>0</v>
      </c>
      <c r="BD530">
        <v>0</v>
      </c>
      <c r="BE530">
        <v>0</v>
      </c>
      <c r="BF530">
        <v>0</v>
      </c>
      <c r="BG530">
        <v>0</v>
      </c>
      <c r="BH530">
        <v>0</v>
      </c>
      <c r="BI530">
        <v>0</v>
      </c>
      <c r="BK530" s="151"/>
    </row>
    <row r="531" spans="1:63" x14ac:dyDescent="0.35">
      <c r="A531">
        <v>0</v>
      </c>
      <c r="B531">
        <v>0</v>
      </c>
      <c r="C531">
        <v>0</v>
      </c>
      <c r="D531">
        <v>0</v>
      </c>
      <c r="E531">
        <v>0</v>
      </c>
      <c r="F531">
        <v>0</v>
      </c>
      <c r="G531">
        <v>0</v>
      </c>
      <c r="H531">
        <v>0</v>
      </c>
      <c r="I531">
        <v>0</v>
      </c>
      <c r="J531">
        <v>0</v>
      </c>
      <c r="K531">
        <v>0</v>
      </c>
      <c r="L531">
        <v>0</v>
      </c>
      <c r="M531">
        <v>0</v>
      </c>
      <c r="N531">
        <v>0</v>
      </c>
      <c r="O531">
        <v>0</v>
      </c>
      <c r="P531">
        <v>0</v>
      </c>
      <c r="Q531">
        <v>0</v>
      </c>
      <c r="R531">
        <v>0</v>
      </c>
      <c r="S531">
        <v>0</v>
      </c>
      <c r="T531">
        <v>0</v>
      </c>
      <c r="U531">
        <v>0</v>
      </c>
      <c r="V531">
        <v>0</v>
      </c>
      <c r="W531">
        <v>0</v>
      </c>
      <c r="X531">
        <v>0</v>
      </c>
      <c r="Y531">
        <v>0</v>
      </c>
      <c r="Z531">
        <v>0</v>
      </c>
      <c r="AA531">
        <v>0</v>
      </c>
      <c r="AB531">
        <v>0</v>
      </c>
      <c r="AC531">
        <v>0</v>
      </c>
      <c r="AD531">
        <v>0</v>
      </c>
      <c r="AF531">
        <v>0</v>
      </c>
      <c r="AG531">
        <v>0</v>
      </c>
      <c r="AH531">
        <v>0</v>
      </c>
      <c r="AI531">
        <v>0</v>
      </c>
      <c r="AJ531">
        <v>0</v>
      </c>
      <c r="AK531">
        <v>0</v>
      </c>
      <c r="AL531">
        <v>0</v>
      </c>
      <c r="AM531">
        <v>0</v>
      </c>
      <c r="AN531">
        <v>0</v>
      </c>
      <c r="AO531">
        <v>0</v>
      </c>
      <c r="AP531">
        <v>0</v>
      </c>
      <c r="AQ531">
        <v>0</v>
      </c>
      <c r="AR531">
        <v>0</v>
      </c>
      <c r="AS531">
        <v>0</v>
      </c>
      <c r="AT531">
        <v>0</v>
      </c>
      <c r="AU531">
        <v>0</v>
      </c>
      <c r="AV531">
        <v>0</v>
      </c>
      <c r="AW531">
        <v>0</v>
      </c>
      <c r="AX531">
        <v>0</v>
      </c>
      <c r="AY531">
        <v>0</v>
      </c>
      <c r="AZ531">
        <v>0</v>
      </c>
      <c r="BA531">
        <v>0</v>
      </c>
      <c r="BB531">
        <v>0</v>
      </c>
      <c r="BC531">
        <v>0</v>
      </c>
      <c r="BD531">
        <v>0</v>
      </c>
      <c r="BE531">
        <v>0</v>
      </c>
      <c r="BF531">
        <v>0</v>
      </c>
      <c r="BG531">
        <v>0</v>
      </c>
      <c r="BH531">
        <v>0</v>
      </c>
      <c r="BI531">
        <v>0</v>
      </c>
      <c r="BK531" s="151"/>
    </row>
    <row r="532" spans="1:63" x14ac:dyDescent="0.35">
      <c r="A532">
        <v>0</v>
      </c>
      <c r="B532">
        <v>0</v>
      </c>
      <c r="C532">
        <v>0</v>
      </c>
      <c r="D532">
        <v>0</v>
      </c>
      <c r="E532">
        <v>0</v>
      </c>
      <c r="F532">
        <v>0</v>
      </c>
      <c r="G532">
        <v>0</v>
      </c>
      <c r="H532">
        <v>0</v>
      </c>
      <c r="I532">
        <v>0</v>
      </c>
      <c r="J532">
        <v>0</v>
      </c>
      <c r="K532">
        <v>0</v>
      </c>
      <c r="L532">
        <v>0</v>
      </c>
      <c r="M532">
        <v>0</v>
      </c>
      <c r="N532">
        <v>0</v>
      </c>
      <c r="O532">
        <v>0</v>
      </c>
      <c r="P532">
        <v>0</v>
      </c>
      <c r="Q532">
        <v>0</v>
      </c>
      <c r="R532">
        <v>0</v>
      </c>
      <c r="S532">
        <v>0</v>
      </c>
      <c r="T532">
        <v>0</v>
      </c>
      <c r="U532">
        <v>0</v>
      </c>
      <c r="V532">
        <v>0</v>
      </c>
      <c r="W532">
        <v>0</v>
      </c>
      <c r="X532">
        <v>0</v>
      </c>
      <c r="Y532">
        <v>0</v>
      </c>
      <c r="Z532">
        <v>0</v>
      </c>
      <c r="AA532">
        <v>0</v>
      </c>
      <c r="AB532">
        <v>0</v>
      </c>
      <c r="AC532">
        <v>0</v>
      </c>
      <c r="AD532">
        <v>0</v>
      </c>
      <c r="AF532">
        <v>0</v>
      </c>
      <c r="AG532">
        <v>0</v>
      </c>
      <c r="AH532">
        <v>0</v>
      </c>
      <c r="AI532">
        <v>0</v>
      </c>
      <c r="AJ532">
        <v>0</v>
      </c>
      <c r="AK532">
        <v>0</v>
      </c>
      <c r="AL532">
        <v>0</v>
      </c>
      <c r="AM532">
        <v>0</v>
      </c>
      <c r="AN532">
        <v>0</v>
      </c>
      <c r="AO532">
        <v>0</v>
      </c>
      <c r="AP532">
        <v>0</v>
      </c>
      <c r="AQ532">
        <v>0</v>
      </c>
      <c r="AR532">
        <v>0</v>
      </c>
      <c r="AS532">
        <v>0</v>
      </c>
      <c r="AT532">
        <v>0</v>
      </c>
      <c r="AU532">
        <v>0</v>
      </c>
      <c r="AV532">
        <v>0</v>
      </c>
      <c r="AW532">
        <v>0</v>
      </c>
      <c r="AX532">
        <v>0</v>
      </c>
      <c r="AY532">
        <v>0</v>
      </c>
      <c r="AZ532">
        <v>0</v>
      </c>
      <c r="BA532">
        <v>0</v>
      </c>
      <c r="BB532">
        <v>0</v>
      </c>
      <c r="BC532">
        <v>0</v>
      </c>
      <c r="BD532">
        <v>0</v>
      </c>
      <c r="BE532">
        <v>0</v>
      </c>
      <c r="BF532">
        <v>0</v>
      </c>
      <c r="BG532">
        <v>0</v>
      </c>
      <c r="BH532">
        <v>0</v>
      </c>
      <c r="BI532">
        <v>0</v>
      </c>
      <c r="BK532" s="151"/>
    </row>
    <row r="533" spans="1:63" x14ac:dyDescent="0.35">
      <c r="A533">
        <v>0</v>
      </c>
      <c r="B533">
        <v>0</v>
      </c>
      <c r="C533">
        <v>0</v>
      </c>
      <c r="D533">
        <v>0</v>
      </c>
      <c r="E533">
        <v>0</v>
      </c>
      <c r="F533">
        <v>0</v>
      </c>
      <c r="G533">
        <v>0</v>
      </c>
      <c r="H533">
        <v>0</v>
      </c>
      <c r="I533">
        <v>0</v>
      </c>
      <c r="J533">
        <v>0</v>
      </c>
      <c r="K533">
        <v>0</v>
      </c>
      <c r="L533">
        <v>0</v>
      </c>
      <c r="M533">
        <v>0</v>
      </c>
      <c r="N533">
        <v>0</v>
      </c>
      <c r="O533">
        <v>0</v>
      </c>
      <c r="P533">
        <v>0</v>
      </c>
      <c r="Q533">
        <v>0</v>
      </c>
      <c r="R533">
        <v>0</v>
      </c>
      <c r="S533">
        <v>0</v>
      </c>
      <c r="T533">
        <v>0</v>
      </c>
      <c r="U533">
        <v>0</v>
      </c>
      <c r="V533">
        <v>0</v>
      </c>
      <c r="W533">
        <v>0</v>
      </c>
      <c r="X533">
        <v>0</v>
      </c>
      <c r="Y533">
        <v>0</v>
      </c>
      <c r="Z533">
        <v>0</v>
      </c>
      <c r="AA533">
        <v>0</v>
      </c>
      <c r="AB533">
        <v>0</v>
      </c>
      <c r="AC533">
        <v>0</v>
      </c>
      <c r="AD533">
        <v>0</v>
      </c>
      <c r="AF533">
        <v>0</v>
      </c>
      <c r="AG533">
        <v>0</v>
      </c>
      <c r="AH533">
        <v>0</v>
      </c>
      <c r="AI533">
        <v>0</v>
      </c>
      <c r="AJ533">
        <v>0</v>
      </c>
      <c r="AK533">
        <v>0</v>
      </c>
      <c r="AL533">
        <v>0</v>
      </c>
      <c r="AM533">
        <v>0</v>
      </c>
      <c r="AN533">
        <v>0</v>
      </c>
      <c r="AO533">
        <v>0</v>
      </c>
      <c r="AP533">
        <v>0</v>
      </c>
      <c r="AQ533">
        <v>0</v>
      </c>
      <c r="AR533">
        <v>0</v>
      </c>
      <c r="AS533">
        <v>0</v>
      </c>
      <c r="AT533">
        <v>0</v>
      </c>
      <c r="AU533">
        <v>0</v>
      </c>
      <c r="AV533">
        <v>0</v>
      </c>
      <c r="AW533">
        <v>0</v>
      </c>
      <c r="AX533">
        <v>0</v>
      </c>
      <c r="AY533">
        <v>0</v>
      </c>
      <c r="AZ533">
        <v>0</v>
      </c>
      <c r="BA533">
        <v>0</v>
      </c>
      <c r="BB533">
        <v>0</v>
      </c>
      <c r="BC533">
        <v>0</v>
      </c>
      <c r="BD533">
        <v>0</v>
      </c>
      <c r="BE533">
        <v>0</v>
      </c>
      <c r="BF533">
        <v>0</v>
      </c>
      <c r="BG533">
        <v>0</v>
      </c>
      <c r="BH533">
        <v>0</v>
      </c>
      <c r="BI533">
        <v>0</v>
      </c>
      <c r="BK533" s="151"/>
    </row>
    <row r="534" spans="1:63" x14ac:dyDescent="0.35">
      <c r="A534">
        <v>0</v>
      </c>
      <c r="B534">
        <v>0</v>
      </c>
      <c r="C534">
        <v>0</v>
      </c>
      <c r="D534">
        <v>0</v>
      </c>
      <c r="E534">
        <v>0</v>
      </c>
      <c r="F534">
        <v>0</v>
      </c>
      <c r="G534">
        <v>0</v>
      </c>
      <c r="H534">
        <v>0</v>
      </c>
      <c r="I534">
        <v>0</v>
      </c>
      <c r="J534">
        <v>0</v>
      </c>
      <c r="K534">
        <v>0</v>
      </c>
      <c r="L534">
        <v>0</v>
      </c>
      <c r="M534">
        <v>0</v>
      </c>
      <c r="N534">
        <v>0</v>
      </c>
      <c r="O534">
        <v>0</v>
      </c>
      <c r="P534">
        <v>0</v>
      </c>
      <c r="Q534">
        <v>0</v>
      </c>
      <c r="R534">
        <v>0</v>
      </c>
      <c r="S534">
        <v>0</v>
      </c>
      <c r="T534">
        <v>0</v>
      </c>
      <c r="U534">
        <v>0</v>
      </c>
      <c r="V534">
        <v>0</v>
      </c>
      <c r="W534">
        <v>0</v>
      </c>
      <c r="X534">
        <v>0</v>
      </c>
      <c r="Y534">
        <v>0</v>
      </c>
      <c r="Z534">
        <v>0</v>
      </c>
      <c r="AA534">
        <v>0</v>
      </c>
      <c r="AB534">
        <v>0</v>
      </c>
      <c r="AC534">
        <v>0</v>
      </c>
      <c r="AD534">
        <v>0</v>
      </c>
      <c r="AF534">
        <v>0</v>
      </c>
      <c r="AG534">
        <v>0</v>
      </c>
      <c r="AH534">
        <v>0</v>
      </c>
      <c r="AI534">
        <v>0</v>
      </c>
      <c r="AJ534">
        <v>0</v>
      </c>
      <c r="AK534">
        <v>0</v>
      </c>
      <c r="AL534">
        <v>0</v>
      </c>
      <c r="AM534">
        <v>0</v>
      </c>
      <c r="AN534">
        <v>0</v>
      </c>
      <c r="AO534">
        <v>0</v>
      </c>
      <c r="AP534">
        <v>0</v>
      </c>
      <c r="AQ534">
        <v>0</v>
      </c>
      <c r="AR534">
        <v>0</v>
      </c>
      <c r="AS534">
        <v>0</v>
      </c>
      <c r="AT534">
        <v>0</v>
      </c>
      <c r="AU534">
        <v>0</v>
      </c>
      <c r="AV534">
        <v>0</v>
      </c>
      <c r="AW534">
        <v>0</v>
      </c>
      <c r="AX534">
        <v>0</v>
      </c>
      <c r="AY534">
        <v>0</v>
      </c>
      <c r="AZ534">
        <v>0</v>
      </c>
      <c r="BA534">
        <v>0</v>
      </c>
      <c r="BB534">
        <v>0</v>
      </c>
      <c r="BC534">
        <v>0</v>
      </c>
      <c r="BD534">
        <v>0</v>
      </c>
      <c r="BE534">
        <v>0</v>
      </c>
      <c r="BF534">
        <v>0</v>
      </c>
      <c r="BG534">
        <v>0</v>
      </c>
      <c r="BH534">
        <v>0</v>
      </c>
      <c r="BI534">
        <v>0</v>
      </c>
      <c r="BK534" s="151"/>
    </row>
    <row r="535" spans="1:63" x14ac:dyDescent="0.35">
      <c r="A535">
        <v>0</v>
      </c>
      <c r="B535">
        <v>0</v>
      </c>
      <c r="C535">
        <v>0</v>
      </c>
      <c r="D535">
        <v>0</v>
      </c>
      <c r="E535">
        <v>0</v>
      </c>
      <c r="F535">
        <v>0</v>
      </c>
      <c r="G535">
        <v>0</v>
      </c>
      <c r="H535">
        <v>0</v>
      </c>
      <c r="I535">
        <v>0</v>
      </c>
      <c r="J535">
        <v>0</v>
      </c>
      <c r="K535">
        <v>0</v>
      </c>
      <c r="L535">
        <v>0</v>
      </c>
      <c r="M535">
        <v>0</v>
      </c>
      <c r="N535">
        <v>0</v>
      </c>
      <c r="O535">
        <v>0</v>
      </c>
      <c r="P535">
        <v>0</v>
      </c>
      <c r="Q535">
        <v>0</v>
      </c>
      <c r="R535">
        <v>0</v>
      </c>
      <c r="S535">
        <v>0</v>
      </c>
      <c r="T535">
        <v>0</v>
      </c>
      <c r="U535">
        <v>0</v>
      </c>
      <c r="V535">
        <v>0</v>
      </c>
      <c r="W535">
        <v>0</v>
      </c>
      <c r="X535">
        <v>0</v>
      </c>
      <c r="Y535">
        <v>0</v>
      </c>
      <c r="Z535">
        <v>0</v>
      </c>
      <c r="AA535">
        <v>0</v>
      </c>
      <c r="AB535">
        <v>0</v>
      </c>
      <c r="AC535">
        <v>0</v>
      </c>
      <c r="AD535">
        <v>0</v>
      </c>
      <c r="AF535">
        <v>0</v>
      </c>
      <c r="AG535">
        <v>0</v>
      </c>
      <c r="AH535">
        <v>0</v>
      </c>
      <c r="AI535">
        <v>0</v>
      </c>
      <c r="AJ535">
        <v>0</v>
      </c>
      <c r="AK535">
        <v>0</v>
      </c>
      <c r="AL535">
        <v>0</v>
      </c>
      <c r="AM535">
        <v>0</v>
      </c>
      <c r="AN535">
        <v>0</v>
      </c>
      <c r="AO535">
        <v>0</v>
      </c>
      <c r="AP535">
        <v>0</v>
      </c>
      <c r="AQ535">
        <v>0</v>
      </c>
      <c r="AR535">
        <v>0</v>
      </c>
      <c r="AS535">
        <v>0</v>
      </c>
      <c r="AT535">
        <v>0</v>
      </c>
      <c r="AU535">
        <v>0</v>
      </c>
      <c r="AV535">
        <v>0</v>
      </c>
      <c r="AW535">
        <v>0</v>
      </c>
      <c r="AX535">
        <v>0</v>
      </c>
      <c r="AY535">
        <v>0</v>
      </c>
      <c r="AZ535">
        <v>0</v>
      </c>
      <c r="BA535">
        <v>0</v>
      </c>
      <c r="BB535">
        <v>0</v>
      </c>
      <c r="BC535">
        <v>0</v>
      </c>
      <c r="BD535">
        <v>0</v>
      </c>
      <c r="BE535">
        <v>0</v>
      </c>
      <c r="BF535">
        <v>0</v>
      </c>
      <c r="BG535">
        <v>0</v>
      </c>
      <c r="BH535">
        <v>0</v>
      </c>
      <c r="BI535">
        <v>0</v>
      </c>
      <c r="BK535" s="151"/>
    </row>
    <row r="536" spans="1:63" x14ac:dyDescent="0.35">
      <c r="A536">
        <v>0</v>
      </c>
      <c r="B536">
        <v>0</v>
      </c>
      <c r="C536">
        <v>0</v>
      </c>
      <c r="D536">
        <v>0</v>
      </c>
      <c r="E536">
        <v>0</v>
      </c>
      <c r="F536">
        <v>0</v>
      </c>
      <c r="G536">
        <v>0</v>
      </c>
      <c r="H536">
        <v>0</v>
      </c>
      <c r="I536">
        <v>0</v>
      </c>
      <c r="J536">
        <v>0</v>
      </c>
      <c r="K536">
        <v>0</v>
      </c>
      <c r="L536">
        <v>0</v>
      </c>
      <c r="M536">
        <v>0</v>
      </c>
      <c r="N536">
        <v>0</v>
      </c>
      <c r="O536">
        <v>0</v>
      </c>
      <c r="P536">
        <v>0</v>
      </c>
      <c r="Q536">
        <v>0</v>
      </c>
      <c r="R536">
        <v>0</v>
      </c>
      <c r="S536">
        <v>0</v>
      </c>
      <c r="T536">
        <v>0</v>
      </c>
      <c r="U536">
        <v>0</v>
      </c>
      <c r="V536">
        <v>0</v>
      </c>
      <c r="W536">
        <v>0</v>
      </c>
      <c r="X536">
        <v>0</v>
      </c>
      <c r="Y536">
        <v>0</v>
      </c>
      <c r="Z536">
        <v>0</v>
      </c>
      <c r="AA536">
        <v>0</v>
      </c>
      <c r="AB536">
        <v>0</v>
      </c>
      <c r="AC536">
        <v>0</v>
      </c>
      <c r="AD536">
        <v>0</v>
      </c>
      <c r="AF536">
        <v>0</v>
      </c>
      <c r="AG536">
        <v>0</v>
      </c>
      <c r="AH536">
        <v>0</v>
      </c>
      <c r="AI536">
        <v>0</v>
      </c>
      <c r="AJ536">
        <v>0</v>
      </c>
      <c r="AK536">
        <v>0</v>
      </c>
      <c r="AL536">
        <v>0</v>
      </c>
      <c r="AM536">
        <v>0</v>
      </c>
      <c r="AN536">
        <v>0</v>
      </c>
      <c r="AO536">
        <v>0</v>
      </c>
      <c r="AP536">
        <v>0</v>
      </c>
      <c r="AQ536">
        <v>0</v>
      </c>
      <c r="AR536">
        <v>0</v>
      </c>
      <c r="AS536">
        <v>0</v>
      </c>
      <c r="AT536">
        <v>0</v>
      </c>
      <c r="AU536">
        <v>0</v>
      </c>
      <c r="AV536">
        <v>0</v>
      </c>
      <c r="AW536">
        <v>0</v>
      </c>
      <c r="AX536">
        <v>0</v>
      </c>
      <c r="AY536">
        <v>0</v>
      </c>
      <c r="AZ536">
        <v>0</v>
      </c>
      <c r="BA536">
        <v>0</v>
      </c>
      <c r="BB536">
        <v>0</v>
      </c>
      <c r="BC536">
        <v>0</v>
      </c>
      <c r="BD536">
        <v>0</v>
      </c>
      <c r="BE536">
        <v>0</v>
      </c>
      <c r="BF536">
        <v>0</v>
      </c>
      <c r="BG536">
        <v>0</v>
      </c>
      <c r="BH536">
        <v>0</v>
      </c>
      <c r="BI536">
        <v>0</v>
      </c>
      <c r="BK536" s="151"/>
    </row>
    <row r="537" spans="1:63" x14ac:dyDescent="0.35">
      <c r="A537">
        <v>0</v>
      </c>
      <c r="B537">
        <v>0</v>
      </c>
      <c r="C537">
        <v>0</v>
      </c>
      <c r="D537">
        <v>0</v>
      </c>
      <c r="E537">
        <v>0</v>
      </c>
      <c r="F537">
        <v>0</v>
      </c>
      <c r="G537">
        <v>0</v>
      </c>
      <c r="H537">
        <v>0</v>
      </c>
      <c r="I537">
        <v>0</v>
      </c>
      <c r="J537">
        <v>0</v>
      </c>
      <c r="K537">
        <v>0</v>
      </c>
      <c r="L537">
        <v>0</v>
      </c>
      <c r="M537">
        <v>0</v>
      </c>
      <c r="N537">
        <v>0</v>
      </c>
      <c r="O537">
        <v>0</v>
      </c>
      <c r="P537">
        <v>0</v>
      </c>
      <c r="Q537">
        <v>0</v>
      </c>
      <c r="R537">
        <v>0</v>
      </c>
      <c r="S537">
        <v>0</v>
      </c>
      <c r="T537">
        <v>0</v>
      </c>
      <c r="U537">
        <v>0</v>
      </c>
      <c r="V537">
        <v>0</v>
      </c>
      <c r="W537">
        <v>0</v>
      </c>
      <c r="X537">
        <v>0</v>
      </c>
      <c r="Y537">
        <v>0</v>
      </c>
      <c r="Z537">
        <v>0</v>
      </c>
      <c r="AA537">
        <v>0</v>
      </c>
      <c r="AB537">
        <v>0</v>
      </c>
      <c r="AC537">
        <v>0</v>
      </c>
      <c r="AD537">
        <v>0</v>
      </c>
      <c r="AF537">
        <v>0</v>
      </c>
      <c r="AG537">
        <v>0</v>
      </c>
      <c r="AH537">
        <v>0</v>
      </c>
      <c r="AI537">
        <v>0</v>
      </c>
      <c r="AJ537">
        <v>0</v>
      </c>
      <c r="AK537">
        <v>0</v>
      </c>
      <c r="AL537">
        <v>0</v>
      </c>
      <c r="AM537">
        <v>0</v>
      </c>
      <c r="AN537">
        <v>0</v>
      </c>
      <c r="AO537">
        <v>0</v>
      </c>
      <c r="AP537">
        <v>0</v>
      </c>
      <c r="AQ537">
        <v>0</v>
      </c>
      <c r="AR537">
        <v>0</v>
      </c>
      <c r="AS537">
        <v>0</v>
      </c>
      <c r="AT537">
        <v>0</v>
      </c>
      <c r="AU537">
        <v>0</v>
      </c>
      <c r="AV537">
        <v>0</v>
      </c>
      <c r="AW537">
        <v>0</v>
      </c>
      <c r="AX537">
        <v>0</v>
      </c>
      <c r="AY537">
        <v>0</v>
      </c>
      <c r="AZ537">
        <v>0</v>
      </c>
      <c r="BA537">
        <v>0</v>
      </c>
      <c r="BB537">
        <v>0</v>
      </c>
      <c r="BC537">
        <v>0</v>
      </c>
      <c r="BD537">
        <v>0</v>
      </c>
      <c r="BE537">
        <v>0</v>
      </c>
      <c r="BF537">
        <v>0</v>
      </c>
      <c r="BG537">
        <v>0</v>
      </c>
      <c r="BH537">
        <v>0</v>
      </c>
      <c r="BI537">
        <v>0</v>
      </c>
      <c r="BK537" s="151"/>
    </row>
    <row r="538" spans="1:63" x14ac:dyDescent="0.35">
      <c r="A538">
        <v>0</v>
      </c>
      <c r="B538">
        <v>0</v>
      </c>
      <c r="C538">
        <v>0</v>
      </c>
      <c r="D538">
        <v>0</v>
      </c>
      <c r="E538">
        <v>0</v>
      </c>
      <c r="F538">
        <v>0</v>
      </c>
      <c r="G538">
        <v>0</v>
      </c>
      <c r="H538">
        <v>0</v>
      </c>
      <c r="I538">
        <v>0</v>
      </c>
      <c r="J538">
        <v>0</v>
      </c>
      <c r="K538">
        <v>0</v>
      </c>
      <c r="L538">
        <v>0</v>
      </c>
      <c r="M538">
        <v>0</v>
      </c>
      <c r="N538">
        <v>0</v>
      </c>
      <c r="O538">
        <v>0</v>
      </c>
      <c r="P538">
        <v>0</v>
      </c>
      <c r="Q538">
        <v>0</v>
      </c>
      <c r="R538">
        <v>0</v>
      </c>
      <c r="S538">
        <v>0</v>
      </c>
      <c r="T538">
        <v>0</v>
      </c>
      <c r="U538">
        <v>0</v>
      </c>
      <c r="V538">
        <v>0</v>
      </c>
      <c r="W538">
        <v>0</v>
      </c>
      <c r="X538">
        <v>0</v>
      </c>
      <c r="Y538">
        <v>0</v>
      </c>
      <c r="Z538">
        <v>0</v>
      </c>
      <c r="AA538">
        <v>0</v>
      </c>
      <c r="AB538">
        <v>0</v>
      </c>
      <c r="AC538">
        <v>0</v>
      </c>
      <c r="AD538">
        <v>0</v>
      </c>
      <c r="AF538">
        <v>0</v>
      </c>
      <c r="AG538">
        <v>0</v>
      </c>
      <c r="AH538">
        <v>0</v>
      </c>
      <c r="AI538">
        <v>0</v>
      </c>
      <c r="AJ538">
        <v>0</v>
      </c>
      <c r="AK538">
        <v>0</v>
      </c>
      <c r="AL538">
        <v>0</v>
      </c>
      <c r="AM538">
        <v>0</v>
      </c>
      <c r="AN538">
        <v>0</v>
      </c>
      <c r="AO538">
        <v>0</v>
      </c>
      <c r="AP538">
        <v>0</v>
      </c>
      <c r="AQ538">
        <v>0</v>
      </c>
      <c r="AR538">
        <v>0</v>
      </c>
      <c r="AS538">
        <v>0</v>
      </c>
      <c r="AT538">
        <v>0</v>
      </c>
      <c r="AU538">
        <v>0</v>
      </c>
      <c r="AV538">
        <v>0</v>
      </c>
      <c r="AW538">
        <v>0</v>
      </c>
      <c r="AX538">
        <v>0</v>
      </c>
      <c r="AY538">
        <v>0</v>
      </c>
      <c r="AZ538">
        <v>0</v>
      </c>
      <c r="BA538">
        <v>0</v>
      </c>
      <c r="BB538">
        <v>0</v>
      </c>
      <c r="BC538">
        <v>0</v>
      </c>
      <c r="BD538">
        <v>0</v>
      </c>
      <c r="BE538">
        <v>0</v>
      </c>
      <c r="BF538">
        <v>0</v>
      </c>
      <c r="BG538">
        <v>0</v>
      </c>
      <c r="BH538">
        <v>0</v>
      </c>
      <c r="BI538">
        <v>0</v>
      </c>
      <c r="BK538" s="151"/>
    </row>
    <row r="539" spans="1:63" x14ac:dyDescent="0.35">
      <c r="A539">
        <v>0</v>
      </c>
      <c r="B539">
        <v>0</v>
      </c>
      <c r="C539">
        <v>0</v>
      </c>
      <c r="D539">
        <v>0</v>
      </c>
      <c r="E539">
        <v>0</v>
      </c>
      <c r="F539">
        <v>0</v>
      </c>
      <c r="G539">
        <v>0</v>
      </c>
      <c r="H539">
        <v>0</v>
      </c>
      <c r="I539">
        <v>0</v>
      </c>
      <c r="J539">
        <v>0</v>
      </c>
      <c r="K539">
        <v>0</v>
      </c>
      <c r="L539">
        <v>0</v>
      </c>
      <c r="M539">
        <v>0</v>
      </c>
      <c r="N539">
        <v>0</v>
      </c>
      <c r="O539">
        <v>0</v>
      </c>
      <c r="P539">
        <v>0</v>
      </c>
      <c r="Q539">
        <v>0</v>
      </c>
      <c r="R539">
        <v>0</v>
      </c>
      <c r="S539">
        <v>0</v>
      </c>
      <c r="T539">
        <v>0</v>
      </c>
      <c r="U539">
        <v>0</v>
      </c>
      <c r="V539">
        <v>0</v>
      </c>
      <c r="W539">
        <v>0</v>
      </c>
      <c r="X539">
        <v>0</v>
      </c>
      <c r="Y539">
        <v>0</v>
      </c>
      <c r="Z539">
        <v>0</v>
      </c>
      <c r="AA539">
        <v>0</v>
      </c>
      <c r="AB539">
        <v>0</v>
      </c>
      <c r="AC539">
        <v>0</v>
      </c>
      <c r="AD539">
        <v>0</v>
      </c>
      <c r="AF539">
        <v>0</v>
      </c>
      <c r="AG539">
        <v>0</v>
      </c>
      <c r="AH539">
        <v>0</v>
      </c>
      <c r="AI539">
        <v>0</v>
      </c>
      <c r="AJ539">
        <v>0</v>
      </c>
      <c r="AK539">
        <v>0</v>
      </c>
      <c r="AL539">
        <v>0</v>
      </c>
      <c r="AM539">
        <v>0</v>
      </c>
      <c r="AN539">
        <v>0</v>
      </c>
      <c r="AO539">
        <v>0</v>
      </c>
      <c r="AP539">
        <v>0</v>
      </c>
      <c r="AQ539">
        <v>0</v>
      </c>
      <c r="AR539">
        <v>0</v>
      </c>
      <c r="AS539">
        <v>0</v>
      </c>
      <c r="AT539">
        <v>0</v>
      </c>
      <c r="AU539">
        <v>0</v>
      </c>
      <c r="AV539">
        <v>0</v>
      </c>
      <c r="AW539">
        <v>0</v>
      </c>
      <c r="AX539">
        <v>0</v>
      </c>
      <c r="AY539">
        <v>0</v>
      </c>
      <c r="AZ539">
        <v>0</v>
      </c>
      <c r="BA539">
        <v>0</v>
      </c>
      <c r="BB539">
        <v>0</v>
      </c>
      <c r="BC539">
        <v>0</v>
      </c>
      <c r="BD539">
        <v>0</v>
      </c>
      <c r="BE539">
        <v>0</v>
      </c>
      <c r="BF539">
        <v>0</v>
      </c>
      <c r="BG539">
        <v>0</v>
      </c>
      <c r="BH539">
        <v>0</v>
      </c>
      <c r="BI539">
        <v>0</v>
      </c>
      <c r="BK539" s="151"/>
    </row>
    <row r="540" spans="1:63" x14ac:dyDescent="0.35">
      <c r="A540">
        <v>0</v>
      </c>
      <c r="B540">
        <v>0</v>
      </c>
      <c r="C540">
        <v>0</v>
      </c>
      <c r="D540">
        <v>0</v>
      </c>
      <c r="E540">
        <v>0</v>
      </c>
      <c r="F540">
        <v>0</v>
      </c>
      <c r="G540">
        <v>0</v>
      </c>
      <c r="H540">
        <v>0</v>
      </c>
      <c r="I540">
        <v>0</v>
      </c>
      <c r="J540">
        <v>0</v>
      </c>
      <c r="K540">
        <v>0</v>
      </c>
      <c r="L540">
        <v>0</v>
      </c>
      <c r="M540">
        <v>0</v>
      </c>
      <c r="N540">
        <v>0</v>
      </c>
      <c r="O540">
        <v>0</v>
      </c>
      <c r="P540">
        <v>0</v>
      </c>
      <c r="Q540">
        <v>0</v>
      </c>
      <c r="R540">
        <v>0</v>
      </c>
      <c r="S540">
        <v>0</v>
      </c>
      <c r="T540">
        <v>0</v>
      </c>
      <c r="U540">
        <v>0</v>
      </c>
      <c r="V540">
        <v>0</v>
      </c>
      <c r="W540">
        <v>0</v>
      </c>
      <c r="X540">
        <v>0</v>
      </c>
      <c r="Y540">
        <v>0</v>
      </c>
      <c r="Z540">
        <v>0</v>
      </c>
      <c r="AA540">
        <v>0</v>
      </c>
      <c r="AB540">
        <v>0</v>
      </c>
      <c r="AC540">
        <v>0</v>
      </c>
      <c r="AD540">
        <v>0</v>
      </c>
      <c r="AF540">
        <v>0</v>
      </c>
      <c r="AG540">
        <v>0</v>
      </c>
      <c r="AH540">
        <v>0</v>
      </c>
      <c r="AI540">
        <v>0</v>
      </c>
      <c r="AJ540">
        <v>0</v>
      </c>
      <c r="AK540">
        <v>0</v>
      </c>
      <c r="AL540">
        <v>0</v>
      </c>
      <c r="AM540">
        <v>0</v>
      </c>
      <c r="AN540">
        <v>0</v>
      </c>
      <c r="AO540">
        <v>0</v>
      </c>
      <c r="AP540">
        <v>0</v>
      </c>
      <c r="AQ540">
        <v>0</v>
      </c>
      <c r="AR540">
        <v>0</v>
      </c>
      <c r="AS540">
        <v>0</v>
      </c>
      <c r="AT540">
        <v>0</v>
      </c>
      <c r="AU540">
        <v>0</v>
      </c>
      <c r="AV540">
        <v>0</v>
      </c>
      <c r="AW540">
        <v>0</v>
      </c>
      <c r="AX540">
        <v>0</v>
      </c>
      <c r="AY540">
        <v>0</v>
      </c>
      <c r="AZ540">
        <v>0</v>
      </c>
      <c r="BA540">
        <v>0</v>
      </c>
      <c r="BB540">
        <v>0</v>
      </c>
      <c r="BC540">
        <v>0</v>
      </c>
      <c r="BD540">
        <v>0</v>
      </c>
      <c r="BE540">
        <v>0</v>
      </c>
      <c r="BF540">
        <v>0</v>
      </c>
      <c r="BG540">
        <v>0</v>
      </c>
      <c r="BH540">
        <v>0</v>
      </c>
      <c r="BI540">
        <v>0</v>
      </c>
      <c r="BK540" s="151"/>
    </row>
    <row r="541" spans="1:63" x14ac:dyDescent="0.35">
      <c r="A541">
        <v>0</v>
      </c>
      <c r="B541">
        <v>0</v>
      </c>
      <c r="C541">
        <v>0</v>
      </c>
      <c r="D541">
        <v>0</v>
      </c>
      <c r="E541">
        <v>0</v>
      </c>
      <c r="F541">
        <v>0</v>
      </c>
      <c r="G541">
        <v>0</v>
      </c>
      <c r="H541">
        <v>0</v>
      </c>
      <c r="I541">
        <v>0</v>
      </c>
      <c r="J541">
        <v>0</v>
      </c>
      <c r="K541">
        <v>0</v>
      </c>
      <c r="L541">
        <v>0</v>
      </c>
      <c r="M541">
        <v>0</v>
      </c>
      <c r="N541">
        <v>0</v>
      </c>
      <c r="O541">
        <v>0</v>
      </c>
      <c r="P541">
        <v>0</v>
      </c>
      <c r="Q541">
        <v>0</v>
      </c>
      <c r="R541">
        <v>0</v>
      </c>
      <c r="S541">
        <v>0</v>
      </c>
      <c r="T541">
        <v>0</v>
      </c>
      <c r="U541">
        <v>0</v>
      </c>
      <c r="V541">
        <v>0</v>
      </c>
      <c r="W541">
        <v>0</v>
      </c>
      <c r="X541">
        <v>0</v>
      </c>
      <c r="Y541">
        <v>0</v>
      </c>
      <c r="Z541">
        <v>0</v>
      </c>
      <c r="AA541">
        <v>0</v>
      </c>
      <c r="AB541">
        <v>0</v>
      </c>
      <c r="AC541">
        <v>0</v>
      </c>
      <c r="AD541">
        <v>0</v>
      </c>
      <c r="AF541">
        <v>0</v>
      </c>
      <c r="AG541">
        <v>0</v>
      </c>
      <c r="AH541">
        <v>0</v>
      </c>
      <c r="AI541">
        <v>0</v>
      </c>
      <c r="AJ541">
        <v>0</v>
      </c>
      <c r="AK541">
        <v>0</v>
      </c>
      <c r="AL541">
        <v>0</v>
      </c>
      <c r="AM541">
        <v>0</v>
      </c>
      <c r="AN541">
        <v>0</v>
      </c>
      <c r="AO541">
        <v>0</v>
      </c>
      <c r="AP541">
        <v>0</v>
      </c>
      <c r="AQ541">
        <v>0</v>
      </c>
      <c r="AR541">
        <v>0</v>
      </c>
      <c r="AS541">
        <v>0</v>
      </c>
      <c r="AT541">
        <v>0</v>
      </c>
      <c r="AU541">
        <v>0</v>
      </c>
      <c r="AV541">
        <v>0</v>
      </c>
      <c r="AW541">
        <v>0</v>
      </c>
      <c r="AX541">
        <v>0</v>
      </c>
      <c r="AY541">
        <v>0</v>
      </c>
      <c r="AZ541">
        <v>0</v>
      </c>
      <c r="BA541">
        <v>0</v>
      </c>
      <c r="BB541">
        <v>0</v>
      </c>
      <c r="BC541">
        <v>0</v>
      </c>
      <c r="BD541">
        <v>0</v>
      </c>
      <c r="BE541">
        <v>0</v>
      </c>
      <c r="BF541">
        <v>0</v>
      </c>
      <c r="BG541">
        <v>0</v>
      </c>
      <c r="BH541">
        <v>0</v>
      </c>
      <c r="BI541">
        <v>0</v>
      </c>
      <c r="BK541" s="151"/>
    </row>
    <row r="542" spans="1:63" x14ac:dyDescent="0.35">
      <c r="A542">
        <v>0</v>
      </c>
      <c r="B542">
        <v>0</v>
      </c>
      <c r="C542">
        <v>0</v>
      </c>
      <c r="D542">
        <v>0</v>
      </c>
      <c r="E542">
        <v>0</v>
      </c>
      <c r="F542">
        <v>0</v>
      </c>
      <c r="G542">
        <v>0</v>
      </c>
      <c r="H542">
        <v>0</v>
      </c>
      <c r="I542">
        <v>0</v>
      </c>
      <c r="J542">
        <v>0</v>
      </c>
      <c r="K542">
        <v>0</v>
      </c>
      <c r="L542">
        <v>0</v>
      </c>
      <c r="M542">
        <v>0</v>
      </c>
      <c r="N542">
        <v>0</v>
      </c>
      <c r="O542">
        <v>0</v>
      </c>
      <c r="P542">
        <v>0</v>
      </c>
      <c r="Q542">
        <v>0</v>
      </c>
      <c r="R542">
        <v>0</v>
      </c>
      <c r="S542">
        <v>0</v>
      </c>
      <c r="T542">
        <v>0</v>
      </c>
      <c r="U542">
        <v>0</v>
      </c>
      <c r="V542">
        <v>0</v>
      </c>
      <c r="W542">
        <v>0</v>
      </c>
      <c r="X542">
        <v>0</v>
      </c>
      <c r="Y542">
        <v>0</v>
      </c>
      <c r="Z542">
        <v>0</v>
      </c>
      <c r="AA542">
        <v>0</v>
      </c>
      <c r="AB542">
        <v>0</v>
      </c>
      <c r="AC542">
        <v>0</v>
      </c>
      <c r="AD542">
        <v>0</v>
      </c>
      <c r="AF542">
        <v>0</v>
      </c>
      <c r="AG542">
        <v>0</v>
      </c>
      <c r="AH542">
        <v>0</v>
      </c>
      <c r="AI542">
        <v>0</v>
      </c>
      <c r="AJ542">
        <v>0</v>
      </c>
      <c r="AK542">
        <v>0</v>
      </c>
      <c r="AL542">
        <v>0</v>
      </c>
      <c r="AM542">
        <v>0</v>
      </c>
      <c r="AN542">
        <v>0</v>
      </c>
      <c r="AO542">
        <v>0</v>
      </c>
      <c r="AP542">
        <v>0</v>
      </c>
      <c r="AQ542">
        <v>0</v>
      </c>
      <c r="AR542">
        <v>0</v>
      </c>
      <c r="AS542">
        <v>0</v>
      </c>
      <c r="AT542">
        <v>0</v>
      </c>
      <c r="AU542">
        <v>0</v>
      </c>
      <c r="AV542">
        <v>0</v>
      </c>
      <c r="AW542">
        <v>0</v>
      </c>
      <c r="AX542">
        <v>0</v>
      </c>
      <c r="AY542">
        <v>0</v>
      </c>
      <c r="AZ542">
        <v>0</v>
      </c>
      <c r="BA542">
        <v>0</v>
      </c>
      <c r="BB542">
        <v>0</v>
      </c>
      <c r="BC542">
        <v>0</v>
      </c>
      <c r="BD542">
        <v>0</v>
      </c>
      <c r="BE542">
        <v>0</v>
      </c>
      <c r="BF542">
        <v>0</v>
      </c>
      <c r="BG542">
        <v>0</v>
      </c>
      <c r="BH542">
        <v>0</v>
      </c>
      <c r="BI542">
        <v>0</v>
      </c>
      <c r="BK542" s="151"/>
    </row>
    <row r="543" spans="1:63" x14ac:dyDescent="0.35">
      <c r="A543">
        <v>0</v>
      </c>
      <c r="B543">
        <v>0</v>
      </c>
      <c r="C543">
        <v>0</v>
      </c>
      <c r="D543">
        <v>0</v>
      </c>
      <c r="E543">
        <v>0</v>
      </c>
      <c r="F543">
        <v>0</v>
      </c>
      <c r="G543">
        <v>0</v>
      </c>
      <c r="H543">
        <v>0</v>
      </c>
      <c r="I543">
        <v>0</v>
      </c>
      <c r="J543">
        <v>0</v>
      </c>
      <c r="K543">
        <v>0</v>
      </c>
      <c r="L543">
        <v>0</v>
      </c>
      <c r="M543">
        <v>0</v>
      </c>
      <c r="N543">
        <v>0</v>
      </c>
      <c r="O543">
        <v>0</v>
      </c>
      <c r="P543">
        <v>0</v>
      </c>
      <c r="Q543">
        <v>0</v>
      </c>
      <c r="R543">
        <v>0</v>
      </c>
      <c r="S543">
        <v>0</v>
      </c>
      <c r="T543">
        <v>0</v>
      </c>
      <c r="U543">
        <v>0</v>
      </c>
      <c r="V543">
        <v>0</v>
      </c>
      <c r="W543">
        <v>0</v>
      </c>
      <c r="X543">
        <v>0</v>
      </c>
      <c r="Y543">
        <v>0</v>
      </c>
      <c r="Z543">
        <v>0</v>
      </c>
      <c r="AA543">
        <v>0</v>
      </c>
      <c r="AB543">
        <v>0</v>
      </c>
      <c r="AC543">
        <v>0</v>
      </c>
      <c r="AD543">
        <v>0</v>
      </c>
      <c r="AF543">
        <v>0</v>
      </c>
      <c r="AG543">
        <v>0</v>
      </c>
      <c r="AH543">
        <v>0</v>
      </c>
      <c r="AI543">
        <v>0</v>
      </c>
      <c r="AJ543">
        <v>0</v>
      </c>
      <c r="AK543">
        <v>0</v>
      </c>
      <c r="AL543">
        <v>0</v>
      </c>
      <c r="AM543">
        <v>0</v>
      </c>
      <c r="AN543">
        <v>0</v>
      </c>
      <c r="AO543">
        <v>0</v>
      </c>
      <c r="AP543">
        <v>0</v>
      </c>
      <c r="AQ543">
        <v>0</v>
      </c>
      <c r="AR543">
        <v>0</v>
      </c>
      <c r="AS543">
        <v>0</v>
      </c>
      <c r="AT543">
        <v>0</v>
      </c>
      <c r="AU543">
        <v>0</v>
      </c>
      <c r="AV543">
        <v>0</v>
      </c>
      <c r="AW543">
        <v>0</v>
      </c>
      <c r="AX543">
        <v>0</v>
      </c>
      <c r="AY543">
        <v>0</v>
      </c>
      <c r="AZ543">
        <v>0</v>
      </c>
      <c r="BA543">
        <v>0</v>
      </c>
      <c r="BB543">
        <v>0</v>
      </c>
      <c r="BC543">
        <v>0</v>
      </c>
      <c r="BD543">
        <v>0</v>
      </c>
      <c r="BE543">
        <v>0</v>
      </c>
      <c r="BF543">
        <v>0</v>
      </c>
      <c r="BG543">
        <v>0</v>
      </c>
      <c r="BH543">
        <v>0</v>
      </c>
      <c r="BI543">
        <v>0</v>
      </c>
      <c r="BK543" s="151"/>
    </row>
    <row r="544" spans="1:63" x14ac:dyDescent="0.35">
      <c r="A544">
        <v>0</v>
      </c>
      <c r="B544">
        <v>0</v>
      </c>
      <c r="C544">
        <v>0</v>
      </c>
      <c r="D544">
        <v>0</v>
      </c>
      <c r="E544">
        <v>0</v>
      </c>
      <c r="F544">
        <v>0</v>
      </c>
      <c r="G544">
        <v>0</v>
      </c>
      <c r="H544">
        <v>0</v>
      </c>
      <c r="I544">
        <v>0</v>
      </c>
      <c r="J544">
        <v>0</v>
      </c>
      <c r="K544">
        <v>0</v>
      </c>
      <c r="L544">
        <v>0</v>
      </c>
      <c r="M544">
        <v>0</v>
      </c>
      <c r="N544">
        <v>0</v>
      </c>
      <c r="O544">
        <v>0</v>
      </c>
      <c r="P544">
        <v>0</v>
      </c>
      <c r="Q544">
        <v>0</v>
      </c>
      <c r="R544">
        <v>0</v>
      </c>
      <c r="S544">
        <v>0</v>
      </c>
      <c r="T544">
        <v>0</v>
      </c>
      <c r="U544">
        <v>0</v>
      </c>
      <c r="V544">
        <v>0</v>
      </c>
      <c r="W544">
        <v>0</v>
      </c>
      <c r="X544">
        <v>0</v>
      </c>
      <c r="Y544">
        <v>0</v>
      </c>
      <c r="Z544">
        <v>0</v>
      </c>
      <c r="AA544">
        <v>0</v>
      </c>
      <c r="AB544">
        <v>0</v>
      </c>
      <c r="AC544">
        <v>0</v>
      </c>
      <c r="AD544">
        <v>0</v>
      </c>
      <c r="AF544">
        <v>0</v>
      </c>
      <c r="AG544">
        <v>0</v>
      </c>
      <c r="AH544">
        <v>0</v>
      </c>
      <c r="AI544">
        <v>0</v>
      </c>
      <c r="AJ544">
        <v>0</v>
      </c>
      <c r="AK544">
        <v>0</v>
      </c>
      <c r="AL544">
        <v>0</v>
      </c>
      <c r="AM544">
        <v>0</v>
      </c>
      <c r="AN544">
        <v>0</v>
      </c>
      <c r="AO544">
        <v>0</v>
      </c>
      <c r="AP544">
        <v>0</v>
      </c>
      <c r="AQ544">
        <v>0</v>
      </c>
      <c r="AR544">
        <v>0</v>
      </c>
      <c r="AS544">
        <v>0</v>
      </c>
      <c r="AT544">
        <v>0</v>
      </c>
      <c r="AU544">
        <v>0</v>
      </c>
      <c r="AV544">
        <v>0</v>
      </c>
      <c r="AW544">
        <v>0</v>
      </c>
      <c r="AX544">
        <v>0</v>
      </c>
      <c r="AY544">
        <v>0</v>
      </c>
      <c r="AZ544">
        <v>0</v>
      </c>
      <c r="BA544">
        <v>0</v>
      </c>
      <c r="BB544">
        <v>0</v>
      </c>
      <c r="BC544">
        <v>0</v>
      </c>
      <c r="BD544">
        <v>0</v>
      </c>
      <c r="BE544">
        <v>0</v>
      </c>
      <c r="BF544">
        <v>0</v>
      </c>
      <c r="BG544">
        <v>0</v>
      </c>
      <c r="BH544">
        <v>0</v>
      </c>
      <c r="BI544">
        <v>0</v>
      </c>
      <c r="BK544" s="151"/>
    </row>
    <row r="545" spans="1:63" x14ac:dyDescent="0.35">
      <c r="A545">
        <v>0</v>
      </c>
      <c r="B545">
        <v>0</v>
      </c>
      <c r="C545">
        <v>0</v>
      </c>
      <c r="D545">
        <v>0</v>
      </c>
      <c r="E545">
        <v>0</v>
      </c>
      <c r="F545">
        <v>0</v>
      </c>
      <c r="G545">
        <v>0</v>
      </c>
      <c r="H545">
        <v>0</v>
      </c>
      <c r="I545">
        <v>0</v>
      </c>
      <c r="J545">
        <v>0</v>
      </c>
      <c r="K545">
        <v>0</v>
      </c>
      <c r="L545">
        <v>0</v>
      </c>
      <c r="M545">
        <v>0</v>
      </c>
      <c r="N545">
        <v>0</v>
      </c>
      <c r="O545">
        <v>0</v>
      </c>
      <c r="P545">
        <v>0</v>
      </c>
      <c r="Q545">
        <v>0</v>
      </c>
      <c r="R545">
        <v>0</v>
      </c>
      <c r="S545">
        <v>0</v>
      </c>
      <c r="T545">
        <v>0</v>
      </c>
      <c r="U545">
        <v>0</v>
      </c>
      <c r="V545">
        <v>0</v>
      </c>
      <c r="W545">
        <v>0</v>
      </c>
      <c r="X545">
        <v>0</v>
      </c>
      <c r="Y545">
        <v>0</v>
      </c>
      <c r="Z545">
        <v>0</v>
      </c>
      <c r="AA545">
        <v>0</v>
      </c>
      <c r="AB545">
        <v>0</v>
      </c>
      <c r="AC545">
        <v>0</v>
      </c>
      <c r="AD545">
        <v>0</v>
      </c>
      <c r="AF545">
        <v>0</v>
      </c>
      <c r="AG545">
        <v>0</v>
      </c>
      <c r="AH545">
        <v>0</v>
      </c>
      <c r="AI545">
        <v>0</v>
      </c>
      <c r="AJ545">
        <v>0</v>
      </c>
      <c r="AK545">
        <v>0</v>
      </c>
      <c r="AL545">
        <v>0</v>
      </c>
      <c r="AM545">
        <v>0</v>
      </c>
      <c r="AN545">
        <v>0</v>
      </c>
      <c r="AO545">
        <v>0</v>
      </c>
      <c r="AP545">
        <v>0</v>
      </c>
      <c r="AQ545">
        <v>0</v>
      </c>
      <c r="AR545">
        <v>0</v>
      </c>
      <c r="AS545">
        <v>0</v>
      </c>
      <c r="AT545">
        <v>0</v>
      </c>
      <c r="AU545">
        <v>0</v>
      </c>
      <c r="AV545">
        <v>0</v>
      </c>
      <c r="AW545">
        <v>0</v>
      </c>
      <c r="AX545">
        <v>0</v>
      </c>
      <c r="AY545">
        <v>0</v>
      </c>
      <c r="AZ545">
        <v>0</v>
      </c>
      <c r="BA545">
        <v>0</v>
      </c>
      <c r="BB545">
        <v>0</v>
      </c>
      <c r="BC545">
        <v>0</v>
      </c>
      <c r="BD545">
        <v>0</v>
      </c>
      <c r="BE545">
        <v>0</v>
      </c>
      <c r="BF545">
        <v>0</v>
      </c>
      <c r="BG545">
        <v>0</v>
      </c>
      <c r="BH545">
        <v>0</v>
      </c>
      <c r="BI545">
        <v>0</v>
      </c>
      <c r="BK545" s="151"/>
    </row>
    <row r="546" spans="1:63" x14ac:dyDescent="0.35">
      <c r="A546">
        <v>0</v>
      </c>
      <c r="B546">
        <v>0</v>
      </c>
      <c r="C546">
        <v>0</v>
      </c>
      <c r="D546">
        <v>0</v>
      </c>
      <c r="E546">
        <v>0</v>
      </c>
      <c r="F546">
        <v>0</v>
      </c>
      <c r="G546">
        <v>0</v>
      </c>
      <c r="H546">
        <v>0</v>
      </c>
      <c r="I546">
        <v>0</v>
      </c>
      <c r="J546">
        <v>0</v>
      </c>
      <c r="K546">
        <v>0</v>
      </c>
      <c r="L546">
        <v>0</v>
      </c>
      <c r="M546">
        <v>0</v>
      </c>
      <c r="N546">
        <v>0</v>
      </c>
      <c r="O546">
        <v>0</v>
      </c>
      <c r="P546">
        <v>0</v>
      </c>
      <c r="Q546">
        <v>0</v>
      </c>
      <c r="R546">
        <v>0</v>
      </c>
      <c r="S546">
        <v>0</v>
      </c>
      <c r="T546">
        <v>0</v>
      </c>
      <c r="U546">
        <v>0</v>
      </c>
      <c r="V546">
        <v>0</v>
      </c>
      <c r="W546">
        <v>0</v>
      </c>
      <c r="X546">
        <v>0</v>
      </c>
      <c r="Y546">
        <v>0</v>
      </c>
      <c r="Z546">
        <v>0</v>
      </c>
      <c r="AA546">
        <v>0</v>
      </c>
      <c r="AB546">
        <v>0</v>
      </c>
      <c r="AC546">
        <v>0</v>
      </c>
      <c r="AD546">
        <v>0</v>
      </c>
      <c r="AF546">
        <v>0</v>
      </c>
      <c r="AG546">
        <v>0</v>
      </c>
      <c r="AH546">
        <v>0</v>
      </c>
      <c r="AI546">
        <v>0</v>
      </c>
      <c r="AJ546">
        <v>0</v>
      </c>
      <c r="AK546">
        <v>0</v>
      </c>
      <c r="AL546">
        <v>0</v>
      </c>
      <c r="AM546">
        <v>0</v>
      </c>
      <c r="AN546">
        <v>0</v>
      </c>
      <c r="AO546">
        <v>0</v>
      </c>
      <c r="AP546">
        <v>0</v>
      </c>
      <c r="AQ546">
        <v>0</v>
      </c>
      <c r="AR546">
        <v>0</v>
      </c>
      <c r="AS546">
        <v>0</v>
      </c>
      <c r="AT546">
        <v>0</v>
      </c>
      <c r="AU546">
        <v>0</v>
      </c>
      <c r="AV546">
        <v>0</v>
      </c>
      <c r="AW546">
        <v>0</v>
      </c>
      <c r="AX546">
        <v>0</v>
      </c>
      <c r="AY546">
        <v>0</v>
      </c>
      <c r="AZ546">
        <v>0</v>
      </c>
      <c r="BA546">
        <v>0</v>
      </c>
      <c r="BB546">
        <v>0</v>
      </c>
      <c r="BC546">
        <v>0</v>
      </c>
      <c r="BD546">
        <v>0</v>
      </c>
      <c r="BE546">
        <v>0</v>
      </c>
      <c r="BF546">
        <v>0</v>
      </c>
      <c r="BG546">
        <v>0</v>
      </c>
      <c r="BH546">
        <v>0</v>
      </c>
      <c r="BI546">
        <v>0</v>
      </c>
      <c r="BK546" s="151"/>
    </row>
    <row r="547" spans="1:63" x14ac:dyDescent="0.35">
      <c r="A547">
        <v>0</v>
      </c>
      <c r="B547">
        <v>0</v>
      </c>
      <c r="C547">
        <v>0</v>
      </c>
      <c r="D547">
        <v>0</v>
      </c>
      <c r="E547">
        <v>0</v>
      </c>
      <c r="F547">
        <v>0</v>
      </c>
      <c r="G547">
        <v>0</v>
      </c>
      <c r="H547">
        <v>0</v>
      </c>
      <c r="I547">
        <v>0</v>
      </c>
      <c r="J547">
        <v>0</v>
      </c>
      <c r="K547">
        <v>0</v>
      </c>
      <c r="L547">
        <v>0</v>
      </c>
      <c r="M547">
        <v>0</v>
      </c>
      <c r="N547">
        <v>0</v>
      </c>
      <c r="O547">
        <v>0</v>
      </c>
      <c r="P547">
        <v>0</v>
      </c>
      <c r="Q547">
        <v>0</v>
      </c>
      <c r="R547">
        <v>0</v>
      </c>
      <c r="S547">
        <v>0</v>
      </c>
      <c r="T547">
        <v>0</v>
      </c>
      <c r="U547">
        <v>0</v>
      </c>
      <c r="V547">
        <v>0</v>
      </c>
      <c r="W547">
        <v>0</v>
      </c>
      <c r="X547">
        <v>0</v>
      </c>
      <c r="Y547">
        <v>0</v>
      </c>
      <c r="Z547">
        <v>0</v>
      </c>
      <c r="AA547">
        <v>0</v>
      </c>
      <c r="AB547">
        <v>0</v>
      </c>
      <c r="AC547">
        <v>0</v>
      </c>
      <c r="AD547">
        <v>0</v>
      </c>
      <c r="AF547">
        <v>0</v>
      </c>
      <c r="AG547">
        <v>0</v>
      </c>
      <c r="AH547">
        <v>0</v>
      </c>
      <c r="AI547">
        <v>0</v>
      </c>
      <c r="AJ547">
        <v>0</v>
      </c>
      <c r="AK547">
        <v>0</v>
      </c>
      <c r="AL547">
        <v>0</v>
      </c>
      <c r="AM547">
        <v>0</v>
      </c>
      <c r="AN547">
        <v>0</v>
      </c>
      <c r="AO547">
        <v>0</v>
      </c>
      <c r="AP547">
        <v>0</v>
      </c>
      <c r="AQ547">
        <v>0</v>
      </c>
      <c r="AR547">
        <v>0</v>
      </c>
      <c r="AS547">
        <v>0</v>
      </c>
      <c r="AT547">
        <v>0</v>
      </c>
      <c r="AU547">
        <v>0</v>
      </c>
      <c r="AV547">
        <v>0</v>
      </c>
      <c r="AW547">
        <v>0</v>
      </c>
      <c r="AX547">
        <v>0</v>
      </c>
      <c r="AY547">
        <v>0</v>
      </c>
      <c r="AZ547">
        <v>0</v>
      </c>
      <c r="BA547">
        <v>0</v>
      </c>
      <c r="BB547">
        <v>0</v>
      </c>
      <c r="BC547">
        <v>0</v>
      </c>
      <c r="BD547">
        <v>0</v>
      </c>
      <c r="BE547">
        <v>0</v>
      </c>
      <c r="BF547">
        <v>0</v>
      </c>
      <c r="BG547">
        <v>0</v>
      </c>
      <c r="BH547">
        <v>0</v>
      </c>
      <c r="BI547">
        <v>0</v>
      </c>
      <c r="BK547" s="151"/>
    </row>
    <row r="548" spans="1:63" x14ac:dyDescent="0.35">
      <c r="A548">
        <v>0</v>
      </c>
      <c r="B548">
        <v>0</v>
      </c>
      <c r="C548">
        <v>0</v>
      </c>
      <c r="D548">
        <v>0</v>
      </c>
      <c r="E548">
        <v>0</v>
      </c>
      <c r="F548">
        <v>0</v>
      </c>
      <c r="G548">
        <v>0</v>
      </c>
      <c r="H548">
        <v>0</v>
      </c>
      <c r="I548">
        <v>0</v>
      </c>
      <c r="J548">
        <v>0</v>
      </c>
      <c r="K548">
        <v>0</v>
      </c>
      <c r="L548">
        <v>0</v>
      </c>
      <c r="M548">
        <v>0</v>
      </c>
      <c r="N548">
        <v>0</v>
      </c>
      <c r="O548">
        <v>0</v>
      </c>
      <c r="P548">
        <v>0</v>
      </c>
      <c r="Q548">
        <v>0</v>
      </c>
      <c r="R548">
        <v>0</v>
      </c>
      <c r="S548">
        <v>0</v>
      </c>
      <c r="T548">
        <v>0</v>
      </c>
      <c r="U548">
        <v>0</v>
      </c>
      <c r="V548">
        <v>0</v>
      </c>
      <c r="W548">
        <v>0</v>
      </c>
      <c r="X548">
        <v>0</v>
      </c>
      <c r="Y548">
        <v>0</v>
      </c>
      <c r="Z548">
        <v>0</v>
      </c>
      <c r="AA548">
        <v>0</v>
      </c>
      <c r="AB548">
        <v>0</v>
      </c>
      <c r="AC548">
        <v>0</v>
      </c>
      <c r="AD548">
        <v>0</v>
      </c>
      <c r="AF548">
        <v>0</v>
      </c>
      <c r="AG548">
        <v>0</v>
      </c>
      <c r="AH548">
        <v>0</v>
      </c>
      <c r="AI548">
        <v>0</v>
      </c>
      <c r="AJ548">
        <v>0</v>
      </c>
      <c r="AK548">
        <v>0</v>
      </c>
      <c r="AL548">
        <v>0</v>
      </c>
      <c r="AM548">
        <v>0</v>
      </c>
      <c r="AN548">
        <v>0</v>
      </c>
      <c r="AO548">
        <v>0</v>
      </c>
      <c r="AP548">
        <v>0</v>
      </c>
      <c r="AQ548">
        <v>0</v>
      </c>
      <c r="AR548">
        <v>0</v>
      </c>
      <c r="AS548">
        <v>0</v>
      </c>
      <c r="AT548">
        <v>0</v>
      </c>
      <c r="AU548">
        <v>0</v>
      </c>
      <c r="AV548">
        <v>0</v>
      </c>
      <c r="AW548">
        <v>0</v>
      </c>
      <c r="AX548">
        <v>0</v>
      </c>
      <c r="AY548">
        <v>0</v>
      </c>
      <c r="AZ548">
        <v>0</v>
      </c>
      <c r="BA548">
        <v>0</v>
      </c>
      <c r="BB548">
        <v>0</v>
      </c>
      <c r="BC548">
        <v>0</v>
      </c>
      <c r="BD548">
        <v>0</v>
      </c>
      <c r="BE548">
        <v>0</v>
      </c>
      <c r="BF548">
        <v>0</v>
      </c>
      <c r="BG548">
        <v>0</v>
      </c>
      <c r="BH548">
        <v>0</v>
      </c>
      <c r="BI548">
        <v>0</v>
      </c>
      <c r="BK548" s="151"/>
    </row>
    <row r="549" spans="1:63" x14ac:dyDescent="0.35">
      <c r="A549">
        <v>0</v>
      </c>
      <c r="B549">
        <v>0</v>
      </c>
      <c r="C549">
        <v>0</v>
      </c>
      <c r="D549">
        <v>0</v>
      </c>
      <c r="E549">
        <v>0</v>
      </c>
      <c r="F549">
        <v>0</v>
      </c>
      <c r="G549">
        <v>0</v>
      </c>
      <c r="H549">
        <v>0</v>
      </c>
      <c r="I549">
        <v>0</v>
      </c>
      <c r="J549">
        <v>0</v>
      </c>
      <c r="K549">
        <v>0</v>
      </c>
      <c r="L549">
        <v>0</v>
      </c>
      <c r="M549">
        <v>0</v>
      </c>
      <c r="N549">
        <v>0</v>
      </c>
      <c r="O549">
        <v>0</v>
      </c>
      <c r="P549">
        <v>0</v>
      </c>
      <c r="Q549">
        <v>0</v>
      </c>
      <c r="R549">
        <v>0</v>
      </c>
      <c r="S549">
        <v>0</v>
      </c>
      <c r="T549">
        <v>0</v>
      </c>
      <c r="U549">
        <v>0</v>
      </c>
      <c r="V549">
        <v>0</v>
      </c>
      <c r="W549">
        <v>0</v>
      </c>
      <c r="X549">
        <v>0</v>
      </c>
      <c r="Y549">
        <v>0</v>
      </c>
      <c r="Z549">
        <v>0</v>
      </c>
      <c r="AA549">
        <v>0</v>
      </c>
      <c r="AB549">
        <v>0</v>
      </c>
      <c r="AC549">
        <v>0</v>
      </c>
      <c r="AD549">
        <v>0</v>
      </c>
      <c r="AF549">
        <v>0</v>
      </c>
      <c r="AG549">
        <v>0</v>
      </c>
      <c r="AH549">
        <v>0</v>
      </c>
      <c r="AI549">
        <v>0</v>
      </c>
      <c r="AJ549">
        <v>0</v>
      </c>
      <c r="AK549">
        <v>0</v>
      </c>
      <c r="AL549">
        <v>0</v>
      </c>
      <c r="AM549">
        <v>0</v>
      </c>
      <c r="AN549">
        <v>0</v>
      </c>
      <c r="AO549">
        <v>0</v>
      </c>
      <c r="AP549">
        <v>0</v>
      </c>
      <c r="AQ549">
        <v>0</v>
      </c>
      <c r="AR549">
        <v>0</v>
      </c>
      <c r="AS549">
        <v>0</v>
      </c>
      <c r="AT549">
        <v>0</v>
      </c>
      <c r="AU549">
        <v>0</v>
      </c>
      <c r="AV549">
        <v>0</v>
      </c>
      <c r="AW549">
        <v>0</v>
      </c>
      <c r="AX549">
        <v>0</v>
      </c>
      <c r="AY549">
        <v>0</v>
      </c>
      <c r="AZ549">
        <v>0</v>
      </c>
      <c r="BA549">
        <v>0</v>
      </c>
      <c r="BB549">
        <v>0</v>
      </c>
      <c r="BC549">
        <v>0</v>
      </c>
      <c r="BD549">
        <v>0</v>
      </c>
      <c r="BE549">
        <v>0</v>
      </c>
      <c r="BF549">
        <v>0</v>
      </c>
      <c r="BG549">
        <v>0</v>
      </c>
      <c r="BH549">
        <v>0</v>
      </c>
      <c r="BI549">
        <v>0</v>
      </c>
      <c r="BK549" s="151"/>
    </row>
    <row r="550" spans="1:63" x14ac:dyDescent="0.35">
      <c r="A550">
        <v>0</v>
      </c>
      <c r="B550">
        <v>0</v>
      </c>
      <c r="C550">
        <v>0</v>
      </c>
      <c r="D550">
        <v>0</v>
      </c>
      <c r="E550">
        <v>0</v>
      </c>
      <c r="F550">
        <v>0</v>
      </c>
      <c r="G550">
        <v>0</v>
      </c>
      <c r="H550">
        <v>0</v>
      </c>
      <c r="I550">
        <v>0</v>
      </c>
      <c r="J550">
        <v>0</v>
      </c>
      <c r="K550">
        <v>0</v>
      </c>
      <c r="L550">
        <v>0</v>
      </c>
      <c r="M550">
        <v>0</v>
      </c>
      <c r="N550">
        <v>0</v>
      </c>
      <c r="O550">
        <v>0</v>
      </c>
      <c r="P550">
        <v>0</v>
      </c>
      <c r="Q550">
        <v>0</v>
      </c>
      <c r="R550">
        <v>0</v>
      </c>
      <c r="S550">
        <v>0</v>
      </c>
      <c r="T550">
        <v>0</v>
      </c>
      <c r="U550">
        <v>0</v>
      </c>
      <c r="V550">
        <v>0</v>
      </c>
      <c r="W550">
        <v>0</v>
      </c>
      <c r="X550">
        <v>0</v>
      </c>
      <c r="Y550">
        <v>0</v>
      </c>
      <c r="Z550">
        <v>0</v>
      </c>
      <c r="AA550">
        <v>0</v>
      </c>
      <c r="AB550">
        <v>0</v>
      </c>
      <c r="AC550">
        <v>0</v>
      </c>
      <c r="AD550">
        <v>0</v>
      </c>
      <c r="AF550">
        <v>0</v>
      </c>
      <c r="AG550">
        <v>0</v>
      </c>
      <c r="AH550">
        <v>0</v>
      </c>
      <c r="AI550">
        <v>0</v>
      </c>
      <c r="AJ550">
        <v>0</v>
      </c>
      <c r="AK550">
        <v>0</v>
      </c>
      <c r="AL550">
        <v>0</v>
      </c>
      <c r="AM550">
        <v>0</v>
      </c>
      <c r="AN550">
        <v>0</v>
      </c>
      <c r="AO550">
        <v>0</v>
      </c>
      <c r="AP550">
        <v>0</v>
      </c>
      <c r="AQ550">
        <v>0</v>
      </c>
      <c r="AR550">
        <v>0</v>
      </c>
      <c r="AS550">
        <v>0</v>
      </c>
      <c r="AT550">
        <v>0</v>
      </c>
      <c r="AU550">
        <v>0</v>
      </c>
      <c r="AV550">
        <v>0</v>
      </c>
      <c r="AW550">
        <v>0</v>
      </c>
      <c r="AX550">
        <v>0</v>
      </c>
      <c r="AY550">
        <v>0</v>
      </c>
      <c r="AZ550">
        <v>0</v>
      </c>
      <c r="BA550">
        <v>0</v>
      </c>
      <c r="BB550">
        <v>0</v>
      </c>
      <c r="BC550">
        <v>0</v>
      </c>
      <c r="BD550">
        <v>0</v>
      </c>
      <c r="BE550">
        <v>0</v>
      </c>
      <c r="BF550">
        <v>0</v>
      </c>
      <c r="BG550">
        <v>0</v>
      </c>
      <c r="BH550">
        <v>0</v>
      </c>
      <c r="BI550">
        <v>0</v>
      </c>
      <c r="BK550" s="151"/>
    </row>
    <row r="551" spans="1:63" x14ac:dyDescent="0.35">
      <c r="A551">
        <v>0</v>
      </c>
      <c r="B551">
        <v>0</v>
      </c>
      <c r="C551">
        <v>0</v>
      </c>
      <c r="D551">
        <v>0</v>
      </c>
      <c r="E551">
        <v>0</v>
      </c>
      <c r="F551">
        <v>0</v>
      </c>
      <c r="G551">
        <v>0</v>
      </c>
      <c r="H551">
        <v>0</v>
      </c>
      <c r="I551">
        <v>0</v>
      </c>
      <c r="J551">
        <v>0</v>
      </c>
      <c r="K551">
        <v>0</v>
      </c>
      <c r="L551">
        <v>0</v>
      </c>
      <c r="M551">
        <v>0</v>
      </c>
      <c r="N551">
        <v>0</v>
      </c>
      <c r="O551">
        <v>0</v>
      </c>
      <c r="P551">
        <v>0</v>
      </c>
      <c r="Q551">
        <v>0</v>
      </c>
      <c r="R551">
        <v>0</v>
      </c>
      <c r="S551">
        <v>0</v>
      </c>
      <c r="T551">
        <v>0</v>
      </c>
      <c r="U551">
        <v>0</v>
      </c>
      <c r="V551">
        <v>0</v>
      </c>
      <c r="W551">
        <v>0</v>
      </c>
      <c r="X551">
        <v>0</v>
      </c>
      <c r="Y551">
        <v>0</v>
      </c>
      <c r="Z551">
        <v>0</v>
      </c>
      <c r="AA551">
        <v>0</v>
      </c>
      <c r="AB551">
        <v>0</v>
      </c>
      <c r="AC551">
        <v>0</v>
      </c>
      <c r="AD551">
        <v>0</v>
      </c>
      <c r="AF551">
        <v>0</v>
      </c>
      <c r="AG551">
        <v>0</v>
      </c>
      <c r="AH551">
        <v>0</v>
      </c>
      <c r="AI551">
        <v>0</v>
      </c>
      <c r="AJ551">
        <v>0</v>
      </c>
      <c r="AK551">
        <v>0</v>
      </c>
      <c r="AL551">
        <v>0</v>
      </c>
      <c r="AM551">
        <v>0</v>
      </c>
      <c r="AN551">
        <v>0</v>
      </c>
      <c r="AO551">
        <v>0</v>
      </c>
      <c r="AP551">
        <v>0</v>
      </c>
      <c r="AQ551">
        <v>0</v>
      </c>
      <c r="AR551">
        <v>0</v>
      </c>
      <c r="AS551">
        <v>0</v>
      </c>
      <c r="AT551">
        <v>0</v>
      </c>
      <c r="AU551">
        <v>0</v>
      </c>
      <c r="AV551">
        <v>0</v>
      </c>
      <c r="AW551">
        <v>0</v>
      </c>
      <c r="AX551">
        <v>0</v>
      </c>
      <c r="AY551">
        <v>0</v>
      </c>
      <c r="AZ551">
        <v>0</v>
      </c>
      <c r="BA551">
        <v>0</v>
      </c>
      <c r="BB551">
        <v>0</v>
      </c>
      <c r="BC551">
        <v>0</v>
      </c>
      <c r="BD551">
        <v>0</v>
      </c>
      <c r="BE551">
        <v>0</v>
      </c>
      <c r="BF551">
        <v>0</v>
      </c>
      <c r="BG551">
        <v>0</v>
      </c>
      <c r="BH551">
        <v>0</v>
      </c>
      <c r="BI551">
        <v>0</v>
      </c>
      <c r="BK551" s="151"/>
    </row>
    <row r="552" spans="1:63" x14ac:dyDescent="0.35">
      <c r="A552">
        <v>0</v>
      </c>
      <c r="B552">
        <v>0</v>
      </c>
      <c r="C552">
        <v>0</v>
      </c>
      <c r="D552">
        <v>0</v>
      </c>
      <c r="E552">
        <v>0</v>
      </c>
      <c r="F552">
        <v>0</v>
      </c>
      <c r="G552">
        <v>0</v>
      </c>
      <c r="H552">
        <v>0</v>
      </c>
      <c r="I552">
        <v>0</v>
      </c>
      <c r="J552">
        <v>0</v>
      </c>
      <c r="K552">
        <v>0</v>
      </c>
      <c r="L552">
        <v>0</v>
      </c>
      <c r="M552">
        <v>0</v>
      </c>
      <c r="N552">
        <v>0</v>
      </c>
      <c r="O552">
        <v>0</v>
      </c>
      <c r="P552">
        <v>0</v>
      </c>
      <c r="Q552">
        <v>0</v>
      </c>
      <c r="R552">
        <v>0</v>
      </c>
      <c r="S552">
        <v>0</v>
      </c>
      <c r="T552">
        <v>0</v>
      </c>
      <c r="U552">
        <v>0</v>
      </c>
      <c r="V552">
        <v>0</v>
      </c>
      <c r="W552">
        <v>0</v>
      </c>
      <c r="X552">
        <v>0</v>
      </c>
      <c r="Y552">
        <v>0</v>
      </c>
      <c r="Z552">
        <v>0</v>
      </c>
      <c r="AA552">
        <v>0</v>
      </c>
      <c r="AB552">
        <v>0</v>
      </c>
      <c r="AC552">
        <v>0</v>
      </c>
      <c r="AD552">
        <v>0</v>
      </c>
      <c r="AF552">
        <v>0</v>
      </c>
      <c r="AG552">
        <v>0</v>
      </c>
      <c r="AH552">
        <v>0</v>
      </c>
      <c r="AI552">
        <v>0</v>
      </c>
      <c r="AJ552">
        <v>0</v>
      </c>
      <c r="AK552">
        <v>0</v>
      </c>
      <c r="AL552">
        <v>0</v>
      </c>
      <c r="AM552">
        <v>0</v>
      </c>
      <c r="AN552">
        <v>0</v>
      </c>
      <c r="AO552">
        <v>0</v>
      </c>
      <c r="AP552">
        <v>0</v>
      </c>
      <c r="AQ552">
        <v>0</v>
      </c>
      <c r="AR552">
        <v>0</v>
      </c>
      <c r="AS552">
        <v>0</v>
      </c>
      <c r="AT552">
        <v>0</v>
      </c>
      <c r="AU552">
        <v>0</v>
      </c>
      <c r="AV552">
        <v>0</v>
      </c>
      <c r="AW552">
        <v>0</v>
      </c>
      <c r="AX552">
        <v>0</v>
      </c>
      <c r="AY552">
        <v>0</v>
      </c>
      <c r="AZ552">
        <v>0</v>
      </c>
      <c r="BA552">
        <v>0</v>
      </c>
      <c r="BB552">
        <v>0</v>
      </c>
      <c r="BC552">
        <v>0</v>
      </c>
      <c r="BD552">
        <v>0</v>
      </c>
      <c r="BE552">
        <v>0</v>
      </c>
      <c r="BF552">
        <v>0</v>
      </c>
      <c r="BG552">
        <v>0</v>
      </c>
      <c r="BH552">
        <v>0</v>
      </c>
      <c r="BI552">
        <v>0</v>
      </c>
      <c r="BK552" s="151"/>
    </row>
    <row r="553" spans="1:63" x14ac:dyDescent="0.35">
      <c r="A553">
        <v>0</v>
      </c>
      <c r="B553">
        <v>0</v>
      </c>
      <c r="C553">
        <v>0</v>
      </c>
      <c r="D553">
        <v>0</v>
      </c>
      <c r="E553">
        <v>0</v>
      </c>
      <c r="F553">
        <v>0</v>
      </c>
      <c r="G553">
        <v>0</v>
      </c>
      <c r="H553">
        <v>0</v>
      </c>
      <c r="I553">
        <v>0</v>
      </c>
      <c r="J553">
        <v>0</v>
      </c>
      <c r="K553">
        <v>0</v>
      </c>
      <c r="L553">
        <v>0</v>
      </c>
      <c r="M553">
        <v>0</v>
      </c>
      <c r="N553">
        <v>0</v>
      </c>
      <c r="O553">
        <v>0</v>
      </c>
      <c r="P553">
        <v>0</v>
      </c>
      <c r="Q553">
        <v>0</v>
      </c>
      <c r="R553">
        <v>0</v>
      </c>
      <c r="S553">
        <v>0</v>
      </c>
      <c r="T553">
        <v>0</v>
      </c>
      <c r="U553">
        <v>0</v>
      </c>
      <c r="V553">
        <v>0</v>
      </c>
      <c r="W553">
        <v>0</v>
      </c>
      <c r="X553">
        <v>0</v>
      </c>
      <c r="Y553">
        <v>0</v>
      </c>
      <c r="Z553">
        <v>0</v>
      </c>
      <c r="AA553">
        <v>0</v>
      </c>
      <c r="AB553">
        <v>0</v>
      </c>
      <c r="AC553">
        <v>0</v>
      </c>
      <c r="AD553">
        <v>0</v>
      </c>
      <c r="AF553">
        <v>0</v>
      </c>
      <c r="AG553">
        <v>0</v>
      </c>
      <c r="AH553">
        <v>0</v>
      </c>
      <c r="AI553">
        <v>0</v>
      </c>
      <c r="AJ553">
        <v>0</v>
      </c>
      <c r="AK553">
        <v>0</v>
      </c>
      <c r="AL553">
        <v>0</v>
      </c>
      <c r="AM553">
        <v>0</v>
      </c>
      <c r="AN553">
        <v>0</v>
      </c>
      <c r="AO553">
        <v>0</v>
      </c>
      <c r="AP553">
        <v>0</v>
      </c>
      <c r="AQ553">
        <v>0</v>
      </c>
      <c r="AR553">
        <v>0</v>
      </c>
      <c r="AS553">
        <v>0</v>
      </c>
      <c r="AT553">
        <v>0</v>
      </c>
      <c r="AU553">
        <v>0</v>
      </c>
      <c r="AV553">
        <v>0</v>
      </c>
      <c r="AW553">
        <v>0</v>
      </c>
      <c r="AX553">
        <v>0</v>
      </c>
      <c r="AY553">
        <v>0</v>
      </c>
      <c r="AZ553">
        <v>0</v>
      </c>
      <c r="BA553">
        <v>0</v>
      </c>
      <c r="BB553">
        <v>0</v>
      </c>
      <c r="BC553">
        <v>0</v>
      </c>
      <c r="BD553">
        <v>0</v>
      </c>
      <c r="BE553">
        <v>0</v>
      </c>
      <c r="BF553">
        <v>0</v>
      </c>
      <c r="BG553">
        <v>0</v>
      </c>
      <c r="BH553">
        <v>0</v>
      </c>
      <c r="BI553">
        <v>0</v>
      </c>
      <c r="BK553" s="151"/>
    </row>
    <row r="554" spans="1:63" x14ac:dyDescent="0.35">
      <c r="A554">
        <v>0</v>
      </c>
      <c r="B554">
        <v>0</v>
      </c>
      <c r="C554">
        <v>0</v>
      </c>
      <c r="D554">
        <v>0</v>
      </c>
      <c r="E554">
        <v>0</v>
      </c>
      <c r="F554">
        <v>0</v>
      </c>
      <c r="G554">
        <v>0</v>
      </c>
      <c r="H554">
        <v>0</v>
      </c>
      <c r="I554">
        <v>0</v>
      </c>
      <c r="J554">
        <v>0</v>
      </c>
      <c r="K554">
        <v>0</v>
      </c>
      <c r="L554">
        <v>0</v>
      </c>
      <c r="M554">
        <v>0</v>
      </c>
      <c r="N554">
        <v>0</v>
      </c>
      <c r="O554">
        <v>0</v>
      </c>
      <c r="P554">
        <v>0</v>
      </c>
      <c r="Q554">
        <v>0</v>
      </c>
      <c r="R554">
        <v>0</v>
      </c>
      <c r="S554">
        <v>0</v>
      </c>
      <c r="T554">
        <v>0</v>
      </c>
      <c r="U554">
        <v>0</v>
      </c>
      <c r="V554">
        <v>0</v>
      </c>
      <c r="W554">
        <v>0</v>
      </c>
      <c r="X554">
        <v>0</v>
      </c>
      <c r="Y554">
        <v>0</v>
      </c>
      <c r="Z554">
        <v>0</v>
      </c>
      <c r="AA554">
        <v>0</v>
      </c>
      <c r="AB554">
        <v>0</v>
      </c>
      <c r="AC554">
        <v>0</v>
      </c>
      <c r="AD554">
        <v>0</v>
      </c>
      <c r="AF554">
        <v>0</v>
      </c>
      <c r="AG554">
        <v>0</v>
      </c>
      <c r="AH554">
        <v>0</v>
      </c>
      <c r="AI554">
        <v>0</v>
      </c>
      <c r="AJ554">
        <v>0</v>
      </c>
      <c r="AK554">
        <v>0</v>
      </c>
      <c r="AL554">
        <v>0</v>
      </c>
      <c r="AM554">
        <v>0</v>
      </c>
      <c r="AN554">
        <v>0</v>
      </c>
      <c r="AO554">
        <v>0</v>
      </c>
      <c r="AP554">
        <v>0</v>
      </c>
      <c r="AQ554">
        <v>0</v>
      </c>
      <c r="AR554">
        <v>0</v>
      </c>
      <c r="AS554">
        <v>0</v>
      </c>
      <c r="AT554">
        <v>0</v>
      </c>
      <c r="AU554">
        <v>0</v>
      </c>
      <c r="AV554">
        <v>0</v>
      </c>
      <c r="AW554">
        <v>0</v>
      </c>
      <c r="AX554">
        <v>0</v>
      </c>
      <c r="AY554">
        <v>0</v>
      </c>
      <c r="AZ554">
        <v>0</v>
      </c>
      <c r="BA554">
        <v>0</v>
      </c>
      <c r="BB554">
        <v>0</v>
      </c>
      <c r="BC554">
        <v>0</v>
      </c>
      <c r="BD554">
        <v>0</v>
      </c>
      <c r="BE554">
        <v>0</v>
      </c>
      <c r="BF554">
        <v>0</v>
      </c>
      <c r="BG554">
        <v>0</v>
      </c>
      <c r="BH554">
        <v>0</v>
      </c>
      <c r="BI554">
        <v>0</v>
      </c>
      <c r="BK554" s="151"/>
    </row>
    <row r="555" spans="1:63" x14ac:dyDescent="0.35">
      <c r="A555">
        <v>0</v>
      </c>
      <c r="B555">
        <v>0</v>
      </c>
      <c r="C555">
        <v>0</v>
      </c>
      <c r="D555">
        <v>0</v>
      </c>
      <c r="E555">
        <v>0</v>
      </c>
      <c r="F555">
        <v>0</v>
      </c>
      <c r="G555">
        <v>0</v>
      </c>
      <c r="H555">
        <v>0</v>
      </c>
      <c r="I555">
        <v>0</v>
      </c>
      <c r="J555">
        <v>0</v>
      </c>
      <c r="K555">
        <v>0</v>
      </c>
      <c r="L555">
        <v>0</v>
      </c>
      <c r="M555">
        <v>0</v>
      </c>
      <c r="N555">
        <v>0</v>
      </c>
      <c r="O555">
        <v>0</v>
      </c>
      <c r="P555">
        <v>0</v>
      </c>
      <c r="Q555">
        <v>0</v>
      </c>
      <c r="R555">
        <v>0</v>
      </c>
      <c r="S555">
        <v>0</v>
      </c>
      <c r="T555">
        <v>0</v>
      </c>
      <c r="U555">
        <v>0</v>
      </c>
      <c r="V555">
        <v>0</v>
      </c>
      <c r="W555">
        <v>0</v>
      </c>
      <c r="X555">
        <v>0</v>
      </c>
      <c r="Y555">
        <v>0</v>
      </c>
      <c r="Z555">
        <v>0</v>
      </c>
      <c r="AA555">
        <v>0</v>
      </c>
      <c r="AB555">
        <v>0</v>
      </c>
      <c r="AC555">
        <v>0</v>
      </c>
      <c r="AD555">
        <v>0</v>
      </c>
      <c r="AF555">
        <v>0</v>
      </c>
      <c r="AG555">
        <v>0</v>
      </c>
      <c r="AH555">
        <v>0</v>
      </c>
      <c r="AI555">
        <v>0</v>
      </c>
      <c r="AJ555">
        <v>0</v>
      </c>
      <c r="AK555">
        <v>0</v>
      </c>
      <c r="AL555">
        <v>0</v>
      </c>
      <c r="AM555">
        <v>0</v>
      </c>
      <c r="AN555">
        <v>0</v>
      </c>
      <c r="AO555">
        <v>0</v>
      </c>
      <c r="AP555">
        <v>0</v>
      </c>
      <c r="AQ555">
        <v>0</v>
      </c>
      <c r="AR555">
        <v>0</v>
      </c>
      <c r="AS555">
        <v>0</v>
      </c>
      <c r="AT555">
        <v>0</v>
      </c>
      <c r="AU555">
        <v>0</v>
      </c>
      <c r="AV555">
        <v>0</v>
      </c>
      <c r="AW555">
        <v>0</v>
      </c>
      <c r="AX555">
        <v>0</v>
      </c>
      <c r="AY555">
        <v>0</v>
      </c>
      <c r="AZ555">
        <v>0</v>
      </c>
      <c r="BA555">
        <v>0</v>
      </c>
      <c r="BB555">
        <v>0</v>
      </c>
      <c r="BC555">
        <v>0</v>
      </c>
      <c r="BD555">
        <v>0</v>
      </c>
      <c r="BE555">
        <v>0</v>
      </c>
      <c r="BF555">
        <v>0</v>
      </c>
      <c r="BG555">
        <v>0</v>
      </c>
      <c r="BH555">
        <v>0</v>
      </c>
      <c r="BI555">
        <v>0</v>
      </c>
      <c r="BK555" s="151"/>
    </row>
    <row r="556" spans="1:63" x14ac:dyDescent="0.35">
      <c r="A556">
        <v>0</v>
      </c>
      <c r="B556">
        <v>0</v>
      </c>
      <c r="C556">
        <v>0</v>
      </c>
      <c r="D556">
        <v>0</v>
      </c>
      <c r="E556">
        <v>0</v>
      </c>
      <c r="F556">
        <v>0</v>
      </c>
      <c r="G556">
        <v>0</v>
      </c>
      <c r="H556">
        <v>0</v>
      </c>
      <c r="I556">
        <v>0</v>
      </c>
      <c r="J556">
        <v>0</v>
      </c>
      <c r="K556">
        <v>0</v>
      </c>
      <c r="L556">
        <v>0</v>
      </c>
      <c r="M556">
        <v>0</v>
      </c>
      <c r="N556">
        <v>0</v>
      </c>
      <c r="O556">
        <v>0</v>
      </c>
      <c r="P556">
        <v>0</v>
      </c>
      <c r="Q556">
        <v>0</v>
      </c>
      <c r="R556">
        <v>0</v>
      </c>
      <c r="S556">
        <v>0</v>
      </c>
      <c r="T556">
        <v>0</v>
      </c>
      <c r="U556">
        <v>0</v>
      </c>
      <c r="V556">
        <v>0</v>
      </c>
      <c r="W556">
        <v>0</v>
      </c>
      <c r="X556">
        <v>0</v>
      </c>
      <c r="Y556">
        <v>0</v>
      </c>
      <c r="Z556">
        <v>0</v>
      </c>
      <c r="AA556">
        <v>0</v>
      </c>
      <c r="AB556">
        <v>0</v>
      </c>
      <c r="AC556">
        <v>0</v>
      </c>
      <c r="AD556">
        <v>0</v>
      </c>
      <c r="AF556">
        <v>0</v>
      </c>
      <c r="AG556">
        <v>0</v>
      </c>
      <c r="AH556">
        <v>0</v>
      </c>
      <c r="AI556">
        <v>0</v>
      </c>
      <c r="AJ556">
        <v>0</v>
      </c>
      <c r="AK556">
        <v>0</v>
      </c>
      <c r="AL556">
        <v>0</v>
      </c>
      <c r="AM556">
        <v>0</v>
      </c>
      <c r="AN556">
        <v>0</v>
      </c>
      <c r="AO556">
        <v>0</v>
      </c>
      <c r="AP556">
        <v>0</v>
      </c>
      <c r="AQ556">
        <v>0</v>
      </c>
      <c r="AR556">
        <v>0</v>
      </c>
      <c r="AS556">
        <v>0</v>
      </c>
      <c r="AT556">
        <v>0</v>
      </c>
      <c r="AU556">
        <v>0</v>
      </c>
      <c r="AV556">
        <v>0</v>
      </c>
      <c r="AW556">
        <v>0</v>
      </c>
      <c r="AX556">
        <v>0</v>
      </c>
      <c r="AY556">
        <v>0</v>
      </c>
      <c r="AZ556">
        <v>0</v>
      </c>
      <c r="BA556">
        <v>0</v>
      </c>
      <c r="BB556">
        <v>0</v>
      </c>
      <c r="BC556">
        <v>0</v>
      </c>
      <c r="BD556">
        <v>0</v>
      </c>
      <c r="BE556">
        <v>0</v>
      </c>
      <c r="BF556">
        <v>0</v>
      </c>
      <c r="BG556">
        <v>0</v>
      </c>
      <c r="BH556">
        <v>0</v>
      </c>
      <c r="BI556">
        <v>0</v>
      </c>
      <c r="BK556" s="151"/>
    </row>
    <row r="557" spans="1:63" x14ac:dyDescent="0.35">
      <c r="A557">
        <v>0</v>
      </c>
      <c r="B557">
        <v>0</v>
      </c>
      <c r="C557">
        <v>0</v>
      </c>
      <c r="D557">
        <v>0</v>
      </c>
      <c r="E557">
        <v>0</v>
      </c>
      <c r="F557">
        <v>0</v>
      </c>
      <c r="G557">
        <v>0</v>
      </c>
      <c r="H557">
        <v>0</v>
      </c>
      <c r="I557">
        <v>0</v>
      </c>
      <c r="J557">
        <v>0</v>
      </c>
      <c r="K557">
        <v>0</v>
      </c>
      <c r="L557">
        <v>0</v>
      </c>
      <c r="M557">
        <v>0</v>
      </c>
      <c r="N557">
        <v>0</v>
      </c>
      <c r="O557">
        <v>0</v>
      </c>
      <c r="P557">
        <v>0</v>
      </c>
      <c r="Q557">
        <v>0</v>
      </c>
      <c r="R557">
        <v>0</v>
      </c>
      <c r="S557">
        <v>0</v>
      </c>
      <c r="T557">
        <v>0</v>
      </c>
      <c r="U557">
        <v>0</v>
      </c>
      <c r="V557">
        <v>0</v>
      </c>
      <c r="W557">
        <v>0</v>
      </c>
      <c r="X557">
        <v>0</v>
      </c>
      <c r="Y557">
        <v>0</v>
      </c>
      <c r="Z557">
        <v>0</v>
      </c>
      <c r="AA557">
        <v>0</v>
      </c>
      <c r="AB557">
        <v>0</v>
      </c>
      <c r="AC557">
        <v>0</v>
      </c>
      <c r="AD557">
        <v>0</v>
      </c>
      <c r="AF557">
        <v>0</v>
      </c>
      <c r="AG557">
        <v>0</v>
      </c>
      <c r="AH557">
        <v>0</v>
      </c>
      <c r="AI557">
        <v>0</v>
      </c>
      <c r="AJ557">
        <v>0</v>
      </c>
      <c r="AK557">
        <v>0</v>
      </c>
      <c r="AL557">
        <v>0</v>
      </c>
      <c r="AM557">
        <v>0</v>
      </c>
      <c r="AN557">
        <v>0</v>
      </c>
      <c r="AO557">
        <v>0</v>
      </c>
      <c r="AP557">
        <v>0</v>
      </c>
      <c r="AQ557">
        <v>0</v>
      </c>
      <c r="AR557">
        <v>0</v>
      </c>
      <c r="AS557">
        <v>0</v>
      </c>
      <c r="AT557">
        <v>0</v>
      </c>
      <c r="AU557">
        <v>0</v>
      </c>
      <c r="AV557">
        <v>0</v>
      </c>
      <c r="AW557">
        <v>0</v>
      </c>
      <c r="AX557">
        <v>0</v>
      </c>
      <c r="AY557">
        <v>0</v>
      </c>
      <c r="AZ557">
        <v>0</v>
      </c>
      <c r="BA557">
        <v>0</v>
      </c>
      <c r="BB557">
        <v>0</v>
      </c>
      <c r="BC557">
        <v>0</v>
      </c>
      <c r="BD557">
        <v>0</v>
      </c>
      <c r="BE557">
        <v>0</v>
      </c>
      <c r="BF557">
        <v>0</v>
      </c>
      <c r="BG557">
        <v>0</v>
      </c>
      <c r="BH557">
        <v>0</v>
      </c>
      <c r="BI557">
        <v>0</v>
      </c>
      <c r="BK557" s="151"/>
    </row>
    <row r="558" spans="1:63" x14ac:dyDescent="0.35">
      <c r="A558">
        <v>0</v>
      </c>
      <c r="B558">
        <v>0</v>
      </c>
      <c r="C558">
        <v>0</v>
      </c>
      <c r="D558">
        <v>0</v>
      </c>
      <c r="E558">
        <v>0</v>
      </c>
      <c r="F558">
        <v>0</v>
      </c>
      <c r="G558">
        <v>0</v>
      </c>
      <c r="H558">
        <v>0</v>
      </c>
      <c r="I558">
        <v>0</v>
      </c>
      <c r="J558">
        <v>0</v>
      </c>
      <c r="K558">
        <v>0</v>
      </c>
      <c r="L558">
        <v>0</v>
      </c>
      <c r="M558">
        <v>0</v>
      </c>
      <c r="N558">
        <v>0</v>
      </c>
      <c r="O558">
        <v>0</v>
      </c>
      <c r="P558">
        <v>0</v>
      </c>
      <c r="Q558">
        <v>0</v>
      </c>
      <c r="R558">
        <v>0</v>
      </c>
      <c r="S558">
        <v>0</v>
      </c>
      <c r="T558">
        <v>0</v>
      </c>
      <c r="U558">
        <v>0</v>
      </c>
      <c r="V558">
        <v>0</v>
      </c>
      <c r="W558">
        <v>0</v>
      </c>
      <c r="X558">
        <v>0</v>
      </c>
      <c r="Y558">
        <v>0</v>
      </c>
      <c r="Z558">
        <v>0</v>
      </c>
      <c r="AA558">
        <v>0</v>
      </c>
      <c r="AB558">
        <v>0</v>
      </c>
      <c r="AC558">
        <v>0</v>
      </c>
      <c r="AD558">
        <v>0</v>
      </c>
      <c r="AF558">
        <v>0</v>
      </c>
      <c r="AG558">
        <v>0</v>
      </c>
      <c r="AH558">
        <v>0</v>
      </c>
      <c r="AI558">
        <v>0</v>
      </c>
      <c r="AJ558">
        <v>0</v>
      </c>
      <c r="AK558">
        <v>0</v>
      </c>
      <c r="AL558">
        <v>0</v>
      </c>
      <c r="AM558">
        <v>0</v>
      </c>
      <c r="AN558">
        <v>0</v>
      </c>
      <c r="AO558">
        <v>0</v>
      </c>
      <c r="AP558">
        <v>0</v>
      </c>
      <c r="AQ558">
        <v>0</v>
      </c>
      <c r="AR558">
        <v>0</v>
      </c>
      <c r="AS558">
        <v>0</v>
      </c>
      <c r="AT558">
        <v>0</v>
      </c>
      <c r="AU558">
        <v>0</v>
      </c>
      <c r="AV558">
        <v>0</v>
      </c>
      <c r="AW558">
        <v>0</v>
      </c>
      <c r="AX558">
        <v>0</v>
      </c>
      <c r="AY558">
        <v>0</v>
      </c>
      <c r="AZ558">
        <v>0</v>
      </c>
      <c r="BA558">
        <v>0</v>
      </c>
      <c r="BB558">
        <v>0</v>
      </c>
      <c r="BC558">
        <v>0</v>
      </c>
      <c r="BD558">
        <v>0</v>
      </c>
      <c r="BE558">
        <v>0</v>
      </c>
      <c r="BF558">
        <v>0</v>
      </c>
      <c r="BG558">
        <v>0</v>
      </c>
      <c r="BH558">
        <v>0</v>
      </c>
      <c r="BI558">
        <v>0</v>
      </c>
      <c r="BK558" s="151"/>
    </row>
    <row r="559" spans="1:63" x14ac:dyDescent="0.35">
      <c r="A559">
        <v>0</v>
      </c>
      <c r="B559">
        <v>0</v>
      </c>
      <c r="C559">
        <v>0</v>
      </c>
      <c r="D559">
        <v>0</v>
      </c>
      <c r="E559">
        <v>0</v>
      </c>
      <c r="F559">
        <v>0</v>
      </c>
      <c r="G559">
        <v>0</v>
      </c>
      <c r="H559">
        <v>0</v>
      </c>
      <c r="I559">
        <v>0</v>
      </c>
      <c r="J559">
        <v>0</v>
      </c>
      <c r="K559">
        <v>0</v>
      </c>
      <c r="L559">
        <v>0</v>
      </c>
      <c r="M559">
        <v>0</v>
      </c>
      <c r="N559">
        <v>0</v>
      </c>
      <c r="O559">
        <v>0</v>
      </c>
      <c r="P559">
        <v>0</v>
      </c>
      <c r="Q559">
        <v>0</v>
      </c>
      <c r="R559">
        <v>0</v>
      </c>
      <c r="S559">
        <v>0</v>
      </c>
      <c r="T559">
        <v>0</v>
      </c>
      <c r="U559">
        <v>0</v>
      </c>
      <c r="V559">
        <v>0</v>
      </c>
      <c r="W559">
        <v>0</v>
      </c>
      <c r="X559">
        <v>0</v>
      </c>
      <c r="Y559">
        <v>0</v>
      </c>
      <c r="Z559">
        <v>0</v>
      </c>
      <c r="AA559">
        <v>0</v>
      </c>
      <c r="AB559">
        <v>0</v>
      </c>
      <c r="AC559">
        <v>0</v>
      </c>
      <c r="AD559">
        <v>0</v>
      </c>
      <c r="AF559">
        <v>0</v>
      </c>
      <c r="AG559">
        <v>0</v>
      </c>
      <c r="AH559">
        <v>0</v>
      </c>
      <c r="AI559">
        <v>0</v>
      </c>
      <c r="AJ559">
        <v>0</v>
      </c>
      <c r="AK559">
        <v>0</v>
      </c>
      <c r="AL559">
        <v>0</v>
      </c>
      <c r="AM559">
        <v>0</v>
      </c>
      <c r="AN559">
        <v>0</v>
      </c>
      <c r="AO559">
        <v>0</v>
      </c>
      <c r="AP559">
        <v>0</v>
      </c>
      <c r="AQ559">
        <v>0</v>
      </c>
      <c r="AR559">
        <v>0</v>
      </c>
      <c r="AS559">
        <v>0</v>
      </c>
      <c r="AT559">
        <v>0</v>
      </c>
      <c r="AU559">
        <v>0</v>
      </c>
      <c r="AV559">
        <v>0</v>
      </c>
      <c r="AW559">
        <v>0</v>
      </c>
      <c r="AX559">
        <v>0</v>
      </c>
      <c r="AY559">
        <v>0</v>
      </c>
      <c r="AZ559">
        <v>0</v>
      </c>
      <c r="BA559">
        <v>0</v>
      </c>
      <c r="BB559">
        <v>0</v>
      </c>
      <c r="BC559">
        <v>0</v>
      </c>
      <c r="BD559">
        <v>0</v>
      </c>
      <c r="BE559">
        <v>0</v>
      </c>
      <c r="BF559">
        <v>0</v>
      </c>
      <c r="BG559">
        <v>0</v>
      </c>
      <c r="BH559">
        <v>0</v>
      </c>
      <c r="BI559">
        <v>0</v>
      </c>
      <c r="BK559" s="151"/>
    </row>
    <row r="560" spans="1:63" x14ac:dyDescent="0.35">
      <c r="A560">
        <v>0</v>
      </c>
      <c r="B560">
        <v>0</v>
      </c>
      <c r="C560">
        <v>0</v>
      </c>
      <c r="D560">
        <v>0</v>
      </c>
      <c r="E560">
        <v>0</v>
      </c>
      <c r="F560">
        <v>0</v>
      </c>
      <c r="G560">
        <v>0</v>
      </c>
      <c r="H560">
        <v>0</v>
      </c>
      <c r="I560">
        <v>0</v>
      </c>
      <c r="J560">
        <v>0</v>
      </c>
      <c r="K560">
        <v>0</v>
      </c>
      <c r="L560">
        <v>0</v>
      </c>
      <c r="M560">
        <v>0</v>
      </c>
      <c r="N560">
        <v>0</v>
      </c>
      <c r="O560">
        <v>0</v>
      </c>
      <c r="P560">
        <v>0</v>
      </c>
      <c r="Q560">
        <v>0</v>
      </c>
      <c r="R560">
        <v>0</v>
      </c>
      <c r="S560">
        <v>0</v>
      </c>
      <c r="T560">
        <v>0</v>
      </c>
      <c r="U560">
        <v>0</v>
      </c>
      <c r="V560">
        <v>0</v>
      </c>
      <c r="W560">
        <v>0</v>
      </c>
      <c r="X560">
        <v>0</v>
      </c>
      <c r="Y560">
        <v>0</v>
      </c>
      <c r="Z560">
        <v>0</v>
      </c>
      <c r="AA560">
        <v>0</v>
      </c>
      <c r="AB560">
        <v>0</v>
      </c>
      <c r="AC560">
        <v>0</v>
      </c>
      <c r="AD560">
        <v>0</v>
      </c>
      <c r="AF560">
        <v>0</v>
      </c>
      <c r="AG560">
        <v>0</v>
      </c>
      <c r="AH560">
        <v>0</v>
      </c>
      <c r="AI560">
        <v>0</v>
      </c>
      <c r="AJ560">
        <v>0</v>
      </c>
      <c r="AK560">
        <v>0</v>
      </c>
      <c r="AL560">
        <v>0</v>
      </c>
      <c r="AM560">
        <v>0</v>
      </c>
      <c r="AN560">
        <v>0</v>
      </c>
      <c r="AO560">
        <v>0</v>
      </c>
      <c r="AP560">
        <v>0</v>
      </c>
      <c r="AQ560">
        <v>0</v>
      </c>
      <c r="AR560">
        <v>0</v>
      </c>
      <c r="AS560">
        <v>0</v>
      </c>
      <c r="AT560">
        <v>0</v>
      </c>
      <c r="AU560">
        <v>0</v>
      </c>
      <c r="AV560">
        <v>0</v>
      </c>
      <c r="AW560">
        <v>0</v>
      </c>
      <c r="AX560">
        <v>0</v>
      </c>
      <c r="AY560">
        <v>0</v>
      </c>
      <c r="AZ560">
        <v>0</v>
      </c>
      <c r="BA560">
        <v>0</v>
      </c>
      <c r="BB560">
        <v>0</v>
      </c>
      <c r="BC560">
        <v>0</v>
      </c>
      <c r="BD560">
        <v>0</v>
      </c>
      <c r="BE560">
        <v>0</v>
      </c>
      <c r="BF560">
        <v>0</v>
      </c>
      <c r="BG560">
        <v>0</v>
      </c>
      <c r="BH560">
        <v>0</v>
      </c>
      <c r="BI560">
        <v>0</v>
      </c>
      <c r="BK560" s="151"/>
    </row>
    <row r="561" spans="1:63" x14ac:dyDescent="0.35">
      <c r="A561">
        <v>0</v>
      </c>
      <c r="B561">
        <v>0</v>
      </c>
      <c r="C561">
        <v>0</v>
      </c>
      <c r="D561">
        <v>0</v>
      </c>
      <c r="E561">
        <v>0</v>
      </c>
      <c r="F561">
        <v>0</v>
      </c>
      <c r="G561">
        <v>0</v>
      </c>
      <c r="H561">
        <v>0</v>
      </c>
      <c r="I561">
        <v>0</v>
      </c>
      <c r="J561">
        <v>0</v>
      </c>
      <c r="K561">
        <v>0</v>
      </c>
      <c r="L561">
        <v>0</v>
      </c>
      <c r="M561">
        <v>0</v>
      </c>
      <c r="N561">
        <v>0</v>
      </c>
      <c r="O561">
        <v>0</v>
      </c>
      <c r="P561">
        <v>0</v>
      </c>
      <c r="Q561">
        <v>0</v>
      </c>
      <c r="R561">
        <v>0</v>
      </c>
      <c r="S561">
        <v>0</v>
      </c>
      <c r="T561">
        <v>0</v>
      </c>
      <c r="U561">
        <v>0</v>
      </c>
      <c r="V561">
        <v>0</v>
      </c>
      <c r="W561">
        <v>0</v>
      </c>
      <c r="X561">
        <v>0</v>
      </c>
      <c r="Y561">
        <v>0</v>
      </c>
      <c r="Z561">
        <v>0</v>
      </c>
      <c r="AA561">
        <v>0</v>
      </c>
      <c r="AB561">
        <v>0</v>
      </c>
      <c r="AC561">
        <v>0</v>
      </c>
      <c r="AD561">
        <v>0</v>
      </c>
      <c r="AF561">
        <v>0</v>
      </c>
      <c r="AG561">
        <v>0</v>
      </c>
      <c r="AH561">
        <v>0</v>
      </c>
      <c r="AI561">
        <v>0</v>
      </c>
      <c r="AJ561">
        <v>0</v>
      </c>
      <c r="AK561">
        <v>0</v>
      </c>
      <c r="AL561">
        <v>0</v>
      </c>
      <c r="AM561">
        <v>0</v>
      </c>
      <c r="AN561">
        <v>0</v>
      </c>
      <c r="AO561">
        <v>0</v>
      </c>
      <c r="AP561">
        <v>0</v>
      </c>
      <c r="AQ561">
        <v>0</v>
      </c>
      <c r="AR561">
        <v>0</v>
      </c>
      <c r="AS561">
        <v>0</v>
      </c>
      <c r="AT561">
        <v>0</v>
      </c>
      <c r="AU561">
        <v>0</v>
      </c>
      <c r="AV561">
        <v>0</v>
      </c>
      <c r="AW561">
        <v>0</v>
      </c>
      <c r="AX561">
        <v>0</v>
      </c>
      <c r="AY561">
        <v>0</v>
      </c>
      <c r="AZ561">
        <v>0</v>
      </c>
      <c r="BA561">
        <v>0</v>
      </c>
      <c r="BB561">
        <v>0</v>
      </c>
      <c r="BC561">
        <v>0</v>
      </c>
      <c r="BD561">
        <v>0</v>
      </c>
      <c r="BE561">
        <v>0</v>
      </c>
      <c r="BF561">
        <v>0</v>
      </c>
      <c r="BG561">
        <v>0</v>
      </c>
      <c r="BH561">
        <v>0</v>
      </c>
      <c r="BI561">
        <v>0</v>
      </c>
      <c r="BK561" s="151"/>
    </row>
    <row r="562" spans="1:63" x14ac:dyDescent="0.35">
      <c r="A562">
        <v>0</v>
      </c>
      <c r="B562">
        <v>0</v>
      </c>
      <c r="C562">
        <v>0</v>
      </c>
      <c r="D562">
        <v>0</v>
      </c>
      <c r="E562">
        <v>0</v>
      </c>
      <c r="F562">
        <v>0</v>
      </c>
      <c r="G562">
        <v>0</v>
      </c>
      <c r="H562">
        <v>0</v>
      </c>
      <c r="I562">
        <v>0</v>
      </c>
      <c r="J562">
        <v>0</v>
      </c>
      <c r="K562">
        <v>0</v>
      </c>
      <c r="L562">
        <v>0</v>
      </c>
      <c r="M562">
        <v>0</v>
      </c>
      <c r="N562">
        <v>0</v>
      </c>
      <c r="O562">
        <v>0</v>
      </c>
      <c r="P562">
        <v>0</v>
      </c>
      <c r="Q562">
        <v>0</v>
      </c>
      <c r="R562">
        <v>0</v>
      </c>
      <c r="S562">
        <v>0</v>
      </c>
      <c r="T562">
        <v>0</v>
      </c>
      <c r="U562">
        <v>0</v>
      </c>
      <c r="V562">
        <v>0</v>
      </c>
      <c r="W562">
        <v>0</v>
      </c>
      <c r="X562">
        <v>0</v>
      </c>
      <c r="Y562">
        <v>0</v>
      </c>
      <c r="Z562">
        <v>0</v>
      </c>
      <c r="AA562">
        <v>0</v>
      </c>
      <c r="AB562">
        <v>0</v>
      </c>
      <c r="AC562">
        <v>0</v>
      </c>
      <c r="AD562">
        <v>0</v>
      </c>
      <c r="AF562">
        <v>0</v>
      </c>
      <c r="AG562">
        <v>0</v>
      </c>
      <c r="AH562">
        <v>0</v>
      </c>
      <c r="AI562">
        <v>0</v>
      </c>
      <c r="AJ562">
        <v>0</v>
      </c>
      <c r="AK562">
        <v>0</v>
      </c>
      <c r="AL562">
        <v>0</v>
      </c>
      <c r="AM562">
        <v>0</v>
      </c>
      <c r="AN562">
        <v>0</v>
      </c>
      <c r="AO562">
        <v>0</v>
      </c>
      <c r="AP562">
        <v>0</v>
      </c>
      <c r="AQ562">
        <v>0</v>
      </c>
      <c r="AR562">
        <v>0</v>
      </c>
      <c r="AS562">
        <v>0</v>
      </c>
      <c r="AT562">
        <v>0</v>
      </c>
      <c r="AU562">
        <v>0</v>
      </c>
      <c r="AV562">
        <v>0</v>
      </c>
      <c r="AW562">
        <v>0</v>
      </c>
      <c r="AX562">
        <v>0</v>
      </c>
      <c r="AY562">
        <v>0</v>
      </c>
      <c r="AZ562">
        <v>0</v>
      </c>
      <c r="BA562">
        <v>0</v>
      </c>
      <c r="BB562">
        <v>0</v>
      </c>
      <c r="BC562">
        <v>0</v>
      </c>
      <c r="BD562">
        <v>0</v>
      </c>
      <c r="BE562">
        <v>0</v>
      </c>
      <c r="BF562">
        <v>0</v>
      </c>
      <c r="BG562">
        <v>0</v>
      </c>
      <c r="BH562">
        <v>0</v>
      </c>
      <c r="BI562">
        <v>0</v>
      </c>
      <c r="BK562" s="151"/>
    </row>
    <row r="563" spans="1:63" x14ac:dyDescent="0.35">
      <c r="A563">
        <v>0</v>
      </c>
      <c r="B563">
        <v>0</v>
      </c>
      <c r="C563">
        <v>0</v>
      </c>
      <c r="D563">
        <v>0</v>
      </c>
      <c r="E563">
        <v>0</v>
      </c>
      <c r="F563">
        <v>0</v>
      </c>
      <c r="G563">
        <v>0</v>
      </c>
      <c r="H563">
        <v>0</v>
      </c>
      <c r="I563">
        <v>0</v>
      </c>
      <c r="J563">
        <v>0</v>
      </c>
      <c r="K563">
        <v>0</v>
      </c>
      <c r="L563">
        <v>0</v>
      </c>
      <c r="M563">
        <v>0</v>
      </c>
      <c r="N563">
        <v>0</v>
      </c>
      <c r="O563">
        <v>0</v>
      </c>
      <c r="P563">
        <v>0</v>
      </c>
      <c r="Q563">
        <v>0</v>
      </c>
      <c r="R563">
        <v>0</v>
      </c>
      <c r="S563">
        <v>0</v>
      </c>
      <c r="T563">
        <v>0</v>
      </c>
      <c r="U563">
        <v>0</v>
      </c>
      <c r="V563">
        <v>0</v>
      </c>
      <c r="W563">
        <v>0</v>
      </c>
      <c r="X563">
        <v>0</v>
      </c>
      <c r="Y563">
        <v>0</v>
      </c>
      <c r="Z563">
        <v>0</v>
      </c>
      <c r="AA563">
        <v>0</v>
      </c>
      <c r="AB563">
        <v>0</v>
      </c>
      <c r="AC563">
        <v>0</v>
      </c>
      <c r="AD563">
        <v>0</v>
      </c>
      <c r="AF563">
        <v>0</v>
      </c>
      <c r="AG563">
        <v>0</v>
      </c>
      <c r="AH563">
        <v>0</v>
      </c>
      <c r="AI563">
        <v>0</v>
      </c>
      <c r="AJ563">
        <v>0</v>
      </c>
      <c r="AK563">
        <v>0</v>
      </c>
      <c r="AL563">
        <v>0</v>
      </c>
      <c r="AM563">
        <v>0</v>
      </c>
      <c r="AN563">
        <v>0</v>
      </c>
      <c r="AO563">
        <v>0</v>
      </c>
      <c r="AP563">
        <v>0</v>
      </c>
      <c r="AQ563">
        <v>0</v>
      </c>
      <c r="AR563">
        <v>0</v>
      </c>
      <c r="AS563">
        <v>0</v>
      </c>
      <c r="AT563">
        <v>0</v>
      </c>
      <c r="AU563">
        <v>0</v>
      </c>
      <c r="AV563">
        <v>0</v>
      </c>
      <c r="AW563">
        <v>0</v>
      </c>
      <c r="AX563">
        <v>0</v>
      </c>
      <c r="AY563">
        <v>0</v>
      </c>
      <c r="AZ563">
        <v>0</v>
      </c>
      <c r="BA563">
        <v>0</v>
      </c>
      <c r="BB563">
        <v>0</v>
      </c>
      <c r="BC563">
        <v>0</v>
      </c>
      <c r="BD563">
        <v>0</v>
      </c>
      <c r="BE563">
        <v>0</v>
      </c>
      <c r="BF563">
        <v>0</v>
      </c>
      <c r="BG563">
        <v>0</v>
      </c>
      <c r="BH563">
        <v>0</v>
      </c>
      <c r="BI563">
        <v>0</v>
      </c>
      <c r="BK563" s="151"/>
    </row>
    <row r="564" spans="1:63" x14ac:dyDescent="0.35">
      <c r="A564">
        <v>0</v>
      </c>
      <c r="B564">
        <v>0</v>
      </c>
      <c r="C564">
        <v>0</v>
      </c>
      <c r="D564">
        <v>0</v>
      </c>
      <c r="E564">
        <v>0</v>
      </c>
      <c r="F564">
        <v>0</v>
      </c>
      <c r="G564">
        <v>0</v>
      </c>
      <c r="H564">
        <v>0</v>
      </c>
      <c r="I564">
        <v>0</v>
      </c>
      <c r="J564">
        <v>0</v>
      </c>
      <c r="K564">
        <v>0</v>
      </c>
      <c r="L564">
        <v>0</v>
      </c>
      <c r="M564">
        <v>0</v>
      </c>
      <c r="N564">
        <v>0</v>
      </c>
      <c r="O564">
        <v>0</v>
      </c>
      <c r="P564">
        <v>0</v>
      </c>
      <c r="Q564">
        <v>0</v>
      </c>
      <c r="R564">
        <v>0</v>
      </c>
      <c r="S564">
        <v>0</v>
      </c>
      <c r="T564">
        <v>0</v>
      </c>
      <c r="U564">
        <v>0</v>
      </c>
      <c r="V564">
        <v>0</v>
      </c>
      <c r="W564">
        <v>0</v>
      </c>
      <c r="X564">
        <v>0</v>
      </c>
      <c r="Y564">
        <v>0</v>
      </c>
      <c r="Z564">
        <v>0</v>
      </c>
      <c r="AA564">
        <v>0</v>
      </c>
      <c r="AB564">
        <v>0</v>
      </c>
      <c r="AC564">
        <v>0</v>
      </c>
      <c r="AD564">
        <v>0</v>
      </c>
      <c r="AF564">
        <v>0</v>
      </c>
      <c r="AG564">
        <v>0</v>
      </c>
      <c r="AH564">
        <v>0</v>
      </c>
      <c r="AI564">
        <v>0</v>
      </c>
      <c r="AJ564">
        <v>0</v>
      </c>
      <c r="AK564">
        <v>0</v>
      </c>
      <c r="AL564">
        <v>0</v>
      </c>
      <c r="AM564">
        <v>0</v>
      </c>
      <c r="AN564">
        <v>0</v>
      </c>
      <c r="AO564">
        <v>0</v>
      </c>
      <c r="AP564">
        <v>0</v>
      </c>
      <c r="AQ564">
        <v>0</v>
      </c>
      <c r="AR564">
        <v>0</v>
      </c>
      <c r="AS564">
        <v>0</v>
      </c>
      <c r="AT564">
        <v>0</v>
      </c>
      <c r="AU564">
        <v>0</v>
      </c>
      <c r="AV564">
        <v>0</v>
      </c>
      <c r="AW564">
        <v>0</v>
      </c>
      <c r="AX564">
        <v>0</v>
      </c>
      <c r="AY564">
        <v>0</v>
      </c>
      <c r="AZ564">
        <v>0</v>
      </c>
      <c r="BA564">
        <v>0</v>
      </c>
      <c r="BB564">
        <v>0</v>
      </c>
      <c r="BC564">
        <v>0</v>
      </c>
      <c r="BD564">
        <v>0</v>
      </c>
      <c r="BE564">
        <v>0</v>
      </c>
      <c r="BF564">
        <v>0</v>
      </c>
      <c r="BG564">
        <v>0</v>
      </c>
      <c r="BH564">
        <v>0</v>
      </c>
      <c r="BI564">
        <v>0</v>
      </c>
      <c r="BK564" s="151"/>
    </row>
    <row r="565" spans="1:63" x14ac:dyDescent="0.35">
      <c r="A565">
        <v>0</v>
      </c>
      <c r="B565">
        <v>0</v>
      </c>
      <c r="C565">
        <v>0</v>
      </c>
      <c r="D565">
        <v>0</v>
      </c>
      <c r="E565">
        <v>0</v>
      </c>
      <c r="F565">
        <v>0</v>
      </c>
      <c r="G565">
        <v>0</v>
      </c>
      <c r="H565">
        <v>0</v>
      </c>
      <c r="I565">
        <v>0</v>
      </c>
      <c r="J565">
        <v>0</v>
      </c>
      <c r="K565">
        <v>0</v>
      </c>
      <c r="L565">
        <v>0</v>
      </c>
      <c r="M565">
        <v>0</v>
      </c>
      <c r="N565">
        <v>0</v>
      </c>
      <c r="O565">
        <v>0</v>
      </c>
      <c r="P565">
        <v>0</v>
      </c>
      <c r="Q565">
        <v>0</v>
      </c>
      <c r="R565">
        <v>0</v>
      </c>
      <c r="S565">
        <v>0</v>
      </c>
      <c r="T565">
        <v>0</v>
      </c>
      <c r="U565">
        <v>0</v>
      </c>
      <c r="V565">
        <v>0</v>
      </c>
      <c r="W565">
        <v>0</v>
      </c>
      <c r="X565">
        <v>0</v>
      </c>
      <c r="Y565">
        <v>0</v>
      </c>
      <c r="Z565">
        <v>0</v>
      </c>
      <c r="AA565">
        <v>0</v>
      </c>
      <c r="AB565">
        <v>0</v>
      </c>
      <c r="AC565">
        <v>0</v>
      </c>
      <c r="AD565">
        <v>0</v>
      </c>
      <c r="AF565">
        <v>0</v>
      </c>
      <c r="AG565">
        <v>0</v>
      </c>
      <c r="AH565">
        <v>0</v>
      </c>
      <c r="AI565">
        <v>0</v>
      </c>
      <c r="AJ565">
        <v>0</v>
      </c>
      <c r="AK565">
        <v>0</v>
      </c>
      <c r="AL565">
        <v>0</v>
      </c>
      <c r="AM565">
        <v>0</v>
      </c>
      <c r="AN565">
        <v>0</v>
      </c>
      <c r="AO565">
        <v>0</v>
      </c>
      <c r="AP565">
        <v>0</v>
      </c>
      <c r="AQ565">
        <v>0</v>
      </c>
      <c r="AR565">
        <v>0</v>
      </c>
      <c r="AS565">
        <v>0</v>
      </c>
      <c r="AT565">
        <v>0</v>
      </c>
      <c r="AU565">
        <v>0</v>
      </c>
      <c r="AV565">
        <v>0</v>
      </c>
      <c r="AW565">
        <v>0</v>
      </c>
      <c r="AX565">
        <v>0</v>
      </c>
      <c r="AY565">
        <v>0</v>
      </c>
      <c r="AZ565">
        <v>0</v>
      </c>
      <c r="BA565">
        <v>0</v>
      </c>
      <c r="BB565">
        <v>0</v>
      </c>
      <c r="BC565">
        <v>0</v>
      </c>
      <c r="BD565">
        <v>0</v>
      </c>
      <c r="BE565">
        <v>0</v>
      </c>
      <c r="BF565">
        <v>0</v>
      </c>
      <c r="BG565">
        <v>0</v>
      </c>
      <c r="BH565">
        <v>0</v>
      </c>
      <c r="BI565">
        <v>0</v>
      </c>
      <c r="BK565" s="151"/>
    </row>
    <row r="566" spans="1:63" x14ac:dyDescent="0.35">
      <c r="A566">
        <v>0</v>
      </c>
      <c r="B566">
        <v>0</v>
      </c>
      <c r="C566">
        <v>0</v>
      </c>
      <c r="D566">
        <v>0</v>
      </c>
      <c r="E566">
        <v>0</v>
      </c>
      <c r="F566">
        <v>0</v>
      </c>
      <c r="G566">
        <v>0</v>
      </c>
      <c r="H566">
        <v>0</v>
      </c>
      <c r="I566">
        <v>0</v>
      </c>
      <c r="J566">
        <v>0</v>
      </c>
      <c r="K566">
        <v>0</v>
      </c>
      <c r="L566">
        <v>0</v>
      </c>
      <c r="M566">
        <v>0</v>
      </c>
      <c r="N566">
        <v>0</v>
      </c>
      <c r="O566">
        <v>0</v>
      </c>
      <c r="P566">
        <v>0</v>
      </c>
      <c r="Q566">
        <v>0</v>
      </c>
      <c r="R566">
        <v>0</v>
      </c>
      <c r="S566">
        <v>0</v>
      </c>
      <c r="T566">
        <v>0</v>
      </c>
      <c r="U566">
        <v>0</v>
      </c>
      <c r="V566">
        <v>0</v>
      </c>
      <c r="W566">
        <v>0</v>
      </c>
      <c r="X566">
        <v>0</v>
      </c>
      <c r="Y566">
        <v>0</v>
      </c>
      <c r="Z566">
        <v>0</v>
      </c>
      <c r="AA566">
        <v>0</v>
      </c>
      <c r="AB566">
        <v>0</v>
      </c>
      <c r="AC566">
        <v>0</v>
      </c>
      <c r="AD566">
        <v>0</v>
      </c>
      <c r="AF566">
        <v>0</v>
      </c>
      <c r="AG566">
        <v>0</v>
      </c>
      <c r="AH566">
        <v>0</v>
      </c>
      <c r="AI566">
        <v>0</v>
      </c>
      <c r="AJ566">
        <v>0</v>
      </c>
      <c r="AK566">
        <v>0</v>
      </c>
      <c r="AL566">
        <v>0</v>
      </c>
      <c r="AM566">
        <v>0</v>
      </c>
      <c r="AN566">
        <v>0</v>
      </c>
      <c r="AO566">
        <v>0</v>
      </c>
      <c r="AP566">
        <v>0</v>
      </c>
      <c r="AQ566">
        <v>0</v>
      </c>
      <c r="AR566">
        <v>0</v>
      </c>
      <c r="AS566">
        <v>0</v>
      </c>
      <c r="AT566">
        <v>0</v>
      </c>
      <c r="AU566">
        <v>0</v>
      </c>
      <c r="AV566">
        <v>0</v>
      </c>
      <c r="AW566">
        <v>0</v>
      </c>
      <c r="AX566">
        <v>0</v>
      </c>
      <c r="AY566">
        <v>0</v>
      </c>
      <c r="AZ566">
        <v>0</v>
      </c>
      <c r="BA566">
        <v>0</v>
      </c>
      <c r="BB566">
        <v>0</v>
      </c>
      <c r="BC566">
        <v>0</v>
      </c>
      <c r="BD566">
        <v>0</v>
      </c>
      <c r="BE566">
        <v>0</v>
      </c>
      <c r="BF566">
        <v>0</v>
      </c>
      <c r="BG566">
        <v>0</v>
      </c>
      <c r="BH566">
        <v>0</v>
      </c>
      <c r="BI566">
        <v>0</v>
      </c>
      <c r="BK566" s="151"/>
    </row>
    <row r="567" spans="1:63" x14ac:dyDescent="0.35">
      <c r="A567">
        <v>0</v>
      </c>
      <c r="B567">
        <v>0</v>
      </c>
      <c r="C567">
        <v>0</v>
      </c>
      <c r="D567">
        <v>0</v>
      </c>
      <c r="E567">
        <v>0</v>
      </c>
      <c r="F567">
        <v>0</v>
      </c>
      <c r="G567">
        <v>0</v>
      </c>
      <c r="H567">
        <v>0</v>
      </c>
      <c r="I567">
        <v>0</v>
      </c>
      <c r="J567">
        <v>0</v>
      </c>
      <c r="K567">
        <v>0</v>
      </c>
      <c r="L567">
        <v>0</v>
      </c>
      <c r="M567">
        <v>0</v>
      </c>
      <c r="N567">
        <v>0</v>
      </c>
      <c r="O567">
        <v>0</v>
      </c>
      <c r="P567">
        <v>0</v>
      </c>
      <c r="Q567">
        <v>0</v>
      </c>
      <c r="R567">
        <v>0</v>
      </c>
      <c r="S567">
        <v>0</v>
      </c>
      <c r="T567">
        <v>0</v>
      </c>
      <c r="U567">
        <v>0</v>
      </c>
      <c r="V567">
        <v>0</v>
      </c>
      <c r="W567">
        <v>0</v>
      </c>
      <c r="X567">
        <v>0</v>
      </c>
      <c r="Y567">
        <v>0</v>
      </c>
      <c r="Z567">
        <v>0</v>
      </c>
      <c r="AA567">
        <v>0</v>
      </c>
      <c r="AB567">
        <v>0</v>
      </c>
      <c r="AC567">
        <v>0</v>
      </c>
      <c r="AD567">
        <v>0</v>
      </c>
      <c r="AF567">
        <v>0</v>
      </c>
      <c r="AG567">
        <v>0</v>
      </c>
      <c r="AH567">
        <v>0</v>
      </c>
      <c r="AI567">
        <v>0</v>
      </c>
      <c r="AJ567">
        <v>0</v>
      </c>
      <c r="AK567">
        <v>0</v>
      </c>
      <c r="AL567">
        <v>0</v>
      </c>
      <c r="AM567">
        <v>0</v>
      </c>
      <c r="AN567">
        <v>0</v>
      </c>
      <c r="AO567">
        <v>0</v>
      </c>
      <c r="AP567">
        <v>0</v>
      </c>
      <c r="AQ567">
        <v>0</v>
      </c>
      <c r="AR567">
        <v>0</v>
      </c>
      <c r="AS567">
        <v>0</v>
      </c>
      <c r="AT567">
        <v>0</v>
      </c>
      <c r="AU567">
        <v>0</v>
      </c>
      <c r="AV567">
        <v>0</v>
      </c>
      <c r="AW567">
        <v>0</v>
      </c>
      <c r="AX567">
        <v>0</v>
      </c>
      <c r="AY567">
        <v>0</v>
      </c>
      <c r="AZ567">
        <v>0</v>
      </c>
      <c r="BA567">
        <v>0</v>
      </c>
      <c r="BB567">
        <v>0</v>
      </c>
      <c r="BC567">
        <v>0</v>
      </c>
      <c r="BD567">
        <v>0</v>
      </c>
      <c r="BE567">
        <v>0</v>
      </c>
      <c r="BF567">
        <v>0</v>
      </c>
      <c r="BG567">
        <v>0</v>
      </c>
      <c r="BH567">
        <v>0</v>
      </c>
      <c r="BI567">
        <v>0</v>
      </c>
      <c r="BK567" s="151"/>
    </row>
    <row r="568" spans="1:63" x14ac:dyDescent="0.35">
      <c r="A568">
        <v>0</v>
      </c>
      <c r="B568">
        <v>0</v>
      </c>
      <c r="C568">
        <v>0</v>
      </c>
      <c r="D568">
        <v>0</v>
      </c>
      <c r="E568">
        <v>0</v>
      </c>
      <c r="F568">
        <v>0</v>
      </c>
      <c r="G568">
        <v>0</v>
      </c>
      <c r="H568">
        <v>0</v>
      </c>
      <c r="I568">
        <v>0</v>
      </c>
      <c r="J568">
        <v>0</v>
      </c>
      <c r="K568">
        <v>0</v>
      </c>
      <c r="L568">
        <v>0</v>
      </c>
      <c r="M568">
        <v>0</v>
      </c>
      <c r="N568">
        <v>0</v>
      </c>
      <c r="O568">
        <v>0</v>
      </c>
      <c r="P568">
        <v>0</v>
      </c>
      <c r="Q568">
        <v>0</v>
      </c>
      <c r="R568">
        <v>0</v>
      </c>
      <c r="S568">
        <v>0</v>
      </c>
      <c r="T568">
        <v>0</v>
      </c>
      <c r="U568">
        <v>0</v>
      </c>
      <c r="V568">
        <v>0</v>
      </c>
      <c r="W568">
        <v>0</v>
      </c>
      <c r="X568">
        <v>0</v>
      </c>
      <c r="Y568">
        <v>0</v>
      </c>
      <c r="Z568">
        <v>0</v>
      </c>
      <c r="AA568">
        <v>0</v>
      </c>
      <c r="AB568">
        <v>0</v>
      </c>
      <c r="AC568">
        <v>0</v>
      </c>
      <c r="AD568">
        <v>0</v>
      </c>
      <c r="AF568">
        <v>0</v>
      </c>
      <c r="AG568">
        <v>0</v>
      </c>
      <c r="AH568">
        <v>0</v>
      </c>
      <c r="AI568">
        <v>0</v>
      </c>
      <c r="AJ568">
        <v>0</v>
      </c>
      <c r="AK568">
        <v>0</v>
      </c>
      <c r="AL568">
        <v>0</v>
      </c>
      <c r="AM568">
        <v>0</v>
      </c>
      <c r="AN568">
        <v>0</v>
      </c>
      <c r="AO568">
        <v>0</v>
      </c>
      <c r="AP568">
        <v>0</v>
      </c>
      <c r="AQ568">
        <v>0</v>
      </c>
      <c r="AR568">
        <v>0</v>
      </c>
      <c r="AS568">
        <v>0</v>
      </c>
      <c r="AT568">
        <v>0</v>
      </c>
      <c r="AU568">
        <v>0</v>
      </c>
      <c r="AV568">
        <v>0</v>
      </c>
      <c r="AW568">
        <v>0</v>
      </c>
      <c r="AX568">
        <v>0</v>
      </c>
      <c r="AY568">
        <v>0</v>
      </c>
      <c r="AZ568">
        <v>0</v>
      </c>
      <c r="BA568">
        <v>0</v>
      </c>
      <c r="BB568">
        <v>0</v>
      </c>
      <c r="BC568">
        <v>0</v>
      </c>
      <c r="BD568">
        <v>0</v>
      </c>
      <c r="BE568">
        <v>0</v>
      </c>
      <c r="BF568">
        <v>0</v>
      </c>
      <c r="BG568">
        <v>0</v>
      </c>
      <c r="BH568">
        <v>0</v>
      </c>
      <c r="BI568">
        <v>0</v>
      </c>
      <c r="BK568" s="151"/>
    </row>
    <row r="569" spans="1:63" x14ac:dyDescent="0.35">
      <c r="A569">
        <v>0</v>
      </c>
      <c r="B569">
        <v>0</v>
      </c>
      <c r="C569">
        <v>0</v>
      </c>
      <c r="D569">
        <v>0</v>
      </c>
      <c r="E569">
        <v>0</v>
      </c>
      <c r="F569">
        <v>0</v>
      </c>
      <c r="G569">
        <v>0</v>
      </c>
      <c r="H569">
        <v>0</v>
      </c>
      <c r="I569">
        <v>0</v>
      </c>
      <c r="J569">
        <v>0</v>
      </c>
      <c r="K569">
        <v>0</v>
      </c>
      <c r="L569">
        <v>0</v>
      </c>
      <c r="M569">
        <v>0</v>
      </c>
      <c r="N569">
        <v>0</v>
      </c>
      <c r="O569">
        <v>0</v>
      </c>
      <c r="P569">
        <v>0</v>
      </c>
      <c r="Q569">
        <v>0</v>
      </c>
      <c r="R569">
        <v>0</v>
      </c>
      <c r="S569">
        <v>0</v>
      </c>
      <c r="T569">
        <v>0</v>
      </c>
      <c r="U569">
        <v>0</v>
      </c>
      <c r="V569">
        <v>0</v>
      </c>
      <c r="W569">
        <v>0</v>
      </c>
      <c r="X569">
        <v>0</v>
      </c>
      <c r="Y569">
        <v>0</v>
      </c>
      <c r="Z569">
        <v>0</v>
      </c>
      <c r="AA569">
        <v>0</v>
      </c>
      <c r="AB569">
        <v>0</v>
      </c>
      <c r="AC569">
        <v>0</v>
      </c>
      <c r="AD569">
        <v>0</v>
      </c>
      <c r="AF569">
        <v>0</v>
      </c>
      <c r="AG569">
        <v>0</v>
      </c>
      <c r="AH569">
        <v>0</v>
      </c>
      <c r="AI569">
        <v>0</v>
      </c>
      <c r="AJ569">
        <v>0</v>
      </c>
      <c r="AK569">
        <v>0</v>
      </c>
      <c r="AL569">
        <v>0</v>
      </c>
      <c r="AM569">
        <v>0</v>
      </c>
      <c r="AN569">
        <v>0</v>
      </c>
      <c r="AO569">
        <v>0</v>
      </c>
      <c r="AP569">
        <v>0</v>
      </c>
      <c r="AQ569">
        <v>0</v>
      </c>
      <c r="AR569">
        <v>0</v>
      </c>
      <c r="AS569">
        <v>0</v>
      </c>
      <c r="AT569">
        <v>0</v>
      </c>
      <c r="AU569">
        <v>0</v>
      </c>
      <c r="AV569">
        <v>0</v>
      </c>
      <c r="AW569">
        <v>0</v>
      </c>
      <c r="AX569">
        <v>0</v>
      </c>
      <c r="AY569">
        <v>0</v>
      </c>
      <c r="AZ569">
        <v>0</v>
      </c>
      <c r="BA569">
        <v>0</v>
      </c>
      <c r="BB569">
        <v>0</v>
      </c>
      <c r="BC569">
        <v>0</v>
      </c>
      <c r="BD569">
        <v>0</v>
      </c>
      <c r="BE569">
        <v>0</v>
      </c>
      <c r="BF569">
        <v>0</v>
      </c>
      <c r="BG569">
        <v>0</v>
      </c>
      <c r="BH569">
        <v>0</v>
      </c>
      <c r="BI569">
        <v>0</v>
      </c>
      <c r="BK569" s="151"/>
    </row>
    <row r="570" spans="1:63" x14ac:dyDescent="0.35">
      <c r="A570">
        <v>0</v>
      </c>
      <c r="B570">
        <v>0</v>
      </c>
      <c r="C570">
        <v>0</v>
      </c>
      <c r="D570">
        <v>0</v>
      </c>
      <c r="E570">
        <v>0</v>
      </c>
      <c r="F570">
        <v>0</v>
      </c>
      <c r="G570">
        <v>0</v>
      </c>
      <c r="H570">
        <v>0</v>
      </c>
      <c r="I570">
        <v>0</v>
      </c>
      <c r="J570">
        <v>0</v>
      </c>
      <c r="K570">
        <v>0</v>
      </c>
      <c r="L570">
        <v>0</v>
      </c>
      <c r="M570">
        <v>0</v>
      </c>
      <c r="N570">
        <v>0</v>
      </c>
      <c r="O570">
        <v>0</v>
      </c>
      <c r="P570">
        <v>0</v>
      </c>
      <c r="Q570">
        <v>0</v>
      </c>
      <c r="R570">
        <v>0</v>
      </c>
      <c r="S570">
        <v>0</v>
      </c>
      <c r="T570">
        <v>0</v>
      </c>
      <c r="U570">
        <v>0</v>
      </c>
      <c r="V570">
        <v>0</v>
      </c>
      <c r="W570">
        <v>0</v>
      </c>
      <c r="X570">
        <v>0</v>
      </c>
      <c r="Y570">
        <v>0</v>
      </c>
      <c r="Z570">
        <v>0</v>
      </c>
      <c r="AA570">
        <v>0</v>
      </c>
      <c r="AB570">
        <v>0</v>
      </c>
      <c r="AC570">
        <v>0</v>
      </c>
      <c r="AD570">
        <v>0</v>
      </c>
      <c r="AF570">
        <v>0</v>
      </c>
      <c r="AG570">
        <v>0</v>
      </c>
      <c r="AH570">
        <v>0</v>
      </c>
      <c r="AI570">
        <v>0</v>
      </c>
      <c r="AJ570">
        <v>0</v>
      </c>
      <c r="AK570">
        <v>0</v>
      </c>
      <c r="AL570">
        <v>0</v>
      </c>
      <c r="AM570">
        <v>0</v>
      </c>
      <c r="AN570">
        <v>0</v>
      </c>
      <c r="AO570">
        <v>0</v>
      </c>
      <c r="AP570">
        <v>0</v>
      </c>
      <c r="AQ570">
        <v>0</v>
      </c>
      <c r="AR570">
        <v>0</v>
      </c>
      <c r="AS570">
        <v>0</v>
      </c>
      <c r="AT570">
        <v>0</v>
      </c>
      <c r="AU570">
        <v>0</v>
      </c>
      <c r="AV570">
        <v>0</v>
      </c>
      <c r="AW570">
        <v>0</v>
      </c>
      <c r="AX570">
        <v>0</v>
      </c>
      <c r="AY570">
        <v>0</v>
      </c>
      <c r="AZ570">
        <v>0</v>
      </c>
      <c r="BA570">
        <v>0</v>
      </c>
      <c r="BB570">
        <v>0</v>
      </c>
      <c r="BC570">
        <v>0</v>
      </c>
      <c r="BD570">
        <v>0</v>
      </c>
      <c r="BE570">
        <v>0</v>
      </c>
      <c r="BF570">
        <v>0</v>
      </c>
      <c r="BG570">
        <v>0</v>
      </c>
      <c r="BH570">
        <v>0</v>
      </c>
      <c r="BI570">
        <v>0</v>
      </c>
      <c r="BK570" s="151"/>
    </row>
    <row r="571" spans="1:63" x14ac:dyDescent="0.35">
      <c r="A571">
        <v>0</v>
      </c>
      <c r="B571">
        <v>0</v>
      </c>
      <c r="C571">
        <v>0</v>
      </c>
      <c r="D571">
        <v>0</v>
      </c>
      <c r="E571">
        <v>0</v>
      </c>
      <c r="F571">
        <v>0</v>
      </c>
      <c r="G571">
        <v>0</v>
      </c>
      <c r="H571">
        <v>0</v>
      </c>
      <c r="I571">
        <v>0</v>
      </c>
      <c r="J571">
        <v>0</v>
      </c>
      <c r="K571">
        <v>0</v>
      </c>
      <c r="L571">
        <v>0</v>
      </c>
      <c r="M571">
        <v>0</v>
      </c>
      <c r="N571">
        <v>0</v>
      </c>
      <c r="O571">
        <v>0</v>
      </c>
      <c r="P571">
        <v>0</v>
      </c>
      <c r="Q571">
        <v>0</v>
      </c>
      <c r="R571">
        <v>0</v>
      </c>
      <c r="S571">
        <v>0</v>
      </c>
      <c r="T571">
        <v>0</v>
      </c>
      <c r="U571">
        <v>0</v>
      </c>
      <c r="V571">
        <v>0</v>
      </c>
      <c r="W571">
        <v>0</v>
      </c>
      <c r="X571">
        <v>0</v>
      </c>
      <c r="Y571">
        <v>0</v>
      </c>
      <c r="Z571">
        <v>0</v>
      </c>
      <c r="AA571">
        <v>0</v>
      </c>
      <c r="AB571">
        <v>0</v>
      </c>
      <c r="AC571">
        <v>0</v>
      </c>
      <c r="AD571">
        <v>0</v>
      </c>
      <c r="AF571">
        <v>0</v>
      </c>
      <c r="AG571">
        <v>0</v>
      </c>
      <c r="AH571">
        <v>0</v>
      </c>
      <c r="AI571">
        <v>0</v>
      </c>
      <c r="AJ571">
        <v>0</v>
      </c>
      <c r="AK571">
        <v>0</v>
      </c>
      <c r="AL571">
        <v>0</v>
      </c>
      <c r="AM571">
        <v>0</v>
      </c>
      <c r="AN571">
        <v>0</v>
      </c>
      <c r="AO571">
        <v>0</v>
      </c>
      <c r="AP571">
        <v>0</v>
      </c>
      <c r="AQ571">
        <v>0</v>
      </c>
      <c r="AR571">
        <v>0</v>
      </c>
      <c r="AS571">
        <v>0</v>
      </c>
      <c r="AT571">
        <v>0</v>
      </c>
      <c r="AU571">
        <v>0</v>
      </c>
      <c r="AV571">
        <v>0</v>
      </c>
      <c r="AW571">
        <v>0</v>
      </c>
      <c r="AX571">
        <v>0</v>
      </c>
      <c r="AY571">
        <v>0</v>
      </c>
      <c r="AZ571">
        <v>0</v>
      </c>
      <c r="BA571">
        <v>0</v>
      </c>
      <c r="BB571">
        <v>0</v>
      </c>
      <c r="BC571">
        <v>0</v>
      </c>
      <c r="BD571">
        <v>0</v>
      </c>
      <c r="BE571">
        <v>0</v>
      </c>
      <c r="BF571">
        <v>0</v>
      </c>
      <c r="BG571">
        <v>0</v>
      </c>
      <c r="BH571">
        <v>0</v>
      </c>
      <c r="BI571">
        <v>0</v>
      </c>
      <c r="BK571" s="151"/>
    </row>
    <row r="572" spans="1:63" x14ac:dyDescent="0.35">
      <c r="A572">
        <v>0</v>
      </c>
      <c r="B572">
        <v>0</v>
      </c>
      <c r="C572">
        <v>0</v>
      </c>
      <c r="D572">
        <v>0</v>
      </c>
      <c r="E572">
        <v>0</v>
      </c>
      <c r="F572">
        <v>0</v>
      </c>
      <c r="G572">
        <v>0</v>
      </c>
      <c r="H572">
        <v>0</v>
      </c>
      <c r="I572">
        <v>0</v>
      </c>
      <c r="J572">
        <v>0</v>
      </c>
      <c r="K572">
        <v>0</v>
      </c>
      <c r="L572">
        <v>0</v>
      </c>
      <c r="M572">
        <v>0</v>
      </c>
      <c r="N572">
        <v>0</v>
      </c>
      <c r="O572">
        <v>0</v>
      </c>
      <c r="P572">
        <v>0</v>
      </c>
      <c r="Q572">
        <v>0</v>
      </c>
      <c r="R572">
        <v>0</v>
      </c>
      <c r="S572">
        <v>0</v>
      </c>
      <c r="T572">
        <v>0</v>
      </c>
      <c r="U572">
        <v>0</v>
      </c>
      <c r="V572">
        <v>0</v>
      </c>
      <c r="W572">
        <v>0</v>
      </c>
      <c r="X572">
        <v>0</v>
      </c>
      <c r="Y572">
        <v>0</v>
      </c>
      <c r="Z572">
        <v>0</v>
      </c>
      <c r="AA572">
        <v>0</v>
      </c>
      <c r="AB572">
        <v>0</v>
      </c>
      <c r="AC572">
        <v>0</v>
      </c>
      <c r="AD572">
        <v>0</v>
      </c>
      <c r="AF572">
        <v>0</v>
      </c>
      <c r="AG572">
        <v>0</v>
      </c>
      <c r="AH572">
        <v>0</v>
      </c>
      <c r="AI572">
        <v>0</v>
      </c>
      <c r="AJ572">
        <v>0</v>
      </c>
      <c r="AK572">
        <v>0</v>
      </c>
      <c r="AL572">
        <v>0</v>
      </c>
      <c r="AM572">
        <v>0</v>
      </c>
      <c r="AN572">
        <v>0</v>
      </c>
      <c r="AO572">
        <v>0</v>
      </c>
      <c r="AP572">
        <v>0</v>
      </c>
      <c r="AQ572">
        <v>0</v>
      </c>
      <c r="AR572">
        <v>0</v>
      </c>
      <c r="AS572">
        <v>0</v>
      </c>
      <c r="AT572">
        <v>0</v>
      </c>
      <c r="AU572">
        <v>0</v>
      </c>
      <c r="AV572">
        <v>0</v>
      </c>
      <c r="AW572">
        <v>0</v>
      </c>
      <c r="AX572">
        <v>0</v>
      </c>
      <c r="AY572">
        <v>0</v>
      </c>
      <c r="AZ572">
        <v>0</v>
      </c>
      <c r="BA572">
        <v>0</v>
      </c>
      <c r="BB572">
        <v>0</v>
      </c>
      <c r="BC572">
        <v>0</v>
      </c>
      <c r="BD572">
        <v>0</v>
      </c>
      <c r="BE572">
        <v>0</v>
      </c>
      <c r="BF572">
        <v>0</v>
      </c>
      <c r="BG572">
        <v>0</v>
      </c>
      <c r="BH572">
        <v>0</v>
      </c>
      <c r="BI572">
        <v>0</v>
      </c>
      <c r="BK572" s="151"/>
    </row>
    <row r="573" spans="1:63" x14ac:dyDescent="0.35">
      <c r="A573">
        <v>0</v>
      </c>
      <c r="B573">
        <v>0</v>
      </c>
      <c r="C573">
        <v>0</v>
      </c>
      <c r="D573">
        <v>0</v>
      </c>
      <c r="E573">
        <v>0</v>
      </c>
      <c r="F573">
        <v>0</v>
      </c>
      <c r="G573">
        <v>0</v>
      </c>
      <c r="H573">
        <v>0</v>
      </c>
      <c r="I573">
        <v>0</v>
      </c>
      <c r="J573">
        <v>0</v>
      </c>
      <c r="K573">
        <v>0</v>
      </c>
      <c r="L573">
        <v>0</v>
      </c>
      <c r="M573">
        <v>0</v>
      </c>
      <c r="N573">
        <v>0</v>
      </c>
      <c r="O573">
        <v>0</v>
      </c>
      <c r="P573">
        <v>0</v>
      </c>
      <c r="Q573">
        <v>0</v>
      </c>
      <c r="R573">
        <v>0</v>
      </c>
      <c r="S573">
        <v>0</v>
      </c>
      <c r="T573">
        <v>0</v>
      </c>
      <c r="U573">
        <v>0</v>
      </c>
      <c r="V573">
        <v>0</v>
      </c>
      <c r="W573">
        <v>0</v>
      </c>
      <c r="X573">
        <v>0</v>
      </c>
      <c r="Y573">
        <v>0</v>
      </c>
      <c r="Z573">
        <v>0</v>
      </c>
      <c r="AA573">
        <v>0</v>
      </c>
      <c r="AB573">
        <v>0</v>
      </c>
      <c r="AC573">
        <v>0</v>
      </c>
      <c r="AD573">
        <v>0</v>
      </c>
      <c r="AF573">
        <v>0</v>
      </c>
      <c r="AG573">
        <v>0</v>
      </c>
      <c r="AH573">
        <v>0</v>
      </c>
      <c r="AI573">
        <v>0</v>
      </c>
      <c r="AJ573">
        <v>0</v>
      </c>
      <c r="AK573">
        <v>0</v>
      </c>
      <c r="AL573">
        <v>0</v>
      </c>
      <c r="AM573">
        <v>0</v>
      </c>
      <c r="AN573">
        <v>0</v>
      </c>
      <c r="AO573">
        <v>0</v>
      </c>
      <c r="AP573">
        <v>0</v>
      </c>
      <c r="AQ573">
        <v>0</v>
      </c>
      <c r="AR573">
        <v>0</v>
      </c>
      <c r="AS573">
        <v>0</v>
      </c>
      <c r="AT573">
        <v>0</v>
      </c>
      <c r="AU573">
        <v>0</v>
      </c>
      <c r="AV573">
        <v>0</v>
      </c>
      <c r="AW573">
        <v>0</v>
      </c>
      <c r="AX573">
        <v>0</v>
      </c>
      <c r="AY573">
        <v>0</v>
      </c>
      <c r="AZ573">
        <v>0</v>
      </c>
      <c r="BA573">
        <v>0</v>
      </c>
      <c r="BB573">
        <v>0</v>
      </c>
      <c r="BC573">
        <v>0</v>
      </c>
      <c r="BD573">
        <v>0</v>
      </c>
      <c r="BE573">
        <v>0</v>
      </c>
      <c r="BF573">
        <v>0</v>
      </c>
      <c r="BG573">
        <v>0</v>
      </c>
      <c r="BH573">
        <v>0</v>
      </c>
      <c r="BI573">
        <v>0</v>
      </c>
      <c r="BK573" s="151"/>
    </row>
    <row r="574" spans="1:63" x14ac:dyDescent="0.35">
      <c r="A574">
        <v>0</v>
      </c>
      <c r="B574">
        <v>0</v>
      </c>
      <c r="C574">
        <v>0</v>
      </c>
      <c r="D574">
        <v>0</v>
      </c>
      <c r="E574">
        <v>0</v>
      </c>
      <c r="F574">
        <v>0</v>
      </c>
      <c r="G574">
        <v>0</v>
      </c>
      <c r="H574">
        <v>0</v>
      </c>
      <c r="I574">
        <v>0</v>
      </c>
      <c r="J574">
        <v>0</v>
      </c>
      <c r="K574">
        <v>0</v>
      </c>
      <c r="L574">
        <v>0</v>
      </c>
      <c r="M574">
        <v>0</v>
      </c>
      <c r="N574">
        <v>0</v>
      </c>
      <c r="O574">
        <v>0</v>
      </c>
      <c r="P574">
        <v>0</v>
      </c>
      <c r="Q574">
        <v>0</v>
      </c>
      <c r="R574">
        <v>0</v>
      </c>
      <c r="S574">
        <v>0</v>
      </c>
      <c r="T574">
        <v>0</v>
      </c>
      <c r="U574">
        <v>0</v>
      </c>
      <c r="V574">
        <v>0</v>
      </c>
      <c r="W574">
        <v>0</v>
      </c>
      <c r="X574">
        <v>0</v>
      </c>
      <c r="Y574">
        <v>0</v>
      </c>
      <c r="Z574">
        <v>0</v>
      </c>
      <c r="AA574">
        <v>0</v>
      </c>
      <c r="AB574">
        <v>0</v>
      </c>
      <c r="AC574">
        <v>0</v>
      </c>
      <c r="AD574">
        <v>0</v>
      </c>
      <c r="AF574">
        <v>0</v>
      </c>
      <c r="AG574">
        <v>0</v>
      </c>
      <c r="AH574">
        <v>0</v>
      </c>
      <c r="AI574">
        <v>0</v>
      </c>
      <c r="AJ574">
        <v>0</v>
      </c>
      <c r="AK574">
        <v>0</v>
      </c>
      <c r="AL574">
        <v>0</v>
      </c>
      <c r="AM574">
        <v>0</v>
      </c>
      <c r="AN574">
        <v>0</v>
      </c>
      <c r="AO574">
        <v>0</v>
      </c>
      <c r="AP574">
        <v>0</v>
      </c>
      <c r="AQ574">
        <v>0</v>
      </c>
      <c r="AR574">
        <v>0</v>
      </c>
      <c r="AS574">
        <v>0</v>
      </c>
      <c r="AT574">
        <v>0</v>
      </c>
      <c r="AU574">
        <v>0</v>
      </c>
      <c r="AV574">
        <v>0</v>
      </c>
      <c r="AW574">
        <v>0</v>
      </c>
      <c r="AX574">
        <v>0</v>
      </c>
      <c r="AY574">
        <v>0</v>
      </c>
      <c r="AZ574">
        <v>0</v>
      </c>
      <c r="BA574">
        <v>0</v>
      </c>
      <c r="BB574">
        <v>0</v>
      </c>
      <c r="BC574">
        <v>0</v>
      </c>
      <c r="BD574">
        <v>0</v>
      </c>
      <c r="BE574">
        <v>0</v>
      </c>
      <c r="BF574">
        <v>0</v>
      </c>
      <c r="BG574">
        <v>0</v>
      </c>
      <c r="BH574">
        <v>0</v>
      </c>
      <c r="BI574">
        <v>0</v>
      </c>
      <c r="BK574" s="151"/>
    </row>
    <row r="575" spans="1:63" x14ac:dyDescent="0.35">
      <c r="A575">
        <v>0</v>
      </c>
      <c r="B575">
        <v>0</v>
      </c>
      <c r="C575">
        <v>0</v>
      </c>
      <c r="D575">
        <v>0</v>
      </c>
      <c r="E575">
        <v>0</v>
      </c>
      <c r="F575">
        <v>0</v>
      </c>
      <c r="G575">
        <v>0</v>
      </c>
      <c r="H575">
        <v>0</v>
      </c>
      <c r="I575">
        <v>0</v>
      </c>
      <c r="J575">
        <v>0</v>
      </c>
      <c r="K575">
        <v>0</v>
      </c>
      <c r="L575">
        <v>0</v>
      </c>
      <c r="M575">
        <v>0</v>
      </c>
      <c r="N575">
        <v>0</v>
      </c>
      <c r="O575">
        <v>0</v>
      </c>
      <c r="P575">
        <v>0</v>
      </c>
      <c r="Q575">
        <v>0</v>
      </c>
      <c r="R575">
        <v>0</v>
      </c>
      <c r="S575">
        <v>0</v>
      </c>
      <c r="T575">
        <v>0</v>
      </c>
      <c r="U575">
        <v>0</v>
      </c>
      <c r="V575">
        <v>0</v>
      </c>
      <c r="W575">
        <v>0</v>
      </c>
      <c r="X575">
        <v>0</v>
      </c>
      <c r="Y575">
        <v>0</v>
      </c>
      <c r="Z575">
        <v>0</v>
      </c>
      <c r="AA575">
        <v>0</v>
      </c>
      <c r="AB575">
        <v>0</v>
      </c>
      <c r="AC575">
        <v>0</v>
      </c>
      <c r="AD575">
        <v>0</v>
      </c>
      <c r="AF575">
        <v>0</v>
      </c>
      <c r="AG575">
        <v>0</v>
      </c>
      <c r="AH575">
        <v>0</v>
      </c>
      <c r="AI575">
        <v>0</v>
      </c>
      <c r="AJ575">
        <v>0</v>
      </c>
      <c r="AK575">
        <v>0</v>
      </c>
      <c r="AL575">
        <v>0</v>
      </c>
      <c r="AM575">
        <v>0</v>
      </c>
      <c r="AN575">
        <v>0</v>
      </c>
      <c r="AO575">
        <v>0</v>
      </c>
      <c r="AP575">
        <v>0</v>
      </c>
      <c r="AQ575">
        <v>0</v>
      </c>
      <c r="AR575">
        <v>0</v>
      </c>
      <c r="AS575">
        <v>0</v>
      </c>
      <c r="AT575">
        <v>0</v>
      </c>
      <c r="AU575">
        <v>0</v>
      </c>
      <c r="AV575">
        <v>0</v>
      </c>
      <c r="AW575">
        <v>0</v>
      </c>
      <c r="AX575">
        <v>0</v>
      </c>
      <c r="AY575">
        <v>0</v>
      </c>
      <c r="AZ575">
        <v>0</v>
      </c>
      <c r="BA575">
        <v>0</v>
      </c>
      <c r="BB575">
        <v>0</v>
      </c>
      <c r="BC575">
        <v>0</v>
      </c>
      <c r="BD575">
        <v>0</v>
      </c>
      <c r="BE575">
        <v>0</v>
      </c>
      <c r="BF575">
        <v>0</v>
      </c>
      <c r="BG575">
        <v>0</v>
      </c>
      <c r="BH575">
        <v>0</v>
      </c>
      <c r="BI575">
        <v>0</v>
      </c>
      <c r="BK575" s="151"/>
    </row>
    <row r="576" spans="1:63" x14ac:dyDescent="0.35">
      <c r="A576">
        <v>0</v>
      </c>
      <c r="B576">
        <v>0</v>
      </c>
      <c r="C576">
        <v>0</v>
      </c>
      <c r="D576">
        <v>0</v>
      </c>
      <c r="E576">
        <v>0</v>
      </c>
      <c r="F576">
        <v>0</v>
      </c>
      <c r="G576">
        <v>0</v>
      </c>
      <c r="H576">
        <v>0</v>
      </c>
      <c r="I576">
        <v>0</v>
      </c>
      <c r="J576">
        <v>0</v>
      </c>
      <c r="K576">
        <v>0</v>
      </c>
      <c r="L576">
        <v>0</v>
      </c>
      <c r="M576">
        <v>0</v>
      </c>
      <c r="N576">
        <v>0</v>
      </c>
      <c r="O576">
        <v>0</v>
      </c>
      <c r="P576">
        <v>0</v>
      </c>
      <c r="Q576">
        <v>0</v>
      </c>
      <c r="R576">
        <v>0</v>
      </c>
      <c r="S576">
        <v>0</v>
      </c>
      <c r="T576">
        <v>0</v>
      </c>
      <c r="U576">
        <v>0</v>
      </c>
      <c r="V576">
        <v>0</v>
      </c>
      <c r="W576">
        <v>0</v>
      </c>
      <c r="X576">
        <v>0</v>
      </c>
      <c r="Y576">
        <v>0</v>
      </c>
      <c r="Z576">
        <v>0</v>
      </c>
      <c r="AA576">
        <v>0</v>
      </c>
      <c r="AB576">
        <v>0</v>
      </c>
      <c r="AC576">
        <v>0</v>
      </c>
      <c r="AD576">
        <v>0</v>
      </c>
      <c r="AF576">
        <v>0</v>
      </c>
      <c r="AG576">
        <v>0</v>
      </c>
      <c r="AH576">
        <v>0</v>
      </c>
      <c r="AI576">
        <v>0</v>
      </c>
      <c r="AJ576">
        <v>0</v>
      </c>
      <c r="AK576">
        <v>0</v>
      </c>
      <c r="AL576">
        <v>0</v>
      </c>
      <c r="AM576">
        <v>0</v>
      </c>
      <c r="AN576">
        <v>0</v>
      </c>
      <c r="AO576">
        <v>0</v>
      </c>
      <c r="AP576">
        <v>0</v>
      </c>
      <c r="AQ576">
        <v>0</v>
      </c>
      <c r="AR576">
        <v>0</v>
      </c>
      <c r="AS576">
        <v>0</v>
      </c>
      <c r="AT576">
        <v>0</v>
      </c>
      <c r="AU576">
        <v>0</v>
      </c>
      <c r="AV576">
        <v>0</v>
      </c>
      <c r="AW576">
        <v>0</v>
      </c>
      <c r="AX576">
        <v>0</v>
      </c>
      <c r="AY576">
        <v>0</v>
      </c>
      <c r="AZ576">
        <v>0</v>
      </c>
      <c r="BA576">
        <v>0</v>
      </c>
      <c r="BB576">
        <v>0</v>
      </c>
      <c r="BC576">
        <v>0</v>
      </c>
      <c r="BD576">
        <v>0</v>
      </c>
      <c r="BE576">
        <v>0</v>
      </c>
      <c r="BF576">
        <v>0</v>
      </c>
      <c r="BG576">
        <v>0</v>
      </c>
      <c r="BH576">
        <v>0</v>
      </c>
      <c r="BI576">
        <v>0</v>
      </c>
      <c r="BK576" s="151"/>
    </row>
    <row r="577" spans="1:63" x14ac:dyDescent="0.35">
      <c r="A577">
        <v>0</v>
      </c>
      <c r="B577">
        <v>0</v>
      </c>
      <c r="C577">
        <v>0</v>
      </c>
      <c r="D577">
        <v>0</v>
      </c>
      <c r="E577">
        <v>0</v>
      </c>
      <c r="F577">
        <v>0</v>
      </c>
      <c r="G577">
        <v>0</v>
      </c>
      <c r="H577">
        <v>0</v>
      </c>
      <c r="I577">
        <v>0</v>
      </c>
      <c r="J577">
        <v>0</v>
      </c>
      <c r="K577">
        <v>0</v>
      </c>
      <c r="L577">
        <v>0</v>
      </c>
      <c r="M577">
        <v>0</v>
      </c>
      <c r="N577">
        <v>0</v>
      </c>
      <c r="O577">
        <v>0</v>
      </c>
      <c r="P577">
        <v>0</v>
      </c>
      <c r="Q577">
        <v>0</v>
      </c>
      <c r="R577">
        <v>0</v>
      </c>
      <c r="S577">
        <v>0</v>
      </c>
      <c r="T577">
        <v>0</v>
      </c>
      <c r="U577">
        <v>0</v>
      </c>
      <c r="V577">
        <v>0</v>
      </c>
      <c r="W577">
        <v>0</v>
      </c>
      <c r="X577">
        <v>0</v>
      </c>
      <c r="Y577">
        <v>0</v>
      </c>
      <c r="Z577">
        <v>0</v>
      </c>
      <c r="AA577">
        <v>0</v>
      </c>
      <c r="AB577">
        <v>0</v>
      </c>
      <c r="AC577">
        <v>0</v>
      </c>
      <c r="AD577">
        <v>0</v>
      </c>
      <c r="AF577">
        <v>0</v>
      </c>
      <c r="AG577">
        <v>0</v>
      </c>
      <c r="AH577">
        <v>0</v>
      </c>
      <c r="AI577">
        <v>0</v>
      </c>
      <c r="AJ577">
        <v>0</v>
      </c>
      <c r="AK577">
        <v>0</v>
      </c>
      <c r="AL577">
        <v>0</v>
      </c>
      <c r="AM577">
        <v>0</v>
      </c>
      <c r="AN577">
        <v>0</v>
      </c>
      <c r="AO577">
        <v>0</v>
      </c>
      <c r="AP577">
        <v>0</v>
      </c>
      <c r="AQ577">
        <v>0</v>
      </c>
      <c r="AR577">
        <v>0</v>
      </c>
      <c r="AS577">
        <v>0</v>
      </c>
      <c r="AT577">
        <v>0</v>
      </c>
      <c r="AU577">
        <v>0</v>
      </c>
      <c r="AV577">
        <v>0</v>
      </c>
      <c r="AW577">
        <v>0</v>
      </c>
      <c r="AX577">
        <v>0</v>
      </c>
      <c r="AY577">
        <v>0</v>
      </c>
      <c r="AZ577">
        <v>0</v>
      </c>
      <c r="BA577">
        <v>0</v>
      </c>
      <c r="BB577">
        <v>0</v>
      </c>
      <c r="BC577">
        <v>0</v>
      </c>
      <c r="BD577">
        <v>0</v>
      </c>
      <c r="BE577">
        <v>0</v>
      </c>
      <c r="BF577">
        <v>0</v>
      </c>
      <c r="BG577">
        <v>0</v>
      </c>
      <c r="BH577">
        <v>0</v>
      </c>
      <c r="BI577">
        <v>0</v>
      </c>
      <c r="BK577" s="151"/>
    </row>
    <row r="578" spans="1:63" x14ac:dyDescent="0.35">
      <c r="A578">
        <v>0</v>
      </c>
      <c r="B578">
        <v>0</v>
      </c>
      <c r="C578">
        <v>0</v>
      </c>
      <c r="D578">
        <v>0</v>
      </c>
      <c r="E578">
        <v>0</v>
      </c>
      <c r="F578">
        <v>0</v>
      </c>
      <c r="G578">
        <v>0</v>
      </c>
      <c r="H578">
        <v>0</v>
      </c>
      <c r="I578">
        <v>0</v>
      </c>
      <c r="J578">
        <v>0</v>
      </c>
      <c r="K578">
        <v>0</v>
      </c>
      <c r="L578">
        <v>0</v>
      </c>
      <c r="M578">
        <v>0</v>
      </c>
      <c r="N578">
        <v>0</v>
      </c>
      <c r="O578">
        <v>0</v>
      </c>
      <c r="P578">
        <v>0</v>
      </c>
      <c r="Q578">
        <v>0</v>
      </c>
      <c r="R578">
        <v>0</v>
      </c>
      <c r="S578">
        <v>0</v>
      </c>
      <c r="T578">
        <v>0</v>
      </c>
      <c r="U578">
        <v>0</v>
      </c>
      <c r="V578">
        <v>0</v>
      </c>
      <c r="W578">
        <v>0</v>
      </c>
      <c r="X578">
        <v>0</v>
      </c>
      <c r="Y578">
        <v>0</v>
      </c>
      <c r="Z578">
        <v>0</v>
      </c>
      <c r="AA578">
        <v>0</v>
      </c>
      <c r="AB578">
        <v>0</v>
      </c>
      <c r="AC578">
        <v>0</v>
      </c>
      <c r="AD578">
        <v>0</v>
      </c>
      <c r="AF578">
        <v>0</v>
      </c>
      <c r="AG578">
        <v>0</v>
      </c>
      <c r="AH578">
        <v>0</v>
      </c>
      <c r="AI578">
        <v>0</v>
      </c>
      <c r="AJ578">
        <v>0</v>
      </c>
      <c r="AK578">
        <v>0</v>
      </c>
      <c r="AL578">
        <v>0</v>
      </c>
      <c r="AM578">
        <v>0</v>
      </c>
      <c r="AN578">
        <v>0</v>
      </c>
      <c r="AO578">
        <v>0</v>
      </c>
      <c r="AP578">
        <v>0</v>
      </c>
      <c r="AQ578">
        <v>0</v>
      </c>
      <c r="AR578">
        <v>0</v>
      </c>
      <c r="AS578">
        <v>0</v>
      </c>
      <c r="AT578">
        <v>0</v>
      </c>
      <c r="AU578">
        <v>0</v>
      </c>
      <c r="AV578">
        <v>0</v>
      </c>
      <c r="AW578">
        <v>0</v>
      </c>
      <c r="AX578">
        <v>0</v>
      </c>
      <c r="AY578">
        <v>0</v>
      </c>
      <c r="AZ578">
        <v>0</v>
      </c>
      <c r="BA578">
        <v>0</v>
      </c>
      <c r="BB578">
        <v>0</v>
      </c>
      <c r="BC578">
        <v>0</v>
      </c>
      <c r="BD578">
        <v>0</v>
      </c>
      <c r="BE578">
        <v>0</v>
      </c>
      <c r="BF578">
        <v>0</v>
      </c>
      <c r="BG578">
        <v>0</v>
      </c>
      <c r="BH578">
        <v>0</v>
      </c>
      <c r="BI578">
        <v>0</v>
      </c>
      <c r="BK578" s="151"/>
    </row>
    <row r="579" spans="1:63" x14ac:dyDescent="0.35">
      <c r="A579">
        <v>0</v>
      </c>
      <c r="B579">
        <v>0</v>
      </c>
      <c r="C579">
        <v>0</v>
      </c>
      <c r="D579">
        <v>0</v>
      </c>
      <c r="E579">
        <v>0</v>
      </c>
      <c r="F579">
        <v>0</v>
      </c>
      <c r="G579">
        <v>0</v>
      </c>
      <c r="H579">
        <v>0</v>
      </c>
      <c r="I579">
        <v>0</v>
      </c>
      <c r="J579">
        <v>0</v>
      </c>
      <c r="K579">
        <v>0</v>
      </c>
      <c r="L579">
        <v>0</v>
      </c>
      <c r="M579">
        <v>0</v>
      </c>
      <c r="N579">
        <v>0</v>
      </c>
      <c r="O579">
        <v>0</v>
      </c>
      <c r="P579">
        <v>0</v>
      </c>
      <c r="Q579">
        <v>0</v>
      </c>
      <c r="R579">
        <v>0</v>
      </c>
      <c r="S579">
        <v>0</v>
      </c>
      <c r="T579">
        <v>0</v>
      </c>
      <c r="U579">
        <v>0</v>
      </c>
      <c r="V579">
        <v>0</v>
      </c>
      <c r="W579">
        <v>0</v>
      </c>
      <c r="X579">
        <v>0</v>
      </c>
      <c r="Y579">
        <v>0</v>
      </c>
      <c r="Z579">
        <v>0</v>
      </c>
      <c r="AA579">
        <v>0</v>
      </c>
      <c r="AB579">
        <v>0</v>
      </c>
      <c r="AC579">
        <v>0</v>
      </c>
      <c r="AD579">
        <v>0</v>
      </c>
      <c r="AF579">
        <v>0</v>
      </c>
      <c r="AG579">
        <v>0</v>
      </c>
      <c r="AH579">
        <v>0</v>
      </c>
      <c r="AI579">
        <v>0</v>
      </c>
      <c r="AJ579">
        <v>0</v>
      </c>
      <c r="AK579">
        <v>0</v>
      </c>
      <c r="AL579">
        <v>0</v>
      </c>
      <c r="AM579">
        <v>0</v>
      </c>
      <c r="AN579">
        <v>0</v>
      </c>
      <c r="AO579">
        <v>0</v>
      </c>
      <c r="AP579">
        <v>0</v>
      </c>
      <c r="AQ579">
        <v>0</v>
      </c>
      <c r="AR579">
        <v>0</v>
      </c>
      <c r="AS579">
        <v>0</v>
      </c>
      <c r="AT579">
        <v>0</v>
      </c>
      <c r="AU579">
        <v>0</v>
      </c>
      <c r="AV579">
        <v>0</v>
      </c>
      <c r="AW579">
        <v>0</v>
      </c>
      <c r="AX579">
        <v>0</v>
      </c>
      <c r="AY579">
        <v>0</v>
      </c>
      <c r="AZ579">
        <v>0</v>
      </c>
      <c r="BA579">
        <v>0</v>
      </c>
      <c r="BB579">
        <v>0</v>
      </c>
      <c r="BC579">
        <v>0</v>
      </c>
      <c r="BD579">
        <v>0</v>
      </c>
      <c r="BE579">
        <v>0</v>
      </c>
      <c r="BF579">
        <v>0</v>
      </c>
      <c r="BG579">
        <v>0</v>
      </c>
      <c r="BH579">
        <v>0</v>
      </c>
      <c r="BI579">
        <v>0</v>
      </c>
      <c r="BK579" s="151"/>
    </row>
    <row r="580" spans="1:63" x14ac:dyDescent="0.35">
      <c r="A580">
        <v>0</v>
      </c>
      <c r="B580">
        <v>0</v>
      </c>
      <c r="C580">
        <v>0</v>
      </c>
      <c r="D580">
        <v>0</v>
      </c>
      <c r="E580">
        <v>0</v>
      </c>
      <c r="F580">
        <v>0</v>
      </c>
      <c r="G580">
        <v>0</v>
      </c>
      <c r="H580">
        <v>0</v>
      </c>
      <c r="I580">
        <v>0</v>
      </c>
      <c r="J580">
        <v>0</v>
      </c>
      <c r="K580">
        <v>0</v>
      </c>
      <c r="L580">
        <v>0</v>
      </c>
      <c r="M580">
        <v>0</v>
      </c>
      <c r="N580">
        <v>0</v>
      </c>
      <c r="O580">
        <v>0</v>
      </c>
      <c r="P580">
        <v>0</v>
      </c>
      <c r="Q580">
        <v>0</v>
      </c>
      <c r="R580">
        <v>0</v>
      </c>
      <c r="S580">
        <v>0</v>
      </c>
      <c r="T580">
        <v>0</v>
      </c>
      <c r="U580">
        <v>0</v>
      </c>
      <c r="V580">
        <v>0</v>
      </c>
      <c r="W580">
        <v>0</v>
      </c>
      <c r="X580">
        <v>0</v>
      </c>
      <c r="Y580">
        <v>0</v>
      </c>
      <c r="Z580">
        <v>0</v>
      </c>
      <c r="AA580">
        <v>0</v>
      </c>
      <c r="AB580">
        <v>0</v>
      </c>
      <c r="AC580">
        <v>0</v>
      </c>
      <c r="AD580">
        <v>0</v>
      </c>
      <c r="AF580">
        <v>0</v>
      </c>
      <c r="AG580">
        <v>0</v>
      </c>
      <c r="AH580">
        <v>0</v>
      </c>
      <c r="AI580">
        <v>0</v>
      </c>
      <c r="AJ580">
        <v>0</v>
      </c>
      <c r="AK580">
        <v>0</v>
      </c>
      <c r="AL580">
        <v>0</v>
      </c>
      <c r="AM580">
        <v>0</v>
      </c>
      <c r="AN580">
        <v>0</v>
      </c>
      <c r="AO580">
        <v>0</v>
      </c>
      <c r="AP580">
        <v>0</v>
      </c>
      <c r="AQ580">
        <v>0</v>
      </c>
      <c r="AR580">
        <v>0</v>
      </c>
      <c r="AS580">
        <v>0</v>
      </c>
      <c r="AT580">
        <v>0</v>
      </c>
      <c r="AU580">
        <v>0</v>
      </c>
      <c r="AV580">
        <v>0</v>
      </c>
      <c r="AW580">
        <v>0</v>
      </c>
      <c r="AX580">
        <v>0</v>
      </c>
      <c r="AY580">
        <v>0</v>
      </c>
      <c r="AZ580">
        <v>0</v>
      </c>
      <c r="BA580">
        <v>0</v>
      </c>
      <c r="BB580">
        <v>0</v>
      </c>
      <c r="BC580">
        <v>0</v>
      </c>
      <c r="BD580">
        <v>0</v>
      </c>
      <c r="BE580">
        <v>0</v>
      </c>
      <c r="BF580">
        <v>0</v>
      </c>
      <c r="BG580">
        <v>0</v>
      </c>
      <c r="BH580">
        <v>0</v>
      </c>
      <c r="BI580">
        <v>0</v>
      </c>
      <c r="BK580" s="151"/>
    </row>
    <row r="581" spans="1:63" x14ac:dyDescent="0.35">
      <c r="A581">
        <v>0</v>
      </c>
      <c r="B581">
        <v>0</v>
      </c>
      <c r="C581">
        <v>0</v>
      </c>
      <c r="D581">
        <v>0</v>
      </c>
      <c r="E581">
        <v>0</v>
      </c>
      <c r="F581">
        <v>0</v>
      </c>
      <c r="G581">
        <v>0</v>
      </c>
      <c r="H581">
        <v>0</v>
      </c>
      <c r="I581">
        <v>0</v>
      </c>
      <c r="J581">
        <v>0</v>
      </c>
      <c r="K581">
        <v>0</v>
      </c>
      <c r="L581">
        <v>0</v>
      </c>
      <c r="M581">
        <v>0</v>
      </c>
      <c r="N581">
        <v>0</v>
      </c>
      <c r="O581">
        <v>0</v>
      </c>
      <c r="P581">
        <v>0</v>
      </c>
      <c r="Q581">
        <v>0</v>
      </c>
      <c r="R581">
        <v>0</v>
      </c>
      <c r="S581">
        <v>0</v>
      </c>
      <c r="T581">
        <v>0</v>
      </c>
      <c r="U581">
        <v>0</v>
      </c>
      <c r="V581">
        <v>0</v>
      </c>
      <c r="W581">
        <v>0</v>
      </c>
      <c r="X581">
        <v>0</v>
      </c>
      <c r="Y581">
        <v>0</v>
      </c>
      <c r="Z581">
        <v>0</v>
      </c>
      <c r="AA581">
        <v>0</v>
      </c>
      <c r="AB581">
        <v>0</v>
      </c>
      <c r="AC581">
        <v>0</v>
      </c>
      <c r="AD581">
        <v>0</v>
      </c>
      <c r="AF581">
        <v>0</v>
      </c>
      <c r="AG581">
        <v>0</v>
      </c>
      <c r="AH581">
        <v>0</v>
      </c>
      <c r="AI581">
        <v>0</v>
      </c>
      <c r="AJ581">
        <v>0</v>
      </c>
      <c r="AK581">
        <v>0</v>
      </c>
      <c r="AL581">
        <v>0</v>
      </c>
      <c r="AM581">
        <v>0</v>
      </c>
      <c r="AN581">
        <v>0</v>
      </c>
      <c r="AO581">
        <v>0</v>
      </c>
      <c r="AP581">
        <v>0</v>
      </c>
      <c r="AQ581">
        <v>0</v>
      </c>
      <c r="AR581">
        <v>0</v>
      </c>
      <c r="AS581">
        <v>0</v>
      </c>
      <c r="AT581">
        <v>0</v>
      </c>
      <c r="AU581">
        <v>0</v>
      </c>
      <c r="AV581">
        <v>0</v>
      </c>
      <c r="AW581">
        <v>0</v>
      </c>
      <c r="AX581">
        <v>0</v>
      </c>
      <c r="AY581">
        <v>0</v>
      </c>
      <c r="AZ581">
        <v>0</v>
      </c>
      <c r="BA581">
        <v>0</v>
      </c>
      <c r="BB581">
        <v>0</v>
      </c>
      <c r="BC581">
        <v>0</v>
      </c>
      <c r="BD581">
        <v>0</v>
      </c>
      <c r="BE581">
        <v>0</v>
      </c>
      <c r="BF581">
        <v>0</v>
      </c>
      <c r="BG581">
        <v>0</v>
      </c>
      <c r="BH581">
        <v>0</v>
      </c>
      <c r="BI581">
        <v>0</v>
      </c>
      <c r="BK581" s="151"/>
    </row>
    <row r="582" spans="1:63" x14ac:dyDescent="0.35">
      <c r="A582">
        <v>0</v>
      </c>
      <c r="B582">
        <v>0</v>
      </c>
      <c r="C582">
        <v>0</v>
      </c>
      <c r="D582">
        <v>0</v>
      </c>
      <c r="E582">
        <v>0</v>
      </c>
      <c r="F582">
        <v>0</v>
      </c>
      <c r="G582">
        <v>0</v>
      </c>
      <c r="H582">
        <v>0</v>
      </c>
      <c r="I582">
        <v>0</v>
      </c>
      <c r="J582">
        <v>0</v>
      </c>
      <c r="K582">
        <v>0</v>
      </c>
      <c r="L582">
        <v>0</v>
      </c>
      <c r="M582">
        <v>0</v>
      </c>
      <c r="N582">
        <v>0</v>
      </c>
      <c r="O582">
        <v>0</v>
      </c>
      <c r="P582">
        <v>0</v>
      </c>
      <c r="Q582">
        <v>0</v>
      </c>
      <c r="R582">
        <v>0</v>
      </c>
      <c r="S582">
        <v>0</v>
      </c>
      <c r="T582">
        <v>0</v>
      </c>
      <c r="U582">
        <v>0</v>
      </c>
      <c r="V582">
        <v>0</v>
      </c>
      <c r="W582">
        <v>0</v>
      </c>
      <c r="X582">
        <v>0</v>
      </c>
      <c r="Y582">
        <v>0</v>
      </c>
      <c r="Z582">
        <v>0</v>
      </c>
      <c r="AA582">
        <v>0</v>
      </c>
      <c r="AB582">
        <v>0</v>
      </c>
      <c r="AC582">
        <v>0</v>
      </c>
      <c r="AD582">
        <v>0</v>
      </c>
      <c r="AF582">
        <v>0</v>
      </c>
      <c r="AG582">
        <v>0</v>
      </c>
      <c r="AH582">
        <v>0</v>
      </c>
      <c r="AI582">
        <v>0</v>
      </c>
      <c r="AJ582">
        <v>0</v>
      </c>
      <c r="AK582">
        <v>0</v>
      </c>
      <c r="AL582">
        <v>0</v>
      </c>
      <c r="AM582">
        <v>0</v>
      </c>
      <c r="AN582">
        <v>0</v>
      </c>
      <c r="AO582">
        <v>0</v>
      </c>
      <c r="AP582">
        <v>0</v>
      </c>
      <c r="AQ582">
        <v>0</v>
      </c>
      <c r="AR582">
        <v>0</v>
      </c>
      <c r="AS582">
        <v>0</v>
      </c>
      <c r="AT582">
        <v>0</v>
      </c>
      <c r="AU582">
        <v>0</v>
      </c>
      <c r="AV582">
        <v>0</v>
      </c>
      <c r="AW582">
        <v>0</v>
      </c>
      <c r="AX582">
        <v>0</v>
      </c>
      <c r="AY582">
        <v>0</v>
      </c>
      <c r="AZ582">
        <v>0</v>
      </c>
      <c r="BA582">
        <v>0</v>
      </c>
      <c r="BB582">
        <v>0</v>
      </c>
      <c r="BC582">
        <v>0</v>
      </c>
      <c r="BD582">
        <v>0</v>
      </c>
      <c r="BE582">
        <v>0</v>
      </c>
      <c r="BF582">
        <v>0</v>
      </c>
      <c r="BG582">
        <v>0</v>
      </c>
      <c r="BH582">
        <v>0</v>
      </c>
      <c r="BI582">
        <v>0</v>
      </c>
      <c r="BK582" s="151"/>
    </row>
    <row r="583" spans="1:63" x14ac:dyDescent="0.35">
      <c r="A583">
        <v>0</v>
      </c>
      <c r="B583">
        <v>0</v>
      </c>
      <c r="C583">
        <v>0</v>
      </c>
      <c r="D583">
        <v>0</v>
      </c>
      <c r="E583">
        <v>0</v>
      </c>
      <c r="F583">
        <v>0</v>
      </c>
      <c r="G583">
        <v>0</v>
      </c>
      <c r="H583">
        <v>0</v>
      </c>
      <c r="I583">
        <v>0</v>
      </c>
      <c r="J583">
        <v>0</v>
      </c>
      <c r="K583">
        <v>0</v>
      </c>
      <c r="L583">
        <v>0</v>
      </c>
      <c r="M583">
        <v>0</v>
      </c>
      <c r="N583">
        <v>0</v>
      </c>
      <c r="O583">
        <v>0</v>
      </c>
      <c r="P583">
        <v>0</v>
      </c>
      <c r="Q583">
        <v>0</v>
      </c>
      <c r="R583">
        <v>0</v>
      </c>
      <c r="S583">
        <v>0</v>
      </c>
      <c r="T583">
        <v>0</v>
      </c>
      <c r="U583">
        <v>0</v>
      </c>
      <c r="V583">
        <v>0</v>
      </c>
      <c r="W583">
        <v>0</v>
      </c>
      <c r="X583">
        <v>0</v>
      </c>
      <c r="Y583">
        <v>0</v>
      </c>
      <c r="Z583">
        <v>0</v>
      </c>
      <c r="AA583">
        <v>0</v>
      </c>
      <c r="AB583">
        <v>0</v>
      </c>
      <c r="AC583">
        <v>0</v>
      </c>
      <c r="AD583">
        <v>0</v>
      </c>
      <c r="AF583">
        <v>0</v>
      </c>
      <c r="AG583">
        <v>0</v>
      </c>
      <c r="AH583">
        <v>0</v>
      </c>
      <c r="AI583">
        <v>0</v>
      </c>
      <c r="AJ583">
        <v>0</v>
      </c>
      <c r="AK583">
        <v>0</v>
      </c>
      <c r="AL583">
        <v>0</v>
      </c>
      <c r="AM583">
        <v>0</v>
      </c>
      <c r="AN583">
        <v>0</v>
      </c>
      <c r="AO583">
        <v>0</v>
      </c>
      <c r="AP583">
        <v>0</v>
      </c>
      <c r="AQ583">
        <v>0</v>
      </c>
      <c r="AR583">
        <v>0</v>
      </c>
      <c r="AS583">
        <v>0</v>
      </c>
      <c r="AT583">
        <v>0</v>
      </c>
      <c r="AU583">
        <v>0</v>
      </c>
      <c r="AV583">
        <v>0</v>
      </c>
      <c r="AW583">
        <v>0</v>
      </c>
      <c r="AX583">
        <v>0</v>
      </c>
      <c r="AY583">
        <v>0</v>
      </c>
      <c r="AZ583">
        <v>0</v>
      </c>
      <c r="BA583">
        <v>0</v>
      </c>
      <c r="BB583">
        <v>0</v>
      </c>
      <c r="BC583">
        <v>0</v>
      </c>
      <c r="BD583">
        <v>0</v>
      </c>
      <c r="BE583">
        <v>0</v>
      </c>
      <c r="BF583">
        <v>0</v>
      </c>
      <c r="BG583">
        <v>0</v>
      </c>
      <c r="BH583">
        <v>0</v>
      </c>
      <c r="BI583">
        <v>0</v>
      </c>
      <c r="BK583" s="151"/>
    </row>
    <row r="584" spans="1:63" x14ac:dyDescent="0.35">
      <c r="A584">
        <v>0</v>
      </c>
      <c r="B584">
        <v>0</v>
      </c>
      <c r="C584">
        <v>0</v>
      </c>
      <c r="D584">
        <v>0</v>
      </c>
      <c r="E584">
        <v>0</v>
      </c>
      <c r="F584">
        <v>0</v>
      </c>
      <c r="G584">
        <v>0</v>
      </c>
      <c r="H584">
        <v>0</v>
      </c>
      <c r="I584">
        <v>0</v>
      </c>
      <c r="J584">
        <v>0</v>
      </c>
      <c r="K584">
        <v>0</v>
      </c>
      <c r="L584">
        <v>0</v>
      </c>
      <c r="M584">
        <v>0</v>
      </c>
      <c r="N584">
        <v>0</v>
      </c>
      <c r="O584">
        <v>0</v>
      </c>
      <c r="P584">
        <v>0</v>
      </c>
      <c r="Q584">
        <v>0</v>
      </c>
      <c r="R584">
        <v>0</v>
      </c>
      <c r="S584">
        <v>0</v>
      </c>
      <c r="T584">
        <v>0</v>
      </c>
      <c r="U584">
        <v>0</v>
      </c>
      <c r="V584">
        <v>0</v>
      </c>
      <c r="W584">
        <v>0</v>
      </c>
      <c r="X584">
        <v>0</v>
      </c>
      <c r="Y584">
        <v>0</v>
      </c>
      <c r="Z584">
        <v>0</v>
      </c>
      <c r="AA584">
        <v>0</v>
      </c>
      <c r="AB584">
        <v>0</v>
      </c>
      <c r="AC584">
        <v>0</v>
      </c>
      <c r="AD584">
        <v>0</v>
      </c>
      <c r="AF584">
        <v>0</v>
      </c>
      <c r="AG584">
        <v>0</v>
      </c>
      <c r="AH584">
        <v>0</v>
      </c>
      <c r="AI584">
        <v>0</v>
      </c>
      <c r="AJ584">
        <v>0</v>
      </c>
      <c r="AK584">
        <v>0</v>
      </c>
      <c r="AL584">
        <v>0</v>
      </c>
      <c r="AM584">
        <v>0</v>
      </c>
      <c r="AN584">
        <v>0</v>
      </c>
      <c r="AO584">
        <v>0</v>
      </c>
      <c r="AP584">
        <v>0</v>
      </c>
      <c r="AQ584">
        <v>0</v>
      </c>
      <c r="AR584">
        <v>0</v>
      </c>
      <c r="AS584">
        <v>0</v>
      </c>
      <c r="AT584">
        <v>0</v>
      </c>
      <c r="AU584">
        <v>0</v>
      </c>
      <c r="AV584">
        <v>0</v>
      </c>
      <c r="AW584">
        <v>0</v>
      </c>
      <c r="AX584">
        <v>0</v>
      </c>
      <c r="AY584">
        <v>0</v>
      </c>
      <c r="AZ584">
        <v>0</v>
      </c>
      <c r="BA584">
        <v>0</v>
      </c>
      <c r="BB584">
        <v>0</v>
      </c>
      <c r="BC584">
        <v>0</v>
      </c>
      <c r="BD584">
        <v>0</v>
      </c>
      <c r="BE584">
        <v>0</v>
      </c>
      <c r="BF584">
        <v>0</v>
      </c>
      <c r="BG584">
        <v>0</v>
      </c>
      <c r="BH584">
        <v>0</v>
      </c>
      <c r="BI584">
        <v>0</v>
      </c>
      <c r="BK584" s="151"/>
    </row>
    <row r="585" spans="1:63" x14ac:dyDescent="0.35">
      <c r="A585">
        <v>0</v>
      </c>
      <c r="B585">
        <v>0</v>
      </c>
      <c r="C585">
        <v>0</v>
      </c>
      <c r="D585">
        <v>0</v>
      </c>
      <c r="E585">
        <v>0</v>
      </c>
      <c r="F585">
        <v>0</v>
      </c>
      <c r="G585">
        <v>0</v>
      </c>
      <c r="H585">
        <v>0</v>
      </c>
      <c r="I585">
        <v>0</v>
      </c>
      <c r="J585">
        <v>0</v>
      </c>
      <c r="K585">
        <v>0</v>
      </c>
      <c r="L585">
        <v>0</v>
      </c>
      <c r="M585">
        <v>0</v>
      </c>
      <c r="N585">
        <v>0</v>
      </c>
      <c r="O585">
        <v>0</v>
      </c>
      <c r="P585">
        <v>0</v>
      </c>
      <c r="Q585">
        <v>0</v>
      </c>
      <c r="R585">
        <v>0</v>
      </c>
      <c r="S585">
        <v>0</v>
      </c>
      <c r="T585">
        <v>0</v>
      </c>
      <c r="U585">
        <v>0</v>
      </c>
      <c r="V585">
        <v>0</v>
      </c>
      <c r="W585">
        <v>0</v>
      </c>
      <c r="X585">
        <v>0</v>
      </c>
      <c r="Y585">
        <v>0</v>
      </c>
      <c r="Z585">
        <v>0</v>
      </c>
      <c r="AA585">
        <v>0</v>
      </c>
      <c r="AB585">
        <v>0</v>
      </c>
      <c r="AC585">
        <v>0</v>
      </c>
      <c r="AD585">
        <v>0</v>
      </c>
      <c r="AF585">
        <v>0</v>
      </c>
      <c r="AG585">
        <v>0</v>
      </c>
      <c r="AH585">
        <v>0</v>
      </c>
      <c r="AI585">
        <v>0</v>
      </c>
      <c r="AJ585">
        <v>0</v>
      </c>
      <c r="AK585">
        <v>0</v>
      </c>
      <c r="AL585">
        <v>0</v>
      </c>
      <c r="AM585">
        <v>0</v>
      </c>
      <c r="AN585">
        <v>0</v>
      </c>
      <c r="AO585">
        <v>0</v>
      </c>
      <c r="AP585">
        <v>0</v>
      </c>
      <c r="AQ585">
        <v>0</v>
      </c>
      <c r="AR585">
        <v>0</v>
      </c>
      <c r="AS585">
        <v>0</v>
      </c>
      <c r="AT585">
        <v>0</v>
      </c>
      <c r="AU585">
        <v>0</v>
      </c>
      <c r="AV585">
        <v>0</v>
      </c>
      <c r="AW585">
        <v>0</v>
      </c>
      <c r="AX585">
        <v>0</v>
      </c>
      <c r="AY585">
        <v>0</v>
      </c>
      <c r="AZ585">
        <v>0</v>
      </c>
      <c r="BA585">
        <v>0</v>
      </c>
      <c r="BB585">
        <v>0</v>
      </c>
      <c r="BC585">
        <v>0</v>
      </c>
      <c r="BD585">
        <v>0</v>
      </c>
      <c r="BE585">
        <v>0</v>
      </c>
      <c r="BF585">
        <v>0</v>
      </c>
      <c r="BG585">
        <v>0</v>
      </c>
      <c r="BH585">
        <v>0</v>
      </c>
      <c r="BI585">
        <v>0</v>
      </c>
      <c r="BK585" s="151"/>
    </row>
    <row r="586" spans="1:63" x14ac:dyDescent="0.35">
      <c r="A586">
        <v>0</v>
      </c>
      <c r="B586">
        <v>0</v>
      </c>
      <c r="C586">
        <v>0</v>
      </c>
      <c r="D586">
        <v>0</v>
      </c>
      <c r="E586">
        <v>0</v>
      </c>
      <c r="F586">
        <v>0</v>
      </c>
      <c r="G586">
        <v>0</v>
      </c>
      <c r="H586">
        <v>0</v>
      </c>
      <c r="I586">
        <v>0</v>
      </c>
      <c r="J586">
        <v>0</v>
      </c>
      <c r="K586">
        <v>0</v>
      </c>
      <c r="L586">
        <v>0</v>
      </c>
      <c r="M586">
        <v>0</v>
      </c>
      <c r="N586">
        <v>0</v>
      </c>
      <c r="O586">
        <v>0</v>
      </c>
      <c r="P586">
        <v>0</v>
      </c>
      <c r="Q586">
        <v>0</v>
      </c>
      <c r="R586">
        <v>0</v>
      </c>
      <c r="S586">
        <v>0</v>
      </c>
      <c r="T586">
        <v>0</v>
      </c>
      <c r="U586">
        <v>0</v>
      </c>
      <c r="V586">
        <v>0</v>
      </c>
      <c r="W586">
        <v>0</v>
      </c>
      <c r="X586">
        <v>0</v>
      </c>
      <c r="Y586">
        <v>0</v>
      </c>
      <c r="Z586">
        <v>0</v>
      </c>
      <c r="AA586">
        <v>0</v>
      </c>
      <c r="AB586">
        <v>0</v>
      </c>
      <c r="AC586">
        <v>0</v>
      </c>
      <c r="AD586">
        <v>0</v>
      </c>
      <c r="AF586">
        <v>0</v>
      </c>
      <c r="AG586">
        <v>0</v>
      </c>
      <c r="AH586">
        <v>0</v>
      </c>
      <c r="AI586">
        <v>0</v>
      </c>
      <c r="AJ586">
        <v>0</v>
      </c>
      <c r="AK586">
        <v>0</v>
      </c>
      <c r="AL586">
        <v>0</v>
      </c>
      <c r="AM586">
        <v>0</v>
      </c>
      <c r="AN586">
        <v>0</v>
      </c>
      <c r="AO586">
        <v>0</v>
      </c>
      <c r="AP586">
        <v>0</v>
      </c>
      <c r="AQ586">
        <v>0</v>
      </c>
      <c r="AR586">
        <v>0</v>
      </c>
      <c r="AS586">
        <v>0</v>
      </c>
      <c r="AT586">
        <v>0</v>
      </c>
      <c r="AU586">
        <v>0</v>
      </c>
      <c r="AV586">
        <v>0</v>
      </c>
      <c r="AW586">
        <v>0</v>
      </c>
      <c r="AX586">
        <v>0</v>
      </c>
      <c r="AY586">
        <v>0</v>
      </c>
      <c r="AZ586">
        <v>0</v>
      </c>
      <c r="BA586">
        <v>0</v>
      </c>
      <c r="BB586">
        <v>0</v>
      </c>
      <c r="BC586">
        <v>0</v>
      </c>
      <c r="BD586">
        <v>0</v>
      </c>
      <c r="BE586">
        <v>0</v>
      </c>
      <c r="BF586">
        <v>0</v>
      </c>
      <c r="BG586">
        <v>0</v>
      </c>
      <c r="BH586">
        <v>0</v>
      </c>
      <c r="BI586">
        <v>0</v>
      </c>
      <c r="BK586" s="151"/>
    </row>
    <row r="587" spans="1:63" x14ac:dyDescent="0.35">
      <c r="A587">
        <v>0</v>
      </c>
      <c r="B587">
        <v>0</v>
      </c>
      <c r="C587">
        <v>0</v>
      </c>
      <c r="D587">
        <v>0</v>
      </c>
      <c r="E587">
        <v>0</v>
      </c>
      <c r="F587">
        <v>0</v>
      </c>
      <c r="G587">
        <v>0</v>
      </c>
      <c r="H587">
        <v>0</v>
      </c>
      <c r="I587">
        <v>0</v>
      </c>
      <c r="J587">
        <v>0</v>
      </c>
      <c r="K587">
        <v>0</v>
      </c>
      <c r="L587">
        <v>0</v>
      </c>
      <c r="M587">
        <v>0</v>
      </c>
      <c r="N587">
        <v>0</v>
      </c>
      <c r="O587">
        <v>0</v>
      </c>
      <c r="P587">
        <v>0</v>
      </c>
      <c r="Q587">
        <v>0</v>
      </c>
      <c r="R587">
        <v>0</v>
      </c>
      <c r="S587">
        <v>0</v>
      </c>
      <c r="T587">
        <v>0</v>
      </c>
      <c r="U587">
        <v>0</v>
      </c>
      <c r="V587">
        <v>0</v>
      </c>
      <c r="W587">
        <v>0</v>
      </c>
      <c r="X587">
        <v>0</v>
      </c>
      <c r="Y587">
        <v>0</v>
      </c>
      <c r="Z587">
        <v>0</v>
      </c>
      <c r="AA587">
        <v>0</v>
      </c>
      <c r="AB587">
        <v>0</v>
      </c>
      <c r="AC587">
        <v>0</v>
      </c>
      <c r="AD587">
        <v>0</v>
      </c>
      <c r="AF587">
        <v>0</v>
      </c>
      <c r="AG587">
        <v>0</v>
      </c>
      <c r="AH587">
        <v>0</v>
      </c>
      <c r="AI587">
        <v>0</v>
      </c>
      <c r="AJ587">
        <v>0</v>
      </c>
      <c r="AK587">
        <v>0</v>
      </c>
      <c r="AL587">
        <v>0</v>
      </c>
      <c r="AM587">
        <v>0</v>
      </c>
      <c r="AN587">
        <v>0</v>
      </c>
      <c r="AO587">
        <v>0</v>
      </c>
      <c r="AP587">
        <v>0</v>
      </c>
      <c r="AQ587">
        <v>0</v>
      </c>
      <c r="AR587">
        <v>0</v>
      </c>
      <c r="AS587">
        <v>0</v>
      </c>
      <c r="AT587">
        <v>0</v>
      </c>
      <c r="AU587">
        <v>0</v>
      </c>
      <c r="AV587">
        <v>0</v>
      </c>
      <c r="AW587">
        <v>0</v>
      </c>
      <c r="AX587">
        <v>0</v>
      </c>
      <c r="AY587">
        <v>0</v>
      </c>
      <c r="AZ587">
        <v>0</v>
      </c>
      <c r="BA587">
        <v>0</v>
      </c>
      <c r="BB587">
        <v>0</v>
      </c>
      <c r="BC587">
        <v>0</v>
      </c>
      <c r="BD587">
        <v>0</v>
      </c>
      <c r="BE587">
        <v>0</v>
      </c>
      <c r="BF587">
        <v>0</v>
      </c>
      <c r="BG587">
        <v>0</v>
      </c>
      <c r="BH587">
        <v>0</v>
      </c>
      <c r="BI587">
        <v>0</v>
      </c>
      <c r="BK587" s="151"/>
    </row>
    <row r="588" spans="1:63" x14ac:dyDescent="0.35">
      <c r="A588">
        <v>0</v>
      </c>
      <c r="B588">
        <v>0</v>
      </c>
      <c r="C588">
        <v>0</v>
      </c>
      <c r="D588">
        <v>0</v>
      </c>
      <c r="E588">
        <v>0</v>
      </c>
      <c r="F588">
        <v>0</v>
      </c>
      <c r="G588">
        <v>0</v>
      </c>
      <c r="H588">
        <v>0</v>
      </c>
      <c r="I588">
        <v>0</v>
      </c>
      <c r="J588">
        <v>0</v>
      </c>
      <c r="K588">
        <v>0</v>
      </c>
      <c r="L588">
        <v>0</v>
      </c>
      <c r="M588">
        <v>0</v>
      </c>
      <c r="N588">
        <v>0</v>
      </c>
      <c r="O588">
        <v>0</v>
      </c>
      <c r="P588">
        <v>0</v>
      </c>
      <c r="Q588">
        <v>0</v>
      </c>
      <c r="R588">
        <v>0</v>
      </c>
      <c r="S588">
        <v>0</v>
      </c>
      <c r="T588">
        <v>0</v>
      </c>
      <c r="U588">
        <v>0</v>
      </c>
      <c r="V588">
        <v>0</v>
      </c>
      <c r="W588">
        <v>0</v>
      </c>
      <c r="X588">
        <v>0</v>
      </c>
      <c r="Y588">
        <v>0</v>
      </c>
      <c r="Z588">
        <v>0</v>
      </c>
      <c r="AA588">
        <v>0</v>
      </c>
      <c r="AB588">
        <v>0</v>
      </c>
      <c r="AC588">
        <v>0</v>
      </c>
      <c r="AD588">
        <v>0</v>
      </c>
      <c r="AF588">
        <v>0</v>
      </c>
      <c r="AG588">
        <v>0</v>
      </c>
      <c r="AH588">
        <v>0</v>
      </c>
      <c r="AI588">
        <v>0</v>
      </c>
      <c r="AJ588">
        <v>0</v>
      </c>
      <c r="AK588">
        <v>0</v>
      </c>
      <c r="AL588">
        <v>0</v>
      </c>
      <c r="AM588">
        <v>0</v>
      </c>
      <c r="AN588">
        <v>0</v>
      </c>
      <c r="AO588">
        <v>0</v>
      </c>
      <c r="AP588">
        <v>0</v>
      </c>
      <c r="AQ588">
        <v>0</v>
      </c>
      <c r="AR588">
        <v>0</v>
      </c>
      <c r="AS588">
        <v>0</v>
      </c>
      <c r="AT588">
        <v>0</v>
      </c>
      <c r="AU588">
        <v>0</v>
      </c>
      <c r="AV588">
        <v>0</v>
      </c>
      <c r="AW588">
        <v>0</v>
      </c>
      <c r="AX588">
        <v>0</v>
      </c>
      <c r="AY588">
        <v>0</v>
      </c>
      <c r="AZ588">
        <v>0</v>
      </c>
      <c r="BA588">
        <v>0</v>
      </c>
      <c r="BB588">
        <v>0</v>
      </c>
      <c r="BC588">
        <v>0</v>
      </c>
      <c r="BD588">
        <v>0</v>
      </c>
      <c r="BE588">
        <v>0</v>
      </c>
      <c r="BF588">
        <v>0</v>
      </c>
      <c r="BG588">
        <v>0</v>
      </c>
      <c r="BH588">
        <v>0</v>
      </c>
      <c r="BI588">
        <v>0</v>
      </c>
      <c r="BK588" s="151"/>
    </row>
    <row r="589" spans="1:63" x14ac:dyDescent="0.35">
      <c r="A589">
        <v>0</v>
      </c>
      <c r="B589">
        <v>0</v>
      </c>
      <c r="C589">
        <v>0</v>
      </c>
      <c r="D589">
        <v>0</v>
      </c>
      <c r="E589">
        <v>0</v>
      </c>
      <c r="F589">
        <v>0</v>
      </c>
      <c r="G589">
        <v>0</v>
      </c>
      <c r="H589">
        <v>0</v>
      </c>
      <c r="I589">
        <v>0</v>
      </c>
      <c r="J589">
        <v>0</v>
      </c>
      <c r="K589">
        <v>0</v>
      </c>
      <c r="L589">
        <v>0</v>
      </c>
      <c r="M589">
        <v>0</v>
      </c>
      <c r="N589">
        <v>0</v>
      </c>
      <c r="O589">
        <v>0</v>
      </c>
      <c r="P589">
        <v>0</v>
      </c>
      <c r="Q589">
        <v>0</v>
      </c>
      <c r="R589">
        <v>0</v>
      </c>
      <c r="S589">
        <v>0</v>
      </c>
      <c r="T589">
        <v>0</v>
      </c>
      <c r="U589">
        <v>0</v>
      </c>
      <c r="V589">
        <v>0</v>
      </c>
      <c r="W589">
        <v>0</v>
      </c>
      <c r="X589">
        <v>0</v>
      </c>
      <c r="Y589">
        <v>0</v>
      </c>
      <c r="Z589">
        <v>0</v>
      </c>
      <c r="AA589">
        <v>0</v>
      </c>
      <c r="AB589">
        <v>0</v>
      </c>
      <c r="AC589">
        <v>0</v>
      </c>
      <c r="AD589">
        <v>0</v>
      </c>
      <c r="AF589">
        <v>0</v>
      </c>
      <c r="AG589">
        <v>0</v>
      </c>
      <c r="AH589">
        <v>0</v>
      </c>
      <c r="AI589">
        <v>0</v>
      </c>
      <c r="AJ589">
        <v>0</v>
      </c>
      <c r="AK589">
        <v>0</v>
      </c>
      <c r="AL589">
        <v>0</v>
      </c>
      <c r="AM589">
        <v>0</v>
      </c>
      <c r="AN589">
        <v>0</v>
      </c>
      <c r="AO589">
        <v>0</v>
      </c>
      <c r="AP589">
        <v>0</v>
      </c>
      <c r="AQ589">
        <v>0</v>
      </c>
      <c r="AR589">
        <v>0</v>
      </c>
      <c r="AS589">
        <v>0</v>
      </c>
      <c r="AT589">
        <v>0</v>
      </c>
      <c r="AU589">
        <v>0</v>
      </c>
      <c r="AV589">
        <v>0</v>
      </c>
      <c r="AW589">
        <v>0</v>
      </c>
      <c r="AX589">
        <v>0</v>
      </c>
      <c r="AY589">
        <v>0</v>
      </c>
      <c r="AZ589">
        <v>0</v>
      </c>
      <c r="BA589">
        <v>0</v>
      </c>
      <c r="BB589">
        <v>0</v>
      </c>
      <c r="BC589">
        <v>0</v>
      </c>
      <c r="BD589">
        <v>0</v>
      </c>
      <c r="BE589">
        <v>0</v>
      </c>
      <c r="BF589">
        <v>0</v>
      </c>
      <c r="BG589">
        <v>0</v>
      </c>
      <c r="BH589">
        <v>0</v>
      </c>
      <c r="BI589">
        <v>0</v>
      </c>
      <c r="BK589" s="151"/>
    </row>
    <row r="590" spans="1:63" x14ac:dyDescent="0.35">
      <c r="A590">
        <v>0</v>
      </c>
      <c r="B590">
        <v>0</v>
      </c>
      <c r="C590">
        <v>0</v>
      </c>
      <c r="D590">
        <v>0</v>
      </c>
      <c r="E590">
        <v>0</v>
      </c>
      <c r="F590">
        <v>0</v>
      </c>
      <c r="G590">
        <v>0</v>
      </c>
      <c r="H590">
        <v>0</v>
      </c>
      <c r="I590">
        <v>0</v>
      </c>
      <c r="J590">
        <v>0</v>
      </c>
      <c r="K590">
        <v>0</v>
      </c>
      <c r="L590">
        <v>0</v>
      </c>
      <c r="M590">
        <v>0</v>
      </c>
      <c r="N590">
        <v>0</v>
      </c>
      <c r="O590">
        <v>0</v>
      </c>
      <c r="P590">
        <v>0</v>
      </c>
      <c r="Q590">
        <v>0</v>
      </c>
      <c r="R590">
        <v>0</v>
      </c>
      <c r="S590">
        <v>0</v>
      </c>
      <c r="T590">
        <v>0</v>
      </c>
      <c r="U590">
        <v>0</v>
      </c>
      <c r="V590">
        <v>0</v>
      </c>
      <c r="W590">
        <v>0</v>
      </c>
      <c r="X590">
        <v>0</v>
      </c>
      <c r="Y590">
        <v>0</v>
      </c>
      <c r="Z590">
        <v>0</v>
      </c>
      <c r="AA590">
        <v>0</v>
      </c>
      <c r="AB590">
        <v>0</v>
      </c>
      <c r="AC590">
        <v>0</v>
      </c>
      <c r="AD590">
        <v>0</v>
      </c>
      <c r="AF590">
        <v>0</v>
      </c>
      <c r="AG590">
        <v>0</v>
      </c>
      <c r="AH590">
        <v>0</v>
      </c>
      <c r="AI590">
        <v>0</v>
      </c>
      <c r="AJ590">
        <v>0</v>
      </c>
      <c r="AK590">
        <v>0</v>
      </c>
      <c r="AL590">
        <v>0</v>
      </c>
      <c r="AM590">
        <v>0</v>
      </c>
      <c r="AN590">
        <v>0</v>
      </c>
      <c r="AO590">
        <v>0</v>
      </c>
      <c r="AP590">
        <v>0</v>
      </c>
      <c r="AQ590">
        <v>0</v>
      </c>
      <c r="AR590">
        <v>0</v>
      </c>
      <c r="AS590">
        <v>0</v>
      </c>
      <c r="AT590">
        <v>0</v>
      </c>
      <c r="AU590">
        <v>0</v>
      </c>
      <c r="AV590">
        <v>0</v>
      </c>
      <c r="AW590">
        <v>0</v>
      </c>
      <c r="AX590">
        <v>0</v>
      </c>
      <c r="AY590">
        <v>0</v>
      </c>
      <c r="AZ590">
        <v>0</v>
      </c>
      <c r="BA590">
        <v>0</v>
      </c>
      <c r="BB590">
        <v>0</v>
      </c>
      <c r="BC590">
        <v>0</v>
      </c>
      <c r="BD590">
        <v>0</v>
      </c>
      <c r="BE590">
        <v>0</v>
      </c>
      <c r="BF590">
        <v>0</v>
      </c>
      <c r="BG590">
        <v>0</v>
      </c>
      <c r="BH590">
        <v>0</v>
      </c>
      <c r="BI590">
        <v>0</v>
      </c>
      <c r="BK590" s="151"/>
    </row>
    <row r="591" spans="1:63" x14ac:dyDescent="0.35">
      <c r="A591">
        <v>0</v>
      </c>
      <c r="B591">
        <v>0</v>
      </c>
      <c r="C591">
        <v>0</v>
      </c>
      <c r="D591">
        <v>0</v>
      </c>
      <c r="E591">
        <v>0</v>
      </c>
      <c r="F591">
        <v>0</v>
      </c>
      <c r="G591">
        <v>0</v>
      </c>
      <c r="H591">
        <v>0</v>
      </c>
      <c r="I591">
        <v>0</v>
      </c>
      <c r="J591">
        <v>0</v>
      </c>
      <c r="K591">
        <v>0</v>
      </c>
      <c r="L591">
        <v>0</v>
      </c>
      <c r="M591">
        <v>0</v>
      </c>
      <c r="N591">
        <v>0</v>
      </c>
      <c r="O591">
        <v>0</v>
      </c>
      <c r="P591">
        <v>0</v>
      </c>
      <c r="Q591">
        <v>0</v>
      </c>
      <c r="R591">
        <v>0</v>
      </c>
      <c r="S591">
        <v>0</v>
      </c>
      <c r="T591">
        <v>0</v>
      </c>
      <c r="U591">
        <v>0</v>
      </c>
      <c r="V591">
        <v>0</v>
      </c>
      <c r="W591">
        <v>0</v>
      </c>
      <c r="X591">
        <v>0</v>
      </c>
      <c r="Y591">
        <v>0</v>
      </c>
      <c r="Z591">
        <v>0</v>
      </c>
      <c r="AA591">
        <v>0</v>
      </c>
      <c r="AB591">
        <v>0</v>
      </c>
      <c r="AC591">
        <v>0</v>
      </c>
      <c r="AD591">
        <v>0</v>
      </c>
      <c r="AF591">
        <v>0</v>
      </c>
      <c r="AG591">
        <v>0</v>
      </c>
      <c r="AH591">
        <v>0</v>
      </c>
      <c r="AI591">
        <v>0</v>
      </c>
      <c r="AJ591">
        <v>0</v>
      </c>
      <c r="AK591">
        <v>0</v>
      </c>
      <c r="AL591">
        <v>0</v>
      </c>
      <c r="AM591">
        <v>0</v>
      </c>
      <c r="AN591">
        <v>0</v>
      </c>
      <c r="AO591">
        <v>0</v>
      </c>
      <c r="AP591">
        <v>0</v>
      </c>
      <c r="AQ591">
        <v>0</v>
      </c>
      <c r="AR591">
        <v>0</v>
      </c>
      <c r="AS591">
        <v>0</v>
      </c>
      <c r="AT591">
        <v>0</v>
      </c>
      <c r="AU591">
        <v>0</v>
      </c>
      <c r="AV591">
        <v>0</v>
      </c>
      <c r="AW591">
        <v>0</v>
      </c>
      <c r="AX591">
        <v>0</v>
      </c>
      <c r="AY591">
        <v>0</v>
      </c>
      <c r="AZ591">
        <v>0</v>
      </c>
      <c r="BA591">
        <v>0</v>
      </c>
      <c r="BB591">
        <v>0</v>
      </c>
      <c r="BC591">
        <v>0</v>
      </c>
      <c r="BD591">
        <v>0</v>
      </c>
      <c r="BE591">
        <v>0</v>
      </c>
      <c r="BF591">
        <v>0</v>
      </c>
      <c r="BG591">
        <v>0</v>
      </c>
      <c r="BH591">
        <v>0</v>
      </c>
      <c r="BI591">
        <v>0</v>
      </c>
      <c r="BK591" s="151"/>
    </row>
    <row r="592" spans="1:63" x14ac:dyDescent="0.35">
      <c r="A592">
        <v>0</v>
      </c>
      <c r="B592">
        <v>0</v>
      </c>
      <c r="C592">
        <v>0</v>
      </c>
      <c r="D592">
        <v>0</v>
      </c>
      <c r="E592">
        <v>0</v>
      </c>
      <c r="F592">
        <v>0</v>
      </c>
      <c r="G592">
        <v>0</v>
      </c>
      <c r="H592">
        <v>0</v>
      </c>
      <c r="I592">
        <v>0</v>
      </c>
      <c r="J592">
        <v>0</v>
      </c>
      <c r="K592">
        <v>0</v>
      </c>
      <c r="L592">
        <v>0</v>
      </c>
      <c r="M592">
        <v>0</v>
      </c>
      <c r="N592">
        <v>0</v>
      </c>
      <c r="O592">
        <v>0</v>
      </c>
      <c r="P592">
        <v>0</v>
      </c>
      <c r="Q592">
        <v>0</v>
      </c>
      <c r="R592">
        <v>0</v>
      </c>
      <c r="S592">
        <v>0</v>
      </c>
      <c r="T592">
        <v>0</v>
      </c>
      <c r="U592">
        <v>0</v>
      </c>
      <c r="V592">
        <v>0</v>
      </c>
      <c r="W592">
        <v>0</v>
      </c>
      <c r="X592">
        <v>0</v>
      </c>
      <c r="Y592">
        <v>0</v>
      </c>
      <c r="Z592">
        <v>0</v>
      </c>
      <c r="AA592">
        <v>0</v>
      </c>
      <c r="AB592">
        <v>0</v>
      </c>
      <c r="AC592">
        <v>0</v>
      </c>
      <c r="AD592">
        <v>0</v>
      </c>
      <c r="AF592">
        <v>0</v>
      </c>
      <c r="AG592">
        <v>0</v>
      </c>
      <c r="AH592">
        <v>0</v>
      </c>
      <c r="AI592">
        <v>0</v>
      </c>
      <c r="AJ592">
        <v>0</v>
      </c>
      <c r="AK592">
        <v>0</v>
      </c>
      <c r="AL592">
        <v>0</v>
      </c>
      <c r="AM592">
        <v>0</v>
      </c>
      <c r="AN592">
        <v>0</v>
      </c>
      <c r="AO592">
        <v>0</v>
      </c>
      <c r="AP592">
        <v>0</v>
      </c>
      <c r="AQ592">
        <v>0</v>
      </c>
      <c r="AR592">
        <v>0</v>
      </c>
      <c r="AS592">
        <v>0</v>
      </c>
      <c r="AT592">
        <v>0</v>
      </c>
      <c r="AU592">
        <v>0</v>
      </c>
      <c r="AV592">
        <v>0</v>
      </c>
      <c r="AW592">
        <v>0</v>
      </c>
      <c r="AX592">
        <v>0</v>
      </c>
      <c r="AY592">
        <v>0</v>
      </c>
      <c r="AZ592">
        <v>0</v>
      </c>
      <c r="BA592">
        <v>0</v>
      </c>
      <c r="BB592">
        <v>0</v>
      </c>
      <c r="BC592">
        <v>0</v>
      </c>
      <c r="BD592">
        <v>0</v>
      </c>
      <c r="BE592">
        <v>0</v>
      </c>
      <c r="BF592">
        <v>0</v>
      </c>
      <c r="BG592">
        <v>0</v>
      </c>
      <c r="BH592">
        <v>0</v>
      </c>
      <c r="BI592">
        <v>0</v>
      </c>
      <c r="BK592" s="151"/>
    </row>
    <row r="593" spans="1:63" x14ac:dyDescent="0.35">
      <c r="A593">
        <v>0</v>
      </c>
      <c r="B593">
        <v>0</v>
      </c>
      <c r="C593">
        <v>0</v>
      </c>
      <c r="D593">
        <v>0</v>
      </c>
      <c r="E593">
        <v>0</v>
      </c>
      <c r="F593">
        <v>0</v>
      </c>
      <c r="G593">
        <v>0</v>
      </c>
      <c r="H593">
        <v>0</v>
      </c>
      <c r="I593">
        <v>0</v>
      </c>
      <c r="J593">
        <v>0</v>
      </c>
      <c r="K593">
        <v>0</v>
      </c>
      <c r="L593">
        <v>0</v>
      </c>
      <c r="M593">
        <v>0</v>
      </c>
      <c r="N593">
        <v>0</v>
      </c>
      <c r="O593">
        <v>0</v>
      </c>
      <c r="P593">
        <v>0</v>
      </c>
      <c r="Q593">
        <v>0</v>
      </c>
      <c r="R593">
        <v>0</v>
      </c>
      <c r="S593">
        <v>0</v>
      </c>
      <c r="T593">
        <v>0</v>
      </c>
      <c r="U593">
        <v>0</v>
      </c>
      <c r="V593">
        <v>0</v>
      </c>
      <c r="W593">
        <v>0</v>
      </c>
      <c r="X593">
        <v>0</v>
      </c>
      <c r="Y593">
        <v>0</v>
      </c>
      <c r="Z593">
        <v>0</v>
      </c>
      <c r="AA593">
        <v>0</v>
      </c>
      <c r="AB593">
        <v>0</v>
      </c>
      <c r="AC593">
        <v>0</v>
      </c>
      <c r="AD593">
        <v>0</v>
      </c>
      <c r="AF593">
        <v>0</v>
      </c>
      <c r="AG593">
        <v>0</v>
      </c>
      <c r="AH593">
        <v>0</v>
      </c>
      <c r="AI593">
        <v>0</v>
      </c>
      <c r="AJ593">
        <v>0</v>
      </c>
      <c r="AK593">
        <v>0</v>
      </c>
      <c r="AL593">
        <v>0</v>
      </c>
      <c r="AM593">
        <v>0</v>
      </c>
      <c r="AN593">
        <v>0</v>
      </c>
      <c r="AO593">
        <v>0</v>
      </c>
      <c r="AP593">
        <v>0</v>
      </c>
      <c r="AQ593">
        <v>0</v>
      </c>
      <c r="AR593">
        <v>0</v>
      </c>
      <c r="AS593">
        <v>0</v>
      </c>
      <c r="AT593">
        <v>0</v>
      </c>
      <c r="AU593">
        <v>0</v>
      </c>
      <c r="AV593">
        <v>0</v>
      </c>
      <c r="AW593">
        <v>0</v>
      </c>
      <c r="AX593">
        <v>0</v>
      </c>
      <c r="AY593">
        <v>0</v>
      </c>
      <c r="AZ593">
        <v>0</v>
      </c>
      <c r="BA593">
        <v>0</v>
      </c>
      <c r="BB593">
        <v>0</v>
      </c>
      <c r="BC593">
        <v>0</v>
      </c>
      <c r="BD593">
        <v>0</v>
      </c>
      <c r="BE593">
        <v>0</v>
      </c>
      <c r="BF593">
        <v>0</v>
      </c>
      <c r="BG593">
        <v>0</v>
      </c>
      <c r="BH593">
        <v>0</v>
      </c>
      <c r="BI593">
        <v>0</v>
      </c>
      <c r="BK593" s="151"/>
    </row>
    <row r="594" spans="1:63" x14ac:dyDescent="0.35">
      <c r="A594">
        <v>0</v>
      </c>
      <c r="B594">
        <v>0</v>
      </c>
      <c r="C594">
        <v>0</v>
      </c>
      <c r="D594">
        <v>0</v>
      </c>
      <c r="E594">
        <v>0</v>
      </c>
      <c r="F594">
        <v>0</v>
      </c>
      <c r="G594">
        <v>0</v>
      </c>
      <c r="H594">
        <v>0</v>
      </c>
      <c r="I594">
        <v>0</v>
      </c>
      <c r="J594">
        <v>0</v>
      </c>
      <c r="K594">
        <v>0</v>
      </c>
      <c r="L594">
        <v>0</v>
      </c>
      <c r="M594">
        <v>0</v>
      </c>
      <c r="N594">
        <v>0</v>
      </c>
      <c r="O594">
        <v>0</v>
      </c>
      <c r="P594">
        <v>0</v>
      </c>
      <c r="Q594">
        <v>0</v>
      </c>
      <c r="R594">
        <v>0</v>
      </c>
      <c r="S594">
        <v>0</v>
      </c>
      <c r="T594">
        <v>0</v>
      </c>
      <c r="U594">
        <v>0</v>
      </c>
      <c r="V594">
        <v>0</v>
      </c>
      <c r="W594">
        <v>0</v>
      </c>
      <c r="X594">
        <v>0</v>
      </c>
      <c r="Y594">
        <v>0</v>
      </c>
      <c r="Z594">
        <v>0</v>
      </c>
      <c r="AA594">
        <v>0</v>
      </c>
      <c r="AB594">
        <v>0</v>
      </c>
      <c r="AC594">
        <v>0</v>
      </c>
      <c r="AD594">
        <v>0</v>
      </c>
      <c r="AF594">
        <v>0</v>
      </c>
      <c r="AG594">
        <v>0</v>
      </c>
      <c r="AH594">
        <v>0</v>
      </c>
      <c r="AI594">
        <v>0</v>
      </c>
      <c r="AJ594">
        <v>0</v>
      </c>
      <c r="AK594">
        <v>0</v>
      </c>
      <c r="AL594">
        <v>0</v>
      </c>
      <c r="AM594">
        <v>0</v>
      </c>
      <c r="AN594">
        <v>0</v>
      </c>
      <c r="AO594">
        <v>0</v>
      </c>
      <c r="AP594">
        <v>0</v>
      </c>
      <c r="AQ594">
        <v>0</v>
      </c>
      <c r="AR594">
        <v>0</v>
      </c>
      <c r="AS594">
        <v>0</v>
      </c>
      <c r="AT594">
        <v>0</v>
      </c>
      <c r="AU594">
        <v>0</v>
      </c>
      <c r="AV594">
        <v>0</v>
      </c>
      <c r="AW594">
        <v>0</v>
      </c>
      <c r="AX594">
        <v>0</v>
      </c>
      <c r="AY594">
        <v>0</v>
      </c>
      <c r="AZ594">
        <v>0</v>
      </c>
      <c r="BA594">
        <v>0</v>
      </c>
      <c r="BB594">
        <v>0</v>
      </c>
      <c r="BC594">
        <v>0</v>
      </c>
      <c r="BD594">
        <v>0</v>
      </c>
      <c r="BE594">
        <v>0</v>
      </c>
      <c r="BF594">
        <v>0</v>
      </c>
      <c r="BG594">
        <v>0</v>
      </c>
      <c r="BH594">
        <v>0</v>
      </c>
      <c r="BI594">
        <v>0</v>
      </c>
      <c r="BK594" s="151"/>
    </row>
    <row r="595" spans="1:63" x14ac:dyDescent="0.35">
      <c r="A595">
        <v>0</v>
      </c>
      <c r="B595">
        <v>0</v>
      </c>
      <c r="C595">
        <v>0</v>
      </c>
      <c r="D595">
        <v>0</v>
      </c>
      <c r="E595">
        <v>0</v>
      </c>
      <c r="F595">
        <v>0</v>
      </c>
      <c r="G595">
        <v>0</v>
      </c>
      <c r="H595">
        <v>0</v>
      </c>
      <c r="I595">
        <v>0</v>
      </c>
      <c r="J595">
        <v>0</v>
      </c>
      <c r="K595">
        <v>0</v>
      </c>
      <c r="L595">
        <v>0</v>
      </c>
      <c r="M595">
        <v>0</v>
      </c>
      <c r="N595">
        <v>0</v>
      </c>
      <c r="O595">
        <v>0</v>
      </c>
      <c r="P595">
        <v>0</v>
      </c>
      <c r="Q595">
        <v>0</v>
      </c>
      <c r="R595">
        <v>0</v>
      </c>
      <c r="S595">
        <v>0</v>
      </c>
      <c r="T595">
        <v>0</v>
      </c>
      <c r="U595">
        <v>0</v>
      </c>
      <c r="V595">
        <v>0</v>
      </c>
      <c r="W595">
        <v>0</v>
      </c>
      <c r="X595">
        <v>0</v>
      </c>
      <c r="Y595">
        <v>0</v>
      </c>
      <c r="Z595">
        <v>0</v>
      </c>
      <c r="AA595">
        <v>0</v>
      </c>
      <c r="AB595">
        <v>0</v>
      </c>
      <c r="AC595">
        <v>0</v>
      </c>
      <c r="AD595">
        <v>0</v>
      </c>
      <c r="AF595">
        <v>0</v>
      </c>
      <c r="AG595">
        <v>0</v>
      </c>
      <c r="AH595">
        <v>0</v>
      </c>
      <c r="AI595">
        <v>0</v>
      </c>
      <c r="AJ595">
        <v>0</v>
      </c>
      <c r="AK595">
        <v>0</v>
      </c>
      <c r="AL595">
        <v>0</v>
      </c>
      <c r="AM595">
        <v>0</v>
      </c>
      <c r="AN595">
        <v>0</v>
      </c>
      <c r="AO595">
        <v>0</v>
      </c>
      <c r="AP595">
        <v>0</v>
      </c>
      <c r="AQ595">
        <v>0</v>
      </c>
      <c r="AR595">
        <v>0</v>
      </c>
      <c r="AS595">
        <v>0</v>
      </c>
      <c r="AT595">
        <v>0</v>
      </c>
      <c r="AU595">
        <v>0</v>
      </c>
      <c r="AV595">
        <v>0</v>
      </c>
      <c r="AW595">
        <v>0</v>
      </c>
      <c r="AX595">
        <v>0</v>
      </c>
      <c r="AY595">
        <v>0</v>
      </c>
      <c r="AZ595">
        <v>0</v>
      </c>
      <c r="BA595">
        <v>0</v>
      </c>
      <c r="BB595">
        <v>0</v>
      </c>
      <c r="BC595">
        <v>0</v>
      </c>
      <c r="BD595">
        <v>0</v>
      </c>
      <c r="BE595">
        <v>0</v>
      </c>
      <c r="BF595">
        <v>0</v>
      </c>
      <c r="BG595">
        <v>0</v>
      </c>
      <c r="BH595">
        <v>0</v>
      </c>
      <c r="BI595">
        <v>0</v>
      </c>
      <c r="BK595" s="151"/>
    </row>
    <row r="596" spans="1:63" x14ac:dyDescent="0.35">
      <c r="A596">
        <v>0</v>
      </c>
      <c r="B596">
        <v>0</v>
      </c>
      <c r="C596">
        <v>0</v>
      </c>
      <c r="D596">
        <v>0</v>
      </c>
      <c r="E596">
        <v>0</v>
      </c>
      <c r="F596">
        <v>0</v>
      </c>
      <c r="G596">
        <v>0</v>
      </c>
      <c r="H596">
        <v>0</v>
      </c>
      <c r="I596">
        <v>0</v>
      </c>
      <c r="J596">
        <v>0</v>
      </c>
      <c r="K596">
        <v>0</v>
      </c>
      <c r="L596">
        <v>0</v>
      </c>
      <c r="M596">
        <v>0</v>
      </c>
      <c r="N596">
        <v>0</v>
      </c>
      <c r="O596">
        <v>0</v>
      </c>
      <c r="P596">
        <v>0</v>
      </c>
      <c r="Q596">
        <v>0</v>
      </c>
      <c r="R596">
        <v>0</v>
      </c>
      <c r="S596">
        <v>0</v>
      </c>
      <c r="T596">
        <v>0</v>
      </c>
      <c r="U596">
        <v>0</v>
      </c>
      <c r="V596">
        <v>0</v>
      </c>
      <c r="W596">
        <v>0</v>
      </c>
      <c r="X596">
        <v>0</v>
      </c>
      <c r="Y596">
        <v>0</v>
      </c>
      <c r="Z596">
        <v>0</v>
      </c>
      <c r="AA596">
        <v>0</v>
      </c>
      <c r="AB596">
        <v>0</v>
      </c>
      <c r="AC596">
        <v>0</v>
      </c>
      <c r="AD596">
        <v>0</v>
      </c>
      <c r="AF596">
        <v>0</v>
      </c>
      <c r="AG596">
        <v>0</v>
      </c>
      <c r="AH596">
        <v>0</v>
      </c>
      <c r="AI596">
        <v>0</v>
      </c>
      <c r="AJ596">
        <v>0</v>
      </c>
      <c r="AK596">
        <v>0</v>
      </c>
      <c r="AL596">
        <v>0</v>
      </c>
      <c r="AM596">
        <v>0</v>
      </c>
      <c r="AN596">
        <v>0</v>
      </c>
      <c r="AO596">
        <v>0</v>
      </c>
      <c r="AP596">
        <v>0</v>
      </c>
      <c r="AQ596">
        <v>0</v>
      </c>
      <c r="AR596">
        <v>0</v>
      </c>
      <c r="AS596">
        <v>0</v>
      </c>
      <c r="AT596">
        <v>0</v>
      </c>
      <c r="AU596">
        <v>0</v>
      </c>
      <c r="AV596">
        <v>0</v>
      </c>
      <c r="AW596">
        <v>0</v>
      </c>
      <c r="AX596">
        <v>0</v>
      </c>
      <c r="AY596">
        <v>0</v>
      </c>
      <c r="AZ596">
        <v>0</v>
      </c>
      <c r="BA596">
        <v>0</v>
      </c>
      <c r="BB596">
        <v>0</v>
      </c>
      <c r="BC596">
        <v>0</v>
      </c>
      <c r="BD596">
        <v>0</v>
      </c>
      <c r="BE596">
        <v>0</v>
      </c>
      <c r="BF596">
        <v>0</v>
      </c>
      <c r="BG596">
        <v>0</v>
      </c>
      <c r="BH596">
        <v>0</v>
      </c>
      <c r="BI596">
        <v>0</v>
      </c>
      <c r="BK596" s="151"/>
    </row>
    <row r="597" spans="1:63" x14ac:dyDescent="0.35">
      <c r="A597">
        <v>0</v>
      </c>
      <c r="B597">
        <v>0</v>
      </c>
      <c r="C597">
        <v>0</v>
      </c>
      <c r="D597">
        <v>0</v>
      </c>
      <c r="E597">
        <v>0</v>
      </c>
      <c r="F597">
        <v>0</v>
      </c>
      <c r="G597">
        <v>0</v>
      </c>
      <c r="H597">
        <v>0</v>
      </c>
      <c r="I597">
        <v>0</v>
      </c>
      <c r="J597">
        <v>0</v>
      </c>
      <c r="K597">
        <v>0</v>
      </c>
      <c r="L597">
        <v>0</v>
      </c>
      <c r="M597">
        <v>0</v>
      </c>
      <c r="N597">
        <v>0</v>
      </c>
      <c r="O597">
        <v>0</v>
      </c>
      <c r="P597">
        <v>0</v>
      </c>
      <c r="Q597">
        <v>0</v>
      </c>
      <c r="R597">
        <v>0</v>
      </c>
      <c r="S597">
        <v>0</v>
      </c>
      <c r="T597">
        <v>0</v>
      </c>
      <c r="U597">
        <v>0</v>
      </c>
      <c r="V597">
        <v>0</v>
      </c>
      <c r="W597">
        <v>0</v>
      </c>
      <c r="X597">
        <v>0</v>
      </c>
      <c r="Y597">
        <v>0</v>
      </c>
      <c r="Z597">
        <v>0</v>
      </c>
      <c r="AA597">
        <v>0</v>
      </c>
      <c r="AB597">
        <v>0</v>
      </c>
      <c r="AC597">
        <v>0</v>
      </c>
      <c r="AD597">
        <v>0</v>
      </c>
      <c r="AF597">
        <v>0</v>
      </c>
      <c r="AG597">
        <v>0</v>
      </c>
      <c r="AH597">
        <v>0</v>
      </c>
      <c r="AI597">
        <v>0</v>
      </c>
      <c r="AJ597">
        <v>0</v>
      </c>
      <c r="AK597">
        <v>0</v>
      </c>
      <c r="AL597">
        <v>0</v>
      </c>
      <c r="AM597">
        <v>0</v>
      </c>
      <c r="AN597">
        <v>0</v>
      </c>
      <c r="AO597">
        <v>0</v>
      </c>
      <c r="AP597">
        <v>0</v>
      </c>
      <c r="AQ597">
        <v>0</v>
      </c>
      <c r="AR597">
        <v>0</v>
      </c>
      <c r="AS597">
        <v>0</v>
      </c>
      <c r="AT597">
        <v>0</v>
      </c>
      <c r="AU597">
        <v>0</v>
      </c>
      <c r="AV597">
        <v>0</v>
      </c>
      <c r="AW597">
        <v>0</v>
      </c>
      <c r="AX597">
        <v>0</v>
      </c>
      <c r="AY597">
        <v>0</v>
      </c>
      <c r="AZ597">
        <v>0</v>
      </c>
      <c r="BA597">
        <v>0</v>
      </c>
      <c r="BB597">
        <v>0</v>
      </c>
      <c r="BC597">
        <v>0</v>
      </c>
      <c r="BD597">
        <v>0</v>
      </c>
      <c r="BE597">
        <v>0</v>
      </c>
      <c r="BF597">
        <v>0</v>
      </c>
      <c r="BG597">
        <v>0</v>
      </c>
      <c r="BH597">
        <v>0</v>
      </c>
      <c r="BI597">
        <v>0</v>
      </c>
      <c r="BK597" s="151"/>
    </row>
    <row r="598" spans="1:63" x14ac:dyDescent="0.35">
      <c r="A598">
        <v>0</v>
      </c>
      <c r="B598">
        <v>0</v>
      </c>
      <c r="C598">
        <v>0</v>
      </c>
      <c r="D598">
        <v>0</v>
      </c>
      <c r="E598">
        <v>0</v>
      </c>
      <c r="F598">
        <v>0</v>
      </c>
      <c r="G598">
        <v>0</v>
      </c>
      <c r="H598">
        <v>0</v>
      </c>
      <c r="I598">
        <v>0</v>
      </c>
      <c r="J598">
        <v>0</v>
      </c>
      <c r="K598">
        <v>0</v>
      </c>
      <c r="L598">
        <v>0</v>
      </c>
      <c r="M598">
        <v>0</v>
      </c>
      <c r="N598">
        <v>0</v>
      </c>
      <c r="O598">
        <v>0</v>
      </c>
      <c r="P598">
        <v>0</v>
      </c>
      <c r="Q598">
        <v>0</v>
      </c>
      <c r="R598">
        <v>0</v>
      </c>
      <c r="S598">
        <v>0</v>
      </c>
      <c r="T598">
        <v>0</v>
      </c>
      <c r="U598">
        <v>0</v>
      </c>
      <c r="V598">
        <v>0</v>
      </c>
      <c r="W598">
        <v>0</v>
      </c>
      <c r="X598">
        <v>0</v>
      </c>
      <c r="Y598">
        <v>0</v>
      </c>
      <c r="Z598">
        <v>0</v>
      </c>
      <c r="AA598">
        <v>0</v>
      </c>
      <c r="AB598">
        <v>0</v>
      </c>
      <c r="AC598">
        <v>0</v>
      </c>
      <c r="AD598">
        <v>0</v>
      </c>
      <c r="AF598">
        <v>0</v>
      </c>
      <c r="AG598">
        <v>0</v>
      </c>
      <c r="AH598">
        <v>0</v>
      </c>
      <c r="AI598">
        <v>0</v>
      </c>
      <c r="AJ598">
        <v>0</v>
      </c>
      <c r="AK598">
        <v>0</v>
      </c>
      <c r="AL598">
        <v>0</v>
      </c>
      <c r="AM598">
        <v>0</v>
      </c>
      <c r="AN598">
        <v>0</v>
      </c>
      <c r="AO598">
        <v>0</v>
      </c>
      <c r="AP598">
        <v>0</v>
      </c>
      <c r="AQ598">
        <v>0</v>
      </c>
      <c r="AR598">
        <v>0</v>
      </c>
      <c r="AS598">
        <v>0</v>
      </c>
      <c r="AT598">
        <v>0</v>
      </c>
      <c r="AU598">
        <v>0</v>
      </c>
      <c r="AV598">
        <v>0</v>
      </c>
      <c r="AW598">
        <v>0</v>
      </c>
      <c r="AX598">
        <v>0</v>
      </c>
      <c r="AY598">
        <v>0</v>
      </c>
      <c r="AZ598">
        <v>0</v>
      </c>
      <c r="BA598">
        <v>0</v>
      </c>
      <c r="BB598">
        <v>0</v>
      </c>
      <c r="BC598">
        <v>0</v>
      </c>
      <c r="BD598">
        <v>0</v>
      </c>
      <c r="BE598">
        <v>0</v>
      </c>
      <c r="BF598">
        <v>0</v>
      </c>
      <c r="BG598">
        <v>0</v>
      </c>
      <c r="BH598">
        <v>0</v>
      </c>
      <c r="BI598">
        <v>0</v>
      </c>
      <c r="BK598" s="151"/>
    </row>
    <row r="599" spans="1:63" x14ac:dyDescent="0.35">
      <c r="A599">
        <v>0</v>
      </c>
      <c r="B599">
        <v>0</v>
      </c>
      <c r="C599">
        <v>0</v>
      </c>
      <c r="D599">
        <v>0</v>
      </c>
      <c r="E599">
        <v>0</v>
      </c>
      <c r="F599">
        <v>0</v>
      </c>
      <c r="G599">
        <v>0</v>
      </c>
      <c r="H599">
        <v>0</v>
      </c>
      <c r="I599">
        <v>0</v>
      </c>
      <c r="J599">
        <v>0</v>
      </c>
      <c r="K599">
        <v>0</v>
      </c>
      <c r="L599">
        <v>0</v>
      </c>
      <c r="M599">
        <v>0</v>
      </c>
      <c r="N599">
        <v>0</v>
      </c>
      <c r="O599">
        <v>0</v>
      </c>
      <c r="P599">
        <v>0</v>
      </c>
      <c r="Q599">
        <v>0</v>
      </c>
      <c r="R599">
        <v>0</v>
      </c>
      <c r="S599">
        <v>0</v>
      </c>
      <c r="T599">
        <v>0</v>
      </c>
      <c r="U599">
        <v>0</v>
      </c>
      <c r="V599">
        <v>0</v>
      </c>
      <c r="W599">
        <v>0</v>
      </c>
      <c r="X599">
        <v>0</v>
      </c>
      <c r="Y599">
        <v>0</v>
      </c>
      <c r="Z599">
        <v>0</v>
      </c>
      <c r="AA599">
        <v>0</v>
      </c>
      <c r="AB599">
        <v>0</v>
      </c>
      <c r="AC599">
        <v>0</v>
      </c>
      <c r="AD599">
        <v>0</v>
      </c>
      <c r="AF599">
        <v>0</v>
      </c>
      <c r="AG599">
        <v>0</v>
      </c>
      <c r="AH599">
        <v>0</v>
      </c>
      <c r="AI599">
        <v>0</v>
      </c>
      <c r="AJ599">
        <v>0</v>
      </c>
      <c r="AK599">
        <v>0</v>
      </c>
      <c r="AL599">
        <v>0</v>
      </c>
      <c r="AM599">
        <v>0</v>
      </c>
      <c r="AN599">
        <v>0</v>
      </c>
      <c r="AO599">
        <v>0</v>
      </c>
      <c r="AP599">
        <v>0</v>
      </c>
      <c r="AQ599">
        <v>0</v>
      </c>
      <c r="AR599">
        <v>0</v>
      </c>
      <c r="AS599">
        <v>0</v>
      </c>
      <c r="AT599">
        <v>0</v>
      </c>
      <c r="AU599">
        <v>0</v>
      </c>
      <c r="AV599">
        <v>0</v>
      </c>
      <c r="AW599">
        <v>0</v>
      </c>
      <c r="AX599">
        <v>0</v>
      </c>
      <c r="AY599">
        <v>0</v>
      </c>
      <c r="AZ599">
        <v>0</v>
      </c>
      <c r="BA599">
        <v>0</v>
      </c>
      <c r="BB599">
        <v>0</v>
      </c>
      <c r="BC599">
        <v>0</v>
      </c>
      <c r="BD599">
        <v>0</v>
      </c>
      <c r="BE599">
        <v>0</v>
      </c>
      <c r="BF599">
        <v>0</v>
      </c>
      <c r="BG599">
        <v>0</v>
      </c>
      <c r="BH599">
        <v>0</v>
      </c>
      <c r="BI599">
        <v>0</v>
      </c>
      <c r="BK599" s="151"/>
    </row>
    <row r="600" spans="1:63" x14ac:dyDescent="0.35">
      <c r="A600">
        <v>0</v>
      </c>
      <c r="B600">
        <v>0</v>
      </c>
      <c r="C600">
        <v>0</v>
      </c>
      <c r="D600">
        <v>0</v>
      </c>
      <c r="E600">
        <v>0</v>
      </c>
      <c r="F600">
        <v>0</v>
      </c>
      <c r="G600">
        <v>0</v>
      </c>
      <c r="H600">
        <v>0</v>
      </c>
      <c r="I600">
        <v>0</v>
      </c>
      <c r="J600">
        <v>0</v>
      </c>
      <c r="K600">
        <v>0</v>
      </c>
      <c r="L600">
        <v>0</v>
      </c>
      <c r="M600">
        <v>0</v>
      </c>
      <c r="N600">
        <v>0</v>
      </c>
      <c r="O600">
        <v>0</v>
      </c>
      <c r="P600">
        <v>0</v>
      </c>
      <c r="Q600">
        <v>0</v>
      </c>
      <c r="R600">
        <v>0</v>
      </c>
      <c r="S600">
        <v>0</v>
      </c>
      <c r="T600">
        <v>0</v>
      </c>
      <c r="U600">
        <v>0</v>
      </c>
      <c r="V600">
        <v>0</v>
      </c>
      <c r="W600">
        <v>0</v>
      </c>
      <c r="X600">
        <v>0</v>
      </c>
      <c r="Y600">
        <v>0</v>
      </c>
      <c r="Z600">
        <v>0</v>
      </c>
      <c r="AA600">
        <v>0</v>
      </c>
      <c r="AB600">
        <v>0</v>
      </c>
      <c r="AC600">
        <v>0</v>
      </c>
      <c r="AD600">
        <v>0</v>
      </c>
      <c r="AF600">
        <v>0</v>
      </c>
      <c r="AG600">
        <v>0</v>
      </c>
      <c r="AH600">
        <v>0</v>
      </c>
      <c r="AI600">
        <v>0</v>
      </c>
      <c r="AJ600">
        <v>0</v>
      </c>
      <c r="AK600">
        <v>0</v>
      </c>
      <c r="AL600">
        <v>0</v>
      </c>
      <c r="AM600">
        <v>0</v>
      </c>
      <c r="AN600">
        <v>0</v>
      </c>
      <c r="AO600">
        <v>0</v>
      </c>
      <c r="AP600">
        <v>0</v>
      </c>
      <c r="AQ600">
        <v>0</v>
      </c>
      <c r="AR600">
        <v>0</v>
      </c>
      <c r="AS600">
        <v>0</v>
      </c>
      <c r="AT600">
        <v>0</v>
      </c>
      <c r="AU600">
        <v>0</v>
      </c>
      <c r="AV600">
        <v>0</v>
      </c>
      <c r="AW600">
        <v>0</v>
      </c>
      <c r="AX600">
        <v>0</v>
      </c>
      <c r="AY600">
        <v>0</v>
      </c>
      <c r="AZ600">
        <v>0</v>
      </c>
      <c r="BA600">
        <v>0</v>
      </c>
      <c r="BB600">
        <v>0</v>
      </c>
      <c r="BC600">
        <v>0</v>
      </c>
      <c r="BD600">
        <v>0</v>
      </c>
      <c r="BE600">
        <v>0</v>
      </c>
      <c r="BF600">
        <v>0</v>
      </c>
      <c r="BG600">
        <v>0</v>
      </c>
      <c r="BH600">
        <v>0</v>
      </c>
      <c r="BI600">
        <v>0</v>
      </c>
      <c r="BK600" s="151"/>
    </row>
    <row r="601" spans="1:63" x14ac:dyDescent="0.35">
      <c r="A601">
        <v>0</v>
      </c>
      <c r="B601">
        <v>0</v>
      </c>
      <c r="C601">
        <v>0</v>
      </c>
      <c r="D601">
        <v>0</v>
      </c>
      <c r="E601">
        <v>0</v>
      </c>
      <c r="F601">
        <v>0</v>
      </c>
      <c r="G601">
        <v>0</v>
      </c>
      <c r="H601">
        <v>0</v>
      </c>
      <c r="I601">
        <v>0</v>
      </c>
      <c r="J601">
        <v>0</v>
      </c>
      <c r="K601">
        <v>0</v>
      </c>
      <c r="L601">
        <v>0</v>
      </c>
      <c r="M601">
        <v>0</v>
      </c>
      <c r="N601">
        <v>0</v>
      </c>
      <c r="O601">
        <v>0</v>
      </c>
      <c r="P601">
        <v>0</v>
      </c>
      <c r="Q601">
        <v>0</v>
      </c>
      <c r="R601">
        <v>0</v>
      </c>
      <c r="S601">
        <v>0</v>
      </c>
      <c r="T601">
        <v>0</v>
      </c>
      <c r="U601">
        <v>0</v>
      </c>
      <c r="V601">
        <v>0</v>
      </c>
      <c r="W601">
        <v>0</v>
      </c>
      <c r="X601">
        <v>0</v>
      </c>
      <c r="Y601">
        <v>0</v>
      </c>
      <c r="Z601">
        <v>0</v>
      </c>
      <c r="AA601">
        <v>0</v>
      </c>
      <c r="AB601">
        <v>0</v>
      </c>
      <c r="AC601">
        <v>0</v>
      </c>
      <c r="AD601">
        <v>0</v>
      </c>
      <c r="AF601">
        <v>0</v>
      </c>
      <c r="AG601">
        <v>0</v>
      </c>
      <c r="AH601">
        <v>0</v>
      </c>
      <c r="AI601">
        <v>0</v>
      </c>
      <c r="AJ601">
        <v>0</v>
      </c>
      <c r="AK601">
        <v>0</v>
      </c>
      <c r="AL601">
        <v>0</v>
      </c>
      <c r="AM601">
        <v>0</v>
      </c>
      <c r="AN601">
        <v>0</v>
      </c>
      <c r="AO601">
        <v>0</v>
      </c>
      <c r="AP601">
        <v>0</v>
      </c>
      <c r="AQ601">
        <v>0</v>
      </c>
      <c r="AR601">
        <v>0</v>
      </c>
      <c r="AS601">
        <v>0</v>
      </c>
      <c r="AT601">
        <v>0</v>
      </c>
      <c r="AU601">
        <v>0</v>
      </c>
      <c r="AV601">
        <v>0</v>
      </c>
      <c r="AW601">
        <v>0</v>
      </c>
      <c r="AX601">
        <v>0</v>
      </c>
      <c r="AY601">
        <v>0</v>
      </c>
      <c r="AZ601">
        <v>0</v>
      </c>
      <c r="BA601">
        <v>0</v>
      </c>
      <c r="BB601">
        <v>0</v>
      </c>
      <c r="BC601">
        <v>0</v>
      </c>
      <c r="BD601">
        <v>0</v>
      </c>
      <c r="BE601">
        <v>0</v>
      </c>
      <c r="BF601">
        <v>0</v>
      </c>
      <c r="BG601">
        <v>0</v>
      </c>
      <c r="BH601">
        <v>0</v>
      </c>
      <c r="BI601">
        <v>0</v>
      </c>
      <c r="BK601" s="151"/>
    </row>
    <row r="602" spans="1:63" x14ac:dyDescent="0.35">
      <c r="A602">
        <v>0</v>
      </c>
      <c r="B602">
        <v>0</v>
      </c>
      <c r="C602">
        <v>0</v>
      </c>
      <c r="D602">
        <v>0</v>
      </c>
      <c r="E602">
        <v>0</v>
      </c>
      <c r="F602">
        <v>0</v>
      </c>
      <c r="G602">
        <v>0</v>
      </c>
      <c r="H602">
        <v>0</v>
      </c>
      <c r="I602">
        <v>0</v>
      </c>
      <c r="J602">
        <v>0</v>
      </c>
      <c r="K602">
        <v>0</v>
      </c>
      <c r="L602">
        <v>0</v>
      </c>
      <c r="M602">
        <v>0</v>
      </c>
      <c r="N602">
        <v>0</v>
      </c>
      <c r="O602">
        <v>0</v>
      </c>
      <c r="P602">
        <v>0</v>
      </c>
      <c r="Q602">
        <v>0</v>
      </c>
      <c r="R602">
        <v>0</v>
      </c>
      <c r="S602">
        <v>0</v>
      </c>
      <c r="T602">
        <v>0</v>
      </c>
      <c r="U602">
        <v>0</v>
      </c>
      <c r="V602">
        <v>0</v>
      </c>
      <c r="W602">
        <v>0</v>
      </c>
      <c r="X602">
        <v>0</v>
      </c>
      <c r="Y602">
        <v>0</v>
      </c>
      <c r="Z602">
        <v>0</v>
      </c>
      <c r="AA602">
        <v>0</v>
      </c>
      <c r="AB602">
        <v>0</v>
      </c>
      <c r="AC602">
        <v>0</v>
      </c>
      <c r="AD602">
        <v>0</v>
      </c>
      <c r="AF602">
        <v>0</v>
      </c>
      <c r="AG602">
        <v>0</v>
      </c>
      <c r="AH602">
        <v>0</v>
      </c>
      <c r="AI602">
        <v>0</v>
      </c>
      <c r="AJ602">
        <v>0</v>
      </c>
      <c r="AK602">
        <v>0</v>
      </c>
      <c r="AL602">
        <v>0</v>
      </c>
      <c r="AM602">
        <v>0</v>
      </c>
      <c r="AN602">
        <v>0</v>
      </c>
      <c r="AO602">
        <v>0</v>
      </c>
      <c r="AP602">
        <v>0</v>
      </c>
      <c r="AQ602">
        <v>0</v>
      </c>
      <c r="AR602">
        <v>0</v>
      </c>
      <c r="AS602">
        <v>0</v>
      </c>
      <c r="AT602">
        <v>0</v>
      </c>
      <c r="AU602">
        <v>0</v>
      </c>
      <c r="AV602">
        <v>0</v>
      </c>
      <c r="AW602">
        <v>0</v>
      </c>
      <c r="AX602">
        <v>0</v>
      </c>
      <c r="AY602">
        <v>0</v>
      </c>
      <c r="AZ602">
        <v>0</v>
      </c>
      <c r="BA602">
        <v>0</v>
      </c>
      <c r="BB602">
        <v>0</v>
      </c>
      <c r="BC602">
        <v>0</v>
      </c>
      <c r="BD602">
        <v>0</v>
      </c>
      <c r="BE602">
        <v>0</v>
      </c>
      <c r="BF602">
        <v>0</v>
      </c>
      <c r="BG602">
        <v>0</v>
      </c>
      <c r="BH602">
        <v>0</v>
      </c>
      <c r="BI602">
        <v>0</v>
      </c>
      <c r="BK602" s="151"/>
    </row>
    <row r="603" spans="1:63" x14ac:dyDescent="0.35">
      <c r="A603">
        <v>0</v>
      </c>
      <c r="B603">
        <v>0</v>
      </c>
      <c r="C603">
        <v>0</v>
      </c>
      <c r="D603">
        <v>0</v>
      </c>
      <c r="E603">
        <v>0</v>
      </c>
      <c r="F603">
        <v>0</v>
      </c>
      <c r="G603">
        <v>0</v>
      </c>
      <c r="H603">
        <v>0</v>
      </c>
      <c r="I603">
        <v>0</v>
      </c>
      <c r="J603">
        <v>0</v>
      </c>
      <c r="K603">
        <v>0</v>
      </c>
      <c r="L603">
        <v>0</v>
      </c>
      <c r="M603">
        <v>0</v>
      </c>
      <c r="N603">
        <v>0</v>
      </c>
      <c r="O603">
        <v>0</v>
      </c>
      <c r="P603">
        <v>0</v>
      </c>
      <c r="Q603">
        <v>0</v>
      </c>
      <c r="R603">
        <v>0</v>
      </c>
      <c r="S603">
        <v>0</v>
      </c>
      <c r="T603">
        <v>0</v>
      </c>
      <c r="U603">
        <v>0</v>
      </c>
      <c r="V603">
        <v>0</v>
      </c>
      <c r="W603">
        <v>0</v>
      </c>
      <c r="X603">
        <v>0</v>
      </c>
      <c r="Y603">
        <v>0</v>
      </c>
      <c r="Z603">
        <v>0</v>
      </c>
      <c r="AA603">
        <v>0</v>
      </c>
      <c r="AB603">
        <v>0</v>
      </c>
      <c r="AC603">
        <v>0</v>
      </c>
      <c r="AD603">
        <v>0</v>
      </c>
      <c r="AF603">
        <v>0</v>
      </c>
      <c r="AG603">
        <v>0</v>
      </c>
      <c r="AH603">
        <v>0</v>
      </c>
      <c r="AI603">
        <v>0</v>
      </c>
      <c r="AJ603">
        <v>0</v>
      </c>
      <c r="AK603">
        <v>0</v>
      </c>
      <c r="AL603">
        <v>0</v>
      </c>
      <c r="AM603">
        <v>0</v>
      </c>
      <c r="AN603">
        <v>0</v>
      </c>
      <c r="AO603">
        <v>0</v>
      </c>
      <c r="AP603">
        <v>0</v>
      </c>
      <c r="AQ603">
        <v>0</v>
      </c>
      <c r="AR603">
        <v>0</v>
      </c>
      <c r="AS603">
        <v>0</v>
      </c>
      <c r="AT603">
        <v>0</v>
      </c>
      <c r="AU603">
        <v>0</v>
      </c>
      <c r="AV603">
        <v>0</v>
      </c>
      <c r="AW603">
        <v>0</v>
      </c>
      <c r="AX603">
        <v>0</v>
      </c>
      <c r="AY603">
        <v>0</v>
      </c>
      <c r="AZ603">
        <v>0</v>
      </c>
      <c r="BA603">
        <v>0</v>
      </c>
      <c r="BB603">
        <v>0</v>
      </c>
      <c r="BC603">
        <v>0</v>
      </c>
      <c r="BD603">
        <v>0</v>
      </c>
      <c r="BE603">
        <v>0</v>
      </c>
      <c r="BF603">
        <v>0</v>
      </c>
      <c r="BG603">
        <v>0</v>
      </c>
      <c r="BH603">
        <v>0</v>
      </c>
      <c r="BI603">
        <v>0</v>
      </c>
      <c r="BK603" s="151"/>
    </row>
    <row r="604" spans="1:63" x14ac:dyDescent="0.35">
      <c r="A604">
        <v>0</v>
      </c>
      <c r="B604">
        <v>0</v>
      </c>
      <c r="C604">
        <v>0</v>
      </c>
      <c r="D604">
        <v>0</v>
      </c>
      <c r="E604">
        <v>0</v>
      </c>
      <c r="F604">
        <v>0</v>
      </c>
      <c r="G604">
        <v>0</v>
      </c>
      <c r="H604">
        <v>0</v>
      </c>
      <c r="I604">
        <v>0</v>
      </c>
      <c r="J604">
        <v>0</v>
      </c>
      <c r="K604">
        <v>0</v>
      </c>
      <c r="L604">
        <v>0</v>
      </c>
      <c r="M604">
        <v>0</v>
      </c>
      <c r="N604">
        <v>0</v>
      </c>
      <c r="O604">
        <v>0</v>
      </c>
      <c r="P604">
        <v>0</v>
      </c>
      <c r="Q604">
        <v>0</v>
      </c>
      <c r="R604">
        <v>0</v>
      </c>
      <c r="S604">
        <v>0</v>
      </c>
      <c r="T604">
        <v>0</v>
      </c>
      <c r="U604">
        <v>0</v>
      </c>
      <c r="V604">
        <v>0</v>
      </c>
      <c r="W604">
        <v>0</v>
      </c>
      <c r="X604">
        <v>0</v>
      </c>
      <c r="Y604">
        <v>0</v>
      </c>
      <c r="Z604">
        <v>0</v>
      </c>
      <c r="AA604">
        <v>0</v>
      </c>
      <c r="AB604">
        <v>0</v>
      </c>
      <c r="AC604">
        <v>0</v>
      </c>
      <c r="AD604">
        <v>0</v>
      </c>
      <c r="AF604">
        <v>0</v>
      </c>
      <c r="AG604">
        <v>0</v>
      </c>
      <c r="AH604">
        <v>0</v>
      </c>
      <c r="AI604">
        <v>0</v>
      </c>
      <c r="AJ604">
        <v>0</v>
      </c>
      <c r="AK604">
        <v>0</v>
      </c>
      <c r="AL604">
        <v>0</v>
      </c>
      <c r="AM604">
        <v>0</v>
      </c>
      <c r="AN604">
        <v>0</v>
      </c>
      <c r="AO604">
        <v>0</v>
      </c>
      <c r="AP604">
        <v>0</v>
      </c>
      <c r="AQ604">
        <v>0</v>
      </c>
      <c r="AR604">
        <v>0</v>
      </c>
      <c r="AS604">
        <v>0</v>
      </c>
      <c r="AT604">
        <v>0</v>
      </c>
      <c r="AU604">
        <v>0</v>
      </c>
      <c r="AV604">
        <v>0</v>
      </c>
      <c r="AW604">
        <v>0</v>
      </c>
      <c r="AX604">
        <v>0</v>
      </c>
      <c r="AY604">
        <v>0</v>
      </c>
      <c r="AZ604">
        <v>0</v>
      </c>
      <c r="BA604">
        <v>0</v>
      </c>
      <c r="BB604">
        <v>0</v>
      </c>
      <c r="BC604">
        <v>0</v>
      </c>
      <c r="BD604">
        <v>0</v>
      </c>
      <c r="BE604">
        <v>0</v>
      </c>
      <c r="BF604">
        <v>0</v>
      </c>
      <c r="BG604">
        <v>0</v>
      </c>
      <c r="BH604">
        <v>0</v>
      </c>
      <c r="BI604">
        <v>0</v>
      </c>
      <c r="BK604" s="151"/>
    </row>
    <row r="605" spans="1:63" x14ac:dyDescent="0.35">
      <c r="A605">
        <v>0</v>
      </c>
      <c r="B605">
        <v>0</v>
      </c>
      <c r="C605">
        <v>0</v>
      </c>
      <c r="D605">
        <v>0</v>
      </c>
      <c r="E605">
        <v>0</v>
      </c>
      <c r="F605">
        <v>0</v>
      </c>
      <c r="G605">
        <v>0</v>
      </c>
      <c r="H605">
        <v>0</v>
      </c>
      <c r="I605">
        <v>0</v>
      </c>
      <c r="J605">
        <v>0</v>
      </c>
      <c r="K605">
        <v>0</v>
      </c>
      <c r="L605">
        <v>0</v>
      </c>
      <c r="M605">
        <v>0</v>
      </c>
      <c r="N605">
        <v>0</v>
      </c>
      <c r="O605">
        <v>0</v>
      </c>
      <c r="P605">
        <v>0</v>
      </c>
      <c r="Q605">
        <v>0</v>
      </c>
      <c r="R605">
        <v>0</v>
      </c>
      <c r="S605">
        <v>0</v>
      </c>
      <c r="T605">
        <v>0</v>
      </c>
      <c r="U605">
        <v>0</v>
      </c>
      <c r="V605">
        <v>0</v>
      </c>
      <c r="W605">
        <v>0</v>
      </c>
      <c r="X605">
        <v>0</v>
      </c>
      <c r="Y605">
        <v>0</v>
      </c>
      <c r="Z605">
        <v>0</v>
      </c>
      <c r="AA605">
        <v>0</v>
      </c>
      <c r="AB605">
        <v>0</v>
      </c>
      <c r="AC605">
        <v>0</v>
      </c>
      <c r="AD605">
        <v>0</v>
      </c>
      <c r="AF605">
        <v>0</v>
      </c>
      <c r="AG605">
        <v>0</v>
      </c>
      <c r="AH605">
        <v>0</v>
      </c>
      <c r="AI605">
        <v>0</v>
      </c>
      <c r="AJ605">
        <v>0</v>
      </c>
      <c r="AK605">
        <v>0</v>
      </c>
      <c r="AL605">
        <v>0</v>
      </c>
      <c r="AM605">
        <v>0</v>
      </c>
      <c r="AN605">
        <v>0</v>
      </c>
      <c r="AO605">
        <v>0</v>
      </c>
      <c r="AP605">
        <v>0</v>
      </c>
      <c r="AQ605">
        <v>0</v>
      </c>
      <c r="AR605">
        <v>0</v>
      </c>
      <c r="AS605">
        <v>0</v>
      </c>
      <c r="AT605">
        <v>0</v>
      </c>
      <c r="AU605">
        <v>0</v>
      </c>
      <c r="AV605">
        <v>0</v>
      </c>
      <c r="AW605">
        <v>0</v>
      </c>
      <c r="AX605">
        <v>0</v>
      </c>
      <c r="AY605">
        <v>0</v>
      </c>
      <c r="AZ605">
        <v>0</v>
      </c>
      <c r="BA605">
        <v>0</v>
      </c>
      <c r="BB605">
        <v>0</v>
      </c>
      <c r="BC605">
        <v>0</v>
      </c>
      <c r="BD605">
        <v>0</v>
      </c>
      <c r="BE605">
        <v>0</v>
      </c>
      <c r="BF605">
        <v>0</v>
      </c>
      <c r="BG605">
        <v>0</v>
      </c>
      <c r="BH605">
        <v>0</v>
      </c>
      <c r="BI605">
        <v>0</v>
      </c>
      <c r="BK605" s="151"/>
    </row>
    <row r="606" spans="1:63" x14ac:dyDescent="0.35">
      <c r="A606">
        <v>0</v>
      </c>
      <c r="B606">
        <v>0</v>
      </c>
      <c r="C606">
        <v>0</v>
      </c>
      <c r="D606">
        <v>0</v>
      </c>
      <c r="E606">
        <v>0</v>
      </c>
      <c r="F606">
        <v>0</v>
      </c>
      <c r="G606">
        <v>0</v>
      </c>
      <c r="H606">
        <v>0</v>
      </c>
      <c r="I606">
        <v>0</v>
      </c>
      <c r="J606">
        <v>0</v>
      </c>
      <c r="K606">
        <v>0</v>
      </c>
      <c r="L606">
        <v>0</v>
      </c>
      <c r="M606">
        <v>0</v>
      </c>
      <c r="N606">
        <v>0</v>
      </c>
      <c r="O606">
        <v>0</v>
      </c>
      <c r="P606">
        <v>0</v>
      </c>
      <c r="Q606">
        <v>0</v>
      </c>
      <c r="R606">
        <v>0</v>
      </c>
      <c r="S606">
        <v>0</v>
      </c>
      <c r="T606">
        <v>0</v>
      </c>
      <c r="U606">
        <v>0</v>
      </c>
      <c r="V606">
        <v>0</v>
      </c>
      <c r="W606">
        <v>0</v>
      </c>
      <c r="X606">
        <v>0</v>
      </c>
      <c r="Y606">
        <v>0</v>
      </c>
      <c r="Z606">
        <v>0</v>
      </c>
      <c r="AA606">
        <v>0</v>
      </c>
      <c r="AB606">
        <v>0</v>
      </c>
      <c r="AC606">
        <v>0</v>
      </c>
      <c r="AD606">
        <v>0</v>
      </c>
      <c r="AF606">
        <v>0</v>
      </c>
      <c r="AG606">
        <v>0</v>
      </c>
      <c r="AH606">
        <v>0</v>
      </c>
      <c r="AI606">
        <v>0</v>
      </c>
      <c r="AJ606">
        <v>0</v>
      </c>
      <c r="AK606">
        <v>0</v>
      </c>
      <c r="AL606">
        <v>0</v>
      </c>
      <c r="AM606">
        <v>0</v>
      </c>
      <c r="AN606">
        <v>0</v>
      </c>
      <c r="AO606">
        <v>0</v>
      </c>
      <c r="AP606">
        <v>0</v>
      </c>
      <c r="AQ606">
        <v>0</v>
      </c>
      <c r="AR606">
        <v>0</v>
      </c>
      <c r="AS606">
        <v>0</v>
      </c>
      <c r="AT606">
        <v>0</v>
      </c>
      <c r="AU606">
        <v>0</v>
      </c>
      <c r="AV606">
        <v>0</v>
      </c>
      <c r="AW606">
        <v>0</v>
      </c>
      <c r="AX606">
        <v>0</v>
      </c>
      <c r="AY606">
        <v>0</v>
      </c>
      <c r="AZ606">
        <v>0</v>
      </c>
      <c r="BA606">
        <v>0</v>
      </c>
      <c r="BB606">
        <v>0</v>
      </c>
      <c r="BC606">
        <v>0</v>
      </c>
      <c r="BD606">
        <v>0</v>
      </c>
      <c r="BE606">
        <v>0</v>
      </c>
      <c r="BF606">
        <v>0</v>
      </c>
      <c r="BG606">
        <v>0</v>
      </c>
      <c r="BH606">
        <v>0</v>
      </c>
      <c r="BI606">
        <v>0</v>
      </c>
      <c r="BK606" s="151"/>
    </row>
    <row r="607" spans="1:63" x14ac:dyDescent="0.35">
      <c r="A607">
        <v>0</v>
      </c>
      <c r="B607">
        <v>0</v>
      </c>
      <c r="C607">
        <v>0</v>
      </c>
      <c r="D607">
        <v>0</v>
      </c>
      <c r="E607">
        <v>0</v>
      </c>
      <c r="F607">
        <v>0</v>
      </c>
      <c r="G607">
        <v>0</v>
      </c>
      <c r="H607">
        <v>0</v>
      </c>
      <c r="I607">
        <v>0</v>
      </c>
      <c r="J607">
        <v>0</v>
      </c>
      <c r="K607">
        <v>0</v>
      </c>
      <c r="L607">
        <v>0</v>
      </c>
      <c r="M607">
        <v>0</v>
      </c>
      <c r="N607">
        <v>0</v>
      </c>
      <c r="O607">
        <v>0</v>
      </c>
      <c r="P607">
        <v>0</v>
      </c>
      <c r="Q607">
        <v>0</v>
      </c>
      <c r="R607">
        <v>0</v>
      </c>
      <c r="S607">
        <v>0</v>
      </c>
      <c r="T607">
        <v>0</v>
      </c>
      <c r="U607">
        <v>0</v>
      </c>
      <c r="V607">
        <v>0</v>
      </c>
      <c r="W607">
        <v>0</v>
      </c>
      <c r="X607">
        <v>0</v>
      </c>
      <c r="Y607">
        <v>0</v>
      </c>
      <c r="Z607">
        <v>0</v>
      </c>
      <c r="AA607">
        <v>0</v>
      </c>
      <c r="AB607">
        <v>0</v>
      </c>
      <c r="AC607">
        <v>0</v>
      </c>
      <c r="AD607">
        <v>0</v>
      </c>
      <c r="AF607">
        <v>0</v>
      </c>
      <c r="AG607">
        <v>0</v>
      </c>
      <c r="AH607">
        <v>0</v>
      </c>
      <c r="AI607">
        <v>0</v>
      </c>
      <c r="AJ607">
        <v>0</v>
      </c>
      <c r="AK607">
        <v>0</v>
      </c>
      <c r="AL607">
        <v>0</v>
      </c>
      <c r="AM607">
        <v>0</v>
      </c>
      <c r="AN607">
        <v>0</v>
      </c>
      <c r="AO607">
        <v>0</v>
      </c>
      <c r="AP607">
        <v>0</v>
      </c>
      <c r="AQ607">
        <v>0</v>
      </c>
      <c r="AR607">
        <v>0</v>
      </c>
      <c r="AS607">
        <v>0</v>
      </c>
      <c r="AT607">
        <v>0</v>
      </c>
      <c r="AU607">
        <v>0</v>
      </c>
      <c r="AV607">
        <v>0</v>
      </c>
      <c r="AW607">
        <v>0</v>
      </c>
      <c r="AX607">
        <v>0</v>
      </c>
      <c r="AY607">
        <v>0</v>
      </c>
      <c r="AZ607">
        <v>0</v>
      </c>
      <c r="BA607">
        <v>0</v>
      </c>
      <c r="BB607">
        <v>0</v>
      </c>
      <c r="BC607">
        <v>0</v>
      </c>
      <c r="BD607">
        <v>0</v>
      </c>
      <c r="BE607">
        <v>0</v>
      </c>
      <c r="BF607">
        <v>0</v>
      </c>
      <c r="BG607">
        <v>0</v>
      </c>
      <c r="BH607">
        <v>0</v>
      </c>
      <c r="BI607">
        <v>0</v>
      </c>
      <c r="BK607" s="151"/>
    </row>
    <row r="608" spans="1:63" x14ac:dyDescent="0.35">
      <c r="A608">
        <v>0</v>
      </c>
      <c r="B608">
        <v>0</v>
      </c>
      <c r="C608">
        <v>0</v>
      </c>
      <c r="D608">
        <v>0</v>
      </c>
      <c r="E608">
        <v>0</v>
      </c>
      <c r="F608">
        <v>0</v>
      </c>
      <c r="G608">
        <v>0</v>
      </c>
      <c r="H608">
        <v>0</v>
      </c>
      <c r="I608">
        <v>0</v>
      </c>
      <c r="J608">
        <v>0</v>
      </c>
      <c r="K608">
        <v>0</v>
      </c>
      <c r="L608">
        <v>0</v>
      </c>
      <c r="M608">
        <v>0</v>
      </c>
      <c r="N608">
        <v>0</v>
      </c>
      <c r="O608">
        <v>0</v>
      </c>
      <c r="P608">
        <v>0</v>
      </c>
      <c r="Q608">
        <v>0</v>
      </c>
      <c r="R608">
        <v>0</v>
      </c>
      <c r="S608">
        <v>0</v>
      </c>
      <c r="T608">
        <v>0</v>
      </c>
      <c r="U608">
        <v>0</v>
      </c>
      <c r="V608">
        <v>0</v>
      </c>
      <c r="W608">
        <v>0</v>
      </c>
      <c r="X608">
        <v>0</v>
      </c>
      <c r="Y608">
        <v>0</v>
      </c>
      <c r="Z608">
        <v>0</v>
      </c>
      <c r="AA608">
        <v>0</v>
      </c>
      <c r="AB608">
        <v>0</v>
      </c>
      <c r="AC608">
        <v>0</v>
      </c>
      <c r="AD608">
        <v>0</v>
      </c>
      <c r="AF608">
        <v>0</v>
      </c>
      <c r="AG608">
        <v>0</v>
      </c>
      <c r="AH608">
        <v>0</v>
      </c>
      <c r="AI608">
        <v>0</v>
      </c>
      <c r="AJ608">
        <v>0</v>
      </c>
      <c r="AK608">
        <v>0</v>
      </c>
      <c r="AL608">
        <v>0</v>
      </c>
      <c r="AM608">
        <v>0</v>
      </c>
      <c r="AN608">
        <v>0</v>
      </c>
      <c r="AO608">
        <v>0</v>
      </c>
      <c r="AP608">
        <v>0</v>
      </c>
      <c r="AQ608">
        <v>0</v>
      </c>
      <c r="AR608">
        <v>0</v>
      </c>
      <c r="AS608">
        <v>0</v>
      </c>
      <c r="AT608">
        <v>0</v>
      </c>
      <c r="AU608">
        <v>0</v>
      </c>
      <c r="AV608">
        <v>0</v>
      </c>
      <c r="AW608">
        <v>0</v>
      </c>
      <c r="AX608">
        <v>0</v>
      </c>
      <c r="AY608">
        <v>0</v>
      </c>
      <c r="AZ608">
        <v>0</v>
      </c>
      <c r="BA608">
        <v>0</v>
      </c>
      <c r="BB608">
        <v>0</v>
      </c>
      <c r="BC608">
        <v>0</v>
      </c>
      <c r="BD608">
        <v>0</v>
      </c>
      <c r="BE608">
        <v>0</v>
      </c>
      <c r="BF608">
        <v>0</v>
      </c>
      <c r="BG608">
        <v>0</v>
      </c>
      <c r="BH608">
        <v>0</v>
      </c>
      <c r="BI608">
        <v>0</v>
      </c>
      <c r="BK608" s="151"/>
    </row>
    <row r="609" spans="1:63" x14ac:dyDescent="0.35">
      <c r="A609">
        <v>0</v>
      </c>
      <c r="B609">
        <v>0</v>
      </c>
      <c r="C609">
        <v>0</v>
      </c>
      <c r="D609">
        <v>0</v>
      </c>
      <c r="E609">
        <v>0</v>
      </c>
      <c r="F609">
        <v>0</v>
      </c>
      <c r="G609">
        <v>0</v>
      </c>
      <c r="H609">
        <v>0</v>
      </c>
      <c r="I609">
        <v>0</v>
      </c>
      <c r="J609">
        <v>0</v>
      </c>
      <c r="K609">
        <v>0</v>
      </c>
      <c r="L609">
        <v>0</v>
      </c>
      <c r="M609">
        <v>0</v>
      </c>
      <c r="N609">
        <v>0</v>
      </c>
      <c r="O609">
        <v>0</v>
      </c>
      <c r="P609">
        <v>0</v>
      </c>
      <c r="Q609">
        <v>0</v>
      </c>
      <c r="R609">
        <v>0</v>
      </c>
      <c r="S609">
        <v>0</v>
      </c>
      <c r="T609">
        <v>0</v>
      </c>
      <c r="U609">
        <v>0</v>
      </c>
      <c r="V609">
        <v>0</v>
      </c>
      <c r="W609">
        <v>0</v>
      </c>
      <c r="X609">
        <v>0</v>
      </c>
      <c r="Y609">
        <v>0</v>
      </c>
      <c r="Z609">
        <v>0</v>
      </c>
      <c r="AA609">
        <v>0</v>
      </c>
      <c r="AB609">
        <v>0</v>
      </c>
      <c r="AC609">
        <v>0</v>
      </c>
      <c r="AD609">
        <v>0</v>
      </c>
      <c r="AF609">
        <v>0</v>
      </c>
      <c r="AG609">
        <v>0</v>
      </c>
      <c r="AH609">
        <v>0</v>
      </c>
      <c r="AI609">
        <v>0</v>
      </c>
      <c r="AJ609">
        <v>0</v>
      </c>
      <c r="AK609">
        <v>0</v>
      </c>
      <c r="AL609">
        <v>0</v>
      </c>
      <c r="AM609">
        <v>0</v>
      </c>
      <c r="AN609">
        <v>0</v>
      </c>
      <c r="AO609">
        <v>0</v>
      </c>
      <c r="AP609">
        <v>0</v>
      </c>
      <c r="AQ609">
        <v>0</v>
      </c>
      <c r="AR609">
        <v>0</v>
      </c>
      <c r="AS609">
        <v>0</v>
      </c>
      <c r="AT609">
        <v>0</v>
      </c>
      <c r="AU609">
        <v>0</v>
      </c>
      <c r="AV609">
        <v>0</v>
      </c>
      <c r="AW609">
        <v>0</v>
      </c>
      <c r="AX609">
        <v>0</v>
      </c>
      <c r="AY609">
        <v>0</v>
      </c>
      <c r="AZ609">
        <v>0</v>
      </c>
      <c r="BA609">
        <v>0</v>
      </c>
      <c r="BB609">
        <v>0</v>
      </c>
      <c r="BC609">
        <v>0</v>
      </c>
      <c r="BD609">
        <v>0</v>
      </c>
      <c r="BE609">
        <v>0</v>
      </c>
      <c r="BF609">
        <v>0</v>
      </c>
      <c r="BG609">
        <v>0</v>
      </c>
      <c r="BH609">
        <v>0</v>
      </c>
      <c r="BI609">
        <v>0</v>
      </c>
      <c r="BK609" s="151"/>
    </row>
    <row r="610" spans="1:63" x14ac:dyDescent="0.35">
      <c r="A610">
        <v>0</v>
      </c>
      <c r="B610">
        <v>0</v>
      </c>
      <c r="C610">
        <v>0</v>
      </c>
      <c r="D610">
        <v>0</v>
      </c>
      <c r="E610">
        <v>0</v>
      </c>
      <c r="F610">
        <v>0</v>
      </c>
      <c r="G610">
        <v>0</v>
      </c>
      <c r="H610">
        <v>0</v>
      </c>
      <c r="I610">
        <v>0</v>
      </c>
      <c r="J610">
        <v>0</v>
      </c>
      <c r="K610">
        <v>0</v>
      </c>
      <c r="L610">
        <v>0</v>
      </c>
      <c r="M610">
        <v>0</v>
      </c>
      <c r="N610">
        <v>0</v>
      </c>
      <c r="O610">
        <v>0</v>
      </c>
      <c r="P610">
        <v>0</v>
      </c>
      <c r="Q610">
        <v>0</v>
      </c>
      <c r="R610">
        <v>0</v>
      </c>
      <c r="S610">
        <v>0</v>
      </c>
      <c r="T610">
        <v>0</v>
      </c>
      <c r="U610">
        <v>0</v>
      </c>
      <c r="V610">
        <v>0</v>
      </c>
      <c r="W610">
        <v>0</v>
      </c>
      <c r="X610">
        <v>0</v>
      </c>
      <c r="Y610">
        <v>0</v>
      </c>
      <c r="Z610">
        <v>0</v>
      </c>
      <c r="AA610">
        <v>0</v>
      </c>
      <c r="AB610">
        <v>0</v>
      </c>
      <c r="AC610">
        <v>0</v>
      </c>
      <c r="AD610">
        <v>0</v>
      </c>
      <c r="AF610">
        <v>0</v>
      </c>
      <c r="AG610">
        <v>0</v>
      </c>
      <c r="AH610">
        <v>0</v>
      </c>
      <c r="AI610">
        <v>0</v>
      </c>
      <c r="AJ610">
        <v>0</v>
      </c>
      <c r="AK610">
        <v>0</v>
      </c>
      <c r="AL610">
        <v>0</v>
      </c>
      <c r="AM610">
        <v>0</v>
      </c>
      <c r="AN610">
        <v>0</v>
      </c>
      <c r="AO610">
        <v>0</v>
      </c>
      <c r="AP610">
        <v>0</v>
      </c>
      <c r="AQ610">
        <v>0</v>
      </c>
      <c r="AR610">
        <v>0</v>
      </c>
      <c r="AS610">
        <v>0</v>
      </c>
      <c r="AT610">
        <v>0</v>
      </c>
      <c r="AU610">
        <v>0</v>
      </c>
      <c r="AV610">
        <v>0</v>
      </c>
      <c r="AW610">
        <v>0</v>
      </c>
      <c r="AX610">
        <v>0</v>
      </c>
      <c r="AY610">
        <v>0</v>
      </c>
      <c r="AZ610">
        <v>0</v>
      </c>
      <c r="BA610">
        <v>0</v>
      </c>
      <c r="BB610">
        <v>0</v>
      </c>
      <c r="BC610">
        <v>0</v>
      </c>
      <c r="BD610">
        <v>0</v>
      </c>
      <c r="BE610">
        <v>0</v>
      </c>
      <c r="BF610">
        <v>0</v>
      </c>
      <c r="BG610">
        <v>0</v>
      </c>
      <c r="BH610">
        <v>0</v>
      </c>
      <c r="BI610">
        <v>0</v>
      </c>
      <c r="BK610" s="151"/>
    </row>
    <row r="611" spans="1:63" x14ac:dyDescent="0.35">
      <c r="A611">
        <v>0</v>
      </c>
      <c r="B611">
        <v>0</v>
      </c>
      <c r="C611">
        <v>0</v>
      </c>
      <c r="D611">
        <v>0</v>
      </c>
      <c r="E611">
        <v>0</v>
      </c>
      <c r="F611">
        <v>0</v>
      </c>
      <c r="G611">
        <v>0</v>
      </c>
      <c r="H611">
        <v>0</v>
      </c>
      <c r="I611">
        <v>0</v>
      </c>
      <c r="J611">
        <v>0</v>
      </c>
      <c r="K611">
        <v>0</v>
      </c>
      <c r="L611">
        <v>0</v>
      </c>
      <c r="M611">
        <v>0</v>
      </c>
      <c r="N611">
        <v>0</v>
      </c>
      <c r="O611">
        <v>0</v>
      </c>
      <c r="P611">
        <v>0</v>
      </c>
      <c r="Q611">
        <v>0</v>
      </c>
      <c r="R611">
        <v>0</v>
      </c>
      <c r="S611">
        <v>0</v>
      </c>
      <c r="T611">
        <v>0</v>
      </c>
      <c r="U611">
        <v>0</v>
      </c>
      <c r="V611">
        <v>0</v>
      </c>
      <c r="W611">
        <v>0</v>
      </c>
      <c r="X611">
        <v>0</v>
      </c>
      <c r="Y611">
        <v>0</v>
      </c>
      <c r="Z611">
        <v>0</v>
      </c>
      <c r="AA611">
        <v>0</v>
      </c>
      <c r="AB611">
        <v>0</v>
      </c>
      <c r="AC611">
        <v>0</v>
      </c>
      <c r="AD611">
        <v>0</v>
      </c>
      <c r="AF611">
        <v>0</v>
      </c>
      <c r="AG611">
        <v>0</v>
      </c>
      <c r="AH611">
        <v>0</v>
      </c>
      <c r="AI611">
        <v>0</v>
      </c>
      <c r="AJ611">
        <v>0</v>
      </c>
      <c r="AK611">
        <v>0</v>
      </c>
      <c r="AL611">
        <v>0</v>
      </c>
      <c r="AM611">
        <v>0</v>
      </c>
      <c r="AN611">
        <v>0</v>
      </c>
      <c r="AO611">
        <v>0</v>
      </c>
      <c r="AP611">
        <v>0</v>
      </c>
      <c r="AQ611">
        <v>0</v>
      </c>
      <c r="AR611">
        <v>0</v>
      </c>
      <c r="AS611">
        <v>0</v>
      </c>
      <c r="AT611">
        <v>0</v>
      </c>
      <c r="AU611">
        <v>0</v>
      </c>
      <c r="AV611">
        <v>0</v>
      </c>
      <c r="AW611">
        <v>0</v>
      </c>
      <c r="AX611">
        <v>0</v>
      </c>
      <c r="AY611">
        <v>0</v>
      </c>
      <c r="AZ611">
        <v>0</v>
      </c>
      <c r="BA611">
        <v>0</v>
      </c>
      <c r="BB611">
        <v>0</v>
      </c>
      <c r="BC611">
        <v>0</v>
      </c>
      <c r="BD611">
        <v>0</v>
      </c>
      <c r="BE611">
        <v>0</v>
      </c>
      <c r="BF611">
        <v>0</v>
      </c>
      <c r="BG611">
        <v>0</v>
      </c>
      <c r="BH611">
        <v>0</v>
      </c>
      <c r="BI611">
        <v>0</v>
      </c>
      <c r="BK611" s="151"/>
    </row>
    <row r="612" spans="1:63" x14ac:dyDescent="0.35">
      <c r="A612">
        <v>0</v>
      </c>
      <c r="B612">
        <v>0</v>
      </c>
      <c r="C612">
        <v>0</v>
      </c>
      <c r="D612">
        <v>0</v>
      </c>
      <c r="E612">
        <v>0</v>
      </c>
      <c r="F612">
        <v>0</v>
      </c>
      <c r="G612">
        <v>0</v>
      </c>
      <c r="H612">
        <v>0</v>
      </c>
      <c r="I612">
        <v>0</v>
      </c>
      <c r="J612">
        <v>0</v>
      </c>
      <c r="K612">
        <v>0</v>
      </c>
      <c r="L612">
        <v>0</v>
      </c>
      <c r="M612">
        <v>0</v>
      </c>
      <c r="N612">
        <v>0</v>
      </c>
      <c r="O612">
        <v>0</v>
      </c>
      <c r="P612">
        <v>0</v>
      </c>
      <c r="Q612">
        <v>0</v>
      </c>
      <c r="R612">
        <v>0</v>
      </c>
      <c r="S612">
        <v>0</v>
      </c>
      <c r="T612">
        <v>0</v>
      </c>
      <c r="U612">
        <v>0</v>
      </c>
      <c r="V612">
        <v>0</v>
      </c>
      <c r="W612">
        <v>0</v>
      </c>
      <c r="X612">
        <v>0</v>
      </c>
      <c r="Y612">
        <v>0</v>
      </c>
      <c r="Z612">
        <v>0</v>
      </c>
      <c r="AA612">
        <v>0</v>
      </c>
      <c r="AB612">
        <v>0</v>
      </c>
      <c r="AC612">
        <v>0</v>
      </c>
      <c r="AD612">
        <v>0</v>
      </c>
      <c r="AF612">
        <v>0</v>
      </c>
      <c r="AG612">
        <v>0</v>
      </c>
      <c r="AH612">
        <v>0</v>
      </c>
      <c r="AI612">
        <v>0</v>
      </c>
      <c r="AJ612">
        <v>0</v>
      </c>
      <c r="AK612">
        <v>0</v>
      </c>
      <c r="AL612">
        <v>0</v>
      </c>
      <c r="AM612">
        <v>0</v>
      </c>
      <c r="AN612">
        <v>0</v>
      </c>
      <c r="AO612">
        <v>0</v>
      </c>
      <c r="AP612">
        <v>0</v>
      </c>
      <c r="AQ612">
        <v>0</v>
      </c>
      <c r="AR612">
        <v>0</v>
      </c>
      <c r="AS612">
        <v>0</v>
      </c>
      <c r="AT612">
        <v>0</v>
      </c>
      <c r="AU612">
        <v>0</v>
      </c>
      <c r="AV612">
        <v>0</v>
      </c>
      <c r="AW612">
        <v>0</v>
      </c>
      <c r="AX612">
        <v>0</v>
      </c>
      <c r="AY612">
        <v>0</v>
      </c>
      <c r="AZ612">
        <v>0</v>
      </c>
      <c r="BA612">
        <v>0</v>
      </c>
      <c r="BB612">
        <v>0</v>
      </c>
      <c r="BC612">
        <v>0</v>
      </c>
      <c r="BD612">
        <v>0</v>
      </c>
      <c r="BE612">
        <v>0</v>
      </c>
      <c r="BF612">
        <v>0</v>
      </c>
      <c r="BG612">
        <v>0</v>
      </c>
      <c r="BH612">
        <v>0</v>
      </c>
      <c r="BI612">
        <v>0</v>
      </c>
      <c r="BK612" s="151"/>
    </row>
    <row r="613" spans="1:63" x14ac:dyDescent="0.35">
      <c r="A613">
        <v>0</v>
      </c>
      <c r="B613">
        <v>0</v>
      </c>
      <c r="C613">
        <v>0</v>
      </c>
      <c r="D613">
        <v>0</v>
      </c>
      <c r="E613">
        <v>0</v>
      </c>
      <c r="F613">
        <v>0</v>
      </c>
      <c r="G613">
        <v>0</v>
      </c>
      <c r="H613">
        <v>0</v>
      </c>
      <c r="I613">
        <v>0</v>
      </c>
      <c r="J613">
        <v>0</v>
      </c>
      <c r="K613">
        <v>0</v>
      </c>
      <c r="L613">
        <v>0</v>
      </c>
      <c r="M613">
        <v>0</v>
      </c>
      <c r="N613">
        <v>0</v>
      </c>
      <c r="O613">
        <v>0</v>
      </c>
      <c r="P613">
        <v>0</v>
      </c>
      <c r="Q613">
        <v>0</v>
      </c>
      <c r="R613">
        <v>0</v>
      </c>
      <c r="S613">
        <v>0</v>
      </c>
      <c r="T613">
        <v>0</v>
      </c>
      <c r="U613">
        <v>0</v>
      </c>
      <c r="V613">
        <v>0</v>
      </c>
      <c r="W613">
        <v>0</v>
      </c>
      <c r="X613">
        <v>0</v>
      </c>
      <c r="Y613">
        <v>0</v>
      </c>
      <c r="Z613">
        <v>0</v>
      </c>
      <c r="AA613">
        <v>0</v>
      </c>
      <c r="AB613">
        <v>0</v>
      </c>
      <c r="AC613">
        <v>0</v>
      </c>
      <c r="AD613">
        <v>0</v>
      </c>
      <c r="AF613">
        <v>0</v>
      </c>
      <c r="AG613">
        <v>0</v>
      </c>
      <c r="AH613">
        <v>0</v>
      </c>
      <c r="AI613">
        <v>0</v>
      </c>
      <c r="AJ613">
        <v>0</v>
      </c>
      <c r="AK613">
        <v>0</v>
      </c>
      <c r="AL613">
        <v>0</v>
      </c>
      <c r="AM613">
        <v>0</v>
      </c>
      <c r="AN613">
        <v>0</v>
      </c>
      <c r="AO613">
        <v>0</v>
      </c>
      <c r="AP613">
        <v>0</v>
      </c>
      <c r="AQ613">
        <v>0</v>
      </c>
      <c r="AR613">
        <v>0</v>
      </c>
      <c r="AS613">
        <v>0</v>
      </c>
      <c r="AT613">
        <v>0</v>
      </c>
      <c r="AU613">
        <v>0</v>
      </c>
      <c r="AV613">
        <v>0</v>
      </c>
      <c r="AW613">
        <v>0</v>
      </c>
      <c r="AX613">
        <v>0</v>
      </c>
      <c r="AY613">
        <v>0</v>
      </c>
      <c r="AZ613">
        <v>0</v>
      </c>
      <c r="BA613">
        <v>0</v>
      </c>
      <c r="BB613">
        <v>0</v>
      </c>
      <c r="BC613">
        <v>0</v>
      </c>
      <c r="BD613">
        <v>0</v>
      </c>
      <c r="BE613">
        <v>0</v>
      </c>
      <c r="BF613">
        <v>0</v>
      </c>
      <c r="BG613">
        <v>0</v>
      </c>
      <c r="BH613">
        <v>0</v>
      </c>
      <c r="BI613">
        <v>0</v>
      </c>
      <c r="BK613" s="151"/>
    </row>
    <row r="614" spans="1:63" x14ac:dyDescent="0.35">
      <c r="A614">
        <v>0</v>
      </c>
      <c r="B614">
        <v>0</v>
      </c>
      <c r="C614">
        <v>0</v>
      </c>
      <c r="D614">
        <v>0</v>
      </c>
      <c r="E614">
        <v>0</v>
      </c>
      <c r="F614">
        <v>0</v>
      </c>
      <c r="G614">
        <v>0</v>
      </c>
      <c r="H614">
        <v>0</v>
      </c>
      <c r="I614">
        <v>0</v>
      </c>
      <c r="J614">
        <v>0</v>
      </c>
      <c r="K614">
        <v>0</v>
      </c>
      <c r="L614">
        <v>0</v>
      </c>
      <c r="M614">
        <v>0</v>
      </c>
      <c r="N614">
        <v>0</v>
      </c>
      <c r="O614">
        <v>0</v>
      </c>
      <c r="P614">
        <v>0</v>
      </c>
      <c r="Q614">
        <v>0</v>
      </c>
      <c r="R614">
        <v>0</v>
      </c>
      <c r="S614">
        <v>0</v>
      </c>
      <c r="T614">
        <v>0</v>
      </c>
      <c r="U614">
        <v>0</v>
      </c>
      <c r="V614">
        <v>0</v>
      </c>
      <c r="W614">
        <v>0</v>
      </c>
      <c r="X614">
        <v>0</v>
      </c>
      <c r="Y614">
        <v>0</v>
      </c>
      <c r="Z614">
        <v>0</v>
      </c>
      <c r="AA614">
        <v>0</v>
      </c>
      <c r="AB614">
        <v>0</v>
      </c>
      <c r="AC614">
        <v>0</v>
      </c>
      <c r="AD614">
        <v>0</v>
      </c>
      <c r="AF614">
        <v>0</v>
      </c>
      <c r="AG614">
        <v>0</v>
      </c>
      <c r="AH614">
        <v>0</v>
      </c>
      <c r="AI614">
        <v>0</v>
      </c>
      <c r="AJ614">
        <v>0</v>
      </c>
      <c r="AK614">
        <v>0</v>
      </c>
      <c r="AL614">
        <v>0</v>
      </c>
      <c r="AM614">
        <v>0</v>
      </c>
      <c r="AN614">
        <v>0</v>
      </c>
      <c r="AO614">
        <v>0</v>
      </c>
      <c r="AP614">
        <v>0</v>
      </c>
      <c r="AQ614">
        <v>0</v>
      </c>
      <c r="AR614">
        <v>0</v>
      </c>
      <c r="AS614">
        <v>0</v>
      </c>
      <c r="AT614">
        <v>0</v>
      </c>
      <c r="AU614">
        <v>0</v>
      </c>
      <c r="AV614">
        <v>0</v>
      </c>
      <c r="AW614">
        <v>0</v>
      </c>
      <c r="AX614">
        <v>0</v>
      </c>
      <c r="AY614">
        <v>0</v>
      </c>
      <c r="AZ614">
        <v>0</v>
      </c>
      <c r="BA614">
        <v>0</v>
      </c>
      <c r="BB614">
        <v>0</v>
      </c>
      <c r="BC614">
        <v>0</v>
      </c>
      <c r="BD614">
        <v>0</v>
      </c>
      <c r="BE614">
        <v>0</v>
      </c>
      <c r="BF614">
        <v>0</v>
      </c>
      <c r="BG614">
        <v>0</v>
      </c>
      <c r="BH614">
        <v>0</v>
      </c>
      <c r="BI614">
        <v>0</v>
      </c>
      <c r="BK614" s="151"/>
    </row>
    <row r="615" spans="1:63" x14ac:dyDescent="0.35">
      <c r="A615">
        <v>0</v>
      </c>
      <c r="B615">
        <v>0</v>
      </c>
      <c r="C615">
        <v>0</v>
      </c>
      <c r="D615">
        <v>0</v>
      </c>
      <c r="E615">
        <v>0</v>
      </c>
      <c r="F615">
        <v>0</v>
      </c>
      <c r="G615">
        <v>0</v>
      </c>
      <c r="H615">
        <v>0</v>
      </c>
      <c r="I615">
        <v>0</v>
      </c>
      <c r="J615">
        <v>0</v>
      </c>
      <c r="K615">
        <v>0</v>
      </c>
      <c r="L615">
        <v>0</v>
      </c>
      <c r="M615">
        <v>0</v>
      </c>
      <c r="N615">
        <v>0</v>
      </c>
      <c r="O615">
        <v>0</v>
      </c>
      <c r="P615">
        <v>0</v>
      </c>
      <c r="Q615">
        <v>0</v>
      </c>
      <c r="R615">
        <v>0</v>
      </c>
      <c r="S615">
        <v>0</v>
      </c>
      <c r="T615">
        <v>0</v>
      </c>
      <c r="U615">
        <v>0</v>
      </c>
      <c r="V615">
        <v>0</v>
      </c>
      <c r="W615">
        <v>0</v>
      </c>
      <c r="X615">
        <v>0</v>
      </c>
      <c r="Y615">
        <v>0</v>
      </c>
      <c r="Z615">
        <v>0</v>
      </c>
      <c r="AA615">
        <v>0</v>
      </c>
      <c r="AB615">
        <v>0</v>
      </c>
      <c r="AC615">
        <v>0</v>
      </c>
      <c r="AD615">
        <v>0</v>
      </c>
      <c r="AF615">
        <v>0</v>
      </c>
      <c r="AG615">
        <v>0</v>
      </c>
      <c r="AH615">
        <v>0</v>
      </c>
      <c r="AI615">
        <v>0</v>
      </c>
      <c r="AJ615">
        <v>0</v>
      </c>
      <c r="AK615">
        <v>0</v>
      </c>
      <c r="AL615">
        <v>0</v>
      </c>
      <c r="AM615">
        <v>0</v>
      </c>
      <c r="AN615">
        <v>0</v>
      </c>
      <c r="AO615">
        <v>0</v>
      </c>
      <c r="AP615">
        <v>0</v>
      </c>
      <c r="AQ615">
        <v>0</v>
      </c>
      <c r="AR615">
        <v>0</v>
      </c>
      <c r="AS615">
        <v>0</v>
      </c>
      <c r="AT615">
        <v>0</v>
      </c>
      <c r="AU615">
        <v>0</v>
      </c>
      <c r="AV615">
        <v>0</v>
      </c>
      <c r="AW615">
        <v>0</v>
      </c>
      <c r="AX615">
        <v>0</v>
      </c>
      <c r="AY615">
        <v>0</v>
      </c>
      <c r="AZ615">
        <v>0</v>
      </c>
      <c r="BA615">
        <v>0</v>
      </c>
      <c r="BB615">
        <v>0</v>
      </c>
      <c r="BC615">
        <v>0</v>
      </c>
      <c r="BD615">
        <v>0</v>
      </c>
      <c r="BE615">
        <v>0</v>
      </c>
      <c r="BF615">
        <v>0</v>
      </c>
      <c r="BG615">
        <v>0</v>
      </c>
      <c r="BH615">
        <v>0</v>
      </c>
      <c r="BI615">
        <v>0</v>
      </c>
      <c r="BK615" s="151"/>
    </row>
    <row r="616" spans="1:63" x14ac:dyDescent="0.35">
      <c r="A616">
        <v>0</v>
      </c>
      <c r="B616">
        <v>0</v>
      </c>
      <c r="C616">
        <v>0</v>
      </c>
      <c r="D616">
        <v>0</v>
      </c>
      <c r="E616">
        <v>0</v>
      </c>
      <c r="F616">
        <v>0</v>
      </c>
      <c r="G616">
        <v>0</v>
      </c>
      <c r="H616">
        <v>0</v>
      </c>
      <c r="I616">
        <v>0</v>
      </c>
      <c r="J616">
        <v>0</v>
      </c>
      <c r="K616">
        <v>0</v>
      </c>
      <c r="L616">
        <v>0</v>
      </c>
      <c r="M616">
        <v>0</v>
      </c>
      <c r="N616">
        <v>0</v>
      </c>
      <c r="O616">
        <v>0</v>
      </c>
      <c r="P616">
        <v>0</v>
      </c>
      <c r="Q616">
        <v>0</v>
      </c>
      <c r="R616">
        <v>0</v>
      </c>
      <c r="S616">
        <v>0</v>
      </c>
      <c r="T616">
        <v>0</v>
      </c>
      <c r="U616">
        <v>0</v>
      </c>
      <c r="V616">
        <v>0</v>
      </c>
      <c r="W616">
        <v>0</v>
      </c>
      <c r="X616">
        <v>0</v>
      </c>
      <c r="Y616">
        <v>0</v>
      </c>
      <c r="Z616">
        <v>0</v>
      </c>
      <c r="AA616">
        <v>0</v>
      </c>
      <c r="AB616">
        <v>0</v>
      </c>
      <c r="AC616">
        <v>0</v>
      </c>
      <c r="AD616">
        <v>0</v>
      </c>
      <c r="AF616">
        <v>0</v>
      </c>
      <c r="AG616">
        <v>0</v>
      </c>
      <c r="AH616">
        <v>0</v>
      </c>
      <c r="AI616">
        <v>0</v>
      </c>
      <c r="AJ616">
        <v>0</v>
      </c>
      <c r="AK616">
        <v>0</v>
      </c>
      <c r="AL616">
        <v>0</v>
      </c>
      <c r="AM616">
        <v>0</v>
      </c>
      <c r="AN616">
        <v>0</v>
      </c>
      <c r="AO616">
        <v>0</v>
      </c>
      <c r="AP616">
        <v>0</v>
      </c>
      <c r="AQ616">
        <v>0</v>
      </c>
      <c r="AR616">
        <v>0</v>
      </c>
      <c r="AS616">
        <v>0</v>
      </c>
      <c r="AT616">
        <v>0</v>
      </c>
      <c r="AU616">
        <v>0</v>
      </c>
      <c r="AV616">
        <v>0</v>
      </c>
      <c r="AW616">
        <v>0</v>
      </c>
      <c r="AX616">
        <v>0</v>
      </c>
      <c r="AY616">
        <v>0</v>
      </c>
      <c r="AZ616">
        <v>0</v>
      </c>
      <c r="BA616">
        <v>0</v>
      </c>
      <c r="BB616">
        <v>0</v>
      </c>
      <c r="BC616">
        <v>0</v>
      </c>
      <c r="BD616">
        <v>0</v>
      </c>
      <c r="BE616">
        <v>0</v>
      </c>
      <c r="BF616">
        <v>0</v>
      </c>
      <c r="BG616">
        <v>0</v>
      </c>
      <c r="BH616">
        <v>0</v>
      </c>
      <c r="BI616">
        <v>0</v>
      </c>
      <c r="BK616" s="151"/>
    </row>
    <row r="617" spans="1:63" x14ac:dyDescent="0.35">
      <c r="A617">
        <v>0</v>
      </c>
      <c r="B617">
        <v>0</v>
      </c>
      <c r="C617">
        <v>0</v>
      </c>
      <c r="D617">
        <v>0</v>
      </c>
      <c r="E617">
        <v>0</v>
      </c>
      <c r="F617">
        <v>0</v>
      </c>
      <c r="G617">
        <v>0</v>
      </c>
      <c r="H617">
        <v>0</v>
      </c>
      <c r="I617">
        <v>0</v>
      </c>
      <c r="J617">
        <v>0</v>
      </c>
      <c r="K617">
        <v>0</v>
      </c>
      <c r="L617">
        <v>0</v>
      </c>
      <c r="M617">
        <v>0</v>
      </c>
      <c r="N617">
        <v>0</v>
      </c>
      <c r="O617">
        <v>0</v>
      </c>
      <c r="P617">
        <v>0</v>
      </c>
      <c r="Q617">
        <v>0</v>
      </c>
      <c r="R617">
        <v>0</v>
      </c>
      <c r="S617">
        <v>0</v>
      </c>
      <c r="T617">
        <v>0</v>
      </c>
      <c r="U617">
        <v>0</v>
      </c>
      <c r="V617">
        <v>0</v>
      </c>
      <c r="W617">
        <v>0</v>
      </c>
      <c r="X617">
        <v>0</v>
      </c>
      <c r="Y617">
        <v>0</v>
      </c>
      <c r="Z617">
        <v>0</v>
      </c>
      <c r="AA617">
        <v>0</v>
      </c>
      <c r="AB617">
        <v>0</v>
      </c>
      <c r="AC617">
        <v>0</v>
      </c>
      <c r="AD617">
        <v>0</v>
      </c>
      <c r="AF617">
        <v>0</v>
      </c>
      <c r="AG617">
        <v>0</v>
      </c>
      <c r="AH617">
        <v>0</v>
      </c>
      <c r="AI617">
        <v>0</v>
      </c>
      <c r="AJ617">
        <v>0</v>
      </c>
      <c r="AK617">
        <v>0</v>
      </c>
      <c r="AL617">
        <v>0</v>
      </c>
      <c r="AM617">
        <v>0</v>
      </c>
      <c r="AN617">
        <v>0</v>
      </c>
      <c r="AO617">
        <v>0</v>
      </c>
      <c r="AP617">
        <v>0</v>
      </c>
      <c r="AQ617">
        <v>0</v>
      </c>
      <c r="AR617">
        <v>0</v>
      </c>
      <c r="AS617">
        <v>0</v>
      </c>
      <c r="AT617">
        <v>0</v>
      </c>
      <c r="AU617">
        <v>0</v>
      </c>
      <c r="AV617">
        <v>0</v>
      </c>
      <c r="AW617">
        <v>0</v>
      </c>
      <c r="AX617">
        <v>0</v>
      </c>
      <c r="AY617">
        <v>0</v>
      </c>
      <c r="AZ617">
        <v>0</v>
      </c>
      <c r="BA617">
        <v>0</v>
      </c>
      <c r="BB617">
        <v>0</v>
      </c>
      <c r="BC617">
        <v>0</v>
      </c>
      <c r="BD617">
        <v>0</v>
      </c>
      <c r="BE617">
        <v>0</v>
      </c>
      <c r="BF617">
        <v>0</v>
      </c>
      <c r="BG617">
        <v>0</v>
      </c>
      <c r="BH617">
        <v>0</v>
      </c>
      <c r="BI617">
        <v>0</v>
      </c>
      <c r="BK617" s="151"/>
    </row>
    <row r="618" spans="1:63" x14ac:dyDescent="0.35">
      <c r="A618">
        <v>0</v>
      </c>
      <c r="B618">
        <v>0</v>
      </c>
      <c r="C618">
        <v>0</v>
      </c>
      <c r="D618">
        <v>0</v>
      </c>
      <c r="E618">
        <v>0</v>
      </c>
      <c r="F618">
        <v>0</v>
      </c>
      <c r="G618">
        <v>0</v>
      </c>
      <c r="H618">
        <v>0</v>
      </c>
      <c r="I618">
        <v>0</v>
      </c>
      <c r="J618">
        <v>0</v>
      </c>
      <c r="K618">
        <v>0</v>
      </c>
      <c r="L618">
        <v>0</v>
      </c>
      <c r="M618">
        <v>0</v>
      </c>
      <c r="N618">
        <v>0</v>
      </c>
      <c r="O618">
        <v>0</v>
      </c>
      <c r="P618">
        <v>0</v>
      </c>
      <c r="Q618">
        <v>0</v>
      </c>
      <c r="R618">
        <v>0</v>
      </c>
      <c r="S618">
        <v>0</v>
      </c>
      <c r="T618">
        <v>0</v>
      </c>
      <c r="U618">
        <v>0</v>
      </c>
      <c r="V618">
        <v>0</v>
      </c>
      <c r="W618">
        <v>0</v>
      </c>
      <c r="X618">
        <v>0</v>
      </c>
      <c r="Y618">
        <v>0</v>
      </c>
      <c r="Z618">
        <v>0</v>
      </c>
      <c r="AA618">
        <v>0</v>
      </c>
      <c r="AB618">
        <v>0</v>
      </c>
      <c r="AC618">
        <v>0</v>
      </c>
      <c r="AD618">
        <v>0</v>
      </c>
      <c r="AF618">
        <v>0</v>
      </c>
      <c r="AG618">
        <v>0</v>
      </c>
      <c r="AH618">
        <v>0</v>
      </c>
      <c r="AI618">
        <v>0</v>
      </c>
      <c r="AJ618">
        <v>0</v>
      </c>
      <c r="AK618">
        <v>0</v>
      </c>
      <c r="AL618">
        <v>0</v>
      </c>
      <c r="AM618">
        <v>0</v>
      </c>
      <c r="AN618">
        <v>0</v>
      </c>
      <c r="AO618">
        <v>0</v>
      </c>
      <c r="AP618">
        <v>0</v>
      </c>
      <c r="AQ618">
        <v>0</v>
      </c>
      <c r="AR618">
        <v>0</v>
      </c>
      <c r="AS618">
        <v>0</v>
      </c>
      <c r="AT618">
        <v>0</v>
      </c>
      <c r="AU618">
        <v>0</v>
      </c>
      <c r="AV618">
        <v>0</v>
      </c>
      <c r="AW618">
        <v>0</v>
      </c>
      <c r="AX618">
        <v>0</v>
      </c>
      <c r="AY618">
        <v>0</v>
      </c>
      <c r="AZ618">
        <v>0</v>
      </c>
      <c r="BA618">
        <v>0</v>
      </c>
      <c r="BB618">
        <v>0</v>
      </c>
      <c r="BC618">
        <v>0</v>
      </c>
      <c r="BD618">
        <v>0</v>
      </c>
      <c r="BE618">
        <v>0</v>
      </c>
      <c r="BF618">
        <v>0</v>
      </c>
      <c r="BG618">
        <v>0</v>
      </c>
      <c r="BH618">
        <v>0</v>
      </c>
      <c r="BI618">
        <v>0</v>
      </c>
      <c r="BK618" s="151"/>
    </row>
    <row r="619" spans="1:63" x14ac:dyDescent="0.35">
      <c r="A619">
        <v>0</v>
      </c>
      <c r="B619">
        <v>0</v>
      </c>
      <c r="C619">
        <v>0</v>
      </c>
      <c r="D619">
        <v>0</v>
      </c>
      <c r="E619">
        <v>0</v>
      </c>
      <c r="F619">
        <v>0</v>
      </c>
      <c r="G619">
        <v>0</v>
      </c>
      <c r="H619">
        <v>0</v>
      </c>
      <c r="I619">
        <v>0</v>
      </c>
      <c r="J619">
        <v>0</v>
      </c>
      <c r="K619">
        <v>0</v>
      </c>
      <c r="L619">
        <v>0</v>
      </c>
      <c r="M619">
        <v>0</v>
      </c>
      <c r="N619">
        <v>0</v>
      </c>
      <c r="O619">
        <v>0</v>
      </c>
      <c r="P619">
        <v>0</v>
      </c>
      <c r="Q619">
        <v>0</v>
      </c>
      <c r="R619">
        <v>0</v>
      </c>
      <c r="S619">
        <v>0</v>
      </c>
      <c r="T619">
        <v>0</v>
      </c>
      <c r="U619">
        <v>0</v>
      </c>
      <c r="V619">
        <v>0</v>
      </c>
      <c r="W619">
        <v>0</v>
      </c>
      <c r="X619">
        <v>0</v>
      </c>
      <c r="Y619">
        <v>0</v>
      </c>
      <c r="Z619">
        <v>0</v>
      </c>
      <c r="AA619">
        <v>0</v>
      </c>
      <c r="AB619">
        <v>0</v>
      </c>
      <c r="AC619">
        <v>0</v>
      </c>
      <c r="AD619">
        <v>0</v>
      </c>
      <c r="AF619">
        <v>0</v>
      </c>
      <c r="AG619">
        <v>0</v>
      </c>
      <c r="AH619">
        <v>0</v>
      </c>
      <c r="AI619">
        <v>0</v>
      </c>
      <c r="AJ619">
        <v>0</v>
      </c>
      <c r="AK619">
        <v>0</v>
      </c>
      <c r="AL619">
        <v>0</v>
      </c>
      <c r="AM619">
        <v>0</v>
      </c>
      <c r="AN619">
        <v>0</v>
      </c>
      <c r="AO619">
        <v>0</v>
      </c>
      <c r="AP619">
        <v>0</v>
      </c>
      <c r="AQ619">
        <v>0</v>
      </c>
      <c r="AR619">
        <v>0</v>
      </c>
      <c r="AS619">
        <v>0</v>
      </c>
      <c r="AT619">
        <v>0</v>
      </c>
      <c r="AU619">
        <v>0</v>
      </c>
      <c r="AV619">
        <v>0</v>
      </c>
      <c r="AW619">
        <v>0</v>
      </c>
      <c r="AX619">
        <v>0</v>
      </c>
      <c r="AY619">
        <v>0</v>
      </c>
      <c r="AZ619">
        <v>0</v>
      </c>
      <c r="BA619">
        <v>0</v>
      </c>
      <c r="BB619">
        <v>0</v>
      </c>
      <c r="BC619">
        <v>0</v>
      </c>
      <c r="BD619">
        <v>0</v>
      </c>
      <c r="BE619">
        <v>0</v>
      </c>
      <c r="BF619">
        <v>0</v>
      </c>
      <c r="BG619">
        <v>0</v>
      </c>
      <c r="BH619">
        <v>0</v>
      </c>
      <c r="BI619">
        <v>0</v>
      </c>
      <c r="BK619" s="151"/>
    </row>
    <row r="620" spans="1:63" x14ac:dyDescent="0.35">
      <c r="A620">
        <v>0</v>
      </c>
      <c r="B620">
        <v>0</v>
      </c>
      <c r="C620">
        <v>0</v>
      </c>
      <c r="D620">
        <v>0</v>
      </c>
      <c r="E620">
        <v>0</v>
      </c>
      <c r="F620">
        <v>0</v>
      </c>
      <c r="G620">
        <v>0</v>
      </c>
      <c r="H620">
        <v>0</v>
      </c>
      <c r="I620">
        <v>0</v>
      </c>
      <c r="J620">
        <v>0</v>
      </c>
      <c r="K620">
        <v>0</v>
      </c>
      <c r="L620">
        <v>0</v>
      </c>
      <c r="M620">
        <v>0</v>
      </c>
      <c r="N620">
        <v>0</v>
      </c>
      <c r="O620">
        <v>0</v>
      </c>
      <c r="P620">
        <v>0</v>
      </c>
      <c r="Q620">
        <v>0</v>
      </c>
      <c r="R620">
        <v>0</v>
      </c>
      <c r="S620">
        <v>0</v>
      </c>
      <c r="T620">
        <v>0</v>
      </c>
      <c r="U620">
        <v>0</v>
      </c>
      <c r="V620">
        <v>0</v>
      </c>
      <c r="W620">
        <v>0</v>
      </c>
      <c r="X620">
        <v>0</v>
      </c>
      <c r="Y620">
        <v>0</v>
      </c>
      <c r="Z620">
        <v>0</v>
      </c>
      <c r="AA620">
        <v>0</v>
      </c>
      <c r="AB620">
        <v>0</v>
      </c>
      <c r="AC620">
        <v>0</v>
      </c>
      <c r="AD620">
        <v>0</v>
      </c>
      <c r="AF620">
        <v>0</v>
      </c>
      <c r="AG620">
        <v>0</v>
      </c>
      <c r="AH620">
        <v>0</v>
      </c>
      <c r="AI620">
        <v>0</v>
      </c>
      <c r="AJ620">
        <v>0</v>
      </c>
      <c r="AK620">
        <v>0</v>
      </c>
      <c r="AL620">
        <v>0</v>
      </c>
      <c r="AM620">
        <v>0</v>
      </c>
      <c r="AN620">
        <v>0</v>
      </c>
      <c r="AO620">
        <v>0</v>
      </c>
      <c r="AP620">
        <v>0</v>
      </c>
      <c r="AQ620">
        <v>0</v>
      </c>
      <c r="AR620">
        <v>0</v>
      </c>
      <c r="AS620">
        <v>0</v>
      </c>
      <c r="AT620">
        <v>0</v>
      </c>
      <c r="AU620">
        <v>0</v>
      </c>
      <c r="AV620">
        <v>0</v>
      </c>
      <c r="AW620">
        <v>0</v>
      </c>
      <c r="AX620">
        <v>0</v>
      </c>
      <c r="AY620">
        <v>0</v>
      </c>
      <c r="AZ620">
        <v>0</v>
      </c>
      <c r="BA620">
        <v>0</v>
      </c>
      <c r="BB620">
        <v>0</v>
      </c>
      <c r="BC620">
        <v>0</v>
      </c>
      <c r="BD620">
        <v>0</v>
      </c>
      <c r="BE620">
        <v>0</v>
      </c>
      <c r="BF620">
        <v>0</v>
      </c>
      <c r="BG620">
        <v>0</v>
      </c>
      <c r="BH620">
        <v>0</v>
      </c>
      <c r="BI620">
        <v>0</v>
      </c>
      <c r="BK620" s="151"/>
    </row>
    <row r="621" spans="1:63" x14ac:dyDescent="0.35">
      <c r="A621">
        <v>0</v>
      </c>
      <c r="B621">
        <v>0</v>
      </c>
      <c r="C621">
        <v>0</v>
      </c>
      <c r="D621">
        <v>0</v>
      </c>
      <c r="E621">
        <v>0</v>
      </c>
      <c r="F621">
        <v>0</v>
      </c>
      <c r="G621">
        <v>0</v>
      </c>
      <c r="H621">
        <v>0</v>
      </c>
      <c r="I621">
        <v>0</v>
      </c>
      <c r="J621">
        <v>0</v>
      </c>
      <c r="K621">
        <v>0</v>
      </c>
      <c r="L621">
        <v>0</v>
      </c>
      <c r="M621">
        <v>0</v>
      </c>
      <c r="N621">
        <v>0</v>
      </c>
      <c r="O621">
        <v>0</v>
      </c>
      <c r="P621">
        <v>0</v>
      </c>
      <c r="Q621">
        <v>0</v>
      </c>
      <c r="R621">
        <v>0</v>
      </c>
      <c r="S621">
        <v>0</v>
      </c>
      <c r="T621">
        <v>0</v>
      </c>
      <c r="U621">
        <v>0</v>
      </c>
      <c r="V621">
        <v>0</v>
      </c>
      <c r="W621">
        <v>0</v>
      </c>
      <c r="X621">
        <v>0</v>
      </c>
      <c r="Y621">
        <v>0</v>
      </c>
      <c r="Z621">
        <v>0</v>
      </c>
      <c r="AA621">
        <v>0</v>
      </c>
      <c r="AB621">
        <v>0</v>
      </c>
      <c r="AC621">
        <v>0</v>
      </c>
      <c r="AD621">
        <v>0</v>
      </c>
      <c r="AF621">
        <v>0</v>
      </c>
      <c r="AG621">
        <v>0</v>
      </c>
      <c r="AH621">
        <v>0</v>
      </c>
      <c r="AI621">
        <v>0</v>
      </c>
      <c r="AJ621">
        <v>0</v>
      </c>
      <c r="AK621">
        <v>0</v>
      </c>
      <c r="AL621">
        <v>0</v>
      </c>
      <c r="AM621">
        <v>0</v>
      </c>
      <c r="AN621">
        <v>0</v>
      </c>
      <c r="AO621">
        <v>0</v>
      </c>
      <c r="AP621">
        <v>0</v>
      </c>
      <c r="AQ621">
        <v>0</v>
      </c>
      <c r="AR621">
        <v>0</v>
      </c>
      <c r="AS621">
        <v>0</v>
      </c>
      <c r="AT621">
        <v>0</v>
      </c>
      <c r="AU621">
        <v>0</v>
      </c>
      <c r="AV621">
        <v>0</v>
      </c>
      <c r="AW621">
        <v>0</v>
      </c>
      <c r="AX621">
        <v>0</v>
      </c>
      <c r="AY621">
        <v>0</v>
      </c>
      <c r="AZ621">
        <v>0</v>
      </c>
      <c r="BA621">
        <v>0</v>
      </c>
      <c r="BB621">
        <v>0</v>
      </c>
      <c r="BC621">
        <v>0</v>
      </c>
      <c r="BD621">
        <v>0</v>
      </c>
      <c r="BE621">
        <v>0</v>
      </c>
      <c r="BF621">
        <v>0</v>
      </c>
      <c r="BG621">
        <v>0</v>
      </c>
      <c r="BH621">
        <v>0</v>
      </c>
      <c r="BI621">
        <v>0</v>
      </c>
      <c r="BK621" s="151"/>
    </row>
    <row r="622" spans="1:63" x14ac:dyDescent="0.35">
      <c r="A622">
        <v>0</v>
      </c>
      <c r="B622">
        <v>0</v>
      </c>
      <c r="C622">
        <v>0</v>
      </c>
      <c r="D622">
        <v>0</v>
      </c>
      <c r="E622">
        <v>0</v>
      </c>
      <c r="F622">
        <v>0</v>
      </c>
      <c r="G622">
        <v>0</v>
      </c>
      <c r="H622">
        <v>0</v>
      </c>
      <c r="I622">
        <v>0</v>
      </c>
      <c r="J622">
        <v>0</v>
      </c>
      <c r="K622">
        <v>0</v>
      </c>
      <c r="L622">
        <v>0</v>
      </c>
      <c r="M622">
        <v>0</v>
      </c>
      <c r="N622">
        <v>0</v>
      </c>
      <c r="O622">
        <v>0</v>
      </c>
      <c r="P622">
        <v>0</v>
      </c>
      <c r="Q622">
        <v>0</v>
      </c>
      <c r="R622">
        <v>0</v>
      </c>
      <c r="S622">
        <v>0</v>
      </c>
      <c r="T622">
        <v>0</v>
      </c>
      <c r="U622">
        <v>0</v>
      </c>
      <c r="V622">
        <v>0</v>
      </c>
      <c r="W622">
        <v>0</v>
      </c>
      <c r="X622">
        <v>0</v>
      </c>
      <c r="Y622">
        <v>0</v>
      </c>
      <c r="Z622">
        <v>0</v>
      </c>
      <c r="AA622">
        <v>0</v>
      </c>
      <c r="AB622">
        <v>0</v>
      </c>
      <c r="AC622">
        <v>0</v>
      </c>
      <c r="AD622">
        <v>0</v>
      </c>
      <c r="AF622">
        <v>0</v>
      </c>
      <c r="AG622">
        <v>0</v>
      </c>
      <c r="AH622">
        <v>0</v>
      </c>
      <c r="AI622">
        <v>0</v>
      </c>
      <c r="AJ622">
        <v>0</v>
      </c>
      <c r="AK622">
        <v>0</v>
      </c>
      <c r="AL622">
        <v>0</v>
      </c>
      <c r="AM622">
        <v>0</v>
      </c>
      <c r="AN622">
        <v>0</v>
      </c>
      <c r="AO622">
        <v>0</v>
      </c>
      <c r="AP622">
        <v>0</v>
      </c>
      <c r="AQ622">
        <v>0</v>
      </c>
      <c r="AR622">
        <v>0</v>
      </c>
      <c r="AS622">
        <v>0</v>
      </c>
      <c r="AT622">
        <v>0</v>
      </c>
      <c r="AU622">
        <v>0</v>
      </c>
      <c r="AV622">
        <v>0</v>
      </c>
      <c r="AW622">
        <v>0</v>
      </c>
      <c r="AX622">
        <v>0</v>
      </c>
      <c r="AY622">
        <v>0</v>
      </c>
      <c r="AZ622">
        <v>0</v>
      </c>
      <c r="BA622">
        <v>0</v>
      </c>
      <c r="BB622">
        <v>0</v>
      </c>
      <c r="BC622">
        <v>0</v>
      </c>
      <c r="BD622">
        <v>0</v>
      </c>
      <c r="BE622">
        <v>0</v>
      </c>
      <c r="BF622">
        <v>0</v>
      </c>
      <c r="BG622">
        <v>0</v>
      </c>
      <c r="BH622">
        <v>0</v>
      </c>
      <c r="BI622">
        <v>0</v>
      </c>
      <c r="BK622" s="151"/>
    </row>
    <row r="623" spans="1:63" x14ac:dyDescent="0.35">
      <c r="A623">
        <v>0</v>
      </c>
      <c r="B623">
        <v>0</v>
      </c>
      <c r="C623">
        <v>0</v>
      </c>
      <c r="D623">
        <v>0</v>
      </c>
      <c r="E623">
        <v>0</v>
      </c>
      <c r="F623">
        <v>0</v>
      </c>
      <c r="G623">
        <v>0</v>
      </c>
      <c r="H623">
        <v>0</v>
      </c>
      <c r="I623">
        <v>0</v>
      </c>
      <c r="J623">
        <v>0</v>
      </c>
      <c r="K623">
        <v>0</v>
      </c>
      <c r="L623">
        <v>0</v>
      </c>
      <c r="M623">
        <v>0</v>
      </c>
      <c r="N623">
        <v>0</v>
      </c>
      <c r="O623">
        <v>0</v>
      </c>
      <c r="P623">
        <v>0</v>
      </c>
      <c r="Q623">
        <v>0</v>
      </c>
      <c r="R623">
        <v>0</v>
      </c>
      <c r="S623">
        <v>0</v>
      </c>
      <c r="T623">
        <v>0</v>
      </c>
      <c r="U623">
        <v>0</v>
      </c>
      <c r="V623">
        <v>0</v>
      </c>
      <c r="W623">
        <v>0</v>
      </c>
      <c r="X623">
        <v>0</v>
      </c>
      <c r="Y623">
        <v>0</v>
      </c>
      <c r="Z623">
        <v>0</v>
      </c>
      <c r="AA623">
        <v>0</v>
      </c>
      <c r="AB623">
        <v>0</v>
      </c>
      <c r="AC623">
        <v>0</v>
      </c>
      <c r="AD623">
        <v>0</v>
      </c>
      <c r="AF623">
        <v>0</v>
      </c>
      <c r="AG623">
        <v>0</v>
      </c>
      <c r="AH623">
        <v>0</v>
      </c>
      <c r="AI623">
        <v>0</v>
      </c>
      <c r="AJ623">
        <v>0</v>
      </c>
      <c r="AK623">
        <v>0</v>
      </c>
      <c r="AL623">
        <v>0</v>
      </c>
      <c r="AM623">
        <v>0</v>
      </c>
      <c r="AN623">
        <v>0</v>
      </c>
      <c r="AO623">
        <v>0</v>
      </c>
      <c r="AP623">
        <v>0</v>
      </c>
      <c r="AQ623">
        <v>0</v>
      </c>
      <c r="AR623">
        <v>0</v>
      </c>
      <c r="AS623">
        <v>0</v>
      </c>
      <c r="AT623">
        <v>0</v>
      </c>
      <c r="AU623">
        <v>0</v>
      </c>
      <c r="AV623">
        <v>0</v>
      </c>
      <c r="AW623">
        <v>0</v>
      </c>
      <c r="AX623">
        <v>0</v>
      </c>
      <c r="AY623">
        <v>0</v>
      </c>
      <c r="AZ623">
        <v>0</v>
      </c>
      <c r="BA623">
        <v>0</v>
      </c>
      <c r="BB623">
        <v>0</v>
      </c>
      <c r="BC623">
        <v>0</v>
      </c>
      <c r="BD623">
        <v>0</v>
      </c>
      <c r="BE623">
        <v>0</v>
      </c>
      <c r="BF623">
        <v>0</v>
      </c>
      <c r="BG623">
        <v>0</v>
      </c>
      <c r="BH623">
        <v>0</v>
      </c>
      <c r="BI623">
        <v>0</v>
      </c>
      <c r="BK623" s="151"/>
    </row>
    <row r="624" spans="1:63" x14ac:dyDescent="0.35">
      <c r="A624">
        <v>0</v>
      </c>
      <c r="B624">
        <v>0</v>
      </c>
      <c r="C624">
        <v>0</v>
      </c>
      <c r="D624">
        <v>0</v>
      </c>
      <c r="E624">
        <v>0</v>
      </c>
      <c r="F624">
        <v>0</v>
      </c>
      <c r="G624">
        <v>0</v>
      </c>
      <c r="H624">
        <v>0</v>
      </c>
      <c r="I624">
        <v>0</v>
      </c>
      <c r="J624">
        <v>0</v>
      </c>
      <c r="K624">
        <v>0</v>
      </c>
      <c r="L624">
        <v>0</v>
      </c>
      <c r="M624">
        <v>0</v>
      </c>
      <c r="N624">
        <v>0</v>
      </c>
      <c r="O624">
        <v>0</v>
      </c>
      <c r="P624">
        <v>0</v>
      </c>
      <c r="Q624">
        <v>0</v>
      </c>
      <c r="R624">
        <v>0</v>
      </c>
      <c r="S624">
        <v>0</v>
      </c>
      <c r="T624">
        <v>0</v>
      </c>
      <c r="U624">
        <v>0</v>
      </c>
      <c r="V624">
        <v>0</v>
      </c>
      <c r="W624">
        <v>0</v>
      </c>
      <c r="X624">
        <v>0</v>
      </c>
      <c r="Y624">
        <v>0</v>
      </c>
      <c r="Z624">
        <v>0</v>
      </c>
      <c r="AA624">
        <v>0</v>
      </c>
      <c r="AB624">
        <v>0</v>
      </c>
      <c r="AC624">
        <v>0</v>
      </c>
      <c r="AD624">
        <v>0</v>
      </c>
      <c r="AF624">
        <v>0</v>
      </c>
      <c r="AG624">
        <v>0</v>
      </c>
      <c r="AH624">
        <v>0</v>
      </c>
      <c r="AI624">
        <v>0</v>
      </c>
      <c r="AJ624">
        <v>0</v>
      </c>
      <c r="AK624">
        <v>0</v>
      </c>
      <c r="AL624">
        <v>0</v>
      </c>
      <c r="AM624">
        <v>0</v>
      </c>
      <c r="AN624">
        <v>0</v>
      </c>
      <c r="AO624">
        <v>0</v>
      </c>
      <c r="AP624">
        <v>0</v>
      </c>
      <c r="AQ624">
        <v>0</v>
      </c>
      <c r="AR624">
        <v>0</v>
      </c>
      <c r="AS624">
        <v>0</v>
      </c>
      <c r="AT624">
        <v>0</v>
      </c>
      <c r="AU624">
        <v>0</v>
      </c>
      <c r="AV624">
        <v>0</v>
      </c>
      <c r="AW624">
        <v>0</v>
      </c>
      <c r="AX624">
        <v>0</v>
      </c>
      <c r="AY624">
        <v>0</v>
      </c>
      <c r="AZ624">
        <v>0</v>
      </c>
      <c r="BA624">
        <v>0</v>
      </c>
      <c r="BB624">
        <v>0</v>
      </c>
      <c r="BC624">
        <v>0</v>
      </c>
      <c r="BD624">
        <v>0</v>
      </c>
      <c r="BE624">
        <v>0</v>
      </c>
      <c r="BF624">
        <v>0</v>
      </c>
      <c r="BG624">
        <v>0</v>
      </c>
      <c r="BH624">
        <v>0</v>
      </c>
      <c r="BI624">
        <v>0</v>
      </c>
      <c r="BK624" s="151"/>
    </row>
    <row r="625" spans="1:63" x14ac:dyDescent="0.35">
      <c r="A625">
        <v>0</v>
      </c>
      <c r="B625">
        <v>0</v>
      </c>
      <c r="C625">
        <v>0</v>
      </c>
      <c r="D625">
        <v>0</v>
      </c>
      <c r="E625">
        <v>0</v>
      </c>
      <c r="F625">
        <v>0</v>
      </c>
      <c r="G625">
        <v>0</v>
      </c>
      <c r="H625">
        <v>0</v>
      </c>
      <c r="I625">
        <v>0</v>
      </c>
      <c r="J625">
        <v>0</v>
      </c>
      <c r="K625">
        <v>0</v>
      </c>
      <c r="L625">
        <v>0</v>
      </c>
      <c r="M625">
        <v>0</v>
      </c>
      <c r="N625">
        <v>0</v>
      </c>
      <c r="O625">
        <v>0</v>
      </c>
      <c r="P625">
        <v>0</v>
      </c>
      <c r="Q625">
        <v>0</v>
      </c>
      <c r="R625">
        <v>0</v>
      </c>
      <c r="S625">
        <v>0</v>
      </c>
      <c r="T625">
        <v>0</v>
      </c>
      <c r="U625">
        <v>0</v>
      </c>
      <c r="V625">
        <v>0</v>
      </c>
      <c r="W625">
        <v>0</v>
      </c>
      <c r="X625">
        <v>0</v>
      </c>
      <c r="Y625">
        <v>0</v>
      </c>
      <c r="Z625">
        <v>0</v>
      </c>
      <c r="AA625">
        <v>0</v>
      </c>
      <c r="AB625">
        <v>0</v>
      </c>
      <c r="AC625">
        <v>0</v>
      </c>
      <c r="AD625">
        <v>0</v>
      </c>
      <c r="AF625">
        <v>0</v>
      </c>
      <c r="AG625">
        <v>0</v>
      </c>
      <c r="AH625">
        <v>0</v>
      </c>
      <c r="AI625">
        <v>0</v>
      </c>
      <c r="AJ625">
        <v>0</v>
      </c>
      <c r="AK625">
        <v>0</v>
      </c>
      <c r="AL625">
        <v>0</v>
      </c>
      <c r="AM625">
        <v>0</v>
      </c>
      <c r="AN625">
        <v>0</v>
      </c>
      <c r="AO625">
        <v>0</v>
      </c>
      <c r="AP625">
        <v>0</v>
      </c>
      <c r="AQ625">
        <v>0</v>
      </c>
      <c r="AR625">
        <v>0</v>
      </c>
      <c r="AS625">
        <v>0</v>
      </c>
      <c r="AT625">
        <v>0</v>
      </c>
      <c r="AU625">
        <v>0</v>
      </c>
      <c r="AV625">
        <v>0</v>
      </c>
      <c r="AW625">
        <v>0</v>
      </c>
      <c r="AX625">
        <v>0</v>
      </c>
      <c r="AY625">
        <v>0</v>
      </c>
      <c r="AZ625">
        <v>0</v>
      </c>
      <c r="BA625">
        <v>0</v>
      </c>
      <c r="BB625">
        <v>0</v>
      </c>
      <c r="BC625">
        <v>0</v>
      </c>
      <c r="BD625">
        <v>0</v>
      </c>
      <c r="BE625">
        <v>0</v>
      </c>
      <c r="BF625">
        <v>0</v>
      </c>
      <c r="BG625">
        <v>0</v>
      </c>
      <c r="BH625">
        <v>0</v>
      </c>
      <c r="BI625">
        <v>0</v>
      </c>
      <c r="BK625" s="151"/>
    </row>
    <row r="626" spans="1:63" x14ac:dyDescent="0.35">
      <c r="A626">
        <v>0</v>
      </c>
      <c r="B626">
        <v>0</v>
      </c>
      <c r="C626">
        <v>0</v>
      </c>
      <c r="D626">
        <v>0</v>
      </c>
      <c r="E626">
        <v>0</v>
      </c>
      <c r="F626">
        <v>0</v>
      </c>
      <c r="G626">
        <v>0</v>
      </c>
      <c r="H626">
        <v>0</v>
      </c>
      <c r="I626">
        <v>0</v>
      </c>
      <c r="J626">
        <v>0</v>
      </c>
      <c r="K626">
        <v>0</v>
      </c>
      <c r="L626">
        <v>0</v>
      </c>
      <c r="M626">
        <v>0</v>
      </c>
      <c r="N626">
        <v>0</v>
      </c>
      <c r="O626">
        <v>0</v>
      </c>
      <c r="P626">
        <v>0</v>
      </c>
      <c r="Q626">
        <v>0</v>
      </c>
      <c r="R626">
        <v>0</v>
      </c>
      <c r="S626">
        <v>0</v>
      </c>
      <c r="T626">
        <v>0</v>
      </c>
      <c r="U626">
        <v>0</v>
      </c>
      <c r="V626">
        <v>0</v>
      </c>
      <c r="W626">
        <v>0</v>
      </c>
      <c r="X626">
        <v>0</v>
      </c>
      <c r="Y626">
        <v>0</v>
      </c>
      <c r="Z626">
        <v>0</v>
      </c>
      <c r="AA626">
        <v>0</v>
      </c>
      <c r="AB626">
        <v>0</v>
      </c>
      <c r="AC626">
        <v>0</v>
      </c>
      <c r="AD626">
        <v>0</v>
      </c>
      <c r="AF626">
        <v>0</v>
      </c>
      <c r="AG626">
        <v>0</v>
      </c>
      <c r="AH626">
        <v>0</v>
      </c>
      <c r="AI626">
        <v>0</v>
      </c>
      <c r="AJ626">
        <v>0</v>
      </c>
      <c r="AK626">
        <v>0</v>
      </c>
      <c r="AL626">
        <v>0</v>
      </c>
      <c r="AM626">
        <v>0</v>
      </c>
      <c r="AN626">
        <v>0</v>
      </c>
      <c r="AO626">
        <v>0</v>
      </c>
      <c r="AP626">
        <v>0</v>
      </c>
      <c r="AQ626">
        <v>0</v>
      </c>
      <c r="AR626">
        <v>0</v>
      </c>
      <c r="AS626">
        <v>0</v>
      </c>
      <c r="AT626">
        <v>0</v>
      </c>
      <c r="AU626">
        <v>0</v>
      </c>
      <c r="AV626">
        <v>0</v>
      </c>
      <c r="AW626">
        <v>0</v>
      </c>
      <c r="AX626">
        <v>0</v>
      </c>
      <c r="AY626">
        <v>0</v>
      </c>
      <c r="AZ626">
        <v>0</v>
      </c>
      <c r="BA626">
        <v>0</v>
      </c>
      <c r="BB626">
        <v>0</v>
      </c>
      <c r="BC626">
        <v>0</v>
      </c>
      <c r="BD626">
        <v>0</v>
      </c>
      <c r="BE626">
        <v>0</v>
      </c>
      <c r="BF626">
        <v>0</v>
      </c>
      <c r="BG626">
        <v>0</v>
      </c>
      <c r="BH626">
        <v>0</v>
      </c>
      <c r="BI626">
        <v>0</v>
      </c>
      <c r="BK626" s="151"/>
    </row>
    <row r="627" spans="1:63" x14ac:dyDescent="0.35">
      <c r="A627">
        <v>0</v>
      </c>
      <c r="B627">
        <v>0</v>
      </c>
      <c r="C627">
        <v>0</v>
      </c>
      <c r="D627">
        <v>0</v>
      </c>
      <c r="E627">
        <v>0</v>
      </c>
      <c r="F627">
        <v>0</v>
      </c>
      <c r="G627">
        <v>0</v>
      </c>
      <c r="H627">
        <v>0</v>
      </c>
      <c r="I627">
        <v>0</v>
      </c>
      <c r="J627">
        <v>0</v>
      </c>
      <c r="K627">
        <v>0</v>
      </c>
      <c r="L627">
        <v>0</v>
      </c>
      <c r="M627">
        <v>0</v>
      </c>
      <c r="N627">
        <v>0</v>
      </c>
      <c r="O627">
        <v>0</v>
      </c>
      <c r="P627">
        <v>0</v>
      </c>
      <c r="Q627">
        <v>0</v>
      </c>
      <c r="R627">
        <v>0</v>
      </c>
      <c r="S627">
        <v>0</v>
      </c>
      <c r="T627">
        <v>0</v>
      </c>
      <c r="U627">
        <v>0</v>
      </c>
      <c r="V627">
        <v>0</v>
      </c>
      <c r="W627">
        <v>0</v>
      </c>
      <c r="X627">
        <v>0</v>
      </c>
      <c r="Y627">
        <v>0</v>
      </c>
      <c r="Z627">
        <v>0</v>
      </c>
      <c r="AA627">
        <v>0</v>
      </c>
      <c r="AB627">
        <v>0</v>
      </c>
      <c r="AC627">
        <v>0</v>
      </c>
      <c r="AD627">
        <v>0</v>
      </c>
      <c r="AF627">
        <v>0</v>
      </c>
      <c r="AG627">
        <v>0</v>
      </c>
      <c r="AH627">
        <v>0</v>
      </c>
      <c r="AI627">
        <v>0</v>
      </c>
      <c r="AJ627">
        <v>0</v>
      </c>
      <c r="AK627">
        <v>0</v>
      </c>
      <c r="AL627">
        <v>0</v>
      </c>
      <c r="AM627">
        <v>0</v>
      </c>
      <c r="AN627">
        <v>0</v>
      </c>
      <c r="AO627">
        <v>0</v>
      </c>
      <c r="AP627">
        <v>0</v>
      </c>
      <c r="AQ627">
        <v>0</v>
      </c>
      <c r="AR627">
        <v>0</v>
      </c>
      <c r="AS627">
        <v>0</v>
      </c>
      <c r="AT627">
        <v>0</v>
      </c>
      <c r="AU627">
        <v>0</v>
      </c>
      <c r="AV627">
        <v>0</v>
      </c>
      <c r="AW627">
        <v>0</v>
      </c>
      <c r="AX627">
        <v>0</v>
      </c>
      <c r="AY627">
        <v>0</v>
      </c>
      <c r="AZ627">
        <v>0</v>
      </c>
      <c r="BA627">
        <v>0</v>
      </c>
      <c r="BB627">
        <v>0</v>
      </c>
      <c r="BC627">
        <v>0</v>
      </c>
      <c r="BD627">
        <v>0</v>
      </c>
      <c r="BE627">
        <v>0</v>
      </c>
      <c r="BF627">
        <v>0</v>
      </c>
      <c r="BG627">
        <v>0</v>
      </c>
      <c r="BH627">
        <v>0</v>
      </c>
      <c r="BI627">
        <v>0</v>
      </c>
      <c r="BK627" s="151"/>
    </row>
    <row r="628" spans="1:63" x14ac:dyDescent="0.35">
      <c r="A628">
        <v>0</v>
      </c>
      <c r="B628">
        <v>0</v>
      </c>
      <c r="C628">
        <v>0</v>
      </c>
      <c r="D628">
        <v>0</v>
      </c>
      <c r="E628">
        <v>0</v>
      </c>
      <c r="F628">
        <v>0</v>
      </c>
      <c r="G628">
        <v>0</v>
      </c>
      <c r="H628">
        <v>0</v>
      </c>
      <c r="I628">
        <v>0</v>
      </c>
      <c r="J628">
        <v>0</v>
      </c>
      <c r="K628">
        <v>0</v>
      </c>
      <c r="L628">
        <v>0</v>
      </c>
      <c r="M628">
        <v>0</v>
      </c>
      <c r="N628">
        <v>0</v>
      </c>
      <c r="O628">
        <v>0</v>
      </c>
      <c r="P628">
        <v>0</v>
      </c>
      <c r="Q628">
        <v>0</v>
      </c>
      <c r="R628">
        <v>0</v>
      </c>
      <c r="S628">
        <v>0</v>
      </c>
      <c r="T628">
        <v>0</v>
      </c>
      <c r="U628">
        <v>0</v>
      </c>
      <c r="V628">
        <v>0</v>
      </c>
      <c r="W628">
        <v>0</v>
      </c>
      <c r="X628">
        <v>0</v>
      </c>
      <c r="Y628">
        <v>0</v>
      </c>
      <c r="Z628">
        <v>0</v>
      </c>
      <c r="AA628">
        <v>0</v>
      </c>
      <c r="AB628">
        <v>0</v>
      </c>
      <c r="AC628">
        <v>0</v>
      </c>
      <c r="AD628">
        <v>0</v>
      </c>
      <c r="AF628">
        <v>0</v>
      </c>
      <c r="AG628">
        <v>0</v>
      </c>
      <c r="AH628">
        <v>0</v>
      </c>
      <c r="AI628">
        <v>0</v>
      </c>
      <c r="AJ628">
        <v>0</v>
      </c>
      <c r="AK628">
        <v>0</v>
      </c>
      <c r="AL628">
        <v>0</v>
      </c>
      <c r="AM628">
        <v>0</v>
      </c>
      <c r="AN628">
        <v>0</v>
      </c>
      <c r="AO628">
        <v>0</v>
      </c>
      <c r="AP628">
        <v>0</v>
      </c>
      <c r="AQ628">
        <v>0</v>
      </c>
      <c r="AR628">
        <v>0</v>
      </c>
      <c r="AS628">
        <v>0</v>
      </c>
      <c r="AT628">
        <v>0</v>
      </c>
      <c r="AU628">
        <v>0</v>
      </c>
      <c r="AV628">
        <v>0</v>
      </c>
      <c r="AW628">
        <v>0</v>
      </c>
      <c r="AX628">
        <v>0</v>
      </c>
      <c r="AY628">
        <v>0</v>
      </c>
      <c r="AZ628">
        <v>0</v>
      </c>
      <c r="BA628">
        <v>0</v>
      </c>
      <c r="BB628">
        <v>0</v>
      </c>
      <c r="BC628">
        <v>0</v>
      </c>
      <c r="BD628">
        <v>0</v>
      </c>
      <c r="BE628">
        <v>0</v>
      </c>
      <c r="BF628">
        <v>0</v>
      </c>
      <c r="BG628">
        <v>0</v>
      </c>
      <c r="BH628">
        <v>0</v>
      </c>
      <c r="BI628">
        <v>0</v>
      </c>
      <c r="BK628" s="151"/>
    </row>
    <row r="629" spans="1:63" x14ac:dyDescent="0.35">
      <c r="A629">
        <v>0</v>
      </c>
      <c r="B629">
        <v>0</v>
      </c>
      <c r="C629">
        <v>0</v>
      </c>
      <c r="D629">
        <v>0</v>
      </c>
      <c r="E629">
        <v>0</v>
      </c>
      <c r="F629">
        <v>0</v>
      </c>
      <c r="G629">
        <v>0</v>
      </c>
      <c r="H629">
        <v>0</v>
      </c>
      <c r="I629">
        <v>0</v>
      </c>
      <c r="J629">
        <v>0</v>
      </c>
      <c r="K629">
        <v>0</v>
      </c>
      <c r="L629">
        <v>0</v>
      </c>
      <c r="M629">
        <v>0</v>
      </c>
      <c r="N629">
        <v>0</v>
      </c>
      <c r="O629">
        <v>0</v>
      </c>
      <c r="P629">
        <v>0</v>
      </c>
      <c r="Q629">
        <v>0</v>
      </c>
      <c r="R629">
        <v>0</v>
      </c>
      <c r="S629">
        <v>0</v>
      </c>
      <c r="T629">
        <v>0</v>
      </c>
      <c r="U629">
        <v>0</v>
      </c>
      <c r="V629">
        <v>0</v>
      </c>
      <c r="W629">
        <v>0</v>
      </c>
      <c r="X629">
        <v>0</v>
      </c>
      <c r="Y629">
        <v>0</v>
      </c>
      <c r="Z629">
        <v>0</v>
      </c>
      <c r="AA629">
        <v>0</v>
      </c>
      <c r="AB629">
        <v>0</v>
      </c>
      <c r="AC629">
        <v>0</v>
      </c>
      <c r="AD629">
        <v>0</v>
      </c>
      <c r="AF629">
        <v>0</v>
      </c>
      <c r="AG629">
        <v>0</v>
      </c>
      <c r="AH629">
        <v>0</v>
      </c>
      <c r="AI629">
        <v>0</v>
      </c>
      <c r="AJ629">
        <v>0</v>
      </c>
      <c r="AK629">
        <v>0</v>
      </c>
      <c r="AL629">
        <v>0</v>
      </c>
      <c r="AM629">
        <v>0</v>
      </c>
      <c r="AN629">
        <v>0</v>
      </c>
      <c r="AO629">
        <v>0</v>
      </c>
      <c r="AP629">
        <v>0</v>
      </c>
      <c r="AQ629">
        <v>0</v>
      </c>
      <c r="AR629">
        <v>0</v>
      </c>
      <c r="AS629">
        <v>0</v>
      </c>
      <c r="AT629">
        <v>0</v>
      </c>
      <c r="AU629">
        <v>0</v>
      </c>
      <c r="AV629">
        <v>0</v>
      </c>
      <c r="AW629">
        <v>0</v>
      </c>
      <c r="AX629">
        <v>0</v>
      </c>
      <c r="AY629">
        <v>0</v>
      </c>
      <c r="AZ629">
        <v>0</v>
      </c>
      <c r="BA629">
        <v>0</v>
      </c>
      <c r="BB629">
        <v>0</v>
      </c>
      <c r="BC629">
        <v>0</v>
      </c>
      <c r="BD629">
        <v>0</v>
      </c>
      <c r="BE629">
        <v>0</v>
      </c>
      <c r="BF629">
        <v>0</v>
      </c>
      <c r="BG629">
        <v>0</v>
      </c>
      <c r="BH629">
        <v>0</v>
      </c>
      <c r="BI629">
        <v>0</v>
      </c>
      <c r="BK629" s="151"/>
    </row>
    <row r="630" spans="1:63" x14ac:dyDescent="0.35">
      <c r="A630">
        <v>0</v>
      </c>
      <c r="B630">
        <v>0</v>
      </c>
      <c r="C630">
        <v>0</v>
      </c>
      <c r="D630">
        <v>0</v>
      </c>
      <c r="E630">
        <v>0</v>
      </c>
      <c r="F630">
        <v>0</v>
      </c>
      <c r="G630">
        <v>0</v>
      </c>
      <c r="H630">
        <v>0</v>
      </c>
      <c r="I630">
        <v>0</v>
      </c>
      <c r="J630">
        <v>0</v>
      </c>
      <c r="K630">
        <v>0</v>
      </c>
      <c r="L630">
        <v>0</v>
      </c>
      <c r="M630">
        <v>0</v>
      </c>
      <c r="N630">
        <v>0</v>
      </c>
      <c r="O630">
        <v>0</v>
      </c>
      <c r="P630">
        <v>0</v>
      </c>
      <c r="Q630">
        <v>0</v>
      </c>
      <c r="R630">
        <v>0</v>
      </c>
      <c r="S630">
        <v>0</v>
      </c>
      <c r="T630">
        <v>0</v>
      </c>
      <c r="U630">
        <v>0</v>
      </c>
      <c r="V630">
        <v>0</v>
      </c>
      <c r="W630">
        <v>0</v>
      </c>
      <c r="X630">
        <v>0</v>
      </c>
      <c r="Y630">
        <v>0</v>
      </c>
      <c r="Z630">
        <v>0</v>
      </c>
      <c r="AA630">
        <v>0</v>
      </c>
      <c r="AB630">
        <v>0</v>
      </c>
      <c r="AC630">
        <v>0</v>
      </c>
      <c r="AD630">
        <v>0</v>
      </c>
      <c r="AF630">
        <v>0</v>
      </c>
      <c r="AG630">
        <v>0</v>
      </c>
      <c r="AH630">
        <v>0</v>
      </c>
      <c r="AI630">
        <v>0</v>
      </c>
      <c r="AJ630">
        <v>0</v>
      </c>
      <c r="AK630">
        <v>0</v>
      </c>
      <c r="AL630">
        <v>0</v>
      </c>
      <c r="AM630">
        <v>0</v>
      </c>
      <c r="AN630">
        <v>0</v>
      </c>
      <c r="AO630">
        <v>0</v>
      </c>
      <c r="AP630">
        <v>0</v>
      </c>
      <c r="AQ630">
        <v>0</v>
      </c>
      <c r="AR630">
        <v>0</v>
      </c>
      <c r="AS630">
        <v>0</v>
      </c>
      <c r="AT630">
        <v>0</v>
      </c>
      <c r="AU630">
        <v>0</v>
      </c>
      <c r="AV630">
        <v>0</v>
      </c>
      <c r="AW630">
        <v>0</v>
      </c>
      <c r="AX630">
        <v>0</v>
      </c>
      <c r="AY630">
        <v>0</v>
      </c>
      <c r="AZ630">
        <v>0</v>
      </c>
      <c r="BA630">
        <v>0</v>
      </c>
      <c r="BB630">
        <v>0</v>
      </c>
      <c r="BC630">
        <v>0</v>
      </c>
      <c r="BD630">
        <v>0</v>
      </c>
      <c r="BE630">
        <v>0</v>
      </c>
      <c r="BF630">
        <v>0</v>
      </c>
      <c r="BG630">
        <v>0</v>
      </c>
      <c r="BH630">
        <v>0</v>
      </c>
      <c r="BI630">
        <v>0</v>
      </c>
      <c r="BK630" s="151"/>
    </row>
    <row r="631" spans="1:63" x14ac:dyDescent="0.35">
      <c r="A631">
        <v>0</v>
      </c>
      <c r="B631">
        <v>0</v>
      </c>
      <c r="C631">
        <v>0</v>
      </c>
      <c r="D631">
        <v>0</v>
      </c>
      <c r="E631">
        <v>0</v>
      </c>
      <c r="F631">
        <v>0</v>
      </c>
      <c r="G631">
        <v>0</v>
      </c>
      <c r="H631">
        <v>0</v>
      </c>
      <c r="I631">
        <v>0</v>
      </c>
      <c r="J631">
        <v>0</v>
      </c>
      <c r="K631">
        <v>0</v>
      </c>
      <c r="L631">
        <v>0</v>
      </c>
      <c r="M631">
        <v>0</v>
      </c>
      <c r="N631">
        <v>0</v>
      </c>
      <c r="O631">
        <v>0</v>
      </c>
      <c r="P631">
        <v>0</v>
      </c>
      <c r="Q631">
        <v>0</v>
      </c>
      <c r="R631">
        <v>0</v>
      </c>
      <c r="S631">
        <v>0</v>
      </c>
      <c r="T631">
        <v>0</v>
      </c>
      <c r="U631">
        <v>0</v>
      </c>
      <c r="V631">
        <v>0</v>
      </c>
      <c r="W631">
        <v>0</v>
      </c>
      <c r="X631">
        <v>0</v>
      </c>
      <c r="Y631">
        <v>0</v>
      </c>
      <c r="Z631">
        <v>0</v>
      </c>
      <c r="AA631">
        <v>0</v>
      </c>
      <c r="AB631">
        <v>0</v>
      </c>
      <c r="AC631">
        <v>0</v>
      </c>
      <c r="AD631">
        <v>0</v>
      </c>
      <c r="AF631">
        <v>0</v>
      </c>
      <c r="AG631">
        <v>0</v>
      </c>
      <c r="AH631">
        <v>0</v>
      </c>
      <c r="AI631">
        <v>0</v>
      </c>
      <c r="AJ631">
        <v>0</v>
      </c>
      <c r="AK631">
        <v>0</v>
      </c>
      <c r="AL631">
        <v>0</v>
      </c>
      <c r="AM631">
        <v>0</v>
      </c>
      <c r="AN631">
        <v>0</v>
      </c>
      <c r="AO631">
        <v>0</v>
      </c>
      <c r="AP631">
        <v>0</v>
      </c>
      <c r="AQ631">
        <v>0</v>
      </c>
      <c r="AR631">
        <v>0</v>
      </c>
      <c r="AS631">
        <v>0</v>
      </c>
      <c r="AT631">
        <v>0</v>
      </c>
      <c r="AU631">
        <v>0</v>
      </c>
      <c r="AV631">
        <v>0</v>
      </c>
      <c r="AW631">
        <v>0</v>
      </c>
      <c r="AX631">
        <v>0</v>
      </c>
      <c r="AY631">
        <v>0</v>
      </c>
      <c r="AZ631">
        <v>0</v>
      </c>
      <c r="BA631">
        <v>0</v>
      </c>
      <c r="BB631">
        <v>0</v>
      </c>
      <c r="BC631">
        <v>0</v>
      </c>
      <c r="BD631">
        <v>0</v>
      </c>
      <c r="BE631">
        <v>0</v>
      </c>
      <c r="BF631">
        <v>0</v>
      </c>
      <c r="BG631">
        <v>0</v>
      </c>
      <c r="BH631">
        <v>0</v>
      </c>
      <c r="BI631">
        <v>0</v>
      </c>
      <c r="BK631" s="151"/>
    </row>
    <row r="632" spans="1:63" x14ac:dyDescent="0.35">
      <c r="A632">
        <v>0</v>
      </c>
      <c r="B632">
        <v>0</v>
      </c>
      <c r="C632">
        <v>0</v>
      </c>
      <c r="D632">
        <v>0</v>
      </c>
      <c r="E632">
        <v>0</v>
      </c>
      <c r="F632">
        <v>0</v>
      </c>
      <c r="G632">
        <v>0</v>
      </c>
      <c r="H632">
        <v>0</v>
      </c>
      <c r="I632">
        <v>0</v>
      </c>
      <c r="J632">
        <v>0</v>
      </c>
      <c r="K632">
        <v>0</v>
      </c>
      <c r="L632">
        <v>0</v>
      </c>
      <c r="M632">
        <v>0</v>
      </c>
      <c r="N632">
        <v>0</v>
      </c>
      <c r="O632">
        <v>0</v>
      </c>
      <c r="P632">
        <v>0</v>
      </c>
      <c r="Q632">
        <v>0</v>
      </c>
      <c r="R632">
        <v>0</v>
      </c>
      <c r="S632">
        <v>0</v>
      </c>
      <c r="T632">
        <v>0</v>
      </c>
      <c r="U632">
        <v>0</v>
      </c>
      <c r="V632">
        <v>0</v>
      </c>
      <c r="W632">
        <v>0</v>
      </c>
      <c r="X632">
        <v>0</v>
      </c>
      <c r="Y632">
        <v>0</v>
      </c>
      <c r="Z632">
        <v>0</v>
      </c>
      <c r="AA632">
        <v>0</v>
      </c>
      <c r="AB632">
        <v>0</v>
      </c>
      <c r="AC632">
        <v>0</v>
      </c>
      <c r="AD632">
        <v>0</v>
      </c>
      <c r="AF632">
        <v>0</v>
      </c>
      <c r="AG632">
        <v>0</v>
      </c>
      <c r="AH632">
        <v>0</v>
      </c>
      <c r="AI632">
        <v>0</v>
      </c>
      <c r="AJ632">
        <v>0</v>
      </c>
      <c r="AK632">
        <v>0</v>
      </c>
      <c r="AL632">
        <v>0</v>
      </c>
      <c r="AM632">
        <v>0</v>
      </c>
      <c r="AN632">
        <v>0</v>
      </c>
      <c r="AO632">
        <v>0</v>
      </c>
      <c r="AP632">
        <v>0</v>
      </c>
      <c r="AQ632">
        <v>0</v>
      </c>
      <c r="AR632">
        <v>0</v>
      </c>
      <c r="AS632">
        <v>0</v>
      </c>
      <c r="AT632">
        <v>0</v>
      </c>
      <c r="AU632">
        <v>0</v>
      </c>
      <c r="AV632">
        <v>0</v>
      </c>
      <c r="AW632">
        <v>0</v>
      </c>
      <c r="AX632">
        <v>0</v>
      </c>
      <c r="AY632">
        <v>0</v>
      </c>
      <c r="AZ632">
        <v>0</v>
      </c>
      <c r="BA632">
        <v>0</v>
      </c>
      <c r="BB632">
        <v>0</v>
      </c>
      <c r="BC632">
        <v>0</v>
      </c>
      <c r="BD632">
        <v>0</v>
      </c>
      <c r="BE632">
        <v>0</v>
      </c>
      <c r="BF632">
        <v>0</v>
      </c>
      <c r="BG632">
        <v>0</v>
      </c>
      <c r="BH632">
        <v>0</v>
      </c>
      <c r="BI632">
        <v>0</v>
      </c>
      <c r="BK632" s="151"/>
    </row>
    <row r="633" spans="1:63" x14ac:dyDescent="0.35">
      <c r="A633">
        <v>0</v>
      </c>
      <c r="B633">
        <v>0</v>
      </c>
      <c r="C633">
        <v>0</v>
      </c>
      <c r="D633">
        <v>0</v>
      </c>
      <c r="E633">
        <v>0</v>
      </c>
      <c r="F633">
        <v>0</v>
      </c>
      <c r="G633">
        <v>0</v>
      </c>
      <c r="H633">
        <v>0</v>
      </c>
      <c r="I633">
        <v>0</v>
      </c>
      <c r="J633">
        <v>0</v>
      </c>
      <c r="K633">
        <v>0</v>
      </c>
      <c r="L633">
        <v>0</v>
      </c>
      <c r="M633">
        <v>0</v>
      </c>
      <c r="N633">
        <v>0</v>
      </c>
      <c r="O633">
        <v>0</v>
      </c>
      <c r="P633">
        <v>0</v>
      </c>
      <c r="Q633">
        <v>0</v>
      </c>
      <c r="R633">
        <v>0</v>
      </c>
      <c r="S633">
        <v>0</v>
      </c>
      <c r="T633">
        <v>0</v>
      </c>
      <c r="U633">
        <v>0</v>
      </c>
      <c r="V633">
        <v>0</v>
      </c>
      <c r="W633">
        <v>0</v>
      </c>
      <c r="X633">
        <v>0</v>
      </c>
      <c r="Y633">
        <v>0</v>
      </c>
      <c r="Z633">
        <v>0</v>
      </c>
      <c r="AA633">
        <v>0</v>
      </c>
      <c r="AB633">
        <v>0</v>
      </c>
      <c r="AC633">
        <v>0</v>
      </c>
      <c r="AD633">
        <v>0</v>
      </c>
      <c r="AF633">
        <v>0</v>
      </c>
      <c r="AG633">
        <v>0</v>
      </c>
      <c r="AH633">
        <v>0</v>
      </c>
      <c r="AI633">
        <v>0</v>
      </c>
      <c r="AJ633">
        <v>0</v>
      </c>
      <c r="AK633">
        <v>0</v>
      </c>
      <c r="AL633">
        <v>0</v>
      </c>
      <c r="AM633">
        <v>0</v>
      </c>
      <c r="AN633">
        <v>0</v>
      </c>
      <c r="AO633">
        <v>0</v>
      </c>
      <c r="AP633">
        <v>0</v>
      </c>
      <c r="AQ633">
        <v>0</v>
      </c>
      <c r="AR633">
        <v>0</v>
      </c>
      <c r="AS633">
        <v>0</v>
      </c>
      <c r="AT633">
        <v>0</v>
      </c>
      <c r="AU633">
        <v>0</v>
      </c>
      <c r="AV633">
        <v>0</v>
      </c>
      <c r="AW633">
        <v>0</v>
      </c>
      <c r="AX633">
        <v>0</v>
      </c>
      <c r="AY633">
        <v>0</v>
      </c>
      <c r="AZ633">
        <v>0</v>
      </c>
      <c r="BA633">
        <v>0</v>
      </c>
      <c r="BB633">
        <v>0</v>
      </c>
      <c r="BC633">
        <v>0</v>
      </c>
      <c r="BD633">
        <v>0</v>
      </c>
      <c r="BE633">
        <v>0</v>
      </c>
      <c r="BF633">
        <v>0</v>
      </c>
      <c r="BG633">
        <v>0</v>
      </c>
      <c r="BH633">
        <v>0</v>
      </c>
      <c r="BI633">
        <v>0</v>
      </c>
      <c r="BK633" s="151"/>
    </row>
    <row r="634" spans="1:63" x14ac:dyDescent="0.35">
      <c r="A634">
        <v>0</v>
      </c>
      <c r="B634">
        <v>0</v>
      </c>
      <c r="C634">
        <v>0</v>
      </c>
      <c r="D634">
        <v>0</v>
      </c>
      <c r="E634">
        <v>0</v>
      </c>
      <c r="F634">
        <v>0</v>
      </c>
      <c r="G634">
        <v>0</v>
      </c>
      <c r="H634">
        <v>0</v>
      </c>
      <c r="I634">
        <v>0</v>
      </c>
      <c r="J634">
        <v>0</v>
      </c>
      <c r="K634">
        <v>0</v>
      </c>
      <c r="L634">
        <v>0</v>
      </c>
      <c r="M634">
        <v>0</v>
      </c>
      <c r="N634">
        <v>0</v>
      </c>
      <c r="O634">
        <v>0</v>
      </c>
      <c r="P634">
        <v>0</v>
      </c>
      <c r="Q634">
        <v>0</v>
      </c>
      <c r="R634">
        <v>0</v>
      </c>
      <c r="S634">
        <v>0</v>
      </c>
      <c r="T634">
        <v>0</v>
      </c>
      <c r="U634">
        <v>0</v>
      </c>
      <c r="V634">
        <v>0</v>
      </c>
      <c r="W634">
        <v>0</v>
      </c>
      <c r="X634">
        <v>0</v>
      </c>
      <c r="Y634">
        <v>0</v>
      </c>
      <c r="Z634">
        <v>0</v>
      </c>
      <c r="AA634">
        <v>0</v>
      </c>
      <c r="AB634">
        <v>0</v>
      </c>
      <c r="AC634">
        <v>0</v>
      </c>
      <c r="AD634">
        <v>0</v>
      </c>
      <c r="AF634">
        <v>0</v>
      </c>
      <c r="AG634">
        <v>0</v>
      </c>
      <c r="AH634">
        <v>0</v>
      </c>
      <c r="AI634">
        <v>0</v>
      </c>
      <c r="AJ634">
        <v>0</v>
      </c>
      <c r="AK634">
        <v>0</v>
      </c>
      <c r="AL634">
        <v>0</v>
      </c>
      <c r="AM634">
        <v>0</v>
      </c>
      <c r="AN634">
        <v>0</v>
      </c>
      <c r="AO634">
        <v>0</v>
      </c>
      <c r="AP634">
        <v>0</v>
      </c>
      <c r="AQ634">
        <v>0</v>
      </c>
      <c r="AR634">
        <v>0</v>
      </c>
      <c r="AS634">
        <v>0</v>
      </c>
      <c r="AT634">
        <v>0</v>
      </c>
      <c r="AU634">
        <v>0</v>
      </c>
      <c r="AV634">
        <v>0</v>
      </c>
      <c r="AW634">
        <v>0</v>
      </c>
      <c r="AX634">
        <v>0</v>
      </c>
      <c r="AY634">
        <v>0</v>
      </c>
      <c r="AZ634">
        <v>0</v>
      </c>
      <c r="BA634">
        <v>0</v>
      </c>
      <c r="BB634">
        <v>0</v>
      </c>
      <c r="BC634">
        <v>0</v>
      </c>
      <c r="BD634">
        <v>0</v>
      </c>
      <c r="BE634">
        <v>0</v>
      </c>
      <c r="BF634">
        <v>0</v>
      </c>
      <c r="BG634">
        <v>0</v>
      </c>
      <c r="BH634">
        <v>0</v>
      </c>
      <c r="BI634">
        <v>0</v>
      </c>
      <c r="BK634" s="151"/>
    </row>
    <row r="635" spans="1:63" x14ac:dyDescent="0.35">
      <c r="A635">
        <v>0</v>
      </c>
      <c r="B635">
        <v>0</v>
      </c>
      <c r="C635">
        <v>0</v>
      </c>
      <c r="D635">
        <v>0</v>
      </c>
      <c r="E635">
        <v>0</v>
      </c>
      <c r="F635">
        <v>0</v>
      </c>
      <c r="G635">
        <v>0</v>
      </c>
      <c r="H635">
        <v>0</v>
      </c>
      <c r="I635">
        <v>0</v>
      </c>
      <c r="J635">
        <v>0</v>
      </c>
      <c r="K635">
        <v>0</v>
      </c>
      <c r="L635">
        <v>0</v>
      </c>
      <c r="M635">
        <v>0</v>
      </c>
      <c r="N635">
        <v>0</v>
      </c>
      <c r="O635">
        <v>0</v>
      </c>
      <c r="P635">
        <v>0</v>
      </c>
      <c r="Q635">
        <v>0</v>
      </c>
      <c r="R635">
        <v>0</v>
      </c>
      <c r="S635">
        <v>0</v>
      </c>
      <c r="T635">
        <v>0</v>
      </c>
      <c r="U635">
        <v>0</v>
      </c>
      <c r="V635">
        <v>0</v>
      </c>
      <c r="W635">
        <v>0</v>
      </c>
      <c r="X635">
        <v>0</v>
      </c>
      <c r="Y635">
        <v>0</v>
      </c>
      <c r="Z635">
        <v>0</v>
      </c>
      <c r="AA635">
        <v>0</v>
      </c>
      <c r="AB635">
        <v>0</v>
      </c>
      <c r="AC635">
        <v>0</v>
      </c>
      <c r="AD635">
        <v>0</v>
      </c>
      <c r="AF635">
        <v>0</v>
      </c>
      <c r="AG635">
        <v>0</v>
      </c>
      <c r="AH635">
        <v>0</v>
      </c>
      <c r="AI635">
        <v>0</v>
      </c>
      <c r="AJ635">
        <v>0</v>
      </c>
      <c r="AK635">
        <v>0</v>
      </c>
      <c r="AL635">
        <v>0</v>
      </c>
      <c r="AM635">
        <v>0</v>
      </c>
      <c r="AN635">
        <v>0</v>
      </c>
      <c r="AO635">
        <v>0</v>
      </c>
      <c r="AP635">
        <v>0</v>
      </c>
      <c r="AQ635">
        <v>0</v>
      </c>
      <c r="AR635">
        <v>0</v>
      </c>
      <c r="AS635">
        <v>0</v>
      </c>
      <c r="AT635">
        <v>0</v>
      </c>
      <c r="AU635">
        <v>0</v>
      </c>
      <c r="AV635">
        <v>0</v>
      </c>
      <c r="AW635">
        <v>0</v>
      </c>
      <c r="AX635">
        <v>0</v>
      </c>
      <c r="AY635">
        <v>0</v>
      </c>
      <c r="AZ635">
        <v>0</v>
      </c>
      <c r="BA635">
        <v>0</v>
      </c>
      <c r="BB635">
        <v>0</v>
      </c>
      <c r="BC635">
        <v>0</v>
      </c>
      <c r="BD635">
        <v>0</v>
      </c>
      <c r="BE635">
        <v>0</v>
      </c>
      <c r="BF635">
        <v>0</v>
      </c>
      <c r="BG635">
        <v>0</v>
      </c>
      <c r="BH635">
        <v>0</v>
      </c>
      <c r="BI635">
        <v>0</v>
      </c>
      <c r="BK635" s="151"/>
    </row>
    <row r="636" spans="1:63" x14ac:dyDescent="0.35">
      <c r="A636">
        <v>0</v>
      </c>
      <c r="B636">
        <v>0</v>
      </c>
      <c r="C636">
        <v>0</v>
      </c>
      <c r="D636">
        <v>0</v>
      </c>
      <c r="E636">
        <v>0</v>
      </c>
      <c r="F636">
        <v>0</v>
      </c>
      <c r="G636">
        <v>0</v>
      </c>
      <c r="H636">
        <v>0</v>
      </c>
      <c r="I636">
        <v>0</v>
      </c>
      <c r="J636">
        <v>0</v>
      </c>
      <c r="K636">
        <v>0</v>
      </c>
      <c r="L636">
        <v>0</v>
      </c>
      <c r="M636">
        <v>0</v>
      </c>
      <c r="N636">
        <v>0</v>
      </c>
      <c r="O636">
        <v>0</v>
      </c>
      <c r="P636">
        <v>0</v>
      </c>
      <c r="Q636">
        <v>0</v>
      </c>
      <c r="R636">
        <v>0</v>
      </c>
      <c r="S636">
        <v>0</v>
      </c>
      <c r="T636">
        <v>0</v>
      </c>
      <c r="U636">
        <v>0</v>
      </c>
      <c r="V636">
        <v>0</v>
      </c>
      <c r="W636">
        <v>0</v>
      </c>
      <c r="X636">
        <v>0</v>
      </c>
      <c r="Y636">
        <v>0</v>
      </c>
      <c r="Z636">
        <v>0</v>
      </c>
      <c r="AA636">
        <v>0</v>
      </c>
      <c r="AB636">
        <v>0</v>
      </c>
      <c r="AC636">
        <v>0</v>
      </c>
      <c r="AD636">
        <v>0</v>
      </c>
      <c r="AF636">
        <v>0</v>
      </c>
      <c r="AG636">
        <v>0</v>
      </c>
      <c r="AH636">
        <v>0</v>
      </c>
      <c r="AI636">
        <v>0</v>
      </c>
      <c r="AJ636">
        <v>0</v>
      </c>
      <c r="AK636">
        <v>0</v>
      </c>
      <c r="AL636">
        <v>0</v>
      </c>
      <c r="AM636">
        <v>0</v>
      </c>
      <c r="AN636">
        <v>0</v>
      </c>
      <c r="AO636">
        <v>0</v>
      </c>
      <c r="AP636">
        <v>0</v>
      </c>
      <c r="AQ636">
        <v>0</v>
      </c>
      <c r="AR636">
        <v>0</v>
      </c>
      <c r="AS636">
        <v>0</v>
      </c>
      <c r="AT636">
        <v>0</v>
      </c>
      <c r="AU636">
        <v>0</v>
      </c>
      <c r="AV636">
        <v>0</v>
      </c>
      <c r="AW636">
        <v>0</v>
      </c>
      <c r="AX636">
        <v>0</v>
      </c>
      <c r="AY636">
        <v>0</v>
      </c>
      <c r="AZ636">
        <v>0</v>
      </c>
      <c r="BA636">
        <v>0</v>
      </c>
      <c r="BB636">
        <v>0</v>
      </c>
      <c r="BC636">
        <v>0</v>
      </c>
      <c r="BD636">
        <v>0</v>
      </c>
      <c r="BE636">
        <v>0</v>
      </c>
      <c r="BF636">
        <v>0</v>
      </c>
      <c r="BG636">
        <v>0</v>
      </c>
      <c r="BH636">
        <v>0</v>
      </c>
      <c r="BI636">
        <v>0</v>
      </c>
      <c r="BK636" s="151"/>
    </row>
    <row r="637" spans="1:63" x14ac:dyDescent="0.35">
      <c r="A637">
        <v>0</v>
      </c>
      <c r="B637">
        <v>0</v>
      </c>
      <c r="C637">
        <v>0</v>
      </c>
      <c r="D637">
        <v>0</v>
      </c>
      <c r="E637">
        <v>0</v>
      </c>
      <c r="F637">
        <v>0</v>
      </c>
      <c r="G637">
        <v>0</v>
      </c>
      <c r="H637">
        <v>0</v>
      </c>
      <c r="I637">
        <v>0</v>
      </c>
      <c r="J637">
        <v>0</v>
      </c>
      <c r="K637">
        <v>0</v>
      </c>
      <c r="L637">
        <v>0</v>
      </c>
      <c r="M637">
        <v>0</v>
      </c>
      <c r="N637">
        <v>0</v>
      </c>
      <c r="O637">
        <v>0</v>
      </c>
      <c r="P637">
        <v>0</v>
      </c>
      <c r="Q637">
        <v>0</v>
      </c>
      <c r="R637">
        <v>0</v>
      </c>
      <c r="S637">
        <v>0</v>
      </c>
      <c r="T637">
        <v>0</v>
      </c>
      <c r="U637">
        <v>0</v>
      </c>
      <c r="V637">
        <v>0</v>
      </c>
      <c r="W637">
        <v>0</v>
      </c>
      <c r="X637">
        <v>0</v>
      </c>
      <c r="Y637">
        <v>0</v>
      </c>
      <c r="Z637">
        <v>0</v>
      </c>
      <c r="AA637">
        <v>0</v>
      </c>
      <c r="AB637">
        <v>0</v>
      </c>
      <c r="AC637">
        <v>0</v>
      </c>
      <c r="AD637">
        <v>0</v>
      </c>
      <c r="AF637">
        <v>0</v>
      </c>
      <c r="AG637">
        <v>0</v>
      </c>
      <c r="AH637">
        <v>0</v>
      </c>
      <c r="AI637">
        <v>0</v>
      </c>
      <c r="AJ637">
        <v>0</v>
      </c>
      <c r="AK637">
        <v>0</v>
      </c>
      <c r="AL637">
        <v>0</v>
      </c>
      <c r="AM637">
        <v>0</v>
      </c>
      <c r="AN637">
        <v>0</v>
      </c>
      <c r="AO637">
        <v>0</v>
      </c>
      <c r="AP637">
        <v>0</v>
      </c>
      <c r="AQ637">
        <v>0</v>
      </c>
      <c r="AR637">
        <v>0</v>
      </c>
      <c r="AS637">
        <v>0</v>
      </c>
      <c r="AT637">
        <v>0</v>
      </c>
      <c r="AU637">
        <v>0</v>
      </c>
      <c r="AV637">
        <v>0</v>
      </c>
      <c r="AW637">
        <v>0</v>
      </c>
      <c r="AX637">
        <v>0</v>
      </c>
      <c r="AY637">
        <v>0</v>
      </c>
      <c r="AZ637">
        <v>0</v>
      </c>
      <c r="BA637">
        <v>0</v>
      </c>
      <c r="BB637">
        <v>0</v>
      </c>
      <c r="BC637">
        <v>0</v>
      </c>
      <c r="BD637">
        <v>0</v>
      </c>
      <c r="BE637">
        <v>0</v>
      </c>
      <c r="BF637">
        <v>0</v>
      </c>
      <c r="BG637">
        <v>0</v>
      </c>
      <c r="BH637">
        <v>0</v>
      </c>
      <c r="BI637">
        <v>0</v>
      </c>
      <c r="BK637" s="151"/>
    </row>
    <row r="638" spans="1:63" x14ac:dyDescent="0.35">
      <c r="A638">
        <v>0</v>
      </c>
      <c r="B638">
        <v>0</v>
      </c>
      <c r="C638">
        <v>0</v>
      </c>
      <c r="D638">
        <v>0</v>
      </c>
      <c r="E638">
        <v>0</v>
      </c>
      <c r="F638">
        <v>0</v>
      </c>
      <c r="G638">
        <v>0</v>
      </c>
      <c r="H638">
        <v>0</v>
      </c>
      <c r="I638">
        <v>0</v>
      </c>
      <c r="J638">
        <v>0</v>
      </c>
      <c r="K638">
        <v>0</v>
      </c>
      <c r="L638">
        <v>0</v>
      </c>
      <c r="M638">
        <v>0</v>
      </c>
      <c r="N638">
        <v>0</v>
      </c>
      <c r="O638">
        <v>0</v>
      </c>
      <c r="P638">
        <v>0</v>
      </c>
      <c r="Q638">
        <v>0</v>
      </c>
      <c r="R638">
        <v>0</v>
      </c>
      <c r="S638">
        <v>0</v>
      </c>
      <c r="T638">
        <v>0</v>
      </c>
      <c r="U638">
        <v>0</v>
      </c>
      <c r="V638">
        <v>0</v>
      </c>
      <c r="W638">
        <v>0</v>
      </c>
      <c r="X638">
        <v>0</v>
      </c>
      <c r="Y638">
        <v>0</v>
      </c>
      <c r="Z638">
        <v>0</v>
      </c>
      <c r="AA638">
        <v>0</v>
      </c>
      <c r="AB638">
        <v>0</v>
      </c>
      <c r="AC638">
        <v>0</v>
      </c>
      <c r="AD638">
        <v>0</v>
      </c>
      <c r="AF638">
        <v>0</v>
      </c>
      <c r="AG638">
        <v>0</v>
      </c>
      <c r="AH638">
        <v>0</v>
      </c>
      <c r="AI638">
        <v>0</v>
      </c>
      <c r="AJ638">
        <v>0</v>
      </c>
      <c r="AK638">
        <v>0</v>
      </c>
      <c r="AL638">
        <v>0</v>
      </c>
      <c r="AM638">
        <v>0</v>
      </c>
      <c r="AN638">
        <v>0</v>
      </c>
      <c r="AO638">
        <v>0</v>
      </c>
      <c r="AP638">
        <v>0</v>
      </c>
      <c r="AQ638">
        <v>0</v>
      </c>
      <c r="AR638">
        <v>0</v>
      </c>
      <c r="AS638">
        <v>0</v>
      </c>
      <c r="AT638">
        <v>0</v>
      </c>
      <c r="AU638">
        <v>0</v>
      </c>
      <c r="AV638">
        <v>0</v>
      </c>
      <c r="AW638">
        <v>0</v>
      </c>
      <c r="AX638">
        <v>0</v>
      </c>
      <c r="AY638">
        <v>0</v>
      </c>
      <c r="AZ638">
        <v>0</v>
      </c>
      <c r="BA638">
        <v>0</v>
      </c>
      <c r="BB638">
        <v>0</v>
      </c>
      <c r="BC638">
        <v>0</v>
      </c>
      <c r="BD638">
        <v>0</v>
      </c>
      <c r="BE638">
        <v>0</v>
      </c>
      <c r="BF638">
        <v>0</v>
      </c>
      <c r="BG638">
        <v>0</v>
      </c>
      <c r="BH638">
        <v>0</v>
      </c>
      <c r="BI638">
        <v>0</v>
      </c>
      <c r="BK638" s="151"/>
    </row>
    <row r="639" spans="1:63" x14ac:dyDescent="0.35">
      <c r="A639">
        <v>0</v>
      </c>
      <c r="B639">
        <v>0</v>
      </c>
      <c r="C639">
        <v>0</v>
      </c>
      <c r="D639">
        <v>0</v>
      </c>
      <c r="E639">
        <v>0</v>
      </c>
      <c r="F639">
        <v>0</v>
      </c>
      <c r="G639">
        <v>0</v>
      </c>
      <c r="H639">
        <v>0</v>
      </c>
      <c r="I639">
        <v>0</v>
      </c>
      <c r="J639">
        <v>0</v>
      </c>
      <c r="K639">
        <v>0</v>
      </c>
      <c r="L639">
        <v>0</v>
      </c>
      <c r="M639">
        <v>0</v>
      </c>
      <c r="N639">
        <v>0</v>
      </c>
      <c r="O639">
        <v>0</v>
      </c>
      <c r="P639">
        <v>0</v>
      </c>
      <c r="Q639">
        <v>0</v>
      </c>
      <c r="R639">
        <v>0</v>
      </c>
      <c r="S639">
        <v>0</v>
      </c>
      <c r="T639">
        <v>0</v>
      </c>
      <c r="U639">
        <v>0</v>
      </c>
      <c r="V639">
        <v>0</v>
      </c>
      <c r="W639">
        <v>0</v>
      </c>
      <c r="X639">
        <v>0</v>
      </c>
      <c r="Y639">
        <v>0</v>
      </c>
      <c r="Z639">
        <v>0</v>
      </c>
      <c r="AA639">
        <v>0</v>
      </c>
      <c r="AB639">
        <v>0</v>
      </c>
      <c r="AC639">
        <v>0</v>
      </c>
      <c r="AD639">
        <v>0</v>
      </c>
      <c r="AF639">
        <v>0</v>
      </c>
      <c r="AG639">
        <v>0</v>
      </c>
      <c r="AH639">
        <v>0</v>
      </c>
      <c r="AI639">
        <v>0</v>
      </c>
      <c r="AJ639">
        <v>0</v>
      </c>
      <c r="AK639">
        <v>0</v>
      </c>
      <c r="AL639">
        <v>0</v>
      </c>
      <c r="AM639">
        <v>0</v>
      </c>
      <c r="AN639">
        <v>0</v>
      </c>
      <c r="AO639">
        <v>0</v>
      </c>
      <c r="AP639">
        <v>0</v>
      </c>
      <c r="AQ639">
        <v>0</v>
      </c>
      <c r="AR639">
        <v>0</v>
      </c>
      <c r="AS639">
        <v>0</v>
      </c>
      <c r="AT639">
        <v>0</v>
      </c>
      <c r="AU639">
        <v>0</v>
      </c>
      <c r="AV639">
        <v>0</v>
      </c>
      <c r="AW639">
        <v>0</v>
      </c>
      <c r="AX639">
        <v>0</v>
      </c>
      <c r="AY639">
        <v>0</v>
      </c>
      <c r="AZ639">
        <v>0</v>
      </c>
      <c r="BA639">
        <v>0</v>
      </c>
      <c r="BB639">
        <v>0</v>
      </c>
      <c r="BC639">
        <v>0</v>
      </c>
      <c r="BD639">
        <v>0</v>
      </c>
      <c r="BE639">
        <v>0</v>
      </c>
      <c r="BF639">
        <v>0</v>
      </c>
      <c r="BG639">
        <v>0</v>
      </c>
      <c r="BH639">
        <v>0</v>
      </c>
      <c r="BI639">
        <v>0</v>
      </c>
      <c r="BK639" s="151"/>
    </row>
    <row r="640" spans="1:63" x14ac:dyDescent="0.35">
      <c r="A640">
        <v>0</v>
      </c>
      <c r="B640">
        <v>0</v>
      </c>
      <c r="C640">
        <v>0</v>
      </c>
      <c r="D640">
        <v>0</v>
      </c>
      <c r="E640">
        <v>0</v>
      </c>
      <c r="F640">
        <v>0</v>
      </c>
      <c r="G640">
        <v>0</v>
      </c>
      <c r="H640">
        <v>0</v>
      </c>
      <c r="I640">
        <v>0</v>
      </c>
      <c r="J640">
        <v>0</v>
      </c>
      <c r="K640">
        <v>0</v>
      </c>
      <c r="L640">
        <v>0</v>
      </c>
      <c r="M640">
        <v>0</v>
      </c>
      <c r="N640">
        <v>0</v>
      </c>
      <c r="O640">
        <v>0</v>
      </c>
      <c r="P640">
        <v>0</v>
      </c>
      <c r="Q640">
        <v>0</v>
      </c>
      <c r="R640">
        <v>0</v>
      </c>
      <c r="S640">
        <v>0</v>
      </c>
      <c r="T640">
        <v>0</v>
      </c>
      <c r="U640">
        <v>0</v>
      </c>
      <c r="V640">
        <v>0</v>
      </c>
      <c r="W640">
        <v>0</v>
      </c>
      <c r="X640">
        <v>0</v>
      </c>
      <c r="Y640">
        <v>0</v>
      </c>
      <c r="Z640">
        <v>0</v>
      </c>
      <c r="AA640">
        <v>0</v>
      </c>
      <c r="AB640">
        <v>0</v>
      </c>
      <c r="AC640">
        <v>0</v>
      </c>
      <c r="AD640">
        <v>0</v>
      </c>
      <c r="AF640">
        <v>0</v>
      </c>
      <c r="AG640">
        <v>0</v>
      </c>
      <c r="AH640">
        <v>0</v>
      </c>
      <c r="AI640">
        <v>0</v>
      </c>
      <c r="AJ640">
        <v>0</v>
      </c>
      <c r="AK640">
        <v>0</v>
      </c>
      <c r="AL640">
        <v>0</v>
      </c>
      <c r="AM640">
        <v>0</v>
      </c>
      <c r="AN640">
        <v>0</v>
      </c>
      <c r="AO640">
        <v>0</v>
      </c>
      <c r="AP640">
        <v>0</v>
      </c>
      <c r="AQ640">
        <v>0</v>
      </c>
      <c r="AR640">
        <v>0</v>
      </c>
      <c r="AS640">
        <v>0</v>
      </c>
      <c r="AT640">
        <v>0</v>
      </c>
      <c r="AU640">
        <v>0</v>
      </c>
      <c r="AV640">
        <v>0</v>
      </c>
      <c r="AW640">
        <v>0</v>
      </c>
      <c r="AX640">
        <v>0</v>
      </c>
      <c r="AY640">
        <v>0</v>
      </c>
      <c r="AZ640">
        <v>0</v>
      </c>
      <c r="BA640">
        <v>0</v>
      </c>
      <c r="BB640">
        <v>0</v>
      </c>
      <c r="BC640">
        <v>0</v>
      </c>
      <c r="BD640">
        <v>0</v>
      </c>
      <c r="BE640">
        <v>0</v>
      </c>
      <c r="BF640">
        <v>0</v>
      </c>
      <c r="BG640">
        <v>0</v>
      </c>
      <c r="BH640">
        <v>0</v>
      </c>
      <c r="BI640">
        <v>0</v>
      </c>
      <c r="BK640" s="151"/>
    </row>
    <row r="641" spans="1:63" x14ac:dyDescent="0.35">
      <c r="A641">
        <v>0</v>
      </c>
      <c r="B641">
        <v>0</v>
      </c>
      <c r="C641">
        <v>0</v>
      </c>
      <c r="D641">
        <v>0</v>
      </c>
      <c r="E641">
        <v>0</v>
      </c>
      <c r="F641">
        <v>0</v>
      </c>
      <c r="G641">
        <v>0</v>
      </c>
      <c r="H641">
        <v>0</v>
      </c>
      <c r="I641">
        <v>0</v>
      </c>
      <c r="J641">
        <v>0</v>
      </c>
      <c r="K641">
        <v>0</v>
      </c>
      <c r="L641">
        <v>0</v>
      </c>
      <c r="M641">
        <v>0</v>
      </c>
      <c r="N641">
        <v>0</v>
      </c>
      <c r="O641">
        <v>0</v>
      </c>
      <c r="P641">
        <v>0</v>
      </c>
      <c r="Q641">
        <v>0</v>
      </c>
      <c r="R641">
        <v>0</v>
      </c>
      <c r="S641">
        <v>0</v>
      </c>
      <c r="T641">
        <v>0</v>
      </c>
      <c r="U641">
        <v>0</v>
      </c>
      <c r="V641">
        <v>0</v>
      </c>
      <c r="W641">
        <v>0</v>
      </c>
      <c r="X641">
        <v>0</v>
      </c>
      <c r="Y641">
        <v>0</v>
      </c>
      <c r="Z641">
        <v>0</v>
      </c>
      <c r="AA641">
        <v>0</v>
      </c>
      <c r="AB641">
        <v>0</v>
      </c>
      <c r="AC641">
        <v>0</v>
      </c>
      <c r="AD641">
        <v>0</v>
      </c>
      <c r="AF641">
        <v>0</v>
      </c>
      <c r="AG641">
        <v>0</v>
      </c>
      <c r="AH641">
        <v>0</v>
      </c>
      <c r="AI641">
        <v>0</v>
      </c>
      <c r="AJ641">
        <v>0</v>
      </c>
      <c r="AK641">
        <v>0</v>
      </c>
      <c r="AL641">
        <v>0</v>
      </c>
      <c r="AM641">
        <v>0</v>
      </c>
      <c r="AN641">
        <v>0</v>
      </c>
      <c r="AO641">
        <v>0</v>
      </c>
      <c r="AP641">
        <v>0</v>
      </c>
      <c r="AQ641">
        <v>0</v>
      </c>
      <c r="AR641">
        <v>0</v>
      </c>
      <c r="AS641">
        <v>0</v>
      </c>
      <c r="AT641">
        <v>0</v>
      </c>
      <c r="AU641">
        <v>0</v>
      </c>
      <c r="AV641">
        <v>0</v>
      </c>
      <c r="AW641">
        <v>0</v>
      </c>
      <c r="AX641">
        <v>0</v>
      </c>
      <c r="AY641">
        <v>0</v>
      </c>
      <c r="AZ641">
        <v>0</v>
      </c>
      <c r="BA641">
        <v>0</v>
      </c>
      <c r="BB641">
        <v>0</v>
      </c>
      <c r="BC641">
        <v>0</v>
      </c>
      <c r="BD641">
        <v>0</v>
      </c>
      <c r="BE641">
        <v>0</v>
      </c>
      <c r="BF641">
        <v>0</v>
      </c>
      <c r="BG641">
        <v>0</v>
      </c>
      <c r="BH641">
        <v>0</v>
      </c>
      <c r="BI641">
        <v>0</v>
      </c>
      <c r="BK641" s="151"/>
    </row>
    <row r="642" spans="1:63" x14ac:dyDescent="0.35">
      <c r="A642">
        <v>0</v>
      </c>
      <c r="B642">
        <v>0</v>
      </c>
      <c r="C642">
        <v>0</v>
      </c>
      <c r="D642">
        <v>0</v>
      </c>
      <c r="E642">
        <v>0</v>
      </c>
      <c r="F642">
        <v>0</v>
      </c>
      <c r="G642">
        <v>0</v>
      </c>
      <c r="H642">
        <v>0</v>
      </c>
      <c r="I642">
        <v>0</v>
      </c>
      <c r="J642">
        <v>0</v>
      </c>
      <c r="K642">
        <v>0</v>
      </c>
      <c r="L642">
        <v>0</v>
      </c>
      <c r="M642">
        <v>0</v>
      </c>
      <c r="N642">
        <v>0</v>
      </c>
      <c r="O642">
        <v>0</v>
      </c>
      <c r="P642">
        <v>0</v>
      </c>
      <c r="Q642">
        <v>0</v>
      </c>
      <c r="R642">
        <v>0</v>
      </c>
      <c r="S642">
        <v>0</v>
      </c>
      <c r="T642">
        <v>0</v>
      </c>
      <c r="U642">
        <v>0</v>
      </c>
      <c r="V642">
        <v>0</v>
      </c>
      <c r="W642">
        <v>0</v>
      </c>
      <c r="X642">
        <v>0</v>
      </c>
      <c r="Y642">
        <v>0</v>
      </c>
      <c r="Z642">
        <v>0</v>
      </c>
      <c r="AA642">
        <v>0</v>
      </c>
      <c r="AB642">
        <v>0</v>
      </c>
      <c r="AC642">
        <v>0</v>
      </c>
      <c r="AD642">
        <v>0</v>
      </c>
      <c r="AF642">
        <v>0</v>
      </c>
      <c r="AG642">
        <v>0</v>
      </c>
      <c r="AH642">
        <v>0</v>
      </c>
      <c r="AI642">
        <v>0</v>
      </c>
      <c r="AJ642">
        <v>0</v>
      </c>
      <c r="AK642">
        <v>0</v>
      </c>
      <c r="AL642">
        <v>0</v>
      </c>
      <c r="AM642">
        <v>0</v>
      </c>
      <c r="AN642">
        <v>0</v>
      </c>
      <c r="AO642">
        <v>0</v>
      </c>
      <c r="AP642">
        <v>0</v>
      </c>
      <c r="AQ642">
        <v>0</v>
      </c>
      <c r="AR642">
        <v>0</v>
      </c>
      <c r="AS642">
        <v>0</v>
      </c>
      <c r="AT642">
        <v>0</v>
      </c>
      <c r="AU642">
        <v>0</v>
      </c>
      <c r="AV642">
        <v>0</v>
      </c>
      <c r="AW642">
        <v>0</v>
      </c>
      <c r="AX642">
        <v>0</v>
      </c>
      <c r="AY642">
        <v>0</v>
      </c>
      <c r="AZ642">
        <v>0</v>
      </c>
      <c r="BA642">
        <v>0</v>
      </c>
      <c r="BB642">
        <v>0</v>
      </c>
      <c r="BC642">
        <v>0</v>
      </c>
      <c r="BD642">
        <v>0</v>
      </c>
      <c r="BE642">
        <v>0</v>
      </c>
      <c r="BF642">
        <v>0</v>
      </c>
      <c r="BG642">
        <v>0</v>
      </c>
      <c r="BH642">
        <v>0</v>
      </c>
      <c r="BI642">
        <v>0</v>
      </c>
      <c r="BK642" s="151"/>
    </row>
    <row r="643" spans="1:63" x14ac:dyDescent="0.35">
      <c r="A643">
        <v>0</v>
      </c>
      <c r="B643">
        <v>0</v>
      </c>
      <c r="C643">
        <v>0</v>
      </c>
      <c r="D643">
        <v>0</v>
      </c>
      <c r="E643">
        <v>0</v>
      </c>
      <c r="F643">
        <v>0</v>
      </c>
      <c r="G643">
        <v>0</v>
      </c>
      <c r="H643">
        <v>0</v>
      </c>
      <c r="I643">
        <v>0</v>
      </c>
      <c r="J643">
        <v>0</v>
      </c>
      <c r="K643">
        <v>0</v>
      </c>
      <c r="L643">
        <v>0</v>
      </c>
      <c r="M643">
        <v>0</v>
      </c>
      <c r="N643">
        <v>0</v>
      </c>
      <c r="O643">
        <v>0</v>
      </c>
      <c r="P643">
        <v>0</v>
      </c>
      <c r="Q643">
        <v>0</v>
      </c>
      <c r="R643">
        <v>0</v>
      </c>
      <c r="S643">
        <v>0</v>
      </c>
      <c r="T643">
        <v>0</v>
      </c>
      <c r="U643">
        <v>0</v>
      </c>
      <c r="V643">
        <v>0</v>
      </c>
      <c r="W643">
        <v>0</v>
      </c>
      <c r="X643">
        <v>0</v>
      </c>
      <c r="Y643">
        <v>0</v>
      </c>
      <c r="Z643">
        <v>0</v>
      </c>
      <c r="AA643">
        <v>0</v>
      </c>
      <c r="AB643">
        <v>0</v>
      </c>
      <c r="AC643">
        <v>0</v>
      </c>
      <c r="AD643">
        <v>0</v>
      </c>
      <c r="AF643">
        <v>0</v>
      </c>
      <c r="AG643">
        <v>0</v>
      </c>
      <c r="AH643">
        <v>0</v>
      </c>
      <c r="AI643">
        <v>0</v>
      </c>
      <c r="AJ643">
        <v>0</v>
      </c>
      <c r="AK643">
        <v>0</v>
      </c>
      <c r="AL643">
        <v>0</v>
      </c>
      <c r="AM643">
        <v>0</v>
      </c>
      <c r="AN643">
        <v>0</v>
      </c>
      <c r="AO643">
        <v>0</v>
      </c>
      <c r="AP643">
        <v>0</v>
      </c>
      <c r="AQ643">
        <v>0</v>
      </c>
      <c r="AR643">
        <v>0</v>
      </c>
      <c r="AS643">
        <v>0</v>
      </c>
      <c r="AT643">
        <v>0</v>
      </c>
      <c r="AU643">
        <v>0</v>
      </c>
      <c r="AV643">
        <v>0</v>
      </c>
      <c r="AW643">
        <v>0</v>
      </c>
      <c r="AX643">
        <v>0</v>
      </c>
      <c r="AY643">
        <v>0</v>
      </c>
      <c r="AZ643">
        <v>0</v>
      </c>
      <c r="BA643">
        <v>0</v>
      </c>
      <c r="BB643">
        <v>0</v>
      </c>
      <c r="BC643">
        <v>0</v>
      </c>
      <c r="BD643">
        <v>0</v>
      </c>
      <c r="BE643">
        <v>0</v>
      </c>
      <c r="BF643">
        <v>0</v>
      </c>
      <c r="BG643">
        <v>0</v>
      </c>
      <c r="BH643">
        <v>0</v>
      </c>
      <c r="BI643">
        <v>0</v>
      </c>
      <c r="BK643" s="151"/>
    </row>
    <row r="644" spans="1:63" x14ac:dyDescent="0.35">
      <c r="A644">
        <v>0</v>
      </c>
      <c r="B644">
        <v>0</v>
      </c>
      <c r="C644">
        <v>0</v>
      </c>
      <c r="D644">
        <v>0</v>
      </c>
      <c r="E644">
        <v>0</v>
      </c>
      <c r="F644">
        <v>0</v>
      </c>
      <c r="G644">
        <v>0</v>
      </c>
      <c r="H644">
        <v>0</v>
      </c>
      <c r="I644">
        <v>0</v>
      </c>
      <c r="J644">
        <v>0</v>
      </c>
      <c r="K644">
        <v>0</v>
      </c>
      <c r="L644">
        <v>0</v>
      </c>
      <c r="M644">
        <v>0</v>
      </c>
      <c r="N644">
        <v>0</v>
      </c>
      <c r="O644">
        <v>0</v>
      </c>
      <c r="P644">
        <v>0</v>
      </c>
      <c r="Q644">
        <v>0</v>
      </c>
      <c r="R644">
        <v>0</v>
      </c>
      <c r="S644">
        <v>0</v>
      </c>
      <c r="T644">
        <v>0</v>
      </c>
      <c r="U644">
        <v>0</v>
      </c>
      <c r="V644">
        <v>0</v>
      </c>
      <c r="W644">
        <v>0</v>
      </c>
      <c r="X644">
        <v>0</v>
      </c>
      <c r="Y644">
        <v>0</v>
      </c>
      <c r="Z644">
        <v>0</v>
      </c>
      <c r="AA644">
        <v>0</v>
      </c>
      <c r="AB644">
        <v>0</v>
      </c>
      <c r="AC644">
        <v>0</v>
      </c>
      <c r="AD644">
        <v>0</v>
      </c>
      <c r="AF644">
        <v>0</v>
      </c>
      <c r="AG644">
        <v>0</v>
      </c>
      <c r="AH644">
        <v>0</v>
      </c>
      <c r="AI644">
        <v>0</v>
      </c>
      <c r="AJ644">
        <v>0</v>
      </c>
      <c r="AK644">
        <v>0</v>
      </c>
      <c r="AL644">
        <v>0</v>
      </c>
      <c r="AM644">
        <v>0</v>
      </c>
      <c r="AN644">
        <v>0</v>
      </c>
      <c r="AO644">
        <v>0</v>
      </c>
      <c r="AP644">
        <v>0</v>
      </c>
      <c r="AQ644">
        <v>0</v>
      </c>
      <c r="AR644">
        <v>0</v>
      </c>
      <c r="AS644">
        <v>0</v>
      </c>
      <c r="AT644">
        <v>0</v>
      </c>
      <c r="AU644">
        <v>0</v>
      </c>
      <c r="AV644">
        <v>0</v>
      </c>
      <c r="AW644">
        <v>0</v>
      </c>
      <c r="AX644">
        <v>0</v>
      </c>
      <c r="AY644">
        <v>0</v>
      </c>
      <c r="AZ644">
        <v>0</v>
      </c>
      <c r="BA644">
        <v>0</v>
      </c>
      <c r="BB644">
        <v>0</v>
      </c>
      <c r="BC644">
        <v>0</v>
      </c>
      <c r="BD644">
        <v>0</v>
      </c>
      <c r="BE644">
        <v>0</v>
      </c>
      <c r="BF644">
        <v>0</v>
      </c>
      <c r="BG644">
        <v>0</v>
      </c>
      <c r="BH644">
        <v>0</v>
      </c>
      <c r="BI644">
        <v>0</v>
      </c>
      <c r="BK644" s="151"/>
    </row>
    <row r="645" spans="1:63" x14ac:dyDescent="0.35">
      <c r="A645">
        <v>0</v>
      </c>
      <c r="B645">
        <v>0</v>
      </c>
      <c r="C645">
        <v>0</v>
      </c>
      <c r="D645">
        <v>0</v>
      </c>
      <c r="E645">
        <v>0</v>
      </c>
      <c r="F645">
        <v>0</v>
      </c>
      <c r="G645">
        <v>0</v>
      </c>
      <c r="H645">
        <v>0</v>
      </c>
      <c r="I645">
        <v>0</v>
      </c>
      <c r="J645">
        <v>0</v>
      </c>
      <c r="K645">
        <v>0</v>
      </c>
      <c r="L645">
        <v>0</v>
      </c>
      <c r="M645">
        <v>0</v>
      </c>
      <c r="N645">
        <v>0</v>
      </c>
      <c r="O645">
        <v>0</v>
      </c>
      <c r="P645">
        <v>0</v>
      </c>
      <c r="Q645">
        <v>0</v>
      </c>
      <c r="R645">
        <v>0</v>
      </c>
      <c r="S645">
        <v>0</v>
      </c>
      <c r="T645">
        <v>0</v>
      </c>
      <c r="U645">
        <v>0</v>
      </c>
      <c r="V645">
        <v>0</v>
      </c>
      <c r="W645">
        <v>0</v>
      </c>
      <c r="X645">
        <v>0</v>
      </c>
      <c r="Y645">
        <v>0</v>
      </c>
      <c r="Z645">
        <v>0</v>
      </c>
      <c r="AA645">
        <v>0</v>
      </c>
      <c r="AB645">
        <v>0</v>
      </c>
      <c r="AC645">
        <v>0</v>
      </c>
      <c r="AD645">
        <v>0</v>
      </c>
      <c r="AF645">
        <v>0</v>
      </c>
      <c r="AG645">
        <v>0</v>
      </c>
      <c r="AH645">
        <v>0</v>
      </c>
      <c r="AI645">
        <v>0</v>
      </c>
      <c r="AJ645">
        <v>0</v>
      </c>
      <c r="AK645">
        <v>0</v>
      </c>
      <c r="AL645">
        <v>0</v>
      </c>
      <c r="AM645">
        <v>0</v>
      </c>
      <c r="AN645">
        <v>0</v>
      </c>
      <c r="AO645">
        <v>0</v>
      </c>
      <c r="AP645">
        <v>0</v>
      </c>
      <c r="AQ645">
        <v>0</v>
      </c>
      <c r="AR645">
        <v>0</v>
      </c>
      <c r="AS645">
        <v>0</v>
      </c>
      <c r="AT645">
        <v>0</v>
      </c>
      <c r="AU645">
        <v>0</v>
      </c>
      <c r="AV645">
        <v>0</v>
      </c>
      <c r="AW645">
        <v>0</v>
      </c>
      <c r="AX645">
        <v>0</v>
      </c>
      <c r="AY645">
        <v>0</v>
      </c>
      <c r="AZ645">
        <v>0</v>
      </c>
      <c r="BA645">
        <v>0</v>
      </c>
      <c r="BB645">
        <v>0</v>
      </c>
      <c r="BC645">
        <v>0</v>
      </c>
      <c r="BD645">
        <v>0</v>
      </c>
      <c r="BE645">
        <v>0</v>
      </c>
      <c r="BF645">
        <v>0</v>
      </c>
      <c r="BG645">
        <v>0</v>
      </c>
      <c r="BH645">
        <v>0</v>
      </c>
      <c r="BI645">
        <v>0</v>
      </c>
      <c r="BK645" s="151"/>
    </row>
    <row r="646" spans="1:63" x14ac:dyDescent="0.35">
      <c r="A646">
        <v>0</v>
      </c>
      <c r="B646">
        <v>0</v>
      </c>
      <c r="C646">
        <v>0</v>
      </c>
      <c r="D646">
        <v>0</v>
      </c>
      <c r="E646">
        <v>0</v>
      </c>
      <c r="F646">
        <v>0</v>
      </c>
      <c r="G646">
        <v>0</v>
      </c>
      <c r="H646">
        <v>0</v>
      </c>
      <c r="I646">
        <v>0</v>
      </c>
      <c r="J646">
        <v>0</v>
      </c>
      <c r="K646">
        <v>0</v>
      </c>
      <c r="L646">
        <v>0</v>
      </c>
      <c r="M646">
        <v>0</v>
      </c>
      <c r="N646">
        <v>0</v>
      </c>
      <c r="O646">
        <v>0</v>
      </c>
      <c r="P646">
        <v>0</v>
      </c>
      <c r="Q646">
        <v>0</v>
      </c>
      <c r="R646">
        <v>0</v>
      </c>
      <c r="S646">
        <v>0</v>
      </c>
      <c r="T646">
        <v>0</v>
      </c>
      <c r="U646">
        <v>0</v>
      </c>
      <c r="V646">
        <v>0</v>
      </c>
      <c r="W646">
        <v>0</v>
      </c>
      <c r="X646">
        <v>0</v>
      </c>
      <c r="Y646">
        <v>0</v>
      </c>
      <c r="Z646">
        <v>0</v>
      </c>
      <c r="AA646">
        <v>0</v>
      </c>
      <c r="AB646">
        <v>0</v>
      </c>
      <c r="AC646">
        <v>0</v>
      </c>
      <c r="AD646">
        <v>0</v>
      </c>
      <c r="AF646">
        <v>0</v>
      </c>
      <c r="AG646">
        <v>0</v>
      </c>
      <c r="AH646">
        <v>0</v>
      </c>
      <c r="AI646">
        <v>0</v>
      </c>
      <c r="AJ646">
        <v>0</v>
      </c>
      <c r="AK646">
        <v>0</v>
      </c>
      <c r="AL646">
        <v>0</v>
      </c>
      <c r="AM646">
        <v>0</v>
      </c>
      <c r="AN646">
        <v>0</v>
      </c>
      <c r="AO646">
        <v>0</v>
      </c>
      <c r="AP646">
        <v>0</v>
      </c>
      <c r="AQ646">
        <v>0</v>
      </c>
      <c r="AR646">
        <v>0</v>
      </c>
      <c r="AS646">
        <v>0</v>
      </c>
      <c r="AT646">
        <v>0</v>
      </c>
      <c r="AU646">
        <v>0</v>
      </c>
      <c r="AV646">
        <v>0</v>
      </c>
      <c r="AW646">
        <v>0</v>
      </c>
      <c r="AX646">
        <v>0</v>
      </c>
      <c r="AY646">
        <v>0</v>
      </c>
      <c r="AZ646">
        <v>0</v>
      </c>
      <c r="BA646">
        <v>0</v>
      </c>
      <c r="BB646">
        <v>0</v>
      </c>
      <c r="BC646">
        <v>0</v>
      </c>
      <c r="BD646">
        <v>0</v>
      </c>
      <c r="BE646">
        <v>0</v>
      </c>
      <c r="BF646">
        <v>0</v>
      </c>
      <c r="BG646">
        <v>0</v>
      </c>
      <c r="BH646">
        <v>0</v>
      </c>
      <c r="BI646">
        <v>0</v>
      </c>
      <c r="BK646" s="151"/>
    </row>
    <row r="647" spans="1:63" x14ac:dyDescent="0.35">
      <c r="A647">
        <v>0</v>
      </c>
      <c r="B647">
        <v>0</v>
      </c>
      <c r="C647">
        <v>0</v>
      </c>
      <c r="D647">
        <v>0</v>
      </c>
      <c r="E647">
        <v>0</v>
      </c>
      <c r="F647">
        <v>0</v>
      </c>
      <c r="G647">
        <v>0</v>
      </c>
      <c r="H647">
        <v>0</v>
      </c>
      <c r="I647">
        <v>0</v>
      </c>
      <c r="J647">
        <v>0</v>
      </c>
      <c r="K647">
        <v>0</v>
      </c>
      <c r="L647">
        <v>0</v>
      </c>
      <c r="M647">
        <v>0</v>
      </c>
      <c r="N647">
        <v>0</v>
      </c>
      <c r="O647">
        <v>0</v>
      </c>
      <c r="P647">
        <v>0</v>
      </c>
      <c r="Q647">
        <v>0</v>
      </c>
      <c r="R647">
        <v>0</v>
      </c>
      <c r="S647">
        <v>0</v>
      </c>
      <c r="T647">
        <v>0</v>
      </c>
      <c r="U647">
        <v>0</v>
      </c>
      <c r="V647">
        <v>0</v>
      </c>
      <c r="W647">
        <v>0</v>
      </c>
      <c r="X647">
        <v>0</v>
      </c>
      <c r="Y647">
        <v>0</v>
      </c>
      <c r="Z647">
        <v>0</v>
      </c>
      <c r="AA647">
        <v>0</v>
      </c>
      <c r="AB647">
        <v>0</v>
      </c>
      <c r="AC647">
        <v>0</v>
      </c>
      <c r="AD647">
        <v>0</v>
      </c>
      <c r="AF647">
        <v>0</v>
      </c>
      <c r="AG647">
        <v>0</v>
      </c>
      <c r="AH647">
        <v>0</v>
      </c>
      <c r="AI647">
        <v>0</v>
      </c>
      <c r="AJ647">
        <v>0</v>
      </c>
      <c r="AK647">
        <v>0</v>
      </c>
      <c r="AL647">
        <v>0</v>
      </c>
      <c r="AM647">
        <v>0</v>
      </c>
      <c r="AN647">
        <v>0</v>
      </c>
      <c r="AO647">
        <v>0</v>
      </c>
      <c r="AP647">
        <v>0</v>
      </c>
      <c r="AQ647">
        <v>0</v>
      </c>
      <c r="AR647">
        <v>0</v>
      </c>
      <c r="AS647">
        <v>0</v>
      </c>
      <c r="AT647">
        <v>0</v>
      </c>
      <c r="AU647">
        <v>0</v>
      </c>
      <c r="AV647">
        <v>0</v>
      </c>
      <c r="AW647">
        <v>0</v>
      </c>
      <c r="AX647">
        <v>0</v>
      </c>
      <c r="AY647">
        <v>0</v>
      </c>
      <c r="AZ647">
        <v>0</v>
      </c>
      <c r="BA647">
        <v>0</v>
      </c>
      <c r="BB647">
        <v>0</v>
      </c>
      <c r="BC647">
        <v>0</v>
      </c>
      <c r="BD647">
        <v>0</v>
      </c>
      <c r="BE647">
        <v>0</v>
      </c>
      <c r="BF647">
        <v>0</v>
      </c>
      <c r="BG647">
        <v>0</v>
      </c>
      <c r="BH647">
        <v>0</v>
      </c>
      <c r="BI647">
        <v>0</v>
      </c>
      <c r="BK647" s="151"/>
    </row>
    <row r="648" spans="1:63" x14ac:dyDescent="0.35">
      <c r="A648">
        <v>0</v>
      </c>
      <c r="B648">
        <v>0</v>
      </c>
      <c r="C648">
        <v>0</v>
      </c>
      <c r="D648">
        <v>0</v>
      </c>
      <c r="E648">
        <v>0</v>
      </c>
      <c r="F648">
        <v>0</v>
      </c>
      <c r="G648">
        <v>0</v>
      </c>
      <c r="H648">
        <v>0</v>
      </c>
      <c r="I648">
        <v>0</v>
      </c>
      <c r="J648">
        <v>0</v>
      </c>
      <c r="K648">
        <v>0</v>
      </c>
      <c r="L648">
        <v>0</v>
      </c>
      <c r="M648">
        <v>0</v>
      </c>
      <c r="N648">
        <v>0</v>
      </c>
      <c r="O648">
        <v>0</v>
      </c>
      <c r="P648">
        <v>0</v>
      </c>
      <c r="Q648">
        <v>0</v>
      </c>
      <c r="R648">
        <v>0</v>
      </c>
      <c r="S648">
        <v>0</v>
      </c>
      <c r="T648">
        <v>0</v>
      </c>
      <c r="U648">
        <v>0</v>
      </c>
      <c r="V648">
        <v>0</v>
      </c>
      <c r="W648">
        <v>0</v>
      </c>
      <c r="X648">
        <v>0</v>
      </c>
      <c r="Y648">
        <v>0</v>
      </c>
      <c r="Z648">
        <v>0</v>
      </c>
      <c r="AA648">
        <v>0</v>
      </c>
      <c r="AB648">
        <v>0</v>
      </c>
      <c r="AC648">
        <v>0</v>
      </c>
      <c r="AD648">
        <v>0</v>
      </c>
      <c r="AF648">
        <v>0</v>
      </c>
      <c r="AG648">
        <v>0</v>
      </c>
      <c r="AH648">
        <v>0</v>
      </c>
      <c r="AI648">
        <v>0</v>
      </c>
      <c r="AJ648">
        <v>0</v>
      </c>
      <c r="AK648">
        <v>0</v>
      </c>
      <c r="AL648">
        <v>0</v>
      </c>
      <c r="AM648">
        <v>0</v>
      </c>
      <c r="AN648">
        <v>0</v>
      </c>
      <c r="AO648">
        <v>0</v>
      </c>
      <c r="AP648">
        <v>0</v>
      </c>
      <c r="AQ648">
        <v>0</v>
      </c>
      <c r="AR648">
        <v>0</v>
      </c>
      <c r="AS648">
        <v>0</v>
      </c>
      <c r="AT648">
        <v>0</v>
      </c>
      <c r="AU648">
        <v>0</v>
      </c>
      <c r="AV648">
        <v>0</v>
      </c>
      <c r="AW648">
        <v>0</v>
      </c>
      <c r="AX648">
        <v>0</v>
      </c>
      <c r="AY648">
        <v>0</v>
      </c>
      <c r="AZ648">
        <v>0</v>
      </c>
      <c r="BA648">
        <v>0</v>
      </c>
      <c r="BB648">
        <v>0</v>
      </c>
      <c r="BC648">
        <v>0</v>
      </c>
      <c r="BD648">
        <v>0</v>
      </c>
      <c r="BE648">
        <v>0</v>
      </c>
      <c r="BF648">
        <v>0</v>
      </c>
      <c r="BG648">
        <v>0</v>
      </c>
      <c r="BH648">
        <v>0</v>
      </c>
      <c r="BI648">
        <v>0</v>
      </c>
      <c r="BK648" s="151"/>
    </row>
    <row r="649" spans="1:63" x14ac:dyDescent="0.35">
      <c r="A649">
        <v>0</v>
      </c>
      <c r="B649">
        <v>0</v>
      </c>
      <c r="C649">
        <v>0</v>
      </c>
      <c r="D649">
        <v>0</v>
      </c>
      <c r="E649">
        <v>0</v>
      </c>
      <c r="F649">
        <v>0</v>
      </c>
      <c r="G649">
        <v>0</v>
      </c>
      <c r="H649">
        <v>0</v>
      </c>
      <c r="I649">
        <v>0</v>
      </c>
      <c r="J649">
        <v>0</v>
      </c>
      <c r="K649">
        <v>0</v>
      </c>
      <c r="L649">
        <v>0</v>
      </c>
      <c r="M649">
        <v>0</v>
      </c>
      <c r="N649">
        <v>0</v>
      </c>
      <c r="O649">
        <v>0</v>
      </c>
      <c r="P649">
        <v>0</v>
      </c>
      <c r="Q649">
        <v>0</v>
      </c>
      <c r="R649">
        <v>0</v>
      </c>
      <c r="S649">
        <v>0</v>
      </c>
      <c r="T649">
        <v>0</v>
      </c>
      <c r="U649">
        <v>0</v>
      </c>
      <c r="V649">
        <v>0</v>
      </c>
      <c r="W649">
        <v>0</v>
      </c>
      <c r="X649">
        <v>0</v>
      </c>
      <c r="Y649">
        <v>0</v>
      </c>
      <c r="Z649">
        <v>0</v>
      </c>
      <c r="AA649">
        <v>0</v>
      </c>
      <c r="AB649">
        <v>0</v>
      </c>
      <c r="AC649">
        <v>0</v>
      </c>
      <c r="AD649">
        <v>0</v>
      </c>
      <c r="AF649">
        <v>0</v>
      </c>
      <c r="AG649">
        <v>0</v>
      </c>
      <c r="AH649">
        <v>0</v>
      </c>
      <c r="AI649">
        <v>0</v>
      </c>
      <c r="AJ649">
        <v>0</v>
      </c>
      <c r="AK649">
        <v>0</v>
      </c>
      <c r="AL649">
        <v>0</v>
      </c>
      <c r="AM649">
        <v>0</v>
      </c>
      <c r="AN649">
        <v>0</v>
      </c>
      <c r="AO649">
        <v>0</v>
      </c>
      <c r="AP649">
        <v>0</v>
      </c>
      <c r="AQ649">
        <v>0</v>
      </c>
      <c r="AR649">
        <v>0</v>
      </c>
      <c r="AS649">
        <v>0</v>
      </c>
      <c r="AT649">
        <v>0</v>
      </c>
      <c r="AU649">
        <v>0</v>
      </c>
      <c r="AV649">
        <v>0</v>
      </c>
      <c r="AW649">
        <v>0</v>
      </c>
      <c r="AX649">
        <v>0</v>
      </c>
      <c r="AY649">
        <v>0</v>
      </c>
      <c r="AZ649">
        <v>0</v>
      </c>
      <c r="BA649">
        <v>0</v>
      </c>
      <c r="BB649">
        <v>0</v>
      </c>
      <c r="BC649">
        <v>0</v>
      </c>
      <c r="BD649">
        <v>0</v>
      </c>
      <c r="BE649">
        <v>0</v>
      </c>
      <c r="BF649">
        <v>0</v>
      </c>
      <c r="BG649">
        <v>0</v>
      </c>
      <c r="BH649">
        <v>0</v>
      </c>
      <c r="BI649">
        <v>0</v>
      </c>
      <c r="BK649" s="151"/>
    </row>
    <row r="650" spans="1:63" x14ac:dyDescent="0.35">
      <c r="A650">
        <v>0</v>
      </c>
      <c r="B650">
        <v>0</v>
      </c>
      <c r="C650">
        <v>0</v>
      </c>
      <c r="D650">
        <v>0</v>
      </c>
      <c r="E650">
        <v>0</v>
      </c>
      <c r="F650">
        <v>0</v>
      </c>
      <c r="G650">
        <v>0</v>
      </c>
      <c r="H650">
        <v>0</v>
      </c>
      <c r="I650">
        <v>0</v>
      </c>
      <c r="J650">
        <v>0</v>
      </c>
      <c r="K650">
        <v>0</v>
      </c>
      <c r="L650">
        <v>0</v>
      </c>
      <c r="M650">
        <v>0</v>
      </c>
      <c r="N650">
        <v>0</v>
      </c>
      <c r="O650">
        <v>0</v>
      </c>
      <c r="P650">
        <v>0</v>
      </c>
      <c r="Q650">
        <v>0</v>
      </c>
      <c r="R650">
        <v>0</v>
      </c>
      <c r="S650">
        <v>0</v>
      </c>
      <c r="T650">
        <v>0</v>
      </c>
      <c r="U650">
        <v>0</v>
      </c>
      <c r="V650">
        <v>0</v>
      </c>
      <c r="W650">
        <v>0</v>
      </c>
      <c r="X650">
        <v>0</v>
      </c>
      <c r="Y650">
        <v>0</v>
      </c>
      <c r="Z650">
        <v>0</v>
      </c>
      <c r="AA650">
        <v>0</v>
      </c>
      <c r="AB650">
        <v>0</v>
      </c>
      <c r="AC650">
        <v>0</v>
      </c>
      <c r="AD650">
        <v>0</v>
      </c>
      <c r="AF650">
        <v>0</v>
      </c>
      <c r="AG650">
        <v>0</v>
      </c>
      <c r="AH650">
        <v>0</v>
      </c>
      <c r="AI650">
        <v>0</v>
      </c>
      <c r="AJ650">
        <v>0</v>
      </c>
      <c r="AK650">
        <v>0</v>
      </c>
      <c r="AL650">
        <v>0</v>
      </c>
      <c r="AM650">
        <v>0</v>
      </c>
      <c r="AN650">
        <v>0</v>
      </c>
      <c r="AO650">
        <v>0</v>
      </c>
      <c r="AP650">
        <v>0</v>
      </c>
      <c r="AQ650">
        <v>0</v>
      </c>
      <c r="AR650">
        <v>0</v>
      </c>
      <c r="AS650">
        <v>0</v>
      </c>
      <c r="AT650">
        <v>0</v>
      </c>
      <c r="AU650">
        <v>0</v>
      </c>
      <c r="AV650">
        <v>0</v>
      </c>
      <c r="AW650">
        <v>0</v>
      </c>
      <c r="AX650">
        <v>0</v>
      </c>
      <c r="AY650">
        <v>0</v>
      </c>
      <c r="AZ650">
        <v>0</v>
      </c>
      <c r="BA650">
        <v>0</v>
      </c>
      <c r="BB650">
        <v>0</v>
      </c>
      <c r="BC650">
        <v>0</v>
      </c>
      <c r="BD650">
        <v>0</v>
      </c>
      <c r="BE650">
        <v>0</v>
      </c>
      <c r="BF650">
        <v>0</v>
      </c>
      <c r="BG650">
        <v>0</v>
      </c>
      <c r="BH650">
        <v>0</v>
      </c>
      <c r="BI650">
        <v>0</v>
      </c>
      <c r="BK650" s="151"/>
    </row>
    <row r="651" spans="1:63" x14ac:dyDescent="0.35">
      <c r="A651">
        <v>0</v>
      </c>
      <c r="B651">
        <v>0</v>
      </c>
      <c r="C651">
        <v>0</v>
      </c>
      <c r="D651">
        <v>0</v>
      </c>
      <c r="E651">
        <v>0</v>
      </c>
      <c r="F651">
        <v>0</v>
      </c>
      <c r="G651">
        <v>0</v>
      </c>
      <c r="H651">
        <v>0</v>
      </c>
      <c r="I651">
        <v>0</v>
      </c>
      <c r="J651">
        <v>0</v>
      </c>
      <c r="K651">
        <v>0</v>
      </c>
      <c r="L651">
        <v>0</v>
      </c>
      <c r="M651">
        <v>0</v>
      </c>
      <c r="N651">
        <v>0</v>
      </c>
      <c r="O651">
        <v>0</v>
      </c>
      <c r="P651">
        <v>0</v>
      </c>
      <c r="Q651">
        <v>0</v>
      </c>
      <c r="R651">
        <v>0</v>
      </c>
      <c r="S651">
        <v>0</v>
      </c>
      <c r="T651">
        <v>0</v>
      </c>
      <c r="U651">
        <v>0</v>
      </c>
      <c r="V651">
        <v>0</v>
      </c>
      <c r="W651">
        <v>0</v>
      </c>
      <c r="X651">
        <v>0</v>
      </c>
      <c r="Y651">
        <v>0</v>
      </c>
      <c r="Z651">
        <v>0</v>
      </c>
      <c r="AA651">
        <v>0</v>
      </c>
      <c r="AB651">
        <v>0</v>
      </c>
      <c r="AC651">
        <v>0</v>
      </c>
      <c r="AD651">
        <v>0</v>
      </c>
      <c r="AF651">
        <v>0</v>
      </c>
      <c r="AG651">
        <v>0</v>
      </c>
      <c r="AH651">
        <v>0</v>
      </c>
      <c r="AI651">
        <v>0</v>
      </c>
      <c r="AJ651">
        <v>0</v>
      </c>
      <c r="AK651">
        <v>0</v>
      </c>
      <c r="AL651">
        <v>0</v>
      </c>
      <c r="AM651">
        <v>0</v>
      </c>
      <c r="AN651">
        <v>0</v>
      </c>
      <c r="AO651">
        <v>0</v>
      </c>
      <c r="AP651">
        <v>0</v>
      </c>
      <c r="AQ651">
        <v>0</v>
      </c>
      <c r="AR651">
        <v>0</v>
      </c>
      <c r="AS651">
        <v>0</v>
      </c>
      <c r="AT651">
        <v>0</v>
      </c>
      <c r="AU651">
        <v>0</v>
      </c>
      <c r="AV651">
        <v>0</v>
      </c>
      <c r="AW651">
        <v>0</v>
      </c>
      <c r="AX651">
        <v>0</v>
      </c>
      <c r="AY651">
        <v>0</v>
      </c>
      <c r="AZ651">
        <v>0</v>
      </c>
      <c r="BA651">
        <v>0</v>
      </c>
      <c r="BB651">
        <v>0</v>
      </c>
      <c r="BC651">
        <v>0</v>
      </c>
      <c r="BD651">
        <v>0</v>
      </c>
      <c r="BE651">
        <v>0</v>
      </c>
      <c r="BF651">
        <v>0</v>
      </c>
      <c r="BG651">
        <v>0</v>
      </c>
      <c r="BH651">
        <v>0</v>
      </c>
      <c r="BI651">
        <v>0</v>
      </c>
      <c r="BK651" s="151"/>
    </row>
    <row r="652" spans="1:63" x14ac:dyDescent="0.35">
      <c r="A652">
        <v>0</v>
      </c>
      <c r="B652">
        <v>0</v>
      </c>
      <c r="C652">
        <v>0</v>
      </c>
      <c r="D652">
        <v>0</v>
      </c>
      <c r="E652">
        <v>0</v>
      </c>
      <c r="F652">
        <v>0</v>
      </c>
      <c r="G652">
        <v>0</v>
      </c>
      <c r="H652">
        <v>0</v>
      </c>
      <c r="I652">
        <v>0</v>
      </c>
      <c r="J652">
        <v>0</v>
      </c>
      <c r="K652">
        <v>0</v>
      </c>
      <c r="L652">
        <v>0</v>
      </c>
      <c r="M652">
        <v>0</v>
      </c>
      <c r="N652">
        <v>0</v>
      </c>
      <c r="O652">
        <v>0</v>
      </c>
      <c r="P652">
        <v>0</v>
      </c>
      <c r="Q652">
        <v>0</v>
      </c>
      <c r="R652">
        <v>0</v>
      </c>
      <c r="S652">
        <v>0</v>
      </c>
      <c r="T652">
        <v>0</v>
      </c>
      <c r="U652">
        <v>0</v>
      </c>
      <c r="V652">
        <v>0</v>
      </c>
      <c r="W652">
        <v>0</v>
      </c>
      <c r="X652">
        <v>0</v>
      </c>
      <c r="Y652">
        <v>0</v>
      </c>
      <c r="Z652">
        <v>0</v>
      </c>
      <c r="AA652">
        <v>0</v>
      </c>
      <c r="AB652">
        <v>0</v>
      </c>
      <c r="AC652">
        <v>0</v>
      </c>
      <c r="AD652">
        <v>0</v>
      </c>
      <c r="AF652">
        <v>0</v>
      </c>
      <c r="AG652">
        <v>0</v>
      </c>
      <c r="AH652">
        <v>0</v>
      </c>
      <c r="AI652">
        <v>0</v>
      </c>
      <c r="AJ652">
        <v>0</v>
      </c>
      <c r="AK652">
        <v>0</v>
      </c>
      <c r="AL652">
        <v>0</v>
      </c>
      <c r="AM652">
        <v>0</v>
      </c>
      <c r="AN652">
        <v>0</v>
      </c>
      <c r="AO652">
        <v>0</v>
      </c>
      <c r="AP652">
        <v>0</v>
      </c>
      <c r="AQ652">
        <v>0</v>
      </c>
      <c r="AR652">
        <v>0</v>
      </c>
      <c r="AS652">
        <v>0</v>
      </c>
      <c r="AT652">
        <v>0</v>
      </c>
      <c r="AU652">
        <v>0</v>
      </c>
      <c r="AV652">
        <v>0</v>
      </c>
      <c r="AW652">
        <v>0</v>
      </c>
      <c r="AX652">
        <v>0</v>
      </c>
      <c r="AY652">
        <v>0</v>
      </c>
      <c r="AZ652">
        <v>0</v>
      </c>
      <c r="BA652">
        <v>0</v>
      </c>
      <c r="BB652">
        <v>0</v>
      </c>
      <c r="BC652">
        <v>0</v>
      </c>
      <c r="BD652">
        <v>0</v>
      </c>
      <c r="BE652">
        <v>0</v>
      </c>
      <c r="BF652">
        <v>0</v>
      </c>
      <c r="BG652">
        <v>0</v>
      </c>
      <c r="BH652">
        <v>0</v>
      </c>
      <c r="BI652">
        <v>0</v>
      </c>
      <c r="BK652" s="151"/>
    </row>
    <row r="653" spans="1:63" x14ac:dyDescent="0.35">
      <c r="A653">
        <v>0</v>
      </c>
      <c r="B653">
        <v>0</v>
      </c>
      <c r="C653">
        <v>0</v>
      </c>
      <c r="D653">
        <v>0</v>
      </c>
      <c r="E653">
        <v>0</v>
      </c>
      <c r="F653">
        <v>0</v>
      </c>
      <c r="G653">
        <v>0</v>
      </c>
      <c r="H653">
        <v>0</v>
      </c>
      <c r="I653">
        <v>0</v>
      </c>
      <c r="J653">
        <v>0</v>
      </c>
      <c r="K653">
        <v>0</v>
      </c>
      <c r="L653">
        <v>0</v>
      </c>
      <c r="M653">
        <v>0</v>
      </c>
      <c r="N653">
        <v>0</v>
      </c>
      <c r="O653">
        <v>0</v>
      </c>
      <c r="P653">
        <v>0</v>
      </c>
      <c r="Q653">
        <v>0</v>
      </c>
      <c r="R653">
        <v>0</v>
      </c>
      <c r="S653">
        <v>0</v>
      </c>
      <c r="T653">
        <v>0</v>
      </c>
      <c r="U653">
        <v>0</v>
      </c>
      <c r="V653">
        <v>0</v>
      </c>
      <c r="W653">
        <v>0</v>
      </c>
      <c r="X653">
        <v>0</v>
      </c>
      <c r="Y653">
        <v>0</v>
      </c>
      <c r="Z653">
        <v>0</v>
      </c>
      <c r="AA653">
        <v>0</v>
      </c>
      <c r="AB653">
        <v>0</v>
      </c>
      <c r="AC653">
        <v>0</v>
      </c>
      <c r="AD653">
        <v>0</v>
      </c>
      <c r="AF653">
        <v>0</v>
      </c>
      <c r="AG653">
        <v>0</v>
      </c>
      <c r="AH653">
        <v>0</v>
      </c>
      <c r="AI653">
        <v>0</v>
      </c>
      <c r="AJ653">
        <v>0</v>
      </c>
      <c r="AK653">
        <v>0</v>
      </c>
      <c r="AL653">
        <v>0</v>
      </c>
      <c r="AM653">
        <v>0</v>
      </c>
      <c r="AN653">
        <v>0</v>
      </c>
      <c r="AO653">
        <v>0</v>
      </c>
      <c r="AP653">
        <v>0</v>
      </c>
      <c r="AQ653">
        <v>0</v>
      </c>
      <c r="AR653">
        <v>0</v>
      </c>
      <c r="AS653">
        <v>0</v>
      </c>
      <c r="AT653">
        <v>0</v>
      </c>
      <c r="AU653">
        <v>0</v>
      </c>
      <c r="AV653">
        <v>0</v>
      </c>
      <c r="AW653">
        <v>0</v>
      </c>
      <c r="AX653">
        <v>0</v>
      </c>
      <c r="AY653">
        <v>0</v>
      </c>
      <c r="AZ653">
        <v>0</v>
      </c>
      <c r="BA653">
        <v>0</v>
      </c>
      <c r="BB653">
        <v>0</v>
      </c>
      <c r="BC653">
        <v>0</v>
      </c>
      <c r="BD653">
        <v>0</v>
      </c>
      <c r="BE653">
        <v>0</v>
      </c>
      <c r="BF653">
        <v>0</v>
      </c>
      <c r="BG653">
        <v>0</v>
      </c>
      <c r="BH653">
        <v>0</v>
      </c>
      <c r="BI653">
        <v>0</v>
      </c>
      <c r="BK653" s="151"/>
    </row>
    <row r="654" spans="1:63" x14ac:dyDescent="0.35">
      <c r="A654">
        <v>0</v>
      </c>
      <c r="B654">
        <v>0</v>
      </c>
      <c r="C654">
        <v>0</v>
      </c>
      <c r="D654">
        <v>0</v>
      </c>
      <c r="E654">
        <v>0</v>
      </c>
      <c r="F654">
        <v>0</v>
      </c>
      <c r="G654">
        <v>0</v>
      </c>
      <c r="H654">
        <v>0</v>
      </c>
      <c r="I654">
        <v>0</v>
      </c>
      <c r="J654">
        <v>0</v>
      </c>
      <c r="K654">
        <v>0</v>
      </c>
      <c r="L654">
        <v>0</v>
      </c>
      <c r="M654">
        <v>0</v>
      </c>
      <c r="N654">
        <v>0</v>
      </c>
      <c r="O654">
        <v>0</v>
      </c>
      <c r="P654">
        <v>0</v>
      </c>
      <c r="Q654">
        <v>0</v>
      </c>
      <c r="R654">
        <v>0</v>
      </c>
      <c r="S654">
        <v>0</v>
      </c>
      <c r="T654">
        <v>0</v>
      </c>
      <c r="U654">
        <v>0</v>
      </c>
      <c r="V654">
        <v>0</v>
      </c>
      <c r="W654">
        <v>0</v>
      </c>
      <c r="X654">
        <v>0</v>
      </c>
      <c r="Y654">
        <v>0</v>
      </c>
      <c r="Z654">
        <v>0</v>
      </c>
      <c r="AA654">
        <v>0</v>
      </c>
      <c r="AB654">
        <v>0</v>
      </c>
      <c r="AC654">
        <v>0</v>
      </c>
      <c r="AD654">
        <v>0</v>
      </c>
      <c r="AF654">
        <v>0</v>
      </c>
      <c r="AG654">
        <v>0</v>
      </c>
      <c r="AH654">
        <v>0</v>
      </c>
      <c r="AI654">
        <v>0</v>
      </c>
      <c r="AJ654">
        <v>0</v>
      </c>
      <c r="AK654">
        <v>0</v>
      </c>
      <c r="AL654">
        <v>0</v>
      </c>
      <c r="AM654">
        <v>0</v>
      </c>
      <c r="AN654">
        <v>0</v>
      </c>
      <c r="AO654">
        <v>0</v>
      </c>
      <c r="AP654">
        <v>0</v>
      </c>
      <c r="AQ654">
        <v>0</v>
      </c>
      <c r="AR654">
        <v>0</v>
      </c>
      <c r="AS654">
        <v>0</v>
      </c>
      <c r="AT654">
        <v>0</v>
      </c>
      <c r="AU654">
        <v>0</v>
      </c>
      <c r="AV654">
        <v>0</v>
      </c>
      <c r="AW654">
        <v>0</v>
      </c>
      <c r="AX654">
        <v>0</v>
      </c>
      <c r="AY654">
        <v>0</v>
      </c>
      <c r="AZ654">
        <v>0</v>
      </c>
      <c r="BA654">
        <v>0</v>
      </c>
      <c r="BB654">
        <v>0</v>
      </c>
      <c r="BC654">
        <v>0</v>
      </c>
      <c r="BD654">
        <v>0</v>
      </c>
      <c r="BE654">
        <v>0</v>
      </c>
      <c r="BF654">
        <v>0</v>
      </c>
      <c r="BG654">
        <v>0</v>
      </c>
      <c r="BH654">
        <v>0</v>
      </c>
      <c r="BI654">
        <v>0</v>
      </c>
      <c r="BK654" s="151"/>
    </row>
    <row r="655" spans="1:63" x14ac:dyDescent="0.35">
      <c r="A655">
        <v>0</v>
      </c>
      <c r="B655">
        <v>0</v>
      </c>
      <c r="C655">
        <v>0</v>
      </c>
      <c r="D655">
        <v>0</v>
      </c>
      <c r="E655">
        <v>0</v>
      </c>
      <c r="F655">
        <v>0</v>
      </c>
      <c r="G655">
        <v>0</v>
      </c>
      <c r="H655">
        <v>0</v>
      </c>
      <c r="I655">
        <v>0</v>
      </c>
      <c r="J655">
        <v>0</v>
      </c>
      <c r="K655">
        <v>0</v>
      </c>
      <c r="L655">
        <v>0</v>
      </c>
      <c r="M655">
        <v>0</v>
      </c>
      <c r="N655">
        <v>0</v>
      </c>
      <c r="O655">
        <v>0</v>
      </c>
      <c r="P655">
        <v>0</v>
      </c>
      <c r="Q655">
        <v>0</v>
      </c>
      <c r="R655">
        <v>0</v>
      </c>
      <c r="S655">
        <v>0</v>
      </c>
      <c r="T655">
        <v>0</v>
      </c>
      <c r="U655">
        <v>0</v>
      </c>
      <c r="V655">
        <v>0</v>
      </c>
      <c r="W655">
        <v>0</v>
      </c>
      <c r="X655">
        <v>0</v>
      </c>
      <c r="Y655">
        <v>0</v>
      </c>
      <c r="Z655">
        <v>0</v>
      </c>
      <c r="AA655">
        <v>0</v>
      </c>
      <c r="AB655">
        <v>0</v>
      </c>
      <c r="AC655">
        <v>0</v>
      </c>
      <c r="AD655">
        <v>0</v>
      </c>
      <c r="AF655">
        <v>0</v>
      </c>
      <c r="AG655">
        <v>0</v>
      </c>
      <c r="AH655">
        <v>0</v>
      </c>
      <c r="AI655">
        <v>0</v>
      </c>
      <c r="AJ655">
        <v>0</v>
      </c>
      <c r="AK655">
        <v>0</v>
      </c>
      <c r="AL655">
        <v>0</v>
      </c>
      <c r="AM655">
        <v>0</v>
      </c>
      <c r="AN655">
        <v>0</v>
      </c>
      <c r="AO655">
        <v>0</v>
      </c>
      <c r="AP655">
        <v>0</v>
      </c>
      <c r="AQ655">
        <v>0</v>
      </c>
      <c r="AR655">
        <v>0</v>
      </c>
      <c r="AS655">
        <v>0</v>
      </c>
      <c r="AT655">
        <v>0</v>
      </c>
      <c r="AU655">
        <v>0</v>
      </c>
      <c r="AV655">
        <v>0</v>
      </c>
      <c r="AW655">
        <v>0</v>
      </c>
      <c r="AX655">
        <v>0</v>
      </c>
      <c r="AY655">
        <v>0</v>
      </c>
      <c r="AZ655">
        <v>0</v>
      </c>
      <c r="BA655">
        <v>0</v>
      </c>
      <c r="BB655">
        <v>0</v>
      </c>
      <c r="BC655">
        <v>0</v>
      </c>
      <c r="BD655">
        <v>0</v>
      </c>
      <c r="BE655">
        <v>0</v>
      </c>
      <c r="BF655">
        <v>0</v>
      </c>
      <c r="BG655">
        <v>0</v>
      </c>
      <c r="BH655">
        <v>0</v>
      </c>
      <c r="BI655">
        <v>0</v>
      </c>
      <c r="BK655" s="151"/>
    </row>
    <row r="656" spans="1:63" x14ac:dyDescent="0.35">
      <c r="A656">
        <v>0</v>
      </c>
      <c r="B656">
        <v>0</v>
      </c>
      <c r="C656">
        <v>0</v>
      </c>
      <c r="D656">
        <v>0</v>
      </c>
      <c r="E656">
        <v>0</v>
      </c>
      <c r="F656">
        <v>0</v>
      </c>
      <c r="G656">
        <v>0</v>
      </c>
      <c r="H656">
        <v>0</v>
      </c>
      <c r="I656">
        <v>0</v>
      </c>
      <c r="J656">
        <v>0</v>
      </c>
      <c r="K656">
        <v>0</v>
      </c>
      <c r="L656">
        <v>0</v>
      </c>
      <c r="M656">
        <v>0</v>
      </c>
      <c r="N656">
        <v>0</v>
      </c>
      <c r="O656">
        <v>0</v>
      </c>
      <c r="P656">
        <v>0</v>
      </c>
      <c r="Q656">
        <v>0</v>
      </c>
      <c r="R656">
        <v>0</v>
      </c>
      <c r="S656">
        <v>0</v>
      </c>
      <c r="T656">
        <v>0</v>
      </c>
      <c r="U656">
        <v>0</v>
      </c>
      <c r="V656">
        <v>0</v>
      </c>
      <c r="W656">
        <v>0</v>
      </c>
      <c r="X656">
        <v>0</v>
      </c>
      <c r="Y656">
        <v>0</v>
      </c>
      <c r="Z656">
        <v>0</v>
      </c>
      <c r="AA656">
        <v>0</v>
      </c>
      <c r="AB656">
        <v>0</v>
      </c>
      <c r="AC656">
        <v>0</v>
      </c>
      <c r="AD656">
        <v>0</v>
      </c>
      <c r="AF656">
        <v>0</v>
      </c>
      <c r="AG656">
        <v>0</v>
      </c>
      <c r="AH656">
        <v>0</v>
      </c>
      <c r="AI656">
        <v>0</v>
      </c>
      <c r="AJ656">
        <v>0</v>
      </c>
      <c r="AK656">
        <v>0</v>
      </c>
      <c r="AL656">
        <v>0</v>
      </c>
      <c r="AM656">
        <v>0</v>
      </c>
      <c r="AN656">
        <v>0</v>
      </c>
      <c r="AO656">
        <v>0</v>
      </c>
      <c r="AP656">
        <v>0</v>
      </c>
      <c r="AQ656">
        <v>0</v>
      </c>
      <c r="AR656">
        <v>0</v>
      </c>
      <c r="AS656">
        <v>0</v>
      </c>
      <c r="AT656">
        <v>0</v>
      </c>
      <c r="AU656">
        <v>0</v>
      </c>
      <c r="AV656">
        <v>0</v>
      </c>
      <c r="AW656">
        <v>0</v>
      </c>
      <c r="AX656">
        <v>0</v>
      </c>
      <c r="AY656">
        <v>0</v>
      </c>
      <c r="AZ656">
        <v>0</v>
      </c>
      <c r="BA656">
        <v>0</v>
      </c>
      <c r="BB656">
        <v>0</v>
      </c>
      <c r="BC656">
        <v>0</v>
      </c>
      <c r="BD656">
        <v>0</v>
      </c>
      <c r="BE656">
        <v>0</v>
      </c>
      <c r="BF656">
        <v>0</v>
      </c>
      <c r="BG656">
        <v>0</v>
      </c>
      <c r="BH656">
        <v>0</v>
      </c>
      <c r="BI656">
        <v>0</v>
      </c>
      <c r="BK656" s="151"/>
    </row>
    <row r="657" spans="1:63" x14ac:dyDescent="0.35">
      <c r="A657">
        <v>0</v>
      </c>
      <c r="B657">
        <v>0</v>
      </c>
      <c r="C657">
        <v>0</v>
      </c>
      <c r="D657">
        <v>0</v>
      </c>
      <c r="E657">
        <v>0</v>
      </c>
      <c r="F657">
        <v>0</v>
      </c>
      <c r="G657">
        <v>0</v>
      </c>
      <c r="H657">
        <v>0</v>
      </c>
      <c r="I657">
        <v>0</v>
      </c>
      <c r="J657">
        <v>0</v>
      </c>
      <c r="K657">
        <v>0</v>
      </c>
      <c r="L657">
        <v>0</v>
      </c>
      <c r="M657">
        <v>0</v>
      </c>
      <c r="N657">
        <v>0</v>
      </c>
      <c r="O657">
        <v>0</v>
      </c>
      <c r="P657">
        <v>0</v>
      </c>
      <c r="Q657">
        <v>0</v>
      </c>
      <c r="R657">
        <v>0</v>
      </c>
      <c r="S657">
        <v>0</v>
      </c>
      <c r="T657">
        <v>0</v>
      </c>
      <c r="U657">
        <v>0</v>
      </c>
      <c r="V657">
        <v>0</v>
      </c>
      <c r="W657">
        <v>0</v>
      </c>
      <c r="X657">
        <v>0</v>
      </c>
      <c r="Y657">
        <v>0</v>
      </c>
      <c r="Z657">
        <v>0</v>
      </c>
      <c r="AA657">
        <v>0</v>
      </c>
      <c r="AB657">
        <v>0</v>
      </c>
      <c r="AC657">
        <v>0</v>
      </c>
      <c r="AD657">
        <v>0</v>
      </c>
      <c r="AF657">
        <v>0</v>
      </c>
      <c r="AG657">
        <v>0</v>
      </c>
      <c r="AH657">
        <v>0</v>
      </c>
      <c r="AI657">
        <v>0</v>
      </c>
      <c r="AJ657">
        <v>0</v>
      </c>
      <c r="AK657">
        <v>0</v>
      </c>
      <c r="AL657">
        <v>0</v>
      </c>
      <c r="AM657">
        <v>0</v>
      </c>
      <c r="AN657">
        <v>0</v>
      </c>
      <c r="AO657">
        <v>0</v>
      </c>
      <c r="AP657">
        <v>0</v>
      </c>
      <c r="AQ657">
        <v>0</v>
      </c>
      <c r="AR657">
        <v>0</v>
      </c>
      <c r="AS657">
        <v>0</v>
      </c>
      <c r="AT657">
        <v>0</v>
      </c>
      <c r="AU657">
        <v>0</v>
      </c>
      <c r="AV657">
        <v>0</v>
      </c>
      <c r="AW657">
        <v>0</v>
      </c>
      <c r="AX657">
        <v>0</v>
      </c>
      <c r="AY657">
        <v>0</v>
      </c>
      <c r="AZ657">
        <v>0</v>
      </c>
      <c r="BA657">
        <v>0</v>
      </c>
      <c r="BB657">
        <v>0</v>
      </c>
      <c r="BC657">
        <v>0</v>
      </c>
      <c r="BD657">
        <v>0</v>
      </c>
      <c r="BE657">
        <v>0</v>
      </c>
      <c r="BF657">
        <v>0</v>
      </c>
      <c r="BG657">
        <v>0</v>
      </c>
      <c r="BH657">
        <v>0</v>
      </c>
      <c r="BI657">
        <v>0</v>
      </c>
      <c r="BK657" s="151"/>
    </row>
    <row r="658" spans="1:63" x14ac:dyDescent="0.35">
      <c r="A658">
        <v>0</v>
      </c>
      <c r="B658">
        <v>0</v>
      </c>
      <c r="C658">
        <v>0</v>
      </c>
      <c r="D658">
        <v>0</v>
      </c>
      <c r="E658">
        <v>0</v>
      </c>
      <c r="F658">
        <v>0</v>
      </c>
      <c r="G658">
        <v>0</v>
      </c>
      <c r="H658">
        <v>0</v>
      </c>
      <c r="I658">
        <v>0</v>
      </c>
      <c r="J658">
        <v>0</v>
      </c>
      <c r="K658">
        <v>0</v>
      </c>
      <c r="L658">
        <v>0</v>
      </c>
      <c r="M658">
        <v>0</v>
      </c>
      <c r="N658">
        <v>0</v>
      </c>
      <c r="O658">
        <v>0</v>
      </c>
      <c r="P658">
        <v>0</v>
      </c>
      <c r="Q658">
        <v>0</v>
      </c>
      <c r="R658">
        <v>0</v>
      </c>
      <c r="S658">
        <v>0</v>
      </c>
      <c r="T658">
        <v>0</v>
      </c>
      <c r="U658">
        <v>0</v>
      </c>
      <c r="V658">
        <v>0</v>
      </c>
      <c r="W658">
        <v>0</v>
      </c>
      <c r="X658">
        <v>0</v>
      </c>
      <c r="Y658">
        <v>0</v>
      </c>
      <c r="Z658">
        <v>0</v>
      </c>
      <c r="AA658">
        <v>0</v>
      </c>
      <c r="AB658">
        <v>0</v>
      </c>
      <c r="AC658">
        <v>0</v>
      </c>
      <c r="AD658">
        <v>0</v>
      </c>
      <c r="AF658">
        <v>0</v>
      </c>
      <c r="AG658">
        <v>0</v>
      </c>
      <c r="AH658">
        <v>0</v>
      </c>
      <c r="AI658">
        <v>0</v>
      </c>
      <c r="AJ658">
        <v>0</v>
      </c>
      <c r="AK658">
        <v>0</v>
      </c>
      <c r="AL658">
        <v>0</v>
      </c>
      <c r="AM658">
        <v>0</v>
      </c>
      <c r="AN658">
        <v>0</v>
      </c>
      <c r="AO658">
        <v>0</v>
      </c>
      <c r="AP658">
        <v>0</v>
      </c>
      <c r="AQ658">
        <v>0</v>
      </c>
      <c r="AR658">
        <v>0</v>
      </c>
      <c r="AS658">
        <v>0</v>
      </c>
      <c r="AT658">
        <v>0</v>
      </c>
      <c r="AU658">
        <v>0</v>
      </c>
      <c r="AV658">
        <v>0</v>
      </c>
      <c r="AW658">
        <v>0</v>
      </c>
      <c r="AX658">
        <v>0</v>
      </c>
      <c r="AY658">
        <v>0</v>
      </c>
      <c r="AZ658">
        <v>0</v>
      </c>
      <c r="BA658">
        <v>0</v>
      </c>
      <c r="BB658">
        <v>0</v>
      </c>
      <c r="BC658">
        <v>0</v>
      </c>
      <c r="BD658">
        <v>0</v>
      </c>
      <c r="BE658">
        <v>0</v>
      </c>
      <c r="BF658">
        <v>0</v>
      </c>
      <c r="BG658">
        <v>0</v>
      </c>
      <c r="BH658">
        <v>0</v>
      </c>
      <c r="BI658">
        <v>0</v>
      </c>
      <c r="BK658" s="151"/>
    </row>
    <row r="659" spans="1:63" x14ac:dyDescent="0.35">
      <c r="A659">
        <v>0</v>
      </c>
      <c r="B659">
        <v>0</v>
      </c>
      <c r="C659">
        <v>0</v>
      </c>
      <c r="D659">
        <v>0</v>
      </c>
      <c r="E659">
        <v>0</v>
      </c>
      <c r="F659">
        <v>0</v>
      </c>
      <c r="G659">
        <v>0</v>
      </c>
      <c r="H659">
        <v>0</v>
      </c>
      <c r="I659">
        <v>0</v>
      </c>
      <c r="J659">
        <v>0</v>
      </c>
      <c r="K659">
        <v>0</v>
      </c>
      <c r="L659">
        <v>0</v>
      </c>
      <c r="M659">
        <v>0</v>
      </c>
      <c r="N659">
        <v>0</v>
      </c>
      <c r="O659">
        <v>0</v>
      </c>
      <c r="P659">
        <v>0</v>
      </c>
      <c r="Q659">
        <v>0</v>
      </c>
      <c r="R659">
        <v>0</v>
      </c>
      <c r="S659">
        <v>0</v>
      </c>
      <c r="T659">
        <v>0</v>
      </c>
      <c r="U659">
        <v>0</v>
      </c>
      <c r="V659">
        <v>0</v>
      </c>
      <c r="W659">
        <v>0</v>
      </c>
      <c r="X659">
        <v>0</v>
      </c>
      <c r="Y659">
        <v>0</v>
      </c>
      <c r="Z659">
        <v>0</v>
      </c>
      <c r="AA659">
        <v>0</v>
      </c>
      <c r="AB659">
        <v>0</v>
      </c>
      <c r="AC659">
        <v>0</v>
      </c>
      <c r="AD659">
        <v>0</v>
      </c>
      <c r="AF659">
        <v>0</v>
      </c>
      <c r="AG659">
        <v>0</v>
      </c>
      <c r="AH659">
        <v>0</v>
      </c>
      <c r="AI659">
        <v>0</v>
      </c>
      <c r="AJ659">
        <v>0</v>
      </c>
      <c r="AK659">
        <v>0</v>
      </c>
      <c r="AL659">
        <v>0</v>
      </c>
      <c r="AM659">
        <v>0</v>
      </c>
      <c r="AN659">
        <v>0</v>
      </c>
      <c r="AO659">
        <v>0</v>
      </c>
      <c r="AP659">
        <v>0</v>
      </c>
      <c r="AQ659">
        <v>0</v>
      </c>
      <c r="AR659">
        <v>0</v>
      </c>
      <c r="AS659">
        <v>0</v>
      </c>
      <c r="AT659">
        <v>0</v>
      </c>
      <c r="AU659">
        <v>0</v>
      </c>
      <c r="AV659">
        <v>0</v>
      </c>
      <c r="AW659">
        <v>0</v>
      </c>
      <c r="AX659">
        <v>0</v>
      </c>
      <c r="AY659">
        <v>0</v>
      </c>
      <c r="AZ659">
        <v>0</v>
      </c>
      <c r="BA659">
        <v>0</v>
      </c>
      <c r="BB659">
        <v>0</v>
      </c>
      <c r="BC659">
        <v>0</v>
      </c>
      <c r="BD659">
        <v>0</v>
      </c>
      <c r="BE659">
        <v>0</v>
      </c>
      <c r="BF659">
        <v>0</v>
      </c>
      <c r="BG659">
        <v>0</v>
      </c>
      <c r="BH659">
        <v>0</v>
      </c>
      <c r="BI659">
        <v>0</v>
      </c>
      <c r="BK659" s="151"/>
    </row>
    <row r="660" spans="1:63" x14ac:dyDescent="0.35">
      <c r="A660">
        <v>0</v>
      </c>
      <c r="B660">
        <v>0</v>
      </c>
      <c r="C660">
        <v>0</v>
      </c>
      <c r="D660">
        <v>0</v>
      </c>
      <c r="E660">
        <v>0</v>
      </c>
      <c r="F660">
        <v>0</v>
      </c>
      <c r="G660">
        <v>0</v>
      </c>
      <c r="H660">
        <v>0</v>
      </c>
      <c r="I660">
        <v>0</v>
      </c>
      <c r="J660">
        <v>0</v>
      </c>
      <c r="K660">
        <v>0</v>
      </c>
      <c r="L660">
        <v>0</v>
      </c>
      <c r="M660">
        <v>0</v>
      </c>
      <c r="N660">
        <v>0</v>
      </c>
      <c r="O660">
        <v>0</v>
      </c>
      <c r="P660">
        <v>0</v>
      </c>
      <c r="Q660">
        <v>0</v>
      </c>
      <c r="R660">
        <v>0</v>
      </c>
      <c r="S660">
        <v>0</v>
      </c>
      <c r="T660">
        <v>0</v>
      </c>
      <c r="U660">
        <v>0</v>
      </c>
      <c r="V660">
        <v>0</v>
      </c>
      <c r="W660">
        <v>0</v>
      </c>
      <c r="X660">
        <v>0</v>
      </c>
      <c r="Y660">
        <v>0</v>
      </c>
      <c r="Z660">
        <v>0</v>
      </c>
      <c r="AA660">
        <v>0</v>
      </c>
      <c r="AB660">
        <v>0</v>
      </c>
      <c r="AC660">
        <v>0</v>
      </c>
      <c r="AD660">
        <v>0</v>
      </c>
      <c r="AF660">
        <v>0</v>
      </c>
      <c r="AG660">
        <v>0</v>
      </c>
      <c r="AH660">
        <v>0</v>
      </c>
      <c r="AI660">
        <v>0</v>
      </c>
      <c r="AJ660">
        <v>0</v>
      </c>
      <c r="AK660">
        <v>0</v>
      </c>
      <c r="AL660">
        <v>0</v>
      </c>
      <c r="AM660">
        <v>0</v>
      </c>
      <c r="AN660">
        <v>0</v>
      </c>
      <c r="AO660">
        <v>0</v>
      </c>
      <c r="AP660">
        <v>0</v>
      </c>
      <c r="AQ660">
        <v>0</v>
      </c>
      <c r="AR660">
        <v>0</v>
      </c>
      <c r="AS660">
        <v>0</v>
      </c>
      <c r="AT660">
        <v>0</v>
      </c>
      <c r="AU660">
        <v>0</v>
      </c>
      <c r="AV660">
        <v>0</v>
      </c>
      <c r="AW660">
        <v>0</v>
      </c>
      <c r="AX660">
        <v>0</v>
      </c>
      <c r="AY660">
        <v>0</v>
      </c>
      <c r="AZ660">
        <v>0</v>
      </c>
      <c r="BA660">
        <v>0</v>
      </c>
      <c r="BB660">
        <v>0</v>
      </c>
      <c r="BC660">
        <v>0</v>
      </c>
      <c r="BD660">
        <v>0</v>
      </c>
      <c r="BE660">
        <v>0</v>
      </c>
      <c r="BF660">
        <v>0</v>
      </c>
      <c r="BG660">
        <v>0</v>
      </c>
      <c r="BH660">
        <v>0</v>
      </c>
      <c r="BI660">
        <v>0</v>
      </c>
      <c r="BK660" s="151"/>
    </row>
    <row r="661" spans="1:63" x14ac:dyDescent="0.35">
      <c r="A661">
        <v>0</v>
      </c>
      <c r="B661">
        <v>0</v>
      </c>
      <c r="C661">
        <v>0</v>
      </c>
      <c r="D661">
        <v>0</v>
      </c>
      <c r="E661">
        <v>0</v>
      </c>
      <c r="F661">
        <v>0</v>
      </c>
      <c r="G661">
        <v>0</v>
      </c>
      <c r="H661">
        <v>0</v>
      </c>
      <c r="I661">
        <v>0</v>
      </c>
      <c r="J661">
        <v>0</v>
      </c>
      <c r="K661">
        <v>0</v>
      </c>
      <c r="L661">
        <v>0</v>
      </c>
      <c r="M661">
        <v>0</v>
      </c>
      <c r="N661">
        <v>0</v>
      </c>
      <c r="O661">
        <v>0</v>
      </c>
      <c r="P661">
        <v>0</v>
      </c>
      <c r="Q661">
        <v>0</v>
      </c>
      <c r="R661">
        <v>0</v>
      </c>
      <c r="S661">
        <v>0</v>
      </c>
      <c r="T661">
        <v>0</v>
      </c>
      <c r="U661">
        <v>0</v>
      </c>
      <c r="V661">
        <v>0</v>
      </c>
      <c r="W661">
        <v>0</v>
      </c>
      <c r="X661">
        <v>0</v>
      </c>
      <c r="Y661">
        <v>0</v>
      </c>
      <c r="Z661">
        <v>0</v>
      </c>
      <c r="AA661">
        <v>0</v>
      </c>
      <c r="AB661">
        <v>0</v>
      </c>
      <c r="AC661">
        <v>0</v>
      </c>
      <c r="AD661">
        <v>0</v>
      </c>
      <c r="AF661">
        <v>0</v>
      </c>
      <c r="AG661">
        <v>0</v>
      </c>
      <c r="AH661">
        <v>0</v>
      </c>
      <c r="AI661">
        <v>0</v>
      </c>
      <c r="AJ661">
        <v>0</v>
      </c>
      <c r="AK661">
        <v>0</v>
      </c>
      <c r="AL661">
        <v>0</v>
      </c>
      <c r="AM661">
        <v>0</v>
      </c>
      <c r="AN661">
        <v>0</v>
      </c>
      <c r="AO661">
        <v>0</v>
      </c>
      <c r="AP661">
        <v>0</v>
      </c>
      <c r="AQ661">
        <v>0</v>
      </c>
      <c r="AR661">
        <v>0</v>
      </c>
      <c r="AS661">
        <v>0</v>
      </c>
      <c r="AT661">
        <v>0</v>
      </c>
      <c r="AU661">
        <v>0</v>
      </c>
      <c r="AV661">
        <v>0</v>
      </c>
      <c r="AW661">
        <v>0</v>
      </c>
      <c r="AX661">
        <v>0</v>
      </c>
      <c r="AY661">
        <v>0</v>
      </c>
      <c r="AZ661">
        <v>0</v>
      </c>
      <c r="BA661">
        <v>0</v>
      </c>
      <c r="BB661">
        <v>0</v>
      </c>
      <c r="BC661">
        <v>0</v>
      </c>
      <c r="BD661">
        <v>0</v>
      </c>
      <c r="BE661">
        <v>0</v>
      </c>
      <c r="BF661">
        <v>0</v>
      </c>
      <c r="BG661">
        <v>0</v>
      </c>
      <c r="BH661">
        <v>0</v>
      </c>
      <c r="BI661">
        <v>0</v>
      </c>
      <c r="BK661" s="151"/>
    </row>
    <row r="662" spans="1:63" x14ac:dyDescent="0.35">
      <c r="A662">
        <v>0</v>
      </c>
      <c r="B662">
        <v>0</v>
      </c>
      <c r="C662">
        <v>0</v>
      </c>
      <c r="D662">
        <v>0</v>
      </c>
      <c r="E662">
        <v>0</v>
      </c>
      <c r="F662">
        <v>0</v>
      </c>
      <c r="G662">
        <v>0</v>
      </c>
      <c r="H662">
        <v>0</v>
      </c>
      <c r="I662">
        <v>0</v>
      </c>
      <c r="J662">
        <v>0</v>
      </c>
      <c r="K662">
        <v>0</v>
      </c>
      <c r="L662">
        <v>0</v>
      </c>
      <c r="M662">
        <v>0</v>
      </c>
      <c r="N662">
        <v>0</v>
      </c>
      <c r="O662">
        <v>0</v>
      </c>
      <c r="P662">
        <v>0</v>
      </c>
      <c r="Q662">
        <v>0</v>
      </c>
      <c r="R662">
        <v>0</v>
      </c>
      <c r="S662">
        <v>0</v>
      </c>
      <c r="T662">
        <v>0</v>
      </c>
      <c r="U662">
        <v>0</v>
      </c>
      <c r="V662">
        <v>0</v>
      </c>
      <c r="W662">
        <v>0</v>
      </c>
      <c r="X662">
        <v>0</v>
      </c>
      <c r="Y662">
        <v>0</v>
      </c>
      <c r="Z662">
        <v>0</v>
      </c>
      <c r="AA662">
        <v>0</v>
      </c>
      <c r="AB662">
        <v>0</v>
      </c>
      <c r="AC662">
        <v>0</v>
      </c>
      <c r="AD662">
        <v>0</v>
      </c>
      <c r="AF662">
        <v>0</v>
      </c>
      <c r="AG662">
        <v>0</v>
      </c>
      <c r="AH662">
        <v>0</v>
      </c>
      <c r="AI662">
        <v>0</v>
      </c>
      <c r="AJ662">
        <v>0</v>
      </c>
      <c r="AK662">
        <v>0</v>
      </c>
      <c r="AL662">
        <v>0</v>
      </c>
      <c r="AM662">
        <v>0</v>
      </c>
      <c r="AN662">
        <v>0</v>
      </c>
      <c r="AO662">
        <v>0</v>
      </c>
      <c r="AP662">
        <v>0</v>
      </c>
      <c r="AQ662">
        <v>0</v>
      </c>
      <c r="AR662">
        <v>0</v>
      </c>
      <c r="AS662">
        <v>0</v>
      </c>
      <c r="AT662">
        <v>0</v>
      </c>
      <c r="AU662">
        <v>0</v>
      </c>
      <c r="AV662">
        <v>0</v>
      </c>
      <c r="AW662">
        <v>0</v>
      </c>
      <c r="AX662">
        <v>0</v>
      </c>
      <c r="AY662">
        <v>0</v>
      </c>
      <c r="AZ662">
        <v>0</v>
      </c>
      <c r="BA662">
        <v>0</v>
      </c>
      <c r="BB662">
        <v>0</v>
      </c>
      <c r="BC662">
        <v>0</v>
      </c>
      <c r="BD662">
        <v>0</v>
      </c>
      <c r="BE662">
        <v>0</v>
      </c>
      <c r="BF662">
        <v>0</v>
      </c>
      <c r="BG662">
        <v>0</v>
      </c>
      <c r="BH662">
        <v>0</v>
      </c>
      <c r="BI662">
        <v>0</v>
      </c>
      <c r="BK662" s="151"/>
    </row>
    <row r="663" spans="1:63" x14ac:dyDescent="0.35">
      <c r="A663">
        <v>0</v>
      </c>
      <c r="B663">
        <v>0</v>
      </c>
      <c r="C663">
        <v>0</v>
      </c>
      <c r="D663">
        <v>0</v>
      </c>
      <c r="E663">
        <v>0</v>
      </c>
      <c r="F663">
        <v>0</v>
      </c>
      <c r="G663">
        <v>0</v>
      </c>
      <c r="H663">
        <v>0</v>
      </c>
      <c r="I663">
        <v>0</v>
      </c>
      <c r="J663">
        <v>0</v>
      </c>
      <c r="K663">
        <v>0</v>
      </c>
      <c r="L663">
        <v>0</v>
      </c>
      <c r="M663">
        <v>0</v>
      </c>
      <c r="N663">
        <v>0</v>
      </c>
      <c r="O663">
        <v>0</v>
      </c>
      <c r="P663">
        <v>0</v>
      </c>
      <c r="Q663">
        <v>0</v>
      </c>
      <c r="R663">
        <v>0</v>
      </c>
      <c r="S663">
        <v>0</v>
      </c>
      <c r="T663">
        <v>0</v>
      </c>
      <c r="U663">
        <v>0</v>
      </c>
      <c r="V663">
        <v>0</v>
      </c>
      <c r="W663">
        <v>0</v>
      </c>
      <c r="X663">
        <v>0</v>
      </c>
      <c r="Y663">
        <v>0</v>
      </c>
      <c r="Z663">
        <v>0</v>
      </c>
      <c r="AA663">
        <v>0</v>
      </c>
      <c r="AB663">
        <v>0</v>
      </c>
      <c r="AC663">
        <v>0</v>
      </c>
      <c r="AD663">
        <v>0</v>
      </c>
      <c r="AF663">
        <v>0</v>
      </c>
      <c r="AG663">
        <v>0</v>
      </c>
      <c r="AH663">
        <v>0</v>
      </c>
      <c r="AI663">
        <v>0</v>
      </c>
      <c r="AJ663">
        <v>0</v>
      </c>
      <c r="AK663">
        <v>0</v>
      </c>
      <c r="AL663">
        <v>0</v>
      </c>
      <c r="AM663">
        <v>0</v>
      </c>
      <c r="AN663">
        <v>0</v>
      </c>
      <c r="AO663">
        <v>0</v>
      </c>
      <c r="AP663">
        <v>0</v>
      </c>
      <c r="AQ663">
        <v>0</v>
      </c>
      <c r="AR663">
        <v>0</v>
      </c>
      <c r="AS663">
        <v>0</v>
      </c>
      <c r="AT663">
        <v>0</v>
      </c>
      <c r="AU663">
        <v>0</v>
      </c>
      <c r="AV663">
        <v>0</v>
      </c>
      <c r="AW663">
        <v>0</v>
      </c>
      <c r="AX663">
        <v>0</v>
      </c>
      <c r="AY663">
        <v>0</v>
      </c>
      <c r="AZ663">
        <v>0</v>
      </c>
      <c r="BA663">
        <v>0</v>
      </c>
      <c r="BB663">
        <v>0</v>
      </c>
      <c r="BC663">
        <v>0</v>
      </c>
      <c r="BD663">
        <v>0</v>
      </c>
      <c r="BE663">
        <v>0</v>
      </c>
      <c r="BF663">
        <v>0</v>
      </c>
      <c r="BG663">
        <v>0</v>
      </c>
      <c r="BH663">
        <v>0</v>
      </c>
      <c r="BI663">
        <v>0</v>
      </c>
      <c r="BK663" s="151"/>
    </row>
    <row r="664" spans="1:63" x14ac:dyDescent="0.35">
      <c r="A664">
        <v>0</v>
      </c>
      <c r="B664">
        <v>0</v>
      </c>
      <c r="C664">
        <v>0</v>
      </c>
      <c r="D664">
        <v>0</v>
      </c>
      <c r="E664">
        <v>0</v>
      </c>
      <c r="F664">
        <v>0</v>
      </c>
      <c r="G664">
        <v>0</v>
      </c>
      <c r="H664">
        <v>0</v>
      </c>
      <c r="I664">
        <v>0</v>
      </c>
      <c r="J664">
        <v>0</v>
      </c>
      <c r="K664">
        <v>0</v>
      </c>
      <c r="L664">
        <v>0</v>
      </c>
      <c r="M664">
        <v>0</v>
      </c>
      <c r="N664">
        <v>0</v>
      </c>
      <c r="O664">
        <v>0</v>
      </c>
      <c r="P664">
        <v>0</v>
      </c>
      <c r="Q664">
        <v>0</v>
      </c>
      <c r="R664">
        <v>0</v>
      </c>
      <c r="S664">
        <v>0</v>
      </c>
      <c r="T664">
        <v>0</v>
      </c>
      <c r="U664">
        <v>0</v>
      </c>
      <c r="V664">
        <v>0</v>
      </c>
      <c r="W664">
        <v>0</v>
      </c>
      <c r="X664">
        <v>0</v>
      </c>
      <c r="Y664">
        <v>0</v>
      </c>
      <c r="Z664">
        <v>0</v>
      </c>
      <c r="AA664">
        <v>0</v>
      </c>
      <c r="AB664">
        <v>0</v>
      </c>
      <c r="AC664">
        <v>0</v>
      </c>
      <c r="AD664">
        <v>0</v>
      </c>
      <c r="AF664">
        <v>0</v>
      </c>
      <c r="AG664">
        <v>0</v>
      </c>
      <c r="AH664">
        <v>0</v>
      </c>
      <c r="AI664">
        <v>0</v>
      </c>
      <c r="AJ664">
        <v>0</v>
      </c>
      <c r="AK664">
        <v>0</v>
      </c>
      <c r="AL664">
        <v>0</v>
      </c>
      <c r="AM664">
        <v>0</v>
      </c>
      <c r="AN664">
        <v>0</v>
      </c>
      <c r="AO664">
        <v>0</v>
      </c>
      <c r="AP664">
        <v>0</v>
      </c>
      <c r="AQ664">
        <v>0</v>
      </c>
      <c r="AR664">
        <v>0</v>
      </c>
      <c r="AS664">
        <v>0</v>
      </c>
      <c r="AT664">
        <v>0</v>
      </c>
      <c r="AU664">
        <v>0</v>
      </c>
      <c r="AV664">
        <v>0</v>
      </c>
      <c r="AW664">
        <v>0</v>
      </c>
      <c r="AX664">
        <v>0</v>
      </c>
      <c r="AY664">
        <v>0</v>
      </c>
      <c r="AZ664">
        <v>0</v>
      </c>
      <c r="BA664">
        <v>0</v>
      </c>
      <c r="BB664">
        <v>0</v>
      </c>
      <c r="BC664">
        <v>0</v>
      </c>
      <c r="BD664">
        <v>0</v>
      </c>
      <c r="BE664">
        <v>0</v>
      </c>
      <c r="BF664">
        <v>0</v>
      </c>
      <c r="BG664">
        <v>0</v>
      </c>
      <c r="BH664">
        <v>0</v>
      </c>
      <c r="BI664">
        <v>0</v>
      </c>
      <c r="BK664" s="151"/>
    </row>
    <row r="665" spans="1:63" x14ac:dyDescent="0.35">
      <c r="A665">
        <v>0</v>
      </c>
      <c r="B665">
        <v>0</v>
      </c>
      <c r="C665">
        <v>0</v>
      </c>
      <c r="D665">
        <v>0</v>
      </c>
      <c r="E665">
        <v>0</v>
      </c>
      <c r="F665">
        <v>0</v>
      </c>
      <c r="G665">
        <v>0</v>
      </c>
      <c r="H665">
        <v>0</v>
      </c>
      <c r="I665">
        <v>0</v>
      </c>
      <c r="J665">
        <v>0</v>
      </c>
      <c r="K665">
        <v>0</v>
      </c>
      <c r="L665">
        <v>0</v>
      </c>
      <c r="M665">
        <v>0</v>
      </c>
      <c r="N665">
        <v>0</v>
      </c>
      <c r="O665">
        <v>0</v>
      </c>
      <c r="P665">
        <v>0</v>
      </c>
      <c r="Q665">
        <v>0</v>
      </c>
      <c r="R665">
        <v>0</v>
      </c>
      <c r="S665">
        <v>0</v>
      </c>
      <c r="T665">
        <v>0</v>
      </c>
      <c r="U665">
        <v>0</v>
      </c>
      <c r="V665">
        <v>0</v>
      </c>
      <c r="W665">
        <v>0</v>
      </c>
      <c r="X665">
        <v>0</v>
      </c>
      <c r="Y665">
        <v>0</v>
      </c>
      <c r="Z665">
        <v>0</v>
      </c>
      <c r="AA665">
        <v>0</v>
      </c>
      <c r="AB665">
        <v>0</v>
      </c>
      <c r="AC665">
        <v>0</v>
      </c>
      <c r="AD665">
        <v>0</v>
      </c>
      <c r="AF665">
        <v>0</v>
      </c>
      <c r="AG665">
        <v>0</v>
      </c>
      <c r="AH665">
        <v>0</v>
      </c>
      <c r="AI665">
        <v>0</v>
      </c>
      <c r="AJ665">
        <v>0</v>
      </c>
      <c r="AK665">
        <v>0</v>
      </c>
      <c r="AL665">
        <v>0</v>
      </c>
      <c r="AM665">
        <v>0</v>
      </c>
      <c r="AN665">
        <v>0</v>
      </c>
      <c r="AO665">
        <v>0</v>
      </c>
      <c r="AP665">
        <v>0</v>
      </c>
      <c r="AQ665">
        <v>0</v>
      </c>
      <c r="AR665">
        <v>0</v>
      </c>
      <c r="AS665">
        <v>0</v>
      </c>
      <c r="AT665">
        <v>0</v>
      </c>
      <c r="AU665">
        <v>0</v>
      </c>
      <c r="AV665">
        <v>0</v>
      </c>
      <c r="AW665">
        <v>0</v>
      </c>
      <c r="AX665">
        <v>0</v>
      </c>
      <c r="AY665">
        <v>0</v>
      </c>
      <c r="AZ665">
        <v>0</v>
      </c>
      <c r="BA665">
        <v>0</v>
      </c>
      <c r="BB665">
        <v>0</v>
      </c>
      <c r="BC665">
        <v>0</v>
      </c>
      <c r="BD665">
        <v>0</v>
      </c>
      <c r="BE665">
        <v>0</v>
      </c>
      <c r="BF665">
        <v>0</v>
      </c>
      <c r="BG665">
        <v>0</v>
      </c>
      <c r="BH665">
        <v>0</v>
      </c>
      <c r="BI665">
        <v>0</v>
      </c>
      <c r="BK665" s="151"/>
    </row>
    <row r="666" spans="1:63" x14ac:dyDescent="0.35">
      <c r="A666">
        <v>0</v>
      </c>
      <c r="B666">
        <v>0</v>
      </c>
      <c r="C666">
        <v>0</v>
      </c>
      <c r="D666">
        <v>0</v>
      </c>
      <c r="E666">
        <v>0</v>
      </c>
      <c r="F666">
        <v>0</v>
      </c>
      <c r="G666">
        <v>0</v>
      </c>
      <c r="H666">
        <v>0</v>
      </c>
      <c r="I666">
        <v>0</v>
      </c>
      <c r="J666">
        <v>0</v>
      </c>
      <c r="K666">
        <v>0</v>
      </c>
      <c r="L666">
        <v>0</v>
      </c>
      <c r="M666">
        <v>0</v>
      </c>
      <c r="N666">
        <v>0</v>
      </c>
      <c r="O666">
        <v>0</v>
      </c>
      <c r="P666">
        <v>0</v>
      </c>
      <c r="Q666">
        <v>0</v>
      </c>
      <c r="R666">
        <v>0</v>
      </c>
      <c r="S666">
        <v>0</v>
      </c>
      <c r="T666">
        <v>0</v>
      </c>
      <c r="U666">
        <v>0</v>
      </c>
      <c r="V666">
        <v>0</v>
      </c>
      <c r="W666">
        <v>0</v>
      </c>
      <c r="X666">
        <v>0</v>
      </c>
      <c r="Y666">
        <v>0</v>
      </c>
      <c r="Z666">
        <v>0</v>
      </c>
      <c r="AA666">
        <v>0</v>
      </c>
      <c r="AB666">
        <v>0</v>
      </c>
      <c r="AC666">
        <v>0</v>
      </c>
      <c r="AD666">
        <v>0</v>
      </c>
      <c r="AF666">
        <v>0</v>
      </c>
      <c r="AG666">
        <v>0</v>
      </c>
      <c r="AH666">
        <v>0</v>
      </c>
      <c r="AI666">
        <v>0</v>
      </c>
      <c r="AJ666">
        <v>0</v>
      </c>
      <c r="AK666">
        <v>0</v>
      </c>
      <c r="AL666">
        <v>0</v>
      </c>
      <c r="AM666">
        <v>0</v>
      </c>
      <c r="AN666">
        <v>0</v>
      </c>
      <c r="AO666">
        <v>0</v>
      </c>
      <c r="AP666">
        <v>0</v>
      </c>
      <c r="AQ666">
        <v>0</v>
      </c>
      <c r="AR666">
        <v>0</v>
      </c>
      <c r="AS666">
        <v>0</v>
      </c>
      <c r="AT666">
        <v>0</v>
      </c>
      <c r="AU666">
        <v>0</v>
      </c>
      <c r="AV666">
        <v>0</v>
      </c>
      <c r="AW666">
        <v>0</v>
      </c>
      <c r="AX666">
        <v>0</v>
      </c>
      <c r="AY666">
        <v>0</v>
      </c>
      <c r="AZ666">
        <v>0</v>
      </c>
      <c r="BA666">
        <v>0</v>
      </c>
      <c r="BB666">
        <v>0</v>
      </c>
      <c r="BC666">
        <v>0</v>
      </c>
      <c r="BD666">
        <v>0</v>
      </c>
      <c r="BE666">
        <v>0</v>
      </c>
      <c r="BF666">
        <v>0</v>
      </c>
      <c r="BG666">
        <v>0</v>
      </c>
      <c r="BH666">
        <v>0</v>
      </c>
      <c r="BI666">
        <v>0</v>
      </c>
      <c r="BK666" s="151"/>
    </row>
    <row r="667" spans="1:63" x14ac:dyDescent="0.35">
      <c r="A667">
        <v>0</v>
      </c>
      <c r="B667">
        <v>0</v>
      </c>
      <c r="C667">
        <v>0</v>
      </c>
      <c r="D667">
        <v>0</v>
      </c>
      <c r="E667">
        <v>0</v>
      </c>
      <c r="F667">
        <v>0</v>
      </c>
      <c r="G667">
        <v>0</v>
      </c>
      <c r="H667">
        <v>0</v>
      </c>
      <c r="I667">
        <v>0</v>
      </c>
      <c r="J667">
        <v>0</v>
      </c>
      <c r="K667">
        <v>0</v>
      </c>
      <c r="L667">
        <v>0</v>
      </c>
      <c r="M667">
        <v>0</v>
      </c>
      <c r="N667">
        <v>0</v>
      </c>
      <c r="O667">
        <v>0</v>
      </c>
      <c r="P667">
        <v>0</v>
      </c>
      <c r="Q667">
        <v>0</v>
      </c>
      <c r="R667">
        <v>0</v>
      </c>
      <c r="S667">
        <v>0</v>
      </c>
      <c r="T667">
        <v>0</v>
      </c>
      <c r="U667">
        <v>0</v>
      </c>
      <c r="V667">
        <v>0</v>
      </c>
      <c r="W667">
        <v>0</v>
      </c>
      <c r="X667">
        <v>0</v>
      </c>
      <c r="Y667">
        <v>0</v>
      </c>
      <c r="Z667">
        <v>0</v>
      </c>
      <c r="AA667">
        <v>0</v>
      </c>
      <c r="AB667">
        <v>0</v>
      </c>
      <c r="AC667">
        <v>0</v>
      </c>
      <c r="AD667">
        <v>0</v>
      </c>
      <c r="AF667">
        <v>0</v>
      </c>
      <c r="AG667">
        <v>0</v>
      </c>
      <c r="AH667">
        <v>0</v>
      </c>
      <c r="AI667">
        <v>0</v>
      </c>
      <c r="AJ667">
        <v>0</v>
      </c>
      <c r="AK667">
        <v>0</v>
      </c>
      <c r="AL667">
        <v>0</v>
      </c>
      <c r="AM667">
        <v>0</v>
      </c>
      <c r="AN667">
        <v>0</v>
      </c>
      <c r="AO667">
        <v>0</v>
      </c>
      <c r="AP667">
        <v>0</v>
      </c>
      <c r="AQ667">
        <v>0</v>
      </c>
      <c r="AR667">
        <v>0</v>
      </c>
      <c r="AS667">
        <v>0</v>
      </c>
      <c r="AT667">
        <v>0</v>
      </c>
      <c r="AU667">
        <v>0</v>
      </c>
      <c r="AV667">
        <v>0</v>
      </c>
      <c r="AW667">
        <v>0</v>
      </c>
      <c r="AX667">
        <v>0</v>
      </c>
      <c r="AY667">
        <v>0</v>
      </c>
      <c r="AZ667">
        <v>0</v>
      </c>
      <c r="BA667">
        <v>0</v>
      </c>
      <c r="BB667">
        <v>0</v>
      </c>
      <c r="BC667">
        <v>0</v>
      </c>
      <c r="BD667">
        <v>0</v>
      </c>
      <c r="BE667">
        <v>0</v>
      </c>
      <c r="BF667">
        <v>0</v>
      </c>
      <c r="BG667">
        <v>0</v>
      </c>
      <c r="BH667">
        <v>0</v>
      </c>
      <c r="BI667">
        <v>0</v>
      </c>
      <c r="BK667" s="151"/>
    </row>
    <row r="668" spans="1:63" x14ac:dyDescent="0.35">
      <c r="A668">
        <v>0</v>
      </c>
      <c r="B668">
        <v>0</v>
      </c>
      <c r="C668">
        <v>0</v>
      </c>
      <c r="D668">
        <v>0</v>
      </c>
      <c r="E668">
        <v>0</v>
      </c>
      <c r="F668">
        <v>0</v>
      </c>
      <c r="G668">
        <v>0</v>
      </c>
      <c r="H668">
        <v>0</v>
      </c>
      <c r="I668">
        <v>0</v>
      </c>
      <c r="J668">
        <v>0</v>
      </c>
      <c r="K668">
        <v>0</v>
      </c>
      <c r="L668">
        <v>0</v>
      </c>
      <c r="M668">
        <v>0</v>
      </c>
      <c r="N668">
        <v>0</v>
      </c>
      <c r="O668">
        <v>0</v>
      </c>
      <c r="P668">
        <v>0</v>
      </c>
      <c r="Q668">
        <v>0</v>
      </c>
      <c r="R668">
        <v>0</v>
      </c>
      <c r="S668">
        <v>0</v>
      </c>
      <c r="T668">
        <v>0</v>
      </c>
      <c r="U668">
        <v>0</v>
      </c>
      <c r="V668">
        <v>0</v>
      </c>
      <c r="W668">
        <v>0</v>
      </c>
      <c r="X668">
        <v>0</v>
      </c>
      <c r="Y668">
        <v>0</v>
      </c>
      <c r="Z668">
        <v>0</v>
      </c>
      <c r="AA668">
        <v>0</v>
      </c>
      <c r="AB668">
        <v>0</v>
      </c>
      <c r="AC668">
        <v>0</v>
      </c>
      <c r="AD668">
        <v>0</v>
      </c>
      <c r="AF668">
        <v>0</v>
      </c>
      <c r="AG668">
        <v>0</v>
      </c>
      <c r="AH668">
        <v>0</v>
      </c>
      <c r="AI668">
        <v>0</v>
      </c>
      <c r="AJ668">
        <v>0</v>
      </c>
      <c r="AK668">
        <v>0</v>
      </c>
      <c r="AL668">
        <v>0</v>
      </c>
      <c r="AM668">
        <v>0</v>
      </c>
      <c r="AN668">
        <v>0</v>
      </c>
      <c r="AO668">
        <v>0</v>
      </c>
      <c r="AP668">
        <v>0</v>
      </c>
      <c r="AQ668">
        <v>0</v>
      </c>
      <c r="AR668">
        <v>0</v>
      </c>
      <c r="AS668">
        <v>0</v>
      </c>
      <c r="AT668">
        <v>0</v>
      </c>
      <c r="AU668">
        <v>0</v>
      </c>
      <c r="AV668">
        <v>0</v>
      </c>
      <c r="AW668">
        <v>0</v>
      </c>
      <c r="AX668">
        <v>0</v>
      </c>
      <c r="AY668">
        <v>0</v>
      </c>
      <c r="AZ668">
        <v>0</v>
      </c>
      <c r="BA668">
        <v>0</v>
      </c>
      <c r="BB668">
        <v>0</v>
      </c>
      <c r="BC668">
        <v>0</v>
      </c>
      <c r="BD668">
        <v>0</v>
      </c>
      <c r="BE668">
        <v>0</v>
      </c>
      <c r="BF668">
        <v>0</v>
      </c>
      <c r="BG668">
        <v>0</v>
      </c>
      <c r="BH668">
        <v>0</v>
      </c>
      <c r="BI668">
        <v>0</v>
      </c>
      <c r="BK668" s="151"/>
    </row>
    <row r="669" spans="1:63" x14ac:dyDescent="0.35">
      <c r="A669">
        <v>0</v>
      </c>
      <c r="B669">
        <v>0</v>
      </c>
      <c r="C669">
        <v>0</v>
      </c>
      <c r="D669">
        <v>0</v>
      </c>
      <c r="E669">
        <v>0</v>
      </c>
      <c r="F669">
        <v>0</v>
      </c>
      <c r="G669">
        <v>0</v>
      </c>
      <c r="H669">
        <v>0</v>
      </c>
      <c r="I669">
        <v>0</v>
      </c>
      <c r="J669">
        <v>0</v>
      </c>
      <c r="K669">
        <v>0</v>
      </c>
      <c r="L669">
        <v>0</v>
      </c>
      <c r="M669">
        <v>0</v>
      </c>
      <c r="N669">
        <v>0</v>
      </c>
      <c r="O669">
        <v>0</v>
      </c>
      <c r="P669">
        <v>0</v>
      </c>
      <c r="Q669">
        <v>0</v>
      </c>
      <c r="R669">
        <v>0</v>
      </c>
      <c r="S669">
        <v>0</v>
      </c>
      <c r="T669">
        <v>0</v>
      </c>
      <c r="U669">
        <v>0</v>
      </c>
      <c r="V669">
        <v>0</v>
      </c>
      <c r="W669">
        <v>0</v>
      </c>
      <c r="X669">
        <v>0</v>
      </c>
      <c r="Y669">
        <v>0</v>
      </c>
      <c r="Z669">
        <v>0</v>
      </c>
      <c r="AA669">
        <v>0</v>
      </c>
      <c r="AB669">
        <v>0</v>
      </c>
      <c r="AC669">
        <v>0</v>
      </c>
      <c r="AD669">
        <v>0</v>
      </c>
      <c r="AF669">
        <v>0</v>
      </c>
      <c r="AG669">
        <v>0</v>
      </c>
      <c r="AH669">
        <v>0</v>
      </c>
      <c r="AI669">
        <v>0</v>
      </c>
      <c r="AJ669">
        <v>0</v>
      </c>
      <c r="AK669">
        <v>0</v>
      </c>
      <c r="AL669">
        <v>0</v>
      </c>
      <c r="AM669">
        <v>0</v>
      </c>
      <c r="AN669">
        <v>0</v>
      </c>
      <c r="AO669">
        <v>0</v>
      </c>
      <c r="AP669">
        <v>0</v>
      </c>
      <c r="AQ669">
        <v>0</v>
      </c>
      <c r="AR669">
        <v>0</v>
      </c>
      <c r="AS669">
        <v>0</v>
      </c>
      <c r="AT669">
        <v>0</v>
      </c>
      <c r="AU669">
        <v>0</v>
      </c>
      <c r="AV669">
        <v>0</v>
      </c>
      <c r="AW669">
        <v>0</v>
      </c>
      <c r="AX669">
        <v>0</v>
      </c>
      <c r="AY669">
        <v>0</v>
      </c>
      <c r="AZ669">
        <v>0</v>
      </c>
      <c r="BA669">
        <v>0</v>
      </c>
      <c r="BB669">
        <v>0</v>
      </c>
      <c r="BC669">
        <v>0</v>
      </c>
      <c r="BD669">
        <v>0</v>
      </c>
      <c r="BE669">
        <v>0</v>
      </c>
      <c r="BF669">
        <v>0</v>
      </c>
      <c r="BG669">
        <v>0</v>
      </c>
      <c r="BH669">
        <v>0</v>
      </c>
      <c r="BI669">
        <v>0</v>
      </c>
      <c r="BK669" s="151"/>
    </row>
    <row r="670" spans="1:63" x14ac:dyDescent="0.35">
      <c r="A670">
        <v>0</v>
      </c>
      <c r="B670">
        <v>0</v>
      </c>
      <c r="C670">
        <v>0</v>
      </c>
      <c r="D670">
        <v>0</v>
      </c>
      <c r="E670">
        <v>0</v>
      </c>
      <c r="F670">
        <v>0</v>
      </c>
      <c r="G670">
        <v>0</v>
      </c>
      <c r="H670">
        <v>0</v>
      </c>
      <c r="I670">
        <v>0</v>
      </c>
      <c r="J670">
        <v>0</v>
      </c>
      <c r="K670">
        <v>0</v>
      </c>
      <c r="L670">
        <v>0</v>
      </c>
      <c r="M670">
        <v>0</v>
      </c>
      <c r="N670">
        <v>0</v>
      </c>
      <c r="O670">
        <v>0</v>
      </c>
      <c r="P670">
        <v>0</v>
      </c>
      <c r="Q670">
        <v>0</v>
      </c>
      <c r="R670">
        <v>0</v>
      </c>
      <c r="S670">
        <v>0</v>
      </c>
      <c r="T670">
        <v>0</v>
      </c>
      <c r="U670">
        <v>0</v>
      </c>
      <c r="V670">
        <v>0</v>
      </c>
      <c r="W670">
        <v>0</v>
      </c>
      <c r="X670">
        <v>0</v>
      </c>
      <c r="Y670">
        <v>0</v>
      </c>
      <c r="Z670">
        <v>0</v>
      </c>
      <c r="AA670">
        <v>0</v>
      </c>
      <c r="AB670">
        <v>0</v>
      </c>
      <c r="AC670">
        <v>0</v>
      </c>
      <c r="AD670">
        <v>0</v>
      </c>
      <c r="AF670">
        <v>0</v>
      </c>
      <c r="AG670">
        <v>0</v>
      </c>
      <c r="AH670">
        <v>0</v>
      </c>
      <c r="AI670">
        <v>0</v>
      </c>
      <c r="AJ670">
        <v>0</v>
      </c>
      <c r="AK670">
        <v>0</v>
      </c>
      <c r="AL670">
        <v>0</v>
      </c>
      <c r="AM670">
        <v>0</v>
      </c>
      <c r="AN670">
        <v>0</v>
      </c>
      <c r="AO670">
        <v>0</v>
      </c>
      <c r="AP670">
        <v>0</v>
      </c>
      <c r="AQ670">
        <v>0</v>
      </c>
      <c r="AR670">
        <v>0</v>
      </c>
      <c r="AS670">
        <v>0</v>
      </c>
      <c r="AT670">
        <v>0</v>
      </c>
      <c r="AU670">
        <v>0</v>
      </c>
      <c r="AV670">
        <v>0</v>
      </c>
      <c r="AW670">
        <v>0</v>
      </c>
      <c r="AX670">
        <v>0</v>
      </c>
      <c r="AY670">
        <v>0</v>
      </c>
      <c r="AZ670">
        <v>0</v>
      </c>
      <c r="BA670">
        <v>0</v>
      </c>
      <c r="BB670">
        <v>0</v>
      </c>
      <c r="BC670">
        <v>0</v>
      </c>
      <c r="BD670">
        <v>0</v>
      </c>
      <c r="BE670">
        <v>0</v>
      </c>
      <c r="BF670">
        <v>0</v>
      </c>
      <c r="BG670">
        <v>0</v>
      </c>
      <c r="BH670">
        <v>0</v>
      </c>
      <c r="BI670">
        <v>0</v>
      </c>
      <c r="BK670" s="151"/>
    </row>
    <row r="671" spans="1:63" x14ac:dyDescent="0.35">
      <c r="A671">
        <v>0</v>
      </c>
      <c r="B671">
        <v>0</v>
      </c>
      <c r="C671">
        <v>0</v>
      </c>
      <c r="D671">
        <v>0</v>
      </c>
      <c r="E671">
        <v>0</v>
      </c>
      <c r="F671">
        <v>0</v>
      </c>
      <c r="G671">
        <v>0</v>
      </c>
      <c r="H671">
        <v>0</v>
      </c>
      <c r="I671">
        <v>0</v>
      </c>
      <c r="J671">
        <v>0</v>
      </c>
      <c r="K671">
        <v>0</v>
      </c>
      <c r="L671">
        <v>0</v>
      </c>
      <c r="M671">
        <v>0</v>
      </c>
      <c r="N671">
        <v>0</v>
      </c>
      <c r="O671">
        <v>0</v>
      </c>
      <c r="P671">
        <v>0</v>
      </c>
      <c r="Q671">
        <v>0</v>
      </c>
      <c r="R671">
        <v>0</v>
      </c>
      <c r="S671">
        <v>0</v>
      </c>
      <c r="T671">
        <v>0</v>
      </c>
      <c r="U671">
        <v>0</v>
      </c>
      <c r="V671">
        <v>0</v>
      </c>
      <c r="W671">
        <v>0</v>
      </c>
      <c r="X671">
        <v>0</v>
      </c>
      <c r="Y671">
        <v>0</v>
      </c>
      <c r="Z671">
        <v>0</v>
      </c>
      <c r="AA671">
        <v>0</v>
      </c>
      <c r="AB671">
        <v>0</v>
      </c>
      <c r="AC671">
        <v>0</v>
      </c>
      <c r="AD671">
        <v>0</v>
      </c>
      <c r="AF671">
        <v>0</v>
      </c>
      <c r="AG671">
        <v>0</v>
      </c>
      <c r="AH671">
        <v>0</v>
      </c>
      <c r="AI671">
        <v>0</v>
      </c>
      <c r="AJ671">
        <v>0</v>
      </c>
      <c r="AK671">
        <v>0</v>
      </c>
      <c r="AL671">
        <v>0</v>
      </c>
      <c r="AM671">
        <v>0</v>
      </c>
      <c r="AN671">
        <v>0</v>
      </c>
      <c r="AO671">
        <v>0</v>
      </c>
      <c r="AP671">
        <v>0</v>
      </c>
      <c r="AQ671">
        <v>0</v>
      </c>
      <c r="AR671">
        <v>0</v>
      </c>
      <c r="AS671">
        <v>0</v>
      </c>
      <c r="AT671">
        <v>0</v>
      </c>
      <c r="AU671">
        <v>0</v>
      </c>
      <c r="AV671">
        <v>0</v>
      </c>
      <c r="AW671">
        <v>0</v>
      </c>
      <c r="AX671">
        <v>0</v>
      </c>
      <c r="AY671">
        <v>0</v>
      </c>
      <c r="AZ671">
        <v>0</v>
      </c>
      <c r="BA671">
        <v>0</v>
      </c>
      <c r="BB671">
        <v>0</v>
      </c>
      <c r="BC671">
        <v>0</v>
      </c>
      <c r="BD671">
        <v>0</v>
      </c>
      <c r="BE671">
        <v>0</v>
      </c>
      <c r="BF671">
        <v>0</v>
      </c>
      <c r="BG671">
        <v>0</v>
      </c>
      <c r="BH671">
        <v>0</v>
      </c>
      <c r="BI671">
        <v>0</v>
      </c>
      <c r="BK671" s="151"/>
    </row>
    <row r="672" spans="1:63" x14ac:dyDescent="0.35">
      <c r="A672">
        <v>0</v>
      </c>
      <c r="B672">
        <v>0</v>
      </c>
      <c r="C672">
        <v>0</v>
      </c>
      <c r="D672">
        <v>0</v>
      </c>
      <c r="E672">
        <v>0</v>
      </c>
      <c r="F672">
        <v>0</v>
      </c>
      <c r="G672">
        <v>0</v>
      </c>
      <c r="H672">
        <v>0</v>
      </c>
      <c r="I672">
        <v>0</v>
      </c>
      <c r="J672">
        <v>0</v>
      </c>
      <c r="K672">
        <v>0</v>
      </c>
      <c r="L672">
        <v>0</v>
      </c>
      <c r="M672">
        <v>0</v>
      </c>
      <c r="N672">
        <v>0</v>
      </c>
      <c r="O672">
        <v>0</v>
      </c>
      <c r="P672">
        <v>0</v>
      </c>
      <c r="Q672">
        <v>0</v>
      </c>
      <c r="R672">
        <v>0</v>
      </c>
      <c r="S672">
        <v>0</v>
      </c>
      <c r="T672">
        <v>0</v>
      </c>
      <c r="U672">
        <v>0</v>
      </c>
      <c r="V672">
        <v>0</v>
      </c>
      <c r="W672">
        <v>0</v>
      </c>
      <c r="X672">
        <v>0</v>
      </c>
      <c r="Y672">
        <v>0</v>
      </c>
      <c r="Z672">
        <v>0</v>
      </c>
      <c r="AA672">
        <v>0</v>
      </c>
      <c r="AB672">
        <v>0</v>
      </c>
      <c r="AC672">
        <v>0</v>
      </c>
      <c r="AD672">
        <v>0</v>
      </c>
      <c r="AF672">
        <v>0</v>
      </c>
      <c r="AG672">
        <v>0</v>
      </c>
      <c r="AH672">
        <v>0</v>
      </c>
      <c r="AI672">
        <v>0</v>
      </c>
      <c r="AJ672">
        <v>0</v>
      </c>
      <c r="AK672">
        <v>0</v>
      </c>
      <c r="AL672">
        <v>0</v>
      </c>
      <c r="AM672">
        <v>0</v>
      </c>
      <c r="AN672">
        <v>0</v>
      </c>
      <c r="AO672">
        <v>0</v>
      </c>
      <c r="AP672">
        <v>0</v>
      </c>
      <c r="AQ672">
        <v>0</v>
      </c>
      <c r="AR672">
        <v>0</v>
      </c>
      <c r="AS672">
        <v>0</v>
      </c>
      <c r="AT672">
        <v>0</v>
      </c>
      <c r="AU672">
        <v>0</v>
      </c>
      <c r="AV672">
        <v>0</v>
      </c>
      <c r="AW672">
        <v>0</v>
      </c>
      <c r="AX672">
        <v>0</v>
      </c>
      <c r="AY672">
        <v>0</v>
      </c>
      <c r="AZ672">
        <v>0</v>
      </c>
      <c r="BA672">
        <v>0</v>
      </c>
      <c r="BB672">
        <v>0</v>
      </c>
      <c r="BC672">
        <v>0</v>
      </c>
      <c r="BD672">
        <v>0</v>
      </c>
      <c r="BE672">
        <v>0</v>
      </c>
      <c r="BF672">
        <v>0</v>
      </c>
      <c r="BG672">
        <v>0</v>
      </c>
      <c r="BH672">
        <v>0</v>
      </c>
      <c r="BI672">
        <v>0</v>
      </c>
      <c r="BK672" s="151"/>
    </row>
    <row r="673" spans="1:63" x14ac:dyDescent="0.35">
      <c r="A673">
        <v>0</v>
      </c>
      <c r="B673">
        <v>0</v>
      </c>
      <c r="C673">
        <v>0</v>
      </c>
      <c r="D673">
        <v>0</v>
      </c>
      <c r="E673">
        <v>0</v>
      </c>
      <c r="F673">
        <v>0</v>
      </c>
      <c r="G673">
        <v>0</v>
      </c>
      <c r="H673">
        <v>0</v>
      </c>
      <c r="I673">
        <v>0</v>
      </c>
      <c r="J673">
        <v>0</v>
      </c>
      <c r="K673">
        <v>0</v>
      </c>
      <c r="L673">
        <v>0</v>
      </c>
      <c r="M673">
        <v>0</v>
      </c>
      <c r="N673">
        <v>0</v>
      </c>
      <c r="O673">
        <v>0</v>
      </c>
      <c r="P673">
        <v>0</v>
      </c>
      <c r="Q673">
        <v>0</v>
      </c>
      <c r="R673">
        <v>0</v>
      </c>
      <c r="S673">
        <v>0</v>
      </c>
      <c r="T673">
        <v>0</v>
      </c>
      <c r="U673">
        <v>0</v>
      </c>
      <c r="V673">
        <v>0</v>
      </c>
      <c r="W673">
        <v>0</v>
      </c>
      <c r="X673">
        <v>0</v>
      </c>
      <c r="Y673">
        <v>0</v>
      </c>
      <c r="Z673">
        <v>0</v>
      </c>
      <c r="AA673">
        <v>0</v>
      </c>
      <c r="AB673">
        <v>0</v>
      </c>
      <c r="AC673">
        <v>0</v>
      </c>
      <c r="AD673">
        <v>0</v>
      </c>
      <c r="AF673">
        <v>0</v>
      </c>
      <c r="AG673">
        <v>0</v>
      </c>
      <c r="AH673">
        <v>0</v>
      </c>
      <c r="AI673">
        <v>0</v>
      </c>
      <c r="AJ673">
        <v>0</v>
      </c>
      <c r="AK673">
        <v>0</v>
      </c>
      <c r="AL673">
        <v>0</v>
      </c>
      <c r="AM673">
        <v>0</v>
      </c>
      <c r="AN673">
        <v>0</v>
      </c>
      <c r="AO673">
        <v>0</v>
      </c>
      <c r="AP673">
        <v>0</v>
      </c>
      <c r="AQ673">
        <v>0</v>
      </c>
      <c r="AR673">
        <v>0</v>
      </c>
      <c r="AS673">
        <v>0</v>
      </c>
      <c r="AT673">
        <v>0</v>
      </c>
      <c r="AU673">
        <v>0</v>
      </c>
      <c r="AV673">
        <v>0</v>
      </c>
      <c r="AW673">
        <v>0</v>
      </c>
      <c r="AX673">
        <v>0</v>
      </c>
      <c r="AY673">
        <v>0</v>
      </c>
      <c r="AZ673">
        <v>0</v>
      </c>
      <c r="BA673">
        <v>0</v>
      </c>
      <c r="BB673">
        <v>0</v>
      </c>
      <c r="BC673">
        <v>0</v>
      </c>
      <c r="BD673">
        <v>0</v>
      </c>
      <c r="BE673">
        <v>0</v>
      </c>
      <c r="BF673">
        <v>0</v>
      </c>
      <c r="BG673">
        <v>0</v>
      </c>
      <c r="BH673">
        <v>0</v>
      </c>
      <c r="BI673">
        <v>0</v>
      </c>
      <c r="BK673" s="151"/>
    </row>
    <row r="674" spans="1:63" x14ac:dyDescent="0.35">
      <c r="A674">
        <v>0</v>
      </c>
      <c r="B674">
        <v>0</v>
      </c>
      <c r="C674">
        <v>0</v>
      </c>
      <c r="D674">
        <v>0</v>
      </c>
      <c r="E674">
        <v>0</v>
      </c>
      <c r="F674">
        <v>0</v>
      </c>
      <c r="G674">
        <v>0</v>
      </c>
      <c r="H674">
        <v>0</v>
      </c>
      <c r="I674">
        <v>0</v>
      </c>
      <c r="J674">
        <v>0</v>
      </c>
      <c r="K674">
        <v>0</v>
      </c>
      <c r="L674">
        <v>0</v>
      </c>
      <c r="M674">
        <v>0</v>
      </c>
      <c r="N674">
        <v>0</v>
      </c>
      <c r="O674">
        <v>0</v>
      </c>
      <c r="P674">
        <v>0</v>
      </c>
      <c r="Q674">
        <v>0</v>
      </c>
      <c r="R674">
        <v>0</v>
      </c>
      <c r="S674">
        <v>0</v>
      </c>
      <c r="T674">
        <v>0</v>
      </c>
      <c r="U674">
        <v>0</v>
      </c>
      <c r="V674">
        <v>0</v>
      </c>
      <c r="W674">
        <v>0</v>
      </c>
      <c r="X674">
        <v>0</v>
      </c>
      <c r="Y674">
        <v>0</v>
      </c>
      <c r="Z674">
        <v>0</v>
      </c>
      <c r="AA674">
        <v>0</v>
      </c>
      <c r="AB674">
        <v>0</v>
      </c>
      <c r="AC674">
        <v>0</v>
      </c>
      <c r="AD674">
        <v>0</v>
      </c>
      <c r="AF674">
        <v>0</v>
      </c>
      <c r="AG674">
        <v>0</v>
      </c>
      <c r="AH674">
        <v>0</v>
      </c>
      <c r="AI674">
        <v>0</v>
      </c>
      <c r="AJ674">
        <v>0</v>
      </c>
      <c r="AK674">
        <v>0</v>
      </c>
      <c r="AL674">
        <v>0</v>
      </c>
      <c r="AM674">
        <v>0</v>
      </c>
      <c r="AN674">
        <v>0</v>
      </c>
      <c r="AO674">
        <v>0</v>
      </c>
      <c r="AP674">
        <v>0</v>
      </c>
      <c r="AQ674">
        <v>0</v>
      </c>
      <c r="AR674">
        <v>0</v>
      </c>
      <c r="AS674">
        <v>0</v>
      </c>
      <c r="AT674">
        <v>0</v>
      </c>
      <c r="AU674">
        <v>0</v>
      </c>
      <c r="AV674">
        <v>0</v>
      </c>
      <c r="AW674">
        <v>0</v>
      </c>
      <c r="AX674">
        <v>0</v>
      </c>
      <c r="AY674">
        <v>0</v>
      </c>
      <c r="AZ674">
        <v>0</v>
      </c>
      <c r="BA674">
        <v>0</v>
      </c>
      <c r="BB674">
        <v>0</v>
      </c>
      <c r="BC674">
        <v>0</v>
      </c>
      <c r="BD674">
        <v>0</v>
      </c>
      <c r="BE674">
        <v>0</v>
      </c>
      <c r="BF674">
        <v>0</v>
      </c>
      <c r="BG674">
        <v>0</v>
      </c>
      <c r="BH674">
        <v>0</v>
      </c>
      <c r="BI674">
        <v>0</v>
      </c>
      <c r="BK674" s="151"/>
    </row>
    <row r="675" spans="1:63" x14ac:dyDescent="0.35">
      <c r="A675">
        <v>0</v>
      </c>
      <c r="B675">
        <v>0</v>
      </c>
      <c r="C675">
        <v>0</v>
      </c>
      <c r="D675">
        <v>0</v>
      </c>
      <c r="E675">
        <v>0</v>
      </c>
      <c r="F675">
        <v>0</v>
      </c>
      <c r="G675">
        <v>0</v>
      </c>
      <c r="H675">
        <v>0</v>
      </c>
      <c r="I675">
        <v>0</v>
      </c>
      <c r="J675">
        <v>0</v>
      </c>
      <c r="K675">
        <v>0</v>
      </c>
      <c r="L675">
        <v>0</v>
      </c>
      <c r="M675">
        <v>0</v>
      </c>
      <c r="N675">
        <v>0</v>
      </c>
      <c r="O675">
        <v>0</v>
      </c>
      <c r="P675">
        <v>0</v>
      </c>
      <c r="Q675">
        <v>0</v>
      </c>
      <c r="R675">
        <v>0</v>
      </c>
      <c r="S675">
        <v>0</v>
      </c>
      <c r="T675">
        <v>0</v>
      </c>
      <c r="U675">
        <v>0</v>
      </c>
      <c r="V675">
        <v>0</v>
      </c>
      <c r="W675">
        <v>0</v>
      </c>
      <c r="X675">
        <v>0</v>
      </c>
      <c r="Y675">
        <v>0</v>
      </c>
      <c r="Z675">
        <v>0</v>
      </c>
      <c r="AA675">
        <v>0</v>
      </c>
      <c r="AB675">
        <v>0</v>
      </c>
      <c r="AC675">
        <v>0</v>
      </c>
      <c r="AD675">
        <v>0</v>
      </c>
      <c r="AF675">
        <v>0</v>
      </c>
      <c r="AG675">
        <v>0</v>
      </c>
      <c r="AH675">
        <v>0</v>
      </c>
      <c r="AI675">
        <v>0</v>
      </c>
      <c r="AJ675">
        <v>0</v>
      </c>
      <c r="AK675">
        <v>0</v>
      </c>
      <c r="AL675">
        <v>0</v>
      </c>
      <c r="AM675">
        <v>0</v>
      </c>
      <c r="AN675">
        <v>0</v>
      </c>
      <c r="AO675">
        <v>0</v>
      </c>
      <c r="AP675">
        <v>0</v>
      </c>
      <c r="AQ675">
        <v>0</v>
      </c>
      <c r="AR675">
        <v>0</v>
      </c>
      <c r="AS675">
        <v>0</v>
      </c>
      <c r="AT675">
        <v>0</v>
      </c>
      <c r="AU675">
        <v>0</v>
      </c>
      <c r="AV675">
        <v>0</v>
      </c>
      <c r="AW675">
        <v>0</v>
      </c>
      <c r="AX675">
        <v>0</v>
      </c>
      <c r="AY675">
        <v>0</v>
      </c>
      <c r="AZ675">
        <v>0</v>
      </c>
      <c r="BA675">
        <v>0</v>
      </c>
      <c r="BB675">
        <v>0</v>
      </c>
      <c r="BC675">
        <v>0</v>
      </c>
      <c r="BD675">
        <v>0</v>
      </c>
      <c r="BE675">
        <v>0</v>
      </c>
      <c r="BF675">
        <v>0</v>
      </c>
      <c r="BG675">
        <v>0</v>
      </c>
      <c r="BH675">
        <v>0</v>
      </c>
      <c r="BI675">
        <v>0</v>
      </c>
      <c r="BK675" s="151"/>
    </row>
    <row r="676" spans="1:63" x14ac:dyDescent="0.35">
      <c r="A676">
        <v>0</v>
      </c>
      <c r="B676">
        <v>0</v>
      </c>
      <c r="C676">
        <v>0</v>
      </c>
      <c r="D676">
        <v>0</v>
      </c>
      <c r="E676">
        <v>0</v>
      </c>
      <c r="F676">
        <v>0</v>
      </c>
      <c r="G676">
        <v>0</v>
      </c>
      <c r="H676">
        <v>0</v>
      </c>
      <c r="I676">
        <v>0</v>
      </c>
      <c r="J676">
        <v>0</v>
      </c>
      <c r="K676">
        <v>0</v>
      </c>
      <c r="L676">
        <v>0</v>
      </c>
      <c r="M676">
        <v>0</v>
      </c>
      <c r="N676">
        <v>0</v>
      </c>
      <c r="O676">
        <v>0</v>
      </c>
      <c r="P676">
        <v>0</v>
      </c>
      <c r="Q676">
        <v>0</v>
      </c>
      <c r="R676">
        <v>0</v>
      </c>
      <c r="S676">
        <v>0</v>
      </c>
      <c r="T676">
        <v>0</v>
      </c>
      <c r="U676">
        <v>0</v>
      </c>
      <c r="V676">
        <v>0</v>
      </c>
      <c r="W676">
        <v>0</v>
      </c>
      <c r="X676">
        <v>0</v>
      </c>
      <c r="Y676">
        <v>0</v>
      </c>
      <c r="Z676">
        <v>0</v>
      </c>
      <c r="AA676">
        <v>0</v>
      </c>
      <c r="AB676">
        <v>0</v>
      </c>
      <c r="AC676">
        <v>0</v>
      </c>
      <c r="AD676">
        <v>0</v>
      </c>
      <c r="AF676">
        <v>0</v>
      </c>
      <c r="AG676">
        <v>0</v>
      </c>
      <c r="AH676">
        <v>0</v>
      </c>
      <c r="AI676">
        <v>0</v>
      </c>
      <c r="AJ676">
        <v>0</v>
      </c>
      <c r="AK676">
        <v>0</v>
      </c>
      <c r="AL676">
        <v>0</v>
      </c>
      <c r="AM676">
        <v>0</v>
      </c>
      <c r="AN676">
        <v>0</v>
      </c>
      <c r="AO676">
        <v>0</v>
      </c>
      <c r="AP676">
        <v>0</v>
      </c>
      <c r="AQ676">
        <v>0</v>
      </c>
      <c r="AR676">
        <v>0</v>
      </c>
      <c r="AS676">
        <v>0</v>
      </c>
      <c r="AT676">
        <v>0</v>
      </c>
      <c r="AU676">
        <v>0</v>
      </c>
      <c r="AV676">
        <v>0</v>
      </c>
      <c r="AW676">
        <v>0</v>
      </c>
      <c r="AX676">
        <v>0</v>
      </c>
      <c r="AY676">
        <v>0</v>
      </c>
      <c r="AZ676">
        <v>0</v>
      </c>
      <c r="BA676">
        <v>0</v>
      </c>
      <c r="BB676">
        <v>0</v>
      </c>
      <c r="BC676">
        <v>0</v>
      </c>
      <c r="BD676">
        <v>0</v>
      </c>
      <c r="BE676">
        <v>0</v>
      </c>
      <c r="BF676">
        <v>0</v>
      </c>
      <c r="BG676">
        <v>0</v>
      </c>
      <c r="BH676">
        <v>0</v>
      </c>
      <c r="BI676">
        <v>0</v>
      </c>
      <c r="BK676" s="151"/>
    </row>
    <row r="677" spans="1:63" x14ac:dyDescent="0.35">
      <c r="A677">
        <v>0</v>
      </c>
      <c r="B677">
        <v>0</v>
      </c>
      <c r="C677">
        <v>0</v>
      </c>
      <c r="D677">
        <v>0</v>
      </c>
      <c r="E677">
        <v>0</v>
      </c>
      <c r="F677">
        <v>0</v>
      </c>
      <c r="G677">
        <v>0</v>
      </c>
      <c r="H677">
        <v>0</v>
      </c>
      <c r="I677">
        <v>0</v>
      </c>
      <c r="J677">
        <v>0</v>
      </c>
      <c r="K677">
        <v>0</v>
      </c>
      <c r="L677">
        <v>0</v>
      </c>
      <c r="M677">
        <v>0</v>
      </c>
      <c r="N677">
        <v>0</v>
      </c>
      <c r="O677">
        <v>0</v>
      </c>
      <c r="P677">
        <v>0</v>
      </c>
      <c r="Q677">
        <v>0</v>
      </c>
      <c r="R677">
        <v>0</v>
      </c>
      <c r="S677">
        <v>0</v>
      </c>
      <c r="T677">
        <v>0</v>
      </c>
      <c r="U677">
        <v>0</v>
      </c>
      <c r="V677">
        <v>0</v>
      </c>
      <c r="W677">
        <v>0</v>
      </c>
      <c r="X677">
        <v>0</v>
      </c>
      <c r="Y677">
        <v>0</v>
      </c>
      <c r="Z677">
        <v>0</v>
      </c>
      <c r="AA677">
        <v>0</v>
      </c>
      <c r="AB677">
        <v>0</v>
      </c>
      <c r="AC677">
        <v>0</v>
      </c>
      <c r="AD677">
        <v>0</v>
      </c>
      <c r="AF677">
        <v>0</v>
      </c>
      <c r="AG677">
        <v>0</v>
      </c>
      <c r="AH677">
        <v>0</v>
      </c>
      <c r="AI677">
        <v>0</v>
      </c>
      <c r="AJ677">
        <v>0</v>
      </c>
      <c r="AK677">
        <v>0</v>
      </c>
      <c r="AL677">
        <v>0</v>
      </c>
      <c r="AM677">
        <v>0</v>
      </c>
      <c r="AN677">
        <v>0</v>
      </c>
      <c r="AO677">
        <v>0</v>
      </c>
      <c r="AP677">
        <v>0</v>
      </c>
      <c r="AQ677">
        <v>0</v>
      </c>
      <c r="AR677">
        <v>0</v>
      </c>
      <c r="AS677">
        <v>0</v>
      </c>
      <c r="AT677">
        <v>0</v>
      </c>
      <c r="AU677">
        <v>0</v>
      </c>
      <c r="AV677">
        <v>0</v>
      </c>
      <c r="AW677">
        <v>0</v>
      </c>
      <c r="AX677">
        <v>0</v>
      </c>
      <c r="AY677">
        <v>0</v>
      </c>
      <c r="AZ677">
        <v>0</v>
      </c>
      <c r="BA677">
        <v>0</v>
      </c>
      <c r="BB677">
        <v>0</v>
      </c>
      <c r="BC677">
        <v>0</v>
      </c>
      <c r="BD677">
        <v>0</v>
      </c>
      <c r="BE677">
        <v>0</v>
      </c>
      <c r="BF677">
        <v>0</v>
      </c>
      <c r="BG677">
        <v>0</v>
      </c>
      <c r="BH677">
        <v>0</v>
      </c>
      <c r="BI677">
        <v>0</v>
      </c>
      <c r="BK677" s="151"/>
    </row>
    <row r="678" spans="1:63" x14ac:dyDescent="0.35">
      <c r="A678">
        <v>0</v>
      </c>
      <c r="B678">
        <v>0</v>
      </c>
      <c r="C678">
        <v>0</v>
      </c>
      <c r="D678">
        <v>0</v>
      </c>
      <c r="E678">
        <v>0</v>
      </c>
      <c r="F678">
        <v>0</v>
      </c>
      <c r="G678">
        <v>0</v>
      </c>
      <c r="H678">
        <v>0</v>
      </c>
      <c r="I678">
        <v>0</v>
      </c>
      <c r="J678">
        <v>0</v>
      </c>
      <c r="K678">
        <v>0</v>
      </c>
      <c r="L678">
        <v>0</v>
      </c>
      <c r="M678">
        <v>0</v>
      </c>
      <c r="N678">
        <v>0</v>
      </c>
      <c r="O678">
        <v>0</v>
      </c>
      <c r="P678">
        <v>0</v>
      </c>
      <c r="Q678">
        <v>0</v>
      </c>
      <c r="R678">
        <v>0</v>
      </c>
      <c r="S678">
        <v>0</v>
      </c>
      <c r="T678">
        <v>0</v>
      </c>
      <c r="U678">
        <v>0</v>
      </c>
      <c r="V678">
        <v>0</v>
      </c>
      <c r="W678">
        <v>0</v>
      </c>
      <c r="X678">
        <v>0</v>
      </c>
      <c r="Y678">
        <v>0</v>
      </c>
      <c r="Z678">
        <v>0</v>
      </c>
      <c r="AA678">
        <v>0</v>
      </c>
      <c r="AB678">
        <v>0</v>
      </c>
      <c r="AC678">
        <v>0</v>
      </c>
      <c r="AD678">
        <v>0</v>
      </c>
      <c r="AF678">
        <v>0</v>
      </c>
      <c r="AG678">
        <v>0</v>
      </c>
      <c r="AH678">
        <v>0</v>
      </c>
      <c r="AI678">
        <v>0</v>
      </c>
      <c r="AJ678">
        <v>0</v>
      </c>
      <c r="AK678">
        <v>0</v>
      </c>
      <c r="AL678">
        <v>0</v>
      </c>
      <c r="AM678">
        <v>0</v>
      </c>
      <c r="AN678">
        <v>0</v>
      </c>
      <c r="AO678">
        <v>0</v>
      </c>
      <c r="AP678">
        <v>0</v>
      </c>
      <c r="AQ678">
        <v>0</v>
      </c>
      <c r="AR678">
        <v>0</v>
      </c>
      <c r="AS678">
        <v>0</v>
      </c>
      <c r="AT678">
        <v>0</v>
      </c>
      <c r="AU678">
        <v>0</v>
      </c>
      <c r="AV678">
        <v>0</v>
      </c>
      <c r="AW678">
        <v>0</v>
      </c>
      <c r="AX678">
        <v>0</v>
      </c>
      <c r="AY678">
        <v>0</v>
      </c>
      <c r="AZ678">
        <v>0</v>
      </c>
      <c r="BA678">
        <v>0</v>
      </c>
      <c r="BB678">
        <v>0</v>
      </c>
      <c r="BC678">
        <v>0</v>
      </c>
      <c r="BD678">
        <v>0</v>
      </c>
      <c r="BE678">
        <v>0</v>
      </c>
      <c r="BF678">
        <v>0</v>
      </c>
      <c r="BG678">
        <v>0</v>
      </c>
      <c r="BH678">
        <v>0</v>
      </c>
      <c r="BI678">
        <v>0</v>
      </c>
      <c r="BK678" s="151"/>
    </row>
    <row r="679" spans="1:63" x14ac:dyDescent="0.35">
      <c r="A679">
        <v>0</v>
      </c>
      <c r="B679">
        <v>0</v>
      </c>
      <c r="C679">
        <v>0</v>
      </c>
      <c r="D679">
        <v>0</v>
      </c>
      <c r="E679">
        <v>0</v>
      </c>
      <c r="F679">
        <v>0</v>
      </c>
      <c r="G679">
        <v>0</v>
      </c>
      <c r="H679">
        <v>0</v>
      </c>
      <c r="I679">
        <v>0</v>
      </c>
      <c r="J679">
        <v>0</v>
      </c>
      <c r="K679">
        <v>0</v>
      </c>
      <c r="L679">
        <v>0</v>
      </c>
      <c r="M679">
        <v>0</v>
      </c>
      <c r="N679">
        <v>0</v>
      </c>
      <c r="O679">
        <v>0</v>
      </c>
      <c r="P679">
        <v>0</v>
      </c>
      <c r="Q679">
        <v>0</v>
      </c>
      <c r="R679">
        <v>0</v>
      </c>
      <c r="S679">
        <v>0</v>
      </c>
      <c r="T679">
        <v>0</v>
      </c>
      <c r="U679">
        <v>0</v>
      </c>
      <c r="V679">
        <v>0</v>
      </c>
      <c r="W679">
        <v>0</v>
      </c>
      <c r="X679">
        <v>0</v>
      </c>
      <c r="Y679">
        <v>0</v>
      </c>
      <c r="Z679">
        <v>0</v>
      </c>
      <c r="AA679">
        <v>0</v>
      </c>
      <c r="AB679">
        <v>0</v>
      </c>
      <c r="AC679">
        <v>0</v>
      </c>
      <c r="AD679">
        <v>0</v>
      </c>
      <c r="AF679">
        <v>0</v>
      </c>
      <c r="AG679">
        <v>0</v>
      </c>
      <c r="AH679">
        <v>0</v>
      </c>
      <c r="AI679">
        <v>0</v>
      </c>
      <c r="AJ679">
        <v>0</v>
      </c>
      <c r="AK679">
        <v>0</v>
      </c>
      <c r="AL679">
        <v>0</v>
      </c>
      <c r="AM679">
        <v>0</v>
      </c>
      <c r="AN679">
        <v>0</v>
      </c>
      <c r="AO679">
        <v>0</v>
      </c>
      <c r="AP679">
        <v>0</v>
      </c>
      <c r="AQ679">
        <v>0</v>
      </c>
      <c r="AR679">
        <v>0</v>
      </c>
      <c r="AS679">
        <v>0</v>
      </c>
      <c r="AT679">
        <v>0</v>
      </c>
      <c r="AU679">
        <v>0</v>
      </c>
      <c r="AV679">
        <v>0</v>
      </c>
      <c r="AW679">
        <v>0</v>
      </c>
      <c r="AX679">
        <v>0</v>
      </c>
      <c r="AY679">
        <v>0</v>
      </c>
      <c r="AZ679">
        <v>0</v>
      </c>
      <c r="BA679">
        <v>0</v>
      </c>
      <c r="BB679">
        <v>0</v>
      </c>
      <c r="BC679">
        <v>0</v>
      </c>
      <c r="BD679">
        <v>0</v>
      </c>
      <c r="BE679">
        <v>0</v>
      </c>
      <c r="BF679">
        <v>0</v>
      </c>
      <c r="BG679">
        <v>0</v>
      </c>
      <c r="BH679">
        <v>0</v>
      </c>
      <c r="BI679">
        <v>0</v>
      </c>
      <c r="BK679" s="151"/>
    </row>
    <row r="680" spans="1:63" x14ac:dyDescent="0.35">
      <c r="A680">
        <v>0</v>
      </c>
      <c r="B680">
        <v>0</v>
      </c>
      <c r="C680">
        <v>0</v>
      </c>
      <c r="D680">
        <v>0</v>
      </c>
      <c r="E680">
        <v>0</v>
      </c>
      <c r="F680">
        <v>0</v>
      </c>
      <c r="G680">
        <v>0</v>
      </c>
      <c r="H680">
        <v>0</v>
      </c>
      <c r="I680">
        <v>0</v>
      </c>
      <c r="J680">
        <v>0</v>
      </c>
      <c r="K680">
        <v>0</v>
      </c>
      <c r="L680">
        <v>0</v>
      </c>
      <c r="M680">
        <v>0</v>
      </c>
      <c r="N680">
        <v>0</v>
      </c>
      <c r="O680">
        <v>0</v>
      </c>
      <c r="P680">
        <v>0</v>
      </c>
      <c r="Q680">
        <v>0</v>
      </c>
      <c r="R680">
        <v>0</v>
      </c>
      <c r="S680">
        <v>0</v>
      </c>
      <c r="T680">
        <v>0</v>
      </c>
      <c r="U680">
        <v>0</v>
      </c>
      <c r="V680">
        <v>0</v>
      </c>
      <c r="W680">
        <v>0</v>
      </c>
      <c r="X680">
        <v>0</v>
      </c>
      <c r="Y680">
        <v>0</v>
      </c>
      <c r="Z680">
        <v>0</v>
      </c>
      <c r="AA680">
        <v>0</v>
      </c>
      <c r="AB680">
        <v>0</v>
      </c>
      <c r="AC680">
        <v>0</v>
      </c>
      <c r="AD680">
        <v>0</v>
      </c>
      <c r="AF680">
        <v>0</v>
      </c>
      <c r="AG680">
        <v>0</v>
      </c>
      <c r="AH680">
        <v>0</v>
      </c>
      <c r="AI680">
        <v>0</v>
      </c>
      <c r="AJ680">
        <v>0</v>
      </c>
      <c r="AK680">
        <v>0</v>
      </c>
      <c r="AL680">
        <v>0</v>
      </c>
      <c r="AM680">
        <v>0</v>
      </c>
      <c r="AN680">
        <v>0</v>
      </c>
      <c r="AO680">
        <v>0</v>
      </c>
      <c r="AP680">
        <v>0</v>
      </c>
      <c r="AQ680">
        <v>0</v>
      </c>
      <c r="AR680">
        <v>0</v>
      </c>
      <c r="AS680">
        <v>0</v>
      </c>
      <c r="AT680">
        <v>0</v>
      </c>
      <c r="AU680">
        <v>0</v>
      </c>
      <c r="AV680">
        <v>0</v>
      </c>
      <c r="AW680">
        <v>0</v>
      </c>
      <c r="AX680">
        <v>0</v>
      </c>
      <c r="AY680">
        <v>0</v>
      </c>
      <c r="AZ680">
        <v>0</v>
      </c>
      <c r="BA680">
        <v>0</v>
      </c>
      <c r="BB680">
        <v>0</v>
      </c>
      <c r="BC680">
        <v>0</v>
      </c>
      <c r="BD680">
        <v>0</v>
      </c>
      <c r="BE680">
        <v>0</v>
      </c>
      <c r="BF680">
        <v>0</v>
      </c>
      <c r="BG680">
        <v>0</v>
      </c>
      <c r="BH680">
        <v>0</v>
      </c>
      <c r="BI680">
        <v>0</v>
      </c>
      <c r="BK680" s="151"/>
    </row>
    <row r="681" spans="1:63" x14ac:dyDescent="0.35">
      <c r="A681">
        <v>0</v>
      </c>
      <c r="B681">
        <v>0</v>
      </c>
      <c r="C681">
        <v>0</v>
      </c>
      <c r="D681">
        <v>0</v>
      </c>
      <c r="E681">
        <v>0</v>
      </c>
      <c r="F681">
        <v>0</v>
      </c>
      <c r="G681">
        <v>0</v>
      </c>
      <c r="H681">
        <v>0</v>
      </c>
      <c r="I681">
        <v>0</v>
      </c>
      <c r="J681">
        <v>0</v>
      </c>
      <c r="K681">
        <v>0</v>
      </c>
      <c r="L681">
        <v>0</v>
      </c>
      <c r="M681">
        <v>0</v>
      </c>
      <c r="N681">
        <v>0</v>
      </c>
      <c r="O681">
        <v>0</v>
      </c>
      <c r="P681">
        <v>0</v>
      </c>
      <c r="Q681">
        <v>0</v>
      </c>
      <c r="R681">
        <v>0</v>
      </c>
      <c r="S681">
        <v>0</v>
      </c>
      <c r="T681">
        <v>0</v>
      </c>
      <c r="U681">
        <v>0</v>
      </c>
      <c r="V681">
        <v>0</v>
      </c>
      <c r="W681">
        <v>0</v>
      </c>
      <c r="X681">
        <v>0</v>
      </c>
      <c r="Y681">
        <v>0</v>
      </c>
      <c r="Z681">
        <v>0</v>
      </c>
      <c r="AA681">
        <v>0</v>
      </c>
      <c r="AB681">
        <v>0</v>
      </c>
      <c r="AC681">
        <v>0</v>
      </c>
      <c r="AD681">
        <v>0</v>
      </c>
      <c r="AF681">
        <v>0</v>
      </c>
      <c r="AG681">
        <v>0</v>
      </c>
      <c r="AH681">
        <v>0</v>
      </c>
      <c r="AI681">
        <v>0</v>
      </c>
      <c r="AJ681">
        <v>0</v>
      </c>
      <c r="AK681">
        <v>0</v>
      </c>
      <c r="AL681">
        <v>0</v>
      </c>
      <c r="AM681">
        <v>0</v>
      </c>
      <c r="AN681">
        <v>0</v>
      </c>
      <c r="AO681">
        <v>0</v>
      </c>
      <c r="AP681">
        <v>0</v>
      </c>
      <c r="AQ681">
        <v>0</v>
      </c>
      <c r="AR681">
        <v>0</v>
      </c>
      <c r="AS681">
        <v>0</v>
      </c>
      <c r="AT681">
        <v>0</v>
      </c>
      <c r="AU681">
        <v>0</v>
      </c>
      <c r="AV681">
        <v>0</v>
      </c>
      <c r="AW681">
        <v>0</v>
      </c>
      <c r="AX681">
        <v>0</v>
      </c>
      <c r="AY681">
        <v>0</v>
      </c>
      <c r="AZ681">
        <v>0</v>
      </c>
      <c r="BA681">
        <v>0</v>
      </c>
      <c r="BB681">
        <v>0</v>
      </c>
      <c r="BC681">
        <v>0</v>
      </c>
      <c r="BD681">
        <v>0</v>
      </c>
      <c r="BE681">
        <v>0</v>
      </c>
      <c r="BF681">
        <v>0</v>
      </c>
      <c r="BG681">
        <v>0</v>
      </c>
      <c r="BH681">
        <v>0</v>
      </c>
      <c r="BI681">
        <v>0</v>
      </c>
      <c r="BK681" s="151"/>
    </row>
    <row r="682" spans="1:63" x14ac:dyDescent="0.35">
      <c r="A682">
        <v>0</v>
      </c>
      <c r="B682">
        <v>0</v>
      </c>
      <c r="C682">
        <v>0</v>
      </c>
      <c r="D682">
        <v>0</v>
      </c>
      <c r="E682">
        <v>0</v>
      </c>
      <c r="F682">
        <v>0</v>
      </c>
      <c r="G682">
        <v>0</v>
      </c>
      <c r="H682">
        <v>0</v>
      </c>
      <c r="I682">
        <v>0</v>
      </c>
      <c r="J682">
        <v>0</v>
      </c>
      <c r="K682">
        <v>0</v>
      </c>
      <c r="L682">
        <v>0</v>
      </c>
      <c r="M682">
        <v>0</v>
      </c>
      <c r="N682">
        <v>0</v>
      </c>
      <c r="O682">
        <v>0</v>
      </c>
      <c r="P682">
        <v>0</v>
      </c>
      <c r="Q682">
        <v>0</v>
      </c>
      <c r="R682">
        <v>0</v>
      </c>
      <c r="S682">
        <v>0</v>
      </c>
      <c r="T682">
        <v>0</v>
      </c>
      <c r="U682">
        <v>0</v>
      </c>
      <c r="V682">
        <v>0</v>
      </c>
      <c r="W682">
        <v>0</v>
      </c>
      <c r="X682">
        <v>0</v>
      </c>
      <c r="Y682">
        <v>0</v>
      </c>
      <c r="Z682">
        <v>0</v>
      </c>
      <c r="AA682">
        <v>0</v>
      </c>
      <c r="AB682">
        <v>0</v>
      </c>
      <c r="AC682">
        <v>0</v>
      </c>
      <c r="AD682">
        <v>0</v>
      </c>
      <c r="AF682">
        <v>0</v>
      </c>
      <c r="AG682">
        <v>0</v>
      </c>
      <c r="AH682">
        <v>0</v>
      </c>
      <c r="AI682">
        <v>0</v>
      </c>
      <c r="AJ682">
        <v>0</v>
      </c>
      <c r="AK682">
        <v>0</v>
      </c>
      <c r="AL682">
        <v>0</v>
      </c>
      <c r="AM682">
        <v>0</v>
      </c>
      <c r="AN682">
        <v>0</v>
      </c>
      <c r="AO682">
        <v>0</v>
      </c>
      <c r="AP682">
        <v>0</v>
      </c>
      <c r="AQ682">
        <v>0</v>
      </c>
      <c r="AR682">
        <v>0</v>
      </c>
      <c r="AS682">
        <v>0</v>
      </c>
      <c r="AT682">
        <v>0</v>
      </c>
      <c r="AU682">
        <v>0</v>
      </c>
      <c r="AV682">
        <v>0</v>
      </c>
      <c r="AW682">
        <v>0</v>
      </c>
      <c r="AX682">
        <v>0</v>
      </c>
      <c r="AY682">
        <v>0</v>
      </c>
      <c r="AZ682">
        <v>0</v>
      </c>
      <c r="BA682">
        <v>0</v>
      </c>
      <c r="BB682">
        <v>0</v>
      </c>
      <c r="BC682">
        <v>0</v>
      </c>
      <c r="BD682">
        <v>0</v>
      </c>
      <c r="BE682">
        <v>0</v>
      </c>
      <c r="BF682">
        <v>0</v>
      </c>
      <c r="BG682">
        <v>0</v>
      </c>
      <c r="BH682">
        <v>0</v>
      </c>
      <c r="BI682">
        <v>0</v>
      </c>
      <c r="BK682" s="151"/>
    </row>
    <row r="683" spans="1:63" x14ac:dyDescent="0.35">
      <c r="A683">
        <v>0</v>
      </c>
      <c r="B683">
        <v>0</v>
      </c>
      <c r="C683">
        <v>0</v>
      </c>
      <c r="D683">
        <v>0</v>
      </c>
      <c r="E683">
        <v>0</v>
      </c>
      <c r="F683">
        <v>0</v>
      </c>
      <c r="G683">
        <v>0</v>
      </c>
      <c r="H683">
        <v>0</v>
      </c>
      <c r="I683">
        <v>0</v>
      </c>
      <c r="J683">
        <v>0</v>
      </c>
      <c r="K683">
        <v>0</v>
      </c>
      <c r="L683">
        <v>0</v>
      </c>
      <c r="M683">
        <v>0</v>
      </c>
      <c r="N683">
        <v>0</v>
      </c>
      <c r="O683">
        <v>0</v>
      </c>
      <c r="P683">
        <v>0</v>
      </c>
      <c r="Q683">
        <v>0</v>
      </c>
      <c r="R683">
        <v>0</v>
      </c>
      <c r="S683">
        <v>0</v>
      </c>
      <c r="T683">
        <v>0</v>
      </c>
      <c r="U683">
        <v>0</v>
      </c>
      <c r="V683">
        <v>0</v>
      </c>
      <c r="W683">
        <v>0</v>
      </c>
      <c r="X683">
        <v>0</v>
      </c>
      <c r="Y683">
        <v>0</v>
      </c>
      <c r="Z683">
        <v>0</v>
      </c>
      <c r="AA683">
        <v>0</v>
      </c>
      <c r="AB683">
        <v>0</v>
      </c>
      <c r="AC683">
        <v>0</v>
      </c>
      <c r="AD683">
        <v>0</v>
      </c>
      <c r="AF683">
        <v>0</v>
      </c>
      <c r="AG683">
        <v>0</v>
      </c>
      <c r="AH683">
        <v>0</v>
      </c>
      <c r="AI683">
        <v>0</v>
      </c>
      <c r="AJ683">
        <v>0</v>
      </c>
      <c r="AK683">
        <v>0</v>
      </c>
      <c r="AL683">
        <v>0</v>
      </c>
      <c r="AM683">
        <v>0</v>
      </c>
      <c r="AN683">
        <v>0</v>
      </c>
      <c r="AO683">
        <v>0</v>
      </c>
      <c r="AP683">
        <v>0</v>
      </c>
      <c r="AQ683">
        <v>0</v>
      </c>
      <c r="AR683">
        <v>0</v>
      </c>
      <c r="AS683">
        <v>0</v>
      </c>
      <c r="AT683">
        <v>0</v>
      </c>
      <c r="AU683">
        <v>0</v>
      </c>
      <c r="AV683">
        <v>0</v>
      </c>
      <c r="AW683">
        <v>0</v>
      </c>
      <c r="AX683">
        <v>0</v>
      </c>
      <c r="AY683">
        <v>0</v>
      </c>
      <c r="AZ683">
        <v>0</v>
      </c>
      <c r="BA683">
        <v>0</v>
      </c>
      <c r="BB683">
        <v>0</v>
      </c>
      <c r="BC683">
        <v>0</v>
      </c>
      <c r="BD683">
        <v>0</v>
      </c>
      <c r="BE683">
        <v>0</v>
      </c>
      <c r="BF683">
        <v>0</v>
      </c>
      <c r="BG683">
        <v>0</v>
      </c>
      <c r="BH683">
        <v>0</v>
      </c>
      <c r="BI683">
        <v>0</v>
      </c>
      <c r="BK683" s="151"/>
    </row>
    <row r="684" spans="1:63" x14ac:dyDescent="0.35">
      <c r="A684">
        <v>0</v>
      </c>
      <c r="B684">
        <v>0</v>
      </c>
      <c r="C684">
        <v>0</v>
      </c>
      <c r="D684">
        <v>0</v>
      </c>
      <c r="E684">
        <v>0</v>
      </c>
      <c r="F684">
        <v>0</v>
      </c>
      <c r="G684">
        <v>0</v>
      </c>
      <c r="H684">
        <v>0</v>
      </c>
      <c r="I684">
        <v>0</v>
      </c>
      <c r="J684">
        <v>0</v>
      </c>
      <c r="K684">
        <v>0</v>
      </c>
      <c r="L684">
        <v>0</v>
      </c>
      <c r="M684">
        <v>0</v>
      </c>
      <c r="N684">
        <v>0</v>
      </c>
      <c r="O684">
        <v>0</v>
      </c>
      <c r="P684">
        <v>0</v>
      </c>
      <c r="Q684">
        <v>0</v>
      </c>
      <c r="R684">
        <v>0</v>
      </c>
      <c r="S684">
        <v>0</v>
      </c>
      <c r="T684">
        <v>0</v>
      </c>
      <c r="U684">
        <v>0</v>
      </c>
      <c r="V684">
        <v>0</v>
      </c>
      <c r="W684">
        <v>0</v>
      </c>
      <c r="X684">
        <v>0</v>
      </c>
      <c r="Y684">
        <v>0</v>
      </c>
      <c r="Z684">
        <v>0</v>
      </c>
      <c r="AA684">
        <v>0</v>
      </c>
      <c r="AB684">
        <v>0</v>
      </c>
      <c r="AC684">
        <v>0</v>
      </c>
      <c r="AD684">
        <v>0</v>
      </c>
      <c r="AF684">
        <v>0</v>
      </c>
      <c r="AG684">
        <v>0</v>
      </c>
      <c r="AH684">
        <v>0</v>
      </c>
      <c r="AI684">
        <v>0</v>
      </c>
      <c r="AJ684">
        <v>0</v>
      </c>
      <c r="AK684">
        <v>0</v>
      </c>
      <c r="AL684">
        <v>0</v>
      </c>
      <c r="AM684">
        <v>0</v>
      </c>
      <c r="AN684">
        <v>0</v>
      </c>
      <c r="AO684">
        <v>0</v>
      </c>
      <c r="AP684">
        <v>0</v>
      </c>
      <c r="AQ684">
        <v>0</v>
      </c>
      <c r="AR684">
        <v>0</v>
      </c>
      <c r="AS684">
        <v>0</v>
      </c>
      <c r="AT684">
        <v>0</v>
      </c>
      <c r="AU684">
        <v>0</v>
      </c>
      <c r="AV684">
        <v>0</v>
      </c>
      <c r="AW684">
        <v>0</v>
      </c>
      <c r="AX684">
        <v>0</v>
      </c>
      <c r="AY684">
        <v>0</v>
      </c>
      <c r="AZ684">
        <v>0</v>
      </c>
      <c r="BA684">
        <v>0</v>
      </c>
      <c r="BB684">
        <v>0</v>
      </c>
      <c r="BC684">
        <v>0</v>
      </c>
      <c r="BD684">
        <v>0</v>
      </c>
      <c r="BE684">
        <v>0</v>
      </c>
      <c r="BF684">
        <v>0</v>
      </c>
      <c r="BG684">
        <v>0</v>
      </c>
      <c r="BH684">
        <v>0</v>
      </c>
      <c r="BI684">
        <v>0</v>
      </c>
      <c r="BK684" s="151"/>
    </row>
    <row r="685" spans="1:63" x14ac:dyDescent="0.35">
      <c r="A685">
        <v>0</v>
      </c>
      <c r="B685">
        <v>0</v>
      </c>
      <c r="C685">
        <v>0</v>
      </c>
      <c r="D685">
        <v>0</v>
      </c>
      <c r="E685">
        <v>0</v>
      </c>
      <c r="F685">
        <v>0</v>
      </c>
      <c r="G685">
        <v>0</v>
      </c>
      <c r="H685">
        <v>0</v>
      </c>
      <c r="I685">
        <v>0</v>
      </c>
      <c r="J685">
        <v>0</v>
      </c>
      <c r="K685">
        <v>0</v>
      </c>
      <c r="L685">
        <v>0</v>
      </c>
      <c r="M685">
        <v>0</v>
      </c>
      <c r="N685">
        <v>0</v>
      </c>
      <c r="O685">
        <v>0</v>
      </c>
      <c r="P685">
        <v>0</v>
      </c>
      <c r="Q685">
        <v>0</v>
      </c>
      <c r="R685">
        <v>0</v>
      </c>
      <c r="S685">
        <v>0</v>
      </c>
      <c r="T685">
        <v>0</v>
      </c>
      <c r="U685">
        <v>0</v>
      </c>
      <c r="V685">
        <v>0</v>
      </c>
      <c r="W685">
        <v>0</v>
      </c>
      <c r="X685">
        <v>0</v>
      </c>
      <c r="Y685">
        <v>0</v>
      </c>
      <c r="Z685">
        <v>0</v>
      </c>
      <c r="AA685">
        <v>0</v>
      </c>
      <c r="AB685">
        <v>0</v>
      </c>
      <c r="AC685">
        <v>0</v>
      </c>
      <c r="AD685">
        <v>0</v>
      </c>
      <c r="AF685">
        <v>0</v>
      </c>
      <c r="AG685">
        <v>0</v>
      </c>
      <c r="AH685">
        <v>0</v>
      </c>
      <c r="AI685">
        <v>0</v>
      </c>
      <c r="AJ685">
        <v>0</v>
      </c>
      <c r="AK685">
        <v>0</v>
      </c>
      <c r="AL685">
        <v>0</v>
      </c>
      <c r="AM685">
        <v>0</v>
      </c>
      <c r="AN685">
        <v>0</v>
      </c>
      <c r="AO685">
        <v>0</v>
      </c>
      <c r="AP685">
        <v>0</v>
      </c>
      <c r="AQ685">
        <v>0</v>
      </c>
      <c r="AR685">
        <v>0</v>
      </c>
      <c r="AS685">
        <v>0</v>
      </c>
      <c r="AT685">
        <v>0</v>
      </c>
      <c r="AU685">
        <v>0</v>
      </c>
      <c r="AV685">
        <v>0</v>
      </c>
      <c r="AW685">
        <v>0</v>
      </c>
      <c r="AX685">
        <v>0</v>
      </c>
      <c r="AY685">
        <v>0</v>
      </c>
      <c r="AZ685">
        <v>0</v>
      </c>
      <c r="BA685">
        <v>0</v>
      </c>
      <c r="BB685">
        <v>0</v>
      </c>
      <c r="BC685">
        <v>0</v>
      </c>
      <c r="BD685">
        <v>0</v>
      </c>
      <c r="BE685">
        <v>0</v>
      </c>
      <c r="BF685">
        <v>0</v>
      </c>
      <c r="BG685">
        <v>0</v>
      </c>
      <c r="BH685">
        <v>0</v>
      </c>
      <c r="BI685">
        <v>0</v>
      </c>
      <c r="BK685" s="151"/>
    </row>
    <row r="686" spans="1:63" x14ac:dyDescent="0.35">
      <c r="A686">
        <v>0</v>
      </c>
      <c r="B686">
        <v>0</v>
      </c>
      <c r="C686">
        <v>0</v>
      </c>
      <c r="D686">
        <v>0</v>
      </c>
      <c r="E686">
        <v>0</v>
      </c>
      <c r="F686">
        <v>0</v>
      </c>
      <c r="G686">
        <v>0</v>
      </c>
      <c r="H686">
        <v>0</v>
      </c>
      <c r="I686">
        <v>0</v>
      </c>
      <c r="J686">
        <v>0</v>
      </c>
      <c r="K686">
        <v>0</v>
      </c>
      <c r="L686">
        <v>0</v>
      </c>
      <c r="M686">
        <v>0</v>
      </c>
      <c r="N686">
        <v>0</v>
      </c>
      <c r="O686">
        <v>0</v>
      </c>
      <c r="P686">
        <v>0</v>
      </c>
      <c r="Q686">
        <v>0</v>
      </c>
      <c r="R686">
        <v>0</v>
      </c>
      <c r="S686">
        <v>0</v>
      </c>
      <c r="T686">
        <v>0</v>
      </c>
      <c r="U686">
        <v>0</v>
      </c>
      <c r="V686">
        <v>0</v>
      </c>
      <c r="W686">
        <v>0</v>
      </c>
      <c r="X686">
        <v>0</v>
      </c>
      <c r="Y686">
        <v>0</v>
      </c>
      <c r="Z686">
        <v>0</v>
      </c>
      <c r="AA686">
        <v>0</v>
      </c>
      <c r="AB686">
        <v>0</v>
      </c>
      <c r="AC686">
        <v>0</v>
      </c>
      <c r="AD686">
        <v>0</v>
      </c>
      <c r="AF686">
        <v>0</v>
      </c>
      <c r="AG686">
        <v>0</v>
      </c>
      <c r="AH686">
        <v>0</v>
      </c>
      <c r="AI686">
        <v>0</v>
      </c>
      <c r="AJ686">
        <v>0</v>
      </c>
      <c r="AK686">
        <v>0</v>
      </c>
      <c r="AL686">
        <v>0</v>
      </c>
      <c r="AM686">
        <v>0</v>
      </c>
      <c r="AN686">
        <v>0</v>
      </c>
      <c r="AO686">
        <v>0</v>
      </c>
      <c r="AP686">
        <v>0</v>
      </c>
      <c r="AQ686">
        <v>0</v>
      </c>
      <c r="AR686">
        <v>0</v>
      </c>
      <c r="AS686">
        <v>0</v>
      </c>
      <c r="AT686">
        <v>0</v>
      </c>
      <c r="AU686">
        <v>0</v>
      </c>
      <c r="AV686">
        <v>0</v>
      </c>
      <c r="AW686">
        <v>0</v>
      </c>
      <c r="AX686">
        <v>0</v>
      </c>
      <c r="AY686">
        <v>0</v>
      </c>
      <c r="AZ686">
        <v>0</v>
      </c>
      <c r="BA686">
        <v>0</v>
      </c>
      <c r="BB686">
        <v>0</v>
      </c>
      <c r="BC686">
        <v>0</v>
      </c>
      <c r="BD686">
        <v>0</v>
      </c>
      <c r="BE686">
        <v>0</v>
      </c>
      <c r="BF686">
        <v>0</v>
      </c>
      <c r="BG686">
        <v>0</v>
      </c>
      <c r="BH686">
        <v>0</v>
      </c>
      <c r="BI686">
        <v>0</v>
      </c>
      <c r="BK686" s="151"/>
    </row>
    <row r="687" spans="1:63" x14ac:dyDescent="0.35">
      <c r="A687">
        <v>0</v>
      </c>
      <c r="B687">
        <v>0</v>
      </c>
      <c r="C687">
        <v>0</v>
      </c>
      <c r="D687">
        <v>0</v>
      </c>
      <c r="E687">
        <v>0</v>
      </c>
      <c r="F687">
        <v>0</v>
      </c>
      <c r="G687">
        <v>0</v>
      </c>
      <c r="H687">
        <v>0</v>
      </c>
      <c r="I687">
        <v>0</v>
      </c>
      <c r="J687">
        <v>0</v>
      </c>
      <c r="K687">
        <v>0</v>
      </c>
      <c r="L687">
        <v>0</v>
      </c>
      <c r="M687">
        <v>0</v>
      </c>
      <c r="N687">
        <v>0</v>
      </c>
      <c r="O687">
        <v>0</v>
      </c>
      <c r="P687">
        <v>0</v>
      </c>
      <c r="Q687">
        <v>0</v>
      </c>
      <c r="R687">
        <v>0</v>
      </c>
      <c r="S687">
        <v>0</v>
      </c>
      <c r="T687">
        <v>0</v>
      </c>
      <c r="U687">
        <v>0</v>
      </c>
      <c r="V687">
        <v>0</v>
      </c>
      <c r="W687">
        <v>0</v>
      </c>
      <c r="X687">
        <v>0</v>
      </c>
      <c r="Y687">
        <v>0</v>
      </c>
      <c r="Z687">
        <v>0</v>
      </c>
      <c r="AA687">
        <v>0</v>
      </c>
      <c r="AB687">
        <v>0</v>
      </c>
      <c r="AC687">
        <v>0</v>
      </c>
      <c r="AD687">
        <v>0</v>
      </c>
      <c r="AF687">
        <v>0</v>
      </c>
      <c r="AG687">
        <v>0</v>
      </c>
      <c r="AH687">
        <v>0</v>
      </c>
      <c r="AI687">
        <v>0</v>
      </c>
      <c r="AJ687">
        <v>0</v>
      </c>
      <c r="AK687">
        <v>0</v>
      </c>
      <c r="AL687">
        <v>0</v>
      </c>
      <c r="AM687">
        <v>0</v>
      </c>
      <c r="AN687">
        <v>0</v>
      </c>
      <c r="AO687">
        <v>0</v>
      </c>
      <c r="AP687">
        <v>0</v>
      </c>
      <c r="AQ687">
        <v>0</v>
      </c>
      <c r="AR687">
        <v>0</v>
      </c>
      <c r="AS687">
        <v>0</v>
      </c>
      <c r="AT687">
        <v>0</v>
      </c>
      <c r="AU687">
        <v>0</v>
      </c>
      <c r="AV687">
        <v>0</v>
      </c>
      <c r="AW687">
        <v>0</v>
      </c>
      <c r="AX687">
        <v>0</v>
      </c>
      <c r="AY687">
        <v>0</v>
      </c>
      <c r="AZ687">
        <v>0</v>
      </c>
      <c r="BA687">
        <v>0</v>
      </c>
      <c r="BB687">
        <v>0</v>
      </c>
      <c r="BC687">
        <v>0</v>
      </c>
      <c r="BD687">
        <v>0</v>
      </c>
      <c r="BE687">
        <v>0</v>
      </c>
      <c r="BF687">
        <v>0</v>
      </c>
      <c r="BG687">
        <v>0</v>
      </c>
      <c r="BH687">
        <v>0</v>
      </c>
      <c r="BI687">
        <v>0</v>
      </c>
      <c r="BK687" s="151"/>
    </row>
    <row r="688" spans="1:63" x14ac:dyDescent="0.35">
      <c r="A688">
        <v>0</v>
      </c>
      <c r="B688">
        <v>0</v>
      </c>
      <c r="C688">
        <v>0</v>
      </c>
      <c r="D688">
        <v>0</v>
      </c>
      <c r="E688">
        <v>0</v>
      </c>
      <c r="F688">
        <v>0</v>
      </c>
      <c r="G688">
        <v>0</v>
      </c>
      <c r="H688">
        <v>0</v>
      </c>
      <c r="I688">
        <v>0</v>
      </c>
      <c r="J688">
        <v>0</v>
      </c>
      <c r="K688">
        <v>0</v>
      </c>
      <c r="L688">
        <v>0</v>
      </c>
      <c r="M688">
        <v>0</v>
      </c>
      <c r="N688">
        <v>0</v>
      </c>
      <c r="O688">
        <v>0</v>
      </c>
      <c r="P688">
        <v>0</v>
      </c>
      <c r="Q688">
        <v>0</v>
      </c>
      <c r="R688">
        <v>0</v>
      </c>
      <c r="S688">
        <v>0</v>
      </c>
      <c r="T688">
        <v>0</v>
      </c>
      <c r="U688">
        <v>0</v>
      </c>
      <c r="V688">
        <v>0</v>
      </c>
      <c r="W688">
        <v>0</v>
      </c>
      <c r="X688">
        <v>0</v>
      </c>
      <c r="Y688">
        <v>0</v>
      </c>
      <c r="Z688">
        <v>0</v>
      </c>
      <c r="AA688">
        <v>0</v>
      </c>
      <c r="AB688">
        <v>0</v>
      </c>
      <c r="AC688">
        <v>0</v>
      </c>
      <c r="AD688">
        <v>0</v>
      </c>
      <c r="AF688">
        <v>0</v>
      </c>
      <c r="AG688">
        <v>0</v>
      </c>
      <c r="AH688">
        <v>0</v>
      </c>
      <c r="AI688">
        <v>0</v>
      </c>
      <c r="AJ688">
        <v>0</v>
      </c>
      <c r="AK688">
        <v>0</v>
      </c>
      <c r="AL688">
        <v>0</v>
      </c>
      <c r="AM688">
        <v>0</v>
      </c>
      <c r="AN688">
        <v>0</v>
      </c>
      <c r="AO688">
        <v>0</v>
      </c>
      <c r="AP688">
        <v>0</v>
      </c>
      <c r="AQ688">
        <v>0</v>
      </c>
      <c r="AR688">
        <v>0</v>
      </c>
      <c r="AS688">
        <v>0</v>
      </c>
      <c r="AT688">
        <v>0</v>
      </c>
      <c r="AU688">
        <v>0</v>
      </c>
      <c r="AV688">
        <v>0</v>
      </c>
      <c r="AW688">
        <v>0</v>
      </c>
      <c r="AX688">
        <v>0</v>
      </c>
      <c r="AY688">
        <v>0</v>
      </c>
      <c r="AZ688">
        <v>0</v>
      </c>
      <c r="BA688">
        <v>0</v>
      </c>
      <c r="BB688">
        <v>0</v>
      </c>
      <c r="BC688">
        <v>0</v>
      </c>
      <c r="BD688">
        <v>0</v>
      </c>
      <c r="BE688">
        <v>0</v>
      </c>
      <c r="BF688">
        <v>0</v>
      </c>
      <c r="BG688">
        <v>0</v>
      </c>
      <c r="BH688">
        <v>0</v>
      </c>
      <c r="BI688">
        <v>0</v>
      </c>
      <c r="BK688" s="151"/>
    </row>
    <row r="689" spans="1:63" x14ac:dyDescent="0.35">
      <c r="A689">
        <v>0</v>
      </c>
      <c r="B689">
        <v>0</v>
      </c>
      <c r="C689">
        <v>0</v>
      </c>
      <c r="D689">
        <v>0</v>
      </c>
      <c r="E689">
        <v>0</v>
      </c>
      <c r="F689">
        <v>0</v>
      </c>
      <c r="G689">
        <v>0</v>
      </c>
      <c r="H689">
        <v>0</v>
      </c>
      <c r="I689">
        <v>0</v>
      </c>
      <c r="J689">
        <v>0</v>
      </c>
      <c r="K689">
        <v>0</v>
      </c>
      <c r="L689">
        <v>0</v>
      </c>
      <c r="M689">
        <v>0</v>
      </c>
      <c r="N689">
        <v>0</v>
      </c>
      <c r="O689">
        <v>0</v>
      </c>
      <c r="P689">
        <v>0</v>
      </c>
      <c r="Q689">
        <v>0</v>
      </c>
      <c r="R689">
        <v>0</v>
      </c>
      <c r="S689">
        <v>0</v>
      </c>
      <c r="T689">
        <v>0</v>
      </c>
      <c r="U689">
        <v>0</v>
      </c>
      <c r="V689">
        <v>0</v>
      </c>
      <c r="W689">
        <v>0</v>
      </c>
      <c r="X689">
        <v>0</v>
      </c>
      <c r="Y689">
        <v>0</v>
      </c>
      <c r="Z689">
        <v>0</v>
      </c>
      <c r="AA689">
        <v>0</v>
      </c>
      <c r="AB689">
        <v>0</v>
      </c>
      <c r="AC689">
        <v>0</v>
      </c>
      <c r="AD689">
        <v>0</v>
      </c>
      <c r="AF689">
        <v>0</v>
      </c>
      <c r="AG689">
        <v>0</v>
      </c>
      <c r="AH689">
        <v>0</v>
      </c>
      <c r="AI689">
        <v>0</v>
      </c>
      <c r="AJ689">
        <v>0</v>
      </c>
      <c r="AK689">
        <v>0</v>
      </c>
      <c r="AL689">
        <v>0</v>
      </c>
      <c r="AM689">
        <v>0</v>
      </c>
      <c r="AN689">
        <v>0</v>
      </c>
      <c r="AO689">
        <v>0</v>
      </c>
      <c r="AP689">
        <v>0</v>
      </c>
      <c r="AQ689">
        <v>0</v>
      </c>
      <c r="AR689">
        <v>0</v>
      </c>
      <c r="AS689">
        <v>0</v>
      </c>
      <c r="AT689">
        <v>0</v>
      </c>
      <c r="AU689">
        <v>0</v>
      </c>
      <c r="AV689">
        <v>0</v>
      </c>
      <c r="AW689">
        <v>0</v>
      </c>
      <c r="AX689">
        <v>0</v>
      </c>
      <c r="AY689">
        <v>0</v>
      </c>
      <c r="AZ689">
        <v>0</v>
      </c>
      <c r="BA689">
        <v>0</v>
      </c>
      <c r="BB689">
        <v>0</v>
      </c>
      <c r="BC689">
        <v>0</v>
      </c>
      <c r="BD689">
        <v>0</v>
      </c>
      <c r="BE689">
        <v>0</v>
      </c>
      <c r="BF689">
        <v>0</v>
      </c>
      <c r="BG689">
        <v>0</v>
      </c>
      <c r="BH689">
        <v>0</v>
      </c>
      <c r="BI689">
        <v>0</v>
      </c>
      <c r="BK689" s="151"/>
    </row>
    <row r="690" spans="1:63" x14ac:dyDescent="0.35">
      <c r="A690">
        <v>0</v>
      </c>
      <c r="B690">
        <v>0</v>
      </c>
      <c r="C690">
        <v>0</v>
      </c>
      <c r="D690">
        <v>0</v>
      </c>
      <c r="E690">
        <v>0</v>
      </c>
      <c r="F690">
        <v>0</v>
      </c>
      <c r="G690">
        <v>0</v>
      </c>
      <c r="H690">
        <v>0</v>
      </c>
      <c r="I690">
        <v>0</v>
      </c>
      <c r="J690">
        <v>0</v>
      </c>
      <c r="K690">
        <v>0</v>
      </c>
      <c r="L690">
        <v>0</v>
      </c>
      <c r="M690">
        <v>0</v>
      </c>
      <c r="N690">
        <v>0</v>
      </c>
      <c r="O690">
        <v>0</v>
      </c>
      <c r="P690">
        <v>0</v>
      </c>
      <c r="Q690">
        <v>0</v>
      </c>
      <c r="R690">
        <v>0</v>
      </c>
      <c r="S690">
        <v>0</v>
      </c>
      <c r="T690">
        <v>0</v>
      </c>
      <c r="U690">
        <v>0</v>
      </c>
      <c r="V690">
        <v>0</v>
      </c>
      <c r="W690">
        <v>0</v>
      </c>
      <c r="X690">
        <v>0</v>
      </c>
      <c r="Y690">
        <v>0</v>
      </c>
      <c r="Z690">
        <v>0</v>
      </c>
      <c r="AA690">
        <v>0</v>
      </c>
      <c r="AB690">
        <v>0</v>
      </c>
      <c r="AC690">
        <v>0</v>
      </c>
      <c r="AD690">
        <v>0</v>
      </c>
      <c r="AF690">
        <v>0</v>
      </c>
      <c r="AG690">
        <v>0</v>
      </c>
      <c r="AH690">
        <v>0</v>
      </c>
      <c r="AI690">
        <v>0</v>
      </c>
      <c r="AJ690">
        <v>0</v>
      </c>
      <c r="AK690">
        <v>0</v>
      </c>
      <c r="AL690">
        <v>0</v>
      </c>
      <c r="AM690">
        <v>0</v>
      </c>
      <c r="AN690">
        <v>0</v>
      </c>
      <c r="AO690">
        <v>0</v>
      </c>
      <c r="AP690">
        <v>0</v>
      </c>
      <c r="AQ690">
        <v>0</v>
      </c>
      <c r="AR690">
        <v>0</v>
      </c>
      <c r="AS690">
        <v>0</v>
      </c>
      <c r="AT690">
        <v>0</v>
      </c>
      <c r="AU690">
        <v>0</v>
      </c>
      <c r="AV690">
        <v>0</v>
      </c>
      <c r="AW690">
        <v>0</v>
      </c>
      <c r="AX690">
        <v>0</v>
      </c>
      <c r="AY690">
        <v>0</v>
      </c>
      <c r="AZ690">
        <v>0</v>
      </c>
      <c r="BA690">
        <v>0</v>
      </c>
      <c r="BB690">
        <v>0</v>
      </c>
      <c r="BC690">
        <v>0</v>
      </c>
      <c r="BD690">
        <v>0</v>
      </c>
      <c r="BE690">
        <v>0</v>
      </c>
      <c r="BF690">
        <v>0</v>
      </c>
      <c r="BG690">
        <v>0</v>
      </c>
      <c r="BH690">
        <v>0</v>
      </c>
      <c r="BI690">
        <v>0</v>
      </c>
      <c r="BK690" s="151"/>
    </row>
    <row r="691" spans="1:63" x14ac:dyDescent="0.35">
      <c r="A691">
        <v>0</v>
      </c>
      <c r="B691">
        <v>0</v>
      </c>
      <c r="C691">
        <v>0</v>
      </c>
      <c r="D691">
        <v>0</v>
      </c>
      <c r="E691">
        <v>0</v>
      </c>
      <c r="F691">
        <v>0</v>
      </c>
      <c r="G691">
        <v>0</v>
      </c>
      <c r="H691">
        <v>0</v>
      </c>
      <c r="I691">
        <v>0</v>
      </c>
      <c r="J691">
        <v>0</v>
      </c>
      <c r="K691">
        <v>0</v>
      </c>
      <c r="L691">
        <v>0</v>
      </c>
      <c r="M691">
        <v>0</v>
      </c>
      <c r="N691">
        <v>0</v>
      </c>
      <c r="O691">
        <v>0</v>
      </c>
      <c r="P691">
        <v>0</v>
      </c>
      <c r="Q691">
        <v>0</v>
      </c>
      <c r="R691">
        <v>0</v>
      </c>
      <c r="S691">
        <v>0</v>
      </c>
      <c r="T691">
        <v>0</v>
      </c>
      <c r="U691">
        <v>0</v>
      </c>
      <c r="V691">
        <v>0</v>
      </c>
      <c r="W691">
        <v>0</v>
      </c>
      <c r="X691">
        <v>0</v>
      </c>
      <c r="Y691">
        <v>0</v>
      </c>
      <c r="Z691">
        <v>0</v>
      </c>
      <c r="AA691">
        <v>0</v>
      </c>
      <c r="AB691">
        <v>0</v>
      </c>
      <c r="AC691">
        <v>0</v>
      </c>
      <c r="AD691">
        <v>0</v>
      </c>
      <c r="AF691">
        <v>0</v>
      </c>
      <c r="AG691">
        <v>0</v>
      </c>
      <c r="AH691">
        <v>0</v>
      </c>
      <c r="AI691">
        <v>0</v>
      </c>
      <c r="AJ691">
        <v>0</v>
      </c>
      <c r="AK691">
        <v>0</v>
      </c>
      <c r="AL691">
        <v>0</v>
      </c>
      <c r="AM691">
        <v>0</v>
      </c>
      <c r="AN691">
        <v>0</v>
      </c>
      <c r="AO691">
        <v>0</v>
      </c>
      <c r="AP691">
        <v>0</v>
      </c>
      <c r="AQ691">
        <v>0</v>
      </c>
      <c r="AR691">
        <v>0</v>
      </c>
      <c r="AS691">
        <v>0</v>
      </c>
      <c r="AT691">
        <v>0</v>
      </c>
      <c r="AU691">
        <v>0</v>
      </c>
      <c r="AV691">
        <v>0</v>
      </c>
      <c r="AW691">
        <v>0</v>
      </c>
      <c r="AX691">
        <v>0</v>
      </c>
      <c r="AY691">
        <v>0</v>
      </c>
      <c r="AZ691">
        <v>0</v>
      </c>
      <c r="BA691">
        <v>0</v>
      </c>
      <c r="BB691">
        <v>0</v>
      </c>
      <c r="BC691">
        <v>0</v>
      </c>
      <c r="BD691">
        <v>0</v>
      </c>
      <c r="BE691">
        <v>0</v>
      </c>
      <c r="BF691">
        <v>0</v>
      </c>
      <c r="BG691">
        <v>0</v>
      </c>
      <c r="BH691">
        <v>0</v>
      </c>
      <c r="BI691">
        <v>0</v>
      </c>
      <c r="BK691" s="151"/>
    </row>
    <row r="692" spans="1:63" x14ac:dyDescent="0.35">
      <c r="A692">
        <v>0</v>
      </c>
      <c r="B692">
        <v>0</v>
      </c>
      <c r="C692">
        <v>0</v>
      </c>
      <c r="D692">
        <v>0</v>
      </c>
      <c r="E692">
        <v>0</v>
      </c>
      <c r="F692">
        <v>0</v>
      </c>
      <c r="G692">
        <v>0</v>
      </c>
      <c r="H692">
        <v>0</v>
      </c>
      <c r="I692">
        <v>0</v>
      </c>
      <c r="J692">
        <v>0</v>
      </c>
      <c r="K692">
        <v>0</v>
      </c>
      <c r="L692">
        <v>0</v>
      </c>
      <c r="M692">
        <v>0</v>
      </c>
      <c r="N692">
        <v>0</v>
      </c>
      <c r="O692">
        <v>0</v>
      </c>
      <c r="P692">
        <v>0</v>
      </c>
      <c r="Q692">
        <v>0</v>
      </c>
      <c r="R692">
        <v>0</v>
      </c>
      <c r="S692">
        <v>0</v>
      </c>
      <c r="T692">
        <v>0</v>
      </c>
      <c r="U692">
        <v>0</v>
      </c>
      <c r="V692">
        <v>0</v>
      </c>
      <c r="W692">
        <v>0</v>
      </c>
      <c r="X692">
        <v>0</v>
      </c>
      <c r="Y692">
        <v>0</v>
      </c>
      <c r="Z692">
        <v>0</v>
      </c>
      <c r="AA692">
        <v>0</v>
      </c>
      <c r="AB692">
        <v>0</v>
      </c>
      <c r="AC692">
        <v>0</v>
      </c>
      <c r="AD692">
        <v>0</v>
      </c>
      <c r="AF692">
        <v>0</v>
      </c>
      <c r="AG692">
        <v>0</v>
      </c>
      <c r="AH692">
        <v>0</v>
      </c>
      <c r="AI692">
        <v>0</v>
      </c>
      <c r="AJ692">
        <v>0</v>
      </c>
      <c r="AK692">
        <v>0</v>
      </c>
      <c r="AL692">
        <v>0</v>
      </c>
      <c r="AM692">
        <v>0</v>
      </c>
      <c r="AN692">
        <v>0</v>
      </c>
      <c r="AO692">
        <v>0</v>
      </c>
      <c r="AP692">
        <v>0</v>
      </c>
      <c r="AQ692">
        <v>0</v>
      </c>
      <c r="AR692">
        <v>0</v>
      </c>
      <c r="AS692">
        <v>0</v>
      </c>
      <c r="AT692">
        <v>0</v>
      </c>
      <c r="AU692">
        <v>0</v>
      </c>
      <c r="AV692">
        <v>0</v>
      </c>
      <c r="AW692">
        <v>0</v>
      </c>
      <c r="AX692">
        <v>0</v>
      </c>
      <c r="AY692">
        <v>0</v>
      </c>
      <c r="AZ692">
        <v>0</v>
      </c>
      <c r="BA692">
        <v>0</v>
      </c>
      <c r="BB692">
        <v>0</v>
      </c>
      <c r="BC692">
        <v>0</v>
      </c>
      <c r="BD692">
        <v>0</v>
      </c>
      <c r="BE692">
        <v>0</v>
      </c>
      <c r="BF692">
        <v>0</v>
      </c>
      <c r="BG692">
        <v>0</v>
      </c>
      <c r="BH692">
        <v>0</v>
      </c>
      <c r="BI692">
        <v>0</v>
      </c>
      <c r="BK692" s="151"/>
    </row>
    <row r="693" spans="1:63" x14ac:dyDescent="0.35">
      <c r="A693">
        <v>0</v>
      </c>
      <c r="B693">
        <v>0</v>
      </c>
      <c r="C693">
        <v>0</v>
      </c>
      <c r="D693">
        <v>0</v>
      </c>
      <c r="E693">
        <v>0</v>
      </c>
      <c r="F693">
        <v>0</v>
      </c>
      <c r="G693">
        <v>0</v>
      </c>
      <c r="H693">
        <v>0</v>
      </c>
      <c r="I693">
        <v>0</v>
      </c>
      <c r="J693">
        <v>0</v>
      </c>
      <c r="K693">
        <v>0</v>
      </c>
      <c r="L693">
        <v>0</v>
      </c>
      <c r="M693">
        <v>0</v>
      </c>
      <c r="N693">
        <v>0</v>
      </c>
      <c r="O693">
        <v>0</v>
      </c>
      <c r="P693">
        <v>0</v>
      </c>
      <c r="Q693">
        <v>0</v>
      </c>
      <c r="R693">
        <v>0</v>
      </c>
      <c r="S693">
        <v>0</v>
      </c>
      <c r="T693">
        <v>0</v>
      </c>
      <c r="U693">
        <v>0</v>
      </c>
      <c r="V693">
        <v>0</v>
      </c>
      <c r="W693">
        <v>0</v>
      </c>
      <c r="X693">
        <v>0</v>
      </c>
      <c r="Y693">
        <v>0</v>
      </c>
      <c r="Z693">
        <v>0</v>
      </c>
      <c r="AA693">
        <v>0</v>
      </c>
      <c r="AB693">
        <v>0</v>
      </c>
      <c r="AC693">
        <v>0</v>
      </c>
      <c r="AD693">
        <v>0</v>
      </c>
      <c r="AF693">
        <v>0</v>
      </c>
      <c r="AG693">
        <v>0</v>
      </c>
      <c r="AH693">
        <v>0</v>
      </c>
      <c r="AI693">
        <v>0</v>
      </c>
      <c r="AJ693">
        <v>0</v>
      </c>
      <c r="AK693">
        <v>0</v>
      </c>
      <c r="AL693">
        <v>0</v>
      </c>
      <c r="AM693">
        <v>0</v>
      </c>
      <c r="AN693">
        <v>0</v>
      </c>
      <c r="AO693">
        <v>0</v>
      </c>
      <c r="AP693">
        <v>0</v>
      </c>
      <c r="AQ693">
        <v>0</v>
      </c>
      <c r="AR693">
        <v>0</v>
      </c>
      <c r="AS693">
        <v>0</v>
      </c>
      <c r="AT693">
        <v>0</v>
      </c>
      <c r="AU693">
        <v>0</v>
      </c>
      <c r="AV693">
        <v>0</v>
      </c>
      <c r="AW693">
        <v>0</v>
      </c>
      <c r="AX693">
        <v>0</v>
      </c>
      <c r="AY693">
        <v>0</v>
      </c>
      <c r="AZ693">
        <v>0</v>
      </c>
      <c r="BA693">
        <v>0</v>
      </c>
      <c r="BB693">
        <v>0</v>
      </c>
      <c r="BC693">
        <v>0</v>
      </c>
      <c r="BD693">
        <v>0</v>
      </c>
      <c r="BE693">
        <v>0</v>
      </c>
      <c r="BF693">
        <v>0</v>
      </c>
      <c r="BG693">
        <v>0</v>
      </c>
      <c r="BH693">
        <v>0</v>
      </c>
      <c r="BI693">
        <v>0</v>
      </c>
      <c r="BK693" s="151"/>
    </row>
    <row r="694" spans="1:63" x14ac:dyDescent="0.35">
      <c r="A694">
        <v>0</v>
      </c>
      <c r="B694">
        <v>0</v>
      </c>
      <c r="C694">
        <v>0</v>
      </c>
      <c r="D694">
        <v>0</v>
      </c>
      <c r="E694">
        <v>0</v>
      </c>
      <c r="F694">
        <v>0</v>
      </c>
      <c r="G694">
        <v>0</v>
      </c>
      <c r="H694">
        <v>0</v>
      </c>
      <c r="I694">
        <v>0</v>
      </c>
      <c r="J694">
        <v>0</v>
      </c>
      <c r="K694">
        <v>0</v>
      </c>
      <c r="L694">
        <v>0</v>
      </c>
      <c r="M694">
        <v>0</v>
      </c>
      <c r="N694">
        <v>0</v>
      </c>
      <c r="O694">
        <v>0</v>
      </c>
      <c r="P694">
        <v>0</v>
      </c>
      <c r="Q694">
        <v>0</v>
      </c>
      <c r="R694">
        <v>0</v>
      </c>
      <c r="S694">
        <v>0</v>
      </c>
      <c r="T694">
        <v>0</v>
      </c>
      <c r="U694">
        <v>0</v>
      </c>
      <c r="V694">
        <v>0</v>
      </c>
      <c r="W694">
        <v>0</v>
      </c>
      <c r="X694">
        <v>0</v>
      </c>
      <c r="Y694">
        <v>0</v>
      </c>
      <c r="Z694">
        <v>0</v>
      </c>
      <c r="AA694">
        <v>0</v>
      </c>
      <c r="AB694">
        <v>0</v>
      </c>
      <c r="AC694">
        <v>0</v>
      </c>
      <c r="AD694">
        <v>0</v>
      </c>
      <c r="AF694">
        <v>0</v>
      </c>
      <c r="AG694">
        <v>0</v>
      </c>
      <c r="AH694">
        <v>0</v>
      </c>
      <c r="AI694">
        <v>0</v>
      </c>
      <c r="AJ694">
        <v>0</v>
      </c>
      <c r="AK694">
        <v>0</v>
      </c>
      <c r="AL694">
        <v>0</v>
      </c>
      <c r="AM694">
        <v>0</v>
      </c>
      <c r="AN694">
        <v>0</v>
      </c>
      <c r="AO694">
        <v>0</v>
      </c>
      <c r="AP694">
        <v>0</v>
      </c>
      <c r="AQ694">
        <v>0</v>
      </c>
      <c r="AR694">
        <v>0</v>
      </c>
      <c r="AS694">
        <v>0</v>
      </c>
      <c r="AT694">
        <v>0</v>
      </c>
      <c r="AU694">
        <v>0</v>
      </c>
      <c r="AV694">
        <v>0</v>
      </c>
      <c r="AW694">
        <v>0</v>
      </c>
      <c r="AX694">
        <v>0</v>
      </c>
      <c r="AY694">
        <v>0</v>
      </c>
      <c r="AZ694">
        <v>0</v>
      </c>
      <c r="BA694">
        <v>0</v>
      </c>
      <c r="BB694">
        <v>0</v>
      </c>
      <c r="BC694">
        <v>0</v>
      </c>
      <c r="BD694">
        <v>0</v>
      </c>
      <c r="BE694">
        <v>0</v>
      </c>
      <c r="BF694">
        <v>0</v>
      </c>
      <c r="BG694">
        <v>0</v>
      </c>
      <c r="BH694">
        <v>0</v>
      </c>
      <c r="BI694">
        <v>0</v>
      </c>
      <c r="BK694" s="151"/>
    </row>
    <row r="695" spans="1:63" x14ac:dyDescent="0.35">
      <c r="A695">
        <v>0</v>
      </c>
      <c r="B695">
        <v>0</v>
      </c>
      <c r="C695">
        <v>0</v>
      </c>
      <c r="D695">
        <v>0</v>
      </c>
      <c r="E695">
        <v>0</v>
      </c>
      <c r="F695">
        <v>0</v>
      </c>
      <c r="G695">
        <v>0</v>
      </c>
      <c r="H695">
        <v>0</v>
      </c>
      <c r="I695">
        <v>0</v>
      </c>
      <c r="J695">
        <v>0</v>
      </c>
      <c r="K695">
        <v>0</v>
      </c>
      <c r="L695">
        <v>0</v>
      </c>
      <c r="M695">
        <v>0</v>
      </c>
      <c r="N695">
        <v>0</v>
      </c>
      <c r="O695">
        <v>0</v>
      </c>
      <c r="P695">
        <v>0</v>
      </c>
      <c r="Q695">
        <v>0</v>
      </c>
      <c r="R695">
        <v>0</v>
      </c>
      <c r="S695">
        <v>0</v>
      </c>
      <c r="T695">
        <v>0</v>
      </c>
      <c r="U695">
        <v>0</v>
      </c>
      <c r="V695">
        <v>0</v>
      </c>
      <c r="W695">
        <v>0</v>
      </c>
      <c r="X695">
        <v>0</v>
      </c>
      <c r="Y695">
        <v>0</v>
      </c>
      <c r="Z695">
        <v>0</v>
      </c>
      <c r="AA695">
        <v>0</v>
      </c>
      <c r="AB695">
        <v>0</v>
      </c>
      <c r="AC695">
        <v>0</v>
      </c>
      <c r="AD695">
        <v>0</v>
      </c>
      <c r="AF695">
        <v>0</v>
      </c>
      <c r="AG695">
        <v>0</v>
      </c>
      <c r="AH695">
        <v>0</v>
      </c>
      <c r="AI695">
        <v>0</v>
      </c>
      <c r="AJ695">
        <v>0</v>
      </c>
      <c r="AK695">
        <v>0</v>
      </c>
      <c r="AL695">
        <v>0</v>
      </c>
      <c r="AM695">
        <v>0</v>
      </c>
      <c r="AN695">
        <v>0</v>
      </c>
      <c r="AO695">
        <v>0</v>
      </c>
      <c r="AP695">
        <v>0</v>
      </c>
      <c r="AQ695">
        <v>0</v>
      </c>
      <c r="AR695">
        <v>0</v>
      </c>
      <c r="AS695">
        <v>0</v>
      </c>
      <c r="AT695">
        <v>0</v>
      </c>
      <c r="AU695">
        <v>0</v>
      </c>
      <c r="AV695">
        <v>0</v>
      </c>
      <c r="AW695">
        <v>0</v>
      </c>
      <c r="AX695">
        <v>0</v>
      </c>
      <c r="AY695">
        <v>0</v>
      </c>
      <c r="AZ695">
        <v>0</v>
      </c>
      <c r="BA695">
        <v>0</v>
      </c>
      <c r="BB695">
        <v>0</v>
      </c>
      <c r="BC695">
        <v>0</v>
      </c>
      <c r="BD695">
        <v>0</v>
      </c>
      <c r="BE695">
        <v>0</v>
      </c>
      <c r="BF695">
        <v>0</v>
      </c>
      <c r="BG695">
        <v>0</v>
      </c>
      <c r="BH695">
        <v>0</v>
      </c>
      <c r="BI695">
        <v>0</v>
      </c>
      <c r="BK695" s="151"/>
    </row>
    <row r="696" spans="1:63" x14ac:dyDescent="0.35">
      <c r="A696">
        <v>0</v>
      </c>
      <c r="B696">
        <v>0</v>
      </c>
      <c r="C696">
        <v>0</v>
      </c>
      <c r="D696">
        <v>0</v>
      </c>
      <c r="E696">
        <v>0</v>
      </c>
      <c r="F696">
        <v>0</v>
      </c>
      <c r="G696">
        <v>0</v>
      </c>
      <c r="H696">
        <v>0</v>
      </c>
      <c r="I696">
        <v>0</v>
      </c>
      <c r="J696">
        <v>0</v>
      </c>
      <c r="K696">
        <v>0</v>
      </c>
      <c r="L696">
        <v>0</v>
      </c>
      <c r="M696">
        <v>0</v>
      </c>
      <c r="N696">
        <v>0</v>
      </c>
      <c r="O696">
        <v>0</v>
      </c>
      <c r="P696">
        <v>0</v>
      </c>
      <c r="Q696">
        <v>0</v>
      </c>
      <c r="R696">
        <v>0</v>
      </c>
      <c r="S696">
        <v>0</v>
      </c>
      <c r="T696">
        <v>0</v>
      </c>
      <c r="U696">
        <v>0</v>
      </c>
      <c r="V696">
        <v>0</v>
      </c>
      <c r="W696">
        <v>0</v>
      </c>
      <c r="X696">
        <v>0</v>
      </c>
      <c r="Y696">
        <v>0</v>
      </c>
      <c r="Z696">
        <v>0</v>
      </c>
      <c r="AA696">
        <v>0</v>
      </c>
      <c r="AB696">
        <v>0</v>
      </c>
      <c r="AC696">
        <v>0</v>
      </c>
      <c r="AD696">
        <v>0</v>
      </c>
      <c r="AF696">
        <v>0</v>
      </c>
      <c r="AG696">
        <v>0</v>
      </c>
      <c r="AH696">
        <v>0</v>
      </c>
      <c r="AI696">
        <v>0</v>
      </c>
      <c r="AJ696">
        <v>0</v>
      </c>
      <c r="AK696">
        <v>0</v>
      </c>
      <c r="AL696">
        <v>0</v>
      </c>
      <c r="AM696">
        <v>0</v>
      </c>
      <c r="AN696">
        <v>0</v>
      </c>
      <c r="AO696">
        <v>0</v>
      </c>
      <c r="AP696">
        <v>0</v>
      </c>
      <c r="AQ696">
        <v>0</v>
      </c>
      <c r="AR696">
        <v>0</v>
      </c>
      <c r="AS696">
        <v>0</v>
      </c>
      <c r="AT696">
        <v>0</v>
      </c>
      <c r="AU696">
        <v>0</v>
      </c>
      <c r="AV696">
        <v>0</v>
      </c>
      <c r="AW696">
        <v>0</v>
      </c>
      <c r="AX696">
        <v>0</v>
      </c>
      <c r="AY696">
        <v>0</v>
      </c>
      <c r="AZ696">
        <v>0</v>
      </c>
      <c r="BA696">
        <v>0</v>
      </c>
      <c r="BB696">
        <v>0</v>
      </c>
      <c r="BC696">
        <v>0</v>
      </c>
      <c r="BD696">
        <v>0</v>
      </c>
      <c r="BE696">
        <v>0</v>
      </c>
      <c r="BF696">
        <v>0</v>
      </c>
      <c r="BG696">
        <v>0</v>
      </c>
      <c r="BH696">
        <v>0</v>
      </c>
      <c r="BI696">
        <v>0</v>
      </c>
      <c r="BK696" s="151"/>
    </row>
    <row r="697" spans="1:63" x14ac:dyDescent="0.35">
      <c r="A697">
        <v>0</v>
      </c>
      <c r="B697">
        <v>0</v>
      </c>
      <c r="C697">
        <v>0</v>
      </c>
      <c r="D697">
        <v>0</v>
      </c>
      <c r="E697">
        <v>0</v>
      </c>
      <c r="F697">
        <v>0</v>
      </c>
      <c r="G697">
        <v>0</v>
      </c>
      <c r="H697">
        <v>0</v>
      </c>
      <c r="I697">
        <v>0</v>
      </c>
      <c r="J697">
        <v>0</v>
      </c>
      <c r="K697">
        <v>0</v>
      </c>
      <c r="L697">
        <v>0</v>
      </c>
      <c r="M697">
        <v>0</v>
      </c>
      <c r="N697">
        <v>0</v>
      </c>
      <c r="O697">
        <v>0</v>
      </c>
      <c r="P697">
        <v>0</v>
      </c>
      <c r="Q697">
        <v>0</v>
      </c>
      <c r="R697">
        <v>0</v>
      </c>
      <c r="S697">
        <v>0</v>
      </c>
      <c r="T697">
        <v>0</v>
      </c>
      <c r="U697">
        <v>0</v>
      </c>
      <c r="V697">
        <v>0</v>
      </c>
      <c r="W697">
        <v>0</v>
      </c>
      <c r="X697">
        <v>0</v>
      </c>
      <c r="Y697">
        <v>0</v>
      </c>
      <c r="Z697">
        <v>0</v>
      </c>
      <c r="AA697">
        <v>0</v>
      </c>
      <c r="AB697">
        <v>0</v>
      </c>
      <c r="AC697">
        <v>0</v>
      </c>
      <c r="AD697">
        <v>0</v>
      </c>
      <c r="AF697">
        <v>0</v>
      </c>
      <c r="AG697">
        <v>0</v>
      </c>
      <c r="AH697">
        <v>0</v>
      </c>
      <c r="AI697">
        <v>0</v>
      </c>
      <c r="AJ697">
        <v>0</v>
      </c>
      <c r="AK697">
        <v>0</v>
      </c>
      <c r="AL697">
        <v>0</v>
      </c>
      <c r="AM697">
        <v>0</v>
      </c>
      <c r="AN697">
        <v>0</v>
      </c>
      <c r="AO697">
        <v>0</v>
      </c>
      <c r="AP697">
        <v>0</v>
      </c>
      <c r="AQ697">
        <v>0</v>
      </c>
      <c r="AR697">
        <v>0</v>
      </c>
      <c r="AS697">
        <v>0</v>
      </c>
      <c r="AT697">
        <v>0</v>
      </c>
      <c r="AU697">
        <v>0</v>
      </c>
      <c r="AV697">
        <v>0</v>
      </c>
      <c r="AW697">
        <v>0</v>
      </c>
      <c r="AX697">
        <v>0</v>
      </c>
      <c r="AY697">
        <v>0</v>
      </c>
      <c r="AZ697">
        <v>0</v>
      </c>
      <c r="BA697">
        <v>0</v>
      </c>
      <c r="BB697">
        <v>0</v>
      </c>
      <c r="BC697">
        <v>0</v>
      </c>
      <c r="BD697">
        <v>0</v>
      </c>
      <c r="BE697">
        <v>0</v>
      </c>
      <c r="BF697">
        <v>0</v>
      </c>
      <c r="BG697">
        <v>0</v>
      </c>
      <c r="BH697">
        <v>0</v>
      </c>
      <c r="BI697">
        <v>0</v>
      </c>
      <c r="BK697" s="151"/>
    </row>
    <row r="698" spans="1:63" x14ac:dyDescent="0.35">
      <c r="A698">
        <v>0</v>
      </c>
      <c r="B698">
        <v>0</v>
      </c>
      <c r="C698">
        <v>0</v>
      </c>
      <c r="D698">
        <v>0</v>
      </c>
      <c r="E698">
        <v>0</v>
      </c>
      <c r="F698">
        <v>0</v>
      </c>
      <c r="G698">
        <v>0</v>
      </c>
      <c r="H698">
        <v>0</v>
      </c>
      <c r="I698">
        <v>0</v>
      </c>
      <c r="J698">
        <v>0</v>
      </c>
      <c r="K698">
        <v>0</v>
      </c>
      <c r="L698">
        <v>0</v>
      </c>
      <c r="M698">
        <v>0</v>
      </c>
      <c r="N698">
        <v>0</v>
      </c>
      <c r="O698">
        <v>0</v>
      </c>
      <c r="P698">
        <v>0</v>
      </c>
      <c r="Q698">
        <v>0</v>
      </c>
      <c r="R698">
        <v>0</v>
      </c>
      <c r="S698">
        <v>0</v>
      </c>
      <c r="T698">
        <v>0</v>
      </c>
      <c r="U698">
        <v>0</v>
      </c>
      <c r="V698">
        <v>0</v>
      </c>
      <c r="W698">
        <v>0</v>
      </c>
      <c r="X698">
        <v>0</v>
      </c>
      <c r="Y698">
        <v>0</v>
      </c>
      <c r="Z698">
        <v>0</v>
      </c>
      <c r="AA698">
        <v>0</v>
      </c>
      <c r="AB698">
        <v>0</v>
      </c>
      <c r="AC698">
        <v>0</v>
      </c>
      <c r="AD698">
        <v>0</v>
      </c>
      <c r="AF698">
        <v>0</v>
      </c>
      <c r="AG698">
        <v>0</v>
      </c>
      <c r="AH698">
        <v>0</v>
      </c>
      <c r="AI698">
        <v>0</v>
      </c>
      <c r="AJ698">
        <v>0</v>
      </c>
      <c r="AK698">
        <v>0</v>
      </c>
      <c r="AL698">
        <v>0</v>
      </c>
      <c r="AM698">
        <v>0</v>
      </c>
      <c r="AN698">
        <v>0</v>
      </c>
      <c r="AO698">
        <v>0</v>
      </c>
      <c r="AP698">
        <v>0</v>
      </c>
      <c r="AQ698">
        <v>0</v>
      </c>
      <c r="AR698">
        <v>0</v>
      </c>
      <c r="AS698">
        <v>0</v>
      </c>
      <c r="AT698">
        <v>0</v>
      </c>
      <c r="AU698">
        <v>0</v>
      </c>
      <c r="AV698">
        <v>0</v>
      </c>
      <c r="AW698">
        <v>0</v>
      </c>
      <c r="AX698">
        <v>0</v>
      </c>
      <c r="AY698">
        <v>0</v>
      </c>
      <c r="AZ698">
        <v>0</v>
      </c>
      <c r="BA698">
        <v>0</v>
      </c>
      <c r="BB698">
        <v>0</v>
      </c>
      <c r="BC698">
        <v>0</v>
      </c>
      <c r="BD698">
        <v>0</v>
      </c>
      <c r="BE698">
        <v>0</v>
      </c>
      <c r="BF698">
        <v>0</v>
      </c>
      <c r="BG698">
        <v>0</v>
      </c>
      <c r="BH698">
        <v>0</v>
      </c>
      <c r="BI698">
        <v>0</v>
      </c>
      <c r="BK698" s="151"/>
    </row>
    <row r="699" spans="1:63" x14ac:dyDescent="0.35">
      <c r="A699">
        <v>0</v>
      </c>
      <c r="B699">
        <v>0</v>
      </c>
      <c r="C699">
        <v>0</v>
      </c>
      <c r="D699">
        <v>0</v>
      </c>
      <c r="E699">
        <v>0</v>
      </c>
      <c r="F699">
        <v>0</v>
      </c>
      <c r="G699">
        <v>0</v>
      </c>
      <c r="H699">
        <v>0</v>
      </c>
      <c r="I699">
        <v>0</v>
      </c>
      <c r="J699">
        <v>0</v>
      </c>
      <c r="K699">
        <v>0</v>
      </c>
      <c r="L699">
        <v>0</v>
      </c>
      <c r="M699">
        <v>0</v>
      </c>
      <c r="N699">
        <v>0</v>
      </c>
      <c r="O699">
        <v>0</v>
      </c>
      <c r="P699">
        <v>0</v>
      </c>
      <c r="Q699">
        <v>0</v>
      </c>
      <c r="R699">
        <v>0</v>
      </c>
      <c r="S699">
        <v>0</v>
      </c>
      <c r="T699">
        <v>0</v>
      </c>
      <c r="U699">
        <v>0</v>
      </c>
      <c r="V699">
        <v>0</v>
      </c>
      <c r="W699">
        <v>0</v>
      </c>
      <c r="X699">
        <v>0</v>
      </c>
      <c r="Y699">
        <v>0</v>
      </c>
      <c r="Z699">
        <v>0</v>
      </c>
      <c r="AA699">
        <v>0</v>
      </c>
      <c r="AB699">
        <v>0</v>
      </c>
      <c r="AC699">
        <v>0</v>
      </c>
      <c r="AD699">
        <v>0</v>
      </c>
      <c r="AF699">
        <v>0</v>
      </c>
      <c r="AG699">
        <v>0</v>
      </c>
      <c r="AH699">
        <v>0</v>
      </c>
      <c r="AI699">
        <v>0</v>
      </c>
      <c r="AJ699">
        <v>0</v>
      </c>
      <c r="AK699">
        <v>0</v>
      </c>
      <c r="AL699">
        <v>0</v>
      </c>
      <c r="AM699">
        <v>0</v>
      </c>
      <c r="AN699">
        <v>0</v>
      </c>
      <c r="AO699">
        <v>0</v>
      </c>
      <c r="AP699">
        <v>0</v>
      </c>
      <c r="AQ699">
        <v>0</v>
      </c>
      <c r="AR699">
        <v>0</v>
      </c>
      <c r="AS699">
        <v>0</v>
      </c>
      <c r="AT699">
        <v>0</v>
      </c>
      <c r="AU699">
        <v>0</v>
      </c>
      <c r="AV699">
        <v>0</v>
      </c>
      <c r="AW699">
        <v>0</v>
      </c>
      <c r="AX699">
        <v>0</v>
      </c>
      <c r="AY699">
        <v>0</v>
      </c>
      <c r="AZ699">
        <v>0</v>
      </c>
      <c r="BA699">
        <v>0</v>
      </c>
      <c r="BB699">
        <v>0</v>
      </c>
      <c r="BC699">
        <v>0</v>
      </c>
      <c r="BD699">
        <v>0</v>
      </c>
      <c r="BE699">
        <v>0</v>
      </c>
      <c r="BF699">
        <v>0</v>
      </c>
      <c r="BG699">
        <v>0</v>
      </c>
      <c r="BH699">
        <v>0</v>
      </c>
      <c r="BI699">
        <v>0</v>
      </c>
      <c r="BK699" s="151"/>
    </row>
    <row r="700" spans="1:63" x14ac:dyDescent="0.35">
      <c r="A700">
        <v>0</v>
      </c>
      <c r="B700">
        <v>0</v>
      </c>
      <c r="C700">
        <v>0</v>
      </c>
      <c r="D700">
        <v>0</v>
      </c>
      <c r="E700">
        <v>0</v>
      </c>
      <c r="F700">
        <v>0</v>
      </c>
      <c r="G700">
        <v>0</v>
      </c>
      <c r="H700">
        <v>0</v>
      </c>
      <c r="I700">
        <v>0</v>
      </c>
      <c r="J700">
        <v>0</v>
      </c>
      <c r="K700">
        <v>0</v>
      </c>
      <c r="L700">
        <v>0</v>
      </c>
      <c r="M700">
        <v>0</v>
      </c>
      <c r="N700">
        <v>0</v>
      </c>
      <c r="O700">
        <v>0</v>
      </c>
      <c r="P700">
        <v>0</v>
      </c>
      <c r="Q700">
        <v>0</v>
      </c>
      <c r="R700">
        <v>0</v>
      </c>
      <c r="S700">
        <v>0</v>
      </c>
      <c r="T700">
        <v>0</v>
      </c>
      <c r="U700">
        <v>0</v>
      </c>
      <c r="V700">
        <v>0</v>
      </c>
      <c r="W700">
        <v>0</v>
      </c>
      <c r="X700">
        <v>0</v>
      </c>
      <c r="Y700">
        <v>0</v>
      </c>
      <c r="Z700">
        <v>0</v>
      </c>
      <c r="AA700">
        <v>0</v>
      </c>
      <c r="AB700">
        <v>0</v>
      </c>
      <c r="AC700">
        <v>0</v>
      </c>
      <c r="AD700">
        <v>0</v>
      </c>
      <c r="AF700">
        <v>0</v>
      </c>
      <c r="AG700">
        <v>0</v>
      </c>
      <c r="AH700">
        <v>0</v>
      </c>
      <c r="AI700">
        <v>0</v>
      </c>
      <c r="AJ700">
        <v>0</v>
      </c>
      <c r="AK700">
        <v>0</v>
      </c>
      <c r="AL700">
        <v>0</v>
      </c>
      <c r="AM700">
        <v>0</v>
      </c>
      <c r="AN700">
        <v>0</v>
      </c>
      <c r="AO700">
        <v>0</v>
      </c>
      <c r="AP700">
        <v>0</v>
      </c>
      <c r="AQ700">
        <v>0</v>
      </c>
      <c r="AR700">
        <v>0</v>
      </c>
      <c r="AS700">
        <v>0</v>
      </c>
      <c r="AT700">
        <v>0</v>
      </c>
      <c r="AU700">
        <v>0</v>
      </c>
      <c r="AV700">
        <v>0</v>
      </c>
      <c r="AW700">
        <v>0</v>
      </c>
      <c r="AX700">
        <v>0</v>
      </c>
      <c r="AY700">
        <v>0</v>
      </c>
      <c r="AZ700">
        <v>0</v>
      </c>
      <c r="BA700">
        <v>0</v>
      </c>
      <c r="BB700">
        <v>0</v>
      </c>
      <c r="BC700">
        <v>0</v>
      </c>
      <c r="BD700">
        <v>0</v>
      </c>
      <c r="BE700">
        <v>0</v>
      </c>
      <c r="BF700">
        <v>0</v>
      </c>
      <c r="BG700">
        <v>0</v>
      </c>
      <c r="BH700">
        <v>0</v>
      </c>
      <c r="BI700">
        <v>0</v>
      </c>
      <c r="BK700" s="151"/>
    </row>
    <row r="701" spans="1:63" x14ac:dyDescent="0.35">
      <c r="A701">
        <v>0</v>
      </c>
      <c r="B701">
        <v>0</v>
      </c>
      <c r="C701">
        <v>0</v>
      </c>
      <c r="D701">
        <v>0</v>
      </c>
      <c r="E701">
        <v>0</v>
      </c>
      <c r="F701">
        <v>0</v>
      </c>
      <c r="G701">
        <v>0</v>
      </c>
      <c r="H701">
        <v>0</v>
      </c>
      <c r="I701">
        <v>0</v>
      </c>
      <c r="J701">
        <v>0</v>
      </c>
      <c r="K701">
        <v>0</v>
      </c>
      <c r="L701">
        <v>0</v>
      </c>
      <c r="M701">
        <v>0</v>
      </c>
      <c r="N701">
        <v>0</v>
      </c>
      <c r="O701">
        <v>0</v>
      </c>
      <c r="P701">
        <v>0</v>
      </c>
      <c r="Q701">
        <v>0</v>
      </c>
      <c r="R701">
        <v>0</v>
      </c>
      <c r="S701">
        <v>0</v>
      </c>
      <c r="T701">
        <v>0</v>
      </c>
      <c r="U701">
        <v>0</v>
      </c>
      <c r="V701">
        <v>0</v>
      </c>
      <c r="W701">
        <v>0</v>
      </c>
      <c r="X701">
        <v>0</v>
      </c>
      <c r="Y701">
        <v>0</v>
      </c>
      <c r="Z701">
        <v>0</v>
      </c>
      <c r="AA701">
        <v>0</v>
      </c>
      <c r="AB701">
        <v>0</v>
      </c>
      <c r="AC701">
        <v>0</v>
      </c>
      <c r="AD701">
        <v>0</v>
      </c>
      <c r="AF701">
        <v>0</v>
      </c>
      <c r="AG701">
        <v>0</v>
      </c>
      <c r="AH701">
        <v>0</v>
      </c>
      <c r="AI701">
        <v>0</v>
      </c>
      <c r="AJ701">
        <v>0</v>
      </c>
      <c r="AK701">
        <v>0</v>
      </c>
      <c r="AL701">
        <v>0</v>
      </c>
      <c r="AM701">
        <v>0</v>
      </c>
      <c r="AN701">
        <v>0</v>
      </c>
      <c r="AO701">
        <v>0</v>
      </c>
      <c r="AP701">
        <v>0</v>
      </c>
      <c r="AQ701">
        <v>0</v>
      </c>
      <c r="AR701">
        <v>0</v>
      </c>
      <c r="AS701">
        <v>0</v>
      </c>
      <c r="AT701">
        <v>0</v>
      </c>
      <c r="AU701">
        <v>0</v>
      </c>
      <c r="AV701">
        <v>0</v>
      </c>
      <c r="AW701">
        <v>0</v>
      </c>
      <c r="AX701">
        <v>0</v>
      </c>
      <c r="AY701">
        <v>0</v>
      </c>
      <c r="AZ701">
        <v>0</v>
      </c>
      <c r="BA701">
        <v>0</v>
      </c>
      <c r="BB701">
        <v>0</v>
      </c>
      <c r="BC701">
        <v>0</v>
      </c>
      <c r="BD701">
        <v>0</v>
      </c>
      <c r="BE701">
        <v>0</v>
      </c>
      <c r="BF701">
        <v>0</v>
      </c>
      <c r="BG701">
        <v>0</v>
      </c>
      <c r="BH701">
        <v>0</v>
      </c>
      <c r="BI701">
        <v>0</v>
      </c>
      <c r="BK701" s="151"/>
    </row>
    <row r="702" spans="1:63" x14ac:dyDescent="0.35">
      <c r="A702">
        <v>0</v>
      </c>
      <c r="B702">
        <v>0</v>
      </c>
      <c r="C702">
        <v>0</v>
      </c>
      <c r="D702">
        <v>0</v>
      </c>
      <c r="E702">
        <v>0</v>
      </c>
      <c r="F702">
        <v>0</v>
      </c>
      <c r="G702">
        <v>0</v>
      </c>
      <c r="H702">
        <v>0</v>
      </c>
      <c r="I702">
        <v>0</v>
      </c>
      <c r="J702">
        <v>0</v>
      </c>
      <c r="K702">
        <v>0</v>
      </c>
      <c r="L702">
        <v>0</v>
      </c>
      <c r="M702">
        <v>0</v>
      </c>
      <c r="N702">
        <v>0</v>
      </c>
      <c r="O702">
        <v>0</v>
      </c>
      <c r="P702">
        <v>0</v>
      </c>
      <c r="Q702">
        <v>0</v>
      </c>
      <c r="R702">
        <v>0</v>
      </c>
      <c r="S702">
        <v>0</v>
      </c>
      <c r="T702">
        <v>0</v>
      </c>
      <c r="U702">
        <v>0</v>
      </c>
      <c r="V702">
        <v>0</v>
      </c>
      <c r="W702">
        <v>0</v>
      </c>
      <c r="X702">
        <v>0</v>
      </c>
      <c r="Y702">
        <v>0</v>
      </c>
      <c r="Z702">
        <v>0</v>
      </c>
      <c r="AA702">
        <v>0</v>
      </c>
      <c r="AB702">
        <v>0</v>
      </c>
      <c r="AC702">
        <v>0</v>
      </c>
      <c r="AD702">
        <v>0</v>
      </c>
      <c r="AF702">
        <v>0</v>
      </c>
      <c r="AG702">
        <v>0</v>
      </c>
      <c r="AH702">
        <v>0</v>
      </c>
      <c r="AI702">
        <v>0</v>
      </c>
      <c r="AJ702">
        <v>0</v>
      </c>
      <c r="AK702">
        <v>0</v>
      </c>
      <c r="AL702">
        <v>0</v>
      </c>
      <c r="AM702">
        <v>0</v>
      </c>
      <c r="AN702">
        <v>0</v>
      </c>
      <c r="AO702">
        <v>0</v>
      </c>
      <c r="AP702">
        <v>0</v>
      </c>
      <c r="AQ702">
        <v>0</v>
      </c>
      <c r="AR702">
        <v>0</v>
      </c>
      <c r="AS702">
        <v>0</v>
      </c>
      <c r="AT702">
        <v>0</v>
      </c>
      <c r="AU702">
        <v>0</v>
      </c>
      <c r="AV702">
        <v>0</v>
      </c>
      <c r="AW702">
        <v>0</v>
      </c>
      <c r="AX702">
        <v>0</v>
      </c>
      <c r="AY702">
        <v>0</v>
      </c>
      <c r="AZ702">
        <v>0</v>
      </c>
      <c r="BA702">
        <v>0</v>
      </c>
      <c r="BB702">
        <v>0</v>
      </c>
      <c r="BC702">
        <v>0</v>
      </c>
      <c r="BD702">
        <v>0</v>
      </c>
      <c r="BE702">
        <v>0</v>
      </c>
      <c r="BF702">
        <v>0</v>
      </c>
      <c r="BG702">
        <v>0</v>
      </c>
      <c r="BH702">
        <v>0</v>
      </c>
      <c r="BI702">
        <v>0</v>
      </c>
      <c r="BK702" s="151"/>
    </row>
    <row r="703" spans="1:63" x14ac:dyDescent="0.35">
      <c r="A703">
        <v>0</v>
      </c>
      <c r="B703">
        <v>0</v>
      </c>
      <c r="C703">
        <v>0</v>
      </c>
      <c r="D703">
        <v>0</v>
      </c>
      <c r="E703">
        <v>0</v>
      </c>
      <c r="F703">
        <v>0</v>
      </c>
      <c r="G703">
        <v>0</v>
      </c>
      <c r="H703">
        <v>0</v>
      </c>
      <c r="I703">
        <v>0</v>
      </c>
      <c r="J703">
        <v>0</v>
      </c>
      <c r="K703">
        <v>0</v>
      </c>
      <c r="L703">
        <v>0</v>
      </c>
      <c r="M703">
        <v>0</v>
      </c>
      <c r="N703">
        <v>0</v>
      </c>
      <c r="O703">
        <v>0</v>
      </c>
      <c r="P703">
        <v>0</v>
      </c>
      <c r="Q703">
        <v>0</v>
      </c>
      <c r="R703">
        <v>0</v>
      </c>
      <c r="S703">
        <v>0</v>
      </c>
      <c r="T703">
        <v>0</v>
      </c>
      <c r="U703">
        <v>0</v>
      </c>
      <c r="V703">
        <v>0</v>
      </c>
      <c r="W703">
        <v>0</v>
      </c>
      <c r="X703">
        <v>0</v>
      </c>
      <c r="Y703">
        <v>0</v>
      </c>
      <c r="Z703">
        <v>0</v>
      </c>
      <c r="AA703">
        <v>0</v>
      </c>
      <c r="AB703">
        <v>0</v>
      </c>
      <c r="AC703">
        <v>0</v>
      </c>
      <c r="AD703">
        <v>0</v>
      </c>
      <c r="AF703">
        <v>0</v>
      </c>
      <c r="AG703">
        <v>0</v>
      </c>
      <c r="AH703">
        <v>0</v>
      </c>
      <c r="AI703">
        <v>0</v>
      </c>
      <c r="AJ703">
        <v>0</v>
      </c>
      <c r="AK703">
        <v>0</v>
      </c>
      <c r="AL703">
        <v>0</v>
      </c>
      <c r="AM703">
        <v>0</v>
      </c>
      <c r="AN703">
        <v>0</v>
      </c>
      <c r="AO703">
        <v>0</v>
      </c>
      <c r="AP703">
        <v>0</v>
      </c>
      <c r="AQ703">
        <v>0</v>
      </c>
      <c r="AR703">
        <v>0</v>
      </c>
      <c r="AS703">
        <v>0</v>
      </c>
      <c r="AT703">
        <v>0</v>
      </c>
      <c r="AU703">
        <v>0</v>
      </c>
      <c r="AV703">
        <v>0</v>
      </c>
      <c r="AW703">
        <v>0</v>
      </c>
      <c r="AX703">
        <v>0</v>
      </c>
      <c r="AY703">
        <v>0</v>
      </c>
      <c r="AZ703">
        <v>0</v>
      </c>
      <c r="BA703">
        <v>0</v>
      </c>
      <c r="BB703">
        <v>0</v>
      </c>
      <c r="BC703">
        <v>0</v>
      </c>
      <c r="BD703">
        <v>0</v>
      </c>
      <c r="BE703">
        <v>0</v>
      </c>
      <c r="BF703">
        <v>0</v>
      </c>
      <c r="BG703">
        <v>0</v>
      </c>
      <c r="BH703">
        <v>0</v>
      </c>
      <c r="BI703">
        <v>0</v>
      </c>
      <c r="BK703" s="151"/>
    </row>
    <row r="704" spans="1:63" x14ac:dyDescent="0.35">
      <c r="A704">
        <v>0</v>
      </c>
      <c r="B704">
        <v>0</v>
      </c>
      <c r="C704">
        <v>0</v>
      </c>
      <c r="D704">
        <v>0</v>
      </c>
      <c r="E704">
        <v>0</v>
      </c>
      <c r="F704">
        <v>0</v>
      </c>
      <c r="G704">
        <v>0</v>
      </c>
      <c r="H704">
        <v>0</v>
      </c>
      <c r="I704">
        <v>0</v>
      </c>
      <c r="J704">
        <v>0</v>
      </c>
      <c r="K704">
        <v>0</v>
      </c>
      <c r="L704">
        <v>0</v>
      </c>
      <c r="M704">
        <v>0</v>
      </c>
      <c r="N704">
        <v>0</v>
      </c>
      <c r="O704">
        <v>0</v>
      </c>
      <c r="P704">
        <v>0</v>
      </c>
      <c r="Q704">
        <v>0</v>
      </c>
      <c r="R704">
        <v>0</v>
      </c>
      <c r="S704">
        <v>0</v>
      </c>
      <c r="T704">
        <v>0</v>
      </c>
      <c r="U704">
        <v>0</v>
      </c>
      <c r="V704">
        <v>0</v>
      </c>
      <c r="W704">
        <v>0</v>
      </c>
      <c r="X704">
        <v>0</v>
      </c>
      <c r="Y704">
        <v>0</v>
      </c>
      <c r="Z704">
        <v>0</v>
      </c>
      <c r="AA704">
        <v>0</v>
      </c>
      <c r="AB704">
        <v>0</v>
      </c>
      <c r="AC704">
        <v>0</v>
      </c>
      <c r="AD704">
        <v>0</v>
      </c>
      <c r="AF704">
        <v>0</v>
      </c>
      <c r="AG704">
        <v>0</v>
      </c>
      <c r="AH704">
        <v>0</v>
      </c>
      <c r="AI704">
        <v>0</v>
      </c>
      <c r="AJ704">
        <v>0</v>
      </c>
      <c r="AK704">
        <v>0</v>
      </c>
      <c r="AL704">
        <v>0</v>
      </c>
      <c r="AM704">
        <v>0</v>
      </c>
      <c r="AN704">
        <v>0</v>
      </c>
      <c r="AO704">
        <v>0</v>
      </c>
      <c r="AP704">
        <v>0</v>
      </c>
      <c r="AQ704">
        <v>0</v>
      </c>
      <c r="AR704">
        <v>0</v>
      </c>
      <c r="AS704">
        <v>0</v>
      </c>
      <c r="AT704">
        <v>0</v>
      </c>
      <c r="AU704">
        <v>0</v>
      </c>
      <c r="AV704">
        <v>0</v>
      </c>
      <c r="AW704">
        <v>0</v>
      </c>
      <c r="AX704">
        <v>0</v>
      </c>
      <c r="AY704">
        <v>0</v>
      </c>
      <c r="AZ704">
        <v>0</v>
      </c>
      <c r="BA704">
        <v>0</v>
      </c>
      <c r="BB704">
        <v>0</v>
      </c>
      <c r="BC704">
        <v>0</v>
      </c>
      <c r="BD704">
        <v>0</v>
      </c>
      <c r="BE704">
        <v>0</v>
      </c>
      <c r="BF704">
        <v>0</v>
      </c>
      <c r="BG704">
        <v>0</v>
      </c>
      <c r="BH704">
        <v>0</v>
      </c>
      <c r="BI704">
        <v>0</v>
      </c>
      <c r="BK704" s="151"/>
    </row>
    <row r="705" spans="1:63" x14ac:dyDescent="0.35">
      <c r="A705">
        <v>0</v>
      </c>
      <c r="B705">
        <v>0</v>
      </c>
      <c r="C705">
        <v>0</v>
      </c>
      <c r="D705">
        <v>0</v>
      </c>
      <c r="E705">
        <v>0</v>
      </c>
      <c r="F705">
        <v>0</v>
      </c>
      <c r="G705">
        <v>0</v>
      </c>
      <c r="H705">
        <v>0</v>
      </c>
      <c r="I705">
        <v>0</v>
      </c>
      <c r="J705">
        <v>0</v>
      </c>
      <c r="K705">
        <v>0</v>
      </c>
      <c r="L705">
        <v>0</v>
      </c>
      <c r="M705">
        <v>0</v>
      </c>
      <c r="N705">
        <v>0</v>
      </c>
      <c r="O705">
        <v>0</v>
      </c>
      <c r="P705">
        <v>0</v>
      </c>
      <c r="Q705">
        <v>0</v>
      </c>
      <c r="R705">
        <v>0</v>
      </c>
      <c r="S705">
        <v>0</v>
      </c>
      <c r="T705">
        <v>0</v>
      </c>
      <c r="U705">
        <v>0</v>
      </c>
      <c r="V705">
        <v>0</v>
      </c>
      <c r="W705">
        <v>0</v>
      </c>
      <c r="X705">
        <v>0</v>
      </c>
      <c r="Y705">
        <v>0</v>
      </c>
      <c r="Z705">
        <v>0</v>
      </c>
      <c r="AA705">
        <v>0</v>
      </c>
      <c r="AB705">
        <v>0</v>
      </c>
      <c r="AC705">
        <v>0</v>
      </c>
      <c r="AD705">
        <v>0</v>
      </c>
      <c r="AF705">
        <v>0</v>
      </c>
      <c r="AG705">
        <v>0</v>
      </c>
      <c r="AH705">
        <v>0</v>
      </c>
      <c r="AI705">
        <v>0</v>
      </c>
      <c r="AJ705">
        <v>0</v>
      </c>
      <c r="AK705">
        <v>0</v>
      </c>
      <c r="AL705">
        <v>0</v>
      </c>
      <c r="AM705">
        <v>0</v>
      </c>
      <c r="AN705">
        <v>0</v>
      </c>
      <c r="AO705">
        <v>0</v>
      </c>
      <c r="AP705">
        <v>0</v>
      </c>
      <c r="AQ705">
        <v>0</v>
      </c>
      <c r="AR705">
        <v>0</v>
      </c>
      <c r="AS705">
        <v>0</v>
      </c>
      <c r="AT705">
        <v>0</v>
      </c>
      <c r="AU705">
        <v>0</v>
      </c>
      <c r="AV705">
        <v>0</v>
      </c>
      <c r="AW705">
        <v>0</v>
      </c>
      <c r="AX705">
        <v>0</v>
      </c>
      <c r="AY705">
        <v>0</v>
      </c>
      <c r="AZ705">
        <v>0</v>
      </c>
      <c r="BA705">
        <v>0</v>
      </c>
      <c r="BB705">
        <v>0</v>
      </c>
      <c r="BC705">
        <v>0</v>
      </c>
      <c r="BD705">
        <v>0</v>
      </c>
      <c r="BE705">
        <v>0</v>
      </c>
      <c r="BF705">
        <v>0</v>
      </c>
      <c r="BG705">
        <v>0</v>
      </c>
      <c r="BH705">
        <v>0</v>
      </c>
      <c r="BI705">
        <v>0</v>
      </c>
      <c r="BK705" s="151"/>
    </row>
    <row r="706" spans="1:63" x14ac:dyDescent="0.35">
      <c r="A706">
        <v>0</v>
      </c>
      <c r="B706">
        <v>0</v>
      </c>
      <c r="C706">
        <v>0</v>
      </c>
      <c r="D706">
        <v>0</v>
      </c>
      <c r="E706">
        <v>0</v>
      </c>
      <c r="F706">
        <v>0</v>
      </c>
      <c r="G706">
        <v>0</v>
      </c>
      <c r="H706">
        <v>0</v>
      </c>
      <c r="I706">
        <v>0</v>
      </c>
      <c r="J706">
        <v>0</v>
      </c>
      <c r="K706">
        <v>0</v>
      </c>
      <c r="L706">
        <v>0</v>
      </c>
      <c r="M706">
        <v>0</v>
      </c>
      <c r="N706">
        <v>0</v>
      </c>
      <c r="O706">
        <v>0</v>
      </c>
      <c r="P706">
        <v>0</v>
      </c>
      <c r="Q706">
        <v>0</v>
      </c>
      <c r="R706">
        <v>0</v>
      </c>
      <c r="S706">
        <v>0</v>
      </c>
      <c r="T706">
        <v>0</v>
      </c>
      <c r="U706">
        <v>0</v>
      </c>
      <c r="V706">
        <v>0</v>
      </c>
      <c r="W706">
        <v>0</v>
      </c>
      <c r="X706">
        <v>0</v>
      </c>
      <c r="Y706">
        <v>0</v>
      </c>
      <c r="Z706">
        <v>0</v>
      </c>
      <c r="AA706">
        <v>0</v>
      </c>
      <c r="AB706">
        <v>0</v>
      </c>
      <c r="AC706">
        <v>0</v>
      </c>
      <c r="AD706">
        <v>0</v>
      </c>
      <c r="AF706">
        <v>0</v>
      </c>
      <c r="AG706">
        <v>0</v>
      </c>
      <c r="AH706">
        <v>0</v>
      </c>
      <c r="AI706">
        <v>0</v>
      </c>
      <c r="AJ706">
        <v>0</v>
      </c>
      <c r="AK706">
        <v>0</v>
      </c>
      <c r="AL706">
        <v>0</v>
      </c>
      <c r="AM706">
        <v>0</v>
      </c>
      <c r="AN706">
        <v>0</v>
      </c>
      <c r="AO706">
        <v>0</v>
      </c>
      <c r="AP706">
        <v>0</v>
      </c>
      <c r="AQ706">
        <v>0</v>
      </c>
      <c r="AR706">
        <v>0</v>
      </c>
      <c r="AS706">
        <v>0</v>
      </c>
      <c r="AT706">
        <v>0</v>
      </c>
      <c r="AU706">
        <v>0</v>
      </c>
      <c r="AV706">
        <v>0</v>
      </c>
      <c r="AW706">
        <v>0</v>
      </c>
      <c r="AX706">
        <v>0</v>
      </c>
      <c r="AY706">
        <v>0</v>
      </c>
      <c r="AZ706">
        <v>0</v>
      </c>
      <c r="BA706">
        <v>0</v>
      </c>
      <c r="BB706">
        <v>0</v>
      </c>
      <c r="BC706">
        <v>0</v>
      </c>
      <c r="BD706">
        <v>0</v>
      </c>
      <c r="BE706">
        <v>0</v>
      </c>
      <c r="BF706">
        <v>0</v>
      </c>
      <c r="BG706">
        <v>0</v>
      </c>
      <c r="BH706">
        <v>0</v>
      </c>
      <c r="BI706">
        <v>0</v>
      </c>
      <c r="BK706" s="151"/>
    </row>
    <row r="707" spans="1:63" x14ac:dyDescent="0.35">
      <c r="A707">
        <v>0</v>
      </c>
      <c r="B707">
        <v>0</v>
      </c>
      <c r="C707">
        <v>0</v>
      </c>
      <c r="D707">
        <v>0</v>
      </c>
      <c r="E707">
        <v>0</v>
      </c>
      <c r="F707">
        <v>0</v>
      </c>
      <c r="G707">
        <v>0</v>
      </c>
      <c r="H707">
        <v>0</v>
      </c>
      <c r="I707">
        <v>0</v>
      </c>
      <c r="J707">
        <v>0</v>
      </c>
      <c r="K707">
        <v>0</v>
      </c>
      <c r="L707">
        <v>0</v>
      </c>
      <c r="M707">
        <v>0</v>
      </c>
      <c r="N707">
        <v>0</v>
      </c>
      <c r="O707">
        <v>0</v>
      </c>
      <c r="P707">
        <v>0</v>
      </c>
      <c r="Q707">
        <v>0</v>
      </c>
      <c r="R707">
        <v>0</v>
      </c>
      <c r="S707">
        <v>0</v>
      </c>
      <c r="T707">
        <v>0</v>
      </c>
      <c r="U707">
        <v>0</v>
      </c>
      <c r="V707">
        <v>0</v>
      </c>
      <c r="W707">
        <v>0</v>
      </c>
      <c r="X707">
        <v>0</v>
      </c>
      <c r="Y707">
        <v>0</v>
      </c>
      <c r="Z707">
        <v>0</v>
      </c>
      <c r="AA707">
        <v>0</v>
      </c>
      <c r="AB707">
        <v>0</v>
      </c>
      <c r="AC707">
        <v>0</v>
      </c>
      <c r="AD707">
        <v>0</v>
      </c>
      <c r="AF707">
        <v>0</v>
      </c>
      <c r="AG707">
        <v>0</v>
      </c>
      <c r="AH707">
        <v>0</v>
      </c>
      <c r="AI707">
        <v>0</v>
      </c>
      <c r="AJ707">
        <v>0</v>
      </c>
      <c r="AK707">
        <v>0</v>
      </c>
      <c r="AL707">
        <v>0</v>
      </c>
      <c r="AM707">
        <v>0</v>
      </c>
      <c r="AN707">
        <v>0</v>
      </c>
      <c r="AO707">
        <v>0</v>
      </c>
      <c r="AP707">
        <v>0</v>
      </c>
      <c r="AQ707">
        <v>0</v>
      </c>
      <c r="AR707">
        <v>0</v>
      </c>
      <c r="AS707">
        <v>0</v>
      </c>
      <c r="AT707">
        <v>0</v>
      </c>
      <c r="AU707">
        <v>0</v>
      </c>
      <c r="AV707">
        <v>0</v>
      </c>
      <c r="AW707">
        <v>0</v>
      </c>
      <c r="AX707">
        <v>0</v>
      </c>
      <c r="AY707">
        <v>0</v>
      </c>
      <c r="AZ707">
        <v>0</v>
      </c>
      <c r="BA707">
        <v>0</v>
      </c>
      <c r="BB707">
        <v>0</v>
      </c>
      <c r="BC707">
        <v>0</v>
      </c>
      <c r="BD707">
        <v>0</v>
      </c>
      <c r="BE707">
        <v>0</v>
      </c>
      <c r="BF707">
        <v>0</v>
      </c>
      <c r="BG707">
        <v>0</v>
      </c>
      <c r="BH707">
        <v>0</v>
      </c>
      <c r="BI707">
        <v>0</v>
      </c>
      <c r="BK707" s="151"/>
    </row>
    <row r="708" spans="1:63" x14ac:dyDescent="0.35">
      <c r="A708">
        <v>0</v>
      </c>
      <c r="B708">
        <v>0</v>
      </c>
      <c r="C708">
        <v>0</v>
      </c>
      <c r="D708">
        <v>0</v>
      </c>
      <c r="E708">
        <v>0</v>
      </c>
      <c r="F708">
        <v>0</v>
      </c>
      <c r="G708">
        <v>0</v>
      </c>
      <c r="H708">
        <v>0</v>
      </c>
      <c r="I708">
        <v>0</v>
      </c>
      <c r="J708">
        <v>0</v>
      </c>
      <c r="K708">
        <v>0</v>
      </c>
      <c r="L708">
        <v>0</v>
      </c>
      <c r="M708">
        <v>0</v>
      </c>
      <c r="N708">
        <v>0</v>
      </c>
      <c r="O708">
        <v>0</v>
      </c>
      <c r="P708">
        <v>0</v>
      </c>
      <c r="Q708">
        <v>0</v>
      </c>
      <c r="R708">
        <v>0</v>
      </c>
      <c r="S708">
        <v>0</v>
      </c>
      <c r="T708">
        <v>0</v>
      </c>
      <c r="U708">
        <v>0</v>
      </c>
      <c r="V708">
        <v>0</v>
      </c>
      <c r="W708">
        <v>0</v>
      </c>
      <c r="X708">
        <v>0</v>
      </c>
      <c r="Y708">
        <v>0</v>
      </c>
      <c r="Z708">
        <v>0</v>
      </c>
      <c r="AA708">
        <v>0</v>
      </c>
      <c r="AB708">
        <v>0</v>
      </c>
      <c r="AC708">
        <v>0</v>
      </c>
      <c r="AD708">
        <v>0</v>
      </c>
      <c r="AF708">
        <v>0</v>
      </c>
      <c r="AG708">
        <v>0</v>
      </c>
      <c r="AH708">
        <v>0</v>
      </c>
      <c r="AI708">
        <v>0</v>
      </c>
      <c r="AJ708">
        <v>0</v>
      </c>
      <c r="AK708">
        <v>0</v>
      </c>
      <c r="AL708">
        <v>0</v>
      </c>
      <c r="AM708">
        <v>0</v>
      </c>
      <c r="AN708">
        <v>0</v>
      </c>
      <c r="AO708">
        <v>0</v>
      </c>
      <c r="AP708">
        <v>0</v>
      </c>
      <c r="AQ708">
        <v>0</v>
      </c>
      <c r="AR708">
        <v>0</v>
      </c>
      <c r="AS708">
        <v>0</v>
      </c>
      <c r="AT708">
        <v>0</v>
      </c>
      <c r="AU708">
        <v>0</v>
      </c>
      <c r="AV708">
        <v>0</v>
      </c>
      <c r="AW708">
        <v>0</v>
      </c>
      <c r="AX708">
        <v>0</v>
      </c>
      <c r="AY708">
        <v>0</v>
      </c>
      <c r="AZ708">
        <v>0</v>
      </c>
      <c r="BA708">
        <v>0</v>
      </c>
      <c r="BB708">
        <v>0</v>
      </c>
      <c r="BC708">
        <v>0</v>
      </c>
      <c r="BD708">
        <v>0</v>
      </c>
      <c r="BE708">
        <v>0</v>
      </c>
      <c r="BF708">
        <v>0</v>
      </c>
      <c r="BG708">
        <v>0</v>
      </c>
      <c r="BH708">
        <v>0</v>
      </c>
      <c r="BI708">
        <v>0</v>
      </c>
      <c r="BK708" s="151"/>
    </row>
    <row r="709" spans="1:63" x14ac:dyDescent="0.35">
      <c r="A709">
        <v>0</v>
      </c>
      <c r="B709">
        <v>0</v>
      </c>
      <c r="C709">
        <v>0</v>
      </c>
      <c r="D709">
        <v>0</v>
      </c>
      <c r="E709">
        <v>0</v>
      </c>
      <c r="F709">
        <v>0</v>
      </c>
      <c r="G709">
        <v>0</v>
      </c>
      <c r="H709">
        <v>0</v>
      </c>
      <c r="I709">
        <v>0</v>
      </c>
      <c r="J709">
        <v>0</v>
      </c>
      <c r="K709">
        <v>0</v>
      </c>
      <c r="L709">
        <v>0</v>
      </c>
      <c r="M709">
        <v>0</v>
      </c>
      <c r="N709">
        <v>0</v>
      </c>
      <c r="O709">
        <v>0</v>
      </c>
      <c r="P709">
        <v>0</v>
      </c>
      <c r="Q709">
        <v>0</v>
      </c>
      <c r="R709">
        <v>0</v>
      </c>
      <c r="S709">
        <v>0</v>
      </c>
      <c r="T709">
        <v>0</v>
      </c>
      <c r="U709">
        <v>0</v>
      </c>
      <c r="V709">
        <v>0</v>
      </c>
      <c r="W709">
        <v>0</v>
      </c>
      <c r="X709">
        <v>0</v>
      </c>
      <c r="Y709">
        <v>0</v>
      </c>
      <c r="Z709">
        <v>0</v>
      </c>
      <c r="AA709">
        <v>0</v>
      </c>
      <c r="AB709">
        <v>0</v>
      </c>
      <c r="AC709">
        <v>0</v>
      </c>
      <c r="AD709">
        <v>0</v>
      </c>
      <c r="AF709">
        <v>0</v>
      </c>
      <c r="AG709">
        <v>0</v>
      </c>
      <c r="AH709">
        <v>0</v>
      </c>
      <c r="AI709">
        <v>0</v>
      </c>
      <c r="AJ709">
        <v>0</v>
      </c>
      <c r="AK709">
        <v>0</v>
      </c>
      <c r="AL709">
        <v>0</v>
      </c>
      <c r="AM709">
        <v>0</v>
      </c>
      <c r="AN709">
        <v>0</v>
      </c>
      <c r="AO709">
        <v>0</v>
      </c>
      <c r="AP709">
        <v>0</v>
      </c>
      <c r="AQ709">
        <v>0</v>
      </c>
      <c r="AR709">
        <v>0</v>
      </c>
      <c r="AS709">
        <v>0</v>
      </c>
      <c r="AT709">
        <v>0</v>
      </c>
      <c r="AU709">
        <v>0</v>
      </c>
      <c r="AV709">
        <v>0</v>
      </c>
      <c r="AW709">
        <v>0</v>
      </c>
      <c r="AX709">
        <v>0</v>
      </c>
      <c r="AY709">
        <v>0</v>
      </c>
      <c r="AZ709">
        <v>0</v>
      </c>
      <c r="BA709">
        <v>0</v>
      </c>
      <c r="BB709">
        <v>0</v>
      </c>
      <c r="BC709">
        <v>0</v>
      </c>
      <c r="BD709">
        <v>0</v>
      </c>
      <c r="BE709">
        <v>0</v>
      </c>
      <c r="BF709">
        <v>0</v>
      </c>
      <c r="BG709">
        <v>0</v>
      </c>
      <c r="BH709">
        <v>0</v>
      </c>
      <c r="BI709">
        <v>0</v>
      </c>
      <c r="BK709" s="151"/>
    </row>
    <row r="710" spans="1:63" x14ac:dyDescent="0.35">
      <c r="A710">
        <v>0</v>
      </c>
      <c r="B710">
        <v>0</v>
      </c>
      <c r="C710">
        <v>0</v>
      </c>
      <c r="D710">
        <v>0</v>
      </c>
      <c r="E710">
        <v>0</v>
      </c>
      <c r="F710">
        <v>0</v>
      </c>
      <c r="G710">
        <v>0</v>
      </c>
      <c r="H710">
        <v>0</v>
      </c>
      <c r="I710">
        <v>0</v>
      </c>
      <c r="J710">
        <v>0</v>
      </c>
      <c r="K710">
        <v>0</v>
      </c>
      <c r="L710">
        <v>0</v>
      </c>
      <c r="M710">
        <v>0</v>
      </c>
      <c r="N710">
        <v>0</v>
      </c>
      <c r="O710">
        <v>0</v>
      </c>
      <c r="P710">
        <v>0</v>
      </c>
      <c r="Q710">
        <v>0</v>
      </c>
      <c r="R710">
        <v>0</v>
      </c>
      <c r="S710">
        <v>0</v>
      </c>
      <c r="T710">
        <v>0</v>
      </c>
      <c r="U710">
        <v>0</v>
      </c>
      <c r="V710">
        <v>0</v>
      </c>
      <c r="W710">
        <v>0</v>
      </c>
      <c r="X710">
        <v>0</v>
      </c>
      <c r="Y710">
        <v>0</v>
      </c>
      <c r="Z710">
        <v>0</v>
      </c>
      <c r="AA710">
        <v>0</v>
      </c>
      <c r="AB710">
        <v>0</v>
      </c>
      <c r="AC710">
        <v>0</v>
      </c>
      <c r="AD710">
        <v>0</v>
      </c>
      <c r="AF710">
        <v>0</v>
      </c>
      <c r="AG710">
        <v>0</v>
      </c>
      <c r="AH710">
        <v>0</v>
      </c>
      <c r="AI710">
        <v>0</v>
      </c>
      <c r="AJ710">
        <v>0</v>
      </c>
      <c r="AK710">
        <v>0</v>
      </c>
      <c r="AL710">
        <v>0</v>
      </c>
      <c r="AM710">
        <v>0</v>
      </c>
      <c r="AN710">
        <v>0</v>
      </c>
      <c r="AO710">
        <v>0</v>
      </c>
      <c r="AP710">
        <v>0</v>
      </c>
      <c r="AQ710">
        <v>0</v>
      </c>
      <c r="AR710">
        <v>0</v>
      </c>
      <c r="AS710">
        <v>0</v>
      </c>
      <c r="AT710">
        <v>0</v>
      </c>
      <c r="AU710">
        <v>0</v>
      </c>
      <c r="AV710">
        <v>0</v>
      </c>
      <c r="AW710">
        <v>0</v>
      </c>
      <c r="AX710">
        <v>0</v>
      </c>
      <c r="AY710">
        <v>0</v>
      </c>
      <c r="AZ710">
        <v>0</v>
      </c>
      <c r="BA710">
        <v>0</v>
      </c>
      <c r="BB710">
        <v>0</v>
      </c>
      <c r="BC710">
        <v>0</v>
      </c>
      <c r="BD710">
        <v>0</v>
      </c>
      <c r="BE710">
        <v>0</v>
      </c>
      <c r="BF710">
        <v>0</v>
      </c>
      <c r="BG710">
        <v>0</v>
      </c>
      <c r="BH710">
        <v>0</v>
      </c>
      <c r="BI710">
        <v>0</v>
      </c>
      <c r="BK710" s="151"/>
    </row>
    <row r="711" spans="1:63" x14ac:dyDescent="0.35">
      <c r="A711">
        <v>0</v>
      </c>
      <c r="B711">
        <v>0</v>
      </c>
      <c r="C711">
        <v>0</v>
      </c>
      <c r="D711">
        <v>0</v>
      </c>
      <c r="E711">
        <v>0</v>
      </c>
      <c r="F711">
        <v>0</v>
      </c>
      <c r="G711">
        <v>0</v>
      </c>
      <c r="H711">
        <v>0</v>
      </c>
      <c r="I711">
        <v>0</v>
      </c>
      <c r="J711">
        <v>0</v>
      </c>
      <c r="K711">
        <v>0</v>
      </c>
      <c r="L711">
        <v>0</v>
      </c>
      <c r="M711">
        <v>0</v>
      </c>
      <c r="N711">
        <v>0</v>
      </c>
      <c r="O711">
        <v>0</v>
      </c>
      <c r="P711">
        <v>0</v>
      </c>
      <c r="Q711">
        <v>0</v>
      </c>
      <c r="R711">
        <v>0</v>
      </c>
      <c r="S711">
        <v>0</v>
      </c>
      <c r="T711">
        <v>0</v>
      </c>
      <c r="U711">
        <v>0</v>
      </c>
      <c r="V711">
        <v>0</v>
      </c>
      <c r="W711">
        <v>0</v>
      </c>
      <c r="X711">
        <v>0</v>
      </c>
      <c r="Y711">
        <v>0</v>
      </c>
      <c r="Z711">
        <v>0</v>
      </c>
      <c r="AA711">
        <v>0</v>
      </c>
      <c r="AB711">
        <v>0</v>
      </c>
      <c r="AC711">
        <v>0</v>
      </c>
      <c r="AD711">
        <v>0</v>
      </c>
      <c r="AF711">
        <v>0</v>
      </c>
      <c r="AG711">
        <v>0</v>
      </c>
      <c r="AH711">
        <v>0</v>
      </c>
      <c r="AI711">
        <v>0</v>
      </c>
      <c r="AJ711">
        <v>0</v>
      </c>
      <c r="AK711">
        <v>0</v>
      </c>
      <c r="AL711">
        <v>0</v>
      </c>
      <c r="AM711">
        <v>0</v>
      </c>
      <c r="AN711">
        <v>0</v>
      </c>
      <c r="AO711">
        <v>0</v>
      </c>
      <c r="AP711">
        <v>0</v>
      </c>
      <c r="AQ711">
        <v>0</v>
      </c>
      <c r="AR711">
        <v>0</v>
      </c>
      <c r="AS711">
        <v>0</v>
      </c>
      <c r="AT711">
        <v>0</v>
      </c>
      <c r="AU711">
        <v>0</v>
      </c>
      <c r="AV711">
        <v>0</v>
      </c>
      <c r="AW711">
        <v>0</v>
      </c>
      <c r="AX711">
        <v>0</v>
      </c>
      <c r="AY711">
        <v>0</v>
      </c>
      <c r="AZ711">
        <v>0</v>
      </c>
      <c r="BA711">
        <v>0</v>
      </c>
      <c r="BB711">
        <v>0</v>
      </c>
      <c r="BC711">
        <v>0</v>
      </c>
      <c r="BD711">
        <v>0</v>
      </c>
      <c r="BE711">
        <v>0</v>
      </c>
      <c r="BF711">
        <v>0</v>
      </c>
      <c r="BG711">
        <v>0</v>
      </c>
      <c r="BH711">
        <v>0</v>
      </c>
      <c r="BI711">
        <v>0</v>
      </c>
      <c r="BK711" s="151"/>
    </row>
    <row r="712" spans="1:63" x14ac:dyDescent="0.35">
      <c r="A712">
        <v>0</v>
      </c>
      <c r="B712">
        <v>0</v>
      </c>
      <c r="C712">
        <v>0</v>
      </c>
      <c r="D712">
        <v>0</v>
      </c>
      <c r="E712">
        <v>0</v>
      </c>
      <c r="F712">
        <v>0</v>
      </c>
      <c r="G712">
        <v>0</v>
      </c>
      <c r="H712">
        <v>0</v>
      </c>
      <c r="I712">
        <v>0</v>
      </c>
      <c r="J712">
        <v>0</v>
      </c>
      <c r="K712">
        <v>0</v>
      </c>
      <c r="L712">
        <v>0</v>
      </c>
      <c r="M712">
        <v>0</v>
      </c>
      <c r="N712">
        <v>0</v>
      </c>
      <c r="O712">
        <v>0</v>
      </c>
      <c r="P712">
        <v>0</v>
      </c>
      <c r="Q712">
        <v>0</v>
      </c>
      <c r="R712">
        <v>0</v>
      </c>
      <c r="S712">
        <v>0</v>
      </c>
      <c r="T712">
        <v>0</v>
      </c>
      <c r="U712">
        <v>0</v>
      </c>
      <c r="V712">
        <v>0</v>
      </c>
      <c r="W712">
        <v>0</v>
      </c>
      <c r="X712">
        <v>0</v>
      </c>
      <c r="Y712">
        <v>0</v>
      </c>
      <c r="Z712">
        <v>0</v>
      </c>
      <c r="AA712">
        <v>0</v>
      </c>
      <c r="AB712">
        <v>0</v>
      </c>
      <c r="AC712">
        <v>0</v>
      </c>
      <c r="AD712">
        <v>0</v>
      </c>
      <c r="AF712">
        <v>0</v>
      </c>
      <c r="AG712">
        <v>0</v>
      </c>
      <c r="AH712">
        <v>0</v>
      </c>
      <c r="AI712">
        <v>0</v>
      </c>
      <c r="AJ712">
        <v>0</v>
      </c>
      <c r="AK712">
        <v>0</v>
      </c>
      <c r="AL712">
        <v>0</v>
      </c>
      <c r="AM712">
        <v>0</v>
      </c>
      <c r="AN712">
        <v>0</v>
      </c>
      <c r="AO712">
        <v>0</v>
      </c>
      <c r="AP712">
        <v>0</v>
      </c>
      <c r="AQ712">
        <v>0</v>
      </c>
      <c r="AR712">
        <v>0</v>
      </c>
      <c r="AS712">
        <v>0</v>
      </c>
      <c r="AT712">
        <v>0</v>
      </c>
      <c r="AU712">
        <v>0</v>
      </c>
      <c r="AV712">
        <v>0</v>
      </c>
      <c r="AW712">
        <v>0</v>
      </c>
      <c r="AX712">
        <v>0</v>
      </c>
      <c r="AY712">
        <v>0</v>
      </c>
      <c r="AZ712">
        <v>0</v>
      </c>
      <c r="BA712">
        <v>0</v>
      </c>
      <c r="BB712">
        <v>0</v>
      </c>
      <c r="BC712">
        <v>0</v>
      </c>
      <c r="BD712">
        <v>0</v>
      </c>
      <c r="BE712">
        <v>0</v>
      </c>
      <c r="BF712">
        <v>0</v>
      </c>
      <c r="BG712">
        <v>0</v>
      </c>
      <c r="BH712">
        <v>0</v>
      </c>
      <c r="BI712">
        <v>0</v>
      </c>
      <c r="BK712" s="151"/>
    </row>
    <row r="713" spans="1:63" x14ac:dyDescent="0.35">
      <c r="A713">
        <v>0</v>
      </c>
      <c r="B713">
        <v>0</v>
      </c>
      <c r="C713">
        <v>0</v>
      </c>
      <c r="D713">
        <v>0</v>
      </c>
      <c r="E713">
        <v>0</v>
      </c>
      <c r="F713">
        <v>0</v>
      </c>
      <c r="G713">
        <v>0</v>
      </c>
      <c r="H713">
        <v>0</v>
      </c>
      <c r="I713">
        <v>0</v>
      </c>
      <c r="J713">
        <v>0</v>
      </c>
      <c r="K713">
        <v>0</v>
      </c>
      <c r="L713">
        <v>0</v>
      </c>
      <c r="M713">
        <v>0</v>
      </c>
      <c r="N713">
        <v>0</v>
      </c>
      <c r="O713">
        <v>0</v>
      </c>
      <c r="P713">
        <v>0</v>
      </c>
      <c r="Q713">
        <v>0</v>
      </c>
      <c r="R713">
        <v>0</v>
      </c>
      <c r="S713">
        <v>0</v>
      </c>
      <c r="T713">
        <v>0</v>
      </c>
      <c r="U713">
        <v>0</v>
      </c>
      <c r="V713">
        <v>0</v>
      </c>
      <c r="W713">
        <v>0</v>
      </c>
      <c r="X713">
        <v>0</v>
      </c>
      <c r="Y713">
        <v>0</v>
      </c>
      <c r="Z713">
        <v>0</v>
      </c>
      <c r="AA713">
        <v>0</v>
      </c>
      <c r="AB713">
        <v>0</v>
      </c>
      <c r="AC713">
        <v>0</v>
      </c>
      <c r="AD713">
        <v>0</v>
      </c>
      <c r="AF713">
        <v>0</v>
      </c>
      <c r="AG713">
        <v>0</v>
      </c>
      <c r="AH713">
        <v>0</v>
      </c>
      <c r="AI713">
        <v>0</v>
      </c>
      <c r="AJ713">
        <v>0</v>
      </c>
      <c r="AK713">
        <v>0</v>
      </c>
      <c r="AL713">
        <v>0</v>
      </c>
      <c r="AM713">
        <v>0</v>
      </c>
      <c r="AN713">
        <v>0</v>
      </c>
      <c r="AO713">
        <v>0</v>
      </c>
      <c r="AP713">
        <v>0</v>
      </c>
      <c r="AQ713">
        <v>0</v>
      </c>
      <c r="AR713">
        <v>0</v>
      </c>
      <c r="AS713">
        <v>0</v>
      </c>
      <c r="AT713">
        <v>0</v>
      </c>
      <c r="AU713">
        <v>0</v>
      </c>
      <c r="AV713">
        <v>0</v>
      </c>
      <c r="AW713">
        <v>0</v>
      </c>
      <c r="AX713">
        <v>0</v>
      </c>
      <c r="AY713">
        <v>0</v>
      </c>
      <c r="AZ713">
        <v>0</v>
      </c>
      <c r="BA713">
        <v>0</v>
      </c>
      <c r="BB713">
        <v>0</v>
      </c>
      <c r="BC713">
        <v>0</v>
      </c>
      <c r="BD713">
        <v>0</v>
      </c>
      <c r="BE713">
        <v>0</v>
      </c>
      <c r="BF713">
        <v>0</v>
      </c>
      <c r="BG713">
        <v>0</v>
      </c>
      <c r="BH713">
        <v>0</v>
      </c>
      <c r="BI713">
        <v>0</v>
      </c>
      <c r="BK713" s="151"/>
    </row>
    <row r="714" spans="1:63" x14ac:dyDescent="0.35">
      <c r="A714">
        <v>0</v>
      </c>
      <c r="B714">
        <v>0</v>
      </c>
      <c r="C714">
        <v>0</v>
      </c>
      <c r="D714">
        <v>0</v>
      </c>
      <c r="E714">
        <v>0</v>
      </c>
      <c r="F714">
        <v>0</v>
      </c>
      <c r="G714">
        <v>0</v>
      </c>
      <c r="H714">
        <v>0</v>
      </c>
      <c r="I714">
        <v>0</v>
      </c>
      <c r="J714">
        <v>0</v>
      </c>
      <c r="K714">
        <v>0</v>
      </c>
      <c r="L714">
        <v>0</v>
      </c>
      <c r="M714">
        <v>0</v>
      </c>
      <c r="N714">
        <v>0</v>
      </c>
      <c r="O714">
        <v>0</v>
      </c>
      <c r="P714">
        <v>0</v>
      </c>
      <c r="Q714">
        <v>0</v>
      </c>
      <c r="R714">
        <v>0</v>
      </c>
      <c r="S714">
        <v>0</v>
      </c>
      <c r="T714">
        <v>0</v>
      </c>
      <c r="U714">
        <v>0</v>
      </c>
      <c r="V714">
        <v>0</v>
      </c>
      <c r="W714">
        <v>0</v>
      </c>
      <c r="X714">
        <v>0</v>
      </c>
      <c r="Y714">
        <v>0</v>
      </c>
      <c r="Z714">
        <v>0</v>
      </c>
      <c r="AA714">
        <v>0</v>
      </c>
      <c r="AB714">
        <v>0</v>
      </c>
      <c r="AC714">
        <v>0</v>
      </c>
      <c r="AD714">
        <v>0</v>
      </c>
      <c r="AF714">
        <v>0</v>
      </c>
      <c r="AG714">
        <v>0</v>
      </c>
      <c r="AH714">
        <v>0</v>
      </c>
      <c r="AI714">
        <v>0</v>
      </c>
      <c r="AJ714">
        <v>0</v>
      </c>
      <c r="AK714">
        <v>0</v>
      </c>
      <c r="AL714">
        <v>0</v>
      </c>
      <c r="AM714">
        <v>0</v>
      </c>
      <c r="AN714">
        <v>0</v>
      </c>
      <c r="AO714">
        <v>0</v>
      </c>
      <c r="AP714">
        <v>0</v>
      </c>
      <c r="AQ714">
        <v>0</v>
      </c>
      <c r="AR714">
        <v>0</v>
      </c>
      <c r="AS714">
        <v>0</v>
      </c>
      <c r="AT714">
        <v>0</v>
      </c>
      <c r="AU714">
        <v>0</v>
      </c>
      <c r="AV714">
        <v>0</v>
      </c>
      <c r="AW714">
        <v>0</v>
      </c>
      <c r="AX714">
        <v>0</v>
      </c>
      <c r="AY714">
        <v>0</v>
      </c>
      <c r="AZ714">
        <v>0</v>
      </c>
      <c r="BA714">
        <v>0</v>
      </c>
      <c r="BB714">
        <v>0</v>
      </c>
      <c r="BC714">
        <v>0</v>
      </c>
      <c r="BD714">
        <v>0</v>
      </c>
      <c r="BE714">
        <v>0</v>
      </c>
      <c r="BF714">
        <v>0</v>
      </c>
      <c r="BG714">
        <v>0</v>
      </c>
      <c r="BH714">
        <v>0</v>
      </c>
      <c r="BI714">
        <v>0</v>
      </c>
      <c r="BK714" s="151"/>
    </row>
    <row r="715" spans="1:63" x14ac:dyDescent="0.35">
      <c r="A715">
        <v>0</v>
      </c>
      <c r="B715">
        <v>0</v>
      </c>
      <c r="C715">
        <v>0</v>
      </c>
      <c r="D715">
        <v>0</v>
      </c>
      <c r="E715">
        <v>0</v>
      </c>
      <c r="F715">
        <v>0</v>
      </c>
      <c r="G715">
        <v>0</v>
      </c>
      <c r="H715">
        <v>0</v>
      </c>
      <c r="I715">
        <v>0</v>
      </c>
      <c r="J715">
        <v>0</v>
      </c>
      <c r="K715">
        <v>0</v>
      </c>
      <c r="L715">
        <v>0</v>
      </c>
      <c r="M715">
        <v>0</v>
      </c>
      <c r="N715">
        <v>0</v>
      </c>
      <c r="O715">
        <v>0</v>
      </c>
      <c r="P715">
        <v>0</v>
      </c>
      <c r="Q715">
        <v>0</v>
      </c>
      <c r="R715">
        <v>0</v>
      </c>
      <c r="S715">
        <v>0</v>
      </c>
      <c r="T715">
        <v>0</v>
      </c>
      <c r="U715">
        <v>0</v>
      </c>
      <c r="V715">
        <v>0</v>
      </c>
      <c r="W715">
        <v>0</v>
      </c>
      <c r="X715">
        <v>0</v>
      </c>
      <c r="Y715">
        <v>0</v>
      </c>
      <c r="Z715">
        <v>0</v>
      </c>
      <c r="AA715">
        <v>0</v>
      </c>
      <c r="AB715">
        <v>0</v>
      </c>
      <c r="AC715">
        <v>0</v>
      </c>
      <c r="AD715">
        <v>0</v>
      </c>
      <c r="AF715">
        <v>0</v>
      </c>
      <c r="AG715">
        <v>0</v>
      </c>
      <c r="AH715">
        <v>0</v>
      </c>
      <c r="AI715">
        <v>0</v>
      </c>
      <c r="AJ715">
        <v>0</v>
      </c>
      <c r="AK715">
        <v>0</v>
      </c>
      <c r="AL715">
        <v>0</v>
      </c>
      <c r="AM715">
        <v>0</v>
      </c>
      <c r="AN715">
        <v>0</v>
      </c>
      <c r="AO715">
        <v>0</v>
      </c>
      <c r="AP715">
        <v>0</v>
      </c>
      <c r="AQ715">
        <v>0</v>
      </c>
      <c r="AR715">
        <v>0</v>
      </c>
      <c r="AS715">
        <v>0</v>
      </c>
      <c r="AT715">
        <v>0</v>
      </c>
      <c r="AU715">
        <v>0</v>
      </c>
      <c r="AV715">
        <v>0</v>
      </c>
      <c r="AW715">
        <v>0</v>
      </c>
      <c r="AX715">
        <v>0</v>
      </c>
      <c r="AY715">
        <v>0</v>
      </c>
      <c r="AZ715">
        <v>0</v>
      </c>
      <c r="BA715">
        <v>0</v>
      </c>
      <c r="BB715">
        <v>0</v>
      </c>
      <c r="BC715">
        <v>0</v>
      </c>
      <c r="BD715">
        <v>0</v>
      </c>
      <c r="BE715">
        <v>0</v>
      </c>
      <c r="BF715">
        <v>0</v>
      </c>
      <c r="BG715">
        <v>0</v>
      </c>
      <c r="BH715">
        <v>0</v>
      </c>
      <c r="BI715">
        <v>0</v>
      </c>
      <c r="BK715" s="151"/>
    </row>
    <row r="716" spans="1:63" x14ac:dyDescent="0.35">
      <c r="A716">
        <v>0</v>
      </c>
      <c r="B716">
        <v>0</v>
      </c>
      <c r="C716">
        <v>0</v>
      </c>
      <c r="D716">
        <v>0</v>
      </c>
      <c r="E716">
        <v>0</v>
      </c>
      <c r="F716">
        <v>0</v>
      </c>
      <c r="G716">
        <v>0</v>
      </c>
      <c r="H716">
        <v>0</v>
      </c>
      <c r="I716">
        <v>0</v>
      </c>
      <c r="J716">
        <v>0</v>
      </c>
      <c r="K716">
        <v>0</v>
      </c>
      <c r="L716">
        <v>0</v>
      </c>
      <c r="M716">
        <v>0</v>
      </c>
      <c r="N716">
        <v>0</v>
      </c>
      <c r="O716">
        <v>0</v>
      </c>
      <c r="P716">
        <v>0</v>
      </c>
      <c r="Q716">
        <v>0</v>
      </c>
      <c r="R716">
        <v>0</v>
      </c>
      <c r="S716">
        <v>0</v>
      </c>
      <c r="T716">
        <v>0</v>
      </c>
      <c r="U716">
        <v>0</v>
      </c>
      <c r="V716">
        <v>0</v>
      </c>
      <c r="W716">
        <v>0</v>
      </c>
      <c r="X716">
        <v>0</v>
      </c>
      <c r="Y716">
        <v>0</v>
      </c>
      <c r="Z716">
        <v>0</v>
      </c>
      <c r="AA716">
        <v>0</v>
      </c>
      <c r="AB716">
        <v>0</v>
      </c>
      <c r="AC716">
        <v>0</v>
      </c>
      <c r="AD716">
        <v>0</v>
      </c>
      <c r="AF716">
        <v>0</v>
      </c>
      <c r="AG716">
        <v>0</v>
      </c>
      <c r="AH716">
        <v>0</v>
      </c>
      <c r="AI716">
        <v>0</v>
      </c>
      <c r="AJ716">
        <v>0</v>
      </c>
      <c r="AK716">
        <v>0</v>
      </c>
      <c r="AL716">
        <v>0</v>
      </c>
      <c r="AM716">
        <v>0</v>
      </c>
      <c r="AN716">
        <v>0</v>
      </c>
      <c r="AO716">
        <v>0</v>
      </c>
      <c r="AP716">
        <v>0</v>
      </c>
      <c r="AQ716">
        <v>0</v>
      </c>
      <c r="AR716">
        <v>0</v>
      </c>
      <c r="AS716">
        <v>0</v>
      </c>
      <c r="AT716">
        <v>0</v>
      </c>
      <c r="AU716">
        <v>0</v>
      </c>
      <c r="AV716">
        <v>0</v>
      </c>
      <c r="AW716">
        <v>0</v>
      </c>
      <c r="AX716">
        <v>0</v>
      </c>
      <c r="AY716">
        <v>0</v>
      </c>
      <c r="AZ716">
        <v>0</v>
      </c>
      <c r="BA716">
        <v>0</v>
      </c>
      <c r="BB716">
        <v>0</v>
      </c>
      <c r="BC716">
        <v>0</v>
      </c>
      <c r="BD716">
        <v>0</v>
      </c>
      <c r="BE716">
        <v>0</v>
      </c>
      <c r="BF716">
        <v>0</v>
      </c>
      <c r="BG716">
        <v>0</v>
      </c>
      <c r="BH716">
        <v>0</v>
      </c>
      <c r="BI716">
        <v>0</v>
      </c>
      <c r="BK716" s="151"/>
    </row>
    <row r="717" spans="1:63" x14ac:dyDescent="0.35">
      <c r="A717">
        <v>0</v>
      </c>
      <c r="B717">
        <v>0</v>
      </c>
      <c r="C717">
        <v>0</v>
      </c>
      <c r="D717">
        <v>0</v>
      </c>
      <c r="E717">
        <v>0</v>
      </c>
      <c r="F717">
        <v>0</v>
      </c>
      <c r="G717">
        <v>0</v>
      </c>
      <c r="H717">
        <v>0</v>
      </c>
      <c r="I717">
        <v>0</v>
      </c>
      <c r="J717">
        <v>0</v>
      </c>
      <c r="K717">
        <v>0</v>
      </c>
      <c r="L717">
        <v>0</v>
      </c>
      <c r="M717">
        <v>0</v>
      </c>
      <c r="N717">
        <v>0</v>
      </c>
      <c r="O717">
        <v>0</v>
      </c>
      <c r="P717">
        <v>0</v>
      </c>
      <c r="Q717">
        <v>0</v>
      </c>
      <c r="R717">
        <v>0</v>
      </c>
      <c r="S717">
        <v>0</v>
      </c>
      <c r="T717">
        <v>0</v>
      </c>
      <c r="U717">
        <v>0</v>
      </c>
      <c r="V717">
        <v>0</v>
      </c>
      <c r="W717">
        <v>0</v>
      </c>
      <c r="X717">
        <v>0</v>
      </c>
      <c r="Y717">
        <v>0</v>
      </c>
      <c r="Z717">
        <v>0</v>
      </c>
      <c r="AA717">
        <v>0</v>
      </c>
      <c r="AB717">
        <v>0</v>
      </c>
      <c r="AC717">
        <v>0</v>
      </c>
      <c r="AD717">
        <v>0</v>
      </c>
      <c r="AF717">
        <v>0</v>
      </c>
      <c r="AG717">
        <v>0</v>
      </c>
      <c r="AH717">
        <v>0</v>
      </c>
      <c r="AI717">
        <v>0</v>
      </c>
      <c r="AJ717">
        <v>0</v>
      </c>
      <c r="AK717">
        <v>0</v>
      </c>
      <c r="AL717">
        <v>0</v>
      </c>
      <c r="AM717">
        <v>0</v>
      </c>
      <c r="AN717">
        <v>0</v>
      </c>
      <c r="AO717">
        <v>0</v>
      </c>
      <c r="AP717">
        <v>0</v>
      </c>
      <c r="AQ717">
        <v>0</v>
      </c>
      <c r="AR717">
        <v>0</v>
      </c>
      <c r="AS717">
        <v>0</v>
      </c>
      <c r="AT717">
        <v>0</v>
      </c>
      <c r="AU717">
        <v>0</v>
      </c>
      <c r="AV717">
        <v>0</v>
      </c>
      <c r="AW717">
        <v>0</v>
      </c>
      <c r="AX717">
        <v>0</v>
      </c>
      <c r="AY717">
        <v>0</v>
      </c>
      <c r="AZ717">
        <v>0</v>
      </c>
      <c r="BA717">
        <v>0</v>
      </c>
      <c r="BB717">
        <v>0</v>
      </c>
      <c r="BC717">
        <v>0</v>
      </c>
      <c r="BD717">
        <v>0</v>
      </c>
      <c r="BE717">
        <v>0</v>
      </c>
      <c r="BF717">
        <v>0</v>
      </c>
      <c r="BG717">
        <v>0</v>
      </c>
      <c r="BH717">
        <v>0</v>
      </c>
      <c r="BI717">
        <v>0</v>
      </c>
      <c r="BK717" s="151"/>
    </row>
    <row r="718" spans="1:63" x14ac:dyDescent="0.35">
      <c r="A718">
        <v>0</v>
      </c>
      <c r="B718">
        <v>0</v>
      </c>
      <c r="C718">
        <v>0</v>
      </c>
      <c r="D718">
        <v>0</v>
      </c>
      <c r="E718">
        <v>0</v>
      </c>
      <c r="F718">
        <v>0</v>
      </c>
      <c r="G718">
        <v>0</v>
      </c>
      <c r="H718">
        <v>0</v>
      </c>
      <c r="I718">
        <v>0</v>
      </c>
      <c r="J718">
        <v>0</v>
      </c>
      <c r="K718">
        <v>0</v>
      </c>
      <c r="L718">
        <v>0</v>
      </c>
      <c r="M718">
        <v>0</v>
      </c>
      <c r="N718">
        <v>0</v>
      </c>
      <c r="O718">
        <v>0</v>
      </c>
      <c r="P718">
        <v>0</v>
      </c>
      <c r="Q718">
        <v>0</v>
      </c>
      <c r="R718">
        <v>0</v>
      </c>
      <c r="S718">
        <v>0</v>
      </c>
      <c r="T718">
        <v>0</v>
      </c>
      <c r="U718">
        <v>0</v>
      </c>
      <c r="V718">
        <v>0</v>
      </c>
      <c r="W718">
        <v>0</v>
      </c>
      <c r="X718">
        <v>0</v>
      </c>
      <c r="Y718">
        <v>0</v>
      </c>
      <c r="Z718">
        <v>0</v>
      </c>
      <c r="AA718">
        <v>0</v>
      </c>
      <c r="AB718">
        <v>0</v>
      </c>
      <c r="AC718">
        <v>0</v>
      </c>
      <c r="AD718">
        <v>0</v>
      </c>
      <c r="AF718">
        <v>0</v>
      </c>
      <c r="AG718">
        <v>0</v>
      </c>
      <c r="AH718">
        <v>0</v>
      </c>
      <c r="AI718">
        <v>0</v>
      </c>
      <c r="AJ718">
        <v>0</v>
      </c>
      <c r="AK718">
        <v>0</v>
      </c>
      <c r="AL718">
        <v>0</v>
      </c>
      <c r="AM718">
        <v>0</v>
      </c>
      <c r="AN718">
        <v>0</v>
      </c>
      <c r="AO718">
        <v>0</v>
      </c>
      <c r="AP718">
        <v>0</v>
      </c>
      <c r="AQ718">
        <v>0</v>
      </c>
      <c r="AR718">
        <v>0</v>
      </c>
      <c r="AS718">
        <v>0</v>
      </c>
      <c r="AT718">
        <v>0</v>
      </c>
      <c r="AU718">
        <v>0</v>
      </c>
      <c r="AV718">
        <v>0</v>
      </c>
      <c r="AW718">
        <v>0</v>
      </c>
      <c r="AX718">
        <v>0</v>
      </c>
      <c r="AY718">
        <v>0</v>
      </c>
      <c r="AZ718">
        <v>0</v>
      </c>
      <c r="BA718">
        <v>0</v>
      </c>
      <c r="BB718">
        <v>0</v>
      </c>
      <c r="BC718">
        <v>0</v>
      </c>
      <c r="BD718">
        <v>0</v>
      </c>
      <c r="BE718">
        <v>0</v>
      </c>
      <c r="BF718">
        <v>0</v>
      </c>
      <c r="BG718">
        <v>0</v>
      </c>
      <c r="BH718">
        <v>0</v>
      </c>
      <c r="BI718">
        <v>0</v>
      </c>
      <c r="BK718" s="151"/>
    </row>
    <row r="719" spans="1:63" x14ac:dyDescent="0.35">
      <c r="A719">
        <v>0</v>
      </c>
      <c r="B719">
        <v>0</v>
      </c>
      <c r="C719">
        <v>0</v>
      </c>
      <c r="D719">
        <v>0</v>
      </c>
      <c r="E719">
        <v>0</v>
      </c>
      <c r="F719">
        <v>0</v>
      </c>
      <c r="G719">
        <v>0</v>
      </c>
      <c r="H719">
        <v>0</v>
      </c>
      <c r="I719">
        <v>0</v>
      </c>
      <c r="J719">
        <v>0</v>
      </c>
      <c r="K719">
        <v>0</v>
      </c>
      <c r="L719">
        <v>0</v>
      </c>
      <c r="M719">
        <v>0</v>
      </c>
      <c r="N719">
        <v>0</v>
      </c>
      <c r="O719">
        <v>0</v>
      </c>
      <c r="P719">
        <v>0</v>
      </c>
      <c r="Q719">
        <v>0</v>
      </c>
      <c r="R719">
        <v>0</v>
      </c>
      <c r="S719">
        <v>0</v>
      </c>
      <c r="T719">
        <v>0</v>
      </c>
      <c r="U719">
        <v>0</v>
      </c>
      <c r="V719">
        <v>0</v>
      </c>
      <c r="W719">
        <v>0</v>
      </c>
      <c r="X719">
        <v>0</v>
      </c>
      <c r="Y719">
        <v>0</v>
      </c>
      <c r="Z719">
        <v>0</v>
      </c>
      <c r="AA719">
        <v>0</v>
      </c>
      <c r="AB719">
        <v>0</v>
      </c>
      <c r="AC719">
        <v>0</v>
      </c>
      <c r="AD719">
        <v>0</v>
      </c>
      <c r="AF719">
        <v>0</v>
      </c>
      <c r="AG719">
        <v>0</v>
      </c>
      <c r="AH719">
        <v>0</v>
      </c>
      <c r="AI719">
        <v>0</v>
      </c>
      <c r="AJ719">
        <v>0</v>
      </c>
      <c r="AK719">
        <v>0</v>
      </c>
      <c r="AL719">
        <v>0</v>
      </c>
      <c r="AM719">
        <v>0</v>
      </c>
      <c r="AN719">
        <v>0</v>
      </c>
      <c r="AO719">
        <v>0</v>
      </c>
      <c r="AP719">
        <v>0</v>
      </c>
      <c r="AQ719">
        <v>0</v>
      </c>
      <c r="AR719">
        <v>0</v>
      </c>
      <c r="AS719">
        <v>0</v>
      </c>
      <c r="AT719">
        <v>0</v>
      </c>
      <c r="AU719">
        <v>0</v>
      </c>
      <c r="AV719">
        <v>0</v>
      </c>
      <c r="AW719">
        <v>0</v>
      </c>
      <c r="AX719">
        <v>0</v>
      </c>
      <c r="AY719">
        <v>0</v>
      </c>
      <c r="AZ719">
        <v>0</v>
      </c>
      <c r="BA719">
        <v>0</v>
      </c>
      <c r="BB719">
        <v>0</v>
      </c>
      <c r="BC719">
        <v>0</v>
      </c>
      <c r="BD719">
        <v>0</v>
      </c>
      <c r="BE719">
        <v>0</v>
      </c>
      <c r="BF719">
        <v>0</v>
      </c>
      <c r="BG719">
        <v>0</v>
      </c>
      <c r="BH719">
        <v>0</v>
      </c>
      <c r="BI719">
        <v>0</v>
      </c>
      <c r="BK719" s="151"/>
    </row>
    <row r="720" spans="1:63" x14ac:dyDescent="0.35">
      <c r="A720">
        <v>0</v>
      </c>
      <c r="B720">
        <v>0</v>
      </c>
      <c r="C720">
        <v>0</v>
      </c>
      <c r="D720">
        <v>0</v>
      </c>
      <c r="E720">
        <v>0</v>
      </c>
      <c r="F720">
        <v>0</v>
      </c>
      <c r="G720">
        <v>0</v>
      </c>
      <c r="H720">
        <v>0</v>
      </c>
      <c r="I720">
        <v>0</v>
      </c>
      <c r="J720">
        <v>0</v>
      </c>
      <c r="K720">
        <v>0</v>
      </c>
      <c r="L720">
        <v>0</v>
      </c>
      <c r="M720">
        <v>0</v>
      </c>
      <c r="N720">
        <v>0</v>
      </c>
      <c r="O720">
        <v>0</v>
      </c>
      <c r="P720">
        <v>0</v>
      </c>
      <c r="Q720">
        <v>0</v>
      </c>
      <c r="R720">
        <v>0</v>
      </c>
      <c r="S720">
        <v>0</v>
      </c>
      <c r="T720">
        <v>0</v>
      </c>
      <c r="U720">
        <v>0</v>
      </c>
      <c r="V720">
        <v>0</v>
      </c>
      <c r="W720">
        <v>0</v>
      </c>
      <c r="X720">
        <v>0</v>
      </c>
      <c r="Y720">
        <v>0</v>
      </c>
      <c r="Z720">
        <v>0</v>
      </c>
      <c r="AA720">
        <v>0</v>
      </c>
      <c r="AB720">
        <v>0</v>
      </c>
      <c r="AC720">
        <v>0</v>
      </c>
      <c r="AD720">
        <v>0</v>
      </c>
      <c r="AF720">
        <v>0</v>
      </c>
      <c r="AG720">
        <v>0</v>
      </c>
      <c r="AH720">
        <v>0</v>
      </c>
      <c r="AI720">
        <v>0</v>
      </c>
      <c r="AJ720">
        <v>0</v>
      </c>
      <c r="AK720">
        <v>0</v>
      </c>
      <c r="AL720">
        <v>0</v>
      </c>
      <c r="AM720">
        <v>0</v>
      </c>
      <c r="AN720">
        <v>0</v>
      </c>
      <c r="AO720">
        <v>0</v>
      </c>
      <c r="AP720">
        <v>0</v>
      </c>
      <c r="AQ720">
        <v>0</v>
      </c>
      <c r="AR720">
        <v>0</v>
      </c>
      <c r="AS720">
        <v>0</v>
      </c>
      <c r="AT720">
        <v>0</v>
      </c>
      <c r="AU720">
        <v>0</v>
      </c>
      <c r="AV720">
        <v>0</v>
      </c>
      <c r="AW720">
        <v>0</v>
      </c>
      <c r="AX720">
        <v>0</v>
      </c>
      <c r="AY720">
        <v>0</v>
      </c>
      <c r="AZ720">
        <v>0</v>
      </c>
      <c r="BA720">
        <v>0</v>
      </c>
      <c r="BB720">
        <v>0</v>
      </c>
      <c r="BC720">
        <v>0</v>
      </c>
      <c r="BD720">
        <v>0</v>
      </c>
      <c r="BE720">
        <v>0</v>
      </c>
      <c r="BF720">
        <v>0</v>
      </c>
      <c r="BG720">
        <v>0</v>
      </c>
      <c r="BH720">
        <v>0</v>
      </c>
      <c r="BI720">
        <v>0</v>
      </c>
      <c r="BK720" s="151"/>
    </row>
    <row r="721" spans="1:63" x14ac:dyDescent="0.35">
      <c r="A721">
        <v>0</v>
      </c>
      <c r="B721">
        <v>0</v>
      </c>
      <c r="C721">
        <v>0</v>
      </c>
      <c r="D721">
        <v>0</v>
      </c>
      <c r="E721">
        <v>0</v>
      </c>
      <c r="F721">
        <v>0</v>
      </c>
      <c r="G721">
        <v>0</v>
      </c>
      <c r="H721">
        <v>0</v>
      </c>
      <c r="I721">
        <v>0</v>
      </c>
      <c r="J721">
        <v>0</v>
      </c>
      <c r="K721">
        <v>0</v>
      </c>
      <c r="L721">
        <v>0</v>
      </c>
      <c r="M721">
        <v>0</v>
      </c>
      <c r="N721">
        <v>0</v>
      </c>
      <c r="O721">
        <v>0</v>
      </c>
      <c r="P721">
        <v>0</v>
      </c>
      <c r="Q721">
        <v>0</v>
      </c>
      <c r="R721">
        <v>0</v>
      </c>
      <c r="S721">
        <v>0</v>
      </c>
      <c r="T721">
        <v>0</v>
      </c>
      <c r="U721">
        <v>0</v>
      </c>
      <c r="V721">
        <v>0</v>
      </c>
      <c r="W721">
        <v>0</v>
      </c>
      <c r="X721">
        <v>0</v>
      </c>
      <c r="Y721">
        <v>0</v>
      </c>
      <c r="Z721">
        <v>0</v>
      </c>
      <c r="AA721">
        <v>0</v>
      </c>
      <c r="AB721">
        <v>0</v>
      </c>
      <c r="AC721">
        <v>0</v>
      </c>
      <c r="AD721">
        <v>0</v>
      </c>
      <c r="AF721">
        <v>0</v>
      </c>
      <c r="AG721">
        <v>0</v>
      </c>
      <c r="AH721">
        <v>0</v>
      </c>
      <c r="AI721">
        <v>0</v>
      </c>
      <c r="AJ721">
        <v>0</v>
      </c>
      <c r="AK721">
        <v>0</v>
      </c>
      <c r="AL721">
        <v>0</v>
      </c>
      <c r="AM721">
        <v>0</v>
      </c>
      <c r="AN721">
        <v>0</v>
      </c>
      <c r="AO721">
        <v>0</v>
      </c>
      <c r="AP721">
        <v>0</v>
      </c>
      <c r="AQ721">
        <v>0</v>
      </c>
      <c r="AR721">
        <v>0</v>
      </c>
      <c r="AS721">
        <v>0</v>
      </c>
      <c r="AT721">
        <v>0</v>
      </c>
      <c r="AU721">
        <v>0</v>
      </c>
      <c r="AV721">
        <v>0</v>
      </c>
      <c r="AW721">
        <v>0</v>
      </c>
      <c r="AX721">
        <v>0</v>
      </c>
      <c r="AY721">
        <v>0</v>
      </c>
      <c r="AZ721">
        <v>0</v>
      </c>
      <c r="BA721">
        <v>0</v>
      </c>
      <c r="BB721">
        <v>0</v>
      </c>
      <c r="BC721">
        <v>0</v>
      </c>
      <c r="BD721">
        <v>0</v>
      </c>
      <c r="BE721">
        <v>0</v>
      </c>
      <c r="BF721">
        <v>0</v>
      </c>
      <c r="BG721">
        <v>0</v>
      </c>
      <c r="BH721">
        <v>0</v>
      </c>
      <c r="BI721">
        <v>0</v>
      </c>
      <c r="BK721" s="151"/>
    </row>
    <row r="722" spans="1:63" x14ac:dyDescent="0.35">
      <c r="A722">
        <v>0</v>
      </c>
      <c r="B722">
        <v>0</v>
      </c>
      <c r="C722">
        <v>0</v>
      </c>
      <c r="D722">
        <v>0</v>
      </c>
      <c r="E722">
        <v>0</v>
      </c>
      <c r="F722">
        <v>0</v>
      </c>
      <c r="G722">
        <v>0</v>
      </c>
      <c r="H722">
        <v>0</v>
      </c>
      <c r="I722">
        <v>0</v>
      </c>
      <c r="J722">
        <v>0</v>
      </c>
      <c r="K722">
        <v>0</v>
      </c>
      <c r="L722">
        <v>0</v>
      </c>
      <c r="M722">
        <v>0</v>
      </c>
      <c r="N722">
        <v>0</v>
      </c>
      <c r="O722">
        <v>0</v>
      </c>
      <c r="P722">
        <v>0</v>
      </c>
      <c r="Q722">
        <v>0</v>
      </c>
      <c r="R722">
        <v>0</v>
      </c>
      <c r="S722">
        <v>0</v>
      </c>
      <c r="T722">
        <v>0</v>
      </c>
      <c r="U722">
        <v>0</v>
      </c>
      <c r="V722">
        <v>0</v>
      </c>
      <c r="W722">
        <v>0</v>
      </c>
      <c r="X722">
        <v>0</v>
      </c>
      <c r="Y722">
        <v>0</v>
      </c>
      <c r="Z722">
        <v>0</v>
      </c>
      <c r="AA722">
        <v>0</v>
      </c>
      <c r="AB722">
        <v>0</v>
      </c>
      <c r="AC722">
        <v>0</v>
      </c>
      <c r="AD722">
        <v>0</v>
      </c>
      <c r="AF722">
        <v>0</v>
      </c>
      <c r="AG722">
        <v>0</v>
      </c>
      <c r="AH722">
        <v>0</v>
      </c>
      <c r="AI722">
        <v>0</v>
      </c>
      <c r="AJ722">
        <v>0</v>
      </c>
      <c r="AK722">
        <v>0</v>
      </c>
      <c r="AL722">
        <v>0</v>
      </c>
      <c r="AM722">
        <v>0</v>
      </c>
      <c r="AN722">
        <v>0</v>
      </c>
      <c r="AO722">
        <v>0</v>
      </c>
      <c r="AP722">
        <v>0</v>
      </c>
      <c r="AQ722">
        <v>0</v>
      </c>
      <c r="AR722">
        <v>0</v>
      </c>
      <c r="AS722">
        <v>0</v>
      </c>
      <c r="AT722">
        <v>0</v>
      </c>
      <c r="AU722">
        <v>0</v>
      </c>
      <c r="AV722">
        <v>0</v>
      </c>
      <c r="AW722">
        <v>0</v>
      </c>
      <c r="AX722">
        <v>0</v>
      </c>
      <c r="AY722">
        <v>0</v>
      </c>
      <c r="AZ722">
        <v>0</v>
      </c>
      <c r="BA722">
        <v>0</v>
      </c>
      <c r="BB722">
        <v>0</v>
      </c>
      <c r="BC722">
        <v>0</v>
      </c>
      <c r="BD722">
        <v>0</v>
      </c>
      <c r="BE722">
        <v>0</v>
      </c>
      <c r="BF722">
        <v>0</v>
      </c>
      <c r="BG722">
        <v>0</v>
      </c>
      <c r="BH722">
        <v>0</v>
      </c>
      <c r="BI722">
        <v>0</v>
      </c>
      <c r="BK722" s="151"/>
    </row>
    <row r="723" spans="1:63" x14ac:dyDescent="0.35">
      <c r="A723">
        <v>0</v>
      </c>
      <c r="B723">
        <v>0</v>
      </c>
      <c r="C723">
        <v>0</v>
      </c>
      <c r="D723">
        <v>0</v>
      </c>
      <c r="E723">
        <v>0</v>
      </c>
      <c r="F723">
        <v>0</v>
      </c>
      <c r="G723">
        <v>0</v>
      </c>
      <c r="H723">
        <v>0</v>
      </c>
      <c r="I723">
        <v>0</v>
      </c>
      <c r="J723">
        <v>0</v>
      </c>
      <c r="K723">
        <v>0</v>
      </c>
      <c r="L723">
        <v>0</v>
      </c>
      <c r="M723">
        <v>0</v>
      </c>
      <c r="N723">
        <v>0</v>
      </c>
      <c r="O723">
        <v>0</v>
      </c>
      <c r="P723">
        <v>0</v>
      </c>
      <c r="Q723">
        <v>0</v>
      </c>
      <c r="R723">
        <v>0</v>
      </c>
      <c r="S723">
        <v>0</v>
      </c>
      <c r="T723">
        <v>0</v>
      </c>
      <c r="U723">
        <v>0</v>
      </c>
      <c r="V723">
        <v>0</v>
      </c>
      <c r="W723">
        <v>0</v>
      </c>
      <c r="X723">
        <v>0</v>
      </c>
      <c r="Y723">
        <v>0</v>
      </c>
      <c r="Z723">
        <v>0</v>
      </c>
      <c r="AA723">
        <v>0</v>
      </c>
      <c r="AB723">
        <v>0</v>
      </c>
      <c r="AC723">
        <v>0</v>
      </c>
      <c r="AD723">
        <v>0</v>
      </c>
      <c r="AF723">
        <v>0</v>
      </c>
      <c r="AG723">
        <v>0</v>
      </c>
      <c r="AH723">
        <v>0</v>
      </c>
      <c r="AI723">
        <v>0</v>
      </c>
      <c r="AJ723">
        <v>0</v>
      </c>
      <c r="AK723">
        <v>0</v>
      </c>
      <c r="AL723">
        <v>0</v>
      </c>
      <c r="AM723">
        <v>0</v>
      </c>
      <c r="AN723">
        <v>0</v>
      </c>
      <c r="AO723">
        <v>0</v>
      </c>
      <c r="AP723">
        <v>0</v>
      </c>
      <c r="AQ723">
        <v>0</v>
      </c>
      <c r="AR723">
        <v>0</v>
      </c>
      <c r="AS723">
        <v>0</v>
      </c>
      <c r="AT723">
        <v>0</v>
      </c>
      <c r="AU723">
        <v>0</v>
      </c>
      <c r="AV723">
        <v>0</v>
      </c>
      <c r="AW723">
        <v>0</v>
      </c>
      <c r="AX723">
        <v>0</v>
      </c>
      <c r="AY723">
        <v>0</v>
      </c>
      <c r="AZ723">
        <v>0</v>
      </c>
      <c r="BA723">
        <v>0</v>
      </c>
      <c r="BB723">
        <v>0</v>
      </c>
      <c r="BC723">
        <v>0</v>
      </c>
      <c r="BD723">
        <v>0</v>
      </c>
      <c r="BE723">
        <v>0</v>
      </c>
      <c r="BF723">
        <v>0</v>
      </c>
      <c r="BG723">
        <v>0</v>
      </c>
      <c r="BH723">
        <v>0</v>
      </c>
      <c r="BI723">
        <v>0</v>
      </c>
      <c r="BK723" s="151"/>
    </row>
    <row r="724" spans="1:63" x14ac:dyDescent="0.35">
      <c r="A724">
        <v>0</v>
      </c>
      <c r="B724">
        <v>0</v>
      </c>
      <c r="C724">
        <v>0</v>
      </c>
      <c r="D724">
        <v>0</v>
      </c>
      <c r="E724">
        <v>0</v>
      </c>
      <c r="F724">
        <v>0</v>
      </c>
      <c r="G724">
        <v>0</v>
      </c>
      <c r="H724">
        <v>0</v>
      </c>
      <c r="I724">
        <v>0</v>
      </c>
      <c r="J724">
        <v>0</v>
      </c>
      <c r="K724">
        <v>0</v>
      </c>
      <c r="L724">
        <v>0</v>
      </c>
      <c r="M724">
        <v>0</v>
      </c>
      <c r="N724">
        <v>0</v>
      </c>
      <c r="O724">
        <v>0</v>
      </c>
      <c r="P724">
        <v>0</v>
      </c>
      <c r="Q724">
        <v>0</v>
      </c>
      <c r="R724">
        <v>0</v>
      </c>
      <c r="S724">
        <v>0</v>
      </c>
      <c r="T724">
        <v>0</v>
      </c>
      <c r="U724">
        <v>0</v>
      </c>
      <c r="V724">
        <v>0</v>
      </c>
      <c r="W724">
        <v>0</v>
      </c>
      <c r="X724">
        <v>0</v>
      </c>
      <c r="Y724">
        <v>0</v>
      </c>
      <c r="Z724">
        <v>0</v>
      </c>
      <c r="AA724">
        <v>0</v>
      </c>
      <c r="AB724">
        <v>0</v>
      </c>
      <c r="AC724">
        <v>0</v>
      </c>
      <c r="AD724">
        <v>0</v>
      </c>
      <c r="AF724">
        <v>0</v>
      </c>
      <c r="AG724">
        <v>0</v>
      </c>
      <c r="AH724">
        <v>0</v>
      </c>
      <c r="AI724">
        <v>0</v>
      </c>
      <c r="AJ724">
        <v>0</v>
      </c>
      <c r="AK724">
        <v>0</v>
      </c>
      <c r="AL724">
        <v>0</v>
      </c>
      <c r="AM724">
        <v>0</v>
      </c>
      <c r="AN724">
        <v>0</v>
      </c>
      <c r="AO724">
        <v>0</v>
      </c>
      <c r="AP724">
        <v>0</v>
      </c>
      <c r="AQ724">
        <v>0</v>
      </c>
      <c r="AR724">
        <v>0</v>
      </c>
      <c r="AS724">
        <v>0</v>
      </c>
      <c r="AT724">
        <v>0</v>
      </c>
      <c r="AU724">
        <v>0</v>
      </c>
      <c r="AV724">
        <v>0</v>
      </c>
      <c r="AW724">
        <v>0</v>
      </c>
      <c r="AX724">
        <v>0</v>
      </c>
      <c r="AY724">
        <v>0</v>
      </c>
      <c r="AZ724">
        <v>0</v>
      </c>
      <c r="BA724">
        <v>0</v>
      </c>
      <c r="BB724">
        <v>0</v>
      </c>
      <c r="BC724">
        <v>0</v>
      </c>
      <c r="BD724">
        <v>0</v>
      </c>
      <c r="BE724">
        <v>0</v>
      </c>
      <c r="BF724">
        <v>0</v>
      </c>
      <c r="BG724">
        <v>0</v>
      </c>
      <c r="BH724">
        <v>0</v>
      </c>
      <c r="BI724">
        <v>0</v>
      </c>
      <c r="BK724" s="151"/>
    </row>
    <row r="725" spans="1:63" x14ac:dyDescent="0.35">
      <c r="A725">
        <v>0</v>
      </c>
      <c r="B725">
        <v>0</v>
      </c>
      <c r="C725">
        <v>0</v>
      </c>
      <c r="D725">
        <v>0</v>
      </c>
      <c r="E725">
        <v>0</v>
      </c>
      <c r="F725">
        <v>0</v>
      </c>
      <c r="G725">
        <v>0</v>
      </c>
      <c r="H725">
        <v>0</v>
      </c>
      <c r="I725">
        <v>0</v>
      </c>
      <c r="J725">
        <v>0</v>
      </c>
      <c r="K725">
        <v>0</v>
      </c>
      <c r="L725">
        <v>0</v>
      </c>
      <c r="M725">
        <v>0</v>
      </c>
      <c r="N725">
        <v>0</v>
      </c>
      <c r="O725">
        <v>0</v>
      </c>
      <c r="P725">
        <v>0</v>
      </c>
      <c r="Q725">
        <v>0</v>
      </c>
      <c r="R725">
        <v>0</v>
      </c>
      <c r="S725">
        <v>0</v>
      </c>
      <c r="T725">
        <v>0</v>
      </c>
      <c r="U725">
        <v>0</v>
      </c>
      <c r="V725">
        <v>0</v>
      </c>
      <c r="W725">
        <v>0</v>
      </c>
      <c r="X725">
        <v>0</v>
      </c>
      <c r="Y725">
        <v>0</v>
      </c>
      <c r="Z725">
        <v>0</v>
      </c>
      <c r="AA725">
        <v>0</v>
      </c>
      <c r="AB725">
        <v>0</v>
      </c>
      <c r="AC725">
        <v>0</v>
      </c>
      <c r="AD725">
        <v>0</v>
      </c>
      <c r="AF725">
        <v>0</v>
      </c>
      <c r="AG725">
        <v>0</v>
      </c>
      <c r="AH725">
        <v>0</v>
      </c>
      <c r="AI725">
        <v>0</v>
      </c>
      <c r="AJ725">
        <v>0</v>
      </c>
      <c r="AK725">
        <v>0</v>
      </c>
      <c r="AL725">
        <v>0</v>
      </c>
      <c r="AM725">
        <v>0</v>
      </c>
      <c r="AN725">
        <v>0</v>
      </c>
      <c r="AO725">
        <v>0</v>
      </c>
      <c r="AP725">
        <v>0</v>
      </c>
      <c r="AQ725">
        <v>0</v>
      </c>
      <c r="AR725">
        <v>0</v>
      </c>
      <c r="AS725">
        <v>0</v>
      </c>
      <c r="AT725">
        <v>0</v>
      </c>
      <c r="AU725">
        <v>0</v>
      </c>
      <c r="AV725">
        <v>0</v>
      </c>
      <c r="AW725">
        <v>0</v>
      </c>
      <c r="AX725">
        <v>0</v>
      </c>
      <c r="AY725">
        <v>0</v>
      </c>
      <c r="AZ725">
        <v>0</v>
      </c>
      <c r="BA725">
        <v>0</v>
      </c>
      <c r="BB725">
        <v>0</v>
      </c>
      <c r="BC725">
        <v>0</v>
      </c>
      <c r="BD725">
        <v>0</v>
      </c>
      <c r="BE725">
        <v>0</v>
      </c>
      <c r="BF725">
        <v>0</v>
      </c>
      <c r="BG725">
        <v>0</v>
      </c>
      <c r="BH725">
        <v>0</v>
      </c>
      <c r="BI725">
        <v>0</v>
      </c>
      <c r="BK725" s="151"/>
    </row>
    <row r="726" spans="1:63" x14ac:dyDescent="0.35">
      <c r="A726">
        <v>0</v>
      </c>
      <c r="B726">
        <v>0</v>
      </c>
      <c r="C726">
        <v>0</v>
      </c>
      <c r="D726">
        <v>0</v>
      </c>
      <c r="E726">
        <v>0</v>
      </c>
      <c r="F726">
        <v>0</v>
      </c>
      <c r="G726">
        <v>0</v>
      </c>
      <c r="H726">
        <v>0</v>
      </c>
      <c r="I726">
        <v>0</v>
      </c>
      <c r="J726">
        <v>0</v>
      </c>
      <c r="K726">
        <v>0</v>
      </c>
      <c r="L726">
        <v>0</v>
      </c>
      <c r="M726">
        <v>0</v>
      </c>
      <c r="N726">
        <v>0</v>
      </c>
      <c r="O726">
        <v>0</v>
      </c>
      <c r="P726">
        <v>0</v>
      </c>
      <c r="Q726">
        <v>0</v>
      </c>
      <c r="R726">
        <v>0</v>
      </c>
      <c r="S726">
        <v>0</v>
      </c>
      <c r="T726">
        <v>0</v>
      </c>
      <c r="U726">
        <v>0</v>
      </c>
      <c r="V726">
        <v>0</v>
      </c>
      <c r="W726">
        <v>0</v>
      </c>
      <c r="X726">
        <v>0</v>
      </c>
      <c r="Y726">
        <v>0</v>
      </c>
      <c r="Z726">
        <v>0</v>
      </c>
      <c r="AA726">
        <v>0</v>
      </c>
      <c r="AB726">
        <v>0</v>
      </c>
      <c r="AC726">
        <v>0</v>
      </c>
      <c r="AD726">
        <v>0</v>
      </c>
      <c r="AF726">
        <v>0</v>
      </c>
      <c r="AG726">
        <v>0</v>
      </c>
      <c r="AH726">
        <v>0</v>
      </c>
      <c r="AI726">
        <v>0</v>
      </c>
      <c r="AJ726">
        <v>0</v>
      </c>
      <c r="AK726">
        <v>0</v>
      </c>
      <c r="AL726">
        <v>0</v>
      </c>
      <c r="AM726">
        <v>0</v>
      </c>
      <c r="AN726">
        <v>0</v>
      </c>
      <c r="AO726">
        <v>0</v>
      </c>
      <c r="AP726">
        <v>0</v>
      </c>
      <c r="AQ726">
        <v>0</v>
      </c>
      <c r="AR726">
        <v>0</v>
      </c>
      <c r="AS726">
        <v>0</v>
      </c>
      <c r="AT726">
        <v>0</v>
      </c>
      <c r="AU726">
        <v>0</v>
      </c>
      <c r="AV726">
        <v>0</v>
      </c>
      <c r="AW726">
        <v>0</v>
      </c>
      <c r="AX726">
        <v>0</v>
      </c>
      <c r="AY726">
        <v>0</v>
      </c>
      <c r="AZ726">
        <v>0</v>
      </c>
      <c r="BA726">
        <v>0</v>
      </c>
      <c r="BB726">
        <v>0</v>
      </c>
      <c r="BC726">
        <v>0</v>
      </c>
      <c r="BD726">
        <v>0</v>
      </c>
      <c r="BE726">
        <v>0</v>
      </c>
      <c r="BF726">
        <v>0</v>
      </c>
      <c r="BG726">
        <v>0</v>
      </c>
      <c r="BH726">
        <v>0</v>
      </c>
      <c r="BI726">
        <v>0</v>
      </c>
      <c r="BK726" s="151"/>
    </row>
    <row r="727" spans="1:63" x14ac:dyDescent="0.35">
      <c r="A727">
        <v>0</v>
      </c>
      <c r="B727">
        <v>0</v>
      </c>
      <c r="C727">
        <v>0</v>
      </c>
      <c r="D727">
        <v>0</v>
      </c>
      <c r="E727">
        <v>0</v>
      </c>
      <c r="F727">
        <v>0</v>
      </c>
      <c r="G727">
        <v>0</v>
      </c>
      <c r="H727">
        <v>0</v>
      </c>
      <c r="I727">
        <v>0</v>
      </c>
      <c r="J727">
        <v>0</v>
      </c>
      <c r="K727">
        <v>0</v>
      </c>
      <c r="L727">
        <v>0</v>
      </c>
      <c r="M727">
        <v>0</v>
      </c>
      <c r="N727">
        <v>0</v>
      </c>
      <c r="O727">
        <v>0</v>
      </c>
      <c r="P727">
        <v>0</v>
      </c>
      <c r="Q727">
        <v>0</v>
      </c>
      <c r="R727">
        <v>0</v>
      </c>
      <c r="S727">
        <v>0</v>
      </c>
      <c r="T727">
        <v>0</v>
      </c>
      <c r="U727">
        <v>0</v>
      </c>
      <c r="V727">
        <v>0</v>
      </c>
      <c r="W727">
        <v>0</v>
      </c>
      <c r="X727">
        <v>0</v>
      </c>
      <c r="Y727">
        <v>0</v>
      </c>
      <c r="Z727">
        <v>0</v>
      </c>
      <c r="AA727">
        <v>0</v>
      </c>
      <c r="AB727">
        <v>0</v>
      </c>
      <c r="AC727">
        <v>0</v>
      </c>
      <c r="AD727">
        <v>0</v>
      </c>
      <c r="AF727">
        <v>0</v>
      </c>
      <c r="AG727">
        <v>0</v>
      </c>
      <c r="AH727">
        <v>0</v>
      </c>
      <c r="AI727">
        <v>0</v>
      </c>
      <c r="AJ727">
        <v>0</v>
      </c>
      <c r="AK727">
        <v>0</v>
      </c>
      <c r="AL727">
        <v>0</v>
      </c>
      <c r="AM727">
        <v>0</v>
      </c>
      <c r="AN727">
        <v>0</v>
      </c>
      <c r="AO727">
        <v>0</v>
      </c>
      <c r="AP727">
        <v>0</v>
      </c>
      <c r="AQ727">
        <v>0</v>
      </c>
      <c r="AR727">
        <v>0</v>
      </c>
      <c r="AS727">
        <v>0</v>
      </c>
      <c r="AT727">
        <v>0</v>
      </c>
      <c r="AU727">
        <v>0</v>
      </c>
      <c r="AV727">
        <v>0</v>
      </c>
      <c r="AW727">
        <v>0</v>
      </c>
      <c r="AX727">
        <v>0</v>
      </c>
      <c r="AY727">
        <v>0</v>
      </c>
      <c r="AZ727">
        <v>0</v>
      </c>
      <c r="BA727">
        <v>0</v>
      </c>
      <c r="BB727">
        <v>0</v>
      </c>
      <c r="BC727">
        <v>0</v>
      </c>
      <c r="BD727">
        <v>0</v>
      </c>
      <c r="BE727">
        <v>0</v>
      </c>
      <c r="BF727">
        <v>0</v>
      </c>
      <c r="BG727">
        <v>0</v>
      </c>
      <c r="BH727">
        <v>0</v>
      </c>
      <c r="BI727">
        <v>0</v>
      </c>
      <c r="BK727" s="151"/>
    </row>
    <row r="728" spans="1:63" x14ac:dyDescent="0.35">
      <c r="A728">
        <v>0</v>
      </c>
      <c r="B728">
        <v>0</v>
      </c>
      <c r="C728">
        <v>0</v>
      </c>
      <c r="D728">
        <v>0</v>
      </c>
      <c r="E728">
        <v>0</v>
      </c>
      <c r="F728">
        <v>0</v>
      </c>
      <c r="G728">
        <v>0</v>
      </c>
      <c r="H728">
        <v>0</v>
      </c>
      <c r="I728">
        <v>0</v>
      </c>
      <c r="J728">
        <v>0</v>
      </c>
      <c r="K728">
        <v>0</v>
      </c>
      <c r="L728">
        <v>0</v>
      </c>
      <c r="M728">
        <v>0</v>
      </c>
      <c r="N728">
        <v>0</v>
      </c>
      <c r="O728">
        <v>0</v>
      </c>
      <c r="P728">
        <v>0</v>
      </c>
      <c r="Q728">
        <v>0</v>
      </c>
      <c r="R728">
        <v>0</v>
      </c>
      <c r="S728">
        <v>0</v>
      </c>
      <c r="T728">
        <v>0</v>
      </c>
      <c r="U728">
        <v>0</v>
      </c>
      <c r="V728">
        <v>0</v>
      </c>
      <c r="W728">
        <v>0</v>
      </c>
      <c r="X728">
        <v>0</v>
      </c>
      <c r="Y728">
        <v>0</v>
      </c>
      <c r="Z728">
        <v>0</v>
      </c>
      <c r="AA728">
        <v>0</v>
      </c>
      <c r="AB728">
        <v>0</v>
      </c>
      <c r="AC728">
        <v>0</v>
      </c>
      <c r="AD728">
        <v>0</v>
      </c>
      <c r="AF728">
        <v>0</v>
      </c>
      <c r="AG728">
        <v>0</v>
      </c>
      <c r="AH728">
        <v>0</v>
      </c>
      <c r="AI728">
        <v>0</v>
      </c>
      <c r="AJ728">
        <v>0</v>
      </c>
      <c r="AK728">
        <v>0</v>
      </c>
      <c r="AL728">
        <v>0</v>
      </c>
      <c r="AM728">
        <v>0</v>
      </c>
      <c r="AN728">
        <v>0</v>
      </c>
      <c r="AO728">
        <v>0</v>
      </c>
      <c r="AP728">
        <v>0</v>
      </c>
      <c r="AQ728">
        <v>0</v>
      </c>
      <c r="AR728">
        <v>0</v>
      </c>
      <c r="AS728">
        <v>0</v>
      </c>
      <c r="AT728">
        <v>0</v>
      </c>
      <c r="AU728">
        <v>0</v>
      </c>
      <c r="AV728">
        <v>0</v>
      </c>
      <c r="AW728">
        <v>0</v>
      </c>
      <c r="AX728">
        <v>0</v>
      </c>
      <c r="AY728">
        <v>0</v>
      </c>
      <c r="AZ728">
        <v>0</v>
      </c>
      <c r="BA728">
        <v>0</v>
      </c>
      <c r="BB728">
        <v>0</v>
      </c>
      <c r="BC728">
        <v>0</v>
      </c>
      <c r="BD728">
        <v>0</v>
      </c>
      <c r="BE728">
        <v>0</v>
      </c>
      <c r="BF728">
        <v>0</v>
      </c>
      <c r="BG728">
        <v>0</v>
      </c>
      <c r="BH728">
        <v>0</v>
      </c>
      <c r="BI728">
        <v>0</v>
      </c>
      <c r="BK728" s="151"/>
    </row>
    <row r="729" spans="1:63" x14ac:dyDescent="0.35">
      <c r="A729">
        <v>0</v>
      </c>
      <c r="B729">
        <v>0</v>
      </c>
      <c r="C729">
        <v>0</v>
      </c>
      <c r="D729">
        <v>0</v>
      </c>
      <c r="E729">
        <v>0</v>
      </c>
      <c r="F729">
        <v>0</v>
      </c>
      <c r="G729">
        <v>0</v>
      </c>
      <c r="H729">
        <v>0</v>
      </c>
      <c r="I729">
        <v>0</v>
      </c>
      <c r="J729">
        <v>0</v>
      </c>
      <c r="K729">
        <v>0</v>
      </c>
      <c r="L729">
        <v>0</v>
      </c>
      <c r="M729">
        <v>0</v>
      </c>
      <c r="N729">
        <v>0</v>
      </c>
      <c r="O729">
        <v>0</v>
      </c>
      <c r="P729">
        <v>0</v>
      </c>
      <c r="Q729">
        <v>0</v>
      </c>
      <c r="R729">
        <v>0</v>
      </c>
      <c r="S729">
        <v>0</v>
      </c>
      <c r="T729">
        <v>0</v>
      </c>
      <c r="U729">
        <v>0</v>
      </c>
      <c r="V729">
        <v>0</v>
      </c>
      <c r="W729">
        <v>0</v>
      </c>
      <c r="X729">
        <v>0</v>
      </c>
      <c r="Y729">
        <v>0</v>
      </c>
      <c r="Z729">
        <v>0</v>
      </c>
      <c r="AA729">
        <v>0</v>
      </c>
      <c r="AB729">
        <v>0</v>
      </c>
      <c r="AC729">
        <v>0</v>
      </c>
      <c r="AD729">
        <v>0</v>
      </c>
      <c r="AF729">
        <v>0</v>
      </c>
      <c r="AG729">
        <v>0</v>
      </c>
      <c r="AH729">
        <v>0</v>
      </c>
      <c r="AI729">
        <v>0</v>
      </c>
      <c r="AJ729">
        <v>0</v>
      </c>
      <c r="AK729">
        <v>0</v>
      </c>
      <c r="AL729">
        <v>0</v>
      </c>
      <c r="AM729">
        <v>0</v>
      </c>
      <c r="AN729">
        <v>0</v>
      </c>
      <c r="AO729">
        <v>0</v>
      </c>
      <c r="AP729">
        <v>0</v>
      </c>
      <c r="AQ729">
        <v>0</v>
      </c>
      <c r="AR729">
        <v>0</v>
      </c>
      <c r="AS729">
        <v>0</v>
      </c>
      <c r="AT729">
        <v>0</v>
      </c>
      <c r="AU729">
        <v>0</v>
      </c>
      <c r="AV729">
        <v>0</v>
      </c>
      <c r="AW729">
        <v>0</v>
      </c>
      <c r="AX729">
        <v>0</v>
      </c>
      <c r="AY729">
        <v>0</v>
      </c>
      <c r="AZ729">
        <v>0</v>
      </c>
      <c r="BA729">
        <v>0</v>
      </c>
      <c r="BB729">
        <v>0</v>
      </c>
      <c r="BC729">
        <v>0</v>
      </c>
      <c r="BD729">
        <v>0</v>
      </c>
      <c r="BE729">
        <v>0</v>
      </c>
      <c r="BF729">
        <v>0</v>
      </c>
      <c r="BG729">
        <v>0</v>
      </c>
      <c r="BH729">
        <v>0</v>
      </c>
      <c r="BI729">
        <v>0</v>
      </c>
      <c r="BK729" s="151"/>
    </row>
    <row r="730" spans="1:63" x14ac:dyDescent="0.35">
      <c r="A730">
        <v>0</v>
      </c>
      <c r="B730">
        <v>0</v>
      </c>
      <c r="C730">
        <v>0</v>
      </c>
      <c r="D730">
        <v>0</v>
      </c>
      <c r="E730">
        <v>0</v>
      </c>
      <c r="F730">
        <v>0</v>
      </c>
      <c r="G730">
        <v>0</v>
      </c>
      <c r="H730">
        <v>0</v>
      </c>
      <c r="I730">
        <v>0</v>
      </c>
      <c r="J730">
        <v>0</v>
      </c>
      <c r="K730">
        <v>0</v>
      </c>
      <c r="L730">
        <v>0</v>
      </c>
      <c r="M730">
        <v>0</v>
      </c>
      <c r="N730">
        <v>0</v>
      </c>
      <c r="O730">
        <v>0</v>
      </c>
      <c r="P730">
        <v>0</v>
      </c>
      <c r="Q730">
        <v>0</v>
      </c>
      <c r="R730">
        <v>0</v>
      </c>
      <c r="S730">
        <v>0</v>
      </c>
      <c r="T730">
        <v>0</v>
      </c>
      <c r="U730">
        <v>0</v>
      </c>
      <c r="V730">
        <v>0</v>
      </c>
      <c r="W730">
        <v>0</v>
      </c>
      <c r="X730">
        <v>0</v>
      </c>
      <c r="Y730">
        <v>0</v>
      </c>
      <c r="Z730">
        <v>0</v>
      </c>
      <c r="AA730">
        <v>0</v>
      </c>
      <c r="AB730">
        <v>0</v>
      </c>
      <c r="AC730">
        <v>0</v>
      </c>
      <c r="AD730">
        <v>0</v>
      </c>
      <c r="AF730">
        <v>0</v>
      </c>
      <c r="AG730">
        <v>0</v>
      </c>
      <c r="AH730">
        <v>0</v>
      </c>
      <c r="AI730">
        <v>0</v>
      </c>
      <c r="AJ730">
        <v>0</v>
      </c>
      <c r="AK730">
        <v>0</v>
      </c>
      <c r="AL730">
        <v>0</v>
      </c>
      <c r="AM730">
        <v>0</v>
      </c>
      <c r="AN730">
        <v>0</v>
      </c>
      <c r="AO730">
        <v>0</v>
      </c>
      <c r="AP730">
        <v>0</v>
      </c>
      <c r="AQ730">
        <v>0</v>
      </c>
      <c r="AR730">
        <v>0</v>
      </c>
      <c r="AS730">
        <v>0</v>
      </c>
      <c r="AT730">
        <v>0</v>
      </c>
      <c r="AU730">
        <v>0</v>
      </c>
      <c r="AV730">
        <v>0</v>
      </c>
      <c r="AW730">
        <v>0</v>
      </c>
      <c r="AX730">
        <v>0</v>
      </c>
      <c r="AY730">
        <v>0</v>
      </c>
      <c r="AZ730">
        <v>0</v>
      </c>
      <c r="BA730">
        <v>0</v>
      </c>
      <c r="BB730">
        <v>0</v>
      </c>
      <c r="BC730">
        <v>0</v>
      </c>
      <c r="BD730">
        <v>0</v>
      </c>
      <c r="BE730">
        <v>0</v>
      </c>
      <c r="BF730">
        <v>0</v>
      </c>
      <c r="BG730">
        <v>0</v>
      </c>
      <c r="BH730">
        <v>0</v>
      </c>
      <c r="BI730">
        <v>0</v>
      </c>
      <c r="BK730" s="151"/>
    </row>
    <row r="731" spans="1:63" x14ac:dyDescent="0.35">
      <c r="A731">
        <v>0</v>
      </c>
      <c r="B731">
        <v>0</v>
      </c>
      <c r="C731">
        <v>0</v>
      </c>
      <c r="D731">
        <v>0</v>
      </c>
      <c r="E731">
        <v>0</v>
      </c>
      <c r="F731">
        <v>0</v>
      </c>
      <c r="G731">
        <v>0</v>
      </c>
      <c r="H731">
        <v>0</v>
      </c>
      <c r="I731">
        <v>0</v>
      </c>
      <c r="J731">
        <v>0</v>
      </c>
      <c r="K731">
        <v>0</v>
      </c>
      <c r="L731">
        <v>0</v>
      </c>
      <c r="M731">
        <v>0</v>
      </c>
      <c r="N731">
        <v>0</v>
      </c>
      <c r="O731">
        <v>0</v>
      </c>
      <c r="P731">
        <v>0</v>
      </c>
      <c r="Q731">
        <v>0</v>
      </c>
      <c r="R731">
        <v>0</v>
      </c>
      <c r="S731">
        <v>0</v>
      </c>
      <c r="T731">
        <v>0</v>
      </c>
      <c r="U731">
        <v>0</v>
      </c>
      <c r="V731">
        <v>0</v>
      </c>
      <c r="W731">
        <v>0</v>
      </c>
      <c r="X731">
        <v>0</v>
      </c>
      <c r="Y731">
        <v>0</v>
      </c>
      <c r="Z731">
        <v>0</v>
      </c>
      <c r="AA731">
        <v>0</v>
      </c>
      <c r="AB731">
        <v>0</v>
      </c>
      <c r="AC731">
        <v>0</v>
      </c>
      <c r="AD731">
        <v>0</v>
      </c>
      <c r="AF731">
        <v>0</v>
      </c>
      <c r="AG731">
        <v>0</v>
      </c>
      <c r="AH731">
        <v>0</v>
      </c>
      <c r="AI731">
        <v>0</v>
      </c>
      <c r="AJ731">
        <v>0</v>
      </c>
      <c r="AK731">
        <v>0</v>
      </c>
      <c r="AL731">
        <v>0</v>
      </c>
      <c r="AM731">
        <v>0</v>
      </c>
      <c r="AN731">
        <v>0</v>
      </c>
      <c r="AO731">
        <v>0</v>
      </c>
      <c r="AP731">
        <v>0</v>
      </c>
      <c r="AQ731">
        <v>0</v>
      </c>
      <c r="AR731">
        <v>0</v>
      </c>
      <c r="AS731">
        <v>0</v>
      </c>
      <c r="AT731">
        <v>0</v>
      </c>
      <c r="AU731">
        <v>0</v>
      </c>
      <c r="AV731">
        <v>0</v>
      </c>
      <c r="AW731">
        <v>0</v>
      </c>
      <c r="AX731">
        <v>0</v>
      </c>
      <c r="AY731">
        <v>0</v>
      </c>
      <c r="AZ731">
        <v>0</v>
      </c>
      <c r="BA731">
        <v>0</v>
      </c>
      <c r="BB731">
        <v>0</v>
      </c>
      <c r="BC731">
        <v>0</v>
      </c>
      <c r="BD731">
        <v>0</v>
      </c>
      <c r="BE731">
        <v>0</v>
      </c>
      <c r="BF731">
        <v>0</v>
      </c>
      <c r="BG731">
        <v>0</v>
      </c>
      <c r="BH731">
        <v>0</v>
      </c>
      <c r="BI731">
        <v>0</v>
      </c>
      <c r="BK731" s="151"/>
    </row>
    <row r="732" spans="1:63" x14ac:dyDescent="0.35">
      <c r="A732">
        <v>0</v>
      </c>
      <c r="B732">
        <v>0</v>
      </c>
      <c r="C732">
        <v>0</v>
      </c>
      <c r="D732">
        <v>0</v>
      </c>
      <c r="E732">
        <v>0</v>
      </c>
      <c r="F732">
        <v>0</v>
      </c>
      <c r="G732">
        <v>0</v>
      </c>
      <c r="H732">
        <v>0</v>
      </c>
      <c r="I732">
        <v>0</v>
      </c>
      <c r="J732">
        <v>0</v>
      </c>
      <c r="K732">
        <v>0</v>
      </c>
      <c r="L732">
        <v>0</v>
      </c>
      <c r="M732">
        <v>0</v>
      </c>
      <c r="N732">
        <v>0</v>
      </c>
      <c r="O732">
        <v>0</v>
      </c>
      <c r="P732">
        <v>0</v>
      </c>
      <c r="Q732">
        <v>0</v>
      </c>
      <c r="R732">
        <v>0</v>
      </c>
      <c r="S732">
        <v>0</v>
      </c>
      <c r="T732">
        <v>0</v>
      </c>
      <c r="U732">
        <v>0</v>
      </c>
      <c r="V732">
        <v>0</v>
      </c>
      <c r="W732">
        <v>0</v>
      </c>
      <c r="X732">
        <v>0</v>
      </c>
      <c r="Y732">
        <v>0</v>
      </c>
      <c r="Z732">
        <v>0</v>
      </c>
      <c r="AA732">
        <v>0</v>
      </c>
      <c r="AB732">
        <v>0</v>
      </c>
      <c r="AC732">
        <v>0</v>
      </c>
      <c r="AD732">
        <v>0</v>
      </c>
      <c r="AF732">
        <v>0</v>
      </c>
      <c r="AG732">
        <v>0</v>
      </c>
      <c r="AH732">
        <v>0</v>
      </c>
      <c r="AI732">
        <v>0</v>
      </c>
      <c r="AJ732">
        <v>0</v>
      </c>
      <c r="AK732">
        <v>0</v>
      </c>
      <c r="AL732">
        <v>0</v>
      </c>
      <c r="AM732">
        <v>0</v>
      </c>
      <c r="AN732">
        <v>0</v>
      </c>
      <c r="AO732">
        <v>0</v>
      </c>
      <c r="AP732">
        <v>0</v>
      </c>
      <c r="AQ732">
        <v>0</v>
      </c>
      <c r="AR732">
        <v>0</v>
      </c>
      <c r="AS732">
        <v>0</v>
      </c>
      <c r="AT732">
        <v>0</v>
      </c>
      <c r="AU732">
        <v>0</v>
      </c>
      <c r="AV732">
        <v>0</v>
      </c>
      <c r="AW732">
        <v>0</v>
      </c>
      <c r="AX732">
        <v>0</v>
      </c>
      <c r="AY732">
        <v>0</v>
      </c>
      <c r="AZ732">
        <v>0</v>
      </c>
      <c r="BA732">
        <v>0</v>
      </c>
      <c r="BB732">
        <v>0</v>
      </c>
      <c r="BC732">
        <v>0</v>
      </c>
      <c r="BD732">
        <v>0</v>
      </c>
      <c r="BE732">
        <v>0</v>
      </c>
      <c r="BF732">
        <v>0</v>
      </c>
      <c r="BG732">
        <v>0</v>
      </c>
      <c r="BH732">
        <v>0</v>
      </c>
      <c r="BI732">
        <v>0</v>
      </c>
      <c r="BK732" s="151"/>
    </row>
    <row r="733" spans="1:63" x14ac:dyDescent="0.35">
      <c r="A733">
        <v>0</v>
      </c>
      <c r="B733">
        <v>0</v>
      </c>
      <c r="C733">
        <v>0</v>
      </c>
      <c r="D733">
        <v>0</v>
      </c>
      <c r="E733">
        <v>0</v>
      </c>
      <c r="F733">
        <v>0</v>
      </c>
      <c r="G733">
        <v>0</v>
      </c>
      <c r="H733">
        <v>0</v>
      </c>
      <c r="I733">
        <v>0</v>
      </c>
      <c r="J733">
        <v>0</v>
      </c>
      <c r="K733">
        <v>0</v>
      </c>
      <c r="L733">
        <v>0</v>
      </c>
      <c r="M733">
        <v>0</v>
      </c>
      <c r="N733">
        <v>0</v>
      </c>
      <c r="O733">
        <v>0</v>
      </c>
      <c r="P733">
        <v>0</v>
      </c>
      <c r="Q733">
        <v>0</v>
      </c>
      <c r="R733">
        <v>0</v>
      </c>
      <c r="S733">
        <v>0</v>
      </c>
      <c r="T733">
        <v>0</v>
      </c>
      <c r="U733">
        <v>0</v>
      </c>
      <c r="V733">
        <v>0</v>
      </c>
      <c r="W733">
        <v>0</v>
      </c>
      <c r="X733">
        <v>0</v>
      </c>
      <c r="Y733">
        <v>0</v>
      </c>
      <c r="Z733">
        <v>0</v>
      </c>
      <c r="AA733">
        <v>0</v>
      </c>
      <c r="AB733">
        <v>0</v>
      </c>
      <c r="AC733">
        <v>0</v>
      </c>
      <c r="AD733">
        <v>0</v>
      </c>
      <c r="AF733">
        <v>0</v>
      </c>
      <c r="AG733">
        <v>0</v>
      </c>
      <c r="AH733">
        <v>0</v>
      </c>
      <c r="AI733">
        <v>0</v>
      </c>
      <c r="AJ733">
        <v>0</v>
      </c>
      <c r="AK733">
        <v>0</v>
      </c>
      <c r="AL733">
        <v>0</v>
      </c>
      <c r="AM733">
        <v>0</v>
      </c>
      <c r="AN733">
        <v>0</v>
      </c>
      <c r="AO733">
        <v>0</v>
      </c>
      <c r="AP733">
        <v>0</v>
      </c>
      <c r="AQ733">
        <v>0</v>
      </c>
      <c r="AR733">
        <v>0</v>
      </c>
      <c r="AS733">
        <v>0</v>
      </c>
      <c r="AT733">
        <v>0</v>
      </c>
      <c r="AU733">
        <v>0</v>
      </c>
      <c r="AV733">
        <v>0</v>
      </c>
      <c r="AW733">
        <v>0</v>
      </c>
      <c r="AX733">
        <v>0</v>
      </c>
      <c r="AY733">
        <v>0</v>
      </c>
      <c r="AZ733">
        <v>0</v>
      </c>
      <c r="BA733">
        <v>0</v>
      </c>
      <c r="BB733">
        <v>0</v>
      </c>
      <c r="BC733">
        <v>0</v>
      </c>
      <c r="BD733">
        <v>0</v>
      </c>
      <c r="BE733">
        <v>0</v>
      </c>
      <c r="BF733">
        <v>0</v>
      </c>
      <c r="BG733">
        <v>0</v>
      </c>
      <c r="BH733">
        <v>0</v>
      </c>
      <c r="BI733">
        <v>0</v>
      </c>
      <c r="BK733" s="151"/>
    </row>
    <row r="734" spans="1:63" x14ac:dyDescent="0.35">
      <c r="A734">
        <v>0</v>
      </c>
      <c r="B734">
        <v>0</v>
      </c>
      <c r="C734">
        <v>0</v>
      </c>
      <c r="D734">
        <v>0</v>
      </c>
      <c r="E734">
        <v>0</v>
      </c>
      <c r="F734">
        <v>0</v>
      </c>
      <c r="G734">
        <v>0</v>
      </c>
      <c r="H734">
        <v>0</v>
      </c>
      <c r="I734">
        <v>0</v>
      </c>
      <c r="J734">
        <v>0</v>
      </c>
      <c r="K734">
        <v>0</v>
      </c>
      <c r="L734">
        <v>0</v>
      </c>
      <c r="M734">
        <v>0</v>
      </c>
      <c r="N734">
        <v>0</v>
      </c>
      <c r="O734">
        <v>0</v>
      </c>
      <c r="P734">
        <v>0</v>
      </c>
      <c r="Q734">
        <v>0</v>
      </c>
      <c r="R734">
        <v>0</v>
      </c>
      <c r="S734">
        <v>0</v>
      </c>
      <c r="T734">
        <v>0</v>
      </c>
      <c r="U734">
        <v>0</v>
      </c>
      <c r="V734">
        <v>0</v>
      </c>
      <c r="W734">
        <v>0</v>
      </c>
      <c r="X734">
        <v>0</v>
      </c>
      <c r="Y734">
        <v>0</v>
      </c>
      <c r="Z734">
        <v>0</v>
      </c>
      <c r="AA734">
        <v>0</v>
      </c>
      <c r="AB734">
        <v>0</v>
      </c>
      <c r="AC734">
        <v>0</v>
      </c>
      <c r="AD734">
        <v>0</v>
      </c>
      <c r="AF734">
        <v>0</v>
      </c>
      <c r="AG734">
        <v>0</v>
      </c>
      <c r="AH734">
        <v>0</v>
      </c>
      <c r="AI734">
        <v>0</v>
      </c>
      <c r="AJ734">
        <v>0</v>
      </c>
      <c r="AK734">
        <v>0</v>
      </c>
      <c r="AL734">
        <v>0</v>
      </c>
      <c r="AM734">
        <v>0</v>
      </c>
      <c r="AN734">
        <v>0</v>
      </c>
      <c r="AO734">
        <v>0</v>
      </c>
      <c r="AP734">
        <v>0</v>
      </c>
      <c r="AQ734">
        <v>0</v>
      </c>
      <c r="AR734">
        <v>0</v>
      </c>
      <c r="AS734">
        <v>0</v>
      </c>
      <c r="AT734">
        <v>0</v>
      </c>
      <c r="AU734">
        <v>0</v>
      </c>
      <c r="AV734">
        <v>0</v>
      </c>
      <c r="AW734">
        <v>0</v>
      </c>
      <c r="AX734">
        <v>0</v>
      </c>
      <c r="AY734">
        <v>0</v>
      </c>
      <c r="AZ734">
        <v>0</v>
      </c>
      <c r="BA734">
        <v>0</v>
      </c>
      <c r="BB734">
        <v>0</v>
      </c>
      <c r="BC734">
        <v>0</v>
      </c>
      <c r="BD734">
        <v>0</v>
      </c>
      <c r="BE734">
        <v>0</v>
      </c>
      <c r="BF734">
        <v>0</v>
      </c>
      <c r="BG734">
        <v>0</v>
      </c>
      <c r="BH734">
        <v>0</v>
      </c>
      <c r="BI734">
        <v>0</v>
      </c>
      <c r="BK734" s="151"/>
    </row>
    <row r="735" spans="1:63" x14ac:dyDescent="0.35">
      <c r="A735">
        <v>0</v>
      </c>
      <c r="B735">
        <v>0</v>
      </c>
      <c r="C735">
        <v>0</v>
      </c>
      <c r="D735">
        <v>0</v>
      </c>
      <c r="E735">
        <v>0</v>
      </c>
      <c r="F735">
        <v>0</v>
      </c>
      <c r="G735">
        <v>0</v>
      </c>
      <c r="H735">
        <v>0</v>
      </c>
      <c r="I735">
        <v>0</v>
      </c>
      <c r="J735">
        <v>0</v>
      </c>
      <c r="K735">
        <v>0</v>
      </c>
      <c r="L735">
        <v>0</v>
      </c>
      <c r="M735">
        <v>0</v>
      </c>
      <c r="N735">
        <v>0</v>
      </c>
      <c r="O735">
        <v>0</v>
      </c>
      <c r="P735">
        <v>0</v>
      </c>
      <c r="Q735">
        <v>0</v>
      </c>
      <c r="R735">
        <v>0</v>
      </c>
      <c r="S735">
        <v>0</v>
      </c>
      <c r="T735">
        <v>0</v>
      </c>
      <c r="U735">
        <v>0</v>
      </c>
      <c r="V735">
        <v>0</v>
      </c>
      <c r="W735">
        <v>0</v>
      </c>
      <c r="X735">
        <v>0</v>
      </c>
      <c r="Y735">
        <v>0</v>
      </c>
      <c r="Z735">
        <v>0</v>
      </c>
      <c r="AA735">
        <v>0</v>
      </c>
      <c r="AB735">
        <v>0</v>
      </c>
      <c r="AC735">
        <v>0</v>
      </c>
      <c r="AD735">
        <v>0</v>
      </c>
      <c r="AF735">
        <v>0</v>
      </c>
      <c r="AG735">
        <v>0</v>
      </c>
      <c r="AH735">
        <v>0</v>
      </c>
      <c r="AI735">
        <v>0</v>
      </c>
      <c r="AJ735">
        <v>0</v>
      </c>
      <c r="AK735">
        <v>0</v>
      </c>
      <c r="AL735">
        <v>0</v>
      </c>
      <c r="AM735">
        <v>0</v>
      </c>
      <c r="AN735">
        <v>0</v>
      </c>
      <c r="AO735">
        <v>0</v>
      </c>
      <c r="AP735">
        <v>0</v>
      </c>
      <c r="AQ735">
        <v>0</v>
      </c>
      <c r="AR735">
        <v>0</v>
      </c>
      <c r="AS735">
        <v>0</v>
      </c>
      <c r="AT735">
        <v>0</v>
      </c>
      <c r="AU735">
        <v>0</v>
      </c>
      <c r="AV735">
        <v>0</v>
      </c>
      <c r="AW735">
        <v>0</v>
      </c>
      <c r="AX735">
        <v>0</v>
      </c>
      <c r="AY735">
        <v>0</v>
      </c>
      <c r="AZ735">
        <v>0</v>
      </c>
      <c r="BA735">
        <v>0</v>
      </c>
      <c r="BB735">
        <v>0</v>
      </c>
      <c r="BC735">
        <v>0</v>
      </c>
      <c r="BD735">
        <v>0</v>
      </c>
      <c r="BE735">
        <v>0</v>
      </c>
      <c r="BF735">
        <v>0</v>
      </c>
      <c r="BG735">
        <v>0</v>
      </c>
      <c r="BH735">
        <v>0</v>
      </c>
      <c r="BI735">
        <v>0</v>
      </c>
      <c r="BK735" s="151"/>
    </row>
    <row r="736" spans="1:63" x14ac:dyDescent="0.35">
      <c r="A736">
        <v>0</v>
      </c>
      <c r="B736">
        <v>0</v>
      </c>
      <c r="C736">
        <v>0</v>
      </c>
      <c r="D736">
        <v>0</v>
      </c>
      <c r="E736">
        <v>0</v>
      </c>
      <c r="F736">
        <v>0</v>
      </c>
      <c r="G736">
        <v>0</v>
      </c>
      <c r="H736">
        <v>0</v>
      </c>
      <c r="I736">
        <v>0</v>
      </c>
      <c r="J736">
        <v>0</v>
      </c>
      <c r="K736">
        <v>0</v>
      </c>
      <c r="L736">
        <v>0</v>
      </c>
      <c r="M736">
        <v>0</v>
      </c>
      <c r="N736">
        <v>0</v>
      </c>
      <c r="O736">
        <v>0</v>
      </c>
      <c r="P736">
        <v>0</v>
      </c>
      <c r="Q736">
        <v>0</v>
      </c>
      <c r="R736">
        <v>0</v>
      </c>
      <c r="S736">
        <v>0</v>
      </c>
      <c r="T736">
        <v>0</v>
      </c>
      <c r="U736">
        <v>0</v>
      </c>
      <c r="V736">
        <v>0</v>
      </c>
      <c r="W736">
        <v>0</v>
      </c>
      <c r="X736">
        <v>0</v>
      </c>
      <c r="Y736">
        <v>0</v>
      </c>
      <c r="Z736">
        <v>0</v>
      </c>
      <c r="AA736">
        <v>0</v>
      </c>
      <c r="AB736">
        <v>0</v>
      </c>
      <c r="AC736">
        <v>0</v>
      </c>
      <c r="AD736">
        <v>0</v>
      </c>
      <c r="AF736">
        <v>0</v>
      </c>
      <c r="AG736">
        <v>0</v>
      </c>
      <c r="AH736">
        <v>0</v>
      </c>
      <c r="AI736">
        <v>0</v>
      </c>
      <c r="AJ736">
        <v>0</v>
      </c>
      <c r="AK736">
        <v>0</v>
      </c>
      <c r="AL736">
        <v>0</v>
      </c>
      <c r="AM736">
        <v>0</v>
      </c>
      <c r="AN736">
        <v>0</v>
      </c>
      <c r="AO736">
        <v>0</v>
      </c>
      <c r="AP736">
        <v>0</v>
      </c>
      <c r="AQ736">
        <v>0</v>
      </c>
      <c r="AR736">
        <v>0</v>
      </c>
      <c r="AS736">
        <v>0</v>
      </c>
      <c r="AT736">
        <v>0</v>
      </c>
      <c r="AU736">
        <v>0</v>
      </c>
      <c r="AV736">
        <v>0</v>
      </c>
      <c r="AW736">
        <v>0</v>
      </c>
      <c r="AX736">
        <v>0</v>
      </c>
      <c r="AY736">
        <v>0</v>
      </c>
      <c r="AZ736">
        <v>0</v>
      </c>
      <c r="BA736">
        <v>0</v>
      </c>
      <c r="BB736">
        <v>0</v>
      </c>
      <c r="BC736">
        <v>0</v>
      </c>
      <c r="BD736">
        <v>0</v>
      </c>
      <c r="BE736">
        <v>0</v>
      </c>
      <c r="BF736">
        <v>0</v>
      </c>
      <c r="BG736">
        <v>0</v>
      </c>
      <c r="BH736">
        <v>0</v>
      </c>
      <c r="BI736">
        <v>0</v>
      </c>
      <c r="BK736" s="151"/>
    </row>
    <row r="737" spans="1:63" x14ac:dyDescent="0.35">
      <c r="A737">
        <v>0</v>
      </c>
      <c r="B737">
        <v>0</v>
      </c>
      <c r="C737">
        <v>0</v>
      </c>
      <c r="D737">
        <v>0</v>
      </c>
      <c r="E737">
        <v>0</v>
      </c>
      <c r="F737">
        <v>0</v>
      </c>
      <c r="G737">
        <v>0</v>
      </c>
      <c r="H737">
        <v>0</v>
      </c>
      <c r="I737">
        <v>0</v>
      </c>
      <c r="J737">
        <v>0</v>
      </c>
      <c r="K737">
        <v>0</v>
      </c>
      <c r="L737">
        <v>0</v>
      </c>
      <c r="M737">
        <v>0</v>
      </c>
      <c r="N737">
        <v>0</v>
      </c>
      <c r="O737">
        <v>0</v>
      </c>
      <c r="P737">
        <v>0</v>
      </c>
      <c r="Q737">
        <v>0</v>
      </c>
      <c r="R737">
        <v>0</v>
      </c>
      <c r="S737">
        <v>0</v>
      </c>
      <c r="T737">
        <v>0</v>
      </c>
      <c r="U737">
        <v>0</v>
      </c>
      <c r="V737">
        <v>0</v>
      </c>
      <c r="W737">
        <v>0</v>
      </c>
      <c r="X737">
        <v>0</v>
      </c>
      <c r="Y737">
        <v>0</v>
      </c>
      <c r="Z737">
        <v>0</v>
      </c>
      <c r="AA737">
        <v>0</v>
      </c>
      <c r="AB737">
        <v>0</v>
      </c>
      <c r="AC737">
        <v>0</v>
      </c>
      <c r="AD737">
        <v>0</v>
      </c>
      <c r="AF737">
        <v>0</v>
      </c>
      <c r="AG737">
        <v>0</v>
      </c>
      <c r="AH737">
        <v>0</v>
      </c>
      <c r="AI737">
        <v>0</v>
      </c>
      <c r="AJ737">
        <v>0</v>
      </c>
      <c r="AK737">
        <v>0</v>
      </c>
      <c r="AL737">
        <v>0</v>
      </c>
      <c r="AM737">
        <v>0</v>
      </c>
      <c r="AN737">
        <v>0</v>
      </c>
      <c r="AO737">
        <v>0</v>
      </c>
      <c r="AP737">
        <v>0</v>
      </c>
      <c r="AQ737">
        <v>0</v>
      </c>
      <c r="AR737">
        <v>0</v>
      </c>
      <c r="AS737">
        <v>0</v>
      </c>
      <c r="AT737">
        <v>0</v>
      </c>
      <c r="AU737">
        <v>0</v>
      </c>
      <c r="AV737">
        <v>0</v>
      </c>
      <c r="AW737">
        <v>0</v>
      </c>
      <c r="AX737">
        <v>0</v>
      </c>
      <c r="AY737">
        <v>0</v>
      </c>
      <c r="AZ737">
        <v>0</v>
      </c>
      <c r="BA737">
        <v>0</v>
      </c>
      <c r="BB737">
        <v>0</v>
      </c>
      <c r="BC737">
        <v>0</v>
      </c>
      <c r="BD737">
        <v>0</v>
      </c>
      <c r="BE737">
        <v>0</v>
      </c>
      <c r="BF737">
        <v>0</v>
      </c>
      <c r="BG737">
        <v>0</v>
      </c>
      <c r="BH737">
        <v>0</v>
      </c>
      <c r="BI737">
        <v>0</v>
      </c>
      <c r="BK737" s="151"/>
    </row>
    <row r="738" spans="1:63" x14ac:dyDescent="0.35">
      <c r="A738">
        <v>0</v>
      </c>
      <c r="B738">
        <v>0</v>
      </c>
      <c r="C738">
        <v>0</v>
      </c>
      <c r="D738">
        <v>0</v>
      </c>
      <c r="E738">
        <v>0</v>
      </c>
      <c r="F738">
        <v>0</v>
      </c>
      <c r="G738">
        <v>0</v>
      </c>
      <c r="H738">
        <v>0</v>
      </c>
      <c r="I738">
        <v>0</v>
      </c>
      <c r="J738">
        <v>0</v>
      </c>
      <c r="K738">
        <v>0</v>
      </c>
      <c r="L738">
        <v>0</v>
      </c>
      <c r="M738">
        <v>0</v>
      </c>
      <c r="N738">
        <v>0</v>
      </c>
      <c r="O738">
        <v>0</v>
      </c>
      <c r="P738">
        <v>0</v>
      </c>
      <c r="Q738">
        <v>0</v>
      </c>
      <c r="R738">
        <v>0</v>
      </c>
      <c r="S738">
        <v>0</v>
      </c>
      <c r="T738">
        <v>0</v>
      </c>
      <c r="U738">
        <v>0</v>
      </c>
      <c r="V738">
        <v>0</v>
      </c>
      <c r="W738">
        <v>0</v>
      </c>
      <c r="X738">
        <v>0</v>
      </c>
      <c r="Y738">
        <v>0</v>
      </c>
      <c r="Z738">
        <v>0</v>
      </c>
      <c r="AA738">
        <v>0</v>
      </c>
      <c r="AB738">
        <v>0</v>
      </c>
      <c r="AC738">
        <v>0</v>
      </c>
      <c r="AD738">
        <v>0</v>
      </c>
      <c r="AF738">
        <v>0</v>
      </c>
      <c r="AG738">
        <v>0</v>
      </c>
      <c r="AH738">
        <v>0</v>
      </c>
      <c r="AI738">
        <v>0</v>
      </c>
      <c r="AJ738">
        <v>0</v>
      </c>
      <c r="AK738">
        <v>0</v>
      </c>
      <c r="AL738">
        <v>0</v>
      </c>
      <c r="AM738">
        <v>0</v>
      </c>
      <c r="AN738">
        <v>0</v>
      </c>
      <c r="AO738">
        <v>0</v>
      </c>
      <c r="AP738">
        <v>0</v>
      </c>
      <c r="AQ738">
        <v>0</v>
      </c>
      <c r="AR738">
        <v>0</v>
      </c>
      <c r="AS738">
        <v>0</v>
      </c>
      <c r="AT738">
        <v>0</v>
      </c>
      <c r="AU738">
        <v>0</v>
      </c>
      <c r="AV738">
        <v>0</v>
      </c>
      <c r="AW738">
        <v>0</v>
      </c>
      <c r="AX738">
        <v>0</v>
      </c>
      <c r="AY738">
        <v>0</v>
      </c>
      <c r="AZ738">
        <v>0</v>
      </c>
      <c r="BA738">
        <v>0</v>
      </c>
      <c r="BB738">
        <v>0</v>
      </c>
      <c r="BC738">
        <v>0</v>
      </c>
      <c r="BD738">
        <v>0</v>
      </c>
      <c r="BE738">
        <v>0</v>
      </c>
      <c r="BF738">
        <v>0</v>
      </c>
      <c r="BG738">
        <v>0</v>
      </c>
      <c r="BH738">
        <v>0</v>
      </c>
      <c r="BI738">
        <v>0</v>
      </c>
      <c r="BK738" s="151"/>
    </row>
    <row r="739" spans="1:63" x14ac:dyDescent="0.35">
      <c r="A739">
        <v>0</v>
      </c>
      <c r="B739">
        <v>0</v>
      </c>
      <c r="C739">
        <v>0</v>
      </c>
      <c r="D739">
        <v>0</v>
      </c>
      <c r="E739">
        <v>0</v>
      </c>
      <c r="F739">
        <v>0</v>
      </c>
      <c r="G739">
        <v>0</v>
      </c>
      <c r="H739">
        <v>0</v>
      </c>
      <c r="I739">
        <v>0</v>
      </c>
      <c r="J739">
        <v>0</v>
      </c>
      <c r="K739">
        <v>0</v>
      </c>
      <c r="L739">
        <v>0</v>
      </c>
      <c r="M739">
        <v>0</v>
      </c>
      <c r="N739">
        <v>0</v>
      </c>
      <c r="O739">
        <v>0</v>
      </c>
      <c r="P739">
        <v>0</v>
      </c>
      <c r="Q739">
        <v>0</v>
      </c>
      <c r="R739">
        <v>0</v>
      </c>
      <c r="S739">
        <v>0</v>
      </c>
      <c r="T739">
        <v>0</v>
      </c>
      <c r="U739">
        <v>0</v>
      </c>
      <c r="V739">
        <v>0</v>
      </c>
      <c r="W739">
        <v>0</v>
      </c>
      <c r="X739">
        <v>0</v>
      </c>
      <c r="Y739">
        <v>0</v>
      </c>
      <c r="Z739">
        <v>0</v>
      </c>
      <c r="AA739">
        <v>0</v>
      </c>
      <c r="AB739">
        <v>0</v>
      </c>
      <c r="AC739">
        <v>0</v>
      </c>
      <c r="AD739">
        <v>0</v>
      </c>
      <c r="AF739">
        <v>0</v>
      </c>
      <c r="AG739">
        <v>0</v>
      </c>
      <c r="AH739">
        <v>0</v>
      </c>
      <c r="AI739">
        <v>0</v>
      </c>
      <c r="AJ739">
        <v>0</v>
      </c>
      <c r="AK739">
        <v>0</v>
      </c>
      <c r="AL739">
        <v>0</v>
      </c>
      <c r="AM739">
        <v>0</v>
      </c>
      <c r="AN739">
        <v>0</v>
      </c>
      <c r="AO739">
        <v>0</v>
      </c>
      <c r="AP739">
        <v>0</v>
      </c>
      <c r="AQ739">
        <v>0</v>
      </c>
      <c r="AR739">
        <v>0</v>
      </c>
      <c r="AS739">
        <v>0</v>
      </c>
      <c r="AT739">
        <v>0</v>
      </c>
      <c r="AU739">
        <v>0</v>
      </c>
      <c r="AV739">
        <v>0</v>
      </c>
      <c r="AW739">
        <v>0</v>
      </c>
      <c r="AX739">
        <v>0</v>
      </c>
      <c r="AY739">
        <v>0</v>
      </c>
      <c r="AZ739">
        <v>0</v>
      </c>
      <c r="BA739">
        <v>0</v>
      </c>
      <c r="BB739">
        <v>0</v>
      </c>
      <c r="BC739">
        <v>0</v>
      </c>
      <c r="BD739">
        <v>0</v>
      </c>
      <c r="BE739">
        <v>0</v>
      </c>
      <c r="BF739">
        <v>0</v>
      </c>
      <c r="BG739">
        <v>0</v>
      </c>
      <c r="BH739">
        <v>0</v>
      </c>
      <c r="BI739">
        <v>0</v>
      </c>
      <c r="BK739" s="151"/>
    </row>
    <row r="740" spans="1:63" x14ac:dyDescent="0.35">
      <c r="A740">
        <v>0</v>
      </c>
      <c r="B740">
        <v>0</v>
      </c>
      <c r="C740">
        <v>0</v>
      </c>
      <c r="D740">
        <v>0</v>
      </c>
      <c r="E740">
        <v>0</v>
      </c>
      <c r="F740">
        <v>0</v>
      </c>
      <c r="G740">
        <v>0</v>
      </c>
      <c r="H740">
        <v>0</v>
      </c>
      <c r="I740">
        <v>0</v>
      </c>
      <c r="J740">
        <v>0</v>
      </c>
      <c r="K740">
        <v>0</v>
      </c>
      <c r="L740">
        <v>0</v>
      </c>
      <c r="M740">
        <v>0</v>
      </c>
      <c r="N740">
        <v>0</v>
      </c>
      <c r="O740">
        <v>0</v>
      </c>
      <c r="P740">
        <v>0</v>
      </c>
      <c r="Q740">
        <v>0</v>
      </c>
      <c r="R740">
        <v>0</v>
      </c>
      <c r="S740">
        <v>0</v>
      </c>
      <c r="T740">
        <v>0</v>
      </c>
      <c r="U740">
        <v>0</v>
      </c>
      <c r="V740">
        <v>0</v>
      </c>
      <c r="W740">
        <v>0</v>
      </c>
      <c r="X740">
        <v>0</v>
      </c>
      <c r="Y740">
        <v>0</v>
      </c>
      <c r="Z740">
        <v>0</v>
      </c>
      <c r="AA740">
        <v>0</v>
      </c>
      <c r="AB740">
        <v>0</v>
      </c>
      <c r="AC740">
        <v>0</v>
      </c>
      <c r="AD740">
        <v>0</v>
      </c>
      <c r="AF740">
        <v>0</v>
      </c>
      <c r="AG740">
        <v>0</v>
      </c>
      <c r="AH740">
        <v>0</v>
      </c>
      <c r="AI740">
        <v>0</v>
      </c>
      <c r="AJ740">
        <v>0</v>
      </c>
      <c r="AK740">
        <v>0</v>
      </c>
      <c r="AL740">
        <v>0</v>
      </c>
      <c r="AM740">
        <v>0</v>
      </c>
      <c r="AN740">
        <v>0</v>
      </c>
      <c r="AO740">
        <v>0</v>
      </c>
      <c r="AP740">
        <v>0</v>
      </c>
      <c r="AQ740">
        <v>0</v>
      </c>
      <c r="AR740">
        <v>0</v>
      </c>
      <c r="AS740">
        <v>0</v>
      </c>
      <c r="AT740">
        <v>0</v>
      </c>
      <c r="AU740">
        <v>0</v>
      </c>
      <c r="AV740">
        <v>0</v>
      </c>
      <c r="AW740">
        <v>0</v>
      </c>
      <c r="AX740">
        <v>0</v>
      </c>
      <c r="AY740">
        <v>0</v>
      </c>
      <c r="AZ740">
        <v>0</v>
      </c>
      <c r="BA740">
        <v>0</v>
      </c>
      <c r="BB740">
        <v>0</v>
      </c>
      <c r="BC740">
        <v>0</v>
      </c>
      <c r="BD740">
        <v>0</v>
      </c>
      <c r="BE740">
        <v>0</v>
      </c>
      <c r="BF740">
        <v>0</v>
      </c>
      <c r="BG740">
        <v>0</v>
      </c>
      <c r="BH740">
        <v>0</v>
      </c>
      <c r="BI740">
        <v>0</v>
      </c>
      <c r="BK740" s="151"/>
    </row>
    <row r="741" spans="1:63" x14ac:dyDescent="0.35">
      <c r="A741">
        <v>0</v>
      </c>
      <c r="B741">
        <v>0</v>
      </c>
      <c r="C741">
        <v>0</v>
      </c>
      <c r="D741">
        <v>0</v>
      </c>
      <c r="E741">
        <v>0</v>
      </c>
      <c r="F741">
        <v>0</v>
      </c>
      <c r="G741">
        <v>0</v>
      </c>
      <c r="H741">
        <v>0</v>
      </c>
      <c r="I741">
        <v>0</v>
      </c>
      <c r="J741">
        <v>0</v>
      </c>
      <c r="K741">
        <v>0</v>
      </c>
      <c r="L741">
        <v>0</v>
      </c>
      <c r="M741">
        <v>0</v>
      </c>
      <c r="N741">
        <v>0</v>
      </c>
      <c r="O741">
        <v>0</v>
      </c>
      <c r="P741">
        <v>0</v>
      </c>
      <c r="Q741">
        <v>0</v>
      </c>
      <c r="R741">
        <v>0</v>
      </c>
      <c r="S741">
        <v>0</v>
      </c>
      <c r="T741">
        <v>0</v>
      </c>
      <c r="U741">
        <v>0</v>
      </c>
      <c r="V741">
        <v>0</v>
      </c>
      <c r="W741">
        <v>0</v>
      </c>
      <c r="X741">
        <v>0</v>
      </c>
      <c r="Y741">
        <v>0</v>
      </c>
      <c r="Z741">
        <v>0</v>
      </c>
      <c r="AA741">
        <v>0</v>
      </c>
      <c r="AB741">
        <v>0</v>
      </c>
      <c r="AC741">
        <v>0</v>
      </c>
      <c r="AD741">
        <v>0</v>
      </c>
      <c r="AF741">
        <v>0</v>
      </c>
      <c r="AG741">
        <v>0</v>
      </c>
      <c r="AH741">
        <v>0</v>
      </c>
      <c r="AI741">
        <v>0</v>
      </c>
      <c r="AJ741">
        <v>0</v>
      </c>
      <c r="AK741">
        <v>0</v>
      </c>
      <c r="AL741">
        <v>0</v>
      </c>
      <c r="AM741">
        <v>0</v>
      </c>
      <c r="AN741">
        <v>0</v>
      </c>
      <c r="AO741">
        <v>0</v>
      </c>
      <c r="AP741">
        <v>0</v>
      </c>
      <c r="AQ741">
        <v>0</v>
      </c>
      <c r="AR741">
        <v>0</v>
      </c>
      <c r="AS741">
        <v>0</v>
      </c>
      <c r="AT741">
        <v>0</v>
      </c>
      <c r="AU741">
        <v>0</v>
      </c>
      <c r="AV741">
        <v>0</v>
      </c>
      <c r="AW741">
        <v>0</v>
      </c>
      <c r="AX741">
        <v>0</v>
      </c>
      <c r="AY741">
        <v>0</v>
      </c>
      <c r="AZ741">
        <v>0</v>
      </c>
      <c r="BA741">
        <v>0</v>
      </c>
      <c r="BB741">
        <v>0</v>
      </c>
      <c r="BC741">
        <v>0</v>
      </c>
      <c r="BD741">
        <v>0</v>
      </c>
      <c r="BE741">
        <v>0</v>
      </c>
      <c r="BF741">
        <v>0</v>
      </c>
      <c r="BG741">
        <v>0</v>
      </c>
      <c r="BH741">
        <v>0</v>
      </c>
      <c r="BI741">
        <v>0</v>
      </c>
      <c r="BK741" s="151"/>
    </row>
    <row r="742" spans="1:63" x14ac:dyDescent="0.35">
      <c r="A742">
        <v>0</v>
      </c>
      <c r="B742">
        <v>0</v>
      </c>
      <c r="C742">
        <v>0</v>
      </c>
      <c r="D742">
        <v>0</v>
      </c>
      <c r="E742">
        <v>0</v>
      </c>
      <c r="F742">
        <v>0</v>
      </c>
      <c r="G742">
        <v>0</v>
      </c>
      <c r="H742">
        <v>0</v>
      </c>
      <c r="I742">
        <v>0</v>
      </c>
      <c r="J742">
        <v>0</v>
      </c>
      <c r="K742">
        <v>0</v>
      </c>
      <c r="L742">
        <v>0</v>
      </c>
      <c r="M742">
        <v>0</v>
      </c>
      <c r="N742">
        <v>0</v>
      </c>
      <c r="O742">
        <v>0</v>
      </c>
      <c r="P742">
        <v>0</v>
      </c>
      <c r="Q742">
        <v>0</v>
      </c>
      <c r="R742">
        <v>0</v>
      </c>
      <c r="S742">
        <v>0</v>
      </c>
      <c r="T742">
        <v>0</v>
      </c>
      <c r="U742">
        <v>0</v>
      </c>
      <c r="V742">
        <v>0</v>
      </c>
      <c r="W742">
        <v>0</v>
      </c>
      <c r="X742">
        <v>0</v>
      </c>
      <c r="Y742">
        <v>0</v>
      </c>
      <c r="Z742">
        <v>0</v>
      </c>
      <c r="AA742">
        <v>0</v>
      </c>
      <c r="AB742">
        <v>0</v>
      </c>
      <c r="AC742">
        <v>0</v>
      </c>
      <c r="AD742">
        <v>0</v>
      </c>
      <c r="AF742">
        <v>0</v>
      </c>
      <c r="AG742">
        <v>0</v>
      </c>
      <c r="AH742">
        <v>0</v>
      </c>
      <c r="AI742">
        <v>0</v>
      </c>
      <c r="AJ742">
        <v>0</v>
      </c>
      <c r="AK742">
        <v>0</v>
      </c>
      <c r="AL742">
        <v>0</v>
      </c>
      <c r="AM742">
        <v>0</v>
      </c>
      <c r="AN742">
        <v>0</v>
      </c>
      <c r="AO742">
        <v>0</v>
      </c>
      <c r="AP742">
        <v>0</v>
      </c>
      <c r="AQ742">
        <v>0</v>
      </c>
      <c r="AR742">
        <v>0</v>
      </c>
      <c r="AS742">
        <v>0</v>
      </c>
      <c r="AT742">
        <v>0</v>
      </c>
      <c r="AU742">
        <v>0</v>
      </c>
      <c r="AV742">
        <v>0</v>
      </c>
      <c r="AW742">
        <v>0</v>
      </c>
      <c r="AX742">
        <v>0</v>
      </c>
      <c r="AY742">
        <v>0</v>
      </c>
      <c r="AZ742">
        <v>0</v>
      </c>
      <c r="BA742">
        <v>0</v>
      </c>
      <c r="BB742">
        <v>0</v>
      </c>
      <c r="BC742">
        <v>0</v>
      </c>
      <c r="BD742">
        <v>0</v>
      </c>
      <c r="BE742">
        <v>0</v>
      </c>
      <c r="BF742">
        <v>0</v>
      </c>
      <c r="BG742">
        <v>0</v>
      </c>
      <c r="BH742">
        <v>0</v>
      </c>
      <c r="BI742">
        <v>0</v>
      </c>
      <c r="BK742" s="151"/>
    </row>
    <row r="743" spans="1:63" x14ac:dyDescent="0.35">
      <c r="A743">
        <v>0</v>
      </c>
      <c r="B743">
        <v>0</v>
      </c>
      <c r="C743">
        <v>0</v>
      </c>
      <c r="D743">
        <v>0</v>
      </c>
      <c r="E743">
        <v>0</v>
      </c>
      <c r="F743">
        <v>0</v>
      </c>
      <c r="G743">
        <v>0</v>
      </c>
      <c r="H743">
        <v>0</v>
      </c>
      <c r="I743">
        <v>0</v>
      </c>
      <c r="J743">
        <v>0</v>
      </c>
      <c r="K743">
        <v>0</v>
      </c>
      <c r="L743">
        <v>0</v>
      </c>
      <c r="M743">
        <v>0</v>
      </c>
      <c r="N743">
        <v>0</v>
      </c>
      <c r="O743">
        <v>0</v>
      </c>
      <c r="P743">
        <v>0</v>
      </c>
      <c r="Q743">
        <v>0</v>
      </c>
      <c r="R743">
        <v>0</v>
      </c>
      <c r="S743">
        <v>0</v>
      </c>
      <c r="T743">
        <v>0</v>
      </c>
      <c r="U743">
        <v>0</v>
      </c>
      <c r="V743">
        <v>0</v>
      </c>
      <c r="W743">
        <v>0</v>
      </c>
      <c r="X743">
        <v>0</v>
      </c>
      <c r="Y743">
        <v>0</v>
      </c>
      <c r="Z743">
        <v>0</v>
      </c>
      <c r="AA743">
        <v>0</v>
      </c>
      <c r="AB743">
        <v>0</v>
      </c>
      <c r="AC743">
        <v>0</v>
      </c>
      <c r="AD743">
        <v>0</v>
      </c>
      <c r="AF743">
        <v>0</v>
      </c>
      <c r="AG743">
        <v>0</v>
      </c>
      <c r="AH743">
        <v>0</v>
      </c>
      <c r="AI743">
        <v>0</v>
      </c>
      <c r="AJ743">
        <v>0</v>
      </c>
      <c r="AK743">
        <v>0</v>
      </c>
      <c r="AL743">
        <v>0</v>
      </c>
      <c r="AM743">
        <v>0</v>
      </c>
      <c r="AN743">
        <v>0</v>
      </c>
      <c r="AO743">
        <v>0</v>
      </c>
      <c r="AP743">
        <v>0</v>
      </c>
      <c r="AQ743">
        <v>0</v>
      </c>
      <c r="AR743">
        <v>0</v>
      </c>
      <c r="AS743">
        <v>0</v>
      </c>
      <c r="AT743">
        <v>0</v>
      </c>
      <c r="AU743">
        <v>0</v>
      </c>
      <c r="AV743">
        <v>0</v>
      </c>
      <c r="AW743">
        <v>0</v>
      </c>
      <c r="AX743">
        <v>0</v>
      </c>
      <c r="AY743">
        <v>0</v>
      </c>
      <c r="AZ743">
        <v>0</v>
      </c>
      <c r="BA743">
        <v>0</v>
      </c>
      <c r="BB743">
        <v>0</v>
      </c>
      <c r="BC743">
        <v>0</v>
      </c>
      <c r="BD743">
        <v>0</v>
      </c>
      <c r="BE743">
        <v>0</v>
      </c>
      <c r="BF743">
        <v>0</v>
      </c>
      <c r="BG743">
        <v>0</v>
      </c>
      <c r="BH743">
        <v>0</v>
      </c>
      <c r="BI743">
        <v>0</v>
      </c>
      <c r="BK743" s="151"/>
    </row>
    <row r="744" spans="1:63" x14ac:dyDescent="0.35">
      <c r="A744">
        <v>0</v>
      </c>
      <c r="B744">
        <v>0</v>
      </c>
      <c r="C744">
        <v>0</v>
      </c>
      <c r="D744">
        <v>0</v>
      </c>
      <c r="E744">
        <v>0</v>
      </c>
      <c r="F744">
        <v>0</v>
      </c>
      <c r="G744">
        <v>0</v>
      </c>
      <c r="H744">
        <v>0</v>
      </c>
      <c r="I744">
        <v>0</v>
      </c>
      <c r="J744">
        <v>0</v>
      </c>
      <c r="K744">
        <v>0</v>
      </c>
      <c r="L744">
        <v>0</v>
      </c>
      <c r="M744">
        <v>0</v>
      </c>
      <c r="N744">
        <v>0</v>
      </c>
      <c r="O744">
        <v>0</v>
      </c>
      <c r="P744">
        <v>0</v>
      </c>
      <c r="Q744">
        <v>0</v>
      </c>
      <c r="R744">
        <v>0</v>
      </c>
      <c r="S744">
        <v>0</v>
      </c>
      <c r="T744">
        <v>0</v>
      </c>
      <c r="U744">
        <v>0</v>
      </c>
      <c r="V744">
        <v>0</v>
      </c>
      <c r="W744">
        <v>0</v>
      </c>
      <c r="X744">
        <v>0</v>
      </c>
      <c r="Y744">
        <v>0</v>
      </c>
      <c r="Z744">
        <v>0</v>
      </c>
      <c r="AA744">
        <v>0</v>
      </c>
      <c r="AB744">
        <v>0</v>
      </c>
      <c r="AC744">
        <v>0</v>
      </c>
      <c r="AD744">
        <v>0</v>
      </c>
      <c r="AF744">
        <v>0</v>
      </c>
      <c r="AG744">
        <v>0</v>
      </c>
      <c r="AH744">
        <v>0</v>
      </c>
      <c r="AI744">
        <v>0</v>
      </c>
      <c r="AJ744">
        <v>0</v>
      </c>
      <c r="AK744">
        <v>0</v>
      </c>
      <c r="AL744">
        <v>0</v>
      </c>
      <c r="AM744">
        <v>0</v>
      </c>
      <c r="AN744">
        <v>0</v>
      </c>
      <c r="AO744">
        <v>0</v>
      </c>
      <c r="AP744">
        <v>0</v>
      </c>
      <c r="AQ744">
        <v>0</v>
      </c>
      <c r="AR744">
        <v>0</v>
      </c>
      <c r="AS744">
        <v>0</v>
      </c>
      <c r="AT744">
        <v>0</v>
      </c>
      <c r="AU744">
        <v>0</v>
      </c>
      <c r="AV744">
        <v>0</v>
      </c>
      <c r="AW744">
        <v>0</v>
      </c>
      <c r="AX744">
        <v>0</v>
      </c>
      <c r="AY744">
        <v>0</v>
      </c>
      <c r="AZ744">
        <v>0</v>
      </c>
      <c r="BA744">
        <v>0</v>
      </c>
      <c r="BB744">
        <v>0</v>
      </c>
      <c r="BC744">
        <v>0</v>
      </c>
      <c r="BD744">
        <v>0</v>
      </c>
      <c r="BE744">
        <v>0</v>
      </c>
      <c r="BF744">
        <v>0</v>
      </c>
      <c r="BG744">
        <v>0</v>
      </c>
      <c r="BH744">
        <v>0</v>
      </c>
      <c r="BI744">
        <v>0</v>
      </c>
      <c r="BK744" s="151"/>
    </row>
    <row r="745" spans="1:63" x14ac:dyDescent="0.35">
      <c r="A745">
        <v>0</v>
      </c>
      <c r="B745">
        <v>0</v>
      </c>
      <c r="C745">
        <v>0</v>
      </c>
      <c r="D745">
        <v>0</v>
      </c>
      <c r="E745">
        <v>0</v>
      </c>
      <c r="F745">
        <v>0</v>
      </c>
      <c r="G745">
        <v>0</v>
      </c>
      <c r="H745">
        <v>0</v>
      </c>
      <c r="I745">
        <v>0</v>
      </c>
      <c r="J745">
        <v>0</v>
      </c>
      <c r="K745">
        <v>0</v>
      </c>
      <c r="L745">
        <v>0</v>
      </c>
      <c r="M745">
        <v>0</v>
      </c>
      <c r="N745">
        <v>0</v>
      </c>
      <c r="O745">
        <v>0</v>
      </c>
      <c r="P745">
        <v>0</v>
      </c>
      <c r="Q745">
        <v>0</v>
      </c>
      <c r="R745">
        <v>0</v>
      </c>
      <c r="S745">
        <v>0</v>
      </c>
      <c r="T745">
        <v>0</v>
      </c>
      <c r="U745">
        <v>0</v>
      </c>
      <c r="V745">
        <v>0</v>
      </c>
      <c r="W745">
        <v>0</v>
      </c>
      <c r="X745">
        <v>0</v>
      </c>
      <c r="Y745">
        <v>0</v>
      </c>
      <c r="Z745">
        <v>0</v>
      </c>
      <c r="AA745">
        <v>0</v>
      </c>
      <c r="AB745">
        <v>0</v>
      </c>
      <c r="AC745">
        <v>0</v>
      </c>
      <c r="AD745">
        <v>0</v>
      </c>
      <c r="AF745">
        <v>0</v>
      </c>
      <c r="AG745">
        <v>0</v>
      </c>
      <c r="AH745">
        <v>0</v>
      </c>
      <c r="AI745">
        <v>0</v>
      </c>
      <c r="AJ745">
        <v>0</v>
      </c>
      <c r="AK745">
        <v>0</v>
      </c>
      <c r="AL745">
        <v>0</v>
      </c>
      <c r="AM745">
        <v>0</v>
      </c>
      <c r="AN745">
        <v>0</v>
      </c>
      <c r="AO745">
        <v>0</v>
      </c>
      <c r="AP745">
        <v>0</v>
      </c>
      <c r="AQ745">
        <v>0</v>
      </c>
      <c r="AR745">
        <v>0</v>
      </c>
      <c r="AS745">
        <v>0</v>
      </c>
      <c r="AT745">
        <v>0</v>
      </c>
      <c r="AU745">
        <v>0</v>
      </c>
      <c r="AV745">
        <v>0</v>
      </c>
      <c r="AW745">
        <v>0</v>
      </c>
      <c r="AX745">
        <v>0</v>
      </c>
      <c r="AY745">
        <v>0</v>
      </c>
      <c r="AZ745">
        <v>0</v>
      </c>
      <c r="BA745">
        <v>0</v>
      </c>
      <c r="BB745">
        <v>0</v>
      </c>
      <c r="BC745">
        <v>0</v>
      </c>
      <c r="BD745">
        <v>0</v>
      </c>
      <c r="BE745">
        <v>0</v>
      </c>
      <c r="BF745">
        <v>0</v>
      </c>
      <c r="BG745">
        <v>0</v>
      </c>
      <c r="BH745">
        <v>0</v>
      </c>
      <c r="BI745">
        <v>0</v>
      </c>
      <c r="BK745" s="151"/>
    </row>
    <row r="746" spans="1:63" x14ac:dyDescent="0.35">
      <c r="A746">
        <v>0</v>
      </c>
      <c r="B746">
        <v>0</v>
      </c>
      <c r="C746">
        <v>0</v>
      </c>
      <c r="D746">
        <v>0</v>
      </c>
      <c r="E746">
        <v>0</v>
      </c>
      <c r="F746">
        <v>0</v>
      </c>
      <c r="G746">
        <v>0</v>
      </c>
      <c r="H746">
        <v>0</v>
      </c>
      <c r="I746">
        <v>0</v>
      </c>
      <c r="J746">
        <v>0</v>
      </c>
      <c r="K746">
        <v>0</v>
      </c>
      <c r="L746">
        <v>0</v>
      </c>
      <c r="M746">
        <v>0</v>
      </c>
      <c r="N746">
        <v>0</v>
      </c>
      <c r="O746">
        <v>0</v>
      </c>
      <c r="P746">
        <v>0</v>
      </c>
      <c r="Q746">
        <v>0</v>
      </c>
      <c r="R746">
        <v>0</v>
      </c>
      <c r="S746">
        <v>0</v>
      </c>
      <c r="T746">
        <v>0</v>
      </c>
      <c r="U746">
        <v>0</v>
      </c>
      <c r="V746">
        <v>0</v>
      </c>
      <c r="W746">
        <v>0</v>
      </c>
      <c r="X746">
        <v>0</v>
      </c>
      <c r="Y746">
        <v>0</v>
      </c>
      <c r="Z746">
        <v>0</v>
      </c>
      <c r="AA746">
        <v>0</v>
      </c>
      <c r="AB746">
        <v>0</v>
      </c>
      <c r="AC746">
        <v>0</v>
      </c>
      <c r="AD746">
        <v>0</v>
      </c>
      <c r="AF746">
        <v>0</v>
      </c>
      <c r="AG746">
        <v>0</v>
      </c>
      <c r="AH746">
        <v>0</v>
      </c>
      <c r="AI746">
        <v>0</v>
      </c>
      <c r="AJ746">
        <v>0</v>
      </c>
      <c r="AK746">
        <v>0</v>
      </c>
      <c r="AL746">
        <v>0</v>
      </c>
      <c r="AM746">
        <v>0</v>
      </c>
      <c r="AN746">
        <v>0</v>
      </c>
      <c r="AO746">
        <v>0</v>
      </c>
      <c r="AP746">
        <v>0</v>
      </c>
      <c r="AQ746">
        <v>0</v>
      </c>
      <c r="AR746">
        <v>0</v>
      </c>
      <c r="AS746">
        <v>0</v>
      </c>
      <c r="AT746">
        <v>0</v>
      </c>
      <c r="AU746">
        <v>0</v>
      </c>
      <c r="AV746">
        <v>0</v>
      </c>
      <c r="AW746">
        <v>0</v>
      </c>
      <c r="AX746">
        <v>0</v>
      </c>
      <c r="AY746">
        <v>0</v>
      </c>
      <c r="AZ746">
        <v>0</v>
      </c>
      <c r="BA746">
        <v>0</v>
      </c>
      <c r="BB746">
        <v>0</v>
      </c>
      <c r="BC746">
        <v>0</v>
      </c>
      <c r="BD746">
        <v>0</v>
      </c>
      <c r="BE746">
        <v>0</v>
      </c>
      <c r="BF746">
        <v>0</v>
      </c>
      <c r="BG746">
        <v>0</v>
      </c>
      <c r="BH746">
        <v>0</v>
      </c>
      <c r="BI746">
        <v>0</v>
      </c>
      <c r="BK746" s="151"/>
    </row>
    <row r="747" spans="1:63" x14ac:dyDescent="0.35">
      <c r="A747">
        <v>0</v>
      </c>
      <c r="B747">
        <v>0</v>
      </c>
      <c r="C747">
        <v>0</v>
      </c>
      <c r="D747">
        <v>0</v>
      </c>
      <c r="E747">
        <v>0</v>
      </c>
      <c r="F747">
        <v>0</v>
      </c>
      <c r="G747">
        <v>0</v>
      </c>
      <c r="H747">
        <v>0</v>
      </c>
      <c r="I747">
        <v>0</v>
      </c>
      <c r="J747">
        <v>0</v>
      </c>
      <c r="K747">
        <v>0</v>
      </c>
      <c r="L747">
        <v>0</v>
      </c>
      <c r="M747">
        <v>0</v>
      </c>
      <c r="N747">
        <v>0</v>
      </c>
      <c r="O747">
        <v>0</v>
      </c>
      <c r="P747">
        <v>0</v>
      </c>
      <c r="Q747">
        <v>0</v>
      </c>
      <c r="R747">
        <v>0</v>
      </c>
      <c r="S747">
        <v>0</v>
      </c>
      <c r="T747">
        <v>0</v>
      </c>
      <c r="U747">
        <v>0</v>
      </c>
      <c r="V747">
        <v>0</v>
      </c>
      <c r="W747">
        <v>0</v>
      </c>
      <c r="X747">
        <v>0</v>
      </c>
      <c r="Y747">
        <v>0</v>
      </c>
      <c r="Z747">
        <v>0</v>
      </c>
      <c r="AA747">
        <v>0</v>
      </c>
      <c r="AB747">
        <v>0</v>
      </c>
      <c r="AC747">
        <v>0</v>
      </c>
      <c r="AD747">
        <v>0</v>
      </c>
      <c r="AF747">
        <v>0</v>
      </c>
      <c r="AG747">
        <v>0</v>
      </c>
      <c r="AH747">
        <v>0</v>
      </c>
      <c r="AI747">
        <v>0</v>
      </c>
      <c r="AJ747">
        <v>0</v>
      </c>
      <c r="AK747">
        <v>0</v>
      </c>
      <c r="AL747">
        <v>0</v>
      </c>
      <c r="AM747">
        <v>0</v>
      </c>
      <c r="AN747">
        <v>0</v>
      </c>
      <c r="AO747">
        <v>0</v>
      </c>
      <c r="AP747">
        <v>0</v>
      </c>
      <c r="AQ747">
        <v>0</v>
      </c>
      <c r="AR747">
        <v>0</v>
      </c>
      <c r="AS747">
        <v>0</v>
      </c>
      <c r="AT747">
        <v>0</v>
      </c>
      <c r="AU747">
        <v>0</v>
      </c>
      <c r="AV747">
        <v>0</v>
      </c>
      <c r="AW747">
        <v>0</v>
      </c>
      <c r="AX747">
        <v>0</v>
      </c>
      <c r="AY747">
        <v>0</v>
      </c>
      <c r="AZ747">
        <v>0</v>
      </c>
      <c r="BA747">
        <v>0</v>
      </c>
      <c r="BB747">
        <v>0</v>
      </c>
      <c r="BC747">
        <v>0</v>
      </c>
      <c r="BD747">
        <v>0</v>
      </c>
      <c r="BE747">
        <v>0</v>
      </c>
      <c r="BF747">
        <v>0</v>
      </c>
      <c r="BG747">
        <v>0</v>
      </c>
      <c r="BH747">
        <v>0</v>
      </c>
      <c r="BI747">
        <v>0</v>
      </c>
      <c r="BK747" s="151"/>
    </row>
    <row r="748" spans="1:63" x14ac:dyDescent="0.35">
      <c r="A748">
        <v>0</v>
      </c>
      <c r="B748">
        <v>0</v>
      </c>
      <c r="C748">
        <v>0</v>
      </c>
      <c r="D748">
        <v>0</v>
      </c>
      <c r="E748">
        <v>0</v>
      </c>
      <c r="F748">
        <v>0</v>
      </c>
      <c r="G748">
        <v>0</v>
      </c>
      <c r="H748">
        <v>0</v>
      </c>
      <c r="I748">
        <v>0</v>
      </c>
      <c r="J748">
        <v>0</v>
      </c>
      <c r="K748">
        <v>0</v>
      </c>
      <c r="L748">
        <v>0</v>
      </c>
      <c r="M748">
        <v>0</v>
      </c>
      <c r="N748">
        <v>0</v>
      </c>
      <c r="O748">
        <v>0</v>
      </c>
      <c r="P748">
        <v>0</v>
      </c>
      <c r="Q748">
        <v>0</v>
      </c>
      <c r="R748">
        <v>0</v>
      </c>
      <c r="S748">
        <v>0</v>
      </c>
      <c r="T748">
        <v>0</v>
      </c>
      <c r="U748">
        <v>0</v>
      </c>
      <c r="V748">
        <v>0</v>
      </c>
      <c r="W748">
        <v>0</v>
      </c>
      <c r="X748">
        <v>0</v>
      </c>
      <c r="Y748">
        <v>0</v>
      </c>
      <c r="Z748">
        <v>0</v>
      </c>
      <c r="AA748">
        <v>0</v>
      </c>
      <c r="AB748">
        <v>0</v>
      </c>
      <c r="AC748">
        <v>0</v>
      </c>
      <c r="AD748">
        <v>0</v>
      </c>
      <c r="AF748">
        <v>0</v>
      </c>
      <c r="AG748">
        <v>0</v>
      </c>
      <c r="AH748">
        <v>0</v>
      </c>
      <c r="AI748">
        <v>0</v>
      </c>
      <c r="AJ748">
        <v>0</v>
      </c>
      <c r="AK748">
        <v>0</v>
      </c>
      <c r="AL748">
        <v>0</v>
      </c>
      <c r="AM748">
        <v>0</v>
      </c>
      <c r="AN748">
        <v>0</v>
      </c>
      <c r="AO748">
        <v>0</v>
      </c>
      <c r="AP748">
        <v>0</v>
      </c>
      <c r="AQ748">
        <v>0</v>
      </c>
      <c r="AR748">
        <v>0</v>
      </c>
      <c r="AS748">
        <v>0</v>
      </c>
      <c r="AT748">
        <v>0</v>
      </c>
      <c r="AU748">
        <v>0</v>
      </c>
      <c r="AV748">
        <v>0</v>
      </c>
      <c r="AW748">
        <v>0</v>
      </c>
      <c r="AX748">
        <v>0</v>
      </c>
      <c r="AY748">
        <v>0</v>
      </c>
      <c r="AZ748">
        <v>0</v>
      </c>
      <c r="BA748">
        <v>0</v>
      </c>
      <c r="BB748">
        <v>0</v>
      </c>
      <c r="BC748">
        <v>0</v>
      </c>
      <c r="BD748">
        <v>0</v>
      </c>
      <c r="BE748">
        <v>0</v>
      </c>
      <c r="BF748">
        <v>0</v>
      </c>
      <c r="BG748">
        <v>0</v>
      </c>
      <c r="BH748">
        <v>0</v>
      </c>
      <c r="BI748">
        <v>0</v>
      </c>
      <c r="BK748" s="151"/>
    </row>
    <row r="749" spans="1:63" x14ac:dyDescent="0.35">
      <c r="A749">
        <v>0</v>
      </c>
      <c r="B749">
        <v>0</v>
      </c>
      <c r="C749">
        <v>0</v>
      </c>
      <c r="D749">
        <v>0</v>
      </c>
      <c r="E749">
        <v>0</v>
      </c>
      <c r="F749">
        <v>0</v>
      </c>
      <c r="G749">
        <v>0</v>
      </c>
      <c r="H749">
        <v>0</v>
      </c>
      <c r="I749">
        <v>0</v>
      </c>
      <c r="J749">
        <v>0</v>
      </c>
      <c r="K749">
        <v>0</v>
      </c>
      <c r="L749">
        <v>0</v>
      </c>
      <c r="M749">
        <v>0</v>
      </c>
      <c r="N749">
        <v>0</v>
      </c>
      <c r="O749">
        <v>0</v>
      </c>
      <c r="P749">
        <v>0</v>
      </c>
      <c r="Q749">
        <v>0</v>
      </c>
      <c r="R749">
        <v>0</v>
      </c>
      <c r="S749">
        <v>0</v>
      </c>
      <c r="T749">
        <v>0</v>
      </c>
      <c r="U749">
        <v>0</v>
      </c>
      <c r="V749">
        <v>0</v>
      </c>
      <c r="W749">
        <v>0</v>
      </c>
      <c r="X749">
        <v>0</v>
      </c>
      <c r="Y749">
        <v>0</v>
      </c>
      <c r="Z749">
        <v>0</v>
      </c>
      <c r="AA749">
        <v>0</v>
      </c>
      <c r="AB749">
        <v>0</v>
      </c>
      <c r="AC749">
        <v>0</v>
      </c>
      <c r="AD749">
        <v>0</v>
      </c>
      <c r="AF749">
        <v>0</v>
      </c>
      <c r="AG749">
        <v>0</v>
      </c>
      <c r="AH749">
        <v>0</v>
      </c>
      <c r="AI749">
        <v>0</v>
      </c>
      <c r="AJ749">
        <v>0</v>
      </c>
      <c r="AK749">
        <v>0</v>
      </c>
      <c r="AL749">
        <v>0</v>
      </c>
      <c r="AM749">
        <v>0</v>
      </c>
      <c r="AN749">
        <v>0</v>
      </c>
      <c r="AO749">
        <v>0</v>
      </c>
      <c r="AP749">
        <v>0</v>
      </c>
      <c r="AQ749">
        <v>0</v>
      </c>
      <c r="AR749">
        <v>0</v>
      </c>
      <c r="AS749">
        <v>0</v>
      </c>
      <c r="AT749">
        <v>0</v>
      </c>
      <c r="AU749">
        <v>0</v>
      </c>
      <c r="AV749">
        <v>0</v>
      </c>
      <c r="AW749">
        <v>0</v>
      </c>
      <c r="AX749">
        <v>0</v>
      </c>
      <c r="AY749">
        <v>0</v>
      </c>
      <c r="AZ749">
        <v>0</v>
      </c>
      <c r="BA749">
        <v>0</v>
      </c>
      <c r="BB749">
        <v>0</v>
      </c>
      <c r="BC749">
        <v>0</v>
      </c>
      <c r="BD749">
        <v>0</v>
      </c>
      <c r="BE749">
        <v>0</v>
      </c>
      <c r="BF749">
        <v>0</v>
      </c>
      <c r="BG749">
        <v>0</v>
      </c>
      <c r="BH749">
        <v>0</v>
      </c>
      <c r="BI749">
        <v>0</v>
      </c>
      <c r="BK749" s="151"/>
    </row>
    <row r="750" spans="1:63" x14ac:dyDescent="0.35">
      <c r="A750">
        <v>0</v>
      </c>
      <c r="B750">
        <v>0</v>
      </c>
      <c r="C750">
        <v>0</v>
      </c>
      <c r="D750">
        <v>0</v>
      </c>
      <c r="E750">
        <v>0</v>
      </c>
      <c r="F750">
        <v>0</v>
      </c>
      <c r="G750">
        <v>0</v>
      </c>
      <c r="H750">
        <v>0</v>
      </c>
      <c r="I750">
        <v>0</v>
      </c>
      <c r="J750">
        <v>0</v>
      </c>
      <c r="K750">
        <v>0</v>
      </c>
      <c r="L750">
        <v>0</v>
      </c>
      <c r="M750">
        <v>0</v>
      </c>
      <c r="N750">
        <v>0</v>
      </c>
      <c r="O750">
        <v>0</v>
      </c>
      <c r="P750">
        <v>0</v>
      </c>
      <c r="Q750">
        <v>0</v>
      </c>
      <c r="R750">
        <v>0</v>
      </c>
      <c r="S750">
        <v>0</v>
      </c>
      <c r="T750">
        <v>0</v>
      </c>
      <c r="U750">
        <v>0</v>
      </c>
      <c r="V750">
        <v>0</v>
      </c>
      <c r="W750">
        <v>0</v>
      </c>
      <c r="X750">
        <v>0</v>
      </c>
      <c r="Y750">
        <v>0</v>
      </c>
      <c r="Z750">
        <v>0</v>
      </c>
      <c r="AA750">
        <v>0</v>
      </c>
      <c r="AB750">
        <v>0</v>
      </c>
      <c r="AC750">
        <v>0</v>
      </c>
      <c r="AD750">
        <v>0</v>
      </c>
      <c r="AF750">
        <v>0</v>
      </c>
      <c r="AG750">
        <v>0</v>
      </c>
      <c r="AH750">
        <v>0</v>
      </c>
      <c r="AI750">
        <v>0</v>
      </c>
      <c r="AJ750">
        <v>0</v>
      </c>
      <c r="AK750">
        <v>0</v>
      </c>
      <c r="AL750">
        <v>0</v>
      </c>
      <c r="AM750">
        <v>0</v>
      </c>
      <c r="AN750">
        <v>0</v>
      </c>
      <c r="AO750">
        <v>0</v>
      </c>
      <c r="AP750">
        <v>0</v>
      </c>
      <c r="AQ750">
        <v>0</v>
      </c>
      <c r="AR750">
        <v>0</v>
      </c>
      <c r="AS750">
        <v>0</v>
      </c>
      <c r="AT750">
        <v>0</v>
      </c>
      <c r="AU750">
        <v>0</v>
      </c>
      <c r="AV750">
        <v>0</v>
      </c>
      <c r="AW750">
        <v>0</v>
      </c>
      <c r="AX750">
        <v>0</v>
      </c>
      <c r="AY750">
        <v>0</v>
      </c>
      <c r="AZ750">
        <v>0</v>
      </c>
      <c r="BA750">
        <v>0</v>
      </c>
      <c r="BB750">
        <v>0</v>
      </c>
      <c r="BC750">
        <v>0</v>
      </c>
      <c r="BD750">
        <v>0</v>
      </c>
      <c r="BE750">
        <v>0</v>
      </c>
      <c r="BF750">
        <v>0</v>
      </c>
      <c r="BG750">
        <v>0</v>
      </c>
      <c r="BH750">
        <v>0</v>
      </c>
      <c r="BI750">
        <v>0</v>
      </c>
      <c r="BK750" s="151"/>
    </row>
    <row r="751" spans="1:63" x14ac:dyDescent="0.35">
      <c r="A751">
        <v>0</v>
      </c>
      <c r="B751">
        <v>0</v>
      </c>
      <c r="C751">
        <v>0</v>
      </c>
      <c r="D751">
        <v>0</v>
      </c>
      <c r="E751">
        <v>0</v>
      </c>
      <c r="F751">
        <v>0</v>
      </c>
      <c r="G751">
        <v>0</v>
      </c>
      <c r="H751">
        <v>0</v>
      </c>
      <c r="I751">
        <v>0</v>
      </c>
      <c r="J751">
        <v>0</v>
      </c>
      <c r="K751">
        <v>0</v>
      </c>
      <c r="L751">
        <v>0</v>
      </c>
      <c r="M751">
        <v>0</v>
      </c>
      <c r="N751">
        <v>0</v>
      </c>
      <c r="O751">
        <v>0</v>
      </c>
      <c r="P751">
        <v>0</v>
      </c>
      <c r="Q751">
        <v>0</v>
      </c>
      <c r="R751">
        <v>0</v>
      </c>
      <c r="S751">
        <v>0</v>
      </c>
      <c r="T751">
        <v>0</v>
      </c>
      <c r="U751">
        <v>0</v>
      </c>
      <c r="V751">
        <v>0</v>
      </c>
      <c r="W751">
        <v>0</v>
      </c>
      <c r="X751">
        <v>0</v>
      </c>
      <c r="Y751">
        <v>0</v>
      </c>
      <c r="Z751">
        <v>0</v>
      </c>
      <c r="AA751">
        <v>0</v>
      </c>
      <c r="AB751">
        <v>0</v>
      </c>
      <c r="AC751">
        <v>0</v>
      </c>
      <c r="AD751">
        <v>0</v>
      </c>
      <c r="AF751">
        <v>0</v>
      </c>
      <c r="AG751">
        <v>0</v>
      </c>
      <c r="AH751">
        <v>0</v>
      </c>
      <c r="AI751">
        <v>0</v>
      </c>
      <c r="AJ751">
        <v>0</v>
      </c>
      <c r="AK751">
        <v>0</v>
      </c>
      <c r="AL751">
        <v>0</v>
      </c>
      <c r="AM751">
        <v>0</v>
      </c>
      <c r="AN751">
        <v>0</v>
      </c>
      <c r="AO751">
        <v>0</v>
      </c>
      <c r="AP751">
        <v>0</v>
      </c>
      <c r="AQ751">
        <v>0</v>
      </c>
      <c r="AR751">
        <v>0</v>
      </c>
      <c r="AS751">
        <v>0</v>
      </c>
      <c r="AT751">
        <v>0</v>
      </c>
      <c r="AU751">
        <v>0</v>
      </c>
      <c r="AV751">
        <v>0</v>
      </c>
      <c r="AW751">
        <v>0</v>
      </c>
      <c r="AX751">
        <v>0</v>
      </c>
      <c r="AY751">
        <v>0</v>
      </c>
      <c r="AZ751">
        <v>0</v>
      </c>
      <c r="BA751">
        <v>0</v>
      </c>
      <c r="BB751">
        <v>0</v>
      </c>
      <c r="BC751">
        <v>0</v>
      </c>
      <c r="BD751">
        <v>0</v>
      </c>
      <c r="BE751">
        <v>0</v>
      </c>
      <c r="BF751">
        <v>0</v>
      </c>
      <c r="BG751">
        <v>0</v>
      </c>
      <c r="BH751">
        <v>0</v>
      </c>
      <c r="BI751">
        <v>0</v>
      </c>
      <c r="BK751" s="151"/>
    </row>
    <row r="752" spans="1:63" x14ac:dyDescent="0.35">
      <c r="A752">
        <v>0</v>
      </c>
      <c r="B752">
        <v>0</v>
      </c>
      <c r="C752">
        <v>0</v>
      </c>
      <c r="D752">
        <v>0</v>
      </c>
      <c r="E752">
        <v>0</v>
      </c>
      <c r="F752">
        <v>0</v>
      </c>
      <c r="G752">
        <v>0</v>
      </c>
      <c r="H752">
        <v>0</v>
      </c>
      <c r="I752">
        <v>0</v>
      </c>
      <c r="J752">
        <v>0</v>
      </c>
      <c r="K752">
        <v>0</v>
      </c>
      <c r="L752">
        <v>0</v>
      </c>
      <c r="M752">
        <v>0</v>
      </c>
      <c r="N752">
        <v>0</v>
      </c>
      <c r="O752">
        <v>0</v>
      </c>
      <c r="P752">
        <v>0</v>
      </c>
      <c r="Q752">
        <v>0</v>
      </c>
      <c r="R752">
        <v>0</v>
      </c>
      <c r="S752">
        <v>0</v>
      </c>
      <c r="T752">
        <v>0</v>
      </c>
      <c r="U752">
        <v>0</v>
      </c>
      <c r="V752">
        <v>0</v>
      </c>
      <c r="W752">
        <v>0</v>
      </c>
      <c r="X752">
        <v>0</v>
      </c>
      <c r="Y752">
        <v>0</v>
      </c>
      <c r="Z752">
        <v>0</v>
      </c>
      <c r="AA752">
        <v>0</v>
      </c>
      <c r="AB752">
        <v>0</v>
      </c>
      <c r="AC752">
        <v>0</v>
      </c>
      <c r="AD752">
        <v>0</v>
      </c>
      <c r="AF752">
        <v>0</v>
      </c>
      <c r="AG752">
        <v>0</v>
      </c>
      <c r="AH752">
        <v>0</v>
      </c>
      <c r="AI752">
        <v>0</v>
      </c>
      <c r="AJ752">
        <v>0</v>
      </c>
      <c r="AK752">
        <v>0</v>
      </c>
      <c r="AL752">
        <v>0</v>
      </c>
      <c r="AM752">
        <v>0</v>
      </c>
      <c r="AN752">
        <v>0</v>
      </c>
      <c r="AO752">
        <v>0</v>
      </c>
      <c r="AP752">
        <v>0</v>
      </c>
      <c r="AQ752">
        <v>0</v>
      </c>
      <c r="AR752">
        <v>0</v>
      </c>
      <c r="AS752">
        <v>0</v>
      </c>
      <c r="AT752">
        <v>0</v>
      </c>
      <c r="AU752">
        <v>0</v>
      </c>
      <c r="AV752">
        <v>0</v>
      </c>
      <c r="AW752">
        <v>0</v>
      </c>
      <c r="AX752">
        <v>0</v>
      </c>
      <c r="AY752">
        <v>0</v>
      </c>
      <c r="AZ752">
        <v>0</v>
      </c>
      <c r="BA752">
        <v>0</v>
      </c>
      <c r="BB752">
        <v>0</v>
      </c>
      <c r="BC752">
        <v>0</v>
      </c>
      <c r="BD752">
        <v>0</v>
      </c>
      <c r="BE752">
        <v>0</v>
      </c>
      <c r="BF752">
        <v>0</v>
      </c>
      <c r="BG752">
        <v>0</v>
      </c>
      <c r="BH752">
        <v>0</v>
      </c>
      <c r="BI752">
        <v>0</v>
      </c>
      <c r="BK752" s="151"/>
    </row>
    <row r="753" spans="1:63" x14ac:dyDescent="0.35">
      <c r="A753">
        <v>0</v>
      </c>
      <c r="B753">
        <v>0</v>
      </c>
      <c r="C753">
        <v>0</v>
      </c>
      <c r="D753">
        <v>0</v>
      </c>
      <c r="E753">
        <v>0</v>
      </c>
      <c r="F753">
        <v>0</v>
      </c>
      <c r="G753">
        <v>0</v>
      </c>
      <c r="H753">
        <v>0</v>
      </c>
      <c r="I753">
        <v>0</v>
      </c>
      <c r="J753">
        <v>0</v>
      </c>
      <c r="K753">
        <v>0</v>
      </c>
      <c r="L753">
        <v>0</v>
      </c>
      <c r="M753">
        <v>0</v>
      </c>
      <c r="N753">
        <v>0</v>
      </c>
      <c r="O753">
        <v>0</v>
      </c>
      <c r="P753">
        <v>0</v>
      </c>
      <c r="Q753">
        <v>0</v>
      </c>
      <c r="R753">
        <v>0</v>
      </c>
      <c r="S753">
        <v>0</v>
      </c>
      <c r="T753">
        <v>0</v>
      </c>
      <c r="U753">
        <v>0</v>
      </c>
      <c r="V753">
        <v>0</v>
      </c>
      <c r="W753">
        <v>0</v>
      </c>
      <c r="X753">
        <v>0</v>
      </c>
      <c r="Y753">
        <v>0</v>
      </c>
      <c r="Z753">
        <v>0</v>
      </c>
      <c r="AA753">
        <v>0</v>
      </c>
      <c r="AB753">
        <v>0</v>
      </c>
      <c r="AC753">
        <v>0</v>
      </c>
      <c r="AD753">
        <v>0</v>
      </c>
      <c r="AF753">
        <v>0</v>
      </c>
      <c r="AG753">
        <v>0</v>
      </c>
      <c r="AH753">
        <v>0</v>
      </c>
      <c r="AI753">
        <v>0</v>
      </c>
      <c r="AJ753">
        <v>0</v>
      </c>
      <c r="AK753">
        <v>0</v>
      </c>
      <c r="AL753">
        <v>0</v>
      </c>
      <c r="AM753">
        <v>0</v>
      </c>
      <c r="AN753">
        <v>0</v>
      </c>
      <c r="AO753">
        <v>0</v>
      </c>
      <c r="AP753">
        <v>0</v>
      </c>
      <c r="AQ753">
        <v>0</v>
      </c>
      <c r="AR753">
        <v>0</v>
      </c>
      <c r="AS753">
        <v>0</v>
      </c>
      <c r="AT753">
        <v>0</v>
      </c>
      <c r="AU753">
        <v>0</v>
      </c>
      <c r="AV753">
        <v>0</v>
      </c>
      <c r="AW753">
        <v>0</v>
      </c>
      <c r="AX753">
        <v>0</v>
      </c>
      <c r="AY753">
        <v>0</v>
      </c>
      <c r="AZ753">
        <v>0</v>
      </c>
      <c r="BA753">
        <v>0</v>
      </c>
      <c r="BB753">
        <v>0</v>
      </c>
      <c r="BC753">
        <v>0</v>
      </c>
      <c r="BD753">
        <v>0</v>
      </c>
      <c r="BE753">
        <v>0</v>
      </c>
      <c r="BF753">
        <v>0</v>
      </c>
      <c r="BG753">
        <v>0</v>
      </c>
      <c r="BH753">
        <v>0</v>
      </c>
      <c r="BI753">
        <v>0</v>
      </c>
      <c r="BK753" s="151"/>
    </row>
    <row r="754" spans="1:63" x14ac:dyDescent="0.35">
      <c r="A754">
        <v>0</v>
      </c>
      <c r="B754">
        <v>0</v>
      </c>
      <c r="C754">
        <v>0</v>
      </c>
      <c r="D754">
        <v>0</v>
      </c>
      <c r="E754">
        <v>0</v>
      </c>
      <c r="F754">
        <v>0</v>
      </c>
      <c r="G754">
        <v>0</v>
      </c>
      <c r="H754">
        <v>0</v>
      </c>
      <c r="I754">
        <v>0</v>
      </c>
      <c r="J754">
        <v>0</v>
      </c>
      <c r="K754">
        <v>0</v>
      </c>
      <c r="L754">
        <v>0</v>
      </c>
      <c r="M754">
        <v>0</v>
      </c>
      <c r="N754">
        <v>0</v>
      </c>
      <c r="O754">
        <v>0</v>
      </c>
      <c r="P754">
        <v>0</v>
      </c>
      <c r="Q754">
        <v>0</v>
      </c>
      <c r="R754">
        <v>0</v>
      </c>
      <c r="S754">
        <v>0</v>
      </c>
      <c r="T754">
        <v>0</v>
      </c>
      <c r="U754">
        <v>0</v>
      </c>
      <c r="V754">
        <v>0</v>
      </c>
      <c r="W754">
        <v>0</v>
      </c>
      <c r="X754">
        <v>0</v>
      </c>
      <c r="Y754">
        <v>0</v>
      </c>
      <c r="Z754">
        <v>0</v>
      </c>
      <c r="AA754">
        <v>0</v>
      </c>
      <c r="AB754">
        <v>0</v>
      </c>
      <c r="AC754">
        <v>0</v>
      </c>
      <c r="AD754">
        <v>0</v>
      </c>
      <c r="AF754">
        <v>0</v>
      </c>
      <c r="AG754">
        <v>0</v>
      </c>
      <c r="AH754">
        <v>0</v>
      </c>
      <c r="AI754">
        <v>0</v>
      </c>
      <c r="AJ754">
        <v>0</v>
      </c>
      <c r="AK754">
        <v>0</v>
      </c>
      <c r="AL754">
        <v>0</v>
      </c>
      <c r="AM754">
        <v>0</v>
      </c>
      <c r="AN754">
        <v>0</v>
      </c>
      <c r="AO754">
        <v>0</v>
      </c>
      <c r="AP754">
        <v>0</v>
      </c>
      <c r="AQ754">
        <v>0</v>
      </c>
      <c r="AR754">
        <v>0</v>
      </c>
      <c r="AS754">
        <v>0</v>
      </c>
      <c r="AT754">
        <v>0</v>
      </c>
      <c r="AU754">
        <v>0</v>
      </c>
      <c r="AV754">
        <v>0</v>
      </c>
      <c r="AW754">
        <v>0</v>
      </c>
      <c r="AX754">
        <v>0</v>
      </c>
      <c r="AY754">
        <v>0</v>
      </c>
      <c r="AZ754">
        <v>0</v>
      </c>
      <c r="BA754">
        <v>0</v>
      </c>
      <c r="BB754">
        <v>0</v>
      </c>
      <c r="BC754">
        <v>0</v>
      </c>
      <c r="BD754">
        <v>0</v>
      </c>
      <c r="BE754">
        <v>0</v>
      </c>
      <c r="BF754">
        <v>0</v>
      </c>
      <c r="BG754">
        <v>0</v>
      </c>
      <c r="BH754">
        <v>0</v>
      </c>
      <c r="BI754">
        <v>0</v>
      </c>
      <c r="BK754" s="151"/>
    </row>
    <row r="755" spans="1:63" x14ac:dyDescent="0.35">
      <c r="A755">
        <v>0</v>
      </c>
      <c r="B755">
        <v>0</v>
      </c>
      <c r="C755">
        <v>0</v>
      </c>
      <c r="D755">
        <v>0</v>
      </c>
      <c r="E755">
        <v>0</v>
      </c>
      <c r="F755">
        <v>0</v>
      </c>
      <c r="G755">
        <v>0</v>
      </c>
      <c r="H755">
        <v>0</v>
      </c>
      <c r="I755">
        <v>0</v>
      </c>
      <c r="J755">
        <v>0</v>
      </c>
      <c r="K755">
        <v>0</v>
      </c>
      <c r="L755">
        <v>0</v>
      </c>
      <c r="M755">
        <v>0</v>
      </c>
      <c r="N755">
        <v>0</v>
      </c>
      <c r="O755">
        <v>0</v>
      </c>
      <c r="P755">
        <v>0</v>
      </c>
      <c r="Q755">
        <v>0</v>
      </c>
      <c r="R755">
        <v>0</v>
      </c>
      <c r="S755">
        <v>0</v>
      </c>
      <c r="T755">
        <v>0</v>
      </c>
      <c r="U755">
        <v>0</v>
      </c>
      <c r="V755">
        <v>0</v>
      </c>
      <c r="W755">
        <v>0</v>
      </c>
      <c r="X755">
        <v>0</v>
      </c>
      <c r="Y755">
        <v>0</v>
      </c>
      <c r="Z755">
        <v>0</v>
      </c>
      <c r="AA755">
        <v>0</v>
      </c>
      <c r="AB755">
        <v>0</v>
      </c>
      <c r="AC755">
        <v>0</v>
      </c>
      <c r="AD755">
        <v>0</v>
      </c>
      <c r="AF755">
        <v>0</v>
      </c>
      <c r="AG755">
        <v>0</v>
      </c>
      <c r="AH755">
        <v>0</v>
      </c>
      <c r="AI755">
        <v>0</v>
      </c>
      <c r="AJ755">
        <v>0</v>
      </c>
      <c r="AK755">
        <v>0</v>
      </c>
      <c r="AL755">
        <v>0</v>
      </c>
      <c r="AM755">
        <v>0</v>
      </c>
      <c r="AN755">
        <v>0</v>
      </c>
      <c r="AO755">
        <v>0</v>
      </c>
      <c r="AP755">
        <v>0</v>
      </c>
      <c r="AQ755">
        <v>0</v>
      </c>
      <c r="AR755">
        <v>0</v>
      </c>
      <c r="AS755">
        <v>0</v>
      </c>
      <c r="AT755">
        <v>0</v>
      </c>
      <c r="AU755">
        <v>0</v>
      </c>
      <c r="AV755">
        <v>0</v>
      </c>
      <c r="AW755">
        <v>0</v>
      </c>
      <c r="AX755">
        <v>0</v>
      </c>
      <c r="AY755">
        <v>0</v>
      </c>
      <c r="AZ755">
        <v>0</v>
      </c>
      <c r="BA755">
        <v>0</v>
      </c>
      <c r="BB755">
        <v>0</v>
      </c>
      <c r="BC755">
        <v>0</v>
      </c>
      <c r="BD755">
        <v>0</v>
      </c>
      <c r="BE755">
        <v>0</v>
      </c>
      <c r="BF755">
        <v>0</v>
      </c>
      <c r="BG755">
        <v>0</v>
      </c>
      <c r="BH755">
        <v>0</v>
      </c>
      <c r="BI755">
        <v>0</v>
      </c>
      <c r="BK755" s="151"/>
    </row>
    <row r="756" spans="1:63" x14ac:dyDescent="0.35">
      <c r="A756">
        <v>0</v>
      </c>
      <c r="B756">
        <v>0</v>
      </c>
      <c r="C756">
        <v>0</v>
      </c>
      <c r="D756">
        <v>0</v>
      </c>
      <c r="E756">
        <v>0</v>
      </c>
      <c r="F756">
        <v>0</v>
      </c>
      <c r="G756">
        <v>0</v>
      </c>
      <c r="H756">
        <v>0</v>
      </c>
      <c r="I756">
        <v>0</v>
      </c>
      <c r="J756">
        <v>0</v>
      </c>
      <c r="K756">
        <v>0</v>
      </c>
      <c r="L756">
        <v>0</v>
      </c>
      <c r="M756">
        <v>0</v>
      </c>
      <c r="N756">
        <v>0</v>
      </c>
      <c r="O756">
        <v>0</v>
      </c>
      <c r="P756">
        <v>0</v>
      </c>
      <c r="Q756">
        <v>0</v>
      </c>
      <c r="R756">
        <v>0</v>
      </c>
      <c r="S756">
        <v>0</v>
      </c>
      <c r="T756">
        <v>0</v>
      </c>
      <c r="U756">
        <v>0</v>
      </c>
      <c r="V756">
        <v>0</v>
      </c>
      <c r="W756">
        <v>0</v>
      </c>
      <c r="X756">
        <v>0</v>
      </c>
      <c r="Y756">
        <v>0</v>
      </c>
      <c r="Z756">
        <v>0</v>
      </c>
      <c r="AA756">
        <v>0</v>
      </c>
      <c r="AB756">
        <v>0</v>
      </c>
      <c r="AC756">
        <v>0</v>
      </c>
      <c r="AD756">
        <v>0</v>
      </c>
      <c r="AF756">
        <v>0</v>
      </c>
      <c r="AG756">
        <v>0</v>
      </c>
      <c r="AH756">
        <v>0</v>
      </c>
      <c r="AI756">
        <v>0</v>
      </c>
      <c r="AJ756">
        <v>0</v>
      </c>
      <c r="AK756">
        <v>0</v>
      </c>
      <c r="AL756">
        <v>0</v>
      </c>
      <c r="AM756">
        <v>0</v>
      </c>
      <c r="AN756">
        <v>0</v>
      </c>
      <c r="AO756">
        <v>0</v>
      </c>
      <c r="AP756">
        <v>0</v>
      </c>
      <c r="AQ756">
        <v>0</v>
      </c>
      <c r="AR756">
        <v>0</v>
      </c>
      <c r="AS756">
        <v>0</v>
      </c>
      <c r="AT756">
        <v>0</v>
      </c>
      <c r="AU756">
        <v>0</v>
      </c>
      <c r="AV756">
        <v>0</v>
      </c>
      <c r="AW756">
        <v>0</v>
      </c>
      <c r="AX756">
        <v>0</v>
      </c>
      <c r="AY756">
        <v>0</v>
      </c>
      <c r="AZ756">
        <v>0</v>
      </c>
      <c r="BA756">
        <v>0</v>
      </c>
      <c r="BB756">
        <v>0</v>
      </c>
      <c r="BC756">
        <v>0</v>
      </c>
      <c r="BD756">
        <v>0</v>
      </c>
      <c r="BE756">
        <v>0</v>
      </c>
      <c r="BF756">
        <v>0</v>
      </c>
      <c r="BG756">
        <v>0</v>
      </c>
      <c r="BH756">
        <v>0</v>
      </c>
      <c r="BI756">
        <v>0</v>
      </c>
      <c r="BK756" s="151"/>
    </row>
    <row r="757" spans="1:63" x14ac:dyDescent="0.35">
      <c r="A757">
        <v>0</v>
      </c>
      <c r="B757">
        <v>0</v>
      </c>
      <c r="C757">
        <v>0</v>
      </c>
      <c r="D757">
        <v>0</v>
      </c>
      <c r="E757">
        <v>0</v>
      </c>
      <c r="F757">
        <v>0</v>
      </c>
      <c r="G757">
        <v>0</v>
      </c>
      <c r="H757">
        <v>0</v>
      </c>
      <c r="I757">
        <v>0</v>
      </c>
      <c r="J757">
        <v>0</v>
      </c>
      <c r="K757">
        <v>0</v>
      </c>
      <c r="L757">
        <v>0</v>
      </c>
      <c r="M757">
        <v>0</v>
      </c>
      <c r="N757">
        <v>0</v>
      </c>
      <c r="O757">
        <v>0</v>
      </c>
      <c r="P757">
        <v>0</v>
      </c>
      <c r="Q757">
        <v>0</v>
      </c>
      <c r="R757">
        <v>0</v>
      </c>
      <c r="S757">
        <v>0</v>
      </c>
      <c r="T757">
        <v>0</v>
      </c>
      <c r="U757">
        <v>0</v>
      </c>
      <c r="V757">
        <v>0</v>
      </c>
      <c r="W757">
        <v>0</v>
      </c>
      <c r="X757">
        <v>0</v>
      </c>
      <c r="Y757">
        <v>0</v>
      </c>
      <c r="Z757">
        <v>0</v>
      </c>
      <c r="AA757">
        <v>0</v>
      </c>
      <c r="AB757">
        <v>0</v>
      </c>
      <c r="AC757">
        <v>0</v>
      </c>
      <c r="AD757">
        <v>0</v>
      </c>
      <c r="AF757">
        <v>0</v>
      </c>
      <c r="AG757">
        <v>0</v>
      </c>
      <c r="AH757">
        <v>0</v>
      </c>
      <c r="AI757">
        <v>0</v>
      </c>
      <c r="AJ757">
        <v>0</v>
      </c>
      <c r="AK757">
        <v>0</v>
      </c>
      <c r="AL757">
        <v>0</v>
      </c>
      <c r="AM757">
        <v>0</v>
      </c>
      <c r="AN757">
        <v>0</v>
      </c>
      <c r="AO757">
        <v>0</v>
      </c>
      <c r="AP757">
        <v>0</v>
      </c>
      <c r="AQ757">
        <v>0</v>
      </c>
      <c r="AR757">
        <v>0</v>
      </c>
      <c r="AS757">
        <v>0</v>
      </c>
      <c r="AT757">
        <v>0</v>
      </c>
      <c r="AU757">
        <v>0</v>
      </c>
      <c r="AV757">
        <v>0</v>
      </c>
      <c r="AW757">
        <v>0</v>
      </c>
      <c r="AX757">
        <v>0</v>
      </c>
      <c r="AY757">
        <v>0</v>
      </c>
      <c r="AZ757">
        <v>0</v>
      </c>
      <c r="BA757">
        <v>0</v>
      </c>
      <c r="BB757">
        <v>0</v>
      </c>
      <c r="BC757">
        <v>0</v>
      </c>
      <c r="BD757">
        <v>0</v>
      </c>
      <c r="BE757">
        <v>0</v>
      </c>
      <c r="BF757">
        <v>0</v>
      </c>
      <c r="BG757">
        <v>0</v>
      </c>
      <c r="BH757">
        <v>0</v>
      </c>
      <c r="BI757">
        <v>0</v>
      </c>
      <c r="BK757" s="151"/>
    </row>
    <row r="758" spans="1:63" x14ac:dyDescent="0.35">
      <c r="A758">
        <v>0</v>
      </c>
      <c r="B758">
        <v>0</v>
      </c>
      <c r="C758">
        <v>0</v>
      </c>
      <c r="D758">
        <v>0</v>
      </c>
      <c r="E758">
        <v>0</v>
      </c>
      <c r="F758">
        <v>0</v>
      </c>
      <c r="G758">
        <v>0</v>
      </c>
      <c r="H758">
        <v>0</v>
      </c>
      <c r="I758">
        <v>0</v>
      </c>
      <c r="J758">
        <v>0</v>
      </c>
      <c r="K758">
        <v>0</v>
      </c>
      <c r="L758">
        <v>0</v>
      </c>
      <c r="M758">
        <v>0</v>
      </c>
      <c r="N758">
        <v>0</v>
      </c>
      <c r="O758">
        <v>0</v>
      </c>
      <c r="P758">
        <v>0</v>
      </c>
      <c r="Q758">
        <v>0</v>
      </c>
      <c r="R758">
        <v>0</v>
      </c>
      <c r="S758">
        <v>0</v>
      </c>
      <c r="T758">
        <v>0</v>
      </c>
      <c r="U758">
        <v>0</v>
      </c>
      <c r="V758">
        <v>0</v>
      </c>
      <c r="W758">
        <v>0</v>
      </c>
      <c r="X758">
        <v>0</v>
      </c>
      <c r="Y758">
        <v>0</v>
      </c>
      <c r="Z758">
        <v>0</v>
      </c>
      <c r="AA758">
        <v>0</v>
      </c>
      <c r="AB758">
        <v>0</v>
      </c>
      <c r="AC758">
        <v>0</v>
      </c>
      <c r="AD758">
        <v>0</v>
      </c>
      <c r="AF758">
        <v>0</v>
      </c>
      <c r="AG758">
        <v>0</v>
      </c>
      <c r="AH758">
        <v>0</v>
      </c>
      <c r="AI758">
        <v>0</v>
      </c>
      <c r="AJ758">
        <v>0</v>
      </c>
      <c r="AK758">
        <v>0</v>
      </c>
      <c r="AL758">
        <v>0</v>
      </c>
      <c r="AM758">
        <v>0</v>
      </c>
      <c r="AN758">
        <v>0</v>
      </c>
      <c r="AO758">
        <v>0</v>
      </c>
      <c r="AP758">
        <v>0</v>
      </c>
      <c r="AQ758">
        <v>0</v>
      </c>
      <c r="AR758">
        <v>0</v>
      </c>
      <c r="AS758">
        <v>0</v>
      </c>
      <c r="AT758">
        <v>0</v>
      </c>
      <c r="AU758">
        <v>0</v>
      </c>
      <c r="AV758">
        <v>0</v>
      </c>
      <c r="AW758">
        <v>0</v>
      </c>
      <c r="AX758">
        <v>0</v>
      </c>
      <c r="AY758">
        <v>0</v>
      </c>
      <c r="AZ758">
        <v>0</v>
      </c>
      <c r="BA758">
        <v>0</v>
      </c>
      <c r="BB758">
        <v>0</v>
      </c>
      <c r="BC758">
        <v>0</v>
      </c>
      <c r="BD758">
        <v>0</v>
      </c>
      <c r="BE758">
        <v>0</v>
      </c>
      <c r="BF758">
        <v>0</v>
      </c>
      <c r="BG758">
        <v>0</v>
      </c>
      <c r="BH758">
        <v>0</v>
      </c>
      <c r="BI758">
        <v>0</v>
      </c>
      <c r="BK758" s="151"/>
    </row>
    <row r="759" spans="1:63" x14ac:dyDescent="0.35">
      <c r="A759">
        <v>0</v>
      </c>
      <c r="B759">
        <v>0</v>
      </c>
      <c r="C759">
        <v>0</v>
      </c>
      <c r="D759">
        <v>0</v>
      </c>
      <c r="E759">
        <v>0</v>
      </c>
      <c r="F759">
        <v>0</v>
      </c>
      <c r="G759">
        <v>0</v>
      </c>
      <c r="H759">
        <v>0</v>
      </c>
      <c r="I759">
        <v>0</v>
      </c>
      <c r="J759">
        <v>0</v>
      </c>
      <c r="K759">
        <v>0</v>
      </c>
      <c r="L759">
        <v>0</v>
      </c>
      <c r="M759">
        <v>0</v>
      </c>
      <c r="N759">
        <v>0</v>
      </c>
      <c r="O759">
        <v>0</v>
      </c>
      <c r="P759">
        <v>0</v>
      </c>
      <c r="Q759">
        <v>0</v>
      </c>
      <c r="R759">
        <v>0</v>
      </c>
      <c r="S759">
        <v>0</v>
      </c>
      <c r="T759">
        <v>0</v>
      </c>
      <c r="U759">
        <v>0</v>
      </c>
      <c r="V759">
        <v>0</v>
      </c>
      <c r="W759">
        <v>0</v>
      </c>
      <c r="X759">
        <v>0</v>
      </c>
      <c r="Y759">
        <v>0</v>
      </c>
      <c r="Z759">
        <v>0</v>
      </c>
      <c r="AA759">
        <v>0</v>
      </c>
      <c r="AB759">
        <v>0</v>
      </c>
      <c r="AC759">
        <v>0</v>
      </c>
      <c r="AD759">
        <v>0</v>
      </c>
      <c r="AF759">
        <v>0</v>
      </c>
      <c r="AG759">
        <v>0</v>
      </c>
      <c r="AH759">
        <v>0</v>
      </c>
      <c r="AI759">
        <v>0</v>
      </c>
      <c r="AJ759">
        <v>0</v>
      </c>
      <c r="AK759">
        <v>0</v>
      </c>
      <c r="AL759">
        <v>0</v>
      </c>
      <c r="AM759">
        <v>0</v>
      </c>
      <c r="AN759">
        <v>0</v>
      </c>
      <c r="AO759">
        <v>0</v>
      </c>
      <c r="AP759">
        <v>0</v>
      </c>
      <c r="AQ759">
        <v>0</v>
      </c>
      <c r="AR759">
        <v>0</v>
      </c>
      <c r="AS759">
        <v>0</v>
      </c>
      <c r="AT759">
        <v>0</v>
      </c>
      <c r="AU759">
        <v>0</v>
      </c>
      <c r="AV759">
        <v>0</v>
      </c>
      <c r="AW759">
        <v>0</v>
      </c>
      <c r="AX759">
        <v>0</v>
      </c>
      <c r="AY759">
        <v>0</v>
      </c>
      <c r="AZ759">
        <v>0</v>
      </c>
      <c r="BA759">
        <v>0</v>
      </c>
      <c r="BB759">
        <v>0</v>
      </c>
      <c r="BC759">
        <v>0</v>
      </c>
      <c r="BD759">
        <v>0</v>
      </c>
      <c r="BE759">
        <v>0</v>
      </c>
      <c r="BF759">
        <v>0</v>
      </c>
      <c r="BG759">
        <v>0</v>
      </c>
      <c r="BH759">
        <v>0</v>
      </c>
      <c r="BI759">
        <v>0</v>
      </c>
      <c r="BK759" s="151"/>
    </row>
    <row r="760" spans="1:63" x14ac:dyDescent="0.35">
      <c r="A760">
        <v>0</v>
      </c>
      <c r="B760">
        <v>0</v>
      </c>
      <c r="C760">
        <v>0</v>
      </c>
      <c r="D760">
        <v>0</v>
      </c>
      <c r="E760">
        <v>0</v>
      </c>
      <c r="F760">
        <v>0</v>
      </c>
      <c r="G760">
        <v>0</v>
      </c>
      <c r="H760">
        <v>0</v>
      </c>
      <c r="I760">
        <v>0</v>
      </c>
      <c r="J760">
        <v>0</v>
      </c>
      <c r="K760">
        <v>0</v>
      </c>
      <c r="L760">
        <v>0</v>
      </c>
      <c r="M760">
        <v>0</v>
      </c>
      <c r="N760">
        <v>0</v>
      </c>
      <c r="O760">
        <v>0</v>
      </c>
      <c r="P760">
        <v>0</v>
      </c>
      <c r="Q760">
        <v>0</v>
      </c>
      <c r="R760">
        <v>0</v>
      </c>
      <c r="S760">
        <v>0</v>
      </c>
      <c r="T760">
        <v>0</v>
      </c>
      <c r="U760">
        <v>0</v>
      </c>
      <c r="V760">
        <v>0</v>
      </c>
      <c r="W760">
        <v>0</v>
      </c>
      <c r="X760">
        <v>0</v>
      </c>
      <c r="Y760">
        <v>0</v>
      </c>
      <c r="Z760">
        <v>0</v>
      </c>
      <c r="AA760">
        <v>0</v>
      </c>
      <c r="AB760">
        <v>0</v>
      </c>
      <c r="AC760">
        <v>0</v>
      </c>
      <c r="AD760">
        <v>0</v>
      </c>
      <c r="AF760">
        <v>0</v>
      </c>
      <c r="AG760">
        <v>0</v>
      </c>
      <c r="AH760">
        <v>0</v>
      </c>
      <c r="AI760">
        <v>0</v>
      </c>
      <c r="AJ760">
        <v>0</v>
      </c>
      <c r="AK760">
        <v>0</v>
      </c>
      <c r="AL760">
        <v>0</v>
      </c>
      <c r="AM760">
        <v>0</v>
      </c>
      <c r="AN760">
        <v>0</v>
      </c>
      <c r="AO760">
        <v>0</v>
      </c>
      <c r="AP760">
        <v>0</v>
      </c>
      <c r="AQ760">
        <v>0</v>
      </c>
      <c r="AR760">
        <v>0</v>
      </c>
      <c r="AS760">
        <v>0</v>
      </c>
      <c r="AT760">
        <v>0</v>
      </c>
      <c r="AU760">
        <v>0</v>
      </c>
      <c r="AV760">
        <v>0</v>
      </c>
      <c r="AW760">
        <v>0</v>
      </c>
      <c r="AX760">
        <v>0</v>
      </c>
      <c r="AY760">
        <v>0</v>
      </c>
      <c r="AZ760">
        <v>0</v>
      </c>
      <c r="BA760">
        <v>0</v>
      </c>
      <c r="BB760">
        <v>0</v>
      </c>
      <c r="BC760">
        <v>0</v>
      </c>
      <c r="BD760">
        <v>0</v>
      </c>
      <c r="BE760">
        <v>0</v>
      </c>
      <c r="BF760">
        <v>0</v>
      </c>
      <c r="BG760">
        <v>0</v>
      </c>
      <c r="BH760">
        <v>0</v>
      </c>
      <c r="BI760">
        <v>0</v>
      </c>
      <c r="BK760" s="151"/>
    </row>
    <row r="761" spans="1:63" x14ac:dyDescent="0.35">
      <c r="A761">
        <v>0</v>
      </c>
      <c r="B761">
        <v>0</v>
      </c>
      <c r="C761">
        <v>0</v>
      </c>
      <c r="D761">
        <v>0</v>
      </c>
      <c r="E761">
        <v>0</v>
      </c>
      <c r="F761">
        <v>0</v>
      </c>
      <c r="G761">
        <v>0</v>
      </c>
      <c r="H761">
        <v>0</v>
      </c>
      <c r="I761">
        <v>0</v>
      </c>
      <c r="J761">
        <v>0</v>
      </c>
      <c r="K761">
        <v>0</v>
      </c>
      <c r="L761">
        <v>0</v>
      </c>
      <c r="M761">
        <v>0</v>
      </c>
      <c r="N761">
        <v>0</v>
      </c>
      <c r="O761">
        <v>0</v>
      </c>
      <c r="P761">
        <v>0</v>
      </c>
      <c r="Q761">
        <v>0</v>
      </c>
      <c r="R761">
        <v>0</v>
      </c>
      <c r="S761">
        <v>0</v>
      </c>
      <c r="T761">
        <v>0</v>
      </c>
      <c r="U761">
        <v>0</v>
      </c>
      <c r="V761">
        <v>0</v>
      </c>
      <c r="W761">
        <v>0</v>
      </c>
      <c r="X761">
        <v>0</v>
      </c>
      <c r="Y761">
        <v>0</v>
      </c>
      <c r="Z761">
        <v>0</v>
      </c>
      <c r="AA761">
        <v>0</v>
      </c>
      <c r="AB761">
        <v>0</v>
      </c>
      <c r="AC761">
        <v>0</v>
      </c>
      <c r="AD761">
        <v>0</v>
      </c>
      <c r="AF761">
        <v>0</v>
      </c>
      <c r="AG761">
        <v>0</v>
      </c>
      <c r="AH761">
        <v>0</v>
      </c>
      <c r="AI761">
        <v>0</v>
      </c>
      <c r="AJ761">
        <v>0</v>
      </c>
      <c r="AK761">
        <v>0</v>
      </c>
      <c r="AL761">
        <v>0</v>
      </c>
      <c r="AM761">
        <v>0</v>
      </c>
      <c r="AN761">
        <v>0</v>
      </c>
      <c r="AO761">
        <v>0</v>
      </c>
      <c r="AP761">
        <v>0</v>
      </c>
      <c r="AQ761">
        <v>0</v>
      </c>
      <c r="AR761">
        <v>0</v>
      </c>
      <c r="AS761">
        <v>0</v>
      </c>
      <c r="AT761">
        <v>0</v>
      </c>
      <c r="AU761">
        <v>0</v>
      </c>
      <c r="AV761">
        <v>0</v>
      </c>
      <c r="AW761">
        <v>0</v>
      </c>
      <c r="AX761">
        <v>0</v>
      </c>
      <c r="AY761">
        <v>0</v>
      </c>
      <c r="AZ761">
        <v>0</v>
      </c>
      <c r="BA761">
        <v>0</v>
      </c>
      <c r="BB761">
        <v>0</v>
      </c>
      <c r="BC761">
        <v>0</v>
      </c>
      <c r="BD761">
        <v>0</v>
      </c>
      <c r="BE761">
        <v>0</v>
      </c>
      <c r="BF761">
        <v>0</v>
      </c>
      <c r="BG761">
        <v>0</v>
      </c>
      <c r="BH761">
        <v>0</v>
      </c>
      <c r="BI761">
        <v>0</v>
      </c>
      <c r="BK761" s="151"/>
    </row>
    <row r="762" spans="1:63" x14ac:dyDescent="0.35">
      <c r="A762">
        <v>0</v>
      </c>
      <c r="B762">
        <v>0</v>
      </c>
      <c r="C762">
        <v>0</v>
      </c>
      <c r="D762">
        <v>0</v>
      </c>
      <c r="E762">
        <v>0</v>
      </c>
      <c r="F762">
        <v>0</v>
      </c>
      <c r="G762">
        <v>0</v>
      </c>
      <c r="H762">
        <v>0</v>
      </c>
      <c r="I762">
        <v>0</v>
      </c>
      <c r="J762">
        <v>0</v>
      </c>
      <c r="K762">
        <v>0</v>
      </c>
      <c r="L762">
        <v>0</v>
      </c>
      <c r="M762">
        <v>0</v>
      </c>
      <c r="N762">
        <v>0</v>
      </c>
      <c r="O762">
        <v>0</v>
      </c>
      <c r="P762">
        <v>0</v>
      </c>
      <c r="Q762">
        <v>0</v>
      </c>
      <c r="R762">
        <v>0</v>
      </c>
      <c r="S762">
        <v>0</v>
      </c>
      <c r="T762">
        <v>0</v>
      </c>
      <c r="U762">
        <v>0</v>
      </c>
      <c r="V762">
        <v>0</v>
      </c>
      <c r="W762">
        <v>0</v>
      </c>
      <c r="X762">
        <v>0</v>
      </c>
      <c r="Y762">
        <v>0</v>
      </c>
      <c r="Z762">
        <v>0</v>
      </c>
      <c r="AA762">
        <v>0</v>
      </c>
      <c r="AB762">
        <v>0</v>
      </c>
      <c r="AC762">
        <v>0</v>
      </c>
      <c r="AD762">
        <v>0</v>
      </c>
      <c r="AF762">
        <v>0</v>
      </c>
      <c r="AG762">
        <v>0</v>
      </c>
      <c r="AH762">
        <v>0</v>
      </c>
      <c r="AI762">
        <v>0</v>
      </c>
      <c r="AJ762">
        <v>0</v>
      </c>
      <c r="AK762">
        <v>0</v>
      </c>
      <c r="AL762">
        <v>0</v>
      </c>
      <c r="AM762">
        <v>0</v>
      </c>
      <c r="AN762">
        <v>0</v>
      </c>
      <c r="AO762">
        <v>0</v>
      </c>
      <c r="AP762">
        <v>0</v>
      </c>
      <c r="AQ762">
        <v>0</v>
      </c>
      <c r="AR762">
        <v>0</v>
      </c>
      <c r="AS762">
        <v>0</v>
      </c>
      <c r="AT762">
        <v>0</v>
      </c>
      <c r="AU762">
        <v>0</v>
      </c>
      <c r="AV762">
        <v>0</v>
      </c>
      <c r="AW762">
        <v>0</v>
      </c>
      <c r="AX762">
        <v>0</v>
      </c>
      <c r="AY762">
        <v>0</v>
      </c>
      <c r="AZ762">
        <v>0</v>
      </c>
      <c r="BA762">
        <v>0</v>
      </c>
      <c r="BB762">
        <v>0</v>
      </c>
      <c r="BC762">
        <v>0</v>
      </c>
      <c r="BD762">
        <v>0</v>
      </c>
      <c r="BE762">
        <v>0</v>
      </c>
      <c r="BF762">
        <v>0</v>
      </c>
      <c r="BG762">
        <v>0</v>
      </c>
      <c r="BH762">
        <v>0</v>
      </c>
      <c r="BI762">
        <v>0</v>
      </c>
      <c r="BK762" s="151"/>
    </row>
    <row r="763" spans="1:63" x14ac:dyDescent="0.35">
      <c r="A763">
        <v>0</v>
      </c>
      <c r="B763">
        <v>0</v>
      </c>
      <c r="C763">
        <v>0</v>
      </c>
      <c r="D763">
        <v>0</v>
      </c>
      <c r="E763">
        <v>0</v>
      </c>
      <c r="F763">
        <v>0</v>
      </c>
      <c r="G763">
        <v>0</v>
      </c>
      <c r="H763">
        <v>0</v>
      </c>
      <c r="I763">
        <v>0</v>
      </c>
      <c r="J763">
        <v>0</v>
      </c>
      <c r="K763">
        <v>0</v>
      </c>
      <c r="L763">
        <v>0</v>
      </c>
      <c r="M763">
        <v>0</v>
      </c>
      <c r="N763">
        <v>0</v>
      </c>
      <c r="O763">
        <v>0</v>
      </c>
      <c r="P763">
        <v>0</v>
      </c>
      <c r="Q763">
        <v>0</v>
      </c>
      <c r="R763">
        <v>0</v>
      </c>
      <c r="S763">
        <v>0</v>
      </c>
      <c r="T763">
        <v>0</v>
      </c>
      <c r="U763">
        <v>0</v>
      </c>
      <c r="V763">
        <v>0</v>
      </c>
      <c r="W763">
        <v>0</v>
      </c>
      <c r="X763">
        <v>0</v>
      </c>
      <c r="Y763">
        <v>0</v>
      </c>
      <c r="Z763">
        <v>0</v>
      </c>
      <c r="AA763">
        <v>0</v>
      </c>
      <c r="AB763">
        <v>0</v>
      </c>
      <c r="AC763">
        <v>0</v>
      </c>
      <c r="AD763">
        <v>0</v>
      </c>
      <c r="AF763">
        <v>0</v>
      </c>
      <c r="AG763">
        <v>0</v>
      </c>
      <c r="AH763">
        <v>0</v>
      </c>
      <c r="AI763">
        <v>0</v>
      </c>
      <c r="AJ763">
        <v>0</v>
      </c>
      <c r="AK763">
        <v>0</v>
      </c>
      <c r="AL763">
        <v>0</v>
      </c>
      <c r="AM763">
        <v>0</v>
      </c>
      <c r="AN763">
        <v>0</v>
      </c>
      <c r="AO763">
        <v>0</v>
      </c>
      <c r="AP763">
        <v>0</v>
      </c>
      <c r="AQ763">
        <v>0</v>
      </c>
      <c r="AR763">
        <v>0</v>
      </c>
      <c r="AS763">
        <v>0</v>
      </c>
      <c r="AT763">
        <v>0</v>
      </c>
      <c r="AU763">
        <v>0</v>
      </c>
      <c r="AV763">
        <v>0</v>
      </c>
      <c r="AW763">
        <v>0</v>
      </c>
      <c r="AX763">
        <v>0</v>
      </c>
      <c r="AY763">
        <v>0</v>
      </c>
      <c r="AZ763">
        <v>0</v>
      </c>
      <c r="BA763">
        <v>0</v>
      </c>
      <c r="BB763">
        <v>0</v>
      </c>
      <c r="BC763">
        <v>0</v>
      </c>
      <c r="BD763">
        <v>0</v>
      </c>
      <c r="BE763">
        <v>0</v>
      </c>
      <c r="BF763">
        <v>0</v>
      </c>
      <c r="BG763">
        <v>0</v>
      </c>
      <c r="BH763">
        <v>0</v>
      </c>
      <c r="BI763">
        <v>0</v>
      </c>
      <c r="BK763" s="151"/>
    </row>
    <row r="764" spans="1:63" x14ac:dyDescent="0.35">
      <c r="A764">
        <v>0</v>
      </c>
      <c r="B764">
        <v>0</v>
      </c>
      <c r="C764">
        <v>0</v>
      </c>
      <c r="D764">
        <v>0</v>
      </c>
      <c r="E764">
        <v>0</v>
      </c>
      <c r="F764">
        <v>0</v>
      </c>
      <c r="G764">
        <v>0</v>
      </c>
      <c r="H764">
        <v>0</v>
      </c>
      <c r="I764">
        <v>0</v>
      </c>
      <c r="J764">
        <v>0</v>
      </c>
      <c r="K764">
        <v>0</v>
      </c>
      <c r="L764">
        <v>0</v>
      </c>
      <c r="M764">
        <v>0</v>
      </c>
      <c r="N764">
        <v>0</v>
      </c>
      <c r="O764">
        <v>0</v>
      </c>
      <c r="P764">
        <v>0</v>
      </c>
      <c r="Q764">
        <v>0</v>
      </c>
      <c r="R764">
        <v>0</v>
      </c>
      <c r="S764">
        <v>0</v>
      </c>
      <c r="T764">
        <v>0</v>
      </c>
      <c r="U764">
        <v>0</v>
      </c>
      <c r="V764">
        <v>0</v>
      </c>
      <c r="W764">
        <v>0</v>
      </c>
      <c r="X764">
        <v>0</v>
      </c>
      <c r="Y764">
        <v>0</v>
      </c>
      <c r="Z764">
        <v>0</v>
      </c>
      <c r="AA764">
        <v>0</v>
      </c>
      <c r="AB764">
        <v>0</v>
      </c>
      <c r="AC764">
        <v>0</v>
      </c>
      <c r="AD764">
        <v>0</v>
      </c>
      <c r="AF764">
        <v>0</v>
      </c>
      <c r="AG764">
        <v>0</v>
      </c>
      <c r="AH764">
        <v>0</v>
      </c>
      <c r="AI764">
        <v>0</v>
      </c>
      <c r="AJ764">
        <v>0</v>
      </c>
      <c r="AK764">
        <v>0</v>
      </c>
      <c r="AL764">
        <v>0</v>
      </c>
      <c r="AM764">
        <v>0</v>
      </c>
      <c r="AN764">
        <v>0</v>
      </c>
      <c r="AO764">
        <v>0</v>
      </c>
      <c r="AP764">
        <v>0</v>
      </c>
      <c r="AQ764">
        <v>0</v>
      </c>
      <c r="AR764">
        <v>0</v>
      </c>
      <c r="AS764">
        <v>0</v>
      </c>
      <c r="AT764">
        <v>0</v>
      </c>
      <c r="AU764">
        <v>0</v>
      </c>
      <c r="AV764">
        <v>0</v>
      </c>
      <c r="AW764">
        <v>0</v>
      </c>
      <c r="AX764">
        <v>0</v>
      </c>
      <c r="AY764">
        <v>0</v>
      </c>
      <c r="AZ764">
        <v>0</v>
      </c>
      <c r="BA764">
        <v>0</v>
      </c>
      <c r="BB764">
        <v>0</v>
      </c>
      <c r="BC764">
        <v>0</v>
      </c>
      <c r="BD764">
        <v>0</v>
      </c>
      <c r="BE764">
        <v>0</v>
      </c>
      <c r="BF764">
        <v>0</v>
      </c>
      <c r="BG764">
        <v>0</v>
      </c>
      <c r="BH764">
        <v>0</v>
      </c>
      <c r="BI764">
        <v>0</v>
      </c>
      <c r="BK764" s="151"/>
    </row>
    <row r="765" spans="1:63" x14ac:dyDescent="0.35">
      <c r="A765">
        <v>0</v>
      </c>
      <c r="B765">
        <v>0</v>
      </c>
      <c r="C765">
        <v>0</v>
      </c>
      <c r="D765">
        <v>0</v>
      </c>
      <c r="E765">
        <v>0</v>
      </c>
      <c r="F765">
        <v>0</v>
      </c>
      <c r="G765">
        <v>0</v>
      </c>
      <c r="H765">
        <v>0</v>
      </c>
      <c r="I765">
        <v>0</v>
      </c>
      <c r="J765">
        <v>0</v>
      </c>
      <c r="K765">
        <v>0</v>
      </c>
      <c r="L765">
        <v>0</v>
      </c>
      <c r="M765">
        <v>0</v>
      </c>
      <c r="N765">
        <v>0</v>
      </c>
      <c r="O765">
        <v>0</v>
      </c>
      <c r="P765">
        <v>0</v>
      </c>
      <c r="Q765">
        <v>0</v>
      </c>
      <c r="R765">
        <v>0</v>
      </c>
      <c r="S765">
        <v>0</v>
      </c>
      <c r="T765">
        <v>0</v>
      </c>
      <c r="U765">
        <v>0</v>
      </c>
      <c r="V765">
        <v>0</v>
      </c>
      <c r="W765">
        <v>0</v>
      </c>
      <c r="X765">
        <v>0</v>
      </c>
      <c r="Y765">
        <v>0</v>
      </c>
      <c r="Z765">
        <v>0</v>
      </c>
      <c r="AA765">
        <v>0</v>
      </c>
      <c r="AB765">
        <v>0</v>
      </c>
      <c r="AC765">
        <v>0</v>
      </c>
      <c r="AD765">
        <v>0</v>
      </c>
      <c r="AF765">
        <v>0</v>
      </c>
      <c r="AG765">
        <v>0</v>
      </c>
      <c r="AH765">
        <v>0</v>
      </c>
      <c r="AI765">
        <v>0</v>
      </c>
      <c r="AJ765">
        <v>0</v>
      </c>
      <c r="AK765">
        <v>0</v>
      </c>
      <c r="AL765">
        <v>0</v>
      </c>
      <c r="AM765">
        <v>0</v>
      </c>
      <c r="AN765">
        <v>0</v>
      </c>
      <c r="AO765">
        <v>0</v>
      </c>
      <c r="AP765">
        <v>0</v>
      </c>
      <c r="AQ765">
        <v>0</v>
      </c>
      <c r="AR765">
        <v>0</v>
      </c>
      <c r="AS765">
        <v>0</v>
      </c>
      <c r="AT765">
        <v>0</v>
      </c>
      <c r="AU765">
        <v>0</v>
      </c>
      <c r="AV765">
        <v>0</v>
      </c>
      <c r="AW765">
        <v>0</v>
      </c>
      <c r="AX765">
        <v>0</v>
      </c>
      <c r="AY765">
        <v>0</v>
      </c>
      <c r="AZ765">
        <v>0</v>
      </c>
      <c r="BA765">
        <v>0</v>
      </c>
      <c r="BB765">
        <v>0</v>
      </c>
      <c r="BC765">
        <v>0</v>
      </c>
      <c r="BD765">
        <v>0</v>
      </c>
      <c r="BE765">
        <v>0</v>
      </c>
      <c r="BF765">
        <v>0</v>
      </c>
      <c r="BG765">
        <v>0</v>
      </c>
      <c r="BH765">
        <v>0</v>
      </c>
      <c r="BI765">
        <v>0</v>
      </c>
      <c r="BK765" s="151"/>
    </row>
    <row r="766" spans="1:63" x14ac:dyDescent="0.35">
      <c r="A766">
        <v>0</v>
      </c>
      <c r="B766">
        <v>0</v>
      </c>
      <c r="C766">
        <v>0</v>
      </c>
      <c r="D766">
        <v>0</v>
      </c>
      <c r="E766">
        <v>0</v>
      </c>
      <c r="F766">
        <v>0</v>
      </c>
      <c r="G766">
        <v>0</v>
      </c>
      <c r="H766">
        <v>0</v>
      </c>
      <c r="I766">
        <v>0</v>
      </c>
      <c r="J766">
        <v>0</v>
      </c>
      <c r="K766">
        <v>0</v>
      </c>
      <c r="L766">
        <v>0</v>
      </c>
      <c r="M766">
        <v>0</v>
      </c>
      <c r="N766">
        <v>0</v>
      </c>
      <c r="O766">
        <v>0</v>
      </c>
      <c r="P766">
        <v>0</v>
      </c>
      <c r="Q766">
        <v>0</v>
      </c>
      <c r="R766">
        <v>0</v>
      </c>
      <c r="S766">
        <v>0</v>
      </c>
      <c r="T766">
        <v>0</v>
      </c>
      <c r="U766">
        <v>0</v>
      </c>
      <c r="V766">
        <v>0</v>
      </c>
      <c r="W766">
        <v>0</v>
      </c>
      <c r="X766">
        <v>0</v>
      </c>
      <c r="Y766">
        <v>0</v>
      </c>
      <c r="Z766">
        <v>0</v>
      </c>
      <c r="AA766">
        <v>0</v>
      </c>
      <c r="AB766">
        <v>0</v>
      </c>
      <c r="AC766">
        <v>0</v>
      </c>
      <c r="AD766">
        <v>0</v>
      </c>
      <c r="AF766">
        <v>0</v>
      </c>
      <c r="AG766">
        <v>0</v>
      </c>
      <c r="AH766">
        <v>0</v>
      </c>
      <c r="AI766">
        <v>0</v>
      </c>
      <c r="AJ766">
        <v>0</v>
      </c>
      <c r="AK766">
        <v>0</v>
      </c>
      <c r="AL766">
        <v>0</v>
      </c>
      <c r="AM766">
        <v>0</v>
      </c>
      <c r="AN766">
        <v>0</v>
      </c>
      <c r="AO766">
        <v>0</v>
      </c>
      <c r="AP766">
        <v>0</v>
      </c>
      <c r="AQ766">
        <v>0</v>
      </c>
      <c r="AR766">
        <v>0</v>
      </c>
      <c r="AS766">
        <v>0</v>
      </c>
      <c r="AT766">
        <v>0</v>
      </c>
      <c r="AU766">
        <v>0</v>
      </c>
      <c r="AV766">
        <v>0</v>
      </c>
      <c r="AW766">
        <v>0</v>
      </c>
      <c r="AX766">
        <v>0</v>
      </c>
      <c r="AY766">
        <v>0</v>
      </c>
      <c r="AZ766">
        <v>0</v>
      </c>
      <c r="BA766">
        <v>0</v>
      </c>
      <c r="BB766">
        <v>0</v>
      </c>
      <c r="BC766">
        <v>0</v>
      </c>
      <c r="BD766">
        <v>0</v>
      </c>
      <c r="BE766">
        <v>0</v>
      </c>
      <c r="BF766">
        <v>0</v>
      </c>
      <c r="BG766">
        <v>0</v>
      </c>
      <c r="BH766">
        <v>0</v>
      </c>
      <c r="BI766">
        <v>0</v>
      </c>
      <c r="BK766" s="151"/>
    </row>
    <row r="767" spans="1:63" x14ac:dyDescent="0.35">
      <c r="A767">
        <v>0</v>
      </c>
      <c r="B767">
        <v>0</v>
      </c>
      <c r="C767">
        <v>0</v>
      </c>
      <c r="D767">
        <v>0</v>
      </c>
      <c r="E767">
        <v>0</v>
      </c>
      <c r="F767">
        <v>0</v>
      </c>
      <c r="G767">
        <v>0</v>
      </c>
      <c r="H767">
        <v>0</v>
      </c>
      <c r="I767">
        <v>0</v>
      </c>
      <c r="J767">
        <v>0</v>
      </c>
      <c r="K767">
        <v>0</v>
      </c>
      <c r="L767">
        <v>0</v>
      </c>
      <c r="M767">
        <v>0</v>
      </c>
      <c r="N767">
        <v>0</v>
      </c>
      <c r="O767">
        <v>0</v>
      </c>
      <c r="P767">
        <v>0</v>
      </c>
      <c r="Q767">
        <v>0</v>
      </c>
      <c r="R767">
        <v>0</v>
      </c>
      <c r="S767">
        <v>0</v>
      </c>
      <c r="T767">
        <v>0</v>
      </c>
      <c r="U767">
        <v>0</v>
      </c>
      <c r="V767">
        <v>0</v>
      </c>
      <c r="W767">
        <v>0</v>
      </c>
      <c r="X767">
        <v>0</v>
      </c>
      <c r="Y767">
        <v>0</v>
      </c>
      <c r="Z767">
        <v>0</v>
      </c>
      <c r="AA767">
        <v>0</v>
      </c>
      <c r="AB767">
        <v>0</v>
      </c>
      <c r="AC767">
        <v>0</v>
      </c>
      <c r="AD767">
        <v>0</v>
      </c>
      <c r="AF767">
        <v>0</v>
      </c>
      <c r="AG767">
        <v>0</v>
      </c>
      <c r="AH767">
        <v>0</v>
      </c>
      <c r="AI767">
        <v>0</v>
      </c>
      <c r="AJ767">
        <v>0</v>
      </c>
      <c r="AK767">
        <v>0</v>
      </c>
      <c r="AL767">
        <v>0</v>
      </c>
      <c r="AM767">
        <v>0</v>
      </c>
      <c r="AN767">
        <v>0</v>
      </c>
      <c r="AO767">
        <v>0</v>
      </c>
      <c r="AP767">
        <v>0</v>
      </c>
      <c r="AQ767">
        <v>0</v>
      </c>
      <c r="AR767">
        <v>0</v>
      </c>
      <c r="AS767">
        <v>0</v>
      </c>
      <c r="AT767">
        <v>0</v>
      </c>
      <c r="AU767">
        <v>0</v>
      </c>
      <c r="AV767">
        <v>0</v>
      </c>
      <c r="AW767">
        <v>0</v>
      </c>
      <c r="AX767">
        <v>0</v>
      </c>
      <c r="AY767">
        <v>0</v>
      </c>
      <c r="AZ767">
        <v>0</v>
      </c>
      <c r="BA767">
        <v>0</v>
      </c>
      <c r="BB767">
        <v>0</v>
      </c>
      <c r="BC767">
        <v>0</v>
      </c>
      <c r="BD767">
        <v>0</v>
      </c>
      <c r="BE767">
        <v>0</v>
      </c>
      <c r="BF767">
        <v>0</v>
      </c>
      <c r="BG767">
        <v>0</v>
      </c>
      <c r="BH767">
        <v>0</v>
      </c>
      <c r="BI767">
        <v>0</v>
      </c>
      <c r="BK767" s="151"/>
    </row>
    <row r="768" spans="1:63" x14ac:dyDescent="0.35">
      <c r="A768">
        <v>0</v>
      </c>
      <c r="B768">
        <v>0</v>
      </c>
      <c r="C768">
        <v>0</v>
      </c>
      <c r="D768">
        <v>0</v>
      </c>
      <c r="E768">
        <v>0</v>
      </c>
      <c r="F768">
        <v>0</v>
      </c>
      <c r="G768">
        <v>0</v>
      </c>
      <c r="H768">
        <v>0</v>
      </c>
      <c r="I768">
        <v>0</v>
      </c>
      <c r="J768">
        <v>0</v>
      </c>
      <c r="K768">
        <v>0</v>
      </c>
      <c r="L768">
        <v>0</v>
      </c>
      <c r="M768">
        <v>0</v>
      </c>
      <c r="N768">
        <v>0</v>
      </c>
      <c r="O768">
        <v>0</v>
      </c>
      <c r="P768">
        <v>0</v>
      </c>
      <c r="Q768">
        <v>0</v>
      </c>
      <c r="R768">
        <v>0</v>
      </c>
      <c r="S768">
        <v>0</v>
      </c>
      <c r="T768">
        <v>0</v>
      </c>
      <c r="U768">
        <v>0</v>
      </c>
      <c r="V768">
        <v>0</v>
      </c>
      <c r="W768">
        <v>0</v>
      </c>
      <c r="X768">
        <v>0</v>
      </c>
      <c r="Y768">
        <v>0</v>
      </c>
      <c r="Z768">
        <v>0</v>
      </c>
      <c r="AA768">
        <v>0</v>
      </c>
      <c r="AB768">
        <v>0</v>
      </c>
      <c r="AC768">
        <v>0</v>
      </c>
      <c r="AD768">
        <v>0</v>
      </c>
      <c r="AF768">
        <v>0</v>
      </c>
      <c r="AG768">
        <v>0</v>
      </c>
      <c r="AH768">
        <v>0</v>
      </c>
      <c r="AI768">
        <v>0</v>
      </c>
      <c r="AJ768">
        <v>0</v>
      </c>
      <c r="AK768">
        <v>0</v>
      </c>
      <c r="AL768">
        <v>0</v>
      </c>
      <c r="AM768">
        <v>0</v>
      </c>
      <c r="AN768">
        <v>0</v>
      </c>
      <c r="AO768">
        <v>0</v>
      </c>
      <c r="AP768">
        <v>0</v>
      </c>
      <c r="AQ768">
        <v>0</v>
      </c>
      <c r="AR768">
        <v>0</v>
      </c>
      <c r="AS768">
        <v>0</v>
      </c>
      <c r="AT768">
        <v>0</v>
      </c>
      <c r="AU768">
        <v>0</v>
      </c>
      <c r="AV768">
        <v>0</v>
      </c>
      <c r="AW768">
        <v>0</v>
      </c>
      <c r="AX768">
        <v>0</v>
      </c>
      <c r="AY768">
        <v>0</v>
      </c>
      <c r="AZ768">
        <v>0</v>
      </c>
      <c r="BA768">
        <v>0</v>
      </c>
      <c r="BB768">
        <v>0</v>
      </c>
      <c r="BC768">
        <v>0</v>
      </c>
      <c r="BD768">
        <v>0</v>
      </c>
      <c r="BE768">
        <v>0</v>
      </c>
      <c r="BF768">
        <v>0</v>
      </c>
      <c r="BG768">
        <v>0</v>
      </c>
      <c r="BH768">
        <v>0</v>
      </c>
      <c r="BI768">
        <v>0</v>
      </c>
      <c r="BK768" s="151"/>
    </row>
    <row r="769" spans="1:63" x14ac:dyDescent="0.35">
      <c r="A769">
        <v>0</v>
      </c>
      <c r="B769">
        <v>0</v>
      </c>
      <c r="C769">
        <v>0</v>
      </c>
      <c r="D769">
        <v>0</v>
      </c>
      <c r="E769">
        <v>0</v>
      </c>
      <c r="F769">
        <v>0</v>
      </c>
      <c r="G769">
        <v>0</v>
      </c>
      <c r="H769">
        <v>0</v>
      </c>
      <c r="I769">
        <v>0</v>
      </c>
      <c r="J769">
        <v>0</v>
      </c>
      <c r="K769">
        <v>0</v>
      </c>
      <c r="L769">
        <v>0</v>
      </c>
      <c r="M769">
        <v>0</v>
      </c>
      <c r="N769">
        <v>0</v>
      </c>
      <c r="O769">
        <v>0</v>
      </c>
      <c r="P769">
        <v>0</v>
      </c>
      <c r="Q769">
        <v>0</v>
      </c>
      <c r="R769">
        <v>0</v>
      </c>
      <c r="S769">
        <v>0</v>
      </c>
      <c r="T769">
        <v>0</v>
      </c>
      <c r="U769">
        <v>0</v>
      </c>
      <c r="V769">
        <v>0</v>
      </c>
      <c r="W769">
        <v>0</v>
      </c>
      <c r="X769">
        <v>0</v>
      </c>
      <c r="Y769">
        <v>0</v>
      </c>
      <c r="Z769">
        <v>0</v>
      </c>
      <c r="AA769">
        <v>0</v>
      </c>
      <c r="AB769">
        <v>0</v>
      </c>
      <c r="AC769">
        <v>0</v>
      </c>
      <c r="AD769">
        <v>0</v>
      </c>
      <c r="AF769">
        <v>0</v>
      </c>
      <c r="AG769">
        <v>0</v>
      </c>
      <c r="AH769">
        <v>0</v>
      </c>
      <c r="AI769">
        <v>0</v>
      </c>
      <c r="AJ769">
        <v>0</v>
      </c>
      <c r="AK769">
        <v>0</v>
      </c>
      <c r="AL769">
        <v>0</v>
      </c>
      <c r="AM769">
        <v>0</v>
      </c>
      <c r="AN769">
        <v>0</v>
      </c>
      <c r="AO769">
        <v>0</v>
      </c>
      <c r="AP769">
        <v>0</v>
      </c>
      <c r="AQ769">
        <v>0</v>
      </c>
      <c r="AR769">
        <v>0</v>
      </c>
      <c r="AS769">
        <v>0</v>
      </c>
      <c r="AT769">
        <v>0</v>
      </c>
      <c r="AU769">
        <v>0</v>
      </c>
      <c r="AV769">
        <v>0</v>
      </c>
      <c r="AW769">
        <v>0</v>
      </c>
      <c r="AX769">
        <v>0</v>
      </c>
      <c r="AY769">
        <v>0</v>
      </c>
      <c r="AZ769">
        <v>0</v>
      </c>
      <c r="BA769">
        <v>0</v>
      </c>
      <c r="BB769">
        <v>0</v>
      </c>
      <c r="BC769">
        <v>0</v>
      </c>
      <c r="BD769">
        <v>0</v>
      </c>
      <c r="BE769">
        <v>0</v>
      </c>
      <c r="BF769">
        <v>0</v>
      </c>
      <c r="BG769">
        <v>0</v>
      </c>
      <c r="BH769">
        <v>0</v>
      </c>
      <c r="BI769">
        <v>0</v>
      </c>
      <c r="BK769" s="151"/>
    </row>
    <row r="770" spans="1:63" x14ac:dyDescent="0.35">
      <c r="A770">
        <v>0</v>
      </c>
      <c r="B770">
        <v>0</v>
      </c>
      <c r="C770">
        <v>0</v>
      </c>
      <c r="D770">
        <v>0</v>
      </c>
      <c r="E770">
        <v>0</v>
      </c>
      <c r="F770">
        <v>0</v>
      </c>
      <c r="G770">
        <v>0</v>
      </c>
      <c r="H770">
        <v>0</v>
      </c>
      <c r="I770">
        <v>0</v>
      </c>
      <c r="J770">
        <v>0</v>
      </c>
      <c r="K770">
        <v>0</v>
      </c>
      <c r="L770">
        <v>0</v>
      </c>
      <c r="M770">
        <v>0</v>
      </c>
      <c r="N770">
        <v>0</v>
      </c>
      <c r="O770">
        <v>0</v>
      </c>
      <c r="P770">
        <v>0</v>
      </c>
      <c r="Q770">
        <v>0</v>
      </c>
      <c r="R770">
        <v>0</v>
      </c>
      <c r="S770">
        <v>0</v>
      </c>
      <c r="T770">
        <v>0</v>
      </c>
      <c r="U770">
        <v>0</v>
      </c>
      <c r="V770">
        <v>0</v>
      </c>
      <c r="W770">
        <v>0</v>
      </c>
      <c r="X770">
        <v>0</v>
      </c>
      <c r="Y770">
        <v>0</v>
      </c>
      <c r="Z770">
        <v>0</v>
      </c>
      <c r="AA770">
        <v>0</v>
      </c>
      <c r="AB770">
        <v>0</v>
      </c>
      <c r="AC770">
        <v>0</v>
      </c>
      <c r="AD770">
        <v>0</v>
      </c>
      <c r="AF770">
        <v>0</v>
      </c>
      <c r="AG770">
        <v>0</v>
      </c>
      <c r="AH770">
        <v>0</v>
      </c>
      <c r="AI770">
        <v>0</v>
      </c>
      <c r="AJ770">
        <v>0</v>
      </c>
      <c r="AK770">
        <v>0</v>
      </c>
      <c r="AL770">
        <v>0</v>
      </c>
      <c r="AM770">
        <v>0</v>
      </c>
      <c r="AN770">
        <v>0</v>
      </c>
      <c r="AO770">
        <v>0</v>
      </c>
      <c r="AP770">
        <v>0</v>
      </c>
      <c r="AQ770">
        <v>0</v>
      </c>
      <c r="AR770">
        <v>0</v>
      </c>
      <c r="AS770">
        <v>0</v>
      </c>
      <c r="AT770">
        <v>0</v>
      </c>
      <c r="AU770">
        <v>0</v>
      </c>
      <c r="AV770">
        <v>0</v>
      </c>
      <c r="AW770">
        <v>0</v>
      </c>
      <c r="AX770">
        <v>0</v>
      </c>
      <c r="AY770">
        <v>0</v>
      </c>
      <c r="AZ770">
        <v>0</v>
      </c>
      <c r="BA770">
        <v>0</v>
      </c>
      <c r="BB770">
        <v>0</v>
      </c>
      <c r="BC770">
        <v>0</v>
      </c>
      <c r="BD770">
        <v>0</v>
      </c>
      <c r="BE770">
        <v>0</v>
      </c>
      <c r="BF770">
        <v>0</v>
      </c>
      <c r="BG770">
        <v>0</v>
      </c>
      <c r="BH770">
        <v>0</v>
      </c>
      <c r="BI770">
        <v>0</v>
      </c>
      <c r="BK770" s="151"/>
    </row>
    <row r="771" spans="1:63" x14ac:dyDescent="0.35">
      <c r="A771">
        <v>0</v>
      </c>
      <c r="B771">
        <v>0</v>
      </c>
      <c r="C771">
        <v>0</v>
      </c>
      <c r="D771">
        <v>0</v>
      </c>
      <c r="E771">
        <v>0</v>
      </c>
      <c r="F771">
        <v>0</v>
      </c>
      <c r="G771">
        <v>0</v>
      </c>
      <c r="H771">
        <v>0</v>
      </c>
      <c r="I771">
        <v>0</v>
      </c>
      <c r="J771">
        <v>0</v>
      </c>
      <c r="K771">
        <v>0</v>
      </c>
      <c r="L771">
        <v>0</v>
      </c>
      <c r="M771">
        <v>0</v>
      </c>
      <c r="N771">
        <v>0</v>
      </c>
      <c r="O771">
        <v>0</v>
      </c>
      <c r="P771">
        <v>0</v>
      </c>
      <c r="Q771">
        <v>0</v>
      </c>
      <c r="R771">
        <v>0</v>
      </c>
      <c r="S771">
        <v>0</v>
      </c>
      <c r="T771">
        <v>0</v>
      </c>
      <c r="U771">
        <v>0</v>
      </c>
      <c r="V771">
        <v>0</v>
      </c>
      <c r="W771">
        <v>0</v>
      </c>
      <c r="X771">
        <v>0</v>
      </c>
      <c r="Y771">
        <v>0</v>
      </c>
      <c r="Z771">
        <v>0</v>
      </c>
      <c r="AA771">
        <v>0</v>
      </c>
      <c r="AB771">
        <v>0</v>
      </c>
      <c r="AC771">
        <v>0</v>
      </c>
      <c r="AD771">
        <v>0</v>
      </c>
      <c r="AF771">
        <v>0</v>
      </c>
      <c r="AG771">
        <v>0</v>
      </c>
      <c r="AH771">
        <v>0</v>
      </c>
      <c r="AI771">
        <v>0</v>
      </c>
      <c r="AJ771">
        <v>0</v>
      </c>
      <c r="AK771">
        <v>0</v>
      </c>
      <c r="AL771">
        <v>0</v>
      </c>
      <c r="AM771">
        <v>0</v>
      </c>
      <c r="AN771">
        <v>0</v>
      </c>
      <c r="AO771">
        <v>0</v>
      </c>
      <c r="AP771">
        <v>0</v>
      </c>
      <c r="AQ771">
        <v>0</v>
      </c>
      <c r="AR771">
        <v>0</v>
      </c>
      <c r="AS771">
        <v>0</v>
      </c>
      <c r="AT771">
        <v>0</v>
      </c>
      <c r="AU771">
        <v>0</v>
      </c>
      <c r="AV771">
        <v>0</v>
      </c>
      <c r="AW771">
        <v>0</v>
      </c>
      <c r="AX771">
        <v>0</v>
      </c>
      <c r="AY771">
        <v>0</v>
      </c>
      <c r="AZ771">
        <v>0</v>
      </c>
      <c r="BA771">
        <v>0</v>
      </c>
      <c r="BB771">
        <v>0</v>
      </c>
      <c r="BC771">
        <v>0</v>
      </c>
      <c r="BD771">
        <v>0</v>
      </c>
      <c r="BE771">
        <v>0</v>
      </c>
      <c r="BF771">
        <v>0</v>
      </c>
      <c r="BG771">
        <v>0</v>
      </c>
      <c r="BH771">
        <v>0</v>
      </c>
      <c r="BI771">
        <v>0</v>
      </c>
      <c r="BK771" s="151"/>
    </row>
    <row r="772" spans="1:63" x14ac:dyDescent="0.35">
      <c r="A772">
        <v>0</v>
      </c>
      <c r="B772">
        <v>0</v>
      </c>
      <c r="C772">
        <v>0</v>
      </c>
      <c r="D772">
        <v>0</v>
      </c>
      <c r="E772">
        <v>0</v>
      </c>
      <c r="F772">
        <v>0</v>
      </c>
      <c r="G772">
        <v>0</v>
      </c>
      <c r="H772">
        <v>0</v>
      </c>
      <c r="I772">
        <v>0</v>
      </c>
      <c r="J772">
        <v>0</v>
      </c>
      <c r="K772">
        <v>0</v>
      </c>
      <c r="L772">
        <v>0</v>
      </c>
      <c r="M772">
        <v>0</v>
      </c>
      <c r="N772">
        <v>0</v>
      </c>
      <c r="O772">
        <v>0</v>
      </c>
      <c r="P772">
        <v>0</v>
      </c>
      <c r="Q772">
        <v>0</v>
      </c>
      <c r="R772">
        <v>0</v>
      </c>
      <c r="S772">
        <v>0</v>
      </c>
      <c r="T772">
        <v>0</v>
      </c>
      <c r="U772">
        <v>0</v>
      </c>
      <c r="V772">
        <v>0</v>
      </c>
      <c r="W772">
        <v>0</v>
      </c>
      <c r="X772">
        <v>0</v>
      </c>
      <c r="Y772">
        <v>0</v>
      </c>
      <c r="Z772">
        <v>0</v>
      </c>
      <c r="AA772">
        <v>0</v>
      </c>
      <c r="AB772">
        <v>0</v>
      </c>
      <c r="AC772">
        <v>0</v>
      </c>
      <c r="AD772">
        <v>0</v>
      </c>
      <c r="AF772">
        <v>0</v>
      </c>
      <c r="AG772">
        <v>0</v>
      </c>
      <c r="AH772">
        <v>0</v>
      </c>
      <c r="AI772">
        <v>0</v>
      </c>
      <c r="AJ772">
        <v>0</v>
      </c>
      <c r="AK772">
        <v>0</v>
      </c>
      <c r="AL772">
        <v>0</v>
      </c>
      <c r="AM772">
        <v>0</v>
      </c>
      <c r="AN772">
        <v>0</v>
      </c>
      <c r="AO772">
        <v>0</v>
      </c>
      <c r="AP772">
        <v>0</v>
      </c>
      <c r="AQ772">
        <v>0</v>
      </c>
      <c r="AR772">
        <v>0</v>
      </c>
      <c r="AS772">
        <v>0</v>
      </c>
      <c r="AT772">
        <v>0</v>
      </c>
      <c r="AU772">
        <v>0</v>
      </c>
      <c r="AV772">
        <v>0</v>
      </c>
      <c r="AW772">
        <v>0</v>
      </c>
      <c r="AX772">
        <v>0</v>
      </c>
      <c r="AY772">
        <v>0</v>
      </c>
      <c r="AZ772">
        <v>0</v>
      </c>
      <c r="BA772">
        <v>0</v>
      </c>
      <c r="BB772">
        <v>0</v>
      </c>
      <c r="BC772">
        <v>0</v>
      </c>
      <c r="BD772">
        <v>0</v>
      </c>
      <c r="BE772">
        <v>0</v>
      </c>
      <c r="BF772">
        <v>0</v>
      </c>
      <c r="BG772">
        <v>0</v>
      </c>
      <c r="BH772">
        <v>0</v>
      </c>
      <c r="BI772">
        <v>0</v>
      </c>
      <c r="BK772" s="151"/>
    </row>
    <row r="773" spans="1:63" x14ac:dyDescent="0.35">
      <c r="A773">
        <v>0</v>
      </c>
      <c r="B773">
        <v>0</v>
      </c>
      <c r="C773">
        <v>0</v>
      </c>
      <c r="D773">
        <v>0</v>
      </c>
      <c r="E773">
        <v>0</v>
      </c>
      <c r="F773">
        <v>0</v>
      </c>
      <c r="G773">
        <v>0</v>
      </c>
      <c r="H773">
        <v>0</v>
      </c>
      <c r="I773">
        <v>0</v>
      </c>
      <c r="J773">
        <v>0</v>
      </c>
      <c r="K773">
        <v>0</v>
      </c>
      <c r="L773">
        <v>0</v>
      </c>
      <c r="M773">
        <v>0</v>
      </c>
      <c r="N773">
        <v>0</v>
      </c>
      <c r="O773">
        <v>0</v>
      </c>
      <c r="P773">
        <v>0</v>
      </c>
      <c r="Q773">
        <v>0</v>
      </c>
      <c r="R773">
        <v>0</v>
      </c>
      <c r="S773">
        <v>0</v>
      </c>
      <c r="T773">
        <v>0</v>
      </c>
      <c r="U773">
        <v>0</v>
      </c>
      <c r="V773">
        <v>0</v>
      </c>
      <c r="W773">
        <v>0</v>
      </c>
      <c r="X773">
        <v>0</v>
      </c>
      <c r="Y773">
        <v>0</v>
      </c>
      <c r="Z773">
        <v>0</v>
      </c>
      <c r="AA773">
        <v>0</v>
      </c>
      <c r="AB773">
        <v>0</v>
      </c>
      <c r="AC773">
        <v>0</v>
      </c>
      <c r="AD773">
        <v>0</v>
      </c>
      <c r="AF773">
        <v>0</v>
      </c>
      <c r="AG773">
        <v>0</v>
      </c>
      <c r="AH773">
        <v>0</v>
      </c>
      <c r="AI773">
        <v>0</v>
      </c>
      <c r="AJ773">
        <v>0</v>
      </c>
      <c r="AK773">
        <v>0</v>
      </c>
      <c r="AL773">
        <v>0</v>
      </c>
      <c r="AM773">
        <v>0</v>
      </c>
      <c r="AN773">
        <v>0</v>
      </c>
      <c r="AO773">
        <v>0</v>
      </c>
      <c r="AP773">
        <v>0</v>
      </c>
      <c r="AQ773">
        <v>0</v>
      </c>
      <c r="AR773">
        <v>0</v>
      </c>
      <c r="AS773">
        <v>0</v>
      </c>
      <c r="AT773">
        <v>0</v>
      </c>
      <c r="AU773">
        <v>0</v>
      </c>
      <c r="AV773">
        <v>0</v>
      </c>
      <c r="AW773">
        <v>0</v>
      </c>
      <c r="AX773">
        <v>0</v>
      </c>
      <c r="AY773">
        <v>0</v>
      </c>
      <c r="AZ773">
        <v>0</v>
      </c>
      <c r="BA773">
        <v>0</v>
      </c>
      <c r="BB773">
        <v>0</v>
      </c>
      <c r="BC773">
        <v>0</v>
      </c>
      <c r="BD773">
        <v>0</v>
      </c>
      <c r="BE773">
        <v>0</v>
      </c>
      <c r="BF773">
        <v>0</v>
      </c>
      <c r="BG773">
        <v>0</v>
      </c>
      <c r="BH773">
        <v>0</v>
      </c>
      <c r="BI773">
        <v>0</v>
      </c>
      <c r="BK773" s="151"/>
    </row>
    <row r="774" spans="1:63" x14ac:dyDescent="0.35">
      <c r="A774">
        <v>0</v>
      </c>
      <c r="B774">
        <v>0</v>
      </c>
      <c r="C774">
        <v>0</v>
      </c>
      <c r="D774">
        <v>0</v>
      </c>
      <c r="E774">
        <v>0</v>
      </c>
      <c r="F774">
        <v>0</v>
      </c>
      <c r="G774">
        <v>0</v>
      </c>
      <c r="H774">
        <v>0</v>
      </c>
      <c r="I774">
        <v>0</v>
      </c>
      <c r="J774">
        <v>0</v>
      </c>
      <c r="K774">
        <v>0</v>
      </c>
      <c r="L774">
        <v>0</v>
      </c>
      <c r="M774">
        <v>0</v>
      </c>
      <c r="N774">
        <v>0</v>
      </c>
      <c r="O774">
        <v>0</v>
      </c>
      <c r="P774">
        <v>0</v>
      </c>
      <c r="Q774">
        <v>0</v>
      </c>
      <c r="R774">
        <v>0</v>
      </c>
      <c r="S774">
        <v>0</v>
      </c>
      <c r="T774">
        <v>0</v>
      </c>
      <c r="U774">
        <v>0</v>
      </c>
      <c r="V774">
        <v>0</v>
      </c>
      <c r="W774">
        <v>0</v>
      </c>
      <c r="X774">
        <v>0</v>
      </c>
      <c r="Y774">
        <v>0</v>
      </c>
      <c r="Z774">
        <v>0</v>
      </c>
      <c r="AA774">
        <v>0</v>
      </c>
      <c r="AB774">
        <v>0</v>
      </c>
      <c r="AC774">
        <v>0</v>
      </c>
      <c r="AD774">
        <v>0</v>
      </c>
      <c r="AF774">
        <v>0</v>
      </c>
      <c r="AG774">
        <v>0</v>
      </c>
      <c r="AH774">
        <v>0</v>
      </c>
      <c r="AI774">
        <v>0</v>
      </c>
      <c r="AJ774">
        <v>0</v>
      </c>
      <c r="AK774">
        <v>0</v>
      </c>
      <c r="AL774">
        <v>0</v>
      </c>
      <c r="AM774">
        <v>0</v>
      </c>
      <c r="AN774">
        <v>0</v>
      </c>
      <c r="AO774">
        <v>0</v>
      </c>
      <c r="AP774">
        <v>0</v>
      </c>
      <c r="AQ774">
        <v>0</v>
      </c>
      <c r="AR774">
        <v>0</v>
      </c>
      <c r="AS774">
        <v>0</v>
      </c>
      <c r="AT774">
        <v>0</v>
      </c>
      <c r="AU774">
        <v>0</v>
      </c>
      <c r="AV774">
        <v>0</v>
      </c>
      <c r="AW774">
        <v>0</v>
      </c>
      <c r="AX774">
        <v>0</v>
      </c>
      <c r="AY774">
        <v>0</v>
      </c>
      <c r="AZ774">
        <v>0</v>
      </c>
      <c r="BA774">
        <v>0</v>
      </c>
      <c r="BB774">
        <v>0</v>
      </c>
      <c r="BC774">
        <v>0</v>
      </c>
      <c r="BD774">
        <v>0</v>
      </c>
      <c r="BE774">
        <v>0</v>
      </c>
      <c r="BF774">
        <v>0</v>
      </c>
      <c r="BG774">
        <v>0</v>
      </c>
      <c r="BH774">
        <v>0</v>
      </c>
      <c r="BI774">
        <v>0</v>
      </c>
      <c r="BK774" s="151"/>
    </row>
    <row r="775" spans="1:63" x14ac:dyDescent="0.35">
      <c r="A775">
        <v>0</v>
      </c>
      <c r="B775">
        <v>0</v>
      </c>
      <c r="C775">
        <v>0</v>
      </c>
      <c r="D775">
        <v>0</v>
      </c>
      <c r="E775">
        <v>0</v>
      </c>
      <c r="F775">
        <v>0</v>
      </c>
      <c r="G775">
        <v>0</v>
      </c>
      <c r="H775">
        <v>0</v>
      </c>
      <c r="I775">
        <v>0</v>
      </c>
      <c r="J775">
        <v>0</v>
      </c>
      <c r="K775">
        <v>0</v>
      </c>
      <c r="L775">
        <v>0</v>
      </c>
      <c r="M775">
        <v>0</v>
      </c>
      <c r="N775">
        <v>0</v>
      </c>
      <c r="O775">
        <v>0</v>
      </c>
      <c r="P775">
        <v>0</v>
      </c>
      <c r="Q775">
        <v>0</v>
      </c>
      <c r="R775">
        <v>0</v>
      </c>
      <c r="S775">
        <v>0</v>
      </c>
      <c r="T775">
        <v>0</v>
      </c>
      <c r="U775">
        <v>0</v>
      </c>
      <c r="V775">
        <v>0</v>
      </c>
      <c r="W775">
        <v>0</v>
      </c>
      <c r="X775">
        <v>0</v>
      </c>
      <c r="Y775">
        <v>0</v>
      </c>
      <c r="Z775">
        <v>0</v>
      </c>
      <c r="AA775">
        <v>0</v>
      </c>
      <c r="AB775">
        <v>0</v>
      </c>
      <c r="AC775">
        <v>0</v>
      </c>
      <c r="AD775">
        <v>0</v>
      </c>
      <c r="AF775">
        <v>0</v>
      </c>
      <c r="AG775">
        <v>0</v>
      </c>
      <c r="AH775">
        <v>0</v>
      </c>
      <c r="AI775">
        <v>0</v>
      </c>
      <c r="AJ775">
        <v>0</v>
      </c>
      <c r="AK775">
        <v>0</v>
      </c>
      <c r="AL775">
        <v>0</v>
      </c>
      <c r="AM775">
        <v>0</v>
      </c>
      <c r="AN775">
        <v>0</v>
      </c>
      <c r="AO775">
        <v>0</v>
      </c>
      <c r="AP775">
        <v>0</v>
      </c>
      <c r="AQ775">
        <v>0</v>
      </c>
      <c r="AR775">
        <v>0</v>
      </c>
      <c r="AS775">
        <v>0</v>
      </c>
      <c r="AT775">
        <v>0</v>
      </c>
      <c r="AU775">
        <v>0</v>
      </c>
      <c r="AV775">
        <v>0</v>
      </c>
      <c r="AW775">
        <v>0</v>
      </c>
      <c r="AX775">
        <v>0</v>
      </c>
      <c r="AY775">
        <v>0</v>
      </c>
      <c r="AZ775">
        <v>0</v>
      </c>
      <c r="BA775">
        <v>0</v>
      </c>
      <c r="BB775">
        <v>0</v>
      </c>
      <c r="BC775">
        <v>0</v>
      </c>
      <c r="BD775">
        <v>0</v>
      </c>
      <c r="BE775">
        <v>0</v>
      </c>
      <c r="BF775">
        <v>0</v>
      </c>
      <c r="BG775">
        <v>0</v>
      </c>
      <c r="BH775">
        <v>0</v>
      </c>
      <c r="BI775">
        <v>0</v>
      </c>
      <c r="BK775" s="151"/>
    </row>
    <row r="776" spans="1:63" x14ac:dyDescent="0.35">
      <c r="A776">
        <v>0</v>
      </c>
      <c r="B776">
        <v>0</v>
      </c>
      <c r="C776">
        <v>0</v>
      </c>
      <c r="D776">
        <v>0</v>
      </c>
      <c r="E776">
        <v>0</v>
      </c>
      <c r="F776">
        <v>0</v>
      </c>
      <c r="G776">
        <v>0</v>
      </c>
      <c r="H776">
        <v>0</v>
      </c>
      <c r="I776">
        <v>0</v>
      </c>
      <c r="J776">
        <v>0</v>
      </c>
      <c r="K776">
        <v>0</v>
      </c>
      <c r="L776">
        <v>0</v>
      </c>
      <c r="M776">
        <v>0</v>
      </c>
      <c r="N776">
        <v>0</v>
      </c>
      <c r="O776">
        <v>0</v>
      </c>
      <c r="P776">
        <v>0</v>
      </c>
      <c r="Q776">
        <v>0</v>
      </c>
      <c r="R776">
        <v>0</v>
      </c>
      <c r="S776">
        <v>0</v>
      </c>
      <c r="T776">
        <v>0</v>
      </c>
      <c r="U776">
        <v>0</v>
      </c>
      <c r="V776">
        <v>0</v>
      </c>
      <c r="W776">
        <v>0</v>
      </c>
      <c r="X776">
        <v>0</v>
      </c>
      <c r="Y776">
        <v>0</v>
      </c>
      <c r="Z776">
        <v>0</v>
      </c>
      <c r="AA776">
        <v>0</v>
      </c>
      <c r="AB776">
        <v>0</v>
      </c>
      <c r="AC776">
        <v>0</v>
      </c>
      <c r="AD776">
        <v>0</v>
      </c>
      <c r="AF776">
        <v>0</v>
      </c>
      <c r="AG776">
        <v>0</v>
      </c>
      <c r="AH776">
        <v>0</v>
      </c>
      <c r="AI776">
        <v>0</v>
      </c>
      <c r="AJ776">
        <v>0</v>
      </c>
      <c r="AK776">
        <v>0</v>
      </c>
      <c r="AL776">
        <v>0</v>
      </c>
      <c r="AM776">
        <v>0</v>
      </c>
      <c r="AN776">
        <v>0</v>
      </c>
      <c r="AO776">
        <v>0</v>
      </c>
      <c r="AP776">
        <v>0</v>
      </c>
      <c r="AQ776">
        <v>0</v>
      </c>
      <c r="AR776">
        <v>0</v>
      </c>
      <c r="AS776">
        <v>0</v>
      </c>
      <c r="AT776">
        <v>0</v>
      </c>
      <c r="AU776">
        <v>0</v>
      </c>
      <c r="AV776">
        <v>0</v>
      </c>
      <c r="AW776">
        <v>0</v>
      </c>
      <c r="AX776">
        <v>0</v>
      </c>
      <c r="AY776">
        <v>0</v>
      </c>
      <c r="AZ776">
        <v>0</v>
      </c>
      <c r="BA776">
        <v>0</v>
      </c>
      <c r="BB776">
        <v>0</v>
      </c>
      <c r="BC776">
        <v>0</v>
      </c>
      <c r="BD776">
        <v>0</v>
      </c>
      <c r="BE776">
        <v>0</v>
      </c>
      <c r="BF776">
        <v>0</v>
      </c>
      <c r="BG776">
        <v>0</v>
      </c>
      <c r="BH776">
        <v>0</v>
      </c>
      <c r="BI776">
        <v>0</v>
      </c>
      <c r="BK776" s="151"/>
    </row>
    <row r="777" spans="1:63" x14ac:dyDescent="0.35">
      <c r="A777">
        <v>0</v>
      </c>
      <c r="B777">
        <v>0</v>
      </c>
      <c r="C777">
        <v>0</v>
      </c>
      <c r="D777">
        <v>0</v>
      </c>
      <c r="E777">
        <v>0</v>
      </c>
      <c r="F777">
        <v>0</v>
      </c>
      <c r="G777">
        <v>0</v>
      </c>
      <c r="H777">
        <v>0</v>
      </c>
      <c r="I777">
        <v>0</v>
      </c>
      <c r="J777">
        <v>0</v>
      </c>
      <c r="K777">
        <v>0</v>
      </c>
      <c r="L777">
        <v>0</v>
      </c>
      <c r="M777">
        <v>0</v>
      </c>
      <c r="N777">
        <v>0</v>
      </c>
      <c r="O777">
        <v>0</v>
      </c>
      <c r="P777">
        <v>0</v>
      </c>
      <c r="Q777">
        <v>0</v>
      </c>
      <c r="R777">
        <v>0</v>
      </c>
      <c r="S777">
        <v>0</v>
      </c>
      <c r="T777">
        <v>0</v>
      </c>
      <c r="U777">
        <v>0</v>
      </c>
      <c r="V777">
        <v>0</v>
      </c>
      <c r="W777">
        <v>0</v>
      </c>
      <c r="X777">
        <v>0</v>
      </c>
      <c r="Y777">
        <v>0</v>
      </c>
      <c r="Z777">
        <v>0</v>
      </c>
      <c r="AA777">
        <v>0</v>
      </c>
      <c r="AB777">
        <v>0</v>
      </c>
      <c r="AC777">
        <v>0</v>
      </c>
      <c r="AD777">
        <v>0</v>
      </c>
      <c r="AF777">
        <v>0</v>
      </c>
      <c r="AG777">
        <v>0</v>
      </c>
      <c r="AH777">
        <v>0</v>
      </c>
      <c r="AI777">
        <v>0</v>
      </c>
      <c r="AJ777">
        <v>0</v>
      </c>
      <c r="AK777">
        <v>0</v>
      </c>
      <c r="AL777">
        <v>0</v>
      </c>
      <c r="AM777">
        <v>0</v>
      </c>
      <c r="AN777">
        <v>0</v>
      </c>
      <c r="AO777">
        <v>0</v>
      </c>
      <c r="AP777">
        <v>0</v>
      </c>
      <c r="AQ777">
        <v>0</v>
      </c>
      <c r="AR777">
        <v>0</v>
      </c>
      <c r="AS777">
        <v>0</v>
      </c>
      <c r="AT777">
        <v>0</v>
      </c>
      <c r="AU777">
        <v>0</v>
      </c>
      <c r="AV777">
        <v>0</v>
      </c>
      <c r="AW777">
        <v>0</v>
      </c>
      <c r="AX777">
        <v>0</v>
      </c>
      <c r="AY777">
        <v>0</v>
      </c>
      <c r="AZ777">
        <v>0</v>
      </c>
      <c r="BA777">
        <v>0</v>
      </c>
      <c r="BB777">
        <v>0</v>
      </c>
      <c r="BC777">
        <v>0</v>
      </c>
      <c r="BD777">
        <v>0</v>
      </c>
      <c r="BE777">
        <v>0</v>
      </c>
      <c r="BF777">
        <v>0</v>
      </c>
      <c r="BG777">
        <v>0</v>
      </c>
      <c r="BH777">
        <v>0</v>
      </c>
      <c r="BI777">
        <v>0</v>
      </c>
      <c r="BK777" s="151"/>
    </row>
    <row r="778" spans="1:63" x14ac:dyDescent="0.35">
      <c r="A778">
        <v>0</v>
      </c>
      <c r="B778">
        <v>0</v>
      </c>
      <c r="C778">
        <v>0</v>
      </c>
      <c r="D778">
        <v>0</v>
      </c>
      <c r="E778">
        <v>0</v>
      </c>
      <c r="F778">
        <v>0</v>
      </c>
      <c r="G778">
        <v>0</v>
      </c>
      <c r="H778">
        <v>0</v>
      </c>
      <c r="I778">
        <v>0</v>
      </c>
      <c r="J778">
        <v>0</v>
      </c>
      <c r="K778">
        <v>0</v>
      </c>
      <c r="L778">
        <v>0</v>
      </c>
      <c r="M778">
        <v>0</v>
      </c>
      <c r="N778">
        <v>0</v>
      </c>
      <c r="O778">
        <v>0</v>
      </c>
      <c r="P778">
        <v>0</v>
      </c>
      <c r="Q778">
        <v>0</v>
      </c>
      <c r="R778">
        <v>0</v>
      </c>
      <c r="S778">
        <v>0</v>
      </c>
      <c r="T778">
        <v>0</v>
      </c>
      <c r="U778">
        <v>0</v>
      </c>
      <c r="V778">
        <v>0</v>
      </c>
      <c r="W778">
        <v>0</v>
      </c>
      <c r="X778">
        <v>0</v>
      </c>
      <c r="Y778">
        <v>0</v>
      </c>
      <c r="Z778">
        <v>0</v>
      </c>
      <c r="AA778">
        <v>0</v>
      </c>
      <c r="AB778">
        <v>0</v>
      </c>
      <c r="AC778">
        <v>0</v>
      </c>
      <c r="AD778">
        <v>0</v>
      </c>
      <c r="AF778">
        <v>0</v>
      </c>
      <c r="AG778">
        <v>0</v>
      </c>
      <c r="AH778">
        <v>0</v>
      </c>
      <c r="AI778">
        <v>0</v>
      </c>
      <c r="AJ778">
        <v>0</v>
      </c>
      <c r="AK778">
        <v>0</v>
      </c>
      <c r="AL778">
        <v>0</v>
      </c>
      <c r="AM778">
        <v>0</v>
      </c>
      <c r="AN778">
        <v>0</v>
      </c>
      <c r="AO778">
        <v>0</v>
      </c>
      <c r="AP778">
        <v>0</v>
      </c>
      <c r="AQ778">
        <v>0</v>
      </c>
      <c r="AR778">
        <v>0</v>
      </c>
      <c r="AS778">
        <v>0</v>
      </c>
      <c r="AT778">
        <v>0</v>
      </c>
      <c r="AU778">
        <v>0</v>
      </c>
      <c r="AV778">
        <v>0</v>
      </c>
      <c r="AW778">
        <v>0</v>
      </c>
      <c r="AX778">
        <v>0</v>
      </c>
      <c r="AY778">
        <v>0</v>
      </c>
      <c r="AZ778">
        <v>0</v>
      </c>
      <c r="BA778">
        <v>0</v>
      </c>
      <c r="BB778">
        <v>0</v>
      </c>
      <c r="BC778">
        <v>0</v>
      </c>
      <c r="BD778">
        <v>0</v>
      </c>
      <c r="BE778">
        <v>0</v>
      </c>
      <c r="BF778">
        <v>0</v>
      </c>
      <c r="BG778">
        <v>0</v>
      </c>
      <c r="BH778">
        <v>0</v>
      </c>
      <c r="BI778">
        <v>0</v>
      </c>
      <c r="BK778" s="151"/>
    </row>
    <row r="779" spans="1:63" x14ac:dyDescent="0.35">
      <c r="A779">
        <v>0</v>
      </c>
      <c r="B779">
        <v>0</v>
      </c>
      <c r="C779">
        <v>0</v>
      </c>
      <c r="D779">
        <v>0</v>
      </c>
      <c r="E779">
        <v>0</v>
      </c>
      <c r="F779">
        <v>0</v>
      </c>
      <c r="G779">
        <v>0</v>
      </c>
      <c r="H779">
        <v>0</v>
      </c>
      <c r="I779">
        <v>0</v>
      </c>
      <c r="J779">
        <v>0</v>
      </c>
      <c r="K779">
        <v>0</v>
      </c>
      <c r="L779">
        <v>0</v>
      </c>
      <c r="M779">
        <v>0</v>
      </c>
      <c r="N779">
        <v>0</v>
      </c>
      <c r="O779">
        <v>0</v>
      </c>
      <c r="P779">
        <v>0</v>
      </c>
      <c r="Q779">
        <v>0</v>
      </c>
      <c r="R779">
        <v>0</v>
      </c>
      <c r="S779">
        <v>0</v>
      </c>
      <c r="T779">
        <v>0</v>
      </c>
      <c r="U779">
        <v>0</v>
      </c>
      <c r="V779">
        <v>0</v>
      </c>
      <c r="W779">
        <v>0</v>
      </c>
      <c r="X779">
        <v>0</v>
      </c>
      <c r="Y779">
        <v>0</v>
      </c>
      <c r="Z779">
        <v>0</v>
      </c>
      <c r="AA779">
        <v>0</v>
      </c>
      <c r="AB779">
        <v>0</v>
      </c>
      <c r="AC779">
        <v>0</v>
      </c>
      <c r="AD779">
        <v>0</v>
      </c>
      <c r="AF779">
        <v>0</v>
      </c>
      <c r="AG779">
        <v>0</v>
      </c>
      <c r="AH779">
        <v>0</v>
      </c>
      <c r="AI779">
        <v>0</v>
      </c>
      <c r="AJ779">
        <v>0</v>
      </c>
      <c r="AK779">
        <v>0</v>
      </c>
      <c r="AL779">
        <v>0</v>
      </c>
      <c r="AM779">
        <v>0</v>
      </c>
      <c r="AN779">
        <v>0</v>
      </c>
      <c r="AO779">
        <v>0</v>
      </c>
      <c r="AP779">
        <v>0</v>
      </c>
      <c r="AQ779">
        <v>0</v>
      </c>
      <c r="AR779">
        <v>0</v>
      </c>
      <c r="AS779">
        <v>0</v>
      </c>
      <c r="AT779">
        <v>0</v>
      </c>
      <c r="AU779">
        <v>0</v>
      </c>
      <c r="AV779">
        <v>0</v>
      </c>
      <c r="AW779">
        <v>0</v>
      </c>
      <c r="AX779">
        <v>0</v>
      </c>
      <c r="AY779">
        <v>0</v>
      </c>
      <c r="AZ779">
        <v>0</v>
      </c>
      <c r="BA779">
        <v>0</v>
      </c>
      <c r="BB779">
        <v>0</v>
      </c>
      <c r="BC779">
        <v>0</v>
      </c>
      <c r="BD779">
        <v>0</v>
      </c>
      <c r="BE779">
        <v>0</v>
      </c>
      <c r="BF779">
        <v>0</v>
      </c>
      <c r="BG779">
        <v>0</v>
      </c>
      <c r="BH779">
        <v>0</v>
      </c>
      <c r="BI779">
        <v>0</v>
      </c>
      <c r="BK779" s="151"/>
    </row>
    <row r="780" spans="1:63" x14ac:dyDescent="0.35">
      <c r="A780">
        <v>0</v>
      </c>
      <c r="B780">
        <v>0</v>
      </c>
      <c r="C780">
        <v>0</v>
      </c>
      <c r="D780">
        <v>0</v>
      </c>
      <c r="E780">
        <v>0</v>
      </c>
      <c r="F780">
        <v>0</v>
      </c>
      <c r="G780">
        <v>0</v>
      </c>
      <c r="H780">
        <v>0</v>
      </c>
      <c r="I780">
        <v>0</v>
      </c>
      <c r="J780">
        <v>0</v>
      </c>
      <c r="K780">
        <v>0</v>
      </c>
      <c r="L780">
        <v>0</v>
      </c>
      <c r="M780">
        <v>0</v>
      </c>
      <c r="N780">
        <v>0</v>
      </c>
      <c r="O780">
        <v>0</v>
      </c>
      <c r="P780">
        <v>0</v>
      </c>
      <c r="Q780">
        <v>0</v>
      </c>
      <c r="R780">
        <v>0</v>
      </c>
      <c r="S780">
        <v>0</v>
      </c>
      <c r="T780">
        <v>0</v>
      </c>
      <c r="U780">
        <v>0</v>
      </c>
      <c r="V780">
        <v>0</v>
      </c>
      <c r="W780">
        <v>0</v>
      </c>
      <c r="X780">
        <v>0</v>
      </c>
      <c r="Y780">
        <v>0</v>
      </c>
      <c r="Z780">
        <v>0</v>
      </c>
      <c r="AA780">
        <v>0</v>
      </c>
      <c r="AB780">
        <v>0</v>
      </c>
      <c r="AC780">
        <v>0</v>
      </c>
      <c r="AD780">
        <v>0</v>
      </c>
      <c r="AF780">
        <v>0</v>
      </c>
      <c r="AG780">
        <v>0</v>
      </c>
      <c r="AH780">
        <v>0</v>
      </c>
      <c r="AI780">
        <v>0</v>
      </c>
      <c r="AJ780">
        <v>0</v>
      </c>
      <c r="AK780">
        <v>0</v>
      </c>
      <c r="AL780">
        <v>0</v>
      </c>
      <c r="AM780">
        <v>0</v>
      </c>
      <c r="AN780">
        <v>0</v>
      </c>
      <c r="AO780">
        <v>0</v>
      </c>
      <c r="AP780">
        <v>0</v>
      </c>
      <c r="AQ780">
        <v>0</v>
      </c>
      <c r="AR780">
        <v>0</v>
      </c>
      <c r="AS780">
        <v>0</v>
      </c>
      <c r="AT780">
        <v>0</v>
      </c>
      <c r="AU780">
        <v>0</v>
      </c>
      <c r="AV780">
        <v>0</v>
      </c>
      <c r="AW780">
        <v>0</v>
      </c>
      <c r="AX780">
        <v>0</v>
      </c>
      <c r="AY780">
        <v>0</v>
      </c>
      <c r="AZ780">
        <v>0</v>
      </c>
      <c r="BA780">
        <v>0</v>
      </c>
      <c r="BB780">
        <v>0</v>
      </c>
      <c r="BC780">
        <v>0</v>
      </c>
      <c r="BD780">
        <v>0</v>
      </c>
      <c r="BE780">
        <v>0</v>
      </c>
      <c r="BF780">
        <v>0</v>
      </c>
      <c r="BG780">
        <v>0</v>
      </c>
      <c r="BH780">
        <v>0</v>
      </c>
      <c r="BI780">
        <v>0</v>
      </c>
      <c r="BK780" s="151"/>
    </row>
    <row r="781" spans="1:63" x14ac:dyDescent="0.35">
      <c r="A781">
        <v>0</v>
      </c>
      <c r="B781">
        <v>0</v>
      </c>
      <c r="C781">
        <v>0</v>
      </c>
      <c r="D781">
        <v>0</v>
      </c>
      <c r="E781">
        <v>0</v>
      </c>
      <c r="F781">
        <v>0</v>
      </c>
      <c r="G781">
        <v>0</v>
      </c>
      <c r="H781">
        <v>0</v>
      </c>
      <c r="I781">
        <v>0</v>
      </c>
      <c r="J781">
        <v>0</v>
      </c>
      <c r="K781">
        <v>0</v>
      </c>
      <c r="L781">
        <v>0</v>
      </c>
      <c r="M781">
        <v>0</v>
      </c>
      <c r="N781">
        <v>0</v>
      </c>
      <c r="O781">
        <v>0</v>
      </c>
      <c r="P781">
        <v>0</v>
      </c>
      <c r="Q781">
        <v>0</v>
      </c>
      <c r="R781">
        <v>0</v>
      </c>
      <c r="S781">
        <v>0</v>
      </c>
      <c r="T781">
        <v>0</v>
      </c>
      <c r="U781">
        <v>0</v>
      </c>
      <c r="V781">
        <v>0</v>
      </c>
      <c r="W781">
        <v>0</v>
      </c>
      <c r="X781">
        <v>0</v>
      </c>
      <c r="Y781">
        <v>0</v>
      </c>
      <c r="Z781">
        <v>0</v>
      </c>
      <c r="AA781">
        <v>0</v>
      </c>
      <c r="AB781">
        <v>0</v>
      </c>
      <c r="AC781">
        <v>0</v>
      </c>
      <c r="AD781">
        <v>0</v>
      </c>
      <c r="AF781">
        <v>0</v>
      </c>
      <c r="AG781">
        <v>0</v>
      </c>
      <c r="AH781">
        <v>0</v>
      </c>
      <c r="AI781">
        <v>0</v>
      </c>
      <c r="AJ781">
        <v>0</v>
      </c>
      <c r="AK781">
        <v>0</v>
      </c>
      <c r="AL781">
        <v>0</v>
      </c>
      <c r="AM781">
        <v>0</v>
      </c>
      <c r="AN781">
        <v>0</v>
      </c>
      <c r="AO781">
        <v>0</v>
      </c>
      <c r="AP781">
        <v>0</v>
      </c>
      <c r="AQ781">
        <v>0</v>
      </c>
      <c r="AR781">
        <v>0</v>
      </c>
      <c r="AS781">
        <v>0</v>
      </c>
      <c r="AT781">
        <v>0</v>
      </c>
      <c r="AU781">
        <v>0</v>
      </c>
      <c r="AV781">
        <v>0</v>
      </c>
      <c r="AW781">
        <v>0</v>
      </c>
      <c r="AX781">
        <v>0</v>
      </c>
      <c r="AY781">
        <v>0</v>
      </c>
      <c r="AZ781">
        <v>0</v>
      </c>
      <c r="BA781">
        <v>0</v>
      </c>
      <c r="BB781">
        <v>0</v>
      </c>
      <c r="BC781">
        <v>0</v>
      </c>
      <c r="BD781">
        <v>0</v>
      </c>
      <c r="BE781">
        <v>0</v>
      </c>
      <c r="BF781">
        <v>0</v>
      </c>
      <c r="BG781">
        <v>0</v>
      </c>
      <c r="BH781">
        <v>0</v>
      </c>
      <c r="BI781">
        <v>0</v>
      </c>
      <c r="BK781" s="151"/>
    </row>
    <row r="782" spans="1:63" x14ac:dyDescent="0.35">
      <c r="A782">
        <v>0</v>
      </c>
      <c r="B782">
        <v>0</v>
      </c>
      <c r="C782">
        <v>0</v>
      </c>
      <c r="D782">
        <v>0</v>
      </c>
      <c r="E782">
        <v>0</v>
      </c>
      <c r="F782">
        <v>0</v>
      </c>
      <c r="G782">
        <v>0</v>
      </c>
      <c r="H782">
        <v>0</v>
      </c>
      <c r="I782">
        <v>0</v>
      </c>
      <c r="J782">
        <v>0</v>
      </c>
      <c r="K782">
        <v>0</v>
      </c>
      <c r="L782">
        <v>0</v>
      </c>
      <c r="M782">
        <v>0</v>
      </c>
      <c r="N782">
        <v>0</v>
      </c>
      <c r="O782">
        <v>0</v>
      </c>
      <c r="P782">
        <v>0</v>
      </c>
      <c r="Q782">
        <v>0</v>
      </c>
      <c r="R782">
        <v>0</v>
      </c>
      <c r="S782">
        <v>0</v>
      </c>
      <c r="T782">
        <v>0</v>
      </c>
      <c r="U782">
        <v>0</v>
      </c>
      <c r="V782">
        <v>0</v>
      </c>
      <c r="W782">
        <v>0</v>
      </c>
      <c r="X782">
        <v>0</v>
      </c>
      <c r="Y782">
        <v>0</v>
      </c>
      <c r="Z782">
        <v>0</v>
      </c>
      <c r="AA782">
        <v>0</v>
      </c>
      <c r="AB782">
        <v>0</v>
      </c>
      <c r="AC782">
        <v>0</v>
      </c>
      <c r="AD782">
        <v>0</v>
      </c>
      <c r="AF782">
        <v>0</v>
      </c>
      <c r="AG782">
        <v>0</v>
      </c>
      <c r="AH782">
        <v>0</v>
      </c>
      <c r="AI782">
        <v>0</v>
      </c>
      <c r="AJ782">
        <v>0</v>
      </c>
      <c r="AK782">
        <v>0</v>
      </c>
      <c r="AL782">
        <v>0</v>
      </c>
      <c r="AM782">
        <v>0</v>
      </c>
      <c r="AN782">
        <v>0</v>
      </c>
      <c r="AO782">
        <v>0</v>
      </c>
      <c r="AP782">
        <v>0</v>
      </c>
      <c r="AQ782">
        <v>0</v>
      </c>
      <c r="AR782">
        <v>0</v>
      </c>
      <c r="AS782">
        <v>0</v>
      </c>
      <c r="AT782">
        <v>0</v>
      </c>
      <c r="AU782">
        <v>0</v>
      </c>
      <c r="AV782">
        <v>0</v>
      </c>
      <c r="AW782">
        <v>0</v>
      </c>
      <c r="AX782">
        <v>0</v>
      </c>
      <c r="AY782">
        <v>0</v>
      </c>
      <c r="AZ782">
        <v>0</v>
      </c>
      <c r="BA782">
        <v>0</v>
      </c>
      <c r="BB782">
        <v>0</v>
      </c>
      <c r="BC782">
        <v>0</v>
      </c>
      <c r="BD782">
        <v>0</v>
      </c>
      <c r="BE782">
        <v>0</v>
      </c>
      <c r="BF782">
        <v>0</v>
      </c>
      <c r="BG782">
        <v>0</v>
      </c>
      <c r="BH782">
        <v>0</v>
      </c>
      <c r="BI782">
        <v>0</v>
      </c>
      <c r="BK782" s="151"/>
    </row>
    <row r="783" spans="1:63" x14ac:dyDescent="0.35">
      <c r="A783">
        <v>0</v>
      </c>
      <c r="B783">
        <v>0</v>
      </c>
      <c r="C783">
        <v>0</v>
      </c>
      <c r="D783">
        <v>0</v>
      </c>
      <c r="E783">
        <v>0</v>
      </c>
      <c r="F783">
        <v>0</v>
      </c>
      <c r="G783">
        <v>0</v>
      </c>
      <c r="H783">
        <v>0</v>
      </c>
      <c r="I783">
        <v>0</v>
      </c>
      <c r="J783">
        <v>0</v>
      </c>
      <c r="K783">
        <v>0</v>
      </c>
      <c r="L783">
        <v>0</v>
      </c>
      <c r="M783">
        <v>0</v>
      </c>
      <c r="N783">
        <v>0</v>
      </c>
      <c r="O783">
        <v>0</v>
      </c>
      <c r="P783">
        <v>0</v>
      </c>
      <c r="Q783">
        <v>0</v>
      </c>
      <c r="R783">
        <v>0</v>
      </c>
      <c r="S783">
        <v>0</v>
      </c>
      <c r="T783">
        <v>0</v>
      </c>
      <c r="U783">
        <v>0</v>
      </c>
      <c r="V783">
        <v>0</v>
      </c>
      <c r="W783">
        <v>0</v>
      </c>
      <c r="X783">
        <v>0</v>
      </c>
      <c r="Y783">
        <v>0</v>
      </c>
      <c r="Z783">
        <v>0</v>
      </c>
      <c r="AA783">
        <v>0</v>
      </c>
      <c r="AB783">
        <v>0</v>
      </c>
      <c r="AC783">
        <v>0</v>
      </c>
      <c r="AD783">
        <v>0</v>
      </c>
      <c r="AF783">
        <v>0</v>
      </c>
      <c r="AG783">
        <v>0</v>
      </c>
      <c r="AH783">
        <v>0</v>
      </c>
      <c r="AI783">
        <v>0</v>
      </c>
      <c r="AJ783">
        <v>0</v>
      </c>
      <c r="AK783">
        <v>0</v>
      </c>
      <c r="AL783">
        <v>0</v>
      </c>
      <c r="AM783">
        <v>0</v>
      </c>
      <c r="AN783">
        <v>0</v>
      </c>
      <c r="AO783">
        <v>0</v>
      </c>
      <c r="AP783">
        <v>0</v>
      </c>
      <c r="AQ783">
        <v>0</v>
      </c>
      <c r="AR783">
        <v>0</v>
      </c>
      <c r="AS783">
        <v>0</v>
      </c>
      <c r="AT783">
        <v>0</v>
      </c>
      <c r="AU783">
        <v>0</v>
      </c>
      <c r="AV783">
        <v>0</v>
      </c>
      <c r="AW783">
        <v>0</v>
      </c>
      <c r="AX783">
        <v>0</v>
      </c>
      <c r="AY783">
        <v>0</v>
      </c>
      <c r="AZ783">
        <v>0</v>
      </c>
      <c r="BA783">
        <v>0</v>
      </c>
      <c r="BB783">
        <v>0</v>
      </c>
      <c r="BC783">
        <v>0</v>
      </c>
      <c r="BD783">
        <v>0</v>
      </c>
      <c r="BE783">
        <v>0</v>
      </c>
      <c r="BF783">
        <v>0</v>
      </c>
      <c r="BG783">
        <v>0</v>
      </c>
      <c r="BH783">
        <v>0</v>
      </c>
      <c r="BI783">
        <v>0</v>
      </c>
      <c r="BK783" s="151"/>
    </row>
    <row r="784" spans="1:63" x14ac:dyDescent="0.35">
      <c r="A784">
        <v>0</v>
      </c>
      <c r="B784">
        <v>0</v>
      </c>
      <c r="C784">
        <v>0</v>
      </c>
      <c r="D784">
        <v>0</v>
      </c>
      <c r="E784">
        <v>0</v>
      </c>
      <c r="F784">
        <v>0</v>
      </c>
      <c r="G784">
        <v>0</v>
      </c>
      <c r="H784">
        <v>0</v>
      </c>
      <c r="I784">
        <v>0</v>
      </c>
      <c r="J784">
        <v>0</v>
      </c>
      <c r="K784">
        <v>0</v>
      </c>
      <c r="L784">
        <v>0</v>
      </c>
      <c r="M784">
        <v>0</v>
      </c>
      <c r="N784">
        <v>0</v>
      </c>
      <c r="O784">
        <v>0</v>
      </c>
      <c r="P784">
        <v>0</v>
      </c>
      <c r="Q784">
        <v>0</v>
      </c>
      <c r="R784">
        <v>0</v>
      </c>
      <c r="S784">
        <v>0</v>
      </c>
      <c r="T784">
        <v>0</v>
      </c>
      <c r="U784">
        <v>0</v>
      </c>
      <c r="V784">
        <v>0</v>
      </c>
      <c r="W784">
        <v>0</v>
      </c>
      <c r="X784">
        <v>0</v>
      </c>
      <c r="Y784">
        <v>0</v>
      </c>
      <c r="Z784">
        <v>0</v>
      </c>
      <c r="AA784">
        <v>0</v>
      </c>
      <c r="AB784">
        <v>0</v>
      </c>
      <c r="AC784">
        <v>0</v>
      </c>
      <c r="AD784">
        <v>0</v>
      </c>
      <c r="AF784">
        <v>0</v>
      </c>
      <c r="AG784">
        <v>0</v>
      </c>
      <c r="AH784">
        <v>0</v>
      </c>
      <c r="AI784">
        <v>0</v>
      </c>
      <c r="AJ784">
        <v>0</v>
      </c>
      <c r="AK784">
        <v>0</v>
      </c>
      <c r="AL784">
        <v>0</v>
      </c>
      <c r="AM784">
        <v>0</v>
      </c>
      <c r="AN784">
        <v>0</v>
      </c>
      <c r="AO784">
        <v>0</v>
      </c>
      <c r="AP784">
        <v>0</v>
      </c>
      <c r="AQ784">
        <v>0</v>
      </c>
      <c r="AR784">
        <v>0</v>
      </c>
      <c r="AS784">
        <v>0</v>
      </c>
      <c r="AT784">
        <v>0</v>
      </c>
      <c r="AU784">
        <v>0</v>
      </c>
      <c r="AV784">
        <v>0</v>
      </c>
      <c r="AW784">
        <v>0</v>
      </c>
      <c r="AX784">
        <v>0</v>
      </c>
      <c r="AY784">
        <v>0</v>
      </c>
      <c r="AZ784">
        <v>0</v>
      </c>
      <c r="BA784">
        <v>0</v>
      </c>
      <c r="BB784">
        <v>0</v>
      </c>
      <c r="BC784">
        <v>0</v>
      </c>
      <c r="BD784">
        <v>0</v>
      </c>
      <c r="BE784">
        <v>0</v>
      </c>
      <c r="BF784">
        <v>0</v>
      </c>
      <c r="BG784">
        <v>0</v>
      </c>
      <c r="BH784">
        <v>0</v>
      </c>
      <c r="BI784">
        <v>0</v>
      </c>
      <c r="BK784" s="151"/>
    </row>
    <row r="785" spans="1:63" x14ac:dyDescent="0.35">
      <c r="A785">
        <v>0</v>
      </c>
      <c r="B785">
        <v>0</v>
      </c>
      <c r="C785">
        <v>0</v>
      </c>
      <c r="D785">
        <v>0</v>
      </c>
      <c r="E785">
        <v>0</v>
      </c>
      <c r="F785">
        <v>0</v>
      </c>
      <c r="G785">
        <v>0</v>
      </c>
      <c r="H785">
        <v>0</v>
      </c>
      <c r="I785">
        <v>0</v>
      </c>
      <c r="J785">
        <v>0</v>
      </c>
      <c r="K785">
        <v>0</v>
      </c>
      <c r="L785">
        <v>0</v>
      </c>
      <c r="M785">
        <v>0</v>
      </c>
      <c r="N785">
        <v>0</v>
      </c>
      <c r="O785">
        <v>0</v>
      </c>
      <c r="P785">
        <v>0</v>
      </c>
      <c r="Q785">
        <v>0</v>
      </c>
      <c r="R785">
        <v>0</v>
      </c>
      <c r="S785">
        <v>0</v>
      </c>
      <c r="T785">
        <v>0</v>
      </c>
      <c r="U785">
        <v>0</v>
      </c>
      <c r="V785">
        <v>0</v>
      </c>
      <c r="W785">
        <v>0</v>
      </c>
      <c r="X785">
        <v>0</v>
      </c>
      <c r="Y785">
        <v>0</v>
      </c>
      <c r="Z785">
        <v>0</v>
      </c>
      <c r="AA785">
        <v>0</v>
      </c>
      <c r="AB785">
        <v>0</v>
      </c>
      <c r="AC785">
        <v>0</v>
      </c>
      <c r="AD785">
        <v>0</v>
      </c>
      <c r="AF785">
        <v>0</v>
      </c>
      <c r="AG785">
        <v>0</v>
      </c>
      <c r="AH785">
        <v>0</v>
      </c>
      <c r="AI785">
        <v>0</v>
      </c>
      <c r="AJ785">
        <v>0</v>
      </c>
      <c r="AK785">
        <v>0</v>
      </c>
      <c r="AL785">
        <v>0</v>
      </c>
      <c r="AM785">
        <v>0</v>
      </c>
      <c r="AN785">
        <v>0</v>
      </c>
      <c r="AO785">
        <v>0</v>
      </c>
      <c r="AP785">
        <v>0</v>
      </c>
      <c r="AQ785">
        <v>0</v>
      </c>
      <c r="AR785">
        <v>0</v>
      </c>
      <c r="AS785">
        <v>0</v>
      </c>
      <c r="AT785">
        <v>0</v>
      </c>
      <c r="AU785">
        <v>0</v>
      </c>
      <c r="AV785">
        <v>0</v>
      </c>
      <c r="AW785">
        <v>0</v>
      </c>
      <c r="AX785">
        <v>0</v>
      </c>
      <c r="AY785">
        <v>0</v>
      </c>
      <c r="AZ785">
        <v>0</v>
      </c>
      <c r="BA785">
        <v>0</v>
      </c>
      <c r="BB785">
        <v>0</v>
      </c>
      <c r="BC785">
        <v>0</v>
      </c>
      <c r="BD785">
        <v>0</v>
      </c>
      <c r="BE785">
        <v>0</v>
      </c>
      <c r="BF785">
        <v>0</v>
      </c>
      <c r="BG785">
        <v>0</v>
      </c>
      <c r="BH785">
        <v>0</v>
      </c>
      <c r="BI785">
        <v>0</v>
      </c>
      <c r="BK785" s="151"/>
    </row>
    <row r="786" spans="1:63" x14ac:dyDescent="0.35">
      <c r="A786">
        <v>0</v>
      </c>
      <c r="B786">
        <v>0</v>
      </c>
      <c r="C786">
        <v>0</v>
      </c>
      <c r="D786">
        <v>0</v>
      </c>
      <c r="E786">
        <v>0</v>
      </c>
      <c r="F786">
        <v>0</v>
      </c>
      <c r="G786">
        <v>0</v>
      </c>
      <c r="H786">
        <v>0</v>
      </c>
      <c r="I786">
        <v>0</v>
      </c>
      <c r="J786">
        <v>0</v>
      </c>
      <c r="K786">
        <v>0</v>
      </c>
      <c r="L786">
        <v>0</v>
      </c>
      <c r="M786">
        <v>0</v>
      </c>
      <c r="N786">
        <v>0</v>
      </c>
      <c r="O786">
        <v>0</v>
      </c>
      <c r="P786">
        <v>0</v>
      </c>
      <c r="Q786">
        <v>0</v>
      </c>
      <c r="R786">
        <v>0</v>
      </c>
      <c r="S786">
        <v>0</v>
      </c>
      <c r="T786">
        <v>0</v>
      </c>
      <c r="U786">
        <v>0</v>
      </c>
      <c r="V786">
        <v>0</v>
      </c>
      <c r="W786">
        <v>0</v>
      </c>
      <c r="X786">
        <v>0</v>
      </c>
      <c r="Y786">
        <v>0</v>
      </c>
      <c r="Z786">
        <v>0</v>
      </c>
      <c r="AA786">
        <v>0</v>
      </c>
      <c r="AB786">
        <v>0</v>
      </c>
      <c r="AC786">
        <v>0</v>
      </c>
      <c r="AD786">
        <v>0</v>
      </c>
      <c r="AF786">
        <v>0</v>
      </c>
      <c r="AG786">
        <v>0</v>
      </c>
      <c r="AH786">
        <v>0</v>
      </c>
      <c r="AI786">
        <v>0</v>
      </c>
      <c r="AJ786">
        <v>0</v>
      </c>
      <c r="AK786">
        <v>0</v>
      </c>
      <c r="AL786">
        <v>0</v>
      </c>
      <c r="AM786">
        <v>0</v>
      </c>
      <c r="AN786">
        <v>0</v>
      </c>
      <c r="AO786">
        <v>0</v>
      </c>
      <c r="AP786">
        <v>0</v>
      </c>
      <c r="AQ786">
        <v>0</v>
      </c>
      <c r="AR786">
        <v>0</v>
      </c>
      <c r="AS786">
        <v>0</v>
      </c>
      <c r="AT786">
        <v>0</v>
      </c>
      <c r="AU786">
        <v>0</v>
      </c>
      <c r="AV786">
        <v>0</v>
      </c>
      <c r="AW786">
        <v>0</v>
      </c>
      <c r="AX786">
        <v>0</v>
      </c>
      <c r="AY786">
        <v>0</v>
      </c>
      <c r="AZ786">
        <v>0</v>
      </c>
      <c r="BA786">
        <v>0</v>
      </c>
      <c r="BB786">
        <v>0</v>
      </c>
      <c r="BC786">
        <v>0</v>
      </c>
      <c r="BD786">
        <v>0</v>
      </c>
      <c r="BE786">
        <v>0</v>
      </c>
      <c r="BF786">
        <v>0</v>
      </c>
      <c r="BG786">
        <v>0</v>
      </c>
      <c r="BH786">
        <v>0</v>
      </c>
      <c r="BI786">
        <v>0</v>
      </c>
      <c r="BK786" s="151"/>
    </row>
    <row r="787" spans="1:63" x14ac:dyDescent="0.35">
      <c r="A787">
        <v>0</v>
      </c>
      <c r="B787">
        <v>0</v>
      </c>
      <c r="C787">
        <v>0</v>
      </c>
      <c r="D787">
        <v>0</v>
      </c>
      <c r="E787">
        <v>0</v>
      </c>
      <c r="F787">
        <v>0</v>
      </c>
      <c r="G787">
        <v>0</v>
      </c>
      <c r="H787">
        <v>0</v>
      </c>
      <c r="I787">
        <v>0</v>
      </c>
      <c r="J787">
        <v>0</v>
      </c>
      <c r="K787">
        <v>0</v>
      </c>
      <c r="L787">
        <v>0</v>
      </c>
      <c r="M787">
        <v>0</v>
      </c>
      <c r="N787">
        <v>0</v>
      </c>
      <c r="O787">
        <v>0</v>
      </c>
      <c r="P787">
        <v>0</v>
      </c>
      <c r="Q787">
        <v>0</v>
      </c>
      <c r="R787">
        <v>0</v>
      </c>
      <c r="S787">
        <v>0</v>
      </c>
      <c r="T787">
        <v>0</v>
      </c>
      <c r="U787">
        <v>0</v>
      </c>
      <c r="V787">
        <v>0</v>
      </c>
      <c r="W787">
        <v>0</v>
      </c>
      <c r="X787">
        <v>0</v>
      </c>
      <c r="Y787">
        <v>0</v>
      </c>
      <c r="Z787">
        <v>0</v>
      </c>
      <c r="AA787">
        <v>0</v>
      </c>
      <c r="AB787">
        <v>0</v>
      </c>
      <c r="AC787">
        <v>0</v>
      </c>
      <c r="AD787">
        <v>0</v>
      </c>
      <c r="AF787">
        <v>0</v>
      </c>
      <c r="AG787">
        <v>0</v>
      </c>
      <c r="AH787">
        <v>0</v>
      </c>
      <c r="AI787">
        <v>0</v>
      </c>
      <c r="AJ787">
        <v>0</v>
      </c>
      <c r="AK787">
        <v>0</v>
      </c>
      <c r="AL787">
        <v>0</v>
      </c>
      <c r="AM787">
        <v>0</v>
      </c>
      <c r="AN787">
        <v>0</v>
      </c>
      <c r="AO787">
        <v>0</v>
      </c>
      <c r="AP787">
        <v>0</v>
      </c>
      <c r="AQ787">
        <v>0</v>
      </c>
      <c r="AR787">
        <v>0</v>
      </c>
      <c r="AS787">
        <v>0</v>
      </c>
      <c r="AT787">
        <v>0</v>
      </c>
      <c r="AU787">
        <v>0</v>
      </c>
      <c r="AV787">
        <v>0</v>
      </c>
      <c r="AW787">
        <v>0</v>
      </c>
      <c r="AX787">
        <v>0</v>
      </c>
      <c r="AY787">
        <v>0</v>
      </c>
      <c r="AZ787">
        <v>0</v>
      </c>
      <c r="BA787">
        <v>0</v>
      </c>
      <c r="BB787">
        <v>0</v>
      </c>
      <c r="BC787">
        <v>0</v>
      </c>
      <c r="BD787">
        <v>0</v>
      </c>
      <c r="BE787">
        <v>0</v>
      </c>
      <c r="BF787">
        <v>0</v>
      </c>
      <c r="BG787">
        <v>0</v>
      </c>
      <c r="BH787">
        <v>0</v>
      </c>
      <c r="BI787">
        <v>0</v>
      </c>
      <c r="BK787" s="151"/>
    </row>
    <row r="788" spans="1:63" x14ac:dyDescent="0.35">
      <c r="A788">
        <v>0</v>
      </c>
      <c r="B788">
        <v>0</v>
      </c>
      <c r="C788">
        <v>0</v>
      </c>
      <c r="D788">
        <v>0</v>
      </c>
      <c r="E788">
        <v>0</v>
      </c>
      <c r="F788">
        <v>0</v>
      </c>
      <c r="G788">
        <v>0</v>
      </c>
      <c r="H788">
        <v>0</v>
      </c>
      <c r="I788">
        <v>0</v>
      </c>
      <c r="J788">
        <v>0</v>
      </c>
      <c r="K788">
        <v>0</v>
      </c>
      <c r="L788">
        <v>0</v>
      </c>
      <c r="M788">
        <v>0</v>
      </c>
      <c r="N788">
        <v>0</v>
      </c>
      <c r="O788">
        <v>0</v>
      </c>
      <c r="P788">
        <v>0</v>
      </c>
      <c r="Q788">
        <v>0</v>
      </c>
      <c r="R788">
        <v>0</v>
      </c>
      <c r="S788">
        <v>0</v>
      </c>
      <c r="T788">
        <v>0</v>
      </c>
      <c r="U788">
        <v>0</v>
      </c>
      <c r="V788">
        <v>0</v>
      </c>
      <c r="W788">
        <v>0</v>
      </c>
      <c r="X788">
        <v>0</v>
      </c>
      <c r="Y788">
        <v>0</v>
      </c>
      <c r="Z788">
        <v>0</v>
      </c>
      <c r="AA788">
        <v>0</v>
      </c>
      <c r="AB788">
        <v>0</v>
      </c>
      <c r="AC788">
        <v>0</v>
      </c>
      <c r="AD788">
        <v>0</v>
      </c>
      <c r="AF788">
        <v>0</v>
      </c>
      <c r="AG788">
        <v>0</v>
      </c>
      <c r="AH788">
        <v>0</v>
      </c>
      <c r="AI788">
        <v>0</v>
      </c>
      <c r="AJ788">
        <v>0</v>
      </c>
      <c r="AK788">
        <v>0</v>
      </c>
      <c r="AL788">
        <v>0</v>
      </c>
      <c r="AM788">
        <v>0</v>
      </c>
      <c r="AN788">
        <v>0</v>
      </c>
      <c r="AO788">
        <v>0</v>
      </c>
      <c r="AP788">
        <v>0</v>
      </c>
      <c r="AQ788">
        <v>0</v>
      </c>
      <c r="AR788">
        <v>0</v>
      </c>
      <c r="AS788">
        <v>0</v>
      </c>
      <c r="AT788">
        <v>0</v>
      </c>
      <c r="AU788">
        <v>0</v>
      </c>
      <c r="AV788">
        <v>0</v>
      </c>
      <c r="AW788">
        <v>0</v>
      </c>
      <c r="AX788">
        <v>0</v>
      </c>
      <c r="AY788">
        <v>0</v>
      </c>
      <c r="AZ788">
        <v>0</v>
      </c>
      <c r="BA788">
        <v>0</v>
      </c>
      <c r="BB788">
        <v>0</v>
      </c>
      <c r="BC788">
        <v>0</v>
      </c>
      <c r="BD788">
        <v>0</v>
      </c>
      <c r="BE788">
        <v>0</v>
      </c>
      <c r="BF788">
        <v>0</v>
      </c>
      <c r="BG788">
        <v>0</v>
      </c>
      <c r="BH788">
        <v>0</v>
      </c>
      <c r="BI788">
        <v>0</v>
      </c>
      <c r="BK788" s="151"/>
    </row>
    <row r="789" spans="1:63" x14ac:dyDescent="0.35">
      <c r="A789">
        <v>0</v>
      </c>
      <c r="B789">
        <v>0</v>
      </c>
      <c r="C789">
        <v>0</v>
      </c>
      <c r="D789">
        <v>0</v>
      </c>
      <c r="E789">
        <v>0</v>
      </c>
      <c r="F789">
        <v>0</v>
      </c>
      <c r="G789">
        <v>0</v>
      </c>
      <c r="H789">
        <v>0</v>
      </c>
      <c r="I789">
        <v>0</v>
      </c>
      <c r="J789">
        <v>0</v>
      </c>
      <c r="K789">
        <v>0</v>
      </c>
      <c r="L789">
        <v>0</v>
      </c>
      <c r="M789">
        <v>0</v>
      </c>
      <c r="N789">
        <v>0</v>
      </c>
      <c r="O789">
        <v>0</v>
      </c>
      <c r="P789">
        <v>0</v>
      </c>
      <c r="Q789">
        <v>0</v>
      </c>
      <c r="R789">
        <v>0</v>
      </c>
      <c r="S789">
        <v>0</v>
      </c>
      <c r="T789">
        <v>0</v>
      </c>
      <c r="U789">
        <v>0</v>
      </c>
      <c r="V789">
        <v>0</v>
      </c>
      <c r="W789">
        <v>0</v>
      </c>
      <c r="X789">
        <v>0</v>
      </c>
      <c r="Y789">
        <v>0</v>
      </c>
      <c r="Z789">
        <v>0</v>
      </c>
      <c r="AA789">
        <v>0</v>
      </c>
      <c r="AB789">
        <v>0</v>
      </c>
      <c r="AC789">
        <v>0</v>
      </c>
      <c r="AD789">
        <v>0</v>
      </c>
      <c r="AF789">
        <v>0</v>
      </c>
      <c r="AG789">
        <v>0</v>
      </c>
      <c r="AH789">
        <v>0</v>
      </c>
      <c r="AI789">
        <v>0</v>
      </c>
      <c r="AJ789">
        <v>0</v>
      </c>
      <c r="AK789">
        <v>0</v>
      </c>
      <c r="AL789">
        <v>0</v>
      </c>
      <c r="AM789">
        <v>0</v>
      </c>
      <c r="AN789">
        <v>0</v>
      </c>
      <c r="AO789">
        <v>0</v>
      </c>
      <c r="AP789">
        <v>0</v>
      </c>
      <c r="AQ789">
        <v>0</v>
      </c>
      <c r="AR789">
        <v>0</v>
      </c>
      <c r="AS789">
        <v>0</v>
      </c>
      <c r="AT789">
        <v>0</v>
      </c>
      <c r="AU789">
        <v>0</v>
      </c>
      <c r="AV789">
        <v>0</v>
      </c>
      <c r="AW789">
        <v>0</v>
      </c>
      <c r="AX789">
        <v>0</v>
      </c>
      <c r="AY789">
        <v>0</v>
      </c>
      <c r="AZ789">
        <v>0</v>
      </c>
      <c r="BA789">
        <v>0</v>
      </c>
      <c r="BB789">
        <v>0</v>
      </c>
      <c r="BC789">
        <v>0</v>
      </c>
      <c r="BD789">
        <v>0</v>
      </c>
      <c r="BE789">
        <v>0</v>
      </c>
      <c r="BF789">
        <v>0</v>
      </c>
      <c r="BG789">
        <v>0</v>
      </c>
      <c r="BH789">
        <v>0</v>
      </c>
      <c r="BI789">
        <v>0</v>
      </c>
      <c r="BK789" s="151"/>
    </row>
    <row r="790" spans="1:63" x14ac:dyDescent="0.35">
      <c r="A790">
        <v>0</v>
      </c>
      <c r="B790">
        <v>0</v>
      </c>
      <c r="C790">
        <v>0</v>
      </c>
      <c r="D790">
        <v>0</v>
      </c>
      <c r="E790">
        <v>0</v>
      </c>
      <c r="F790">
        <v>0</v>
      </c>
      <c r="G790">
        <v>0</v>
      </c>
      <c r="H790">
        <v>0</v>
      </c>
      <c r="I790">
        <v>0</v>
      </c>
      <c r="J790">
        <v>0</v>
      </c>
      <c r="K790">
        <v>0</v>
      </c>
      <c r="L790">
        <v>0</v>
      </c>
      <c r="M790">
        <v>0</v>
      </c>
      <c r="N790">
        <v>0</v>
      </c>
      <c r="O790">
        <v>0</v>
      </c>
      <c r="P790">
        <v>0</v>
      </c>
      <c r="Q790">
        <v>0</v>
      </c>
      <c r="R790">
        <v>0</v>
      </c>
      <c r="S790">
        <v>0</v>
      </c>
      <c r="T790">
        <v>0</v>
      </c>
      <c r="U790">
        <v>0</v>
      </c>
      <c r="V790">
        <v>0</v>
      </c>
      <c r="W790">
        <v>0</v>
      </c>
      <c r="X790">
        <v>0</v>
      </c>
      <c r="Y790">
        <v>0</v>
      </c>
      <c r="Z790">
        <v>0</v>
      </c>
      <c r="AA790">
        <v>0</v>
      </c>
      <c r="AB790">
        <v>0</v>
      </c>
      <c r="AC790">
        <v>0</v>
      </c>
      <c r="AD790">
        <v>0</v>
      </c>
      <c r="AF790">
        <v>0</v>
      </c>
      <c r="AG790">
        <v>0</v>
      </c>
      <c r="AH790">
        <v>0</v>
      </c>
      <c r="AI790">
        <v>0</v>
      </c>
      <c r="AJ790">
        <v>0</v>
      </c>
      <c r="AK790">
        <v>0</v>
      </c>
      <c r="AL790">
        <v>0</v>
      </c>
      <c r="AM790">
        <v>0</v>
      </c>
      <c r="AN790">
        <v>0</v>
      </c>
      <c r="AO790">
        <v>0</v>
      </c>
      <c r="AP790">
        <v>0</v>
      </c>
      <c r="AQ790">
        <v>0</v>
      </c>
      <c r="AR790">
        <v>0</v>
      </c>
      <c r="AS790">
        <v>0</v>
      </c>
      <c r="AT790">
        <v>0</v>
      </c>
      <c r="AU790">
        <v>0</v>
      </c>
      <c r="AV790">
        <v>0</v>
      </c>
      <c r="AW790">
        <v>0</v>
      </c>
      <c r="AX790">
        <v>0</v>
      </c>
      <c r="AY790">
        <v>0</v>
      </c>
      <c r="AZ790">
        <v>0</v>
      </c>
      <c r="BA790">
        <v>0</v>
      </c>
      <c r="BB790">
        <v>0</v>
      </c>
      <c r="BC790">
        <v>0</v>
      </c>
      <c r="BD790">
        <v>0</v>
      </c>
      <c r="BE790">
        <v>0</v>
      </c>
      <c r="BF790">
        <v>0</v>
      </c>
      <c r="BG790">
        <v>0</v>
      </c>
      <c r="BH790">
        <v>0</v>
      </c>
      <c r="BI790">
        <v>0</v>
      </c>
      <c r="BK790" s="151"/>
    </row>
    <row r="791" spans="1:63" x14ac:dyDescent="0.35">
      <c r="A791">
        <v>0</v>
      </c>
      <c r="B791">
        <v>0</v>
      </c>
      <c r="C791">
        <v>0</v>
      </c>
      <c r="D791">
        <v>0</v>
      </c>
      <c r="E791">
        <v>0</v>
      </c>
      <c r="F791">
        <v>0</v>
      </c>
      <c r="G791">
        <v>0</v>
      </c>
      <c r="H791">
        <v>0</v>
      </c>
      <c r="I791">
        <v>0</v>
      </c>
      <c r="J791">
        <v>0</v>
      </c>
      <c r="K791">
        <v>0</v>
      </c>
      <c r="L791">
        <v>0</v>
      </c>
      <c r="M791">
        <v>0</v>
      </c>
      <c r="N791">
        <v>0</v>
      </c>
      <c r="O791">
        <v>0</v>
      </c>
      <c r="P791">
        <v>0</v>
      </c>
      <c r="Q791">
        <v>0</v>
      </c>
      <c r="R791">
        <v>0</v>
      </c>
      <c r="S791">
        <v>0</v>
      </c>
      <c r="T791">
        <v>0</v>
      </c>
      <c r="U791">
        <v>0</v>
      </c>
      <c r="V791">
        <v>0</v>
      </c>
      <c r="W791">
        <v>0</v>
      </c>
      <c r="X791">
        <v>0</v>
      </c>
      <c r="Y791">
        <v>0</v>
      </c>
      <c r="Z791">
        <v>0</v>
      </c>
      <c r="AA791">
        <v>0</v>
      </c>
      <c r="AB791">
        <v>0</v>
      </c>
      <c r="AC791">
        <v>0</v>
      </c>
      <c r="AD791">
        <v>0</v>
      </c>
      <c r="AF791">
        <v>0</v>
      </c>
      <c r="AG791">
        <v>0</v>
      </c>
      <c r="AH791">
        <v>0</v>
      </c>
      <c r="AI791">
        <v>0</v>
      </c>
      <c r="AJ791">
        <v>0</v>
      </c>
      <c r="AK791">
        <v>0</v>
      </c>
      <c r="AL791">
        <v>0</v>
      </c>
      <c r="AM791">
        <v>0</v>
      </c>
      <c r="AN791">
        <v>0</v>
      </c>
      <c r="AO791">
        <v>0</v>
      </c>
      <c r="AP791">
        <v>0</v>
      </c>
      <c r="AQ791">
        <v>0</v>
      </c>
      <c r="AR791">
        <v>0</v>
      </c>
      <c r="AS791">
        <v>0</v>
      </c>
      <c r="AT791">
        <v>0</v>
      </c>
      <c r="AU791">
        <v>0</v>
      </c>
      <c r="AV791">
        <v>0</v>
      </c>
      <c r="AW791">
        <v>0</v>
      </c>
      <c r="AX791">
        <v>0</v>
      </c>
      <c r="AY791">
        <v>0</v>
      </c>
      <c r="AZ791">
        <v>0</v>
      </c>
      <c r="BA791">
        <v>0</v>
      </c>
      <c r="BB791">
        <v>0</v>
      </c>
      <c r="BC791">
        <v>0</v>
      </c>
      <c r="BD791">
        <v>0</v>
      </c>
      <c r="BE791">
        <v>0</v>
      </c>
      <c r="BF791">
        <v>0</v>
      </c>
      <c r="BG791">
        <v>0</v>
      </c>
      <c r="BH791">
        <v>0</v>
      </c>
      <c r="BI791">
        <v>0</v>
      </c>
      <c r="BK791" s="151"/>
    </row>
    <row r="792" spans="1:63" x14ac:dyDescent="0.35">
      <c r="A792">
        <v>0</v>
      </c>
      <c r="B792">
        <v>0</v>
      </c>
      <c r="C792">
        <v>0</v>
      </c>
      <c r="D792">
        <v>0</v>
      </c>
      <c r="E792">
        <v>0</v>
      </c>
      <c r="F792">
        <v>0</v>
      </c>
      <c r="G792">
        <v>0</v>
      </c>
      <c r="H792">
        <v>0</v>
      </c>
      <c r="I792">
        <v>0</v>
      </c>
      <c r="J792">
        <v>0</v>
      </c>
      <c r="K792">
        <v>0</v>
      </c>
      <c r="L792">
        <v>0</v>
      </c>
      <c r="M792">
        <v>0</v>
      </c>
      <c r="N792">
        <v>0</v>
      </c>
      <c r="O792">
        <v>0</v>
      </c>
      <c r="P792">
        <v>0</v>
      </c>
      <c r="Q792">
        <v>0</v>
      </c>
      <c r="R792">
        <v>0</v>
      </c>
      <c r="S792">
        <v>0</v>
      </c>
      <c r="T792">
        <v>0</v>
      </c>
      <c r="U792">
        <v>0</v>
      </c>
      <c r="V792">
        <v>0</v>
      </c>
      <c r="W792">
        <v>0</v>
      </c>
      <c r="X792">
        <v>0</v>
      </c>
      <c r="Y792">
        <v>0</v>
      </c>
      <c r="Z792">
        <v>0</v>
      </c>
      <c r="AA792">
        <v>0</v>
      </c>
      <c r="AB792">
        <v>0</v>
      </c>
      <c r="AC792">
        <v>0</v>
      </c>
      <c r="AD792">
        <v>0</v>
      </c>
      <c r="AF792">
        <v>0</v>
      </c>
      <c r="AG792">
        <v>0</v>
      </c>
      <c r="AH792">
        <v>0</v>
      </c>
      <c r="AI792">
        <v>0</v>
      </c>
      <c r="AJ792">
        <v>0</v>
      </c>
      <c r="AK792">
        <v>0</v>
      </c>
      <c r="AL792">
        <v>0</v>
      </c>
      <c r="AM792">
        <v>0</v>
      </c>
      <c r="AN792">
        <v>0</v>
      </c>
      <c r="AO792">
        <v>0</v>
      </c>
      <c r="AP792">
        <v>0</v>
      </c>
      <c r="AQ792">
        <v>0</v>
      </c>
      <c r="AR792">
        <v>0</v>
      </c>
      <c r="AS792">
        <v>0</v>
      </c>
      <c r="AT792">
        <v>0</v>
      </c>
      <c r="AU792">
        <v>0</v>
      </c>
      <c r="AV792">
        <v>0</v>
      </c>
      <c r="AW792">
        <v>0</v>
      </c>
      <c r="AX792">
        <v>0</v>
      </c>
      <c r="AY792">
        <v>0</v>
      </c>
      <c r="AZ792">
        <v>0</v>
      </c>
      <c r="BA792">
        <v>0</v>
      </c>
      <c r="BB792">
        <v>0</v>
      </c>
      <c r="BC792">
        <v>0</v>
      </c>
      <c r="BD792">
        <v>0</v>
      </c>
      <c r="BE792">
        <v>0</v>
      </c>
      <c r="BF792">
        <v>0</v>
      </c>
      <c r="BG792">
        <v>0</v>
      </c>
      <c r="BH792">
        <v>0</v>
      </c>
      <c r="BI792">
        <v>0</v>
      </c>
      <c r="BK792" s="151"/>
    </row>
    <row r="793" spans="1:63" x14ac:dyDescent="0.35">
      <c r="A793">
        <v>0</v>
      </c>
      <c r="B793">
        <v>0</v>
      </c>
      <c r="C793">
        <v>0</v>
      </c>
      <c r="D793">
        <v>0</v>
      </c>
      <c r="E793">
        <v>0</v>
      </c>
      <c r="F793">
        <v>0</v>
      </c>
      <c r="G793">
        <v>0</v>
      </c>
      <c r="H793">
        <v>0</v>
      </c>
      <c r="I793">
        <v>0</v>
      </c>
      <c r="J793">
        <v>0</v>
      </c>
      <c r="K793">
        <v>0</v>
      </c>
      <c r="L793">
        <v>0</v>
      </c>
      <c r="M793">
        <v>0</v>
      </c>
      <c r="N793">
        <v>0</v>
      </c>
      <c r="O793">
        <v>0</v>
      </c>
      <c r="P793">
        <v>0</v>
      </c>
      <c r="Q793">
        <v>0</v>
      </c>
      <c r="R793">
        <v>0</v>
      </c>
      <c r="S793">
        <v>0</v>
      </c>
      <c r="T793">
        <v>0</v>
      </c>
      <c r="U793">
        <v>0</v>
      </c>
      <c r="V793">
        <v>0</v>
      </c>
      <c r="W793">
        <v>0</v>
      </c>
      <c r="X793">
        <v>0</v>
      </c>
      <c r="Y793">
        <v>0</v>
      </c>
      <c r="Z793">
        <v>0</v>
      </c>
      <c r="AA793">
        <v>0</v>
      </c>
      <c r="AB793">
        <v>0</v>
      </c>
      <c r="AC793">
        <v>0</v>
      </c>
      <c r="AD793">
        <v>0</v>
      </c>
      <c r="AF793">
        <v>0</v>
      </c>
      <c r="AG793">
        <v>0</v>
      </c>
      <c r="AH793">
        <v>0</v>
      </c>
      <c r="AI793">
        <v>0</v>
      </c>
      <c r="AJ793">
        <v>0</v>
      </c>
      <c r="AK793">
        <v>0</v>
      </c>
      <c r="AL793">
        <v>0</v>
      </c>
      <c r="AM793">
        <v>0</v>
      </c>
      <c r="AN793">
        <v>0</v>
      </c>
      <c r="AO793">
        <v>0</v>
      </c>
      <c r="AP793">
        <v>0</v>
      </c>
      <c r="AQ793">
        <v>0</v>
      </c>
      <c r="AR793">
        <v>0</v>
      </c>
      <c r="AS793">
        <v>0</v>
      </c>
      <c r="AT793">
        <v>0</v>
      </c>
      <c r="AU793">
        <v>0</v>
      </c>
      <c r="AV793">
        <v>0</v>
      </c>
      <c r="AW793">
        <v>0</v>
      </c>
      <c r="AX793">
        <v>0</v>
      </c>
      <c r="AY793">
        <v>0</v>
      </c>
      <c r="AZ793">
        <v>0</v>
      </c>
      <c r="BA793">
        <v>0</v>
      </c>
      <c r="BB793">
        <v>0</v>
      </c>
      <c r="BC793">
        <v>0</v>
      </c>
      <c r="BD793">
        <v>0</v>
      </c>
      <c r="BE793">
        <v>0</v>
      </c>
      <c r="BF793">
        <v>0</v>
      </c>
      <c r="BG793">
        <v>0</v>
      </c>
      <c r="BH793">
        <v>0</v>
      </c>
      <c r="BI793">
        <v>0</v>
      </c>
      <c r="BK793" s="151"/>
    </row>
    <row r="794" spans="1:63" x14ac:dyDescent="0.35">
      <c r="A794">
        <v>0</v>
      </c>
      <c r="B794">
        <v>0</v>
      </c>
      <c r="C794">
        <v>0</v>
      </c>
      <c r="D794">
        <v>0</v>
      </c>
      <c r="E794">
        <v>0</v>
      </c>
      <c r="F794">
        <v>0</v>
      </c>
      <c r="G794">
        <v>0</v>
      </c>
      <c r="H794">
        <v>0</v>
      </c>
      <c r="I794">
        <v>0</v>
      </c>
      <c r="J794">
        <v>0</v>
      </c>
      <c r="K794">
        <v>0</v>
      </c>
      <c r="L794">
        <v>0</v>
      </c>
      <c r="M794">
        <v>0</v>
      </c>
      <c r="N794">
        <v>0</v>
      </c>
      <c r="O794">
        <v>0</v>
      </c>
      <c r="P794">
        <v>0</v>
      </c>
      <c r="Q794">
        <v>0</v>
      </c>
      <c r="R794">
        <v>0</v>
      </c>
      <c r="S794">
        <v>0</v>
      </c>
      <c r="T794">
        <v>0</v>
      </c>
      <c r="U794">
        <v>0</v>
      </c>
      <c r="V794">
        <v>0</v>
      </c>
      <c r="W794">
        <v>0</v>
      </c>
      <c r="X794">
        <v>0</v>
      </c>
      <c r="Y794">
        <v>0</v>
      </c>
      <c r="Z794">
        <v>0</v>
      </c>
      <c r="AA794">
        <v>0</v>
      </c>
      <c r="AB794">
        <v>0</v>
      </c>
      <c r="AC794">
        <v>0</v>
      </c>
      <c r="AD794">
        <v>0</v>
      </c>
      <c r="AF794">
        <v>0</v>
      </c>
      <c r="AG794">
        <v>0</v>
      </c>
      <c r="AH794">
        <v>0</v>
      </c>
      <c r="AI794">
        <v>0</v>
      </c>
      <c r="AJ794">
        <v>0</v>
      </c>
      <c r="AK794">
        <v>0</v>
      </c>
      <c r="AL794">
        <v>0</v>
      </c>
      <c r="AM794">
        <v>0</v>
      </c>
      <c r="AN794">
        <v>0</v>
      </c>
      <c r="AO794">
        <v>0</v>
      </c>
      <c r="AP794">
        <v>0</v>
      </c>
      <c r="AQ794">
        <v>0</v>
      </c>
      <c r="AR794">
        <v>0</v>
      </c>
      <c r="AS794">
        <v>0</v>
      </c>
      <c r="AT794">
        <v>0</v>
      </c>
      <c r="AU794">
        <v>0</v>
      </c>
      <c r="AV794">
        <v>0</v>
      </c>
      <c r="AW794">
        <v>0</v>
      </c>
      <c r="AX794">
        <v>0</v>
      </c>
      <c r="AY794">
        <v>0</v>
      </c>
      <c r="AZ794">
        <v>0</v>
      </c>
      <c r="BA794">
        <v>0</v>
      </c>
      <c r="BB794">
        <v>0</v>
      </c>
      <c r="BC794">
        <v>0</v>
      </c>
      <c r="BD794">
        <v>0</v>
      </c>
      <c r="BE794">
        <v>0</v>
      </c>
      <c r="BF794">
        <v>0</v>
      </c>
      <c r="BG794">
        <v>0</v>
      </c>
      <c r="BH794">
        <v>0</v>
      </c>
      <c r="BI794">
        <v>0</v>
      </c>
      <c r="BK794" s="151"/>
    </row>
    <row r="795" spans="1:63" x14ac:dyDescent="0.35">
      <c r="A795">
        <v>0</v>
      </c>
      <c r="B795">
        <v>0</v>
      </c>
      <c r="C795">
        <v>0</v>
      </c>
      <c r="D795">
        <v>0</v>
      </c>
      <c r="E795">
        <v>0</v>
      </c>
      <c r="F795">
        <v>0</v>
      </c>
      <c r="G795">
        <v>0</v>
      </c>
      <c r="H795">
        <v>0</v>
      </c>
      <c r="I795">
        <v>0</v>
      </c>
      <c r="J795">
        <v>0</v>
      </c>
      <c r="K795">
        <v>0</v>
      </c>
      <c r="L795">
        <v>0</v>
      </c>
      <c r="M795">
        <v>0</v>
      </c>
      <c r="N795">
        <v>0</v>
      </c>
      <c r="O795">
        <v>0</v>
      </c>
      <c r="P795">
        <v>0</v>
      </c>
      <c r="Q795">
        <v>0</v>
      </c>
      <c r="R795">
        <v>0</v>
      </c>
      <c r="S795">
        <v>0</v>
      </c>
      <c r="T795">
        <v>0</v>
      </c>
      <c r="U795">
        <v>0</v>
      </c>
      <c r="V795">
        <v>0</v>
      </c>
      <c r="W795">
        <v>0</v>
      </c>
      <c r="X795">
        <v>0</v>
      </c>
      <c r="Y795">
        <v>0</v>
      </c>
      <c r="Z795">
        <v>0</v>
      </c>
      <c r="AA795">
        <v>0</v>
      </c>
      <c r="AB795">
        <v>0</v>
      </c>
      <c r="AC795">
        <v>0</v>
      </c>
      <c r="AD795">
        <v>0</v>
      </c>
      <c r="AF795">
        <v>0</v>
      </c>
      <c r="AG795">
        <v>0</v>
      </c>
      <c r="AH795">
        <v>0</v>
      </c>
      <c r="AI795">
        <v>0</v>
      </c>
      <c r="AJ795">
        <v>0</v>
      </c>
      <c r="AK795">
        <v>0</v>
      </c>
      <c r="AL795">
        <v>0</v>
      </c>
      <c r="AM795">
        <v>0</v>
      </c>
      <c r="AN795">
        <v>0</v>
      </c>
      <c r="AO795">
        <v>0</v>
      </c>
      <c r="AP795">
        <v>0</v>
      </c>
      <c r="AQ795">
        <v>0</v>
      </c>
      <c r="AR795">
        <v>0</v>
      </c>
      <c r="AS795">
        <v>0</v>
      </c>
      <c r="AT795">
        <v>0</v>
      </c>
      <c r="AU795">
        <v>0</v>
      </c>
      <c r="AV795">
        <v>0</v>
      </c>
      <c r="AW795">
        <v>0</v>
      </c>
      <c r="AX795">
        <v>0</v>
      </c>
      <c r="AY795">
        <v>0</v>
      </c>
      <c r="AZ795">
        <v>0</v>
      </c>
      <c r="BA795">
        <v>0</v>
      </c>
      <c r="BB795">
        <v>0</v>
      </c>
      <c r="BC795">
        <v>0</v>
      </c>
      <c r="BD795">
        <v>0</v>
      </c>
      <c r="BE795">
        <v>0</v>
      </c>
      <c r="BF795">
        <v>0</v>
      </c>
      <c r="BG795">
        <v>0</v>
      </c>
      <c r="BH795">
        <v>0</v>
      </c>
      <c r="BI795">
        <v>0</v>
      </c>
      <c r="BK795" s="151"/>
    </row>
    <row r="796" spans="1:63" x14ac:dyDescent="0.35">
      <c r="A796">
        <v>0</v>
      </c>
      <c r="B796">
        <v>0</v>
      </c>
      <c r="C796">
        <v>0</v>
      </c>
      <c r="D796">
        <v>0</v>
      </c>
      <c r="E796">
        <v>0</v>
      </c>
      <c r="F796">
        <v>0</v>
      </c>
      <c r="G796">
        <v>0</v>
      </c>
      <c r="H796">
        <v>0</v>
      </c>
      <c r="I796">
        <v>0</v>
      </c>
      <c r="J796">
        <v>0</v>
      </c>
      <c r="K796">
        <v>0</v>
      </c>
      <c r="L796">
        <v>0</v>
      </c>
      <c r="M796">
        <v>0</v>
      </c>
      <c r="N796">
        <v>0</v>
      </c>
      <c r="O796">
        <v>0</v>
      </c>
      <c r="P796">
        <v>0</v>
      </c>
      <c r="Q796">
        <v>0</v>
      </c>
      <c r="R796">
        <v>0</v>
      </c>
      <c r="S796">
        <v>0</v>
      </c>
      <c r="T796">
        <v>0</v>
      </c>
      <c r="U796">
        <v>0</v>
      </c>
      <c r="V796">
        <v>0</v>
      </c>
      <c r="W796">
        <v>0</v>
      </c>
      <c r="X796">
        <v>0</v>
      </c>
      <c r="Y796">
        <v>0</v>
      </c>
      <c r="Z796">
        <v>0</v>
      </c>
      <c r="AA796">
        <v>0</v>
      </c>
      <c r="AB796">
        <v>0</v>
      </c>
      <c r="AC796">
        <v>0</v>
      </c>
      <c r="AD796">
        <v>0</v>
      </c>
      <c r="AF796">
        <v>0</v>
      </c>
      <c r="AG796">
        <v>0</v>
      </c>
      <c r="AH796">
        <v>0</v>
      </c>
      <c r="AI796">
        <v>0</v>
      </c>
      <c r="AJ796">
        <v>0</v>
      </c>
      <c r="AK796">
        <v>0</v>
      </c>
      <c r="AL796">
        <v>0</v>
      </c>
      <c r="AM796">
        <v>0</v>
      </c>
      <c r="AN796">
        <v>0</v>
      </c>
      <c r="AO796">
        <v>0</v>
      </c>
      <c r="AP796">
        <v>0</v>
      </c>
      <c r="AQ796">
        <v>0</v>
      </c>
      <c r="AR796">
        <v>0</v>
      </c>
      <c r="AS796">
        <v>0</v>
      </c>
      <c r="AT796">
        <v>0</v>
      </c>
      <c r="AU796">
        <v>0</v>
      </c>
      <c r="AV796">
        <v>0</v>
      </c>
      <c r="AW796">
        <v>0</v>
      </c>
      <c r="AX796">
        <v>0</v>
      </c>
      <c r="AY796">
        <v>0</v>
      </c>
      <c r="AZ796">
        <v>0</v>
      </c>
      <c r="BA796">
        <v>0</v>
      </c>
      <c r="BB796">
        <v>0</v>
      </c>
      <c r="BC796">
        <v>0</v>
      </c>
      <c r="BD796">
        <v>0</v>
      </c>
      <c r="BE796">
        <v>0</v>
      </c>
      <c r="BF796">
        <v>0</v>
      </c>
      <c r="BG796">
        <v>0</v>
      </c>
      <c r="BH796">
        <v>0</v>
      </c>
      <c r="BI796">
        <v>0</v>
      </c>
      <c r="BK796" s="151"/>
    </row>
    <row r="797" spans="1:63" x14ac:dyDescent="0.35">
      <c r="A797">
        <v>0</v>
      </c>
      <c r="B797">
        <v>0</v>
      </c>
      <c r="C797">
        <v>0</v>
      </c>
      <c r="D797">
        <v>0</v>
      </c>
      <c r="E797">
        <v>0</v>
      </c>
      <c r="F797">
        <v>0</v>
      </c>
      <c r="G797">
        <v>0</v>
      </c>
      <c r="H797">
        <v>0</v>
      </c>
      <c r="I797">
        <v>0</v>
      </c>
      <c r="J797">
        <v>0</v>
      </c>
      <c r="K797">
        <v>0</v>
      </c>
      <c r="L797">
        <v>0</v>
      </c>
      <c r="M797">
        <v>0</v>
      </c>
      <c r="N797">
        <v>0</v>
      </c>
      <c r="O797">
        <v>0</v>
      </c>
      <c r="P797">
        <v>0</v>
      </c>
      <c r="Q797">
        <v>0</v>
      </c>
      <c r="R797">
        <v>0</v>
      </c>
      <c r="S797">
        <v>0</v>
      </c>
      <c r="T797">
        <v>0</v>
      </c>
      <c r="U797">
        <v>0</v>
      </c>
      <c r="V797">
        <v>0</v>
      </c>
      <c r="W797">
        <v>0</v>
      </c>
      <c r="X797">
        <v>0</v>
      </c>
      <c r="Y797">
        <v>0</v>
      </c>
      <c r="Z797">
        <v>0</v>
      </c>
      <c r="AA797">
        <v>0</v>
      </c>
      <c r="AB797">
        <v>0</v>
      </c>
      <c r="AC797">
        <v>0</v>
      </c>
      <c r="AD797">
        <v>0</v>
      </c>
      <c r="AF797">
        <v>0</v>
      </c>
      <c r="AG797">
        <v>0</v>
      </c>
      <c r="AH797">
        <v>0</v>
      </c>
      <c r="AI797">
        <v>0</v>
      </c>
      <c r="AJ797">
        <v>0</v>
      </c>
      <c r="AK797">
        <v>0</v>
      </c>
      <c r="AL797">
        <v>0</v>
      </c>
      <c r="AM797">
        <v>0</v>
      </c>
      <c r="AN797">
        <v>0</v>
      </c>
      <c r="AO797">
        <v>0</v>
      </c>
      <c r="AP797">
        <v>0</v>
      </c>
      <c r="AQ797">
        <v>0</v>
      </c>
      <c r="AR797">
        <v>0</v>
      </c>
      <c r="AS797">
        <v>0</v>
      </c>
      <c r="AT797">
        <v>0</v>
      </c>
      <c r="AU797">
        <v>0</v>
      </c>
      <c r="AV797">
        <v>0</v>
      </c>
      <c r="AW797">
        <v>0</v>
      </c>
      <c r="AX797">
        <v>0</v>
      </c>
      <c r="AY797">
        <v>0</v>
      </c>
      <c r="AZ797">
        <v>0</v>
      </c>
      <c r="BA797">
        <v>0</v>
      </c>
      <c r="BB797">
        <v>0</v>
      </c>
      <c r="BC797">
        <v>0</v>
      </c>
      <c r="BD797">
        <v>0</v>
      </c>
      <c r="BE797">
        <v>0</v>
      </c>
      <c r="BF797">
        <v>0</v>
      </c>
      <c r="BG797">
        <v>0</v>
      </c>
      <c r="BH797">
        <v>0</v>
      </c>
      <c r="BI797">
        <v>0</v>
      </c>
      <c r="BK797" s="151"/>
    </row>
    <row r="798" spans="1:63" x14ac:dyDescent="0.35">
      <c r="A798">
        <v>0</v>
      </c>
      <c r="B798">
        <v>0</v>
      </c>
      <c r="C798">
        <v>0</v>
      </c>
      <c r="D798">
        <v>0</v>
      </c>
      <c r="E798">
        <v>0</v>
      </c>
      <c r="F798">
        <v>0</v>
      </c>
      <c r="G798">
        <v>0</v>
      </c>
      <c r="H798">
        <v>0</v>
      </c>
      <c r="I798">
        <v>0</v>
      </c>
      <c r="J798">
        <v>0</v>
      </c>
      <c r="K798">
        <v>0</v>
      </c>
      <c r="L798">
        <v>0</v>
      </c>
      <c r="M798">
        <v>0</v>
      </c>
      <c r="N798">
        <v>0</v>
      </c>
      <c r="O798">
        <v>0</v>
      </c>
      <c r="P798">
        <v>0</v>
      </c>
      <c r="Q798">
        <v>0</v>
      </c>
      <c r="R798">
        <v>0</v>
      </c>
      <c r="S798">
        <v>0</v>
      </c>
      <c r="T798">
        <v>0</v>
      </c>
      <c r="U798">
        <v>0</v>
      </c>
      <c r="V798">
        <v>0</v>
      </c>
      <c r="W798">
        <v>0</v>
      </c>
      <c r="X798">
        <v>0</v>
      </c>
      <c r="Y798">
        <v>0</v>
      </c>
      <c r="Z798">
        <v>0</v>
      </c>
      <c r="AA798">
        <v>0</v>
      </c>
      <c r="AB798">
        <v>0</v>
      </c>
      <c r="AC798">
        <v>0</v>
      </c>
      <c r="AD798">
        <v>0</v>
      </c>
      <c r="AF798">
        <v>0</v>
      </c>
      <c r="AG798">
        <v>0</v>
      </c>
      <c r="AH798">
        <v>0</v>
      </c>
      <c r="AI798">
        <v>0</v>
      </c>
      <c r="AJ798">
        <v>0</v>
      </c>
      <c r="AK798">
        <v>0</v>
      </c>
      <c r="AL798">
        <v>0</v>
      </c>
      <c r="AM798">
        <v>0</v>
      </c>
      <c r="AN798">
        <v>0</v>
      </c>
      <c r="AO798">
        <v>0</v>
      </c>
      <c r="AP798">
        <v>0</v>
      </c>
      <c r="AQ798">
        <v>0</v>
      </c>
      <c r="AR798">
        <v>0</v>
      </c>
      <c r="AS798">
        <v>0</v>
      </c>
      <c r="AT798">
        <v>0</v>
      </c>
      <c r="AU798">
        <v>0</v>
      </c>
      <c r="AV798">
        <v>0</v>
      </c>
      <c r="AW798">
        <v>0</v>
      </c>
      <c r="AX798">
        <v>0</v>
      </c>
      <c r="AY798">
        <v>0</v>
      </c>
      <c r="AZ798">
        <v>0</v>
      </c>
      <c r="BA798">
        <v>0</v>
      </c>
      <c r="BB798">
        <v>0</v>
      </c>
      <c r="BC798">
        <v>0</v>
      </c>
      <c r="BD798">
        <v>0</v>
      </c>
      <c r="BE798">
        <v>0</v>
      </c>
      <c r="BF798">
        <v>0</v>
      </c>
      <c r="BG798">
        <v>0</v>
      </c>
      <c r="BH798">
        <v>0</v>
      </c>
      <c r="BI798">
        <v>0</v>
      </c>
      <c r="BK798" s="151"/>
    </row>
    <row r="799" spans="1:63" x14ac:dyDescent="0.35">
      <c r="A799">
        <v>0</v>
      </c>
      <c r="B799">
        <v>0</v>
      </c>
      <c r="C799">
        <v>0</v>
      </c>
      <c r="D799">
        <v>0</v>
      </c>
      <c r="E799">
        <v>0</v>
      </c>
      <c r="F799">
        <v>0</v>
      </c>
      <c r="G799">
        <v>0</v>
      </c>
      <c r="H799">
        <v>0</v>
      </c>
      <c r="I799">
        <v>0</v>
      </c>
      <c r="J799">
        <v>0</v>
      </c>
      <c r="K799">
        <v>0</v>
      </c>
      <c r="L799">
        <v>0</v>
      </c>
      <c r="M799">
        <v>0</v>
      </c>
      <c r="N799">
        <v>0</v>
      </c>
      <c r="O799">
        <v>0</v>
      </c>
      <c r="P799">
        <v>0</v>
      </c>
      <c r="Q799">
        <v>0</v>
      </c>
      <c r="R799">
        <v>0</v>
      </c>
      <c r="S799">
        <v>0</v>
      </c>
      <c r="T799">
        <v>0</v>
      </c>
      <c r="U799">
        <v>0</v>
      </c>
      <c r="V799">
        <v>0</v>
      </c>
      <c r="W799">
        <v>0</v>
      </c>
      <c r="X799">
        <v>0</v>
      </c>
      <c r="Y799">
        <v>0</v>
      </c>
      <c r="Z799">
        <v>0</v>
      </c>
      <c r="AA799">
        <v>0</v>
      </c>
      <c r="AB799">
        <v>0</v>
      </c>
      <c r="AC799">
        <v>0</v>
      </c>
      <c r="AD799">
        <v>0</v>
      </c>
      <c r="AF799">
        <v>0</v>
      </c>
      <c r="AG799">
        <v>0</v>
      </c>
      <c r="AH799">
        <v>0</v>
      </c>
      <c r="AI799">
        <v>0</v>
      </c>
      <c r="AJ799">
        <v>0</v>
      </c>
      <c r="AK799">
        <v>0</v>
      </c>
      <c r="AL799">
        <v>0</v>
      </c>
      <c r="AM799">
        <v>0</v>
      </c>
      <c r="AN799">
        <v>0</v>
      </c>
      <c r="AO799">
        <v>0</v>
      </c>
      <c r="AP799">
        <v>0</v>
      </c>
      <c r="AQ799">
        <v>0</v>
      </c>
      <c r="AR799">
        <v>0</v>
      </c>
      <c r="AS799">
        <v>0</v>
      </c>
      <c r="AT799">
        <v>0</v>
      </c>
      <c r="AU799">
        <v>0</v>
      </c>
      <c r="AV799">
        <v>0</v>
      </c>
      <c r="AW799">
        <v>0</v>
      </c>
      <c r="AX799">
        <v>0</v>
      </c>
      <c r="AY799">
        <v>0</v>
      </c>
      <c r="AZ799">
        <v>0</v>
      </c>
      <c r="BA799">
        <v>0</v>
      </c>
      <c r="BB799">
        <v>0</v>
      </c>
      <c r="BC799">
        <v>0</v>
      </c>
      <c r="BD799">
        <v>0</v>
      </c>
      <c r="BE799">
        <v>0</v>
      </c>
      <c r="BF799">
        <v>0</v>
      </c>
      <c r="BG799">
        <v>0</v>
      </c>
      <c r="BH799">
        <v>0</v>
      </c>
      <c r="BI799">
        <v>0</v>
      </c>
      <c r="BK799" s="151"/>
    </row>
    <row r="800" spans="1:63" x14ac:dyDescent="0.35">
      <c r="A800">
        <v>0</v>
      </c>
      <c r="B800">
        <v>0</v>
      </c>
      <c r="C800">
        <v>0</v>
      </c>
      <c r="D800">
        <v>0</v>
      </c>
      <c r="E800">
        <v>0</v>
      </c>
      <c r="F800">
        <v>0</v>
      </c>
      <c r="G800">
        <v>0</v>
      </c>
      <c r="H800">
        <v>0</v>
      </c>
      <c r="I800">
        <v>0</v>
      </c>
      <c r="J800">
        <v>0</v>
      </c>
      <c r="K800">
        <v>0</v>
      </c>
      <c r="L800">
        <v>0</v>
      </c>
      <c r="M800">
        <v>0</v>
      </c>
      <c r="N800">
        <v>0</v>
      </c>
      <c r="O800">
        <v>0</v>
      </c>
      <c r="P800">
        <v>0</v>
      </c>
      <c r="Q800">
        <v>0</v>
      </c>
      <c r="R800">
        <v>0</v>
      </c>
      <c r="S800">
        <v>0</v>
      </c>
      <c r="T800">
        <v>0</v>
      </c>
      <c r="U800">
        <v>0</v>
      </c>
      <c r="V800">
        <v>0</v>
      </c>
      <c r="W800">
        <v>0</v>
      </c>
      <c r="X800">
        <v>0</v>
      </c>
      <c r="Y800">
        <v>0</v>
      </c>
      <c r="Z800">
        <v>0</v>
      </c>
      <c r="AA800">
        <v>0</v>
      </c>
      <c r="AB800">
        <v>0</v>
      </c>
      <c r="AC800">
        <v>0</v>
      </c>
      <c r="AD800">
        <v>0</v>
      </c>
      <c r="AF800">
        <v>0</v>
      </c>
      <c r="AG800">
        <v>0</v>
      </c>
      <c r="AH800">
        <v>0</v>
      </c>
      <c r="AI800">
        <v>0</v>
      </c>
      <c r="AJ800">
        <v>0</v>
      </c>
      <c r="AK800">
        <v>0</v>
      </c>
      <c r="AL800">
        <v>0</v>
      </c>
      <c r="AM800">
        <v>0</v>
      </c>
      <c r="AN800">
        <v>0</v>
      </c>
      <c r="AO800">
        <v>0</v>
      </c>
      <c r="AP800">
        <v>0</v>
      </c>
      <c r="AQ800">
        <v>0</v>
      </c>
      <c r="AR800">
        <v>0</v>
      </c>
      <c r="AS800">
        <v>0</v>
      </c>
      <c r="AT800">
        <v>0</v>
      </c>
      <c r="AU800">
        <v>0</v>
      </c>
      <c r="AV800">
        <v>0</v>
      </c>
      <c r="AW800">
        <v>0</v>
      </c>
      <c r="AX800">
        <v>0</v>
      </c>
      <c r="AY800">
        <v>0</v>
      </c>
      <c r="AZ800">
        <v>0</v>
      </c>
      <c r="BA800">
        <v>0</v>
      </c>
      <c r="BB800">
        <v>0</v>
      </c>
      <c r="BC800">
        <v>0</v>
      </c>
      <c r="BD800">
        <v>0</v>
      </c>
      <c r="BE800">
        <v>0</v>
      </c>
      <c r="BF800">
        <v>0</v>
      </c>
      <c r="BG800">
        <v>0</v>
      </c>
      <c r="BH800">
        <v>0</v>
      </c>
      <c r="BI800">
        <v>0</v>
      </c>
      <c r="BK800" s="151"/>
    </row>
    <row r="801" spans="1:63" x14ac:dyDescent="0.35">
      <c r="A801">
        <v>0</v>
      </c>
      <c r="B801">
        <v>0</v>
      </c>
      <c r="C801">
        <v>0</v>
      </c>
      <c r="D801">
        <v>0</v>
      </c>
      <c r="E801">
        <v>0</v>
      </c>
      <c r="F801">
        <v>0</v>
      </c>
      <c r="G801">
        <v>0</v>
      </c>
      <c r="H801">
        <v>0</v>
      </c>
      <c r="I801">
        <v>0</v>
      </c>
      <c r="J801">
        <v>0</v>
      </c>
      <c r="K801">
        <v>0</v>
      </c>
      <c r="L801">
        <v>0</v>
      </c>
      <c r="M801">
        <v>0</v>
      </c>
      <c r="N801">
        <v>0</v>
      </c>
      <c r="O801">
        <v>0</v>
      </c>
      <c r="P801">
        <v>0</v>
      </c>
      <c r="Q801">
        <v>0</v>
      </c>
      <c r="R801">
        <v>0</v>
      </c>
      <c r="S801">
        <v>0</v>
      </c>
      <c r="T801">
        <v>0</v>
      </c>
      <c r="U801">
        <v>0</v>
      </c>
      <c r="V801">
        <v>0</v>
      </c>
      <c r="W801">
        <v>0</v>
      </c>
      <c r="X801">
        <v>0</v>
      </c>
      <c r="Y801">
        <v>0</v>
      </c>
      <c r="Z801">
        <v>0</v>
      </c>
      <c r="AA801">
        <v>0</v>
      </c>
      <c r="AB801">
        <v>0</v>
      </c>
      <c r="AC801">
        <v>0</v>
      </c>
      <c r="AD801">
        <v>0</v>
      </c>
      <c r="AF801">
        <v>0</v>
      </c>
      <c r="AG801">
        <v>0</v>
      </c>
      <c r="AH801">
        <v>0</v>
      </c>
      <c r="AI801">
        <v>0</v>
      </c>
      <c r="AJ801">
        <v>0</v>
      </c>
      <c r="AK801">
        <v>0</v>
      </c>
      <c r="AL801">
        <v>0</v>
      </c>
      <c r="AM801">
        <v>0</v>
      </c>
      <c r="AN801">
        <v>0</v>
      </c>
      <c r="AO801">
        <v>0</v>
      </c>
      <c r="AP801">
        <v>0</v>
      </c>
      <c r="AQ801">
        <v>0</v>
      </c>
      <c r="AR801">
        <v>0</v>
      </c>
      <c r="AS801">
        <v>0</v>
      </c>
      <c r="AT801">
        <v>0</v>
      </c>
      <c r="AU801">
        <v>0</v>
      </c>
      <c r="AV801">
        <v>0</v>
      </c>
      <c r="AW801">
        <v>0</v>
      </c>
      <c r="AX801">
        <v>0</v>
      </c>
      <c r="AY801">
        <v>0</v>
      </c>
      <c r="AZ801">
        <v>0</v>
      </c>
      <c r="BA801">
        <v>0</v>
      </c>
      <c r="BB801">
        <v>0</v>
      </c>
      <c r="BC801">
        <v>0</v>
      </c>
      <c r="BD801">
        <v>0</v>
      </c>
      <c r="BE801">
        <v>0</v>
      </c>
      <c r="BF801">
        <v>0</v>
      </c>
      <c r="BG801">
        <v>0</v>
      </c>
      <c r="BH801">
        <v>0</v>
      </c>
      <c r="BI801">
        <v>0</v>
      </c>
      <c r="BK801" s="151"/>
    </row>
    <row r="802" spans="1:63" x14ac:dyDescent="0.35">
      <c r="A802">
        <v>0</v>
      </c>
      <c r="B802">
        <v>0</v>
      </c>
      <c r="C802">
        <v>0</v>
      </c>
      <c r="D802">
        <v>0</v>
      </c>
      <c r="E802">
        <v>0</v>
      </c>
      <c r="F802">
        <v>0</v>
      </c>
      <c r="G802">
        <v>0</v>
      </c>
      <c r="H802">
        <v>0</v>
      </c>
      <c r="I802">
        <v>0</v>
      </c>
      <c r="J802">
        <v>0</v>
      </c>
      <c r="K802">
        <v>0</v>
      </c>
      <c r="L802">
        <v>0</v>
      </c>
      <c r="M802">
        <v>0</v>
      </c>
      <c r="N802">
        <v>0</v>
      </c>
      <c r="O802">
        <v>0</v>
      </c>
      <c r="P802">
        <v>0</v>
      </c>
      <c r="Q802">
        <v>0</v>
      </c>
      <c r="R802">
        <v>0</v>
      </c>
      <c r="S802">
        <v>0</v>
      </c>
      <c r="T802">
        <v>0</v>
      </c>
      <c r="U802">
        <v>0</v>
      </c>
      <c r="V802">
        <v>0</v>
      </c>
      <c r="W802">
        <v>0</v>
      </c>
      <c r="X802">
        <v>0</v>
      </c>
      <c r="Y802">
        <v>0</v>
      </c>
      <c r="Z802">
        <v>0</v>
      </c>
      <c r="AA802">
        <v>0</v>
      </c>
      <c r="AB802">
        <v>0</v>
      </c>
      <c r="AC802">
        <v>0</v>
      </c>
      <c r="AD802">
        <v>0</v>
      </c>
      <c r="AF802">
        <v>0</v>
      </c>
      <c r="AG802">
        <v>0</v>
      </c>
      <c r="AH802">
        <v>0</v>
      </c>
      <c r="AI802">
        <v>0</v>
      </c>
      <c r="AJ802">
        <v>0</v>
      </c>
      <c r="AK802">
        <v>0</v>
      </c>
      <c r="AL802">
        <v>0</v>
      </c>
      <c r="AM802">
        <v>0</v>
      </c>
      <c r="AN802">
        <v>0</v>
      </c>
      <c r="AO802">
        <v>0</v>
      </c>
      <c r="AP802">
        <v>0</v>
      </c>
      <c r="AQ802">
        <v>0</v>
      </c>
      <c r="AR802">
        <v>0</v>
      </c>
      <c r="AS802">
        <v>0</v>
      </c>
      <c r="AT802">
        <v>0</v>
      </c>
      <c r="AU802">
        <v>0</v>
      </c>
      <c r="AV802">
        <v>0</v>
      </c>
      <c r="AW802">
        <v>0</v>
      </c>
      <c r="AX802">
        <v>0</v>
      </c>
      <c r="AY802">
        <v>0</v>
      </c>
      <c r="AZ802">
        <v>0</v>
      </c>
      <c r="BA802">
        <v>0</v>
      </c>
      <c r="BB802">
        <v>0</v>
      </c>
      <c r="BC802">
        <v>0</v>
      </c>
      <c r="BD802">
        <v>0</v>
      </c>
      <c r="BE802">
        <v>0</v>
      </c>
      <c r="BF802">
        <v>0</v>
      </c>
      <c r="BG802">
        <v>0</v>
      </c>
      <c r="BH802">
        <v>0</v>
      </c>
      <c r="BI802">
        <v>0</v>
      </c>
      <c r="BK802" s="151"/>
    </row>
    <row r="803" spans="1:63" x14ac:dyDescent="0.35">
      <c r="A803">
        <v>0</v>
      </c>
      <c r="B803">
        <v>0</v>
      </c>
      <c r="C803">
        <v>0</v>
      </c>
      <c r="D803">
        <v>0</v>
      </c>
      <c r="E803">
        <v>0</v>
      </c>
      <c r="F803">
        <v>0</v>
      </c>
      <c r="G803">
        <v>0</v>
      </c>
      <c r="H803">
        <v>0</v>
      </c>
      <c r="I803">
        <v>0</v>
      </c>
      <c r="J803">
        <v>0</v>
      </c>
      <c r="K803">
        <v>0</v>
      </c>
      <c r="L803">
        <v>0</v>
      </c>
      <c r="M803">
        <v>0</v>
      </c>
      <c r="N803">
        <v>0</v>
      </c>
      <c r="O803">
        <v>0</v>
      </c>
      <c r="P803">
        <v>0</v>
      </c>
      <c r="Q803">
        <v>0</v>
      </c>
      <c r="R803">
        <v>0</v>
      </c>
      <c r="S803">
        <v>0</v>
      </c>
      <c r="T803">
        <v>0</v>
      </c>
      <c r="U803">
        <v>0</v>
      </c>
      <c r="V803">
        <v>0</v>
      </c>
      <c r="W803">
        <v>0</v>
      </c>
      <c r="X803">
        <v>0</v>
      </c>
      <c r="Y803">
        <v>0</v>
      </c>
      <c r="Z803">
        <v>0</v>
      </c>
      <c r="AA803">
        <v>0</v>
      </c>
      <c r="AB803">
        <v>0</v>
      </c>
      <c r="AC803">
        <v>0</v>
      </c>
      <c r="AD803">
        <v>0</v>
      </c>
      <c r="AF803">
        <v>0</v>
      </c>
      <c r="AG803">
        <v>0</v>
      </c>
      <c r="AH803">
        <v>0</v>
      </c>
      <c r="AI803">
        <v>0</v>
      </c>
      <c r="AJ803">
        <v>0</v>
      </c>
      <c r="AK803">
        <v>0</v>
      </c>
      <c r="AL803">
        <v>0</v>
      </c>
      <c r="AM803">
        <v>0</v>
      </c>
      <c r="AN803">
        <v>0</v>
      </c>
      <c r="AO803">
        <v>0</v>
      </c>
      <c r="AP803">
        <v>0</v>
      </c>
      <c r="AQ803">
        <v>0</v>
      </c>
      <c r="AR803">
        <v>0</v>
      </c>
      <c r="AS803">
        <v>0</v>
      </c>
      <c r="AT803">
        <v>0</v>
      </c>
      <c r="AU803">
        <v>0</v>
      </c>
      <c r="AV803">
        <v>0</v>
      </c>
      <c r="AW803">
        <v>0</v>
      </c>
      <c r="AX803">
        <v>0</v>
      </c>
      <c r="AY803">
        <v>0</v>
      </c>
      <c r="AZ803">
        <v>0</v>
      </c>
      <c r="BA803">
        <v>0</v>
      </c>
      <c r="BB803">
        <v>0</v>
      </c>
      <c r="BC803">
        <v>0</v>
      </c>
      <c r="BD803">
        <v>0</v>
      </c>
      <c r="BE803">
        <v>0</v>
      </c>
      <c r="BF803">
        <v>0</v>
      </c>
      <c r="BG803">
        <v>0</v>
      </c>
      <c r="BH803">
        <v>0</v>
      </c>
      <c r="BI803">
        <v>0</v>
      </c>
      <c r="BK803" s="151"/>
    </row>
    <row r="804" spans="1:63" x14ac:dyDescent="0.35">
      <c r="A804">
        <v>0</v>
      </c>
      <c r="B804">
        <v>0</v>
      </c>
      <c r="C804">
        <v>0</v>
      </c>
      <c r="D804">
        <v>0</v>
      </c>
      <c r="E804">
        <v>0</v>
      </c>
      <c r="F804">
        <v>0</v>
      </c>
      <c r="G804">
        <v>0</v>
      </c>
      <c r="H804">
        <v>0</v>
      </c>
      <c r="I804">
        <v>0</v>
      </c>
      <c r="J804">
        <v>0</v>
      </c>
      <c r="K804">
        <v>0</v>
      </c>
      <c r="L804">
        <v>0</v>
      </c>
      <c r="M804">
        <v>0</v>
      </c>
      <c r="N804">
        <v>0</v>
      </c>
      <c r="O804">
        <v>0</v>
      </c>
      <c r="P804">
        <v>0</v>
      </c>
      <c r="Q804">
        <v>0</v>
      </c>
      <c r="R804">
        <v>0</v>
      </c>
      <c r="S804">
        <v>0</v>
      </c>
      <c r="T804">
        <v>0</v>
      </c>
      <c r="U804">
        <v>0</v>
      </c>
      <c r="V804">
        <v>0</v>
      </c>
      <c r="W804">
        <v>0</v>
      </c>
      <c r="X804">
        <v>0</v>
      </c>
      <c r="Y804">
        <v>0</v>
      </c>
      <c r="Z804">
        <v>0</v>
      </c>
      <c r="AA804">
        <v>0</v>
      </c>
      <c r="AB804">
        <v>0</v>
      </c>
      <c r="AC804">
        <v>0</v>
      </c>
      <c r="AD804">
        <v>0</v>
      </c>
      <c r="AF804">
        <v>0</v>
      </c>
      <c r="AG804">
        <v>0</v>
      </c>
      <c r="AH804">
        <v>0</v>
      </c>
      <c r="AI804">
        <v>0</v>
      </c>
      <c r="AJ804">
        <v>0</v>
      </c>
      <c r="AK804">
        <v>0</v>
      </c>
      <c r="AL804">
        <v>0</v>
      </c>
      <c r="AM804">
        <v>0</v>
      </c>
      <c r="AN804">
        <v>0</v>
      </c>
      <c r="AO804">
        <v>0</v>
      </c>
      <c r="AP804">
        <v>0</v>
      </c>
      <c r="AQ804">
        <v>0</v>
      </c>
      <c r="AR804">
        <v>0</v>
      </c>
      <c r="AS804">
        <v>0</v>
      </c>
      <c r="AT804">
        <v>0</v>
      </c>
      <c r="AU804">
        <v>0</v>
      </c>
      <c r="AV804">
        <v>0</v>
      </c>
      <c r="AW804">
        <v>0</v>
      </c>
      <c r="AX804">
        <v>0</v>
      </c>
      <c r="AY804">
        <v>0</v>
      </c>
      <c r="AZ804">
        <v>0</v>
      </c>
      <c r="BA804">
        <v>0</v>
      </c>
      <c r="BB804">
        <v>0</v>
      </c>
      <c r="BC804">
        <v>0</v>
      </c>
      <c r="BD804">
        <v>0</v>
      </c>
      <c r="BE804">
        <v>0</v>
      </c>
      <c r="BF804">
        <v>0</v>
      </c>
      <c r="BG804">
        <v>0</v>
      </c>
      <c r="BH804">
        <v>0</v>
      </c>
      <c r="BI804">
        <v>0</v>
      </c>
      <c r="BK804" s="151"/>
    </row>
    <row r="805" spans="1:63" x14ac:dyDescent="0.35">
      <c r="A805">
        <v>0</v>
      </c>
      <c r="B805">
        <v>0</v>
      </c>
      <c r="C805">
        <v>0</v>
      </c>
      <c r="D805">
        <v>0</v>
      </c>
      <c r="E805">
        <v>0</v>
      </c>
      <c r="F805">
        <v>0</v>
      </c>
      <c r="G805">
        <v>0</v>
      </c>
      <c r="H805">
        <v>0</v>
      </c>
      <c r="I805">
        <v>0</v>
      </c>
      <c r="J805">
        <v>0</v>
      </c>
      <c r="K805">
        <v>0</v>
      </c>
      <c r="L805">
        <v>0</v>
      </c>
      <c r="M805">
        <v>0</v>
      </c>
      <c r="N805">
        <v>0</v>
      </c>
      <c r="O805">
        <v>0</v>
      </c>
      <c r="P805">
        <v>0</v>
      </c>
      <c r="Q805">
        <v>0</v>
      </c>
      <c r="R805">
        <v>0</v>
      </c>
      <c r="S805">
        <v>0</v>
      </c>
      <c r="T805">
        <v>0</v>
      </c>
      <c r="U805">
        <v>0</v>
      </c>
      <c r="V805">
        <v>0</v>
      </c>
      <c r="W805">
        <v>0</v>
      </c>
      <c r="X805">
        <v>0</v>
      </c>
      <c r="Y805">
        <v>0</v>
      </c>
      <c r="Z805">
        <v>0</v>
      </c>
      <c r="AA805">
        <v>0</v>
      </c>
      <c r="AB805">
        <v>0</v>
      </c>
      <c r="AC805">
        <v>0</v>
      </c>
      <c r="AD805">
        <v>0</v>
      </c>
      <c r="AF805">
        <v>0</v>
      </c>
      <c r="AG805">
        <v>0</v>
      </c>
      <c r="AH805">
        <v>0</v>
      </c>
      <c r="AI805">
        <v>0</v>
      </c>
      <c r="AJ805">
        <v>0</v>
      </c>
      <c r="AK805">
        <v>0</v>
      </c>
      <c r="AL805">
        <v>0</v>
      </c>
      <c r="AM805">
        <v>0</v>
      </c>
      <c r="AN805">
        <v>0</v>
      </c>
      <c r="AO805">
        <v>0</v>
      </c>
      <c r="AP805">
        <v>0</v>
      </c>
      <c r="AQ805">
        <v>0</v>
      </c>
      <c r="AR805">
        <v>0</v>
      </c>
      <c r="AS805">
        <v>0</v>
      </c>
      <c r="AT805">
        <v>0</v>
      </c>
      <c r="AU805">
        <v>0</v>
      </c>
      <c r="AV805">
        <v>0</v>
      </c>
      <c r="AW805">
        <v>0</v>
      </c>
      <c r="AX805">
        <v>0</v>
      </c>
      <c r="AY805">
        <v>0</v>
      </c>
      <c r="AZ805">
        <v>0</v>
      </c>
      <c r="BA805">
        <v>0</v>
      </c>
      <c r="BB805">
        <v>0</v>
      </c>
      <c r="BC805">
        <v>0</v>
      </c>
      <c r="BD805">
        <v>0</v>
      </c>
      <c r="BE805">
        <v>0</v>
      </c>
      <c r="BF805">
        <v>0</v>
      </c>
      <c r="BG805">
        <v>0</v>
      </c>
      <c r="BH805">
        <v>0</v>
      </c>
      <c r="BI805">
        <v>0</v>
      </c>
      <c r="BK805" s="151"/>
    </row>
    <row r="806" spans="1:63" x14ac:dyDescent="0.35">
      <c r="A806">
        <v>0</v>
      </c>
      <c r="B806">
        <v>0</v>
      </c>
      <c r="C806">
        <v>0</v>
      </c>
      <c r="D806">
        <v>0</v>
      </c>
      <c r="E806">
        <v>0</v>
      </c>
      <c r="F806">
        <v>0</v>
      </c>
      <c r="G806">
        <v>0</v>
      </c>
      <c r="H806">
        <v>0</v>
      </c>
      <c r="I806">
        <v>0</v>
      </c>
      <c r="J806">
        <v>0</v>
      </c>
      <c r="K806">
        <v>0</v>
      </c>
      <c r="L806">
        <v>0</v>
      </c>
      <c r="M806">
        <v>0</v>
      </c>
      <c r="N806">
        <v>0</v>
      </c>
      <c r="O806">
        <v>0</v>
      </c>
      <c r="P806">
        <v>0</v>
      </c>
      <c r="Q806">
        <v>0</v>
      </c>
      <c r="R806">
        <v>0</v>
      </c>
      <c r="S806">
        <v>0</v>
      </c>
      <c r="T806">
        <v>0</v>
      </c>
      <c r="U806">
        <v>0</v>
      </c>
      <c r="V806">
        <v>0</v>
      </c>
      <c r="W806">
        <v>0</v>
      </c>
      <c r="X806">
        <v>0</v>
      </c>
      <c r="Y806">
        <v>0</v>
      </c>
      <c r="Z806">
        <v>0</v>
      </c>
      <c r="AA806">
        <v>0</v>
      </c>
      <c r="AB806">
        <v>0</v>
      </c>
      <c r="AC806">
        <v>0</v>
      </c>
      <c r="AD806">
        <v>0</v>
      </c>
      <c r="AF806">
        <v>0</v>
      </c>
      <c r="AG806">
        <v>0</v>
      </c>
      <c r="AH806">
        <v>0</v>
      </c>
      <c r="AI806">
        <v>0</v>
      </c>
      <c r="AJ806">
        <v>0</v>
      </c>
      <c r="AK806">
        <v>0</v>
      </c>
      <c r="AL806">
        <v>0</v>
      </c>
      <c r="AM806">
        <v>0</v>
      </c>
      <c r="AN806">
        <v>0</v>
      </c>
      <c r="AO806">
        <v>0</v>
      </c>
      <c r="AP806">
        <v>0</v>
      </c>
      <c r="AQ806">
        <v>0</v>
      </c>
      <c r="AR806">
        <v>0</v>
      </c>
      <c r="AS806">
        <v>0</v>
      </c>
      <c r="AT806">
        <v>0</v>
      </c>
      <c r="AU806">
        <v>0</v>
      </c>
      <c r="AV806">
        <v>0</v>
      </c>
      <c r="AW806">
        <v>0</v>
      </c>
      <c r="AX806">
        <v>0</v>
      </c>
      <c r="AY806">
        <v>0</v>
      </c>
      <c r="AZ806">
        <v>0</v>
      </c>
      <c r="BA806">
        <v>0</v>
      </c>
      <c r="BB806">
        <v>0</v>
      </c>
      <c r="BC806">
        <v>0</v>
      </c>
      <c r="BD806">
        <v>0</v>
      </c>
      <c r="BE806">
        <v>0</v>
      </c>
      <c r="BF806">
        <v>0</v>
      </c>
      <c r="BG806">
        <v>0</v>
      </c>
      <c r="BH806">
        <v>0</v>
      </c>
      <c r="BI806">
        <v>0</v>
      </c>
      <c r="BK806" s="151"/>
    </row>
    <row r="807" spans="1:63" x14ac:dyDescent="0.35">
      <c r="A807">
        <v>0</v>
      </c>
      <c r="B807">
        <v>0</v>
      </c>
      <c r="C807">
        <v>0</v>
      </c>
      <c r="D807">
        <v>0</v>
      </c>
      <c r="E807">
        <v>0</v>
      </c>
      <c r="F807">
        <v>0</v>
      </c>
      <c r="G807">
        <v>0</v>
      </c>
      <c r="H807">
        <v>0</v>
      </c>
      <c r="I807">
        <v>0</v>
      </c>
      <c r="J807">
        <v>0</v>
      </c>
      <c r="K807">
        <v>0</v>
      </c>
      <c r="L807">
        <v>0</v>
      </c>
      <c r="M807">
        <v>0</v>
      </c>
      <c r="N807">
        <v>0</v>
      </c>
      <c r="O807">
        <v>0</v>
      </c>
      <c r="P807">
        <v>0</v>
      </c>
      <c r="Q807">
        <v>0</v>
      </c>
      <c r="R807">
        <v>0</v>
      </c>
      <c r="S807">
        <v>0</v>
      </c>
      <c r="T807">
        <v>0</v>
      </c>
      <c r="U807">
        <v>0</v>
      </c>
      <c r="V807">
        <v>0</v>
      </c>
      <c r="W807">
        <v>0</v>
      </c>
      <c r="X807">
        <v>0</v>
      </c>
      <c r="Y807">
        <v>0</v>
      </c>
      <c r="Z807">
        <v>0</v>
      </c>
      <c r="AA807">
        <v>0</v>
      </c>
      <c r="AB807">
        <v>0</v>
      </c>
      <c r="AC807">
        <v>0</v>
      </c>
      <c r="AD807">
        <v>0</v>
      </c>
      <c r="AF807">
        <v>0</v>
      </c>
      <c r="AG807">
        <v>0</v>
      </c>
      <c r="AH807">
        <v>0</v>
      </c>
      <c r="AI807">
        <v>0</v>
      </c>
      <c r="AJ807">
        <v>0</v>
      </c>
      <c r="AK807">
        <v>0</v>
      </c>
      <c r="AL807">
        <v>0</v>
      </c>
      <c r="AM807">
        <v>0</v>
      </c>
      <c r="AN807">
        <v>0</v>
      </c>
      <c r="AO807">
        <v>0</v>
      </c>
      <c r="AP807">
        <v>0</v>
      </c>
      <c r="AQ807">
        <v>0</v>
      </c>
      <c r="AR807">
        <v>0</v>
      </c>
      <c r="AS807">
        <v>0</v>
      </c>
      <c r="AT807">
        <v>0</v>
      </c>
      <c r="AU807">
        <v>0</v>
      </c>
      <c r="AV807">
        <v>0</v>
      </c>
      <c r="AW807">
        <v>0</v>
      </c>
      <c r="AX807">
        <v>0</v>
      </c>
      <c r="AY807">
        <v>0</v>
      </c>
      <c r="AZ807">
        <v>0</v>
      </c>
      <c r="BA807">
        <v>0</v>
      </c>
      <c r="BB807">
        <v>0</v>
      </c>
      <c r="BC807">
        <v>0</v>
      </c>
      <c r="BD807">
        <v>0</v>
      </c>
      <c r="BE807">
        <v>0</v>
      </c>
      <c r="BF807">
        <v>0</v>
      </c>
      <c r="BG807">
        <v>0</v>
      </c>
      <c r="BH807">
        <v>0</v>
      </c>
      <c r="BI807">
        <v>0</v>
      </c>
      <c r="BK807" s="151"/>
    </row>
    <row r="808" spans="1:63" x14ac:dyDescent="0.35">
      <c r="A808">
        <v>0</v>
      </c>
      <c r="B808">
        <v>0</v>
      </c>
      <c r="C808">
        <v>0</v>
      </c>
      <c r="D808">
        <v>0</v>
      </c>
      <c r="E808">
        <v>0</v>
      </c>
      <c r="F808">
        <v>0</v>
      </c>
      <c r="G808">
        <v>0</v>
      </c>
      <c r="H808">
        <v>0</v>
      </c>
      <c r="I808">
        <v>0</v>
      </c>
      <c r="J808">
        <v>0</v>
      </c>
      <c r="K808">
        <v>0</v>
      </c>
      <c r="L808">
        <v>0</v>
      </c>
      <c r="M808">
        <v>0</v>
      </c>
      <c r="N808">
        <v>0</v>
      </c>
      <c r="O808">
        <v>0</v>
      </c>
      <c r="P808">
        <v>0</v>
      </c>
      <c r="Q808">
        <v>0</v>
      </c>
      <c r="R808">
        <v>0</v>
      </c>
      <c r="S808">
        <v>0</v>
      </c>
      <c r="T808">
        <v>0</v>
      </c>
      <c r="U808">
        <v>0</v>
      </c>
      <c r="V808">
        <v>0</v>
      </c>
      <c r="W808">
        <v>0</v>
      </c>
      <c r="X808">
        <v>0</v>
      </c>
      <c r="Y808">
        <v>0</v>
      </c>
      <c r="Z808">
        <v>0</v>
      </c>
      <c r="AA808">
        <v>0</v>
      </c>
      <c r="AB808">
        <v>0</v>
      </c>
      <c r="AC808">
        <v>0</v>
      </c>
      <c r="AD808">
        <v>0</v>
      </c>
      <c r="AF808">
        <v>0</v>
      </c>
      <c r="AG808">
        <v>0</v>
      </c>
      <c r="AH808">
        <v>0</v>
      </c>
      <c r="AI808">
        <v>0</v>
      </c>
      <c r="AJ808">
        <v>0</v>
      </c>
      <c r="AK808">
        <v>0</v>
      </c>
      <c r="AL808">
        <v>0</v>
      </c>
      <c r="AM808">
        <v>0</v>
      </c>
      <c r="AN808">
        <v>0</v>
      </c>
      <c r="AO808">
        <v>0</v>
      </c>
      <c r="AP808">
        <v>0</v>
      </c>
      <c r="AQ808">
        <v>0</v>
      </c>
      <c r="AR808">
        <v>0</v>
      </c>
      <c r="AS808">
        <v>0</v>
      </c>
      <c r="AT808">
        <v>0</v>
      </c>
      <c r="AU808">
        <v>0</v>
      </c>
      <c r="AV808">
        <v>0</v>
      </c>
      <c r="AW808">
        <v>0</v>
      </c>
      <c r="AX808">
        <v>0</v>
      </c>
      <c r="AY808">
        <v>0</v>
      </c>
      <c r="AZ808">
        <v>0</v>
      </c>
      <c r="BA808">
        <v>0</v>
      </c>
      <c r="BB808">
        <v>0</v>
      </c>
      <c r="BC808">
        <v>0</v>
      </c>
      <c r="BD808">
        <v>0</v>
      </c>
      <c r="BE808">
        <v>0</v>
      </c>
      <c r="BF808">
        <v>0</v>
      </c>
      <c r="BG808">
        <v>0</v>
      </c>
      <c r="BH808">
        <v>0</v>
      </c>
      <c r="BI808">
        <v>0</v>
      </c>
      <c r="BK808" s="151"/>
    </row>
    <row r="809" spans="1:63" x14ac:dyDescent="0.35">
      <c r="A809">
        <v>0</v>
      </c>
      <c r="B809">
        <v>0</v>
      </c>
      <c r="C809">
        <v>0</v>
      </c>
      <c r="D809">
        <v>0</v>
      </c>
      <c r="E809">
        <v>0</v>
      </c>
      <c r="F809">
        <v>0</v>
      </c>
      <c r="G809">
        <v>0</v>
      </c>
      <c r="H809">
        <v>0</v>
      </c>
      <c r="I809">
        <v>0</v>
      </c>
      <c r="J809">
        <v>0</v>
      </c>
      <c r="K809">
        <v>0</v>
      </c>
      <c r="L809">
        <v>0</v>
      </c>
      <c r="M809">
        <v>0</v>
      </c>
      <c r="N809">
        <v>0</v>
      </c>
      <c r="O809">
        <v>0</v>
      </c>
      <c r="P809">
        <v>0</v>
      </c>
      <c r="Q809">
        <v>0</v>
      </c>
      <c r="R809">
        <v>0</v>
      </c>
      <c r="S809">
        <v>0</v>
      </c>
      <c r="T809">
        <v>0</v>
      </c>
      <c r="U809">
        <v>0</v>
      </c>
      <c r="V809">
        <v>0</v>
      </c>
      <c r="W809">
        <v>0</v>
      </c>
      <c r="X809">
        <v>0</v>
      </c>
      <c r="Y809">
        <v>0</v>
      </c>
      <c r="Z809">
        <v>0</v>
      </c>
      <c r="AA809">
        <v>0</v>
      </c>
      <c r="AB809">
        <v>0</v>
      </c>
      <c r="AC809">
        <v>0</v>
      </c>
      <c r="AD809">
        <v>0</v>
      </c>
      <c r="AF809">
        <v>0</v>
      </c>
      <c r="AG809">
        <v>0</v>
      </c>
      <c r="AH809">
        <v>0</v>
      </c>
      <c r="AI809">
        <v>0</v>
      </c>
      <c r="AJ809">
        <v>0</v>
      </c>
      <c r="AK809">
        <v>0</v>
      </c>
      <c r="AL809">
        <v>0</v>
      </c>
      <c r="AM809">
        <v>0</v>
      </c>
      <c r="AN809">
        <v>0</v>
      </c>
      <c r="AO809">
        <v>0</v>
      </c>
      <c r="AP809">
        <v>0</v>
      </c>
      <c r="AQ809">
        <v>0</v>
      </c>
      <c r="AR809">
        <v>0</v>
      </c>
      <c r="AS809">
        <v>0</v>
      </c>
      <c r="AT809">
        <v>0</v>
      </c>
      <c r="AU809">
        <v>0</v>
      </c>
      <c r="AV809">
        <v>0</v>
      </c>
      <c r="AW809">
        <v>0</v>
      </c>
      <c r="AX809">
        <v>0</v>
      </c>
      <c r="AY809">
        <v>0</v>
      </c>
      <c r="AZ809">
        <v>0</v>
      </c>
      <c r="BA809">
        <v>0</v>
      </c>
      <c r="BB809">
        <v>0</v>
      </c>
      <c r="BC809">
        <v>0</v>
      </c>
      <c r="BD809">
        <v>0</v>
      </c>
      <c r="BE809">
        <v>0</v>
      </c>
      <c r="BF809">
        <v>0</v>
      </c>
      <c r="BG809">
        <v>0</v>
      </c>
      <c r="BH809">
        <v>0</v>
      </c>
      <c r="BI809">
        <v>0</v>
      </c>
      <c r="BK809" s="151"/>
    </row>
    <row r="810" spans="1:63" x14ac:dyDescent="0.35">
      <c r="A810">
        <v>0</v>
      </c>
      <c r="B810">
        <v>0</v>
      </c>
      <c r="C810">
        <v>0</v>
      </c>
      <c r="D810">
        <v>0</v>
      </c>
      <c r="E810">
        <v>0</v>
      </c>
      <c r="F810">
        <v>0</v>
      </c>
      <c r="G810">
        <v>0</v>
      </c>
      <c r="H810">
        <v>0</v>
      </c>
      <c r="I810">
        <v>0</v>
      </c>
      <c r="J810">
        <v>0</v>
      </c>
      <c r="K810">
        <v>0</v>
      </c>
      <c r="L810">
        <v>0</v>
      </c>
      <c r="M810">
        <v>0</v>
      </c>
      <c r="N810">
        <v>0</v>
      </c>
      <c r="O810">
        <v>0</v>
      </c>
      <c r="P810">
        <v>0</v>
      </c>
      <c r="Q810">
        <v>0</v>
      </c>
      <c r="R810">
        <v>0</v>
      </c>
      <c r="S810">
        <v>0</v>
      </c>
      <c r="T810">
        <v>0</v>
      </c>
      <c r="U810">
        <v>0</v>
      </c>
      <c r="V810">
        <v>0</v>
      </c>
      <c r="W810">
        <v>0</v>
      </c>
      <c r="X810">
        <v>0</v>
      </c>
      <c r="Y810">
        <v>0</v>
      </c>
      <c r="Z810">
        <v>0</v>
      </c>
      <c r="AA810">
        <v>0</v>
      </c>
      <c r="AB810">
        <v>0</v>
      </c>
      <c r="AC810">
        <v>0</v>
      </c>
      <c r="AD810">
        <v>0</v>
      </c>
      <c r="AF810">
        <v>0</v>
      </c>
      <c r="AG810">
        <v>0</v>
      </c>
      <c r="AH810">
        <v>0</v>
      </c>
      <c r="AI810">
        <v>0</v>
      </c>
      <c r="AJ810">
        <v>0</v>
      </c>
      <c r="AK810">
        <v>0</v>
      </c>
      <c r="AL810">
        <v>0</v>
      </c>
      <c r="AM810">
        <v>0</v>
      </c>
      <c r="AN810">
        <v>0</v>
      </c>
      <c r="AO810">
        <v>0</v>
      </c>
      <c r="AP810">
        <v>0</v>
      </c>
      <c r="AQ810">
        <v>0</v>
      </c>
      <c r="AR810">
        <v>0</v>
      </c>
      <c r="AS810">
        <v>0</v>
      </c>
      <c r="AT810">
        <v>0</v>
      </c>
      <c r="AU810">
        <v>0</v>
      </c>
      <c r="AV810">
        <v>0</v>
      </c>
      <c r="AW810">
        <v>0</v>
      </c>
      <c r="AX810">
        <v>0</v>
      </c>
      <c r="AY810">
        <v>0</v>
      </c>
      <c r="AZ810">
        <v>0</v>
      </c>
      <c r="BA810">
        <v>0</v>
      </c>
      <c r="BB810">
        <v>0</v>
      </c>
      <c r="BC810">
        <v>0</v>
      </c>
      <c r="BD810">
        <v>0</v>
      </c>
      <c r="BE810">
        <v>0</v>
      </c>
      <c r="BF810">
        <v>0</v>
      </c>
      <c r="BG810">
        <v>0</v>
      </c>
      <c r="BH810">
        <v>0</v>
      </c>
      <c r="BI810">
        <v>0</v>
      </c>
      <c r="BK810" s="151"/>
    </row>
    <row r="811" spans="1:63" x14ac:dyDescent="0.35">
      <c r="A811">
        <v>0</v>
      </c>
      <c r="B811">
        <v>0</v>
      </c>
      <c r="C811">
        <v>0</v>
      </c>
      <c r="D811">
        <v>0</v>
      </c>
      <c r="E811">
        <v>0</v>
      </c>
      <c r="F811">
        <v>0</v>
      </c>
      <c r="G811">
        <v>0</v>
      </c>
      <c r="H811">
        <v>0</v>
      </c>
      <c r="I811">
        <v>0</v>
      </c>
      <c r="J811">
        <v>0</v>
      </c>
      <c r="K811">
        <v>0</v>
      </c>
      <c r="L811">
        <v>0</v>
      </c>
      <c r="M811">
        <v>0</v>
      </c>
      <c r="N811">
        <v>0</v>
      </c>
      <c r="O811">
        <v>0</v>
      </c>
      <c r="P811">
        <v>0</v>
      </c>
      <c r="Q811">
        <v>0</v>
      </c>
      <c r="R811">
        <v>0</v>
      </c>
      <c r="S811">
        <v>0</v>
      </c>
      <c r="T811">
        <v>0</v>
      </c>
      <c r="U811">
        <v>0</v>
      </c>
      <c r="V811">
        <v>0</v>
      </c>
      <c r="W811">
        <v>0</v>
      </c>
      <c r="X811">
        <v>0</v>
      </c>
      <c r="Y811">
        <v>0</v>
      </c>
      <c r="Z811">
        <v>0</v>
      </c>
      <c r="AA811">
        <v>0</v>
      </c>
      <c r="AB811">
        <v>0</v>
      </c>
      <c r="AC811">
        <v>0</v>
      </c>
      <c r="AD811">
        <v>0</v>
      </c>
      <c r="AF811">
        <v>0</v>
      </c>
      <c r="AG811">
        <v>0</v>
      </c>
      <c r="AH811">
        <v>0</v>
      </c>
      <c r="AI811">
        <v>0</v>
      </c>
      <c r="AJ811">
        <v>0</v>
      </c>
      <c r="AK811">
        <v>0</v>
      </c>
      <c r="AL811">
        <v>0</v>
      </c>
      <c r="AM811">
        <v>0</v>
      </c>
      <c r="AN811">
        <v>0</v>
      </c>
      <c r="AO811">
        <v>0</v>
      </c>
      <c r="AP811">
        <v>0</v>
      </c>
      <c r="AQ811">
        <v>0</v>
      </c>
      <c r="AR811">
        <v>0</v>
      </c>
      <c r="AS811">
        <v>0</v>
      </c>
      <c r="AT811">
        <v>0</v>
      </c>
      <c r="AU811">
        <v>0</v>
      </c>
      <c r="AV811">
        <v>0</v>
      </c>
      <c r="AW811">
        <v>0</v>
      </c>
      <c r="AX811">
        <v>0</v>
      </c>
      <c r="AY811">
        <v>0</v>
      </c>
      <c r="AZ811">
        <v>0</v>
      </c>
      <c r="BA811">
        <v>0</v>
      </c>
      <c r="BB811">
        <v>0</v>
      </c>
      <c r="BC811">
        <v>0</v>
      </c>
      <c r="BD811">
        <v>0</v>
      </c>
      <c r="BE811">
        <v>0</v>
      </c>
      <c r="BF811">
        <v>0</v>
      </c>
      <c r="BG811">
        <v>0</v>
      </c>
      <c r="BH811">
        <v>0</v>
      </c>
      <c r="BI811">
        <v>0</v>
      </c>
      <c r="BK811" s="151"/>
    </row>
    <row r="812" spans="1:63" x14ac:dyDescent="0.35">
      <c r="A812">
        <v>0</v>
      </c>
      <c r="B812">
        <v>0</v>
      </c>
      <c r="C812">
        <v>0</v>
      </c>
      <c r="D812">
        <v>0</v>
      </c>
      <c r="E812">
        <v>0</v>
      </c>
      <c r="F812">
        <v>0</v>
      </c>
      <c r="G812">
        <v>0</v>
      </c>
      <c r="H812">
        <v>0</v>
      </c>
      <c r="I812">
        <v>0</v>
      </c>
      <c r="J812">
        <v>0</v>
      </c>
      <c r="K812">
        <v>0</v>
      </c>
      <c r="L812">
        <v>0</v>
      </c>
      <c r="M812">
        <v>0</v>
      </c>
      <c r="N812">
        <v>0</v>
      </c>
      <c r="O812">
        <v>0</v>
      </c>
      <c r="P812">
        <v>0</v>
      </c>
      <c r="Q812">
        <v>0</v>
      </c>
      <c r="R812">
        <v>0</v>
      </c>
      <c r="S812">
        <v>0</v>
      </c>
      <c r="T812">
        <v>0</v>
      </c>
      <c r="U812">
        <v>0</v>
      </c>
      <c r="V812">
        <v>0</v>
      </c>
      <c r="W812">
        <v>0</v>
      </c>
      <c r="X812">
        <v>0</v>
      </c>
      <c r="Y812">
        <v>0</v>
      </c>
      <c r="Z812">
        <v>0</v>
      </c>
      <c r="AA812">
        <v>0</v>
      </c>
      <c r="AB812">
        <v>0</v>
      </c>
      <c r="AC812">
        <v>0</v>
      </c>
      <c r="AD812">
        <v>0</v>
      </c>
      <c r="AF812">
        <v>0</v>
      </c>
      <c r="AG812">
        <v>0</v>
      </c>
      <c r="AH812">
        <v>0</v>
      </c>
      <c r="AI812">
        <v>0</v>
      </c>
      <c r="AJ812">
        <v>0</v>
      </c>
      <c r="AK812">
        <v>0</v>
      </c>
      <c r="AL812">
        <v>0</v>
      </c>
      <c r="AM812">
        <v>0</v>
      </c>
      <c r="AN812">
        <v>0</v>
      </c>
      <c r="AO812">
        <v>0</v>
      </c>
      <c r="AP812">
        <v>0</v>
      </c>
      <c r="AQ812">
        <v>0</v>
      </c>
      <c r="AR812">
        <v>0</v>
      </c>
      <c r="AS812">
        <v>0</v>
      </c>
      <c r="AT812">
        <v>0</v>
      </c>
      <c r="AU812">
        <v>0</v>
      </c>
      <c r="AV812">
        <v>0</v>
      </c>
      <c r="AW812">
        <v>0</v>
      </c>
      <c r="AX812">
        <v>0</v>
      </c>
      <c r="AY812">
        <v>0</v>
      </c>
      <c r="AZ812">
        <v>0</v>
      </c>
      <c r="BA812">
        <v>0</v>
      </c>
      <c r="BB812">
        <v>0</v>
      </c>
      <c r="BC812">
        <v>0</v>
      </c>
      <c r="BD812">
        <v>0</v>
      </c>
      <c r="BE812">
        <v>0</v>
      </c>
      <c r="BF812">
        <v>0</v>
      </c>
      <c r="BG812">
        <v>0</v>
      </c>
      <c r="BH812">
        <v>0</v>
      </c>
      <c r="BI812">
        <v>0</v>
      </c>
      <c r="BK812" s="151"/>
    </row>
    <row r="813" spans="1:63" x14ac:dyDescent="0.35">
      <c r="A813">
        <v>0</v>
      </c>
      <c r="B813">
        <v>0</v>
      </c>
      <c r="C813">
        <v>0</v>
      </c>
      <c r="D813">
        <v>0</v>
      </c>
      <c r="E813">
        <v>0</v>
      </c>
      <c r="F813">
        <v>0</v>
      </c>
      <c r="G813">
        <v>0</v>
      </c>
      <c r="H813">
        <v>0</v>
      </c>
      <c r="I813">
        <v>0</v>
      </c>
      <c r="J813">
        <v>0</v>
      </c>
      <c r="K813">
        <v>0</v>
      </c>
      <c r="L813">
        <v>0</v>
      </c>
      <c r="M813">
        <v>0</v>
      </c>
      <c r="N813">
        <v>0</v>
      </c>
      <c r="O813">
        <v>0</v>
      </c>
      <c r="P813">
        <v>0</v>
      </c>
      <c r="Q813">
        <v>0</v>
      </c>
      <c r="R813">
        <v>0</v>
      </c>
      <c r="S813">
        <v>0</v>
      </c>
      <c r="T813">
        <v>0</v>
      </c>
      <c r="U813">
        <v>0</v>
      </c>
      <c r="V813">
        <v>0</v>
      </c>
      <c r="W813">
        <v>0</v>
      </c>
      <c r="X813">
        <v>0</v>
      </c>
      <c r="Y813">
        <v>0</v>
      </c>
      <c r="Z813">
        <v>0</v>
      </c>
      <c r="AA813">
        <v>0</v>
      </c>
      <c r="AB813">
        <v>0</v>
      </c>
      <c r="AC813">
        <v>0</v>
      </c>
      <c r="AD813">
        <v>0</v>
      </c>
      <c r="AF813">
        <v>0</v>
      </c>
      <c r="AG813">
        <v>0</v>
      </c>
      <c r="AH813">
        <v>0</v>
      </c>
      <c r="AI813">
        <v>0</v>
      </c>
      <c r="AJ813">
        <v>0</v>
      </c>
      <c r="AK813">
        <v>0</v>
      </c>
      <c r="AL813">
        <v>0</v>
      </c>
      <c r="AM813">
        <v>0</v>
      </c>
      <c r="AN813">
        <v>0</v>
      </c>
      <c r="AO813">
        <v>0</v>
      </c>
      <c r="AP813">
        <v>0</v>
      </c>
      <c r="AQ813">
        <v>0</v>
      </c>
      <c r="AR813">
        <v>0</v>
      </c>
      <c r="AS813">
        <v>0</v>
      </c>
      <c r="AT813">
        <v>0</v>
      </c>
      <c r="AU813">
        <v>0</v>
      </c>
      <c r="AV813">
        <v>0</v>
      </c>
      <c r="AW813">
        <v>0</v>
      </c>
      <c r="AX813">
        <v>0</v>
      </c>
      <c r="AY813">
        <v>0</v>
      </c>
      <c r="AZ813">
        <v>0</v>
      </c>
      <c r="BA813">
        <v>0</v>
      </c>
      <c r="BB813">
        <v>0</v>
      </c>
      <c r="BC813">
        <v>0</v>
      </c>
      <c r="BD813">
        <v>0</v>
      </c>
      <c r="BE813">
        <v>0</v>
      </c>
      <c r="BF813">
        <v>0</v>
      </c>
      <c r="BG813">
        <v>0</v>
      </c>
      <c r="BH813">
        <v>0</v>
      </c>
      <c r="BI813">
        <v>0</v>
      </c>
      <c r="BK813" s="151"/>
    </row>
    <row r="814" spans="1:63" x14ac:dyDescent="0.35">
      <c r="A814">
        <v>0</v>
      </c>
      <c r="B814">
        <v>0</v>
      </c>
      <c r="C814">
        <v>0</v>
      </c>
      <c r="D814">
        <v>0</v>
      </c>
      <c r="E814">
        <v>0</v>
      </c>
      <c r="F814">
        <v>0</v>
      </c>
      <c r="G814">
        <v>0</v>
      </c>
      <c r="H814">
        <v>0</v>
      </c>
      <c r="I814">
        <v>0</v>
      </c>
      <c r="J814">
        <v>0</v>
      </c>
      <c r="K814">
        <v>0</v>
      </c>
      <c r="L814">
        <v>0</v>
      </c>
      <c r="M814">
        <v>0</v>
      </c>
      <c r="N814">
        <v>0</v>
      </c>
      <c r="O814">
        <v>0</v>
      </c>
      <c r="P814">
        <v>0</v>
      </c>
      <c r="Q814">
        <v>0</v>
      </c>
      <c r="R814">
        <v>0</v>
      </c>
      <c r="S814">
        <v>0</v>
      </c>
      <c r="T814">
        <v>0</v>
      </c>
      <c r="U814">
        <v>0</v>
      </c>
      <c r="V814">
        <v>0</v>
      </c>
      <c r="W814">
        <v>0</v>
      </c>
      <c r="X814">
        <v>0</v>
      </c>
      <c r="Y814">
        <v>0</v>
      </c>
      <c r="Z814">
        <v>0</v>
      </c>
      <c r="AA814">
        <v>0</v>
      </c>
      <c r="AB814">
        <v>0</v>
      </c>
      <c r="AC814">
        <v>0</v>
      </c>
      <c r="AD814">
        <v>0</v>
      </c>
      <c r="AF814">
        <v>0</v>
      </c>
      <c r="AG814">
        <v>0</v>
      </c>
      <c r="AH814">
        <v>0</v>
      </c>
      <c r="AI814">
        <v>0</v>
      </c>
      <c r="AJ814">
        <v>0</v>
      </c>
      <c r="AK814">
        <v>0</v>
      </c>
      <c r="AL814">
        <v>0</v>
      </c>
      <c r="AM814">
        <v>0</v>
      </c>
      <c r="AN814">
        <v>0</v>
      </c>
      <c r="AO814">
        <v>0</v>
      </c>
      <c r="AP814">
        <v>0</v>
      </c>
      <c r="AQ814">
        <v>0</v>
      </c>
      <c r="AR814">
        <v>0</v>
      </c>
      <c r="AS814">
        <v>0</v>
      </c>
      <c r="AT814">
        <v>0</v>
      </c>
      <c r="AU814">
        <v>0</v>
      </c>
      <c r="AV814">
        <v>0</v>
      </c>
      <c r="AW814">
        <v>0</v>
      </c>
      <c r="AX814">
        <v>0</v>
      </c>
      <c r="AY814">
        <v>0</v>
      </c>
      <c r="AZ814">
        <v>0</v>
      </c>
      <c r="BA814">
        <v>0</v>
      </c>
      <c r="BB814">
        <v>0</v>
      </c>
      <c r="BC814">
        <v>0</v>
      </c>
      <c r="BD814">
        <v>0</v>
      </c>
      <c r="BE814">
        <v>0</v>
      </c>
      <c r="BF814">
        <v>0</v>
      </c>
      <c r="BG814">
        <v>0</v>
      </c>
      <c r="BH814">
        <v>0</v>
      </c>
      <c r="BI814">
        <v>0</v>
      </c>
      <c r="BK814" s="151"/>
    </row>
    <row r="815" spans="1:63" x14ac:dyDescent="0.35">
      <c r="A815">
        <v>0</v>
      </c>
      <c r="B815">
        <v>0</v>
      </c>
      <c r="C815">
        <v>0</v>
      </c>
      <c r="D815">
        <v>0</v>
      </c>
      <c r="E815">
        <v>0</v>
      </c>
      <c r="F815">
        <v>0</v>
      </c>
      <c r="G815">
        <v>0</v>
      </c>
      <c r="H815">
        <v>0</v>
      </c>
      <c r="I815">
        <v>0</v>
      </c>
      <c r="J815">
        <v>0</v>
      </c>
      <c r="K815">
        <v>0</v>
      </c>
      <c r="L815">
        <v>0</v>
      </c>
      <c r="M815">
        <v>0</v>
      </c>
      <c r="N815">
        <v>0</v>
      </c>
      <c r="O815">
        <v>0</v>
      </c>
      <c r="P815">
        <v>0</v>
      </c>
      <c r="Q815">
        <v>0</v>
      </c>
      <c r="R815">
        <v>0</v>
      </c>
      <c r="S815">
        <v>0</v>
      </c>
      <c r="T815">
        <v>0</v>
      </c>
      <c r="U815">
        <v>0</v>
      </c>
      <c r="V815">
        <v>0</v>
      </c>
      <c r="W815">
        <v>0</v>
      </c>
      <c r="X815">
        <v>0</v>
      </c>
      <c r="Y815">
        <v>0</v>
      </c>
      <c r="Z815">
        <v>0</v>
      </c>
      <c r="AA815">
        <v>0</v>
      </c>
      <c r="AB815">
        <v>0</v>
      </c>
      <c r="AC815">
        <v>0</v>
      </c>
      <c r="AD815">
        <v>0</v>
      </c>
      <c r="AF815">
        <v>0</v>
      </c>
      <c r="AG815">
        <v>0</v>
      </c>
      <c r="AH815">
        <v>0</v>
      </c>
      <c r="AI815">
        <v>0</v>
      </c>
      <c r="AJ815">
        <v>0</v>
      </c>
      <c r="AK815">
        <v>0</v>
      </c>
      <c r="AL815">
        <v>0</v>
      </c>
      <c r="AM815">
        <v>0</v>
      </c>
      <c r="AN815">
        <v>0</v>
      </c>
      <c r="AO815">
        <v>0</v>
      </c>
      <c r="AP815">
        <v>0</v>
      </c>
      <c r="AQ815">
        <v>0</v>
      </c>
      <c r="AR815">
        <v>0</v>
      </c>
      <c r="AS815">
        <v>0</v>
      </c>
      <c r="AT815">
        <v>0</v>
      </c>
      <c r="AU815">
        <v>0</v>
      </c>
      <c r="AV815">
        <v>0</v>
      </c>
      <c r="AW815">
        <v>0</v>
      </c>
      <c r="AX815">
        <v>0</v>
      </c>
      <c r="AY815">
        <v>0</v>
      </c>
      <c r="AZ815">
        <v>0</v>
      </c>
      <c r="BA815">
        <v>0</v>
      </c>
      <c r="BB815">
        <v>0</v>
      </c>
      <c r="BC815">
        <v>0</v>
      </c>
      <c r="BD815">
        <v>0</v>
      </c>
      <c r="BE815">
        <v>0</v>
      </c>
      <c r="BF815">
        <v>0</v>
      </c>
      <c r="BG815">
        <v>0</v>
      </c>
      <c r="BH815">
        <v>0</v>
      </c>
      <c r="BI815">
        <v>0</v>
      </c>
      <c r="BK815" s="151"/>
    </row>
    <row r="816" spans="1:63" x14ac:dyDescent="0.35">
      <c r="A816">
        <v>0</v>
      </c>
      <c r="B816">
        <v>0</v>
      </c>
      <c r="C816">
        <v>0</v>
      </c>
      <c r="D816">
        <v>0</v>
      </c>
      <c r="E816">
        <v>0</v>
      </c>
      <c r="F816">
        <v>0</v>
      </c>
      <c r="G816">
        <v>0</v>
      </c>
      <c r="H816">
        <v>0</v>
      </c>
      <c r="I816">
        <v>0</v>
      </c>
      <c r="J816">
        <v>0</v>
      </c>
      <c r="K816">
        <v>0</v>
      </c>
      <c r="L816">
        <v>0</v>
      </c>
      <c r="M816">
        <v>0</v>
      </c>
      <c r="N816">
        <v>0</v>
      </c>
      <c r="O816">
        <v>0</v>
      </c>
      <c r="P816">
        <v>0</v>
      </c>
      <c r="Q816">
        <v>0</v>
      </c>
      <c r="R816">
        <v>0</v>
      </c>
      <c r="S816">
        <v>0</v>
      </c>
      <c r="T816">
        <v>0</v>
      </c>
      <c r="U816">
        <v>0</v>
      </c>
      <c r="V816">
        <v>0</v>
      </c>
      <c r="W816">
        <v>0</v>
      </c>
      <c r="X816">
        <v>0</v>
      </c>
      <c r="Y816">
        <v>0</v>
      </c>
      <c r="Z816">
        <v>0</v>
      </c>
      <c r="AA816">
        <v>0</v>
      </c>
      <c r="AB816">
        <v>0</v>
      </c>
      <c r="AC816">
        <v>0</v>
      </c>
      <c r="AD816">
        <v>0</v>
      </c>
      <c r="AF816">
        <v>0</v>
      </c>
      <c r="AG816">
        <v>0</v>
      </c>
      <c r="AH816">
        <v>0</v>
      </c>
      <c r="AI816">
        <v>0</v>
      </c>
      <c r="AJ816">
        <v>0</v>
      </c>
      <c r="AK816">
        <v>0</v>
      </c>
      <c r="AL816">
        <v>0</v>
      </c>
      <c r="AM816">
        <v>0</v>
      </c>
      <c r="AN816">
        <v>0</v>
      </c>
      <c r="AO816">
        <v>0</v>
      </c>
      <c r="AP816">
        <v>0</v>
      </c>
      <c r="AQ816">
        <v>0</v>
      </c>
      <c r="AR816">
        <v>0</v>
      </c>
      <c r="AS816">
        <v>0</v>
      </c>
      <c r="AT816">
        <v>0</v>
      </c>
      <c r="AU816">
        <v>0</v>
      </c>
      <c r="AV816">
        <v>0</v>
      </c>
      <c r="AW816">
        <v>0</v>
      </c>
      <c r="AX816">
        <v>0</v>
      </c>
      <c r="AY816">
        <v>0</v>
      </c>
      <c r="AZ816">
        <v>0</v>
      </c>
      <c r="BA816">
        <v>0</v>
      </c>
      <c r="BB816">
        <v>0</v>
      </c>
      <c r="BC816">
        <v>0</v>
      </c>
      <c r="BD816">
        <v>0</v>
      </c>
      <c r="BE816">
        <v>0</v>
      </c>
      <c r="BF816">
        <v>0</v>
      </c>
      <c r="BG816">
        <v>0</v>
      </c>
      <c r="BH816">
        <v>0</v>
      </c>
      <c r="BI816">
        <v>0</v>
      </c>
      <c r="BK816" s="151"/>
    </row>
    <row r="817" spans="1:63" x14ac:dyDescent="0.35">
      <c r="A817">
        <v>0</v>
      </c>
      <c r="B817">
        <v>0</v>
      </c>
      <c r="C817">
        <v>0</v>
      </c>
      <c r="D817">
        <v>0</v>
      </c>
      <c r="E817">
        <v>0</v>
      </c>
      <c r="F817">
        <v>0</v>
      </c>
      <c r="G817">
        <v>0</v>
      </c>
      <c r="H817">
        <v>0</v>
      </c>
      <c r="I817">
        <v>0</v>
      </c>
      <c r="J817">
        <v>0</v>
      </c>
      <c r="K817">
        <v>0</v>
      </c>
      <c r="L817">
        <v>0</v>
      </c>
      <c r="M817">
        <v>0</v>
      </c>
      <c r="N817">
        <v>0</v>
      </c>
      <c r="O817">
        <v>0</v>
      </c>
      <c r="P817">
        <v>0</v>
      </c>
      <c r="Q817">
        <v>0</v>
      </c>
      <c r="R817">
        <v>0</v>
      </c>
      <c r="S817">
        <v>0</v>
      </c>
      <c r="T817">
        <v>0</v>
      </c>
      <c r="U817">
        <v>0</v>
      </c>
      <c r="V817">
        <v>0</v>
      </c>
      <c r="W817">
        <v>0</v>
      </c>
      <c r="X817">
        <v>0</v>
      </c>
      <c r="Y817">
        <v>0</v>
      </c>
      <c r="Z817">
        <v>0</v>
      </c>
      <c r="AA817">
        <v>0</v>
      </c>
      <c r="AB817">
        <v>0</v>
      </c>
      <c r="AC817">
        <v>0</v>
      </c>
      <c r="AD817">
        <v>0</v>
      </c>
      <c r="AF817">
        <v>0</v>
      </c>
      <c r="AG817">
        <v>0</v>
      </c>
      <c r="AH817">
        <v>0</v>
      </c>
      <c r="AI817">
        <v>0</v>
      </c>
      <c r="AJ817">
        <v>0</v>
      </c>
      <c r="AK817">
        <v>0</v>
      </c>
      <c r="AL817">
        <v>0</v>
      </c>
      <c r="AM817">
        <v>0</v>
      </c>
      <c r="AN817">
        <v>0</v>
      </c>
      <c r="AO817">
        <v>0</v>
      </c>
      <c r="AP817">
        <v>0</v>
      </c>
      <c r="AQ817">
        <v>0</v>
      </c>
      <c r="AR817">
        <v>0</v>
      </c>
      <c r="AS817">
        <v>0</v>
      </c>
      <c r="AT817">
        <v>0</v>
      </c>
      <c r="AU817">
        <v>0</v>
      </c>
      <c r="AV817">
        <v>0</v>
      </c>
      <c r="AW817">
        <v>0</v>
      </c>
      <c r="AX817">
        <v>0</v>
      </c>
      <c r="AY817">
        <v>0</v>
      </c>
      <c r="AZ817">
        <v>0</v>
      </c>
      <c r="BA817">
        <v>0</v>
      </c>
      <c r="BB817">
        <v>0</v>
      </c>
      <c r="BC817">
        <v>0</v>
      </c>
      <c r="BD817">
        <v>0</v>
      </c>
      <c r="BE817">
        <v>0</v>
      </c>
      <c r="BF817">
        <v>0</v>
      </c>
      <c r="BG817">
        <v>0</v>
      </c>
      <c r="BH817">
        <v>0</v>
      </c>
      <c r="BI817">
        <v>0</v>
      </c>
      <c r="BK817" s="151"/>
    </row>
    <row r="818" spans="1:63" x14ac:dyDescent="0.35">
      <c r="A818">
        <v>0</v>
      </c>
      <c r="B818">
        <v>0</v>
      </c>
      <c r="C818">
        <v>0</v>
      </c>
      <c r="D818">
        <v>0</v>
      </c>
      <c r="E818">
        <v>0</v>
      </c>
      <c r="F818">
        <v>0</v>
      </c>
      <c r="G818">
        <v>0</v>
      </c>
      <c r="H818">
        <v>0</v>
      </c>
      <c r="I818">
        <v>0</v>
      </c>
      <c r="J818">
        <v>0</v>
      </c>
      <c r="K818">
        <v>0</v>
      </c>
      <c r="L818">
        <v>0</v>
      </c>
      <c r="M818">
        <v>0</v>
      </c>
      <c r="N818">
        <v>0</v>
      </c>
      <c r="O818">
        <v>0</v>
      </c>
      <c r="P818">
        <v>0</v>
      </c>
      <c r="Q818">
        <v>0</v>
      </c>
      <c r="R818">
        <v>0</v>
      </c>
      <c r="S818">
        <v>0</v>
      </c>
      <c r="T818">
        <v>0</v>
      </c>
      <c r="U818">
        <v>0</v>
      </c>
      <c r="V818">
        <v>0</v>
      </c>
      <c r="W818">
        <v>0</v>
      </c>
      <c r="X818">
        <v>0</v>
      </c>
      <c r="Y818">
        <v>0</v>
      </c>
      <c r="Z818">
        <v>0</v>
      </c>
      <c r="AA818">
        <v>0</v>
      </c>
      <c r="AB818">
        <v>0</v>
      </c>
      <c r="AC818">
        <v>0</v>
      </c>
      <c r="AD818">
        <v>0</v>
      </c>
      <c r="AF818">
        <v>0</v>
      </c>
      <c r="AG818">
        <v>0</v>
      </c>
      <c r="AH818">
        <v>0</v>
      </c>
      <c r="AI818">
        <v>0</v>
      </c>
      <c r="AJ818">
        <v>0</v>
      </c>
      <c r="AK818">
        <v>0</v>
      </c>
      <c r="AL818">
        <v>0</v>
      </c>
      <c r="AM818">
        <v>0</v>
      </c>
      <c r="AN818">
        <v>0</v>
      </c>
      <c r="AO818">
        <v>0</v>
      </c>
      <c r="AP818">
        <v>0</v>
      </c>
      <c r="AQ818">
        <v>0</v>
      </c>
      <c r="AR818">
        <v>0</v>
      </c>
      <c r="AS818">
        <v>0</v>
      </c>
      <c r="AT818">
        <v>0</v>
      </c>
      <c r="AU818">
        <v>0</v>
      </c>
      <c r="AV818">
        <v>0</v>
      </c>
      <c r="AW818">
        <v>0</v>
      </c>
      <c r="AX818">
        <v>0</v>
      </c>
      <c r="AY818">
        <v>0</v>
      </c>
      <c r="AZ818">
        <v>0</v>
      </c>
      <c r="BA818">
        <v>0</v>
      </c>
      <c r="BB818">
        <v>0</v>
      </c>
      <c r="BC818">
        <v>0</v>
      </c>
      <c r="BD818">
        <v>0</v>
      </c>
      <c r="BE818">
        <v>0</v>
      </c>
      <c r="BF818">
        <v>0</v>
      </c>
      <c r="BG818">
        <v>0</v>
      </c>
      <c r="BH818">
        <v>0</v>
      </c>
      <c r="BI818">
        <v>0</v>
      </c>
      <c r="BK818" s="151"/>
    </row>
    <row r="819" spans="1:63" x14ac:dyDescent="0.35">
      <c r="A819">
        <v>0</v>
      </c>
      <c r="B819">
        <v>0</v>
      </c>
      <c r="C819">
        <v>0</v>
      </c>
      <c r="D819">
        <v>0</v>
      </c>
      <c r="E819">
        <v>0</v>
      </c>
      <c r="F819">
        <v>0</v>
      </c>
      <c r="G819">
        <v>0</v>
      </c>
      <c r="H819">
        <v>0</v>
      </c>
      <c r="I819">
        <v>0</v>
      </c>
      <c r="J819">
        <v>0</v>
      </c>
      <c r="K819">
        <v>0</v>
      </c>
      <c r="L819">
        <v>0</v>
      </c>
      <c r="M819">
        <v>0</v>
      </c>
      <c r="N819">
        <v>0</v>
      </c>
      <c r="O819">
        <v>0</v>
      </c>
      <c r="P819">
        <v>0</v>
      </c>
      <c r="Q819">
        <v>0</v>
      </c>
      <c r="R819">
        <v>0</v>
      </c>
      <c r="S819">
        <v>0</v>
      </c>
      <c r="T819">
        <v>0</v>
      </c>
      <c r="U819">
        <v>0</v>
      </c>
      <c r="V819">
        <v>0</v>
      </c>
      <c r="W819">
        <v>0</v>
      </c>
      <c r="X819">
        <v>0</v>
      </c>
      <c r="Y819">
        <v>0</v>
      </c>
      <c r="Z819">
        <v>0</v>
      </c>
      <c r="AA819">
        <v>0</v>
      </c>
      <c r="AB819">
        <v>0</v>
      </c>
      <c r="AC819">
        <v>0</v>
      </c>
      <c r="AD819">
        <v>0</v>
      </c>
      <c r="AF819">
        <v>0</v>
      </c>
      <c r="AG819">
        <v>0</v>
      </c>
      <c r="AH819">
        <v>0</v>
      </c>
      <c r="AI819">
        <v>0</v>
      </c>
      <c r="AJ819">
        <v>0</v>
      </c>
      <c r="AK819">
        <v>0</v>
      </c>
      <c r="AL819">
        <v>0</v>
      </c>
      <c r="AM819">
        <v>0</v>
      </c>
      <c r="AN819">
        <v>0</v>
      </c>
      <c r="AO819">
        <v>0</v>
      </c>
      <c r="AP819">
        <v>0</v>
      </c>
      <c r="AQ819">
        <v>0</v>
      </c>
      <c r="AR819">
        <v>0</v>
      </c>
      <c r="AS819">
        <v>0</v>
      </c>
      <c r="AT819">
        <v>0</v>
      </c>
      <c r="AU819">
        <v>0</v>
      </c>
      <c r="AV819">
        <v>0</v>
      </c>
      <c r="AW819">
        <v>0</v>
      </c>
      <c r="AX819">
        <v>0</v>
      </c>
      <c r="AY819">
        <v>0</v>
      </c>
      <c r="AZ819">
        <v>0</v>
      </c>
      <c r="BA819">
        <v>0</v>
      </c>
      <c r="BB819">
        <v>0</v>
      </c>
      <c r="BC819">
        <v>0</v>
      </c>
      <c r="BD819">
        <v>0</v>
      </c>
      <c r="BE819">
        <v>0</v>
      </c>
      <c r="BF819">
        <v>0</v>
      </c>
      <c r="BG819">
        <v>0</v>
      </c>
      <c r="BH819">
        <v>0</v>
      </c>
      <c r="BI819">
        <v>0</v>
      </c>
      <c r="BK819" s="151"/>
    </row>
    <row r="820" spans="1:63" x14ac:dyDescent="0.35">
      <c r="A820">
        <v>0</v>
      </c>
      <c r="B820">
        <v>0</v>
      </c>
      <c r="C820">
        <v>0</v>
      </c>
      <c r="D820">
        <v>0</v>
      </c>
      <c r="E820">
        <v>0</v>
      </c>
      <c r="F820">
        <v>0</v>
      </c>
      <c r="G820">
        <v>0</v>
      </c>
      <c r="H820">
        <v>0</v>
      </c>
      <c r="I820">
        <v>0</v>
      </c>
      <c r="J820">
        <v>0</v>
      </c>
      <c r="K820">
        <v>0</v>
      </c>
      <c r="L820">
        <v>0</v>
      </c>
      <c r="M820">
        <v>0</v>
      </c>
      <c r="N820">
        <v>0</v>
      </c>
      <c r="O820">
        <v>0</v>
      </c>
      <c r="P820">
        <v>0</v>
      </c>
      <c r="Q820">
        <v>0</v>
      </c>
      <c r="R820">
        <v>0</v>
      </c>
      <c r="S820">
        <v>0</v>
      </c>
      <c r="T820">
        <v>0</v>
      </c>
      <c r="U820">
        <v>0</v>
      </c>
      <c r="V820">
        <v>0</v>
      </c>
      <c r="W820">
        <v>0</v>
      </c>
      <c r="X820">
        <v>0</v>
      </c>
      <c r="Y820">
        <v>0</v>
      </c>
      <c r="Z820">
        <v>0</v>
      </c>
      <c r="AA820">
        <v>0</v>
      </c>
      <c r="AB820">
        <v>0</v>
      </c>
      <c r="AC820">
        <v>0</v>
      </c>
      <c r="AD820">
        <v>0</v>
      </c>
      <c r="AF820">
        <v>0</v>
      </c>
      <c r="AG820">
        <v>0</v>
      </c>
      <c r="AH820">
        <v>0</v>
      </c>
      <c r="AI820">
        <v>0</v>
      </c>
      <c r="AJ820">
        <v>0</v>
      </c>
      <c r="AK820">
        <v>0</v>
      </c>
      <c r="AL820">
        <v>0</v>
      </c>
      <c r="AM820">
        <v>0</v>
      </c>
      <c r="AN820">
        <v>0</v>
      </c>
      <c r="AO820">
        <v>0</v>
      </c>
      <c r="AP820">
        <v>0</v>
      </c>
      <c r="AQ820">
        <v>0</v>
      </c>
      <c r="AR820">
        <v>0</v>
      </c>
      <c r="AS820">
        <v>0</v>
      </c>
      <c r="AT820">
        <v>0</v>
      </c>
      <c r="AU820">
        <v>0</v>
      </c>
      <c r="AV820">
        <v>0</v>
      </c>
      <c r="AW820">
        <v>0</v>
      </c>
      <c r="AX820">
        <v>0</v>
      </c>
      <c r="AY820">
        <v>0</v>
      </c>
      <c r="AZ820">
        <v>0</v>
      </c>
      <c r="BA820">
        <v>0</v>
      </c>
      <c r="BB820">
        <v>0</v>
      </c>
      <c r="BC820">
        <v>0</v>
      </c>
      <c r="BD820">
        <v>0</v>
      </c>
      <c r="BE820">
        <v>0</v>
      </c>
      <c r="BF820">
        <v>0</v>
      </c>
      <c r="BG820">
        <v>0</v>
      </c>
      <c r="BH820">
        <v>0</v>
      </c>
      <c r="BI820">
        <v>0</v>
      </c>
      <c r="BK820" s="151"/>
    </row>
    <row r="821" spans="1:63" x14ac:dyDescent="0.35">
      <c r="A821">
        <v>0</v>
      </c>
      <c r="B821">
        <v>0</v>
      </c>
      <c r="C821">
        <v>0</v>
      </c>
      <c r="D821">
        <v>0</v>
      </c>
      <c r="E821">
        <v>0</v>
      </c>
      <c r="F821">
        <v>0</v>
      </c>
      <c r="G821">
        <v>0</v>
      </c>
      <c r="H821">
        <v>0</v>
      </c>
      <c r="I821">
        <v>0</v>
      </c>
      <c r="J821">
        <v>0</v>
      </c>
      <c r="K821">
        <v>0</v>
      </c>
      <c r="L821">
        <v>0</v>
      </c>
      <c r="M821">
        <v>0</v>
      </c>
      <c r="N821">
        <v>0</v>
      </c>
      <c r="O821">
        <v>0</v>
      </c>
      <c r="P821">
        <v>0</v>
      </c>
      <c r="Q821">
        <v>0</v>
      </c>
      <c r="R821">
        <v>0</v>
      </c>
      <c r="S821">
        <v>0</v>
      </c>
      <c r="T821">
        <v>0</v>
      </c>
      <c r="U821">
        <v>0</v>
      </c>
      <c r="V821">
        <v>0</v>
      </c>
      <c r="W821">
        <v>0</v>
      </c>
      <c r="X821">
        <v>0</v>
      </c>
      <c r="Y821">
        <v>0</v>
      </c>
      <c r="Z821">
        <v>0</v>
      </c>
      <c r="AA821">
        <v>0</v>
      </c>
      <c r="AB821">
        <v>0</v>
      </c>
      <c r="AC821">
        <v>0</v>
      </c>
      <c r="AD821">
        <v>0</v>
      </c>
      <c r="AF821">
        <v>0</v>
      </c>
      <c r="AG821">
        <v>0</v>
      </c>
      <c r="AH821">
        <v>0</v>
      </c>
      <c r="AI821">
        <v>0</v>
      </c>
      <c r="AJ821">
        <v>0</v>
      </c>
      <c r="AK821">
        <v>0</v>
      </c>
      <c r="AL821">
        <v>0</v>
      </c>
      <c r="AM821">
        <v>0</v>
      </c>
      <c r="AN821">
        <v>0</v>
      </c>
      <c r="AO821">
        <v>0</v>
      </c>
      <c r="AP821">
        <v>0</v>
      </c>
      <c r="AQ821">
        <v>0</v>
      </c>
      <c r="AR821">
        <v>0</v>
      </c>
      <c r="AS821">
        <v>0</v>
      </c>
      <c r="AT821">
        <v>0</v>
      </c>
      <c r="AU821">
        <v>0</v>
      </c>
      <c r="AV821">
        <v>0</v>
      </c>
      <c r="AW821">
        <v>0</v>
      </c>
      <c r="AX821">
        <v>0</v>
      </c>
      <c r="AY821">
        <v>0</v>
      </c>
      <c r="AZ821">
        <v>0</v>
      </c>
      <c r="BA821">
        <v>0</v>
      </c>
      <c r="BB821">
        <v>0</v>
      </c>
      <c r="BC821">
        <v>0</v>
      </c>
      <c r="BD821">
        <v>0</v>
      </c>
      <c r="BE821">
        <v>0</v>
      </c>
      <c r="BF821">
        <v>0</v>
      </c>
      <c r="BG821">
        <v>0</v>
      </c>
      <c r="BH821">
        <v>0</v>
      </c>
      <c r="BI821">
        <v>0</v>
      </c>
      <c r="BK821" s="151"/>
    </row>
    <row r="822" spans="1:63" x14ac:dyDescent="0.35">
      <c r="A822">
        <v>0</v>
      </c>
      <c r="B822">
        <v>0</v>
      </c>
      <c r="C822">
        <v>0</v>
      </c>
      <c r="D822">
        <v>0</v>
      </c>
      <c r="E822">
        <v>0</v>
      </c>
      <c r="F822">
        <v>0</v>
      </c>
      <c r="G822">
        <v>0</v>
      </c>
      <c r="H822">
        <v>0</v>
      </c>
      <c r="I822">
        <v>0</v>
      </c>
      <c r="J822">
        <v>0</v>
      </c>
      <c r="K822">
        <v>0</v>
      </c>
      <c r="L822">
        <v>0</v>
      </c>
      <c r="M822">
        <v>0</v>
      </c>
      <c r="N822">
        <v>0</v>
      </c>
      <c r="O822">
        <v>0</v>
      </c>
      <c r="P822">
        <v>0</v>
      </c>
      <c r="Q822">
        <v>0</v>
      </c>
      <c r="R822">
        <v>0</v>
      </c>
      <c r="S822">
        <v>0</v>
      </c>
      <c r="T822">
        <v>0</v>
      </c>
      <c r="U822">
        <v>0</v>
      </c>
      <c r="V822">
        <v>0</v>
      </c>
      <c r="W822">
        <v>0</v>
      </c>
      <c r="X822">
        <v>0</v>
      </c>
      <c r="Y822">
        <v>0</v>
      </c>
      <c r="Z822">
        <v>0</v>
      </c>
      <c r="AA822">
        <v>0</v>
      </c>
      <c r="AB822">
        <v>0</v>
      </c>
      <c r="AC822">
        <v>0</v>
      </c>
      <c r="AD822">
        <v>0</v>
      </c>
      <c r="AF822">
        <v>0</v>
      </c>
      <c r="AG822">
        <v>0</v>
      </c>
      <c r="AH822">
        <v>0</v>
      </c>
      <c r="AI822">
        <v>0</v>
      </c>
      <c r="AJ822">
        <v>0</v>
      </c>
      <c r="AK822">
        <v>0</v>
      </c>
      <c r="AL822">
        <v>0</v>
      </c>
      <c r="AM822">
        <v>0</v>
      </c>
      <c r="AN822">
        <v>0</v>
      </c>
      <c r="AO822">
        <v>0</v>
      </c>
      <c r="AP822">
        <v>0</v>
      </c>
      <c r="AQ822">
        <v>0</v>
      </c>
      <c r="AR822">
        <v>0</v>
      </c>
      <c r="AS822">
        <v>0</v>
      </c>
      <c r="AT822">
        <v>0</v>
      </c>
      <c r="AU822">
        <v>0</v>
      </c>
      <c r="AV822">
        <v>0</v>
      </c>
      <c r="AW822">
        <v>0</v>
      </c>
      <c r="AX822">
        <v>0</v>
      </c>
      <c r="AY822">
        <v>0</v>
      </c>
      <c r="AZ822">
        <v>0</v>
      </c>
      <c r="BA822">
        <v>0</v>
      </c>
      <c r="BB822">
        <v>0</v>
      </c>
      <c r="BC822">
        <v>0</v>
      </c>
      <c r="BD822">
        <v>0</v>
      </c>
      <c r="BE822">
        <v>0</v>
      </c>
      <c r="BF822">
        <v>0</v>
      </c>
      <c r="BG822">
        <v>0</v>
      </c>
      <c r="BH822">
        <v>0</v>
      </c>
      <c r="BI822">
        <v>0</v>
      </c>
      <c r="BK822" s="151"/>
    </row>
    <row r="823" spans="1:63" x14ac:dyDescent="0.35">
      <c r="A823">
        <v>0</v>
      </c>
      <c r="B823">
        <v>0</v>
      </c>
      <c r="C823">
        <v>0</v>
      </c>
      <c r="D823">
        <v>0</v>
      </c>
      <c r="E823">
        <v>0</v>
      </c>
      <c r="F823">
        <v>0</v>
      </c>
      <c r="G823">
        <v>0</v>
      </c>
      <c r="H823">
        <v>0</v>
      </c>
      <c r="I823">
        <v>0</v>
      </c>
      <c r="J823">
        <v>0</v>
      </c>
      <c r="K823">
        <v>0</v>
      </c>
      <c r="L823">
        <v>0</v>
      </c>
      <c r="M823">
        <v>0</v>
      </c>
      <c r="N823">
        <v>0</v>
      </c>
      <c r="O823">
        <v>0</v>
      </c>
      <c r="P823">
        <v>0</v>
      </c>
      <c r="Q823">
        <v>0</v>
      </c>
      <c r="R823">
        <v>0</v>
      </c>
      <c r="S823">
        <v>0</v>
      </c>
      <c r="T823">
        <v>0</v>
      </c>
      <c r="U823">
        <v>0</v>
      </c>
      <c r="V823">
        <v>0</v>
      </c>
      <c r="W823">
        <v>0</v>
      </c>
      <c r="X823">
        <v>0</v>
      </c>
      <c r="Y823">
        <v>0</v>
      </c>
      <c r="Z823">
        <v>0</v>
      </c>
      <c r="AA823">
        <v>0</v>
      </c>
      <c r="AB823">
        <v>0</v>
      </c>
      <c r="AC823">
        <v>0</v>
      </c>
      <c r="AD823">
        <v>0</v>
      </c>
      <c r="AF823">
        <v>0</v>
      </c>
      <c r="AG823">
        <v>0</v>
      </c>
      <c r="AH823">
        <v>0</v>
      </c>
      <c r="AI823">
        <v>0</v>
      </c>
      <c r="AJ823">
        <v>0</v>
      </c>
      <c r="AK823">
        <v>0</v>
      </c>
      <c r="AL823">
        <v>0</v>
      </c>
      <c r="AM823">
        <v>0</v>
      </c>
      <c r="AN823">
        <v>0</v>
      </c>
      <c r="AO823">
        <v>0</v>
      </c>
      <c r="AP823">
        <v>0</v>
      </c>
      <c r="AQ823">
        <v>0</v>
      </c>
      <c r="AR823">
        <v>0</v>
      </c>
      <c r="AS823">
        <v>0</v>
      </c>
      <c r="AT823">
        <v>0</v>
      </c>
      <c r="AU823">
        <v>0</v>
      </c>
      <c r="AV823">
        <v>0</v>
      </c>
      <c r="AW823">
        <v>0</v>
      </c>
      <c r="AX823">
        <v>0</v>
      </c>
      <c r="AY823">
        <v>0</v>
      </c>
      <c r="AZ823">
        <v>0</v>
      </c>
      <c r="BA823">
        <v>0</v>
      </c>
      <c r="BB823">
        <v>0</v>
      </c>
      <c r="BC823">
        <v>0</v>
      </c>
      <c r="BD823">
        <v>0</v>
      </c>
      <c r="BE823">
        <v>0</v>
      </c>
      <c r="BF823">
        <v>0</v>
      </c>
      <c r="BG823">
        <v>0</v>
      </c>
      <c r="BH823">
        <v>0</v>
      </c>
      <c r="BI823">
        <v>0</v>
      </c>
      <c r="BK823" s="151"/>
    </row>
    <row r="824" spans="1:63" x14ac:dyDescent="0.35">
      <c r="A824">
        <v>0</v>
      </c>
      <c r="B824">
        <v>0</v>
      </c>
      <c r="C824">
        <v>0</v>
      </c>
      <c r="D824">
        <v>0</v>
      </c>
      <c r="E824">
        <v>0</v>
      </c>
      <c r="F824">
        <v>0</v>
      </c>
      <c r="G824">
        <v>0</v>
      </c>
      <c r="H824">
        <v>0</v>
      </c>
      <c r="I824">
        <v>0</v>
      </c>
      <c r="J824">
        <v>0</v>
      </c>
      <c r="K824">
        <v>0</v>
      </c>
      <c r="L824">
        <v>0</v>
      </c>
      <c r="M824">
        <v>0</v>
      </c>
      <c r="N824">
        <v>0</v>
      </c>
      <c r="O824">
        <v>0</v>
      </c>
      <c r="P824">
        <v>0</v>
      </c>
      <c r="Q824">
        <v>0</v>
      </c>
      <c r="R824">
        <v>0</v>
      </c>
      <c r="S824">
        <v>0</v>
      </c>
      <c r="T824">
        <v>0</v>
      </c>
      <c r="U824">
        <v>0</v>
      </c>
      <c r="V824">
        <v>0</v>
      </c>
      <c r="W824">
        <v>0</v>
      </c>
      <c r="X824">
        <v>0</v>
      </c>
      <c r="Y824">
        <v>0</v>
      </c>
      <c r="Z824">
        <v>0</v>
      </c>
      <c r="AA824">
        <v>0</v>
      </c>
      <c r="AB824">
        <v>0</v>
      </c>
      <c r="AC824">
        <v>0</v>
      </c>
      <c r="AD824">
        <v>0</v>
      </c>
      <c r="AF824">
        <v>0</v>
      </c>
      <c r="AG824">
        <v>0</v>
      </c>
      <c r="AH824">
        <v>0</v>
      </c>
      <c r="AI824">
        <v>0</v>
      </c>
      <c r="AJ824">
        <v>0</v>
      </c>
      <c r="AK824">
        <v>0</v>
      </c>
      <c r="AL824">
        <v>0</v>
      </c>
      <c r="AM824">
        <v>0</v>
      </c>
      <c r="AN824">
        <v>0</v>
      </c>
      <c r="AO824">
        <v>0</v>
      </c>
      <c r="AP824">
        <v>0</v>
      </c>
      <c r="AQ824">
        <v>0</v>
      </c>
      <c r="AR824">
        <v>0</v>
      </c>
      <c r="AS824">
        <v>0</v>
      </c>
      <c r="AT824">
        <v>0</v>
      </c>
      <c r="AU824">
        <v>0</v>
      </c>
      <c r="AV824">
        <v>0</v>
      </c>
      <c r="AW824">
        <v>0</v>
      </c>
      <c r="AX824">
        <v>0</v>
      </c>
      <c r="AY824">
        <v>0</v>
      </c>
      <c r="AZ824">
        <v>0</v>
      </c>
      <c r="BA824">
        <v>0</v>
      </c>
      <c r="BB824">
        <v>0</v>
      </c>
      <c r="BC824">
        <v>0</v>
      </c>
      <c r="BD824">
        <v>0</v>
      </c>
      <c r="BE824">
        <v>0</v>
      </c>
      <c r="BF824">
        <v>0</v>
      </c>
      <c r="BG824">
        <v>0</v>
      </c>
      <c r="BH824">
        <v>0</v>
      </c>
      <c r="BI824">
        <v>0</v>
      </c>
      <c r="BK824" s="151"/>
    </row>
    <row r="825" spans="1:63" x14ac:dyDescent="0.35">
      <c r="A825">
        <v>0</v>
      </c>
      <c r="B825">
        <v>0</v>
      </c>
      <c r="C825">
        <v>0</v>
      </c>
      <c r="D825">
        <v>0</v>
      </c>
      <c r="E825">
        <v>0</v>
      </c>
      <c r="F825">
        <v>0</v>
      </c>
      <c r="G825">
        <v>0</v>
      </c>
      <c r="H825">
        <v>0</v>
      </c>
      <c r="I825">
        <v>0</v>
      </c>
      <c r="J825">
        <v>0</v>
      </c>
      <c r="K825">
        <v>0</v>
      </c>
      <c r="L825">
        <v>0</v>
      </c>
      <c r="M825">
        <v>0</v>
      </c>
      <c r="N825">
        <v>0</v>
      </c>
      <c r="O825">
        <v>0</v>
      </c>
      <c r="P825">
        <v>0</v>
      </c>
      <c r="Q825">
        <v>0</v>
      </c>
      <c r="R825">
        <v>0</v>
      </c>
      <c r="S825">
        <v>0</v>
      </c>
      <c r="T825">
        <v>0</v>
      </c>
      <c r="U825">
        <v>0</v>
      </c>
      <c r="V825">
        <v>0</v>
      </c>
      <c r="W825">
        <v>0</v>
      </c>
      <c r="X825">
        <v>0</v>
      </c>
      <c r="Y825">
        <v>0</v>
      </c>
      <c r="Z825">
        <v>0</v>
      </c>
      <c r="AA825">
        <v>0</v>
      </c>
      <c r="AB825">
        <v>0</v>
      </c>
      <c r="AC825">
        <v>0</v>
      </c>
      <c r="AD825">
        <v>0</v>
      </c>
      <c r="AF825">
        <v>0</v>
      </c>
      <c r="AG825">
        <v>0</v>
      </c>
      <c r="AH825">
        <v>0</v>
      </c>
      <c r="AI825">
        <v>0</v>
      </c>
      <c r="AJ825">
        <v>0</v>
      </c>
      <c r="AK825">
        <v>0</v>
      </c>
      <c r="AL825">
        <v>0</v>
      </c>
      <c r="AM825">
        <v>0</v>
      </c>
      <c r="AN825">
        <v>0</v>
      </c>
      <c r="AO825">
        <v>0</v>
      </c>
      <c r="AP825">
        <v>0</v>
      </c>
      <c r="AQ825">
        <v>0</v>
      </c>
      <c r="AR825">
        <v>0</v>
      </c>
      <c r="AS825">
        <v>0</v>
      </c>
      <c r="AT825">
        <v>0</v>
      </c>
      <c r="AU825">
        <v>0</v>
      </c>
      <c r="AV825">
        <v>0</v>
      </c>
      <c r="AW825">
        <v>0</v>
      </c>
      <c r="AX825">
        <v>0</v>
      </c>
      <c r="AY825">
        <v>0</v>
      </c>
      <c r="AZ825">
        <v>0</v>
      </c>
      <c r="BA825">
        <v>0</v>
      </c>
      <c r="BB825">
        <v>0</v>
      </c>
      <c r="BC825">
        <v>0</v>
      </c>
      <c r="BD825">
        <v>0</v>
      </c>
      <c r="BE825">
        <v>0</v>
      </c>
      <c r="BF825">
        <v>0</v>
      </c>
      <c r="BG825">
        <v>0</v>
      </c>
      <c r="BH825">
        <v>0</v>
      </c>
      <c r="BI825">
        <v>0</v>
      </c>
      <c r="BK825" s="151"/>
    </row>
    <row r="826" spans="1:63" x14ac:dyDescent="0.35">
      <c r="A826">
        <v>0</v>
      </c>
      <c r="B826">
        <v>0</v>
      </c>
      <c r="C826">
        <v>0</v>
      </c>
      <c r="D826">
        <v>0</v>
      </c>
      <c r="E826">
        <v>0</v>
      </c>
      <c r="F826">
        <v>0</v>
      </c>
      <c r="G826">
        <v>0</v>
      </c>
      <c r="H826">
        <v>0</v>
      </c>
      <c r="I826">
        <v>0</v>
      </c>
      <c r="J826">
        <v>0</v>
      </c>
      <c r="K826">
        <v>0</v>
      </c>
      <c r="L826">
        <v>0</v>
      </c>
      <c r="M826">
        <v>0</v>
      </c>
      <c r="N826">
        <v>0</v>
      </c>
      <c r="O826">
        <v>0</v>
      </c>
      <c r="P826">
        <v>0</v>
      </c>
      <c r="Q826">
        <v>0</v>
      </c>
      <c r="R826">
        <v>0</v>
      </c>
      <c r="S826">
        <v>0</v>
      </c>
      <c r="T826">
        <v>0</v>
      </c>
      <c r="U826">
        <v>0</v>
      </c>
      <c r="V826">
        <v>0</v>
      </c>
      <c r="W826">
        <v>0</v>
      </c>
      <c r="X826">
        <v>0</v>
      </c>
      <c r="Y826">
        <v>0</v>
      </c>
      <c r="Z826">
        <v>0</v>
      </c>
      <c r="AA826">
        <v>0</v>
      </c>
      <c r="AB826">
        <v>0</v>
      </c>
      <c r="AC826">
        <v>0</v>
      </c>
      <c r="AD826">
        <v>0</v>
      </c>
      <c r="AF826">
        <v>0</v>
      </c>
      <c r="AG826">
        <v>0</v>
      </c>
      <c r="AH826">
        <v>0</v>
      </c>
      <c r="AI826">
        <v>0</v>
      </c>
      <c r="AJ826">
        <v>0</v>
      </c>
      <c r="AK826">
        <v>0</v>
      </c>
      <c r="AL826">
        <v>0</v>
      </c>
      <c r="AM826">
        <v>0</v>
      </c>
      <c r="AN826">
        <v>0</v>
      </c>
      <c r="AO826">
        <v>0</v>
      </c>
      <c r="AP826">
        <v>0</v>
      </c>
      <c r="AQ826">
        <v>0</v>
      </c>
      <c r="AR826">
        <v>0</v>
      </c>
      <c r="AS826">
        <v>0</v>
      </c>
      <c r="AT826">
        <v>0</v>
      </c>
      <c r="AU826">
        <v>0</v>
      </c>
      <c r="AV826">
        <v>0</v>
      </c>
      <c r="AW826">
        <v>0</v>
      </c>
      <c r="AX826">
        <v>0</v>
      </c>
      <c r="AY826">
        <v>0</v>
      </c>
      <c r="AZ826">
        <v>0</v>
      </c>
      <c r="BA826">
        <v>0</v>
      </c>
      <c r="BB826">
        <v>0</v>
      </c>
      <c r="BC826">
        <v>0</v>
      </c>
      <c r="BD826">
        <v>0</v>
      </c>
      <c r="BE826">
        <v>0</v>
      </c>
      <c r="BF826">
        <v>0</v>
      </c>
      <c r="BG826">
        <v>0</v>
      </c>
      <c r="BH826">
        <v>0</v>
      </c>
      <c r="BI826">
        <v>0</v>
      </c>
      <c r="BK826" s="151"/>
    </row>
    <row r="827" spans="1:63" x14ac:dyDescent="0.35">
      <c r="A827">
        <v>0</v>
      </c>
      <c r="B827">
        <v>0</v>
      </c>
      <c r="C827">
        <v>0</v>
      </c>
      <c r="D827">
        <v>0</v>
      </c>
      <c r="E827">
        <v>0</v>
      </c>
      <c r="F827">
        <v>0</v>
      </c>
      <c r="G827">
        <v>0</v>
      </c>
      <c r="H827">
        <v>0</v>
      </c>
      <c r="I827">
        <v>0</v>
      </c>
      <c r="J827">
        <v>0</v>
      </c>
      <c r="K827">
        <v>0</v>
      </c>
      <c r="L827">
        <v>0</v>
      </c>
      <c r="M827">
        <v>0</v>
      </c>
      <c r="N827">
        <v>0</v>
      </c>
      <c r="O827">
        <v>0</v>
      </c>
      <c r="P827">
        <v>0</v>
      </c>
      <c r="Q827">
        <v>0</v>
      </c>
      <c r="R827">
        <v>0</v>
      </c>
      <c r="S827">
        <v>0</v>
      </c>
      <c r="T827">
        <v>0</v>
      </c>
      <c r="U827">
        <v>0</v>
      </c>
      <c r="V827">
        <v>0</v>
      </c>
      <c r="W827">
        <v>0</v>
      </c>
      <c r="X827">
        <v>0</v>
      </c>
      <c r="Y827">
        <v>0</v>
      </c>
      <c r="Z827">
        <v>0</v>
      </c>
      <c r="AA827">
        <v>0</v>
      </c>
      <c r="AB827">
        <v>0</v>
      </c>
      <c r="AC827">
        <v>0</v>
      </c>
      <c r="AD827">
        <v>0</v>
      </c>
      <c r="AF827">
        <v>0</v>
      </c>
      <c r="AG827">
        <v>0</v>
      </c>
      <c r="AH827">
        <v>0</v>
      </c>
      <c r="AI827">
        <v>0</v>
      </c>
      <c r="AJ827">
        <v>0</v>
      </c>
      <c r="AK827">
        <v>0</v>
      </c>
      <c r="AL827">
        <v>0</v>
      </c>
      <c r="AM827">
        <v>0</v>
      </c>
      <c r="AN827">
        <v>0</v>
      </c>
      <c r="AO827">
        <v>0</v>
      </c>
      <c r="AP827">
        <v>0</v>
      </c>
      <c r="AQ827">
        <v>0</v>
      </c>
      <c r="AR827">
        <v>0</v>
      </c>
      <c r="AS827">
        <v>0</v>
      </c>
      <c r="AT827">
        <v>0</v>
      </c>
      <c r="AU827">
        <v>0</v>
      </c>
      <c r="AV827">
        <v>0</v>
      </c>
      <c r="AW827">
        <v>0</v>
      </c>
      <c r="AX827">
        <v>0</v>
      </c>
      <c r="AY827">
        <v>0</v>
      </c>
      <c r="AZ827">
        <v>0</v>
      </c>
      <c r="BA827">
        <v>0</v>
      </c>
      <c r="BB827">
        <v>0</v>
      </c>
      <c r="BC827">
        <v>0</v>
      </c>
      <c r="BD827">
        <v>0</v>
      </c>
      <c r="BE827">
        <v>0</v>
      </c>
      <c r="BF827">
        <v>0</v>
      </c>
      <c r="BG827">
        <v>0</v>
      </c>
      <c r="BH827">
        <v>0</v>
      </c>
      <c r="BI827">
        <v>0</v>
      </c>
      <c r="BK827" s="151"/>
    </row>
    <row r="828" spans="1:63" x14ac:dyDescent="0.35">
      <c r="A828">
        <v>0</v>
      </c>
      <c r="B828">
        <v>0</v>
      </c>
      <c r="C828">
        <v>0</v>
      </c>
      <c r="D828">
        <v>0</v>
      </c>
      <c r="E828">
        <v>0</v>
      </c>
      <c r="F828">
        <v>0</v>
      </c>
      <c r="G828">
        <v>0</v>
      </c>
      <c r="H828">
        <v>0</v>
      </c>
      <c r="I828">
        <v>0</v>
      </c>
      <c r="J828">
        <v>0</v>
      </c>
      <c r="K828">
        <v>0</v>
      </c>
      <c r="L828">
        <v>0</v>
      </c>
      <c r="M828">
        <v>0</v>
      </c>
      <c r="N828">
        <v>0</v>
      </c>
      <c r="O828">
        <v>0</v>
      </c>
      <c r="P828">
        <v>0</v>
      </c>
      <c r="Q828">
        <v>0</v>
      </c>
      <c r="R828">
        <v>0</v>
      </c>
      <c r="S828">
        <v>0</v>
      </c>
      <c r="T828">
        <v>0</v>
      </c>
      <c r="U828">
        <v>0</v>
      </c>
      <c r="V828">
        <v>0</v>
      </c>
      <c r="W828">
        <v>0</v>
      </c>
      <c r="X828">
        <v>0</v>
      </c>
      <c r="Y828">
        <v>0</v>
      </c>
      <c r="Z828">
        <v>0</v>
      </c>
      <c r="AA828">
        <v>0</v>
      </c>
      <c r="AB828">
        <v>0</v>
      </c>
      <c r="AC828">
        <v>0</v>
      </c>
      <c r="AD828">
        <v>0</v>
      </c>
      <c r="AF828">
        <v>0</v>
      </c>
      <c r="AG828">
        <v>0</v>
      </c>
      <c r="AH828">
        <v>0</v>
      </c>
      <c r="AI828">
        <v>0</v>
      </c>
      <c r="AJ828">
        <v>0</v>
      </c>
      <c r="AK828">
        <v>0</v>
      </c>
      <c r="AL828">
        <v>0</v>
      </c>
      <c r="AM828">
        <v>0</v>
      </c>
      <c r="AN828">
        <v>0</v>
      </c>
      <c r="AO828">
        <v>0</v>
      </c>
      <c r="AP828">
        <v>0</v>
      </c>
      <c r="AQ828">
        <v>0</v>
      </c>
      <c r="AR828">
        <v>0</v>
      </c>
      <c r="AS828">
        <v>0</v>
      </c>
      <c r="AT828">
        <v>0</v>
      </c>
      <c r="AU828">
        <v>0</v>
      </c>
      <c r="AV828">
        <v>0</v>
      </c>
      <c r="AW828">
        <v>0</v>
      </c>
      <c r="AX828">
        <v>0</v>
      </c>
      <c r="AY828">
        <v>0</v>
      </c>
      <c r="AZ828">
        <v>0</v>
      </c>
      <c r="BA828">
        <v>0</v>
      </c>
      <c r="BB828">
        <v>0</v>
      </c>
      <c r="BC828">
        <v>0</v>
      </c>
      <c r="BD828">
        <v>0</v>
      </c>
      <c r="BE828">
        <v>0</v>
      </c>
      <c r="BF828">
        <v>0</v>
      </c>
      <c r="BG828">
        <v>0</v>
      </c>
      <c r="BH828">
        <v>0</v>
      </c>
      <c r="BI828">
        <v>0</v>
      </c>
      <c r="BK828" s="151"/>
    </row>
    <row r="829" spans="1:63" x14ac:dyDescent="0.35">
      <c r="A829">
        <v>0</v>
      </c>
      <c r="B829">
        <v>0</v>
      </c>
      <c r="C829">
        <v>0</v>
      </c>
      <c r="D829">
        <v>0</v>
      </c>
      <c r="E829">
        <v>0</v>
      </c>
      <c r="F829">
        <v>0</v>
      </c>
      <c r="G829">
        <v>0</v>
      </c>
      <c r="H829">
        <v>0</v>
      </c>
      <c r="I829">
        <v>0</v>
      </c>
      <c r="J829">
        <v>0</v>
      </c>
      <c r="K829">
        <v>0</v>
      </c>
      <c r="L829">
        <v>0</v>
      </c>
      <c r="M829">
        <v>0</v>
      </c>
      <c r="N829">
        <v>0</v>
      </c>
      <c r="O829">
        <v>0</v>
      </c>
      <c r="P829">
        <v>0</v>
      </c>
      <c r="Q829">
        <v>0</v>
      </c>
      <c r="R829">
        <v>0</v>
      </c>
      <c r="S829">
        <v>0</v>
      </c>
      <c r="T829">
        <v>0</v>
      </c>
      <c r="U829">
        <v>0</v>
      </c>
      <c r="V829">
        <v>0</v>
      </c>
      <c r="W829">
        <v>0</v>
      </c>
      <c r="X829">
        <v>0</v>
      </c>
      <c r="Y829">
        <v>0</v>
      </c>
      <c r="Z829">
        <v>0</v>
      </c>
      <c r="AA829">
        <v>0</v>
      </c>
      <c r="AB829">
        <v>0</v>
      </c>
      <c r="AC829">
        <v>0</v>
      </c>
      <c r="AD829">
        <v>0</v>
      </c>
      <c r="AF829">
        <v>0</v>
      </c>
      <c r="AG829">
        <v>0</v>
      </c>
      <c r="AH829">
        <v>0</v>
      </c>
      <c r="AI829">
        <v>0</v>
      </c>
      <c r="AJ829">
        <v>0</v>
      </c>
      <c r="AK829">
        <v>0</v>
      </c>
      <c r="AL829">
        <v>0</v>
      </c>
      <c r="AM829">
        <v>0</v>
      </c>
      <c r="AN829">
        <v>0</v>
      </c>
      <c r="AO829">
        <v>0</v>
      </c>
      <c r="AP829">
        <v>0</v>
      </c>
      <c r="AQ829">
        <v>0</v>
      </c>
      <c r="AR829">
        <v>0</v>
      </c>
      <c r="AS829">
        <v>0</v>
      </c>
      <c r="AT829">
        <v>0</v>
      </c>
      <c r="AU829">
        <v>0</v>
      </c>
      <c r="AV829">
        <v>0</v>
      </c>
      <c r="AW829">
        <v>0</v>
      </c>
      <c r="AX829">
        <v>0</v>
      </c>
      <c r="AY829">
        <v>0</v>
      </c>
      <c r="AZ829">
        <v>0</v>
      </c>
      <c r="BA829">
        <v>0</v>
      </c>
      <c r="BB829">
        <v>0</v>
      </c>
      <c r="BC829">
        <v>0</v>
      </c>
      <c r="BD829">
        <v>0</v>
      </c>
      <c r="BE829">
        <v>0</v>
      </c>
      <c r="BF829">
        <v>0</v>
      </c>
      <c r="BG829">
        <v>0</v>
      </c>
      <c r="BH829">
        <v>0</v>
      </c>
      <c r="BI829">
        <v>0</v>
      </c>
      <c r="BK829" s="151"/>
    </row>
    <row r="830" spans="1:63" x14ac:dyDescent="0.35">
      <c r="A830">
        <v>0</v>
      </c>
      <c r="B830">
        <v>0</v>
      </c>
      <c r="C830">
        <v>0</v>
      </c>
      <c r="D830">
        <v>0</v>
      </c>
      <c r="E830">
        <v>0</v>
      </c>
      <c r="F830">
        <v>0</v>
      </c>
      <c r="G830">
        <v>0</v>
      </c>
      <c r="H830">
        <v>0</v>
      </c>
      <c r="I830">
        <v>0</v>
      </c>
      <c r="J830">
        <v>0</v>
      </c>
      <c r="K830">
        <v>0</v>
      </c>
      <c r="L830">
        <v>0</v>
      </c>
      <c r="M830">
        <v>0</v>
      </c>
      <c r="N830">
        <v>0</v>
      </c>
      <c r="O830">
        <v>0</v>
      </c>
      <c r="P830">
        <v>0</v>
      </c>
      <c r="Q830">
        <v>0</v>
      </c>
      <c r="R830">
        <v>0</v>
      </c>
      <c r="S830">
        <v>0</v>
      </c>
      <c r="T830">
        <v>0</v>
      </c>
      <c r="U830">
        <v>0</v>
      </c>
      <c r="V830">
        <v>0</v>
      </c>
      <c r="W830">
        <v>0</v>
      </c>
      <c r="X830">
        <v>0</v>
      </c>
      <c r="Y830">
        <v>0</v>
      </c>
      <c r="Z830">
        <v>0</v>
      </c>
      <c r="AA830">
        <v>0</v>
      </c>
      <c r="AB830">
        <v>0</v>
      </c>
      <c r="AC830">
        <v>0</v>
      </c>
      <c r="AD830">
        <v>0</v>
      </c>
      <c r="AF830">
        <v>0</v>
      </c>
      <c r="AG830">
        <v>0</v>
      </c>
      <c r="AH830">
        <v>0</v>
      </c>
      <c r="AI830">
        <v>0</v>
      </c>
      <c r="AJ830">
        <v>0</v>
      </c>
      <c r="AK830">
        <v>0</v>
      </c>
      <c r="AL830">
        <v>0</v>
      </c>
      <c r="AM830">
        <v>0</v>
      </c>
      <c r="AN830">
        <v>0</v>
      </c>
      <c r="AO830">
        <v>0</v>
      </c>
      <c r="AP830">
        <v>0</v>
      </c>
      <c r="AQ830">
        <v>0</v>
      </c>
      <c r="AR830">
        <v>0</v>
      </c>
      <c r="AS830">
        <v>0</v>
      </c>
      <c r="AT830">
        <v>0</v>
      </c>
      <c r="AU830">
        <v>0</v>
      </c>
      <c r="AV830">
        <v>0</v>
      </c>
      <c r="AW830">
        <v>0</v>
      </c>
      <c r="AX830">
        <v>0</v>
      </c>
      <c r="AY830">
        <v>0</v>
      </c>
      <c r="AZ830">
        <v>0</v>
      </c>
      <c r="BA830">
        <v>0</v>
      </c>
      <c r="BB830">
        <v>0</v>
      </c>
      <c r="BC830">
        <v>0</v>
      </c>
      <c r="BD830">
        <v>0</v>
      </c>
      <c r="BE830">
        <v>0</v>
      </c>
      <c r="BF830">
        <v>0</v>
      </c>
      <c r="BG830">
        <v>0</v>
      </c>
      <c r="BH830">
        <v>0</v>
      </c>
      <c r="BI830">
        <v>0</v>
      </c>
      <c r="BK830" s="151"/>
    </row>
    <row r="831" spans="1:63" x14ac:dyDescent="0.35">
      <c r="A831">
        <v>0</v>
      </c>
      <c r="B831">
        <v>0</v>
      </c>
      <c r="C831">
        <v>0</v>
      </c>
      <c r="D831">
        <v>0</v>
      </c>
      <c r="E831">
        <v>0</v>
      </c>
      <c r="F831">
        <v>0</v>
      </c>
      <c r="G831">
        <v>0</v>
      </c>
      <c r="H831">
        <v>0</v>
      </c>
      <c r="I831">
        <v>0</v>
      </c>
      <c r="J831">
        <v>0</v>
      </c>
      <c r="K831">
        <v>0</v>
      </c>
      <c r="L831">
        <v>0</v>
      </c>
      <c r="M831">
        <v>0</v>
      </c>
      <c r="N831">
        <v>0</v>
      </c>
      <c r="O831">
        <v>0</v>
      </c>
      <c r="P831">
        <v>0</v>
      </c>
      <c r="Q831">
        <v>0</v>
      </c>
      <c r="R831">
        <v>0</v>
      </c>
      <c r="S831">
        <v>0</v>
      </c>
      <c r="T831">
        <v>0</v>
      </c>
      <c r="U831">
        <v>0</v>
      </c>
      <c r="V831">
        <v>0</v>
      </c>
      <c r="W831">
        <v>0</v>
      </c>
      <c r="X831">
        <v>0</v>
      </c>
      <c r="Y831">
        <v>0</v>
      </c>
      <c r="Z831">
        <v>0</v>
      </c>
      <c r="AA831">
        <v>0</v>
      </c>
      <c r="AB831">
        <v>0</v>
      </c>
      <c r="AC831">
        <v>0</v>
      </c>
      <c r="AD831">
        <v>0</v>
      </c>
      <c r="AF831">
        <v>0</v>
      </c>
      <c r="AG831">
        <v>0</v>
      </c>
      <c r="AH831">
        <v>0</v>
      </c>
      <c r="AI831">
        <v>0</v>
      </c>
      <c r="AJ831">
        <v>0</v>
      </c>
      <c r="AK831">
        <v>0</v>
      </c>
      <c r="AL831">
        <v>0</v>
      </c>
      <c r="AM831">
        <v>0</v>
      </c>
      <c r="AN831">
        <v>0</v>
      </c>
      <c r="AO831">
        <v>0</v>
      </c>
      <c r="AP831">
        <v>0</v>
      </c>
      <c r="AQ831">
        <v>0</v>
      </c>
      <c r="AR831">
        <v>0</v>
      </c>
      <c r="AS831">
        <v>0</v>
      </c>
      <c r="AT831">
        <v>0</v>
      </c>
      <c r="AU831">
        <v>0</v>
      </c>
      <c r="AV831">
        <v>0</v>
      </c>
      <c r="AW831">
        <v>0</v>
      </c>
      <c r="AX831">
        <v>0</v>
      </c>
      <c r="AY831">
        <v>0</v>
      </c>
      <c r="AZ831">
        <v>0</v>
      </c>
      <c r="BA831">
        <v>0</v>
      </c>
      <c r="BB831">
        <v>0</v>
      </c>
      <c r="BC831">
        <v>0</v>
      </c>
      <c r="BD831">
        <v>0</v>
      </c>
      <c r="BE831">
        <v>0</v>
      </c>
      <c r="BF831">
        <v>0</v>
      </c>
      <c r="BG831">
        <v>0</v>
      </c>
      <c r="BH831">
        <v>0</v>
      </c>
      <c r="BI831">
        <v>0</v>
      </c>
      <c r="BK831" s="151"/>
    </row>
    <row r="832" spans="1:63" x14ac:dyDescent="0.35">
      <c r="A832">
        <v>0</v>
      </c>
      <c r="B832">
        <v>0</v>
      </c>
      <c r="C832">
        <v>0</v>
      </c>
      <c r="D832">
        <v>0</v>
      </c>
      <c r="E832">
        <v>0</v>
      </c>
      <c r="F832">
        <v>0</v>
      </c>
      <c r="G832">
        <v>0</v>
      </c>
      <c r="H832">
        <v>0</v>
      </c>
      <c r="I832">
        <v>0</v>
      </c>
      <c r="J832">
        <v>0</v>
      </c>
      <c r="K832">
        <v>0</v>
      </c>
      <c r="L832">
        <v>0</v>
      </c>
      <c r="M832">
        <v>0</v>
      </c>
      <c r="N832">
        <v>0</v>
      </c>
      <c r="O832">
        <v>0</v>
      </c>
      <c r="P832">
        <v>0</v>
      </c>
      <c r="Q832">
        <v>0</v>
      </c>
      <c r="R832">
        <v>0</v>
      </c>
      <c r="S832">
        <v>0</v>
      </c>
      <c r="T832">
        <v>0</v>
      </c>
      <c r="U832">
        <v>0</v>
      </c>
      <c r="V832">
        <v>0</v>
      </c>
      <c r="W832">
        <v>0</v>
      </c>
      <c r="X832">
        <v>0</v>
      </c>
      <c r="Y832">
        <v>0</v>
      </c>
      <c r="Z832">
        <v>0</v>
      </c>
      <c r="AA832">
        <v>0</v>
      </c>
      <c r="AB832">
        <v>0</v>
      </c>
      <c r="AC832">
        <v>0</v>
      </c>
      <c r="AD832">
        <v>0</v>
      </c>
      <c r="AF832">
        <v>0</v>
      </c>
      <c r="AG832">
        <v>0</v>
      </c>
      <c r="AH832">
        <v>0</v>
      </c>
      <c r="AI832">
        <v>0</v>
      </c>
      <c r="AJ832">
        <v>0</v>
      </c>
      <c r="AK832">
        <v>0</v>
      </c>
      <c r="AL832">
        <v>0</v>
      </c>
      <c r="AM832">
        <v>0</v>
      </c>
      <c r="AN832">
        <v>0</v>
      </c>
      <c r="AO832">
        <v>0</v>
      </c>
      <c r="AP832">
        <v>0</v>
      </c>
      <c r="AQ832">
        <v>0</v>
      </c>
      <c r="AR832">
        <v>0</v>
      </c>
      <c r="AS832">
        <v>0</v>
      </c>
      <c r="AT832">
        <v>0</v>
      </c>
      <c r="AU832">
        <v>0</v>
      </c>
      <c r="AV832">
        <v>0</v>
      </c>
      <c r="AW832">
        <v>0</v>
      </c>
      <c r="AX832">
        <v>0</v>
      </c>
      <c r="AY832">
        <v>0</v>
      </c>
      <c r="AZ832">
        <v>0</v>
      </c>
      <c r="BA832">
        <v>0</v>
      </c>
      <c r="BB832">
        <v>0</v>
      </c>
      <c r="BC832">
        <v>0</v>
      </c>
      <c r="BD832">
        <v>0</v>
      </c>
      <c r="BE832">
        <v>0</v>
      </c>
      <c r="BF832">
        <v>0</v>
      </c>
      <c r="BG832">
        <v>0</v>
      </c>
      <c r="BH832">
        <v>0</v>
      </c>
      <c r="BI832">
        <v>0</v>
      </c>
      <c r="BK832" s="151"/>
    </row>
    <row r="833" spans="1:63" x14ac:dyDescent="0.35">
      <c r="A833">
        <v>0</v>
      </c>
      <c r="B833">
        <v>0</v>
      </c>
      <c r="C833">
        <v>0</v>
      </c>
      <c r="D833">
        <v>0</v>
      </c>
      <c r="E833">
        <v>0</v>
      </c>
      <c r="F833">
        <v>0</v>
      </c>
      <c r="G833">
        <v>0</v>
      </c>
      <c r="H833">
        <v>0</v>
      </c>
      <c r="I833">
        <v>0</v>
      </c>
      <c r="J833">
        <v>0</v>
      </c>
      <c r="K833">
        <v>0</v>
      </c>
      <c r="L833">
        <v>0</v>
      </c>
      <c r="M833">
        <v>0</v>
      </c>
      <c r="N833">
        <v>0</v>
      </c>
      <c r="O833">
        <v>0</v>
      </c>
      <c r="P833">
        <v>0</v>
      </c>
      <c r="Q833">
        <v>0</v>
      </c>
      <c r="R833">
        <v>0</v>
      </c>
      <c r="S833">
        <v>0</v>
      </c>
      <c r="T833">
        <v>0</v>
      </c>
      <c r="U833">
        <v>0</v>
      </c>
      <c r="V833">
        <v>0</v>
      </c>
      <c r="W833">
        <v>0</v>
      </c>
      <c r="X833">
        <v>0</v>
      </c>
      <c r="Y833">
        <v>0</v>
      </c>
      <c r="Z833">
        <v>0</v>
      </c>
      <c r="AA833">
        <v>0</v>
      </c>
      <c r="AB833">
        <v>0</v>
      </c>
      <c r="AC833">
        <v>0</v>
      </c>
      <c r="AD833">
        <v>0</v>
      </c>
      <c r="AF833">
        <v>0</v>
      </c>
      <c r="AG833">
        <v>0</v>
      </c>
      <c r="AH833">
        <v>0</v>
      </c>
      <c r="AI833">
        <v>0</v>
      </c>
      <c r="AJ833">
        <v>0</v>
      </c>
      <c r="AK833">
        <v>0</v>
      </c>
      <c r="AL833">
        <v>0</v>
      </c>
      <c r="AM833">
        <v>0</v>
      </c>
      <c r="AN833">
        <v>0</v>
      </c>
      <c r="AO833">
        <v>0</v>
      </c>
      <c r="AP833">
        <v>0</v>
      </c>
      <c r="AQ833">
        <v>0</v>
      </c>
      <c r="AR833">
        <v>0</v>
      </c>
      <c r="AS833">
        <v>0</v>
      </c>
      <c r="AT833">
        <v>0</v>
      </c>
      <c r="AU833">
        <v>0</v>
      </c>
      <c r="AV833">
        <v>0</v>
      </c>
      <c r="AW833">
        <v>0</v>
      </c>
      <c r="AX833">
        <v>0</v>
      </c>
      <c r="AY833">
        <v>0</v>
      </c>
      <c r="AZ833">
        <v>0</v>
      </c>
      <c r="BA833">
        <v>0</v>
      </c>
      <c r="BB833">
        <v>0</v>
      </c>
      <c r="BC833">
        <v>0</v>
      </c>
      <c r="BD833">
        <v>0</v>
      </c>
      <c r="BE833">
        <v>0</v>
      </c>
      <c r="BF833">
        <v>0</v>
      </c>
      <c r="BG833">
        <v>0</v>
      </c>
      <c r="BH833">
        <v>0</v>
      </c>
      <c r="BI833">
        <v>0</v>
      </c>
      <c r="BK833" s="151"/>
    </row>
    <row r="834" spans="1:63" x14ac:dyDescent="0.35">
      <c r="A834">
        <v>0</v>
      </c>
      <c r="B834">
        <v>0</v>
      </c>
      <c r="C834">
        <v>0</v>
      </c>
      <c r="D834">
        <v>0</v>
      </c>
      <c r="E834">
        <v>0</v>
      </c>
      <c r="F834">
        <v>0</v>
      </c>
      <c r="G834">
        <v>0</v>
      </c>
      <c r="H834">
        <v>0</v>
      </c>
      <c r="I834">
        <v>0</v>
      </c>
      <c r="J834">
        <v>0</v>
      </c>
      <c r="K834">
        <v>0</v>
      </c>
      <c r="L834">
        <v>0</v>
      </c>
      <c r="M834">
        <v>0</v>
      </c>
      <c r="N834">
        <v>0</v>
      </c>
      <c r="O834">
        <v>0</v>
      </c>
      <c r="P834">
        <v>0</v>
      </c>
      <c r="Q834">
        <v>0</v>
      </c>
      <c r="R834">
        <v>0</v>
      </c>
      <c r="S834">
        <v>0</v>
      </c>
      <c r="T834">
        <v>0</v>
      </c>
      <c r="U834">
        <v>0</v>
      </c>
      <c r="V834">
        <v>0</v>
      </c>
      <c r="W834">
        <v>0</v>
      </c>
      <c r="X834">
        <v>0</v>
      </c>
      <c r="Y834">
        <v>0</v>
      </c>
      <c r="Z834">
        <v>0</v>
      </c>
      <c r="AA834">
        <v>0</v>
      </c>
      <c r="AB834">
        <v>0</v>
      </c>
      <c r="AC834">
        <v>0</v>
      </c>
      <c r="AD834">
        <v>0</v>
      </c>
      <c r="AF834">
        <v>0</v>
      </c>
      <c r="AG834">
        <v>0</v>
      </c>
      <c r="AH834">
        <v>0</v>
      </c>
      <c r="AI834">
        <v>0</v>
      </c>
      <c r="AJ834">
        <v>0</v>
      </c>
      <c r="AK834">
        <v>0</v>
      </c>
      <c r="AL834">
        <v>0</v>
      </c>
      <c r="AM834">
        <v>0</v>
      </c>
      <c r="AN834">
        <v>0</v>
      </c>
      <c r="AO834">
        <v>0</v>
      </c>
      <c r="AP834">
        <v>0</v>
      </c>
      <c r="AQ834">
        <v>0</v>
      </c>
      <c r="AR834">
        <v>0</v>
      </c>
      <c r="AS834">
        <v>0</v>
      </c>
      <c r="AT834">
        <v>0</v>
      </c>
      <c r="AU834">
        <v>0</v>
      </c>
      <c r="AV834">
        <v>0</v>
      </c>
      <c r="AW834">
        <v>0</v>
      </c>
      <c r="AX834">
        <v>0</v>
      </c>
      <c r="AY834">
        <v>0</v>
      </c>
      <c r="AZ834">
        <v>0</v>
      </c>
      <c r="BA834">
        <v>0</v>
      </c>
      <c r="BB834">
        <v>0</v>
      </c>
      <c r="BC834">
        <v>0</v>
      </c>
      <c r="BD834">
        <v>0</v>
      </c>
      <c r="BE834">
        <v>0</v>
      </c>
      <c r="BF834">
        <v>0</v>
      </c>
      <c r="BG834">
        <v>0</v>
      </c>
      <c r="BH834">
        <v>0</v>
      </c>
      <c r="BI834">
        <v>0</v>
      </c>
      <c r="BK834" s="151"/>
    </row>
    <row r="835" spans="1:63" x14ac:dyDescent="0.35">
      <c r="A835">
        <v>0</v>
      </c>
      <c r="B835">
        <v>0</v>
      </c>
      <c r="C835">
        <v>0</v>
      </c>
      <c r="D835">
        <v>0</v>
      </c>
      <c r="E835">
        <v>0</v>
      </c>
      <c r="F835">
        <v>0</v>
      </c>
      <c r="G835">
        <v>0</v>
      </c>
      <c r="H835">
        <v>0</v>
      </c>
      <c r="I835">
        <v>0</v>
      </c>
      <c r="J835">
        <v>0</v>
      </c>
      <c r="K835">
        <v>0</v>
      </c>
      <c r="L835">
        <v>0</v>
      </c>
      <c r="M835">
        <v>0</v>
      </c>
      <c r="N835">
        <v>0</v>
      </c>
      <c r="O835">
        <v>0</v>
      </c>
      <c r="P835">
        <v>0</v>
      </c>
      <c r="Q835">
        <v>0</v>
      </c>
      <c r="R835">
        <v>0</v>
      </c>
      <c r="S835">
        <v>0</v>
      </c>
      <c r="T835">
        <v>0</v>
      </c>
      <c r="U835">
        <v>0</v>
      </c>
      <c r="V835">
        <v>0</v>
      </c>
      <c r="W835">
        <v>0</v>
      </c>
      <c r="X835">
        <v>0</v>
      </c>
      <c r="Y835">
        <v>0</v>
      </c>
      <c r="Z835">
        <v>0</v>
      </c>
      <c r="AA835">
        <v>0</v>
      </c>
      <c r="AB835">
        <v>0</v>
      </c>
      <c r="AC835">
        <v>0</v>
      </c>
      <c r="AD835">
        <v>0</v>
      </c>
      <c r="AF835">
        <v>0</v>
      </c>
      <c r="AG835">
        <v>0</v>
      </c>
      <c r="AH835">
        <v>0</v>
      </c>
      <c r="AI835">
        <v>0</v>
      </c>
      <c r="AJ835">
        <v>0</v>
      </c>
      <c r="AK835">
        <v>0</v>
      </c>
      <c r="AL835">
        <v>0</v>
      </c>
      <c r="AM835">
        <v>0</v>
      </c>
      <c r="AN835">
        <v>0</v>
      </c>
      <c r="AO835">
        <v>0</v>
      </c>
      <c r="AP835">
        <v>0</v>
      </c>
      <c r="AQ835">
        <v>0</v>
      </c>
      <c r="AR835">
        <v>0</v>
      </c>
      <c r="AS835">
        <v>0</v>
      </c>
      <c r="AT835">
        <v>0</v>
      </c>
      <c r="AU835">
        <v>0</v>
      </c>
      <c r="AV835">
        <v>0</v>
      </c>
      <c r="AW835">
        <v>0</v>
      </c>
      <c r="AX835">
        <v>0</v>
      </c>
      <c r="AY835">
        <v>0</v>
      </c>
      <c r="AZ835">
        <v>0</v>
      </c>
      <c r="BA835">
        <v>0</v>
      </c>
      <c r="BB835">
        <v>0</v>
      </c>
      <c r="BC835">
        <v>0</v>
      </c>
      <c r="BD835">
        <v>0</v>
      </c>
      <c r="BE835">
        <v>0</v>
      </c>
      <c r="BF835">
        <v>0</v>
      </c>
      <c r="BG835">
        <v>0</v>
      </c>
      <c r="BH835">
        <v>0</v>
      </c>
      <c r="BI835">
        <v>0</v>
      </c>
      <c r="BK835" s="151"/>
    </row>
    <row r="836" spans="1:63" x14ac:dyDescent="0.35">
      <c r="A836">
        <v>0</v>
      </c>
      <c r="B836">
        <v>0</v>
      </c>
      <c r="C836">
        <v>0</v>
      </c>
      <c r="D836">
        <v>0</v>
      </c>
      <c r="E836">
        <v>0</v>
      </c>
      <c r="F836">
        <v>0</v>
      </c>
      <c r="G836">
        <v>0</v>
      </c>
      <c r="H836">
        <v>0</v>
      </c>
      <c r="I836">
        <v>0</v>
      </c>
      <c r="J836">
        <v>0</v>
      </c>
      <c r="K836">
        <v>0</v>
      </c>
      <c r="L836">
        <v>0</v>
      </c>
      <c r="M836">
        <v>0</v>
      </c>
      <c r="N836">
        <v>0</v>
      </c>
      <c r="O836">
        <v>0</v>
      </c>
      <c r="P836">
        <v>0</v>
      </c>
      <c r="Q836">
        <v>0</v>
      </c>
      <c r="R836">
        <v>0</v>
      </c>
      <c r="S836">
        <v>0</v>
      </c>
      <c r="T836">
        <v>0</v>
      </c>
      <c r="U836">
        <v>0</v>
      </c>
      <c r="V836">
        <v>0</v>
      </c>
      <c r="W836">
        <v>0</v>
      </c>
      <c r="X836">
        <v>0</v>
      </c>
      <c r="Y836">
        <v>0</v>
      </c>
      <c r="Z836">
        <v>0</v>
      </c>
      <c r="AA836">
        <v>0</v>
      </c>
      <c r="AB836">
        <v>0</v>
      </c>
      <c r="AC836">
        <v>0</v>
      </c>
      <c r="AD836">
        <v>0</v>
      </c>
      <c r="AF836">
        <v>0</v>
      </c>
      <c r="AG836">
        <v>0</v>
      </c>
      <c r="AH836">
        <v>0</v>
      </c>
      <c r="AI836">
        <v>0</v>
      </c>
      <c r="AJ836">
        <v>0</v>
      </c>
      <c r="AK836">
        <v>0</v>
      </c>
      <c r="AL836">
        <v>0</v>
      </c>
      <c r="AM836">
        <v>0</v>
      </c>
      <c r="AN836">
        <v>0</v>
      </c>
      <c r="AO836">
        <v>0</v>
      </c>
      <c r="AP836">
        <v>0</v>
      </c>
      <c r="AQ836">
        <v>0</v>
      </c>
      <c r="AR836">
        <v>0</v>
      </c>
      <c r="AS836">
        <v>0</v>
      </c>
      <c r="AT836">
        <v>0</v>
      </c>
      <c r="AU836">
        <v>0</v>
      </c>
      <c r="AV836">
        <v>0</v>
      </c>
      <c r="AW836">
        <v>0</v>
      </c>
      <c r="AX836">
        <v>0</v>
      </c>
      <c r="AY836">
        <v>0</v>
      </c>
      <c r="AZ836">
        <v>0</v>
      </c>
      <c r="BA836">
        <v>0</v>
      </c>
      <c r="BB836">
        <v>0</v>
      </c>
      <c r="BC836">
        <v>0</v>
      </c>
      <c r="BD836">
        <v>0</v>
      </c>
      <c r="BE836">
        <v>0</v>
      </c>
      <c r="BF836">
        <v>0</v>
      </c>
      <c r="BG836">
        <v>0</v>
      </c>
      <c r="BH836">
        <v>0</v>
      </c>
      <c r="BI836">
        <v>0</v>
      </c>
      <c r="BK836" s="151"/>
    </row>
    <row r="837" spans="1:63" x14ac:dyDescent="0.35">
      <c r="A837">
        <v>0</v>
      </c>
      <c r="B837">
        <v>0</v>
      </c>
      <c r="C837">
        <v>0</v>
      </c>
      <c r="D837">
        <v>0</v>
      </c>
      <c r="E837">
        <v>0</v>
      </c>
      <c r="F837">
        <v>0</v>
      </c>
      <c r="G837">
        <v>0</v>
      </c>
      <c r="H837">
        <v>0</v>
      </c>
      <c r="I837">
        <v>0</v>
      </c>
      <c r="J837">
        <v>0</v>
      </c>
      <c r="K837">
        <v>0</v>
      </c>
      <c r="L837">
        <v>0</v>
      </c>
      <c r="M837">
        <v>0</v>
      </c>
      <c r="N837">
        <v>0</v>
      </c>
      <c r="O837">
        <v>0</v>
      </c>
      <c r="P837">
        <v>0</v>
      </c>
      <c r="Q837">
        <v>0</v>
      </c>
      <c r="R837">
        <v>0</v>
      </c>
      <c r="S837">
        <v>0</v>
      </c>
      <c r="T837">
        <v>0</v>
      </c>
      <c r="U837">
        <v>0</v>
      </c>
      <c r="V837">
        <v>0</v>
      </c>
      <c r="W837">
        <v>0</v>
      </c>
      <c r="X837">
        <v>0</v>
      </c>
      <c r="Y837">
        <v>0</v>
      </c>
      <c r="Z837">
        <v>0</v>
      </c>
      <c r="AA837">
        <v>0</v>
      </c>
      <c r="AB837">
        <v>0</v>
      </c>
      <c r="AC837">
        <v>0</v>
      </c>
      <c r="AD837">
        <v>0</v>
      </c>
      <c r="AF837">
        <v>0</v>
      </c>
      <c r="AG837">
        <v>0</v>
      </c>
      <c r="AH837">
        <v>0</v>
      </c>
      <c r="AI837">
        <v>0</v>
      </c>
      <c r="AJ837">
        <v>0</v>
      </c>
      <c r="AK837">
        <v>0</v>
      </c>
      <c r="AL837">
        <v>0</v>
      </c>
      <c r="AM837">
        <v>0</v>
      </c>
      <c r="AN837">
        <v>0</v>
      </c>
      <c r="AO837">
        <v>0</v>
      </c>
      <c r="AP837">
        <v>0</v>
      </c>
      <c r="AQ837">
        <v>0</v>
      </c>
      <c r="AR837">
        <v>0</v>
      </c>
      <c r="AS837">
        <v>0</v>
      </c>
      <c r="AT837">
        <v>0</v>
      </c>
      <c r="AU837">
        <v>0</v>
      </c>
      <c r="AV837">
        <v>0</v>
      </c>
      <c r="AW837">
        <v>0</v>
      </c>
      <c r="AX837">
        <v>0</v>
      </c>
      <c r="AY837">
        <v>0</v>
      </c>
      <c r="AZ837">
        <v>0</v>
      </c>
      <c r="BA837">
        <v>0</v>
      </c>
      <c r="BB837">
        <v>0</v>
      </c>
      <c r="BC837">
        <v>0</v>
      </c>
      <c r="BD837">
        <v>0</v>
      </c>
      <c r="BE837">
        <v>0</v>
      </c>
      <c r="BF837">
        <v>0</v>
      </c>
      <c r="BG837">
        <v>0</v>
      </c>
      <c r="BH837">
        <v>0</v>
      </c>
      <c r="BI837">
        <v>0</v>
      </c>
      <c r="BK837" s="151"/>
    </row>
    <row r="838" spans="1:63" x14ac:dyDescent="0.35">
      <c r="A838">
        <v>0</v>
      </c>
      <c r="B838">
        <v>0</v>
      </c>
      <c r="C838">
        <v>0</v>
      </c>
      <c r="D838">
        <v>0</v>
      </c>
      <c r="E838">
        <v>0</v>
      </c>
      <c r="F838">
        <v>0</v>
      </c>
      <c r="G838">
        <v>0</v>
      </c>
      <c r="H838">
        <v>0</v>
      </c>
      <c r="I838">
        <v>0</v>
      </c>
      <c r="J838">
        <v>0</v>
      </c>
      <c r="K838">
        <v>0</v>
      </c>
      <c r="L838">
        <v>0</v>
      </c>
      <c r="M838">
        <v>0</v>
      </c>
      <c r="N838">
        <v>0</v>
      </c>
      <c r="O838">
        <v>0</v>
      </c>
      <c r="P838">
        <v>0</v>
      </c>
      <c r="Q838">
        <v>0</v>
      </c>
      <c r="R838">
        <v>0</v>
      </c>
      <c r="S838">
        <v>0</v>
      </c>
      <c r="T838">
        <v>0</v>
      </c>
      <c r="U838">
        <v>0</v>
      </c>
      <c r="V838">
        <v>0</v>
      </c>
      <c r="W838">
        <v>0</v>
      </c>
      <c r="X838">
        <v>0</v>
      </c>
      <c r="Y838">
        <v>0</v>
      </c>
      <c r="Z838">
        <v>0</v>
      </c>
      <c r="AA838">
        <v>0</v>
      </c>
      <c r="AB838">
        <v>0</v>
      </c>
      <c r="AC838">
        <v>0</v>
      </c>
      <c r="AD838">
        <v>0</v>
      </c>
      <c r="AF838">
        <v>0</v>
      </c>
      <c r="AG838">
        <v>0</v>
      </c>
      <c r="AH838">
        <v>0</v>
      </c>
      <c r="AI838">
        <v>0</v>
      </c>
      <c r="AJ838">
        <v>0</v>
      </c>
      <c r="AK838">
        <v>0</v>
      </c>
      <c r="AL838">
        <v>0</v>
      </c>
      <c r="AM838">
        <v>0</v>
      </c>
      <c r="AN838">
        <v>0</v>
      </c>
      <c r="AO838">
        <v>0</v>
      </c>
      <c r="AP838">
        <v>0</v>
      </c>
      <c r="AQ838">
        <v>0</v>
      </c>
      <c r="AR838">
        <v>0</v>
      </c>
      <c r="AS838">
        <v>0</v>
      </c>
      <c r="AT838">
        <v>0</v>
      </c>
      <c r="AU838">
        <v>0</v>
      </c>
      <c r="AV838">
        <v>0</v>
      </c>
      <c r="AW838">
        <v>0</v>
      </c>
      <c r="AX838">
        <v>0</v>
      </c>
      <c r="AY838">
        <v>0</v>
      </c>
      <c r="AZ838">
        <v>0</v>
      </c>
      <c r="BA838">
        <v>0</v>
      </c>
      <c r="BB838">
        <v>0</v>
      </c>
      <c r="BC838">
        <v>0</v>
      </c>
      <c r="BD838">
        <v>0</v>
      </c>
      <c r="BE838">
        <v>0</v>
      </c>
      <c r="BF838">
        <v>0</v>
      </c>
      <c r="BG838">
        <v>0</v>
      </c>
      <c r="BH838">
        <v>0</v>
      </c>
      <c r="BI838">
        <v>0</v>
      </c>
      <c r="BK838" s="151"/>
    </row>
    <row r="839" spans="1:63" x14ac:dyDescent="0.35">
      <c r="A839">
        <v>0</v>
      </c>
      <c r="B839">
        <v>0</v>
      </c>
      <c r="C839">
        <v>0</v>
      </c>
      <c r="D839">
        <v>0</v>
      </c>
      <c r="E839">
        <v>0</v>
      </c>
      <c r="F839">
        <v>0</v>
      </c>
      <c r="G839">
        <v>0</v>
      </c>
      <c r="H839">
        <v>0</v>
      </c>
      <c r="I839">
        <v>0</v>
      </c>
      <c r="J839">
        <v>0</v>
      </c>
      <c r="K839">
        <v>0</v>
      </c>
      <c r="L839">
        <v>0</v>
      </c>
      <c r="M839">
        <v>0</v>
      </c>
      <c r="N839">
        <v>0</v>
      </c>
      <c r="O839">
        <v>0</v>
      </c>
      <c r="P839">
        <v>0</v>
      </c>
      <c r="Q839">
        <v>0</v>
      </c>
      <c r="R839">
        <v>0</v>
      </c>
      <c r="S839">
        <v>0</v>
      </c>
      <c r="T839">
        <v>0</v>
      </c>
      <c r="U839">
        <v>0</v>
      </c>
      <c r="V839">
        <v>0</v>
      </c>
      <c r="W839">
        <v>0</v>
      </c>
      <c r="X839">
        <v>0</v>
      </c>
      <c r="Y839">
        <v>0</v>
      </c>
      <c r="Z839">
        <v>0</v>
      </c>
      <c r="AA839">
        <v>0</v>
      </c>
      <c r="AB839">
        <v>0</v>
      </c>
      <c r="AC839">
        <v>0</v>
      </c>
      <c r="AD839">
        <v>0</v>
      </c>
      <c r="AF839">
        <v>0</v>
      </c>
      <c r="AG839">
        <v>0</v>
      </c>
      <c r="AH839">
        <v>0</v>
      </c>
      <c r="AI839">
        <v>0</v>
      </c>
      <c r="AJ839">
        <v>0</v>
      </c>
      <c r="AK839">
        <v>0</v>
      </c>
      <c r="AL839">
        <v>0</v>
      </c>
      <c r="AM839">
        <v>0</v>
      </c>
      <c r="AN839">
        <v>0</v>
      </c>
      <c r="AO839">
        <v>0</v>
      </c>
      <c r="AP839">
        <v>0</v>
      </c>
      <c r="AQ839">
        <v>0</v>
      </c>
      <c r="AR839">
        <v>0</v>
      </c>
      <c r="AS839">
        <v>0</v>
      </c>
      <c r="AT839">
        <v>0</v>
      </c>
      <c r="AU839">
        <v>0</v>
      </c>
      <c r="AV839">
        <v>0</v>
      </c>
      <c r="AW839">
        <v>0</v>
      </c>
      <c r="AX839">
        <v>0</v>
      </c>
      <c r="AY839">
        <v>0</v>
      </c>
      <c r="AZ839">
        <v>0</v>
      </c>
      <c r="BA839">
        <v>0</v>
      </c>
      <c r="BB839">
        <v>0</v>
      </c>
      <c r="BC839">
        <v>0</v>
      </c>
      <c r="BD839">
        <v>0</v>
      </c>
      <c r="BE839">
        <v>0</v>
      </c>
      <c r="BF839">
        <v>0</v>
      </c>
      <c r="BG839">
        <v>0</v>
      </c>
      <c r="BH839">
        <v>0</v>
      </c>
      <c r="BI839">
        <v>0</v>
      </c>
      <c r="BK839" s="151"/>
    </row>
    <row r="840" spans="1:63" x14ac:dyDescent="0.35">
      <c r="A840">
        <v>0</v>
      </c>
      <c r="B840">
        <v>0</v>
      </c>
      <c r="C840">
        <v>0</v>
      </c>
      <c r="D840">
        <v>0</v>
      </c>
      <c r="E840">
        <v>0</v>
      </c>
      <c r="F840">
        <v>0</v>
      </c>
      <c r="G840">
        <v>0</v>
      </c>
      <c r="H840">
        <v>0</v>
      </c>
      <c r="I840">
        <v>0</v>
      </c>
      <c r="J840">
        <v>0</v>
      </c>
      <c r="K840">
        <v>0</v>
      </c>
      <c r="L840">
        <v>0</v>
      </c>
      <c r="M840">
        <v>0</v>
      </c>
      <c r="N840">
        <v>0</v>
      </c>
      <c r="O840">
        <v>0</v>
      </c>
      <c r="P840">
        <v>0</v>
      </c>
      <c r="Q840">
        <v>0</v>
      </c>
      <c r="R840">
        <v>0</v>
      </c>
      <c r="S840">
        <v>0</v>
      </c>
      <c r="T840">
        <v>0</v>
      </c>
      <c r="U840">
        <v>0</v>
      </c>
      <c r="V840">
        <v>0</v>
      </c>
      <c r="W840">
        <v>0</v>
      </c>
      <c r="X840">
        <v>0</v>
      </c>
      <c r="Y840">
        <v>0</v>
      </c>
      <c r="Z840">
        <v>0</v>
      </c>
      <c r="AA840">
        <v>0</v>
      </c>
      <c r="AB840">
        <v>0</v>
      </c>
      <c r="AC840">
        <v>0</v>
      </c>
      <c r="AD840">
        <v>0</v>
      </c>
      <c r="AF840">
        <v>0</v>
      </c>
      <c r="AG840">
        <v>0</v>
      </c>
      <c r="AH840">
        <v>0</v>
      </c>
      <c r="AI840">
        <v>0</v>
      </c>
      <c r="AJ840">
        <v>0</v>
      </c>
      <c r="AK840">
        <v>0</v>
      </c>
      <c r="AL840">
        <v>0</v>
      </c>
      <c r="AM840">
        <v>0</v>
      </c>
      <c r="AN840">
        <v>0</v>
      </c>
      <c r="AO840">
        <v>0</v>
      </c>
      <c r="AP840">
        <v>0</v>
      </c>
      <c r="AQ840">
        <v>0</v>
      </c>
      <c r="AR840">
        <v>0</v>
      </c>
      <c r="AS840">
        <v>0</v>
      </c>
      <c r="AT840">
        <v>0</v>
      </c>
      <c r="AU840">
        <v>0</v>
      </c>
      <c r="AV840">
        <v>0</v>
      </c>
      <c r="AW840">
        <v>0</v>
      </c>
      <c r="AX840">
        <v>0</v>
      </c>
      <c r="AY840">
        <v>0</v>
      </c>
      <c r="AZ840">
        <v>0</v>
      </c>
      <c r="BA840">
        <v>0</v>
      </c>
      <c r="BB840">
        <v>0</v>
      </c>
      <c r="BC840">
        <v>0</v>
      </c>
      <c r="BD840">
        <v>0</v>
      </c>
      <c r="BE840">
        <v>0</v>
      </c>
      <c r="BF840">
        <v>0</v>
      </c>
      <c r="BG840">
        <v>0</v>
      </c>
      <c r="BH840">
        <v>0</v>
      </c>
      <c r="BI840">
        <v>0</v>
      </c>
      <c r="BK840" s="151"/>
    </row>
    <row r="841" spans="1:63" x14ac:dyDescent="0.35">
      <c r="A841">
        <v>0</v>
      </c>
      <c r="B841">
        <v>0</v>
      </c>
      <c r="C841">
        <v>0</v>
      </c>
      <c r="D841">
        <v>0</v>
      </c>
      <c r="E841">
        <v>0</v>
      </c>
      <c r="F841">
        <v>0</v>
      </c>
      <c r="G841">
        <v>0</v>
      </c>
      <c r="H841">
        <v>0</v>
      </c>
      <c r="I841">
        <v>0</v>
      </c>
      <c r="J841">
        <v>0</v>
      </c>
      <c r="K841">
        <v>0</v>
      </c>
      <c r="L841">
        <v>0</v>
      </c>
      <c r="M841">
        <v>0</v>
      </c>
      <c r="N841">
        <v>0</v>
      </c>
      <c r="O841">
        <v>0</v>
      </c>
      <c r="P841">
        <v>0</v>
      </c>
      <c r="Q841">
        <v>0</v>
      </c>
      <c r="R841">
        <v>0</v>
      </c>
      <c r="S841">
        <v>0</v>
      </c>
      <c r="T841">
        <v>0</v>
      </c>
      <c r="U841">
        <v>0</v>
      </c>
      <c r="V841">
        <v>0</v>
      </c>
      <c r="W841">
        <v>0</v>
      </c>
      <c r="X841">
        <v>0</v>
      </c>
      <c r="Y841">
        <v>0</v>
      </c>
      <c r="Z841">
        <v>0</v>
      </c>
      <c r="AA841">
        <v>0</v>
      </c>
      <c r="AB841">
        <v>0</v>
      </c>
      <c r="AC841">
        <v>0</v>
      </c>
      <c r="AD841">
        <v>0</v>
      </c>
      <c r="AF841">
        <v>0</v>
      </c>
      <c r="AG841">
        <v>0</v>
      </c>
      <c r="AH841">
        <v>0</v>
      </c>
      <c r="AI841">
        <v>0</v>
      </c>
      <c r="AJ841">
        <v>0</v>
      </c>
      <c r="AK841">
        <v>0</v>
      </c>
      <c r="AL841">
        <v>0</v>
      </c>
      <c r="AM841">
        <v>0</v>
      </c>
      <c r="AN841">
        <v>0</v>
      </c>
      <c r="AO841">
        <v>0</v>
      </c>
      <c r="AP841">
        <v>0</v>
      </c>
      <c r="AQ841">
        <v>0</v>
      </c>
      <c r="AR841">
        <v>0</v>
      </c>
      <c r="AS841">
        <v>0</v>
      </c>
      <c r="AT841">
        <v>0</v>
      </c>
      <c r="AU841">
        <v>0</v>
      </c>
      <c r="AV841">
        <v>0</v>
      </c>
      <c r="AW841">
        <v>0</v>
      </c>
      <c r="AX841">
        <v>0</v>
      </c>
      <c r="AY841">
        <v>0</v>
      </c>
      <c r="AZ841">
        <v>0</v>
      </c>
      <c r="BA841">
        <v>0</v>
      </c>
      <c r="BB841">
        <v>0</v>
      </c>
      <c r="BC841">
        <v>0</v>
      </c>
      <c r="BD841">
        <v>0</v>
      </c>
      <c r="BE841">
        <v>0</v>
      </c>
      <c r="BF841">
        <v>0</v>
      </c>
      <c r="BG841">
        <v>0</v>
      </c>
      <c r="BH841">
        <v>0</v>
      </c>
      <c r="BI841">
        <v>0</v>
      </c>
      <c r="BK841" s="151"/>
    </row>
    <row r="842" spans="1:63" x14ac:dyDescent="0.35">
      <c r="A842">
        <v>0</v>
      </c>
      <c r="B842">
        <v>0</v>
      </c>
      <c r="C842">
        <v>0</v>
      </c>
      <c r="D842">
        <v>0</v>
      </c>
      <c r="E842">
        <v>0</v>
      </c>
      <c r="F842">
        <v>0</v>
      </c>
      <c r="G842">
        <v>0</v>
      </c>
      <c r="H842">
        <v>0</v>
      </c>
      <c r="I842">
        <v>0</v>
      </c>
      <c r="J842">
        <v>0</v>
      </c>
      <c r="K842">
        <v>0</v>
      </c>
      <c r="L842">
        <v>0</v>
      </c>
      <c r="M842">
        <v>0</v>
      </c>
      <c r="N842">
        <v>0</v>
      </c>
      <c r="O842">
        <v>0</v>
      </c>
      <c r="P842">
        <v>0</v>
      </c>
      <c r="Q842">
        <v>0</v>
      </c>
      <c r="R842">
        <v>0</v>
      </c>
      <c r="S842">
        <v>0</v>
      </c>
      <c r="T842">
        <v>0</v>
      </c>
      <c r="U842">
        <v>0</v>
      </c>
      <c r="V842">
        <v>0</v>
      </c>
      <c r="W842">
        <v>0</v>
      </c>
      <c r="X842">
        <v>0</v>
      </c>
      <c r="Y842">
        <v>0</v>
      </c>
      <c r="Z842">
        <v>0</v>
      </c>
      <c r="AA842">
        <v>0</v>
      </c>
      <c r="AB842">
        <v>0</v>
      </c>
      <c r="AC842">
        <v>0</v>
      </c>
      <c r="AD842">
        <v>0</v>
      </c>
      <c r="AF842">
        <v>0</v>
      </c>
      <c r="AG842">
        <v>0</v>
      </c>
      <c r="AH842">
        <v>0</v>
      </c>
      <c r="AI842">
        <v>0</v>
      </c>
      <c r="AJ842">
        <v>0</v>
      </c>
      <c r="AK842">
        <v>0</v>
      </c>
      <c r="AL842">
        <v>0</v>
      </c>
      <c r="AM842">
        <v>0</v>
      </c>
      <c r="AN842">
        <v>0</v>
      </c>
      <c r="AO842">
        <v>0</v>
      </c>
      <c r="AP842">
        <v>0</v>
      </c>
      <c r="AQ842">
        <v>0</v>
      </c>
      <c r="AR842">
        <v>0</v>
      </c>
      <c r="AS842">
        <v>0</v>
      </c>
      <c r="AT842">
        <v>0</v>
      </c>
      <c r="AU842">
        <v>0</v>
      </c>
      <c r="AV842">
        <v>0</v>
      </c>
      <c r="AW842">
        <v>0</v>
      </c>
      <c r="AX842">
        <v>0</v>
      </c>
      <c r="AY842">
        <v>0</v>
      </c>
      <c r="AZ842">
        <v>0</v>
      </c>
      <c r="BA842">
        <v>0</v>
      </c>
      <c r="BB842">
        <v>0</v>
      </c>
      <c r="BC842">
        <v>0</v>
      </c>
      <c r="BD842">
        <v>0</v>
      </c>
      <c r="BE842">
        <v>0</v>
      </c>
      <c r="BF842">
        <v>0</v>
      </c>
      <c r="BG842">
        <v>0</v>
      </c>
      <c r="BH842">
        <v>0</v>
      </c>
      <c r="BI842">
        <v>0</v>
      </c>
      <c r="BK842" s="151"/>
    </row>
    <row r="843" spans="1:63" x14ac:dyDescent="0.35">
      <c r="A843">
        <v>0</v>
      </c>
      <c r="B843">
        <v>0</v>
      </c>
      <c r="C843">
        <v>0</v>
      </c>
      <c r="D843">
        <v>0</v>
      </c>
      <c r="E843">
        <v>0</v>
      </c>
      <c r="F843">
        <v>0</v>
      </c>
      <c r="G843">
        <v>0</v>
      </c>
      <c r="H843">
        <v>0</v>
      </c>
      <c r="I843">
        <v>0</v>
      </c>
      <c r="J843">
        <v>0</v>
      </c>
      <c r="K843">
        <v>0</v>
      </c>
      <c r="L843">
        <v>0</v>
      </c>
      <c r="M843">
        <v>0</v>
      </c>
      <c r="N843">
        <v>0</v>
      </c>
      <c r="O843">
        <v>0</v>
      </c>
      <c r="P843">
        <v>0</v>
      </c>
      <c r="Q843">
        <v>0</v>
      </c>
      <c r="R843">
        <v>0</v>
      </c>
      <c r="S843">
        <v>0</v>
      </c>
      <c r="T843">
        <v>0</v>
      </c>
      <c r="U843">
        <v>0</v>
      </c>
      <c r="V843">
        <v>0</v>
      </c>
      <c r="W843">
        <v>0</v>
      </c>
      <c r="X843">
        <v>0</v>
      </c>
      <c r="Y843">
        <v>0</v>
      </c>
      <c r="Z843">
        <v>0</v>
      </c>
      <c r="AA843">
        <v>0</v>
      </c>
      <c r="AB843">
        <v>0</v>
      </c>
      <c r="AC843">
        <v>0</v>
      </c>
      <c r="AD843">
        <v>0</v>
      </c>
      <c r="AF843">
        <v>0</v>
      </c>
      <c r="AG843">
        <v>0</v>
      </c>
      <c r="AH843">
        <v>0</v>
      </c>
      <c r="AI843">
        <v>0</v>
      </c>
      <c r="AJ843">
        <v>0</v>
      </c>
      <c r="AK843">
        <v>0</v>
      </c>
      <c r="AL843">
        <v>0</v>
      </c>
      <c r="AM843">
        <v>0</v>
      </c>
      <c r="AN843">
        <v>0</v>
      </c>
      <c r="AO843">
        <v>0</v>
      </c>
      <c r="AP843">
        <v>0</v>
      </c>
      <c r="AQ843">
        <v>0</v>
      </c>
      <c r="AR843">
        <v>0</v>
      </c>
      <c r="AS843">
        <v>0</v>
      </c>
      <c r="AT843">
        <v>0</v>
      </c>
      <c r="AU843">
        <v>0</v>
      </c>
      <c r="AV843">
        <v>0</v>
      </c>
      <c r="AW843">
        <v>0</v>
      </c>
      <c r="AX843">
        <v>0</v>
      </c>
      <c r="AY843">
        <v>0</v>
      </c>
      <c r="AZ843">
        <v>0</v>
      </c>
      <c r="BA843">
        <v>0</v>
      </c>
      <c r="BB843">
        <v>0</v>
      </c>
      <c r="BC843">
        <v>0</v>
      </c>
      <c r="BD843">
        <v>0</v>
      </c>
      <c r="BE843">
        <v>0</v>
      </c>
      <c r="BF843">
        <v>0</v>
      </c>
      <c r="BG843">
        <v>0</v>
      </c>
      <c r="BH843">
        <v>0</v>
      </c>
      <c r="BI843">
        <v>0</v>
      </c>
      <c r="BK843" s="151"/>
    </row>
    <row r="844" spans="1:63" x14ac:dyDescent="0.35">
      <c r="A844">
        <v>0</v>
      </c>
      <c r="B844">
        <v>0</v>
      </c>
      <c r="C844">
        <v>0</v>
      </c>
      <c r="D844">
        <v>0</v>
      </c>
      <c r="E844">
        <v>0</v>
      </c>
      <c r="F844">
        <v>0</v>
      </c>
      <c r="G844">
        <v>0</v>
      </c>
      <c r="H844">
        <v>0</v>
      </c>
      <c r="I844">
        <v>0</v>
      </c>
      <c r="J844">
        <v>0</v>
      </c>
      <c r="K844">
        <v>0</v>
      </c>
      <c r="L844">
        <v>0</v>
      </c>
      <c r="M844">
        <v>0</v>
      </c>
      <c r="N844">
        <v>0</v>
      </c>
      <c r="O844">
        <v>0</v>
      </c>
      <c r="P844">
        <v>0</v>
      </c>
      <c r="Q844">
        <v>0</v>
      </c>
      <c r="R844">
        <v>0</v>
      </c>
      <c r="S844">
        <v>0</v>
      </c>
      <c r="T844">
        <v>0</v>
      </c>
      <c r="U844">
        <v>0</v>
      </c>
      <c r="V844">
        <v>0</v>
      </c>
      <c r="W844">
        <v>0</v>
      </c>
      <c r="X844">
        <v>0</v>
      </c>
      <c r="Y844">
        <v>0</v>
      </c>
      <c r="Z844">
        <v>0</v>
      </c>
      <c r="AA844">
        <v>0</v>
      </c>
      <c r="AB844">
        <v>0</v>
      </c>
      <c r="AC844">
        <v>0</v>
      </c>
      <c r="AD844">
        <v>0</v>
      </c>
      <c r="AF844">
        <v>0</v>
      </c>
      <c r="AG844">
        <v>0</v>
      </c>
      <c r="AH844">
        <v>0</v>
      </c>
      <c r="AI844">
        <v>0</v>
      </c>
      <c r="AJ844">
        <v>0</v>
      </c>
      <c r="AK844">
        <v>0</v>
      </c>
      <c r="AL844">
        <v>0</v>
      </c>
      <c r="AM844">
        <v>0</v>
      </c>
      <c r="AN844">
        <v>0</v>
      </c>
      <c r="AO844">
        <v>0</v>
      </c>
      <c r="AP844">
        <v>0</v>
      </c>
      <c r="AQ844">
        <v>0</v>
      </c>
      <c r="AR844">
        <v>0</v>
      </c>
      <c r="AS844">
        <v>0</v>
      </c>
      <c r="AT844">
        <v>0</v>
      </c>
      <c r="AU844">
        <v>0</v>
      </c>
      <c r="AV844">
        <v>0</v>
      </c>
      <c r="AW844">
        <v>0</v>
      </c>
      <c r="AX844">
        <v>0</v>
      </c>
      <c r="AY844">
        <v>0</v>
      </c>
      <c r="AZ844">
        <v>0</v>
      </c>
      <c r="BA844">
        <v>0</v>
      </c>
      <c r="BB844">
        <v>0</v>
      </c>
      <c r="BC844">
        <v>0</v>
      </c>
      <c r="BD844">
        <v>0</v>
      </c>
      <c r="BE844">
        <v>0</v>
      </c>
      <c r="BF844">
        <v>0</v>
      </c>
      <c r="BG844">
        <v>0</v>
      </c>
      <c r="BH844">
        <v>0</v>
      </c>
      <c r="BI844">
        <v>0</v>
      </c>
      <c r="BK844" s="151"/>
    </row>
    <row r="845" spans="1:63" x14ac:dyDescent="0.35">
      <c r="A845">
        <v>0</v>
      </c>
      <c r="B845">
        <v>0</v>
      </c>
      <c r="C845">
        <v>0</v>
      </c>
      <c r="D845">
        <v>0</v>
      </c>
      <c r="E845">
        <v>0</v>
      </c>
      <c r="F845">
        <v>0</v>
      </c>
      <c r="G845">
        <v>0</v>
      </c>
      <c r="H845">
        <v>0</v>
      </c>
      <c r="I845">
        <v>0</v>
      </c>
      <c r="J845">
        <v>0</v>
      </c>
      <c r="K845">
        <v>0</v>
      </c>
      <c r="L845">
        <v>0</v>
      </c>
      <c r="M845">
        <v>0</v>
      </c>
      <c r="N845">
        <v>0</v>
      </c>
      <c r="O845">
        <v>0</v>
      </c>
      <c r="P845">
        <v>0</v>
      </c>
      <c r="Q845">
        <v>0</v>
      </c>
      <c r="R845">
        <v>0</v>
      </c>
      <c r="S845">
        <v>0</v>
      </c>
      <c r="T845">
        <v>0</v>
      </c>
      <c r="U845">
        <v>0</v>
      </c>
      <c r="V845">
        <v>0</v>
      </c>
      <c r="W845">
        <v>0</v>
      </c>
      <c r="X845">
        <v>0</v>
      </c>
      <c r="Y845">
        <v>0</v>
      </c>
      <c r="Z845">
        <v>0</v>
      </c>
      <c r="AA845">
        <v>0</v>
      </c>
      <c r="AB845">
        <v>0</v>
      </c>
      <c r="AC845">
        <v>0</v>
      </c>
      <c r="AD845">
        <v>0</v>
      </c>
      <c r="AF845">
        <v>0</v>
      </c>
      <c r="AG845">
        <v>0</v>
      </c>
      <c r="AH845">
        <v>0</v>
      </c>
      <c r="AI845">
        <v>0</v>
      </c>
      <c r="AJ845">
        <v>0</v>
      </c>
      <c r="AK845">
        <v>0</v>
      </c>
      <c r="AL845">
        <v>0</v>
      </c>
      <c r="AM845">
        <v>0</v>
      </c>
      <c r="AN845">
        <v>0</v>
      </c>
      <c r="AO845">
        <v>0</v>
      </c>
      <c r="AP845">
        <v>0</v>
      </c>
      <c r="AQ845">
        <v>0</v>
      </c>
      <c r="AR845">
        <v>0</v>
      </c>
      <c r="AS845">
        <v>0</v>
      </c>
      <c r="AT845">
        <v>0</v>
      </c>
      <c r="AU845">
        <v>0</v>
      </c>
      <c r="AV845">
        <v>0</v>
      </c>
      <c r="AW845">
        <v>0</v>
      </c>
      <c r="AX845">
        <v>0</v>
      </c>
      <c r="AY845">
        <v>0</v>
      </c>
      <c r="AZ845">
        <v>0</v>
      </c>
      <c r="BA845">
        <v>0</v>
      </c>
      <c r="BB845">
        <v>0</v>
      </c>
      <c r="BC845">
        <v>0</v>
      </c>
      <c r="BD845">
        <v>0</v>
      </c>
      <c r="BE845">
        <v>0</v>
      </c>
      <c r="BF845">
        <v>0</v>
      </c>
      <c r="BG845">
        <v>0</v>
      </c>
      <c r="BH845">
        <v>0</v>
      </c>
      <c r="BI845">
        <v>0</v>
      </c>
      <c r="BK845" s="151"/>
    </row>
    <row r="846" spans="1:63" x14ac:dyDescent="0.35">
      <c r="A846">
        <v>0</v>
      </c>
      <c r="B846">
        <v>0</v>
      </c>
      <c r="C846">
        <v>0</v>
      </c>
      <c r="D846">
        <v>0</v>
      </c>
      <c r="E846">
        <v>0</v>
      </c>
      <c r="F846">
        <v>0</v>
      </c>
      <c r="G846">
        <v>0</v>
      </c>
      <c r="H846">
        <v>0</v>
      </c>
      <c r="I846">
        <v>0</v>
      </c>
      <c r="J846">
        <v>0</v>
      </c>
      <c r="K846">
        <v>0</v>
      </c>
      <c r="L846">
        <v>0</v>
      </c>
      <c r="M846">
        <v>0</v>
      </c>
      <c r="N846">
        <v>0</v>
      </c>
      <c r="O846">
        <v>0</v>
      </c>
      <c r="P846">
        <v>0</v>
      </c>
      <c r="Q846">
        <v>0</v>
      </c>
      <c r="R846">
        <v>0</v>
      </c>
      <c r="S846">
        <v>0</v>
      </c>
      <c r="T846">
        <v>0</v>
      </c>
      <c r="U846">
        <v>0</v>
      </c>
      <c r="V846">
        <v>0</v>
      </c>
      <c r="W846">
        <v>0</v>
      </c>
      <c r="X846">
        <v>0</v>
      </c>
      <c r="Y846">
        <v>0</v>
      </c>
      <c r="Z846">
        <v>0</v>
      </c>
      <c r="AA846">
        <v>0</v>
      </c>
      <c r="AB846">
        <v>0</v>
      </c>
      <c r="AC846">
        <v>0</v>
      </c>
      <c r="AD846">
        <v>0</v>
      </c>
      <c r="AF846">
        <v>0</v>
      </c>
      <c r="AG846">
        <v>0</v>
      </c>
      <c r="AH846">
        <v>0</v>
      </c>
      <c r="AI846">
        <v>0</v>
      </c>
      <c r="AJ846">
        <v>0</v>
      </c>
      <c r="AK846">
        <v>0</v>
      </c>
      <c r="AL846">
        <v>0</v>
      </c>
      <c r="AM846">
        <v>0</v>
      </c>
      <c r="AN846">
        <v>0</v>
      </c>
      <c r="AO846">
        <v>0</v>
      </c>
      <c r="AP846">
        <v>0</v>
      </c>
      <c r="AQ846">
        <v>0</v>
      </c>
      <c r="AR846">
        <v>0</v>
      </c>
      <c r="AS846">
        <v>0</v>
      </c>
      <c r="AT846">
        <v>0</v>
      </c>
      <c r="AU846">
        <v>0</v>
      </c>
      <c r="AV846">
        <v>0</v>
      </c>
      <c r="AW846">
        <v>0</v>
      </c>
      <c r="AX846">
        <v>0</v>
      </c>
      <c r="AY846">
        <v>0</v>
      </c>
      <c r="AZ846">
        <v>0</v>
      </c>
      <c r="BA846">
        <v>0</v>
      </c>
      <c r="BB846">
        <v>0</v>
      </c>
      <c r="BC846">
        <v>0</v>
      </c>
      <c r="BD846">
        <v>0</v>
      </c>
      <c r="BE846">
        <v>0</v>
      </c>
      <c r="BF846">
        <v>0</v>
      </c>
      <c r="BG846">
        <v>0</v>
      </c>
      <c r="BH846">
        <v>0</v>
      </c>
      <c r="BI846">
        <v>0</v>
      </c>
      <c r="BK846" s="151"/>
    </row>
    <row r="847" spans="1:63" x14ac:dyDescent="0.35">
      <c r="A847">
        <v>0</v>
      </c>
      <c r="B847">
        <v>0</v>
      </c>
      <c r="C847">
        <v>0</v>
      </c>
      <c r="D847">
        <v>0</v>
      </c>
      <c r="E847">
        <v>0</v>
      </c>
      <c r="F847">
        <v>0</v>
      </c>
      <c r="G847">
        <v>0</v>
      </c>
      <c r="H847">
        <v>0</v>
      </c>
      <c r="I847">
        <v>0</v>
      </c>
      <c r="J847">
        <v>0</v>
      </c>
      <c r="K847">
        <v>0</v>
      </c>
      <c r="L847">
        <v>0</v>
      </c>
      <c r="M847">
        <v>0</v>
      </c>
      <c r="N847">
        <v>0</v>
      </c>
      <c r="O847">
        <v>0</v>
      </c>
      <c r="P847">
        <v>0</v>
      </c>
      <c r="Q847">
        <v>0</v>
      </c>
      <c r="R847">
        <v>0</v>
      </c>
      <c r="S847">
        <v>0</v>
      </c>
      <c r="T847">
        <v>0</v>
      </c>
      <c r="U847">
        <v>0</v>
      </c>
      <c r="V847">
        <v>0</v>
      </c>
      <c r="W847">
        <v>0</v>
      </c>
      <c r="X847">
        <v>0</v>
      </c>
      <c r="Y847">
        <v>0</v>
      </c>
      <c r="Z847">
        <v>0</v>
      </c>
      <c r="AA847">
        <v>0</v>
      </c>
      <c r="AB847">
        <v>0</v>
      </c>
      <c r="AC847">
        <v>0</v>
      </c>
      <c r="AD847">
        <v>0</v>
      </c>
      <c r="AF847">
        <v>0</v>
      </c>
      <c r="AG847">
        <v>0</v>
      </c>
      <c r="AH847">
        <v>0</v>
      </c>
      <c r="AI847">
        <v>0</v>
      </c>
      <c r="AJ847">
        <v>0</v>
      </c>
      <c r="AK847">
        <v>0</v>
      </c>
      <c r="AL847">
        <v>0</v>
      </c>
      <c r="AM847">
        <v>0</v>
      </c>
      <c r="AN847">
        <v>0</v>
      </c>
      <c r="AO847">
        <v>0</v>
      </c>
      <c r="AP847">
        <v>0</v>
      </c>
      <c r="AQ847">
        <v>0</v>
      </c>
      <c r="AR847">
        <v>0</v>
      </c>
      <c r="AS847">
        <v>0</v>
      </c>
      <c r="AT847">
        <v>0</v>
      </c>
      <c r="AU847">
        <v>0</v>
      </c>
      <c r="AV847">
        <v>0</v>
      </c>
      <c r="AW847">
        <v>0</v>
      </c>
      <c r="AX847">
        <v>0</v>
      </c>
      <c r="AY847">
        <v>0</v>
      </c>
      <c r="AZ847">
        <v>0</v>
      </c>
      <c r="BA847">
        <v>0</v>
      </c>
      <c r="BB847">
        <v>0</v>
      </c>
      <c r="BC847">
        <v>0</v>
      </c>
      <c r="BD847">
        <v>0</v>
      </c>
      <c r="BE847">
        <v>0</v>
      </c>
      <c r="BF847">
        <v>0</v>
      </c>
      <c r="BG847">
        <v>0</v>
      </c>
      <c r="BH847">
        <v>0</v>
      </c>
      <c r="BI847">
        <v>0</v>
      </c>
      <c r="BK847" s="151"/>
    </row>
    <row r="848" spans="1:63" x14ac:dyDescent="0.35">
      <c r="A848">
        <v>0</v>
      </c>
      <c r="B848">
        <v>0</v>
      </c>
      <c r="C848">
        <v>0</v>
      </c>
      <c r="D848">
        <v>0</v>
      </c>
      <c r="E848">
        <v>0</v>
      </c>
      <c r="F848">
        <v>0</v>
      </c>
      <c r="G848">
        <v>0</v>
      </c>
      <c r="H848">
        <v>0</v>
      </c>
      <c r="I848">
        <v>0</v>
      </c>
      <c r="J848">
        <v>0</v>
      </c>
      <c r="K848">
        <v>0</v>
      </c>
      <c r="L848">
        <v>0</v>
      </c>
      <c r="M848">
        <v>0</v>
      </c>
      <c r="N848">
        <v>0</v>
      </c>
      <c r="O848">
        <v>0</v>
      </c>
      <c r="P848">
        <v>0</v>
      </c>
      <c r="Q848">
        <v>0</v>
      </c>
      <c r="R848">
        <v>0</v>
      </c>
      <c r="S848">
        <v>0</v>
      </c>
      <c r="T848">
        <v>0</v>
      </c>
      <c r="U848">
        <v>0</v>
      </c>
      <c r="V848">
        <v>0</v>
      </c>
      <c r="W848">
        <v>0</v>
      </c>
      <c r="X848">
        <v>0</v>
      </c>
      <c r="Y848">
        <v>0</v>
      </c>
      <c r="Z848">
        <v>0</v>
      </c>
      <c r="AA848">
        <v>0</v>
      </c>
      <c r="AB848">
        <v>0</v>
      </c>
      <c r="AC848">
        <v>0</v>
      </c>
      <c r="AD848">
        <v>0</v>
      </c>
      <c r="AF848">
        <v>0</v>
      </c>
      <c r="AG848">
        <v>0</v>
      </c>
      <c r="AH848">
        <v>0</v>
      </c>
      <c r="AI848">
        <v>0</v>
      </c>
      <c r="AJ848">
        <v>0</v>
      </c>
      <c r="AK848">
        <v>0</v>
      </c>
      <c r="AL848">
        <v>0</v>
      </c>
      <c r="AM848">
        <v>0</v>
      </c>
      <c r="AN848">
        <v>0</v>
      </c>
      <c r="AO848">
        <v>0</v>
      </c>
      <c r="AP848">
        <v>0</v>
      </c>
      <c r="AQ848">
        <v>0</v>
      </c>
      <c r="AR848">
        <v>0</v>
      </c>
      <c r="AS848">
        <v>0</v>
      </c>
      <c r="AT848">
        <v>0</v>
      </c>
      <c r="AU848">
        <v>0</v>
      </c>
      <c r="AV848">
        <v>0</v>
      </c>
      <c r="AW848">
        <v>0</v>
      </c>
      <c r="AX848">
        <v>0</v>
      </c>
      <c r="AY848">
        <v>0</v>
      </c>
      <c r="AZ848">
        <v>0</v>
      </c>
      <c r="BA848">
        <v>0</v>
      </c>
      <c r="BB848">
        <v>0</v>
      </c>
      <c r="BC848">
        <v>0</v>
      </c>
      <c r="BD848">
        <v>0</v>
      </c>
      <c r="BE848">
        <v>0</v>
      </c>
      <c r="BF848">
        <v>0</v>
      </c>
      <c r="BG848">
        <v>0</v>
      </c>
      <c r="BH848">
        <v>0</v>
      </c>
      <c r="BI848">
        <v>0</v>
      </c>
      <c r="BK848" s="151"/>
    </row>
    <row r="849" spans="1:63" x14ac:dyDescent="0.35">
      <c r="A849">
        <v>0</v>
      </c>
      <c r="B849">
        <v>0</v>
      </c>
      <c r="C849">
        <v>0</v>
      </c>
      <c r="D849">
        <v>0</v>
      </c>
      <c r="E849">
        <v>0</v>
      </c>
      <c r="F849">
        <v>0</v>
      </c>
      <c r="G849">
        <v>0</v>
      </c>
      <c r="H849">
        <v>0</v>
      </c>
      <c r="I849">
        <v>0</v>
      </c>
      <c r="J849">
        <v>0</v>
      </c>
      <c r="K849">
        <v>0</v>
      </c>
      <c r="L849">
        <v>0</v>
      </c>
      <c r="M849">
        <v>0</v>
      </c>
      <c r="N849">
        <v>0</v>
      </c>
      <c r="O849">
        <v>0</v>
      </c>
      <c r="P849">
        <v>0</v>
      </c>
      <c r="Q849">
        <v>0</v>
      </c>
      <c r="R849">
        <v>0</v>
      </c>
      <c r="S849">
        <v>0</v>
      </c>
      <c r="T849">
        <v>0</v>
      </c>
      <c r="U849">
        <v>0</v>
      </c>
      <c r="V849">
        <v>0</v>
      </c>
      <c r="W849">
        <v>0</v>
      </c>
      <c r="X849">
        <v>0</v>
      </c>
      <c r="Y849">
        <v>0</v>
      </c>
      <c r="Z849">
        <v>0</v>
      </c>
      <c r="AA849">
        <v>0</v>
      </c>
      <c r="AB849">
        <v>0</v>
      </c>
      <c r="AC849">
        <v>0</v>
      </c>
      <c r="AD849">
        <v>0</v>
      </c>
      <c r="AF849">
        <v>0</v>
      </c>
      <c r="AG849">
        <v>0</v>
      </c>
      <c r="AH849">
        <v>0</v>
      </c>
      <c r="AI849">
        <v>0</v>
      </c>
      <c r="AJ849">
        <v>0</v>
      </c>
      <c r="AK849">
        <v>0</v>
      </c>
      <c r="AL849">
        <v>0</v>
      </c>
      <c r="AM849">
        <v>0</v>
      </c>
      <c r="AN849">
        <v>0</v>
      </c>
      <c r="AO849">
        <v>0</v>
      </c>
      <c r="AP849">
        <v>0</v>
      </c>
      <c r="AQ849">
        <v>0</v>
      </c>
      <c r="AR849">
        <v>0</v>
      </c>
      <c r="AS849">
        <v>0</v>
      </c>
      <c r="AT849">
        <v>0</v>
      </c>
      <c r="AU849">
        <v>0</v>
      </c>
      <c r="AV849">
        <v>0</v>
      </c>
      <c r="AW849">
        <v>0</v>
      </c>
      <c r="AX849">
        <v>0</v>
      </c>
      <c r="AY849">
        <v>0</v>
      </c>
      <c r="AZ849">
        <v>0</v>
      </c>
      <c r="BA849">
        <v>0</v>
      </c>
      <c r="BB849">
        <v>0</v>
      </c>
      <c r="BC849">
        <v>0</v>
      </c>
      <c r="BD849">
        <v>0</v>
      </c>
      <c r="BE849">
        <v>0</v>
      </c>
      <c r="BF849">
        <v>0</v>
      </c>
      <c r="BG849">
        <v>0</v>
      </c>
      <c r="BH849">
        <v>0</v>
      </c>
      <c r="BI849">
        <v>0</v>
      </c>
      <c r="BK849" s="151"/>
    </row>
    <row r="850" spans="1:63" x14ac:dyDescent="0.35">
      <c r="A850">
        <v>0</v>
      </c>
      <c r="B850">
        <v>0</v>
      </c>
      <c r="C850">
        <v>0</v>
      </c>
      <c r="D850">
        <v>0</v>
      </c>
      <c r="E850">
        <v>0</v>
      </c>
      <c r="F850">
        <v>0</v>
      </c>
      <c r="G850">
        <v>0</v>
      </c>
      <c r="H850">
        <v>0</v>
      </c>
      <c r="I850">
        <v>0</v>
      </c>
      <c r="J850">
        <v>0</v>
      </c>
      <c r="K850">
        <v>0</v>
      </c>
      <c r="L850">
        <v>0</v>
      </c>
      <c r="M850">
        <v>0</v>
      </c>
      <c r="N850">
        <v>0</v>
      </c>
      <c r="O850">
        <v>0</v>
      </c>
      <c r="P850">
        <v>0</v>
      </c>
      <c r="Q850">
        <v>0</v>
      </c>
      <c r="R850">
        <v>0</v>
      </c>
      <c r="S850">
        <v>0</v>
      </c>
      <c r="T850">
        <v>0</v>
      </c>
      <c r="U850">
        <v>0</v>
      </c>
      <c r="V850">
        <v>0</v>
      </c>
      <c r="W850">
        <v>0</v>
      </c>
      <c r="X850">
        <v>0</v>
      </c>
      <c r="Y850">
        <v>0</v>
      </c>
      <c r="Z850">
        <v>0</v>
      </c>
      <c r="AA850">
        <v>0</v>
      </c>
      <c r="AB850">
        <v>0</v>
      </c>
      <c r="AC850">
        <v>0</v>
      </c>
      <c r="AD850">
        <v>0</v>
      </c>
      <c r="AF850">
        <v>0</v>
      </c>
      <c r="AG850">
        <v>0</v>
      </c>
      <c r="AH850">
        <v>0</v>
      </c>
      <c r="AI850">
        <v>0</v>
      </c>
      <c r="AJ850">
        <v>0</v>
      </c>
      <c r="AK850">
        <v>0</v>
      </c>
      <c r="AL850">
        <v>0</v>
      </c>
      <c r="AM850">
        <v>0</v>
      </c>
      <c r="AN850">
        <v>0</v>
      </c>
      <c r="AO850">
        <v>0</v>
      </c>
      <c r="AP850">
        <v>0</v>
      </c>
      <c r="AQ850">
        <v>0</v>
      </c>
      <c r="AR850">
        <v>0</v>
      </c>
      <c r="AS850">
        <v>0</v>
      </c>
      <c r="AT850">
        <v>0</v>
      </c>
      <c r="AU850">
        <v>0</v>
      </c>
      <c r="AV850">
        <v>0</v>
      </c>
      <c r="AW850">
        <v>0</v>
      </c>
      <c r="AX850">
        <v>0</v>
      </c>
      <c r="AY850">
        <v>0</v>
      </c>
      <c r="AZ850">
        <v>0</v>
      </c>
      <c r="BA850">
        <v>0</v>
      </c>
      <c r="BB850">
        <v>0</v>
      </c>
      <c r="BC850">
        <v>0</v>
      </c>
      <c r="BD850">
        <v>0</v>
      </c>
      <c r="BE850">
        <v>0</v>
      </c>
      <c r="BF850">
        <v>0</v>
      </c>
      <c r="BG850">
        <v>0</v>
      </c>
      <c r="BH850">
        <v>0</v>
      </c>
      <c r="BI850">
        <v>0</v>
      </c>
      <c r="BK850" s="151"/>
    </row>
    <row r="851" spans="1:63" x14ac:dyDescent="0.35">
      <c r="A851">
        <v>0</v>
      </c>
      <c r="B851">
        <v>0</v>
      </c>
      <c r="C851">
        <v>0</v>
      </c>
      <c r="D851">
        <v>0</v>
      </c>
      <c r="E851">
        <v>0</v>
      </c>
      <c r="F851">
        <v>0</v>
      </c>
      <c r="G851">
        <v>0</v>
      </c>
      <c r="H851">
        <v>0</v>
      </c>
      <c r="I851">
        <v>0</v>
      </c>
      <c r="J851">
        <v>0</v>
      </c>
      <c r="K851">
        <v>0</v>
      </c>
      <c r="L851">
        <v>0</v>
      </c>
      <c r="M851">
        <v>0</v>
      </c>
      <c r="N851">
        <v>0</v>
      </c>
      <c r="O851">
        <v>0</v>
      </c>
      <c r="P851">
        <v>0</v>
      </c>
      <c r="Q851">
        <v>0</v>
      </c>
      <c r="R851">
        <v>0</v>
      </c>
      <c r="S851">
        <v>0</v>
      </c>
      <c r="T851">
        <v>0</v>
      </c>
      <c r="U851">
        <v>0</v>
      </c>
      <c r="V851">
        <v>0</v>
      </c>
      <c r="W851">
        <v>0</v>
      </c>
      <c r="X851">
        <v>0</v>
      </c>
      <c r="Y851">
        <v>0</v>
      </c>
      <c r="Z851">
        <v>0</v>
      </c>
      <c r="AA851">
        <v>0</v>
      </c>
      <c r="AB851">
        <v>0</v>
      </c>
      <c r="AC851">
        <v>0</v>
      </c>
      <c r="AD851">
        <v>0</v>
      </c>
      <c r="AF851">
        <v>0</v>
      </c>
      <c r="AG851">
        <v>0</v>
      </c>
      <c r="AH851">
        <v>0</v>
      </c>
      <c r="AI851">
        <v>0</v>
      </c>
      <c r="AJ851">
        <v>0</v>
      </c>
      <c r="AK851">
        <v>0</v>
      </c>
      <c r="AL851">
        <v>0</v>
      </c>
      <c r="AM851">
        <v>0</v>
      </c>
      <c r="AN851">
        <v>0</v>
      </c>
      <c r="AO851">
        <v>0</v>
      </c>
      <c r="AP851">
        <v>0</v>
      </c>
      <c r="AQ851">
        <v>0</v>
      </c>
      <c r="AR851">
        <v>0</v>
      </c>
      <c r="AS851">
        <v>0</v>
      </c>
      <c r="AT851">
        <v>0</v>
      </c>
      <c r="AU851">
        <v>0</v>
      </c>
      <c r="AV851">
        <v>0</v>
      </c>
      <c r="AW851">
        <v>0</v>
      </c>
      <c r="AX851">
        <v>0</v>
      </c>
      <c r="AY851">
        <v>0</v>
      </c>
      <c r="AZ851">
        <v>0</v>
      </c>
      <c r="BA851">
        <v>0</v>
      </c>
      <c r="BB851">
        <v>0</v>
      </c>
      <c r="BC851">
        <v>0</v>
      </c>
      <c r="BD851">
        <v>0</v>
      </c>
      <c r="BE851">
        <v>0</v>
      </c>
      <c r="BF851">
        <v>0</v>
      </c>
      <c r="BG851">
        <v>0</v>
      </c>
      <c r="BH851">
        <v>0</v>
      </c>
      <c r="BI851">
        <v>0</v>
      </c>
      <c r="BK851" s="151"/>
    </row>
    <row r="852" spans="1:63" x14ac:dyDescent="0.35">
      <c r="A852">
        <v>0</v>
      </c>
      <c r="B852">
        <v>0</v>
      </c>
      <c r="C852">
        <v>0</v>
      </c>
      <c r="D852">
        <v>0</v>
      </c>
      <c r="E852">
        <v>0</v>
      </c>
      <c r="F852">
        <v>0</v>
      </c>
      <c r="G852">
        <v>0</v>
      </c>
      <c r="H852">
        <v>0</v>
      </c>
      <c r="I852">
        <v>0</v>
      </c>
      <c r="J852">
        <v>0</v>
      </c>
      <c r="K852">
        <v>0</v>
      </c>
      <c r="L852">
        <v>0</v>
      </c>
      <c r="M852">
        <v>0</v>
      </c>
      <c r="N852">
        <v>0</v>
      </c>
      <c r="O852">
        <v>0</v>
      </c>
      <c r="P852">
        <v>0</v>
      </c>
      <c r="Q852">
        <v>0</v>
      </c>
      <c r="R852">
        <v>0</v>
      </c>
      <c r="S852">
        <v>0</v>
      </c>
      <c r="T852">
        <v>0</v>
      </c>
      <c r="U852">
        <v>0</v>
      </c>
      <c r="V852">
        <v>0</v>
      </c>
      <c r="W852">
        <v>0</v>
      </c>
      <c r="X852">
        <v>0</v>
      </c>
      <c r="Y852">
        <v>0</v>
      </c>
      <c r="Z852">
        <v>0</v>
      </c>
      <c r="AA852">
        <v>0</v>
      </c>
      <c r="AB852">
        <v>0</v>
      </c>
      <c r="AC852">
        <v>0</v>
      </c>
      <c r="AD852">
        <v>0</v>
      </c>
      <c r="AF852">
        <v>0</v>
      </c>
      <c r="AG852">
        <v>0</v>
      </c>
      <c r="AH852">
        <v>0</v>
      </c>
      <c r="AI852">
        <v>0</v>
      </c>
      <c r="AJ852">
        <v>0</v>
      </c>
      <c r="AK852">
        <v>0</v>
      </c>
      <c r="AL852">
        <v>0</v>
      </c>
      <c r="AM852">
        <v>0</v>
      </c>
      <c r="AN852">
        <v>0</v>
      </c>
      <c r="AO852">
        <v>0</v>
      </c>
      <c r="AP852">
        <v>0</v>
      </c>
      <c r="AQ852">
        <v>0</v>
      </c>
      <c r="AR852">
        <v>0</v>
      </c>
      <c r="AS852">
        <v>0</v>
      </c>
      <c r="AT852">
        <v>0</v>
      </c>
      <c r="AU852">
        <v>0</v>
      </c>
      <c r="AV852">
        <v>0</v>
      </c>
      <c r="AW852">
        <v>0</v>
      </c>
      <c r="AX852">
        <v>0</v>
      </c>
      <c r="AY852">
        <v>0</v>
      </c>
      <c r="AZ852">
        <v>0</v>
      </c>
      <c r="BA852">
        <v>0</v>
      </c>
      <c r="BB852">
        <v>0</v>
      </c>
      <c r="BC852">
        <v>0</v>
      </c>
      <c r="BD852">
        <v>0</v>
      </c>
      <c r="BE852">
        <v>0</v>
      </c>
      <c r="BF852">
        <v>0</v>
      </c>
      <c r="BG852">
        <v>0</v>
      </c>
      <c r="BH852">
        <v>0</v>
      </c>
      <c r="BI852">
        <v>0</v>
      </c>
      <c r="BK852" s="151"/>
    </row>
    <row r="853" spans="1:63" x14ac:dyDescent="0.35">
      <c r="A853">
        <v>0</v>
      </c>
      <c r="B853">
        <v>0</v>
      </c>
      <c r="C853">
        <v>0</v>
      </c>
      <c r="D853">
        <v>0</v>
      </c>
      <c r="E853">
        <v>0</v>
      </c>
      <c r="F853">
        <v>0</v>
      </c>
      <c r="G853">
        <v>0</v>
      </c>
      <c r="H853">
        <v>0</v>
      </c>
      <c r="I853">
        <v>0</v>
      </c>
      <c r="J853">
        <v>0</v>
      </c>
      <c r="K853">
        <v>0</v>
      </c>
      <c r="L853">
        <v>0</v>
      </c>
      <c r="M853">
        <v>0</v>
      </c>
      <c r="N853">
        <v>0</v>
      </c>
      <c r="O853">
        <v>0</v>
      </c>
      <c r="P853">
        <v>0</v>
      </c>
      <c r="Q853">
        <v>0</v>
      </c>
      <c r="R853">
        <v>0</v>
      </c>
      <c r="S853">
        <v>0</v>
      </c>
      <c r="T853">
        <v>0</v>
      </c>
      <c r="U853">
        <v>0</v>
      </c>
      <c r="V853">
        <v>0</v>
      </c>
      <c r="W853">
        <v>0</v>
      </c>
      <c r="X853">
        <v>0</v>
      </c>
      <c r="Y853">
        <v>0</v>
      </c>
      <c r="Z853">
        <v>0</v>
      </c>
      <c r="AA853">
        <v>0</v>
      </c>
      <c r="AB853">
        <v>0</v>
      </c>
      <c r="AC853">
        <v>0</v>
      </c>
      <c r="AD853">
        <v>0</v>
      </c>
      <c r="AF853">
        <v>0</v>
      </c>
      <c r="AG853">
        <v>0</v>
      </c>
      <c r="AH853">
        <v>0</v>
      </c>
      <c r="AI853">
        <v>0</v>
      </c>
      <c r="AJ853">
        <v>0</v>
      </c>
      <c r="AK853">
        <v>0</v>
      </c>
      <c r="AL853">
        <v>0</v>
      </c>
      <c r="AM853">
        <v>0</v>
      </c>
      <c r="AN853">
        <v>0</v>
      </c>
      <c r="AO853">
        <v>0</v>
      </c>
      <c r="AP853">
        <v>0</v>
      </c>
      <c r="AQ853">
        <v>0</v>
      </c>
      <c r="AR853">
        <v>0</v>
      </c>
      <c r="AS853">
        <v>0</v>
      </c>
      <c r="AT853">
        <v>0</v>
      </c>
      <c r="AU853">
        <v>0</v>
      </c>
      <c r="AV853">
        <v>0</v>
      </c>
      <c r="AW853">
        <v>0</v>
      </c>
      <c r="AX853">
        <v>0</v>
      </c>
      <c r="AY853">
        <v>0</v>
      </c>
      <c r="AZ853">
        <v>0</v>
      </c>
      <c r="BA853">
        <v>0</v>
      </c>
      <c r="BB853">
        <v>0</v>
      </c>
      <c r="BC853">
        <v>0</v>
      </c>
      <c r="BD853">
        <v>0</v>
      </c>
      <c r="BE853">
        <v>0</v>
      </c>
      <c r="BF853">
        <v>0</v>
      </c>
      <c r="BG853">
        <v>0</v>
      </c>
      <c r="BH853">
        <v>0</v>
      </c>
      <c r="BI853">
        <v>0</v>
      </c>
      <c r="BK853" s="151"/>
    </row>
    <row r="854" spans="1:63" x14ac:dyDescent="0.35">
      <c r="A854">
        <v>0</v>
      </c>
      <c r="B854">
        <v>0</v>
      </c>
      <c r="C854">
        <v>0</v>
      </c>
      <c r="D854">
        <v>0</v>
      </c>
      <c r="E854">
        <v>0</v>
      </c>
      <c r="F854">
        <v>0</v>
      </c>
      <c r="G854">
        <v>0</v>
      </c>
      <c r="H854">
        <v>0</v>
      </c>
      <c r="I854">
        <v>0</v>
      </c>
      <c r="J854">
        <v>0</v>
      </c>
      <c r="K854">
        <v>0</v>
      </c>
      <c r="L854">
        <v>0</v>
      </c>
      <c r="M854">
        <v>0</v>
      </c>
      <c r="N854">
        <v>0</v>
      </c>
      <c r="O854">
        <v>0</v>
      </c>
      <c r="P854">
        <v>0</v>
      </c>
      <c r="Q854">
        <v>0</v>
      </c>
      <c r="R854">
        <v>0</v>
      </c>
      <c r="S854">
        <v>0</v>
      </c>
      <c r="T854">
        <v>0</v>
      </c>
      <c r="U854">
        <v>0</v>
      </c>
      <c r="V854">
        <v>0</v>
      </c>
      <c r="W854">
        <v>0</v>
      </c>
      <c r="X854">
        <v>0</v>
      </c>
      <c r="Y854">
        <v>0</v>
      </c>
      <c r="Z854">
        <v>0</v>
      </c>
      <c r="AA854">
        <v>0</v>
      </c>
      <c r="AB854">
        <v>0</v>
      </c>
      <c r="AC854">
        <v>0</v>
      </c>
      <c r="AD854">
        <v>0</v>
      </c>
      <c r="AF854">
        <v>0</v>
      </c>
      <c r="AG854">
        <v>0</v>
      </c>
      <c r="AH854">
        <v>0</v>
      </c>
      <c r="AI854">
        <v>0</v>
      </c>
      <c r="AJ854">
        <v>0</v>
      </c>
      <c r="AK854">
        <v>0</v>
      </c>
      <c r="AL854">
        <v>0</v>
      </c>
      <c r="AM854">
        <v>0</v>
      </c>
      <c r="AN854">
        <v>0</v>
      </c>
      <c r="AO854">
        <v>0</v>
      </c>
      <c r="AP854">
        <v>0</v>
      </c>
      <c r="AQ854">
        <v>0</v>
      </c>
      <c r="AR854">
        <v>0</v>
      </c>
      <c r="AS854">
        <v>0</v>
      </c>
      <c r="AT854">
        <v>0</v>
      </c>
      <c r="AU854">
        <v>0</v>
      </c>
      <c r="AV854">
        <v>0</v>
      </c>
      <c r="AW854">
        <v>0</v>
      </c>
      <c r="AX854">
        <v>0</v>
      </c>
      <c r="AY854">
        <v>0</v>
      </c>
      <c r="AZ854">
        <v>0</v>
      </c>
      <c r="BA854">
        <v>0</v>
      </c>
      <c r="BB854">
        <v>0</v>
      </c>
      <c r="BC854">
        <v>0</v>
      </c>
      <c r="BD854">
        <v>0</v>
      </c>
      <c r="BE854">
        <v>0</v>
      </c>
      <c r="BF854">
        <v>0</v>
      </c>
      <c r="BG854">
        <v>0</v>
      </c>
      <c r="BH854">
        <v>0</v>
      </c>
      <c r="BI854">
        <v>0</v>
      </c>
      <c r="BK854" s="151"/>
    </row>
    <row r="855" spans="1:63" x14ac:dyDescent="0.35">
      <c r="A855">
        <v>0</v>
      </c>
      <c r="B855">
        <v>0</v>
      </c>
      <c r="C855">
        <v>0</v>
      </c>
      <c r="D855">
        <v>0</v>
      </c>
      <c r="E855">
        <v>0</v>
      </c>
      <c r="F855">
        <v>0</v>
      </c>
      <c r="G855">
        <v>0</v>
      </c>
      <c r="H855">
        <v>0</v>
      </c>
      <c r="I855">
        <v>0</v>
      </c>
      <c r="J855">
        <v>0</v>
      </c>
      <c r="K855">
        <v>0</v>
      </c>
      <c r="L855">
        <v>0</v>
      </c>
      <c r="M855">
        <v>0</v>
      </c>
      <c r="N855">
        <v>0</v>
      </c>
      <c r="O855">
        <v>0</v>
      </c>
      <c r="P855">
        <v>0</v>
      </c>
      <c r="Q855">
        <v>0</v>
      </c>
      <c r="R855">
        <v>0</v>
      </c>
      <c r="S855">
        <v>0</v>
      </c>
      <c r="T855">
        <v>0</v>
      </c>
      <c r="U855">
        <v>0</v>
      </c>
      <c r="V855">
        <v>0</v>
      </c>
      <c r="W855">
        <v>0</v>
      </c>
      <c r="X855">
        <v>0</v>
      </c>
      <c r="Y855">
        <v>0</v>
      </c>
      <c r="Z855">
        <v>0</v>
      </c>
      <c r="AA855">
        <v>0</v>
      </c>
      <c r="AB855">
        <v>0</v>
      </c>
      <c r="AC855">
        <v>0</v>
      </c>
      <c r="AD855">
        <v>0</v>
      </c>
      <c r="AF855">
        <v>0</v>
      </c>
      <c r="AG855">
        <v>0</v>
      </c>
      <c r="AH855">
        <v>0</v>
      </c>
      <c r="AI855">
        <v>0</v>
      </c>
      <c r="AJ855">
        <v>0</v>
      </c>
      <c r="AK855">
        <v>0</v>
      </c>
      <c r="AL855">
        <v>0</v>
      </c>
      <c r="AM855">
        <v>0</v>
      </c>
      <c r="AN855">
        <v>0</v>
      </c>
      <c r="AO855">
        <v>0</v>
      </c>
      <c r="AP855">
        <v>0</v>
      </c>
      <c r="AQ855">
        <v>0</v>
      </c>
      <c r="AR855">
        <v>0</v>
      </c>
      <c r="AS855">
        <v>0</v>
      </c>
      <c r="AT855">
        <v>0</v>
      </c>
      <c r="AU855">
        <v>0</v>
      </c>
      <c r="AV855">
        <v>0</v>
      </c>
      <c r="AW855">
        <v>0</v>
      </c>
      <c r="AX855">
        <v>0</v>
      </c>
      <c r="AY855">
        <v>0</v>
      </c>
      <c r="AZ855">
        <v>0</v>
      </c>
      <c r="BA855">
        <v>0</v>
      </c>
      <c r="BB855">
        <v>0</v>
      </c>
      <c r="BC855">
        <v>0</v>
      </c>
      <c r="BD855">
        <v>0</v>
      </c>
      <c r="BE855">
        <v>0</v>
      </c>
      <c r="BF855">
        <v>0</v>
      </c>
      <c r="BG855">
        <v>0</v>
      </c>
      <c r="BH855">
        <v>0</v>
      </c>
      <c r="BI855">
        <v>0</v>
      </c>
      <c r="BK855" s="151"/>
    </row>
    <row r="856" spans="1:63" x14ac:dyDescent="0.35">
      <c r="A856">
        <v>0</v>
      </c>
      <c r="B856">
        <v>0</v>
      </c>
      <c r="C856">
        <v>0</v>
      </c>
      <c r="D856">
        <v>0</v>
      </c>
      <c r="E856">
        <v>0</v>
      </c>
      <c r="F856">
        <v>0</v>
      </c>
      <c r="G856">
        <v>0</v>
      </c>
      <c r="H856">
        <v>0</v>
      </c>
      <c r="I856">
        <v>0</v>
      </c>
      <c r="J856">
        <v>0</v>
      </c>
      <c r="K856">
        <v>0</v>
      </c>
      <c r="L856">
        <v>0</v>
      </c>
      <c r="M856">
        <v>0</v>
      </c>
      <c r="N856">
        <v>0</v>
      </c>
      <c r="O856">
        <v>0</v>
      </c>
      <c r="P856">
        <v>0</v>
      </c>
      <c r="Q856">
        <v>0</v>
      </c>
      <c r="R856">
        <v>0</v>
      </c>
      <c r="S856">
        <v>0</v>
      </c>
      <c r="T856">
        <v>0</v>
      </c>
      <c r="U856">
        <v>0</v>
      </c>
      <c r="V856">
        <v>0</v>
      </c>
      <c r="W856">
        <v>0</v>
      </c>
      <c r="X856">
        <v>0</v>
      </c>
      <c r="Y856">
        <v>0</v>
      </c>
      <c r="Z856">
        <v>0</v>
      </c>
      <c r="AA856">
        <v>0</v>
      </c>
      <c r="AB856">
        <v>0</v>
      </c>
      <c r="AC856">
        <v>0</v>
      </c>
      <c r="AD856">
        <v>0</v>
      </c>
      <c r="AF856">
        <v>0</v>
      </c>
      <c r="AG856">
        <v>0</v>
      </c>
      <c r="AH856">
        <v>0</v>
      </c>
      <c r="AI856">
        <v>0</v>
      </c>
      <c r="AJ856">
        <v>0</v>
      </c>
      <c r="AK856">
        <v>0</v>
      </c>
      <c r="AL856">
        <v>0</v>
      </c>
      <c r="AM856">
        <v>0</v>
      </c>
      <c r="AN856">
        <v>0</v>
      </c>
      <c r="AO856">
        <v>0</v>
      </c>
      <c r="AP856">
        <v>0</v>
      </c>
      <c r="AQ856">
        <v>0</v>
      </c>
      <c r="AR856">
        <v>0</v>
      </c>
      <c r="AS856">
        <v>0</v>
      </c>
      <c r="AT856">
        <v>0</v>
      </c>
      <c r="AU856">
        <v>0</v>
      </c>
      <c r="AV856">
        <v>0</v>
      </c>
      <c r="AW856">
        <v>0</v>
      </c>
      <c r="AX856">
        <v>0</v>
      </c>
      <c r="AY856">
        <v>0</v>
      </c>
      <c r="AZ856">
        <v>0</v>
      </c>
      <c r="BA856">
        <v>0</v>
      </c>
      <c r="BB856">
        <v>0</v>
      </c>
      <c r="BC856">
        <v>0</v>
      </c>
      <c r="BD856">
        <v>0</v>
      </c>
      <c r="BE856">
        <v>0</v>
      </c>
      <c r="BF856">
        <v>0</v>
      </c>
      <c r="BG856">
        <v>0</v>
      </c>
      <c r="BH856">
        <v>0</v>
      </c>
      <c r="BI856">
        <v>0</v>
      </c>
      <c r="BK856" s="151"/>
    </row>
    <row r="857" spans="1:63" x14ac:dyDescent="0.35">
      <c r="A857">
        <v>0</v>
      </c>
      <c r="B857">
        <v>0</v>
      </c>
      <c r="C857">
        <v>0</v>
      </c>
      <c r="D857">
        <v>0</v>
      </c>
      <c r="E857">
        <v>0</v>
      </c>
      <c r="F857">
        <v>0</v>
      </c>
      <c r="G857">
        <v>0</v>
      </c>
      <c r="H857">
        <v>0</v>
      </c>
      <c r="I857">
        <v>0</v>
      </c>
      <c r="J857">
        <v>0</v>
      </c>
      <c r="K857">
        <v>0</v>
      </c>
      <c r="L857">
        <v>0</v>
      </c>
      <c r="M857">
        <v>0</v>
      </c>
      <c r="N857">
        <v>0</v>
      </c>
      <c r="O857">
        <v>0</v>
      </c>
      <c r="P857">
        <v>0</v>
      </c>
      <c r="Q857">
        <v>0</v>
      </c>
      <c r="R857">
        <v>0</v>
      </c>
      <c r="S857">
        <v>0</v>
      </c>
      <c r="T857">
        <v>0</v>
      </c>
      <c r="U857">
        <v>0</v>
      </c>
      <c r="V857">
        <v>0</v>
      </c>
      <c r="W857">
        <v>0</v>
      </c>
      <c r="X857">
        <v>0</v>
      </c>
      <c r="Y857">
        <v>0</v>
      </c>
      <c r="Z857">
        <v>0</v>
      </c>
      <c r="AA857">
        <v>0</v>
      </c>
      <c r="AB857">
        <v>0</v>
      </c>
      <c r="AC857">
        <v>0</v>
      </c>
      <c r="AD857">
        <v>0</v>
      </c>
      <c r="AF857">
        <v>0</v>
      </c>
      <c r="AG857">
        <v>0</v>
      </c>
      <c r="AH857">
        <v>0</v>
      </c>
      <c r="AI857">
        <v>0</v>
      </c>
      <c r="AJ857">
        <v>0</v>
      </c>
      <c r="AK857">
        <v>0</v>
      </c>
      <c r="AL857">
        <v>0</v>
      </c>
      <c r="AM857">
        <v>0</v>
      </c>
      <c r="AN857">
        <v>0</v>
      </c>
      <c r="AO857">
        <v>0</v>
      </c>
      <c r="AP857">
        <v>0</v>
      </c>
      <c r="AQ857">
        <v>0</v>
      </c>
      <c r="AR857">
        <v>0</v>
      </c>
      <c r="AS857">
        <v>0</v>
      </c>
      <c r="AT857">
        <v>0</v>
      </c>
      <c r="AU857">
        <v>0</v>
      </c>
      <c r="AV857">
        <v>0</v>
      </c>
      <c r="AW857">
        <v>0</v>
      </c>
      <c r="AX857">
        <v>0</v>
      </c>
      <c r="AY857">
        <v>0</v>
      </c>
      <c r="AZ857">
        <v>0</v>
      </c>
      <c r="BA857">
        <v>0</v>
      </c>
      <c r="BB857">
        <v>0</v>
      </c>
      <c r="BC857">
        <v>0</v>
      </c>
      <c r="BD857">
        <v>0</v>
      </c>
      <c r="BE857">
        <v>0</v>
      </c>
      <c r="BF857">
        <v>0</v>
      </c>
      <c r="BG857">
        <v>0</v>
      </c>
      <c r="BH857">
        <v>0</v>
      </c>
      <c r="BI857">
        <v>0</v>
      </c>
      <c r="BK857" s="151"/>
    </row>
    <row r="858" spans="1:63" x14ac:dyDescent="0.35">
      <c r="A858">
        <v>0</v>
      </c>
      <c r="B858">
        <v>0</v>
      </c>
      <c r="C858">
        <v>0</v>
      </c>
      <c r="D858">
        <v>0</v>
      </c>
      <c r="E858">
        <v>0</v>
      </c>
      <c r="F858">
        <v>0</v>
      </c>
      <c r="G858">
        <v>0</v>
      </c>
      <c r="H858">
        <v>0</v>
      </c>
      <c r="I858">
        <v>0</v>
      </c>
      <c r="J858">
        <v>0</v>
      </c>
      <c r="K858">
        <v>0</v>
      </c>
      <c r="L858">
        <v>0</v>
      </c>
      <c r="M858">
        <v>0</v>
      </c>
      <c r="N858">
        <v>0</v>
      </c>
      <c r="O858">
        <v>0</v>
      </c>
      <c r="P858">
        <v>0</v>
      </c>
      <c r="Q858">
        <v>0</v>
      </c>
      <c r="R858">
        <v>0</v>
      </c>
      <c r="S858">
        <v>0</v>
      </c>
      <c r="T858">
        <v>0</v>
      </c>
      <c r="U858">
        <v>0</v>
      </c>
      <c r="V858">
        <v>0</v>
      </c>
      <c r="W858">
        <v>0</v>
      </c>
      <c r="X858">
        <v>0</v>
      </c>
      <c r="Y858">
        <v>0</v>
      </c>
      <c r="Z858">
        <v>0</v>
      </c>
      <c r="AA858">
        <v>0</v>
      </c>
      <c r="AB858">
        <v>0</v>
      </c>
      <c r="AC858">
        <v>0</v>
      </c>
      <c r="AD858">
        <v>0</v>
      </c>
      <c r="AF858">
        <v>0</v>
      </c>
      <c r="AG858">
        <v>0</v>
      </c>
      <c r="AH858">
        <v>0</v>
      </c>
      <c r="AI858">
        <v>0</v>
      </c>
      <c r="AJ858">
        <v>0</v>
      </c>
      <c r="AK858">
        <v>0</v>
      </c>
      <c r="AL858">
        <v>0</v>
      </c>
      <c r="AM858">
        <v>0</v>
      </c>
      <c r="AN858">
        <v>0</v>
      </c>
      <c r="AO858">
        <v>0</v>
      </c>
      <c r="AP858">
        <v>0</v>
      </c>
      <c r="AQ858">
        <v>0</v>
      </c>
      <c r="AR858">
        <v>0</v>
      </c>
      <c r="AS858">
        <v>0</v>
      </c>
      <c r="AT858">
        <v>0</v>
      </c>
      <c r="AU858">
        <v>0</v>
      </c>
      <c r="AV858">
        <v>0</v>
      </c>
      <c r="AW858">
        <v>0</v>
      </c>
      <c r="AX858">
        <v>0</v>
      </c>
      <c r="AY858">
        <v>0</v>
      </c>
      <c r="AZ858">
        <v>0</v>
      </c>
      <c r="BA858">
        <v>0</v>
      </c>
      <c r="BB858">
        <v>0</v>
      </c>
      <c r="BC858">
        <v>0</v>
      </c>
      <c r="BD858">
        <v>0</v>
      </c>
      <c r="BE858">
        <v>0</v>
      </c>
      <c r="BF858">
        <v>0</v>
      </c>
      <c r="BG858">
        <v>0</v>
      </c>
      <c r="BH858">
        <v>0</v>
      </c>
      <c r="BI858">
        <v>0</v>
      </c>
      <c r="BK858" s="151"/>
    </row>
    <row r="859" spans="1:63" x14ac:dyDescent="0.35">
      <c r="A859">
        <v>0</v>
      </c>
      <c r="B859">
        <v>0</v>
      </c>
      <c r="C859">
        <v>0</v>
      </c>
      <c r="D859">
        <v>0</v>
      </c>
      <c r="E859">
        <v>0</v>
      </c>
      <c r="F859">
        <v>0</v>
      </c>
      <c r="G859">
        <v>0</v>
      </c>
      <c r="H859">
        <v>0</v>
      </c>
      <c r="I859">
        <v>0</v>
      </c>
      <c r="J859">
        <v>0</v>
      </c>
      <c r="K859">
        <v>0</v>
      </c>
      <c r="L859">
        <v>0</v>
      </c>
      <c r="M859">
        <v>0</v>
      </c>
      <c r="N859">
        <v>0</v>
      </c>
      <c r="O859">
        <v>0</v>
      </c>
      <c r="P859">
        <v>0</v>
      </c>
      <c r="Q859">
        <v>0</v>
      </c>
      <c r="R859">
        <v>0</v>
      </c>
      <c r="S859">
        <v>0</v>
      </c>
      <c r="T859">
        <v>0</v>
      </c>
      <c r="U859">
        <v>0</v>
      </c>
      <c r="V859">
        <v>0</v>
      </c>
      <c r="W859">
        <v>0</v>
      </c>
      <c r="X859">
        <v>0</v>
      </c>
      <c r="Y859">
        <v>0</v>
      </c>
      <c r="Z859">
        <v>0</v>
      </c>
      <c r="AA859">
        <v>0</v>
      </c>
      <c r="AB859">
        <v>0</v>
      </c>
      <c r="AC859">
        <v>0</v>
      </c>
      <c r="AD859">
        <v>0</v>
      </c>
      <c r="AF859">
        <v>0</v>
      </c>
      <c r="AG859">
        <v>0</v>
      </c>
      <c r="AH859">
        <v>0</v>
      </c>
      <c r="AI859">
        <v>0</v>
      </c>
      <c r="AJ859">
        <v>0</v>
      </c>
      <c r="AK859">
        <v>0</v>
      </c>
      <c r="AL859">
        <v>0</v>
      </c>
      <c r="AM859">
        <v>0</v>
      </c>
      <c r="AN859">
        <v>0</v>
      </c>
      <c r="AO859">
        <v>0</v>
      </c>
      <c r="AP859">
        <v>0</v>
      </c>
      <c r="AQ859">
        <v>0</v>
      </c>
      <c r="AR859">
        <v>0</v>
      </c>
      <c r="AS859">
        <v>0</v>
      </c>
      <c r="AT859">
        <v>0</v>
      </c>
      <c r="AU859">
        <v>0</v>
      </c>
      <c r="AV859">
        <v>0</v>
      </c>
      <c r="AW859">
        <v>0</v>
      </c>
      <c r="AX859">
        <v>0</v>
      </c>
      <c r="AY859">
        <v>0</v>
      </c>
      <c r="AZ859">
        <v>0</v>
      </c>
      <c r="BA859">
        <v>0</v>
      </c>
      <c r="BB859">
        <v>0</v>
      </c>
      <c r="BC859">
        <v>0</v>
      </c>
      <c r="BD859">
        <v>0</v>
      </c>
      <c r="BE859">
        <v>0</v>
      </c>
      <c r="BF859">
        <v>0</v>
      </c>
      <c r="BG859">
        <v>0</v>
      </c>
      <c r="BH859">
        <v>0</v>
      </c>
      <c r="BI859">
        <v>0</v>
      </c>
      <c r="BK859" s="151"/>
    </row>
    <row r="860" spans="1:63" x14ac:dyDescent="0.35">
      <c r="A860">
        <v>0</v>
      </c>
      <c r="B860">
        <v>0</v>
      </c>
      <c r="C860">
        <v>0</v>
      </c>
      <c r="D860">
        <v>0</v>
      </c>
      <c r="E860">
        <v>0</v>
      </c>
      <c r="F860">
        <v>0</v>
      </c>
      <c r="G860">
        <v>0</v>
      </c>
      <c r="H860">
        <v>0</v>
      </c>
      <c r="I860">
        <v>0</v>
      </c>
      <c r="J860">
        <v>0</v>
      </c>
      <c r="K860">
        <v>0</v>
      </c>
      <c r="L860">
        <v>0</v>
      </c>
      <c r="M860">
        <v>0</v>
      </c>
      <c r="N860">
        <v>0</v>
      </c>
      <c r="O860">
        <v>0</v>
      </c>
      <c r="P860">
        <v>0</v>
      </c>
      <c r="Q860">
        <v>0</v>
      </c>
      <c r="R860">
        <v>0</v>
      </c>
      <c r="S860">
        <v>0</v>
      </c>
      <c r="T860">
        <v>0</v>
      </c>
      <c r="U860">
        <v>0</v>
      </c>
      <c r="V860">
        <v>0</v>
      </c>
      <c r="W860">
        <v>0</v>
      </c>
      <c r="X860">
        <v>0</v>
      </c>
      <c r="Y860">
        <v>0</v>
      </c>
      <c r="Z860">
        <v>0</v>
      </c>
      <c r="AA860">
        <v>0</v>
      </c>
      <c r="AB860">
        <v>0</v>
      </c>
      <c r="AC860">
        <v>0</v>
      </c>
      <c r="AD860">
        <v>0</v>
      </c>
      <c r="AF860">
        <v>0</v>
      </c>
      <c r="AG860">
        <v>0</v>
      </c>
      <c r="AH860">
        <v>0</v>
      </c>
      <c r="AI860">
        <v>0</v>
      </c>
      <c r="AJ860">
        <v>0</v>
      </c>
      <c r="AK860">
        <v>0</v>
      </c>
      <c r="AL860">
        <v>0</v>
      </c>
      <c r="AM860">
        <v>0</v>
      </c>
      <c r="AN860">
        <v>0</v>
      </c>
      <c r="AO860">
        <v>0</v>
      </c>
      <c r="AP860">
        <v>0</v>
      </c>
      <c r="AQ860">
        <v>0</v>
      </c>
      <c r="AR860">
        <v>0</v>
      </c>
      <c r="AS860">
        <v>0</v>
      </c>
      <c r="AT860">
        <v>0</v>
      </c>
      <c r="AU860">
        <v>0</v>
      </c>
      <c r="AV860">
        <v>0</v>
      </c>
      <c r="AW860">
        <v>0</v>
      </c>
      <c r="AX860">
        <v>0</v>
      </c>
      <c r="AY860">
        <v>0</v>
      </c>
      <c r="AZ860">
        <v>0</v>
      </c>
      <c r="BA860">
        <v>0</v>
      </c>
      <c r="BB860">
        <v>0</v>
      </c>
      <c r="BC860">
        <v>0</v>
      </c>
      <c r="BD860">
        <v>0</v>
      </c>
      <c r="BE860">
        <v>0</v>
      </c>
      <c r="BF860">
        <v>0</v>
      </c>
      <c r="BG860">
        <v>0</v>
      </c>
      <c r="BH860">
        <v>0</v>
      </c>
      <c r="BI860">
        <v>0</v>
      </c>
      <c r="BK860" s="151"/>
    </row>
    <row r="861" spans="1:63" x14ac:dyDescent="0.35">
      <c r="A861">
        <v>0</v>
      </c>
      <c r="B861">
        <v>0</v>
      </c>
      <c r="C861">
        <v>0</v>
      </c>
      <c r="D861">
        <v>0</v>
      </c>
      <c r="E861">
        <v>0</v>
      </c>
      <c r="F861">
        <v>0</v>
      </c>
      <c r="G861">
        <v>0</v>
      </c>
      <c r="H861">
        <v>0</v>
      </c>
      <c r="I861">
        <v>0</v>
      </c>
      <c r="J861">
        <v>0</v>
      </c>
      <c r="K861">
        <v>0</v>
      </c>
      <c r="L861">
        <v>0</v>
      </c>
      <c r="M861">
        <v>0</v>
      </c>
      <c r="N861">
        <v>0</v>
      </c>
      <c r="O861">
        <v>0</v>
      </c>
      <c r="P861">
        <v>0</v>
      </c>
      <c r="Q861">
        <v>0</v>
      </c>
      <c r="R861">
        <v>0</v>
      </c>
      <c r="S861">
        <v>0</v>
      </c>
      <c r="T861">
        <v>0</v>
      </c>
      <c r="U861">
        <v>0</v>
      </c>
      <c r="V861">
        <v>0</v>
      </c>
      <c r="W861">
        <v>0</v>
      </c>
      <c r="X861">
        <v>0</v>
      </c>
      <c r="Y861">
        <v>0</v>
      </c>
      <c r="Z861">
        <v>0</v>
      </c>
      <c r="AA861">
        <v>0</v>
      </c>
      <c r="AB861">
        <v>0</v>
      </c>
      <c r="AC861">
        <v>0</v>
      </c>
      <c r="AD861">
        <v>0</v>
      </c>
      <c r="AF861">
        <v>0</v>
      </c>
      <c r="AG861">
        <v>0</v>
      </c>
      <c r="AH861">
        <v>0</v>
      </c>
      <c r="AI861">
        <v>0</v>
      </c>
      <c r="AJ861">
        <v>0</v>
      </c>
      <c r="AK861">
        <v>0</v>
      </c>
      <c r="AL861">
        <v>0</v>
      </c>
      <c r="AM861">
        <v>0</v>
      </c>
      <c r="AN861">
        <v>0</v>
      </c>
      <c r="AO861">
        <v>0</v>
      </c>
      <c r="AP861">
        <v>0</v>
      </c>
      <c r="AQ861">
        <v>0</v>
      </c>
      <c r="AR861">
        <v>0</v>
      </c>
      <c r="AS861">
        <v>0</v>
      </c>
      <c r="AT861">
        <v>0</v>
      </c>
      <c r="AU861">
        <v>0</v>
      </c>
      <c r="AV861">
        <v>0</v>
      </c>
      <c r="AW861">
        <v>0</v>
      </c>
      <c r="AX861">
        <v>0</v>
      </c>
      <c r="AY861">
        <v>0</v>
      </c>
      <c r="AZ861">
        <v>0</v>
      </c>
      <c r="BA861">
        <v>0</v>
      </c>
      <c r="BB861">
        <v>0</v>
      </c>
      <c r="BC861">
        <v>0</v>
      </c>
      <c r="BD861">
        <v>0</v>
      </c>
      <c r="BE861">
        <v>0</v>
      </c>
      <c r="BF861">
        <v>0</v>
      </c>
      <c r="BG861">
        <v>0</v>
      </c>
      <c r="BH861">
        <v>0</v>
      </c>
      <c r="BI861">
        <v>0</v>
      </c>
      <c r="BK861" s="151"/>
    </row>
    <row r="862" spans="1:63" x14ac:dyDescent="0.35">
      <c r="A862">
        <v>0</v>
      </c>
      <c r="B862">
        <v>0</v>
      </c>
      <c r="C862">
        <v>0</v>
      </c>
      <c r="D862">
        <v>0</v>
      </c>
      <c r="E862">
        <v>0</v>
      </c>
      <c r="F862">
        <v>0</v>
      </c>
      <c r="G862">
        <v>0</v>
      </c>
      <c r="H862">
        <v>0</v>
      </c>
      <c r="I862">
        <v>0</v>
      </c>
      <c r="J862">
        <v>0</v>
      </c>
      <c r="K862">
        <v>0</v>
      </c>
      <c r="L862">
        <v>0</v>
      </c>
      <c r="M862">
        <v>0</v>
      </c>
      <c r="N862">
        <v>0</v>
      </c>
      <c r="O862">
        <v>0</v>
      </c>
      <c r="P862">
        <v>0</v>
      </c>
      <c r="Q862">
        <v>0</v>
      </c>
      <c r="R862">
        <v>0</v>
      </c>
      <c r="S862">
        <v>0</v>
      </c>
      <c r="T862">
        <v>0</v>
      </c>
      <c r="U862">
        <v>0</v>
      </c>
      <c r="V862">
        <v>0</v>
      </c>
      <c r="W862">
        <v>0</v>
      </c>
      <c r="X862">
        <v>0</v>
      </c>
      <c r="Y862">
        <v>0</v>
      </c>
      <c r="Z862">
        <v>0</v>
      </c>
      <c r="AA862">
        <v>0</v>
      </c>
      <c r="AB862">
        <v>0</v>
      </c>
      <c r="AC862">
        <v>0</v>
      </c>
      <c r="AD862">
        <v>0</v>
      </c>
      <c r="AF862">
        <v>0</v>
      </c>
      <c r="AG862">
        <v>0</v>
      </c>
      <c r="AH862">
        <v>0</v>
      </c>
      <c r="AI862">
        <v>0</v>
      </c>
      <c r="AJ862">
        <v>0</v>
      </c>
      <c r="AK862">
        <v>0</v>
      </c>
      <c r="AL862">
        <v>0</v>
      </c>
      <c r="AM862">
        <v>0</v>
      </c>
      <c r="AN862">
        <v>0</v>
      </c>
      <c r="AO862">
        <v>0</v>
      </c>
      <c r="AP862">
        <v>0</v>
      </c>
      <c r="AQ862">
        <v>0</v>
      </c>
      <c r="AR862">
        <v>0</v>
      </c>
      <c r="AS862">
        <v>0</v>
      </c>
      <c r="AT862">
        <v>0</v>
      </c>
      <c r="AU862">
        <v>0</v>
      </c>
      <c r="AV862">
        <v>0</v>
      </c>
      <c r="AW862">
        <v>0</v>
      </c>
      <c r="AX862">
        <v>0</v>
      </c>
      <c r="AY862">
        <v>0</v>
      </c>
      <c r="AZ862">
        <v>0</v>
      </c>
      <c r="BA862">
        <v>0</v>
      </c>
      <c r="BB862">
        <v>0</v>
      </c>
      <c r="BC862">
        <v>0</v>
      </c>
      <c r="BD862">
        <v>0</v>
      </c>
      <c r="BE862">
        <v>0</v>
      </c>
      <c r="BF862">
        <v>0</v>
      </c>
      <c r="BG862">
        <v>0</v>
      </c>
      <c r="BH862">
        <v>0</v>
      </c>
      <c r="BI862">
        <v>0</v>
      </c>
      <c r="BK862" s="151"/>
    </row>
    <row r="863" spans="1:63" x14ac:dyDescent="0.35">
      <c r="A863">
        <v>0</v>
      </c>
      <c r="B863">
        <v>0</v>
      </c>
      <c r="C863">
        <v>0</v>
      </c>
      <c r="D863">
        <v>0</v>
      </c>
      <c r="E863">
        <v>0</v>
      </c>
      <c r="F863">
        <v>0</v>
      </c>
      <c r="G863">
        <v>0</v>
      </c>
      <c r="H863">
        <v>0</v>
      </c>
      <c r="I863">
        <v>0</v>
      </c>
      <c r="J863">
        <v>0</v>
      </c>
      <c r="K863">
        <v>0</v>
      </c>
      <c r="L863">
        <v>0</v>
      </c>
      <c r="M863">
        <v>0</v>
      </c>
      <c r="N863">
        <v>0</v>
      </c>
      <c r="O863">
        <v>0</v>
      </c>
      <c r="P863">
        <v>0</v>
      </c>
      <c r="Q863">
        <v>0</v>
      </c>
      <c r="R863">
        <v>0</v>
      </c>
      <c r="S863">
        <v>0</v>
      </c>
      <c r="T863">
        <v>0</v>
      </c>
      <c r="U863">
        <v>0</v>
      </c>
      <c r="V863">
        <v>0</v>
      </c>
      <c r="W863">
        <v>0</v>
      </c>
      <c r="X863">
        <v>0</v>
      </c>
      <c r="Y863">
        <v>0</v>
      </c>
      <c r="Z863">
        <v>0</v>
      </c>
      <c r="AA863">
        <v>0</v>
      </c>
      <c r="AB863">
        <v>0</v>
      </c>
      <c r="AC863">
        <v>0</v>
      </c>
      <c r="AD863">
        <v>0</v>
      </c>
      <c r="AF863">
        <v>0</v>
      </c>
      <c r="AG863">
        <v>0</v>
      </c>
      <c r="AH863">
        <v>0</v>
      </c>
      <c r="AI863">
        <v>0</v>
      </c>
      <c r="AJ863">
        <v>0</v>
      </c>
      <c r="AK863">
        <v>0</v>
      </c>
      <c r="AL863">
        <v>0</v>
      </c>
      <c r="AM863">
        <v>0</v>
      </c>
      <c r="AN863">
        <v>0</v>
      </c>
      <c r="AO863">
        <v>0</v>
      </c>
      <c r="AP863">
        <v>0</v>
      </c>
      <c r="AQ863">
        <v>0</v>
      </c>
      <c r="AR863">
        <v>0</v>
      </c>
      <c r="AS863">
        <v>0</v>
      </c>
      <c r="AT863">
        <v>0</v>
      </c>
      <c r="AU863">
        <v>0</v>
      </c>
      <c r="AV863">
        <v>0</v>
      </c>
      <c r="AW863">
        <v>0</v>
      </c>
      <c r="AX863">
        <v>0</v>
      </c>
      <c r="AY863">
        <v>0</v>
      </c>
      <c r="AZ863">
        <v>0</v>
      </c>
      <c r="BA863">
        <v>0</v>
      </c>
      <c r="BB863">
        <v>0</v>
      </c>
      <c r="BC863">
        <v>0</v>
      </c>
      <c r="BD863">
        <v>0</v>
      </c>
      <c r="BE863">
        <v>0</v>
      </c>
      <c r="BF863">
        <v>0</v>
      </c>
      <c r="BG863">
        <v>0</v>
      </c>
      <c r="BH863">
        <v>0</v>
      </c>
      <c r="BI863">
        <v>0</v>
      </c>
      <c r="BK863" s="151"/>
    </row>
    <row r="864" spans="1:63" x14ac:dyDescent="0.35">
      <c r="A864">
        <v>0</v>
      </c>
      <c r="B864">
        <v>0</v>
      </c>
      <c r="C864">
        <v>0</v>
      </c>
      <c r="D864">
        <v>0</v>
      </c>
      <c r="E864">
        <v>0</v>
      </c>
      <c r="F864">
        <v>0</v>
      </c>
      <c r="G864">
        <v>0</v>
      </c>
      <c r="H864">
        <v>0</v>
      </c>
      <c r="I864">
        <v>0</v>
      </c>
      <c r="J864">
        <v>0</v>
      </c>
      <c r="K864">
        <v>0</v>
      </c>
      <c r="L864">
        <v>0</v>
      </c>
      <c r="M864">
        <v>0</v>
      </c>
      <c r="N864">
        <v>0</v>
      </c>
      <c r="O864">
        <v>0</v>
      </c>
      <c r="P864">
        <v>0</v>
      </c>
      <c r="Q864">
        <v>0</v>
      </c>
      <c r="R864">
        <v>0</v>
      </c>
      <c r="S864">
        <v>0</v>
      </c>
      <c r="T864">
        <v>0</v>
      </c>
      <c r="U864">
        <v>0</v>
      </c>
      <c r="V864">
        <v>0</v>
      </c>
      <c r="W864">
        <v>0</v>
      </c>
      <c r="X864">
        <v>0</v>
      </c>
      <c r="Y864">
        <v>0</v>
      </c>
      <c r="Z864">
        <v>0</v>
      </c>
      <c r="AA864">
        <v>0</v>
      </c>
      <c r="AB864">
        <v>0</v>
      </c>
      <c r="AC864">
        <v>0</v>
      </c>
      <c r="AD864">
        <v>0</v>
      </c>
      <c r="AF864">
        <v>0</v>
      </c>
      <c r="AG864">
        <v>0</v>
      </c>
      <c r="AH864">
        <v>0</v>
      </c>
      <c r="AI864">
        <v>0</v>
      </c>
      <c r="AJ864">
        <v>0</v>
      </c>
      <c r="AK864">
        <v>0</v>
      </c>
      <c r="AL864">
        <v>0</v>
      </c>
      <c r="AM864">
        <v>0</v>
      </c>
      <c r="AN864">
        <v>0</v>
      </c>
      <c r="AO864">
        <v>0</v>
      </c>
      <c r="AP864">
        <v>0</v>
      </c>
      <c r="AQ864">
        <v>0</v>
      </c>
      <c r="AR864">
        <v>0</v>
      </c>
      <c r="AS864">
        <v>0</v>
      </c>
      <c r="AT864">
        <v>0</v>
      </c>
      <c r="AU864">
        <v>0</v>
      </c>
      <c r="AV864">
        <v>0</v>
      </c>
      <c r="AW864">
        <v>0</v>
      </c>
      <c r="AX864">
        <v>0</v>
      </c>
      <c r="AY864">
        <v>0</v>
      </c>
      <c r="AZ864">
        <v>0</v>
      </c>
      <c r="BA864">
        <v>0</v>
      </c>
      <c r="BB864">
        <v>0</v>
      </c>
      <c r="BC864">
        <v>0</v>
      </c>
      <c r="BD864">
        <v>0</v>
      </c>
      <c r="BE864">
        <v>0</v>
      </c>
      <c r="BF864">
        <v>0</v>
      </c>
      <c r="BG864">
        <v>0</v>
      </c>
      <c r="BH864">
        <v>0</v>
      </c>
      <c r="BI864">
        <v>0</v>
      </c>
      <c r="BK864" s="151"/>
    </row>
    <row r="865" spans="1:63" x14ac:dyDescent="0.35">
      <c r="A865">
        <v>0</v>
      </c>
      <c r="B865">
        <v>0</v>
      </c>
      <c r="C865">
        <v>0</v>
      </c>
      <c r="D865">
        <v>0</v>
      </c>
      <c r="E865">
        <v>0</v>
      </c>
      <c r="F865">
        <v>0</v>
      </c>
      <c r="G865">
        <v>0</v>
      </c>
      <c r="H865">
        <v>0</v>
      </c>
      <c r="I865">
        <v>0</v>
      </c>
      <c r="J865">
        <v>0</v>
      </c>
      <c r="K865">
        <v>0</v>
      </c>
      <c r="L865">
        <v>0</v>
      </c>
      <c r="M865">
        <v>0</v>
      </c>
      <c r="N865">
        <v>0</v>
      </c>
      <c r="O865">
        <v>0</v>
      </c>
      <c r="P865">
        <v>0</v>
      </c>
      <c r="Q865">
        <v>0</v>
      </c>
      <c r="R865">
        <v>0</v>
      </c>
      <c r="S865">
        <v>0</v>
      </c>
      <c r="T865">
        <v>0</v>
      </c>
      <c r="U865">
        <v>0</v>
      </c>
      <c r="V865">
        <v>0</v>
      </c>
      <c r="W865">
        <v>0</v>
      </c>
      <c r="X865">
        <v>0</v>
      </c>
      <c r="Y865">
        <v>0</v>
      </c>
      <c r="Z865">
        <v>0</v>
      </c>
      <c r="AA865">
        <v>0</v>
      </c>
      <c r="AB865">
        <v>0</v>
      </c>
      <c r="AC865">
        <v>0</v>
      </c>
      <c r="AD865">
        <v>0</v>
      </c>
      <c r="AF865">
        <v>0</v>
      </c>
      <c r="AG865">
        <v>0</v>
      </c>
      <c r="AH865">
        <v>0</v>
      </c>
      <c r="AI865">
        <v>0</v>
      </c>
      <c r="AJ865">
        <v>0</v>
      </c>
      <c r="AK865">
        <v>0</v>
      </c>
      <c r="AL865">
        <v>0</v>
      </c>
      <c r="AM865">
        <v>0</v>
      </c>
      <c r="AN865">
        <v>0</v>
      </c>
      <c r="AO865">
        <v>0</v>
      </c>
      <c r="AP865">
        <v>0</v>
      </c>
      <c r="AQ865">
        <v>0</v>
      </c>
      <c r="AR865">
        <v>0</v>
      </c>
      <c r="AS865">
        <v>0</v>
      </c>
      <c r="AT865">
        <v>0</v>
      </c>
      <c r="AU865">
        <v>0</v>
      </c>
      <c r="AV865">
        <v>0</v>
      </c>
      <c r="AW865">
        <v>0</v>
      </c>
      <c r="AX865">
        <v>0</v>
      </c>
      <c r="AY865">
        <v>0</v>
      </c>
      <c r="AZ865">
        <v>0</v>
      </c>
      <c r="BA865">
        <v>0</v>
      </c>
      <c r="BB865">
        <v>0</v>
      </c>
      <c r="BC865">
        <v>0</v>
      </c>
      <c r="BD865">
        <v>0</v>
      </c>
      <c r="BE865">
        <v>0</v>
      </c>
      <c r="BF865">
        <v>0</v>
      </c>
      <c r="BG865">
        <v>0</v>
      </c>
      <c r="BH865">
        <v>0</v>
      </c>
      <c r="BI865">
        <v>0</v>
      </c>
      <c r="BK865" s="151"/>
    </row>
    <row r="866" spans="1:63" x14ac:dyDescent="0.35">
      <c r="A866">
        <v>0</v>
      </c>
      <c r="B866">
        <v>0</v>
      </c>
      <c r="C866">
        <v>0</v>
      </c>
      <c r="D866">
        <v>0</v>
      </c>
      <c r="E866">
        <v>0</v>
      </c>
      <c r="F866">
        <v>0</v>
      </c>
      <c r="G866">
        <v>0</v>
      </c>
      <c r="H866">
        <v>0</v>
      </c>
      <c r="I866">
        <v>0</v>
      </c>
      <c r="J866">
        <v>0</v>
      </c>
      <c r="K866">
        <v>0</v>
      </c>
      <c r="L866">
        <v>0</v>
      </c>
      <c r="M866">
        <v>0</v>
      </c>
      <c r="N866">
        <v>0</v>
      </c>
      <c r="O866">
        <v>0</v>
      </c>
      <c r="P866">
        <v>0</v>
      </c>
      <c r="Q866">
        <v>0</v>
      </c>
      <c r="R866">
        <v>0</v>
      </c>
      <c r="S866">
        <v>0</v>
      </c>
      <c r="T866">
        <v>0</v>
      </c>
      <c r="U866">
        <v>0</v>
      </c>
      <c r="V866">
        <v>0</v>
      </c>
      <c r="W866">
        <v>0</v>
      </c>
      <c r="X866">
        <v>0</v>
      </c>
      <c r="Y866">
        <v>0</v>
      </c>
      <c r="Z866">
        <v>0</v>
      </c>
      <c r="AA866">
        <v>0</v>
      </c>
      <c r="AB866">
        <v>0</v>
      </c>
      <c r="AC866">
        <v>0</v>
      </c>
      <c r="AD866">
        <v>0</v>
      </c>
      <c r="AF866">
        <v>0</v>
      </c>
      <c r="AG866">
        <v>0</v>
      </c>
      <c r="AH866">
        <v>0</v>
      </c>
      <c r="AI866">
        <v>0</v>
      </c>
      <c r="AJ866">
        <v>0</v>
      </c>
      <c r="AK866">
        <v>0</v>
      </c>
      <c r="AL866">
        <v>0</v>
      </c>
      <c r="AM866">
        <v>0</v>
      </c>
      <c r="AN866">
        <v>0</v>
      </c>
      <c r="AO866">
        <v>0</v>
      </c>
      <c r="AP866">
        <v>0</v>
      </c>
      <c r="AQ866">
        <v>0</v>
      </c>
      <c r="AR866">
        <v>0</v>
      </c>
      <c r="AS866">
        <v>0</v>
      </c>
      <c r="AT866">
        <v>0</v>
      </c>
      <c r="AU866">
        <v>0</v>
      </c>
      <c r="AV866">
        <v>0</v>
      </c>
      <c r="AW866">
        <v>0</v>
      </c>
      <c r="AX866">
        <v>0</v>
      </c>
      <c r="AY866">
        <v>0</v>
      </c>
      <c r="AZ866">
        <v>0</v>
      </c>
      <c r="BA866">
        <v>0</v>
      </c>
      <c r="BB866">
        <v>0</v>
      </c>
      <c r="BC866">
        <v>0</v>
      </c>
      <c r="BD866">
        <v>0</v>
      </c>
      <c r="BE866">
        <v>0</v>
      </c>
      <c r="BF866">
        <v>0</v>
      </c>
      <c r="BG866">
        <v>0</v>
      </c>
      <c r="BH866">
        <v>0</v>
      </c>
      <c r="BI866">
        <v>0</v>
      </c>
      <c r="BK866" s="151"/>
    </row>
    <row r="867" spans="1:63" x14ac:dyDescent="0.35">
      <c r="A867">
        <v>0</v>
      </c>
      <c r="B867">
        <v>0</v>
      </c>
      <c r="C867">
        <v>0</v>
      </c>
      <c r="D867">
        <v>0</v>
      </c>
      <c r="E867">
        <v>0</v>
      </c>
      <c r="F867">
        <v>0</v>
      </c>
      <c r="G867">
        <v>0</v>
      </c>
      <c r="H867">
        <v>0</v>
      </c>
      <c r="I867">
        <v>0</v>
      </c>
      <c r="J867">
        <v>0</v>
      </c>
      <c r="K867">
        <v>0</v>
      </c>
      <c r="L867">
        <v>0</v>
      </c>
      <c r="M867">
        <v>0</v>
      </c>
      <c r="N867">
        <v>0</v>
      </c>
      <c r="O867">
        <v>0</v>
      </c>
      <c r="P867">
        <v>0</v>
      </c>
      <c r="Q867">
        <v>0</v>
      </c>
      <c r="R867">
        <v>0</v>
      </c>
      <c r="S867">
        <v>0</v>
      </c>
      <c r="T867">
        <v>0</v>
      </c>
      <c r="U867">
        <v>0</v>
      </c>
      <c r="V867">
        <v>0</v>
      </c>
      <c r="W867">
        <v>0</v>
      </c>
      <c r="X867">
        <v>0</v>
      </c>
      <c r="Y867">
        <v>0</v>
      </c>
      <c r="Z867">
        <v>0</v>
      </c>
      <c r="AA867">
        <v>0</v>
      </c>
      <c r="AB867">
        <v>0</v>
      </c>
      <c r="AC867">
        <v>0</v>
      </c>
      <c r="AD867">
        <v>0</v>
      </c>
      <c r="AF867">
        <v>0</v>
      </c>
      <c r="AG867">
        <v>0</v>
      </c>
      <c r="AH867">
        <v>0</v>
      </c>
      <c r="AI867">
        <v>0</v>
      </c>
      <c r="AJ867">
        <v>0</v>
      </c>
      <c r="AK867">
        <v>0</v>
      </c>
      <c r="AL867">
        <v>0</v>
      </c>
      <c r="AM867">
        <v>0</v>
      </c>
      <c r="AN867">
        <v>0</v>
      </c>
      <c r="AO867">
        <v>0</v>
      </c>
      <c r="AP867">
        <v>0</v>
      </c>
      <c r="AQ867">
        <v>0</v>
      </c>
      <c r="AR867">
        <v>0</v>
      </c>
      <c r="AS867">
        <v>0</v>
      </c>
      <c r="AT867">
        <v>0</v>
      </c>
      <c r="AU867">
        <v>0</v>
      </c>
      <c r="AV867">
        <v>0</v>
      </c>
      <c r="AW867">
        <v>0</v>
      </c>
      <c r="AX867">
        <v>0</v>
      </c>
      <c r="AY867">
        <v>0</v>
      </c>
      <c r="AZ867">
        <v>0</v>
      </c>
      <c r="BA867">
        <v>0</v>
      </c>
      <c r="BB867">
        <v>0</v>
      </c>
      <c r="BC867">
        <v>0</v>
      </c>
      <c r="BD867">
        <v>0</v>
      </c>
      <c r="BE867">
        <v>0</v>
      </c>
      <c r="BF867">
        <v>0</v>
      </c>
      <c r="BG867">
        <v>0</v>
      </c>
      <c r="BH867">
        <v>0</v>
      </c>
      <c r="BI867">
        <v>0</v>
      </c>
      <c r="BK867" s="151"/>
    </row>
    <row r="868" spans="1:63" x14ac:dyDescent="0.35">
      <c r="A868">
        <v>0</v>
      </c>
      <c r="B868">
        <v>0</v>
      </c>
      <c r="C868">
        <v>0</v>
      </c>
      <c r="D868">
        <v>0</v>
      </c>
      <c r="E868">
        <v>0</v>
      </c>
      <c r="F868">
        <v>0</v>
      </c>
      <c r="G868">
        <v>0</v>
      </c>
      <c r="H868">
        <v>0</v>
      </c>
      <c r="I868">
        <v>0</v>
      </c>
      <c r="J868">
        <v>0</v>
      </c>
      <c r="K868">
        <v>0</v>
      </c>
      <c r="L868">
        <v>0</v>
      </c>
      <c r="M868">
        <v>0</v>
      </c>
      <c r="N868">
        <v>0</v>
      </c>
      <c r="O868">
        <v>0</v>
      </c>
      <c r="P868">
        <v>0</v>
      </c>
      <c r="Q868">
        <v>0</v>
      </c>
      <c r="R868">
        <v>0</v>
      </c>
      <c r="S868">
        <v>0</v>
      </c>
      <c r="T868">
        <v>0</v>
      </c>
      <c r="U868">
        <v>0</v>
      </c>
      <c r="V868">
        <v>0</v>
      </c>
      <c r="W868">
        <v>0</v>
      </c>
      <c r="X868">
        <v>0</v>
      </c>
      <c r="Y868">
        <v>0</v>
      </c>
      <c r="Z868">
        <v>0</v>
      </c>
      <c r="AA868">
        <v>0</v>
      </c>
      <c r="AB868">
        <v>0</v>
      </c>
      <c r="AC868">
        <v>0</v>
      </c>
      <c r="AD868">
        <v>0</v>
      </c>
      <c r="AF868">
        <v>0</v>
      </c>
      <c r="AG868">
        <v>0</v>
      </c>
      <c r="AH868">
        <v>0</v>
      </c>
      <c r="AI868">
        <v>0</v>
      </c>
      <c r="AJ868">
        <v>0</v>
      </c>
      <c r="AK868">
        <v>0</v>
      </c>
      <c r="AL868">
        <v>0</v>
      </c>
      <c r="AM868">
        <v>0</v>
      </c>
      <c r="AN868">
        <v>0</v>
      </c>
      <c r="AO868">
        <v>0</v>
      </c>
      <c r="AP868">
        <v>0</v>
      </c>
      <c r="AQ868">
        <v>0</v>
      </c>
      <c r="AR868">
        <v>0</v>
      </c>
      <c r="AS868">
        <v>0</v>
      </c>
      <c r="AT868">
        <v>0</v>
      </c>
      <c r="AU868">
        <v>0</v>
      </c>
      <c r="AV868">
        <v>0</v>
      </c>
      <c r="AW868">
        <v>0</v>
      </c>
      <c r="AX868">
        <v>0</v>
      </c>
      <c r="AY868">
        <v>0</v>
      </c>
      <c r="AZ868">
        <v>0</v>
      </c>
      <c r="BA868">
        <v>0</v>
      </c>
      <c r="BB868">
        <v>0</v>
      </c>
      <c r="BC868">
        <v>0</v>
      </c>
      <c r="BD868">
        <v>0</v>
      </c>
      <c r="BE868">
        <v>0</v>
      </c>
      <c r="BF868">
        <v>0</v>
      </c>
      <c r="BG868">
        <v>0</v>
      </c>
      <c r="BH868">
        <v>0</v>
      </c>
      <c r="BI868">
        <v>0</v>
      </c>
      <c r="BK868" s="151"/>
    </row>
    <row r="869" spans="1:63" x14ac:dyDescent="0.35">
      <c r="A869">
        <v>0</v>
      </c>
      <c r="B869">
        <v>0</v>
      </c>
      <c r="C869">
        <v>0</v>
      </c>
      <c r="D869">
        <v>0</v>
      </c>
      <c r="E869">
        <v>0</v>
      </c>
      <c r="F869">
        <v>0</v>
      </c>
      <c r="G869">
        <v>0</v>
      </c>
      <c r="H869">
        <v>0</v>
      </c>
      <c r="I869">
        <v>0</v>
      </c>
      <c r="J869">
        <v>0</v>
      </c>
      <c r="K869">
        <v>0</v>
      </c>
      <c r="L869">
        <v>0</v>
      </c>
      <c r="M869">
        <v>0</v>
      </c>
      <c r="N869">
        <v>0</v>
      </c>
      <c r="O869">
        <v>0</v>
      </c>
      <c r="P869">
        <v>0</v>
      </c>
      <c r="Q869">
        <v>0</v>
      </c>
      <c r="R869">
        <v>0</v>
      </c>
      <c r="S869">
        <v>0</v>
      </c>
      <c r="T869">
        <v>0</v>
      </c>
      <c r="U869">
        <v>0</v>
      </c>
      <c r="V869">
        <v>0</v>
      </c>
      <c r="W869">
        <v>0</v>
      </c>
      <c r="X869">
        <v>0</v>
      </c>
      <c r="Y869">
        <v>0</v>
      </c>
      <c r="Z869">
        <v>0</v>
      </c>
      <c r="AA869">
        <v>0</v>
      </c>
      <c r="AB869">
        <v>0</v>
      </c>
      <c r="AC869">
        <v>0</v>
      </c>
      <c r="AD869">
        <v>0</v>
      </c>
      <c r="AF869">
        <v>0</v>
      </c>
      <c r="AG869">
        <v>0</v>
      </c>
      <c r="AH869">
        <v>0</v>
      </c>
      <c r="AI869">
        <v>0</v>
      </c>
      <c r="AJ869">
        <v>0</v>
      </c>
      <c r="AK869">
        <v>0</v>
      </c>
      <c r="AL869">
        <v>0</v>
      </c>
      <c r="AM869">
        <v>0</v>
      </c>
      <c r="AN869">
        <v>0</v>
      </c>
      <c r="AO869">
        <v>0</v>
      </c>
      <c r="AP869">
        <v>0</v>
      </c>
      <c r="AQ869">
        <v>0</v>
      </c>
      <c r="AR869">
        <v>0</v>
      </c>
      <c r="AS869">
        <v>0</v>
      </c>
      <c r="AT869">
        <v>0</v>
      </c>
      <c r="AU869">
        <v>0</v>
      </c>
      <c r="AV869">
        <v>0</v>
      </c>
      <c r="AW869">
        <v>0</v>
      </c>
      <c r="AX869">
        <v>0</v>
      </c>
      <c r="AY869">
        <v>0</v>
      </c>
      <c r="AZ869">
        <v>0</v>
      </c>
      <c r="BA869">
        <v>0</v>
      </c>
      <c r="BB869">
        <v>0</v>
      </c>
      <c r="BC869">
        <v>0</v>
      </c>
      <c r="BD869">
        <v>0</v>
      </c>
      <c r="BE869">
        <v>0</v>
      </c>
      <c r="BF869">
        <v>0</v>
      </c>
      <c r="BG869">
        <v>0</v>
      </c>
      <c r="BH869">
        <v>0</v>
      </c>
      <c r="BI869">
        <v>0</v>
      </c>
      <c r="BK869" s="151"/>
    </row>
    <row r="870" spans="1:63" x14ac:dyDescent="0.35">
      <c r="A870">
        <v>0</v>
      </c>
      <c r="B870">
        <v>0</v>
      </c>
      <c r="C870">
        <v>0</v>
      </c>
      <c r="D870">
        <v>0</v>
      </c>
      <c r="E870">
        <v>0</v>
      </c>
      <c r="F870">
        <v>0</v>
      </c>
      <c r="G870">
        <v>0</v>
      </c>
      <c r="H870">
        <v>0</v>
      </c>
      <c r="I870">
        <v>0</v>
      </c>
      <c r="J870">
        <v>0</v>
      </c>
      <c r="K870">
        <v>0</v>
      </c>
      <c r="L870">
        <v>0</v>
      </c>
      <c r="M870">
        <v>0</v>
      </c>
      <c r="N870">
        <v>0</v>
      </c>
      <c r="O870">
        <v>0</v>
      </c>
      <c r="P870">
        <v>0</v>
      </c>
      <c r="Q870">
        <v>0</v>
      </c>
      <c r="R870">
        <v>0</v>
      </c>
      <c r="S870">
        <v>0</v>
      </c>
      <c r="T870">
        <v>0</v>
      </c>
      <c r="U870">
        <v>0</v>
      </c>
      <c r="V870">
        <v>0</v>
      </c>
      <c r="W870">
        <v>0</v>
      </c>
      <c r="X870">
        <v>0</v>
      </c>
      <c r="Y870">
        <v>0</v>
      </c>
      <c r="Z870">
        <v>0</v>
      </c>
      <c r="AA870">
        <v>0</v>
      </c>
      <c r="AB870">
        <v>0</v>
      </c>
      <c r="AC870">
        <v>0</v>
      </c>
      <c r="AD870">
        <v>0</v>
      </c>
      <c r="AF870">
        <v>0</v>
      </c>
      <c r="AG870">
        <v>0</v>
      </c>
      <c r="AH870">
        <v>0</v>
      </c>
      <c r="AI870">
        <v>0</v>
      </c>
      <c r="AJ870">
        <v>0</v>
      </c>
      <c r="AK870">
        <v>0</v>
      </c>
      <c r="AL870">
        <v>0</v>
      </c>
      <c r="AM870">
        <v>0</v>
      </c>
      <c r="AN870">
        <v>0</v>
      </c>
      <c r="AO870">
        <v>0</v>
      </c>
      <c r="AP870">
        <v>0</v>
      </c>
      <c r="AQ870">
        <v>0</v>
      </c>
      <c r="AR870">
        <v>0</v>
      </c>
      <c r="AS870">
        <v>0</v>
      </c>
      <c r="AT870">
        <v>0</v>
      </c>
      <c r="AU870">
        <v>0</v>
      </c>
      <c r="AV870">
        <v>0</v>
      </c>
      <c r="AW870">
        <v>0</v>
      </c>
      <c r="AX870">
        <v>0</v>
      </c>
      <c r="AY870">
        <v>0</v>
      </c>
      <c r="AZ870">
        <v>0</v>
      </c>
      <c r="BA870">
        <v>0</v>
      </c>
      <c r="BB870">
        <v>0</v>
      </c>
      <c r="BC870">
        <v>0</v>
      </c>
      <c r="BD870">
        <v>0</v>
      </c>
      <c r="BE870">
        <v>0</v>
      </c>
      <c r="BF870">
        <v>0</v>
      </c>
      <c r="BG870">
        <v>0</v>
      </c>
      <c r="BH870">
        <v>0</v>
      </c>
      <c r="BI870">
        <v>0</v>
      </c>
      <c r="BK870" s="151"/>
    </row>
    <row r="871" spans="1:63" x14ac:dyDescent="0.35">
      <c r="A871">
        <v>0</v>
      </c>
      <c r="B871">
        <v>0</v>
      </c>
      <c r="C871">
        <v>0</v>
      </c>
      <c r="D871">
        <v>0</v>
      </c>
      <c r="E871">
        <v>0</v>
      </c>
      <c r="F871">
        <v>0</v>
      </c>
      <c r="G871">
        <v>0</v>
      </c>
      <c r="H871">
        <v>0</v>
      </c>
      <c r="I871">
        <v>0</v>
      </c>
      <c r="J871">
        <v>0</v>
      </c>
      <c r="K871">
        <v>0</v>
      </c>
      <c r="L871">
        <v>0</v>
      </c>
      <c r="M871">
        <v>0</v>
      </c>
      <c r="N871">
        <v>0</v>
      </c>
      <c r="O871">
        <v>0</v>
      </c>
      <c r="P871">
        <v>0</v>
      </c>
      <c r="Q871">
        <v>0</v>
      </c>
      <c r="R871">
        <v>0</v>
      </c>
      <c r="S871">
        <v>0</v>
      </c>
      <c r="T871">
        <v>0</v>
      </c>
      <c r="U871">
        <v>0</v>
      </c>
      <c r="V871">
        <v>0</v>
      </c>
      <c r="W871">
        <v>0</v>
      </c>
      <c r="X871">
        <v>0</v>
      </c>
      <c r="Y871">
        <v>0</v>
      </c>
      <c r="Z871">
        <v>0</v>
      </c>
      <c r="AA871">
        <v>0</v>
      </c>
      <c r="AB871">
        <v>0</v>
      </c>
      <c r="AC871">
        <v>0</v>
      </c>
      <c r="AD871">
        <v>0</v>
      </c>
      <c r="AF871">
        <v>0</v>
      </c>
      <c r="AG871">
        <v>0</v>
      </c>
      <c r="AH871">
        <v>0</v>
      </c>
      <c r="AI871">
        <v>0</v>
      </c>
      <c r="AJ871">
        <v>0</v>
      </c>
      <c r="AK871">
        <v>0</v>
      </c>
      <c r="AL871">
        <v>0</v>
      </c>
      <c r="AM871">
        <v>0</v>
      </c>
      <c r="AN871">
        <v>0</v>
      </c>
      <c r="AO871">
        <v>0</v>
      </c>
      <c r="AP871">
        <v>0</v>
      </c>
      <c r="AQ871">
        <v>0</v>
      </c>
      <c r="AR871">
        <v>0</v>
      </c>
      <c r="AS871">
        <v>0</v>
      </c>
      <c r="AT871">
        <v>0</v>
      </c>
      <c r="AU871">
        <v>0</v>
      </c>
      <c r="AV871">
        <v>0</v>
      </c>
      <c r="AW871">
        <v>0</v>
      </c>
      <c r="AX871">
        <v>0</v>
      </c>
      <c r="AY871">
        <v>0</v>
      </c>
      <c r="AZ871">
        <v>0</v>
      </c>
      <c r="BA871">
        <v>0</v>
      </c>
      <c r="BB871">
        <v>0</v>
      </c>
      <c r="BC871">
        <v>0</v>
      </c>
      <c r="BD871">
        <v>0</v>
      </c>
      <c r="BE871">
        <v>0</v>
      </c>
      <c r="BF871">
        <v>0</v>
      </c>
      <c r="BG871">
        <v>0</v>
      </c>
      <c r="BH871">
        <v>0</v>
      </c>
      <c r="BI871">
        <v>0</v>
      </c>
      <c r="BK871" s="151"/>
    </row>
    <row r="872" spans="1:63" x14ac:dyDescent="0.35">
      <c r="A872">
        <v>0</v>
      </c>
      <c r="B872">
        <v>0</v>
      </c>
      <c r="C872">
        <v>0</v>
      </c>
      <c r="D872">
        <v>0</v>
      </c>
      <c r="E872">
        <v>0</v>
      </c>
      <c r="F872">
        <v>0</v>
      </c>
      <c r="G872">
        <v>0</v>
      </c>
      <c r="H872">
        <v>0</v>
      </c>
      <c r="I872">
        <v>0</v>
      </c>
      <c r="J872">
        <v>0</v>
      </c>
      <c r="K872">
        <v>0</v>
      </c>
      <c r="L872">
        <v>0</v>
      </c>
      <c r="M872">
        <v>0</v>
      </c>
      <c r="N872">
        <v>0</v>
      </c>
      <c r="O872">
        <v>0</v>
      </c>
      <c r="P872">
        <v>0</v>
      </c>
      <c r="Q872">
        <v>0</v>
      </c>
      <c r="R872">
        <v>0</v>
      </c>
      <c r="S872">
        <v>0</v>
      </c>
      <c r="T872">
        <v>0</v>
      </c>
      <c r="U872">
        <v>0</v>
      </c>
      <c r="V872">
        <v>0</v>
      </c>
      <c r="W872">
        <v>0</v>
      </c>
      <c r="X872">
        <v>0</v>
      </c>
      <c r="Y872">
        <v>0</v>
      </c>
      <c r="Z872">
        <v>0</v>
      </c>
      <c r="AA872">
        <v>0</v>
      </c>
      <c r="AB872">
        <v>0</v>
      </c>
      <c r="AC872">
        <v>0</v>
      </c>
      <c r="AD872">
        <v>0</v>
      </c>
      <c r="AF872">
        <v>0</v>
      </c>
      <c r="AG872">
        <v>0</v>
      </c>
      <c r="AH872">
        <v>0</v>
      </c>
      <c r="AI872">
        <v>0</v>
      </c>
      <c r="AJ872">
        <v>0</v>
      </c>
      <c r="AK872">
        <v>0</v>
      </c>
      <c r="AL872">
        <v>0</v>
      </c>
      <c r="AM872">
        <v>0</v>
      </c>
      <c r="AN872">
        <v>0</v>
      </c>
      <c r="AO872">
        <v>0</v>
      </c>
      <c r="AP872">
        <v>0</v>
      </c>
      <c r="AQ872">
        <v>0</v>
      </c>
      <c r="AR872">
        <v>0</v>
      </c>
      <c r="AS872">
        <v>0</v>
      </c>
      <c r="AT872">
        <v>0</v>
      </c>
      <c r="AU872">
        <v>0</v>
      </c>
      <c r="AV872">
        <v>0</v>
      </c>
      <c r="AW872">
        <v>0</v>
      </c>
      <c r="AX872">
        <v>0</v>
      </c>
      <c r="AY872">
        <v>0</v>
      </c>
      <c r="AZ872">
        <v>0</v>
      </c>
      <c r="BA872">
        <v>0</v>
      </c>
      <c r="BB872">
        <v>0</v>
      </c>
      <c r="BC872">
        <v>0</v>
      </c>
      <c r="BD872">
        <v>0</v>
      </c>
      <c r="BE872">
        <v>0</v>
      </c>
      <c r="BF872">
        <v>0</v>
      </c>
      <c r="BG872">
        <v>0</v>
      </c>
      <c r="BH872">
        <v>0</v>
      </c>
      <c r="BI872">
        <v>0</v>
      </c>
      <c r="BK872" s="151"/>
    </row>
    <row r="873" spans="1:63" x14ac:dyDescent="0.35">
      <c r="A873">
        <v>0</v>
      </c>
      <c r="B873">
        <v>0</v>
      </c>
      <c r="C873">
        <v>0</v>
      </c>
      <c r="D873">
        <v>0</v>
      </c>
      <c r="E873">
        <v>0</v>
      </c>
      <c r="F873">
        <v>0</v>
      </c>
      <c r="G873">
        <v>0</v>
      </c>
      <c r="H873">
        <v>0</v>
      </c>
      <c r="I873">
        <v>0</v>
      </c>
      <c r="J873">
        <v>0</v>
      </c>
      <c r="K873">
        <v>0</v>
      </c>
      <c r="L873">
        <v>0</v>
      </c>
      <c r="M873">
        <v>0</v>
      </c>
      <c r="N873">
        <v>0</v>
      </c>
      <c r="O873">
        <v>0</v>
      </c>
      <c r="P873">
        <v>0</v>
      </c>
      <c r="Q873">
        <v>0</v>
      </c>
      <c r="R873">
        <v>0</v>
      </c>
      <c r="S873">
        <v>0</v>
      </c>
      <c r="T873">
        <v>0</v>
      </c>
      <c r="U873">
        <v>0</v>
      </c>
      <c r="V873">
        <v>0</v>
      </c>
      <c r="W873">
        <v>0</v>
      </c>
      <c r="X873">
        <v>0</v>
      </c>
      <c r="Y873">
        <v>0</v>
      </c>
      <c r="Z873">
        <v>0</v>
      </c>
      <c r="AA873">
        <v>0</v>
      </c>
      <c r="AB873">
        <v>0</v>
      </c>
      <c r="AC873">
        <v>0</v>
      </c>
      <c r="AD873">
        <v>0</v>
      </c>
      <c r="AF873">
        <v>0</v>
      </c>
      <c r="AG873">
        <v>0</v>
      </c>
      <c r="AH873">
        <v>0</v>
      </c>
      <c r="AI873">
        <v>0</v>
      </c>
      <c r="AJ873">
        <v>0</v>
      </c>
      <c r="AK873">
        <v>0</v>
      </c>
      <c r="AL873">
        <v>0</v>
      </c>
      <c r="AM873">
        <v>0</v>
      </c>
      <c r="AN873">
        <v>0</v>
      </c>
      <c r="AO873">
        <v>0</v>
      </c>
      <c r="AP873">
        <v>0</v>
      </c>
      <c r="AQ873">
        <v>0</v>
      </c>
      <c r="AR873">
        <v>0</v>
      </c>
      <c r="AS873">
        <v>0</v>
      </c>
      <c r="AT873">
        <v>0</v>
      </c>
      <c r="AU873">
        <v>0</v>
      </c>
      <c r="AV873">
        <v>0</v>
      </c>
      <c r="AW873">
        <v>0</v>
      </c>
      <c r="AX873">
        <v>0</v>
      </c>
      <c r="AY873">
        <v>0</v>
      </c>
      <c r="AZ873">
        <v>0</v>
      </c>
      <c r="BA873">
        <v>0</v>
      </c>
      <c r="BB873">
        <v>0</v>
      </c>
      <c r="BC873">
        <v>0</v>
      </c>
      <c r="BD873">
        <v>0</v>
      </c>
      <c r="BE873">
        <v>0</v>
      </c>
      <c r="BF873">
        <v>0</v>
      </c>
      <c r="BG873">
        <v>0</v>
      </c>
      <c r="BH873">
        <v>0</v>
      </c>
      <c r="BI873">
        <v>0</v>
      </c>
      <c r="BK873" s="151"/>
    </row>
    <row r="874" spans="1:63" x14ac:dyDescent="0.35">
      <c r="A874">
        <v>0</v>
      </c>
      <c r="B874">
        <v>0</v>
      </c>
      <c r="C874">
        <v>0</v>
      </c>
      <c r="D874">
        <v>0</v>
      </c>
      <c r="E874">
        <v>0</v>
      </c>
      <c r="F874">
        <v>0</v>
      </c>
      <c r="G874">
        <v>0</v>
      </c>
      <c r="H874">
        <v>0</v>
      </c>
      <c r="I874">
        <v>0</v>
      </c>
      <c r="J874">
        <v>0</v>
      </c>
      <c r="K874">
        <v>0</v>
      </c>
      <c r="L874">
        <v>0</v>
      </c>
      <c r="M874">
        <v>0</v>
      </c>
      <c r="N874">
        <v>0</v>
      </c>
      <c r="O874">
        <v>0</v>
      </c>
      <c r="P874">
        <v>0</v>
      </c>
      <c r="Q874">
        <v>0</v>
      </c>
      <c r="R874">
        <v>0</v>
      </c>
      <c r="S874">
        <v>0</v>
      </c>
      <c r="T874">
        <v>0</v>
      </c>
      <c r="U874">
        <v>0</v>
      </c>
      <c r="V874">
        <v>0</v>
      </c>
      <c r="W874">
        <v>0</v>
      </c>
      <c r="X874">
        <v>0</v>
      </c>
      <c r="Y874">
        <v>0</v>
      </c>
      <c r="Z874">
        <v>0</v>
      </c>
      <c r="AA874">
        <v>0</v>
      </c>
      <c r="AB874">
        <v>0</v>
      </c>
      <c r="AC874">
        <v>0</v>
      </c>
      <c r="AD874">
        <v>0</v>
      </c>
      <c r="AF874">
        <v>0</v>
      </c>
      <c r="AG874">
        <v>0</v>
      </c>
      <c r="AH874">
        <v>0</v>
      </c>
      <c r="AI874">
        <v>0</v>
      </c>
      <c r="AJ874">
        <v>0</v>
      </c>
      <c r="AK874">
        <v>0</v>
      </c>
      <c r="AL874">
        <v>0</v>
      </c>
      <c r="AM874">
        <v>0</v>
      </c>
      <c r="AN874">
        <v>0</v>
      </c>
      <c r="AO874">
        <v>0</v>
      </c>
      <c r="AP874">
        <v>0</v>
      </c>
      <c r="AQ874">
        <v>0</v>
      </c>
      <c r="AR874">
        <v>0</v>
      </c>
      <c r="AS874">
        <v>0</v>
      </c>
      <c r="AT874">
        <v>0</v>
      </c>
      <c r="AU874">
        <v>0</v>
      </c>
      <c r="AV874">
        <v>0</v>
      </c>
      <c r="AW874">
        <v>0</v>
      </c>
      <c r="AX874">
        <v>0</v>
      </c>
      <c r="AY874">
        <v>0</v>
      </c>
      <c r="AZ874">
        <v>0</v>
      </c>
      <c r="BA874">
        <v>0</v>
      </c>
      <c r="BB874">
        <v>0</v>
      </c>
      <c r="BC874">
        <v>0</v>
      </c>
      <c r="BD874">
        <v>0</v>
      </c>
      <c r="BE874">
        <v>0</v>
      </c>
      <c r="BF874">
        <v>0</v>
      </c>
      <c r="BG874">
        <v>0</v>
      </c>
      <c r="BH874">
        <v>0</v>
      </c>
      <c r="BI874">
        <v>0</v>
      </c>
      <c r="BK874" s="151"/>
    </row>
    <row r="875" spans="1:63" x14ac:dyDescent="0.35">
      <c r="A875">
        <v>0</v>
      </c>
      <c r="B875">
        <v>0</v>
      </c>
      <c r="C875">
        <v>0</v>
      </c>
      <c r="D875">
        <v>0</v>
      </c>
      <c r="E875">
        <v>0</v>
      </c>
      <c r="F875">
        <v>0</v>
      </c>
      <c r="G875">
        <v>0</v>
      </c>
      <c r="H875">
        <v>0</v>
      </c>
      <c r="I875">
        <v>0</v>
      </c>
      <c r="J875">
        <v>0</v>
      </c>
      <c r="K875">
        <v>0</v>
      </c>
      <c r="L875">
        <v>0</v>
      </c>
      <c r="M875">
        <v>0</v>
      </c>
      <c r="N875">
        <v>0</v>
      </c>
      <c r="O875">
        <v>0</v>
      </c>
      <c r="P875">
        <v>0</v>
      </c>
      <c r="Q875">
        <v>0</v>
      </c>
      <c r="R875">
        <v>0</v>
      </c>
      <c r="S875">
        <v>0</v>
      </c>
      <c r="T875">
        <v>0</v>
      </c>
      <c r="U875">
        <v>0</v>
      </c>
      <c r="V875">
        <v>0</v>
      </c>
      <c r="W875">
        <v>0</v>
      </c>
      <c r="X875">
        <v>0</v>
      </c>
      <c r="Y875">
        <v>0</v>
      </c>
      <c r="Z875">
        <v>0</v>
      </c>
      <c r="AA875">
        <v>0</v>
      </c>
      <c r="AB875">
        <v>0</v>
      </c>
      <c r="AC875">
        <v>0</v>
      </c>
      <c r="AD875">
        <v>0</v>
      </c>
      <c r="AF875">
        <v>0</v>
      </c>
      <c r="AG875">
        <v>0</v>
      </c>
      <c r="AH875">
        <v>0</v>
      </c>
      <c r="AI875">
        <v>0</v>
      </c>
      <c r="AJ875">
        <v>0</v>
      </c>
      <c r="AK875">
        <v>0</v>
      </c>
      <c r="AL875">
        <v>0</v>
      </c>
      <c r="AM875">
        <v>0</v>
      </c>
      <c r="AN875">
        <v>0</v>
      </c>
      <c r="AO875">
        <v>0</v>
      </c>
      <c r="AP875">
        <v>0</v>
      </c>
      <c r="AQ875">
        <v>0</v>
      </c>
      <c r="AR875">
        <v>0</v>
      </c>
      <c r="AS875">
        <v>0</v>
      </c>
      <c r="AT875">
        <v>0</v>
      </c>
      <c r="AU875">
        <v>0</v>
      </c>
      <c r="AV875">
        <v>0</v>
      </c>
      <c r="AW875">
        <v>0</v>
      </c>
      <c r="AX875">
        <v>0</v>
      </c>
      <c r="AY875">
        <v>0</v>
      </c>
      <c r="AZ875">
        <v>0</v>
      </c>
      <c r="BA875">
        <v>0</v>
      </c>
      <c r="BB875">
        <v>0</v>
      </c>
      <c r="BC875">
        <v>0</v>
      </c>
      <c r="BD875">
        <v>0</v>
      </c>
      <c r="BE875">
        <v>0</v>
      </c>
      <c r="BF875">
        <v>0</v>
      </c>
      <c r="BG875">
        <v>0</v>
      </c>
      <c r="BH875">
        <v>0</v>
      </c>
      <c r="BI875">
        <v>0</v>
      </c>
      <c r="BK875" s="151"/>
    </row>
    <row r="876" spans="1:63" x14ac:dyDescent="0.35">
      <c r="A876">
        <v>0</v>
      </c>
      <c r="B876">
        <v>0</v>
      </c>
      <c r="C876">
        <v>0</v>
      </c>
      <c r="D876">
        <v>0</v>
      </c>
      <c r="E876">
        <v>0</v>
      </c>
      <c r="F876">
        <v>0</v>
      </c>
      <c r="G876">
        <v>0</v>
      </c>
      <c r="H876">
        <v>0</v>
      </c>
      <c r="I876">
        <v>0</v>
      </c>
      <c r="J876">
        <v>0</v>
      </c>
      <c r="K876">
        <v>0</v>
      </c>
      <c r="L876">
        <v>0</v>
      </c>
      <c r="M876">
        <v>0</v>
      </c>
      <c r="N876">
        <v>0</v>
      </c>
      <c r="O876">
        <v>0</v>
      </c>
      <c r="P876">
        <v>0</v>
      </c>
      <c r="Q876">
        <v>0</v>
      </c>
      <c r="R876">
        <v>0</v>
      </c>
      <c r="S876">
        <v>0</v>
      </c>
      <c r="T876">
        <v>0</v>
      </c>
      <c r="U876">
        <v>0</v>
      </c>
      <c r="V876">
        <v>0</v>
      </c>
      <c r="W876">
        <v>0</v>
      </c>
      <c r="X876">
        <v>0</v>
      </c>
      <c r="Y876">
        <v>0</v>
      </c>
      <c r="Z876">
        <v>0</v>
      </c>
      <c r="AA876">
        <v>0</v>
      </c>
      <c r="AB876">
        <v>0</v>
      </c>
      <c r="AC876">
        <v>0</v>
      </c>
      <c r="AD876">
        <v>0</v>
      </c>
      <c r="AF876">
        <v>0</v>
      </c>
      <c r="AG876">
        <v>0</v>
      </c>
      <c r="AH876">
        <v>0</v>
      </c>
      <c r="AI876">
        <v>0</v>
      </c>
      <c r="AJ876">
        <v>0</v>
      </c>
      <c r="AK876">
        <v>0</v>
      </c>
      <c r="AL876">
        <v>0</v>
      </c>
      <c r="AM876">
        <v>0</v>
      </c>
      <c r="AN876">
        <v>0</v>
      </c>
      <c r="AO876">
        <v>0</v>
      </c>
      <c r="AP876">
        <v>0</v>
      </c>
      <c r="AQ876">
        <v>0</v>
      </c>
      <c r="AR876">
        <v>0</v>
      </c>
      <c r="AS876">
        <v>0</v>
      </c>
      <c r="AT876">
        <v>0</v>
      </c>
      <c r="AU876">
        <v>0</v>
      </c>
      <c r="AV876">
        <v>0</v>
      </c>
      <c r="AW876">
        <v>0</v>
      </c>
      <c r="AX876">
        <v>0</v>
      </c>
      <c r="AY876">
        <v>0</v>
      </c>
      <c r="AZ876">
        <v>0</v>
      </c>
      <c r="BA876">
        <v>0</v>
      </c>
      <c r="BB876">
        <v>0</v>
      </c>
      <c r="BC876">
        <v>0</v>
      </c>
      <c r="BD876">
        <v>0</v>
      </c>
      <c r="BE876">
        <v>0</v>
      </c>
      <c r="BF876">
        <v>0</v>
      </c>
      <c r="BG876">
        <v>0</v>
      </c>
      <c r="BH876">
        <v>0</v>
      </c>
      <c r="BI876">
        <v>0</v>
      </c>
      <c r="BK876" s="151"/>
    </row>
    <row r="877" spans="1:63" x14ac:dyDescent="0.35">
      <c r="A877">
        <v>0</v>
      </c>
      <c r="B877">
        <v>0</v>
      </c>
      <c r="C877">
        <v>0</v>
      </c>
      <c r="D877">
        <v>0</v>
      </c>
      <c r="E877">
        <v>0</v>
      </c>
      <c r="F877">
        <v>0</v>
      </c>
      <c r="G877">
        <v>0</v>
      </c>
      <c r="H877">
        <v>0</v>
      </c>
      <c r="I877">
        <v>0</v>
      </c>
      <c r="J877">
        <v>0</v>
      </c>
      <c r="K877">
        <v>0</v>
      </c>
      <c r="L877">
        <v>0</v>
      </c>
      <c r="M877">
        <v>0</v>
      </c>
      <c r="N877">
        <v>0</v>
      </c>
      <c r="O877">
        <v>0</v>
      </c>
      <c r="P877">
        <v>0</v>
      </c>
      <c r="Q877">
        <v>0</v>
      </c>
      <c r="R877">
        <v>0</v>
      </c>
      <c r="S877">
        <v>0</v>
      </c>
      <c r="T877">
        <v>0</v>
      </c>
      <c r="U877">
        <v>0</v>
      </c>
      <c r="V877">
        <v>0</v>
      </c>
      <c r="W877">
        <v>0</v>
      </c>
      <c r="X877">
        <v>0</v>
      </c>
      <c r="Y877">
        <v>0</v>
      </c>
      <c r="Z877">
        <v>0</v>
      </c>
      <c r="AA877">
        <v>0</v>
      </c>
      <c r="AB877">
        <v>0</v>
      </c>
      <c r="AC877">
        <v>0</v>
      </c>
      <c r="AD877">
        <v>0</v>
      </c>
      <c r="AF877">
        <v>0</v>
      </c>
      <c r="AG877">
        <v>0</v>
      </c>
      <c r="AH877">
        <v>0</v>
      </c>
      <c r="AI877">
        <v>0</v>
      </c>
      <c r="AJ877">
        <v>0</v>
      </c>
      <c r="AK877">
        <v>0</v>
      </c>
      <c r="AL877">
        <v>0</v>
      </c>
      <c r="AM877">
        <v>0</v>
      </c>
      <c r="AN877">
        <v>0</v>
      </c>
      <c r="AO877">
        <v>0</v>
      </c>
      <c r="AP877">
        <v>0</v>
      </c>
      <c r="AQ877">
        <v>0</v>
      </c>
      <c r="AR877">
        <v>0</v>
      </c>
      <c r="AS877">
        <v>0</v>
      </c>
      <c r="AT877">
        <v>0</v>
      </c>
      <c r="AU877">
        <v>0</v>
      </c>
      <c r="AV877">
        <v>0</v>
      </c>
      <c r="AW877">
        <v>0</v>
      </c>
      <c r="AX877">
        <v>0</v>
      </c>
      <c r="AY877">
        <v>0</v>
      </c>
      <c r="AZ877">
        <v>0</v>
      </c>
      <c r="BA877">
        <v>0</v>
      </c>
      <c r="BB877">
        <v>0</v>
      </c>
      <c r="BC877">
        <v>0</v>
      </c>
      <c r="BD877">
        <v>0</v>
      </c>
      <c r="BE877">
        <v>0</v>
      </c>
      <c r="BF877">
        <v>0</v>
      </c>
      <c r="BG877">
        <v>0</v>
      </c>
      <c r="BH877">
        <v>0</v>
      </c>
      <c r="BI877">
        <v>0</v>
      </c>
      <c r="BK877" s="151"/>
    </row>
    <row r="878" spans="1:63" x14ac:dyDescent="0.35">
      <c r="A878">
        <v>0</v>
      </c>
      <c r="B878">
        <v>0</v>
      </c>
      <c r="C878">
        <v>0</v>
      </c>
      <c r="D878">
        <v>0</v>
      </c>
      <c r="E878">
        <v>0</v>
      </c>
      <c r="F878">
        <v>0</v>
      </c>
      <c r="G878">
        <v>0</v>
      </c>
      <c r="H878">
        <v>0</v>
      </c>
      <c r="I878">
        <v>0</v>
      </c>
      <c r="J878">
        <v>0</v>
      </c>
      <c r="K878">
        <v>0</v>
      </c>
      <c r="L878">
        <v>0</v>
      </c>
      <c r="M878">
        <v>0</v>
      </c>
      <c r="N878">
        <v>0</v>
      </c>
      <c r="O878">
        <v>0</v>
      </c>
      <c r="P878">
        <v>0</v>
      </c>
      <c r="Q878">
        <v>0</v>
      </c>
      <c r="R878">
        <v>0</v>
      </c>
      <c r="S878">
        <v>0</v>
      </c>
      <c r="T878">
        <v>0</v>
      </c>
      <c r="U878">
        <v>0</v>
      </c>
      <c r="V878">
        <v>0</v>
      </c>
      <c r="W878">
        <v>0</v>
      </c>
      <c r="X878">
        <v>0</v>
      </c>
      <c r="Y878">
        <v>0</v>
      </c>
      <c r="Z878">
        <v>0</v>
      </c>
      <c r="AA878">
        <v>0</v>
      </c>
      <c r="AB878">
        <v>0</v>
      </c>
      <c r="AC878">
        <v>0</v>
      </c>
      <c r="AD878">
        <v>0</v>
      </c>
      <c r="AF878">
        <v>0</v>
      </c>
      <c r="AG878">
        <v>0</v>
      </c>
      <c r="AH878">
        <v>0</v>
      </c>
      <c r="AI878">
        <v>0</v>
      </c>
      <c r="AJ878">
        <v>0</v>
      </c>
      <c r="AK878">
        <v>0</v>
      </c>
      <c r="AL878">
        <v>0</v>
      </c>
      <c r="AM878">
        <v>0</v>
      </c>
      <c r="AN878">
        <v>0</v>
      </c>
      <c r="AO878">
        <v>0</v>
      </c>
      <c r="AP878">
        <v>0</v>
      </c>
      <c r="AQ878">
        <v>0</v>
      </c>
      <c r="AR878">
        <v>0</v>
      </c>
      <c r="AS878">
        <v>0</v>
      </c>
      <c r="AT878">
        <v>0</v>
      </c>
      <c r="AU878">
        <v>0</v>
      </c>
      <c r="AV878">
        <v>0</v>
      </c>
      <c r="AW878">
        <v>0</v>
      </c>
      <c r="AX878">
        <v>0</v>
      </c>
      <c r="AY878">
        <v>0</v>
      </c>
      <c r="AZ878">
        <v>0</v>
      </c>
      <c r="BA878">
        <v>0</v>
      </c>
      <c r="BB878">
        <v>0</v>
      </c>
      <c r="BC878">
        <v>0</v>
      </c>
      <c r="BD878">
        <v>0</v>
      </c>
      <c r="BE878">
        <v>0</v>
      </c>
      <c r="BF878">
        <v>0</v>
      </c>
      <c r="BG878">
        <v>0</v>
      </c>
      <c r="BH878">
        <v>0</v>
      </c>
      <c r="BI878">
        <v>0</v>
      </c>
      <c r="BK878" s="151"/>
    </row>
    <row r="879" spans="1:63" x14ac:dyDescent="0.35">
      <c r="A879">
        <v>0</v>
      </c>
      <c r="B879">
        <v>0</v>
      </c>
      <c r="C879">
        <v>0</v>
      </c>
      <c r="D879">
        <v>0</v>
      </c>
      <c r="E879">
        <v>0</v>
      </c>
      <c r="F879">
        <v>0</v>
      </c>
      <c r="G879">
        <v>0</v>
      </c>
      <c r="H879">
        <v>0</v>
      </c>
      <c r="I879">
        <v>0</v>
      </c>
      <c r="J879">
        <v>0</v>
      </c>
      <c r="K879">
        <v>0</v>
      </c>
      <c r="L879">
        <v>0</v>
      </c>
      <c r="M879">
        <v>0</v>
      </c>
      <c r="N879">
        <v>0</v>
      </c>
      <c r="O879">
        <v>0</v>
      </c>
      <c r="P879">
        <v>0</v>
      </c>
      <c r="Q879">
        <v>0</v>
      </c>
      <c r="R879">
        <v>0</v>
      </c>
      <c r="S879">
        <v>0</v>
      </c>
      <c r="T879">
        <v>0</v>
      </c>
      <c r="U879">
        <v>0</v>
      </c>
      <c r="V879">
        <v>0</v>
      </c>
      <c r="W879">
        <v>0</v>
      </c>
      <c r="X879">
        <v>0</v>
      </c>
      <c r="Y879">
        <v>0</v>
      </c>
      <c r="Z879">
        <v>0</v>
      </c>
      <c r="AA879">
        <v>0</v>
      </c>
      <c r="AB879">
        <v>0</v>
      </c>
      <c r="AC879">
        <v>0</v>
      </c>
      <c r="AD879">
        <v>0</v>
      </c>
      <c r="AF879">
        <v>0</v>
      </c>
      <c r="AG879">
        <v>0</v>
      </c>
      <c r="AH879">
        <v>0</v>
      </c>
      <c r="AI879">
        <v>0</v>
      </c>
      <c r="AJ879">
        <v>0</v>
      </c>
      <c r="AK879">
        <v>0</v>
      </c>
      <c r="AL879">
        <v>0</v>
      </c>
      <c r="AM879">
        <v>0</v>
      </c>
      <c r="AN879">
        <v>0</v>
      </c>
      <c r="AO879">
        <v>0</v>
      </c>
      <c r="AP879">
        <v>0</v>
      </c>
      <c r="AQ879">
        <v>0</v>
      </c>
      <c r="AR879">
        <v>0</v>
      </c>
      <c r="AS879">
        <v>0</v>
      </c>
      <c r="AT879">
        <v>0</v>
      </c>
      <c r="AU879">
        <v>0</v>
      </c>
      <c r="AV879">
        <v>0</v>
      </c>
      <c r="AW879">
        <v>0</v>
      </c>
      <c r="AX879">
        <v>0</v>
      </c>
      <c r="AY879">
        <v>0</v>
      </c>
      <c r="AZ879">
        <v>0</v>
      </c>
      <c r="BA879">
        <v>0</v>
      </c>
      <c r="BB879">
        <v>0</v>
      </c>
      <c r="BC879">
        <v>0</v>
      </c>
      <c r="BD879">
        <v>0</v>
      </c>
      <c r="BE879">
        <v>0</v>
      </c>
      <c r="BF879">
        <v>0</v>
      </c>
      <c r="BG879">
        <v>0</v>
      </c>
      <c r="BH879">
        <v>0</v>
      </c>
      <c r="BI879">
        <v>0</v>
      </c>
      <c r="BK879" s="151"/>
    </row>
    <row r="880" spans="1:63" x14ac:dyDescent="0.35">
      <c r="A880">
        <v>0</v>
      </c>
      <c r="B880">
        <v>0</v>
      </c>
      <c r="C880">
        <v>0</v>
      </c>
      <c r="D880">
        <v>0</v>
      </c>
      <c r="E880">
        <v>0</v>
      </c>
      <c r="F880">
        <v>0</v>
      </c>
      <c r="G880">
        <v>0</v>
      </c>
      <c r="H880">
        <v>0</v>
      </c>
      <c r="I880">
        <v>0</v>
      </c>
      <c r="J880">
        <v>0</v>
      </c>
      <c r="K880">
        <v>0</v>
      </c>
      <c r="L880">
        <v>0</v>
      </c>
      <c r="M880">
        <v>0</v>
      </c>
      <c r="N880">
        <v>0</v>
      </c>
      <c r="O880">
        <v>0</v>
      </c>
      <c r="P880">
        <v>0</v>
      </c>
      <c r="Q880">
        <v>0</v>
      </c>
      <c r="R880">
        <v>0</v>
      </c>
      <c r="S880">
        <v>0</v>
      </c>
      <c r="T880">
        <v>0</v>
      </c>
      <c r="U880">
        <v>0</v>
      </c>
      <c r="V880">
        <v>0</v>
      </c>
      <c r="W880">
        <v>0</v>
      </c>
      <c r="X880">
        <v>0</v>
      </c>
      <c r="Y880">
        <v>0</v>
      </c>
      <c r="Z880">
        <v>0</v>
      </c>
      <c r="AA880">
        <v>0</v>
      </c>
      <c r="AB880">
        <v>0</v>
      </c>
      <c r="AC880">
        <v>0</v>
      </c>
      <c r="AD880">
        <v>0</v>
      </c>
      <c r="AF880">
        <v>0</v>
      </c>
      <c r="AG880">
        <v>0</v>
      </c>
      <c r="AH880">
        <v>0</v>
      </c>
      <c r="AI880">
        <v>0</v>
      </c>
      <c r="AJ880">
        <v>0</v>
      </c>
      <c r="AK880">
        <v>0</v>
      </c>
      <c r="AL880">
        <v>0</v>
      </c>
      <c r="AM880">
        <v>0</v>
      </c>
      <c r="AN880">
        <v>0</v>
      </c>
      <c r="AO880">
        <v>0</v>
      </c>
      <c r="AP880">
        <v>0</v>
      </c>
      <c r="AQ880">
        <v>0</v>
      </c>
      <c r="AR880">
        <v>0</v>
      </c>
      <c r="AS880">
        <v>0</v>
      </c>
      <c r="AT880">
        <v>0</v>
      </c>
      <c r="AU880">
        <v>0</v>
      </c>
      <c r="AV880">
        <v>0</v>
      </c>
      <c r="AW880">
        <v>0</v>
      </c>
      <c r="AX880">
        <v>0</v>
      </c>
      <c r="AY880">
        <v>0</v>
      </c>
      <c r="AZ880">
        <v>0</v>
      </c>
      <c r="BA880">
        <v>0</v>
      </c>
      <c r="BB880">
        <v>0</v>
      </c>
      <c r="BC880">
        <v>0</v>
      </c>
      <c r="BD880">
        <v>0</v>
      </c>
      <c r="BE880">
        <v>0</v>
      </c>
      <c r="BF880">
        <v>0</v>
      </c>
      <c r="BG880">
        <v>0</v>
      </c>
      <c r="BH880">
        <v>0</v>
      </c>
      <c r="BI880">
        <v>0</v>
      </c>
      <c r="BK880" s="151"/>
    </row>
    <row r="881" spans="1:63" x14ac:dyDescent="0.35">
      <c r="A881">
        <v>0</v>
      </c>
      <c r="B881">
        <v>0</v>
      </c>
      <c r="C881">
        <v>0</v>
      </c>
      <c r="D881">
        <v>0</v>
      </c>
      <c r="E881">
        <v>0</v>
      </c>
      <c r="F881">
        <v>0</v>
      </c>
      <c r="G881">
        <v>0</v>
      </c>
      <c r="H881">
        <v>0</v>
      </c>
      <c r="I881">
        <v>0</v>
      </c>
      <c r="J881">
        <v>0</v>
      </c>
      <c r="K881">
        <v>0</v>
      </c>
      <c r="L881">
        <v>0</v>
      </c>
      <c r="M881">
        <v>0</v>
      </c>
      <c r="N881">
        <v>0</v>
      </c>
      <c r="O881">
        <v>0</v>
      </c>
      <c r="P881">
        <v>0</v>
      </c>
      <c r="Q881">
        <v>0</v>
      </c>
      <c r="R881">
        <v>0</v>
      </c>
      <c r="S881">
        <v>0</v>
      </c>
      <c r="T881">
        <v>0</v>
      </c>
      <c r="U881">
        <v>0</v>
      </c>
      <c r="V881">
        <v>0</v>
      </c>
      <c r="W881">
        <v>0</v>
      </c>
      <c r="X881">
        <v>0</v>
      </c>
      <c r="Y881">
        <v>0</v>
      </c>
      <c r="Z881">
        <v>0</v>
      </c>
      <c r="AA881">
        <v>0</v>
      </c>
      <c r="AB881">
        <v>0</v>
      </c>
      <c r="AC881">
        <v>0</v>
      </c>
      <c r="AD881">
        <v>0</v>
      </c>
      <c r="AF881">
        <v>0</v>
      </c>
      <c r="AG881">
        <v>0</v>
      </c>
      <c r="AH881">
        <v>0</v>
      </c>
      <c r="AI881">
        <v>0</v>
      </c>
      <c r="AJ881">
        <v>0</v>
      </c>
      <c r="AK881">
        <v>0</v>
      </c>
      <c r="AL881">
        <v>0</v>
      </c>
      <c r="AM881">
        <v>0</v>
      </c>
      <c r="AN881">
        <v>0</v>
      </c>
      <c r="AO881">
        <v>0</v>
      </c>
      <c r="AP881">
        <v>0</v>
      </c>
      <c r="AQ881">
        <v>0</v>
      </c>
      <c r="AR881">
        <v>0</v>
      </c>
      <c r="AS881">
        <v>0</v>
      </c>
      <c r="AT881">
        <v>0</v>
      </c>
      <c r="AU881">
        <v>0</v>
      </c>
      <c r="AV881">
        <v>0</v>
      </c>
      <c r="AW881">
        <v>0</v>
      </c>
      <c r="AX881">
        <v>0</v>
      </c>
      <c r="AY881">
        <v>0</v>
      </c>
      <c r="AZ881">
        <v>0</v>
      </c>
      <c r="BA881">
        <v>0</v>
      </c>
      <c r="BB881">
        <v>0</v>
      </c>
      <c r="BC881">
        <v>0</v>
      </c>
      <c r="BD881">
        <v>0</v>
      </c>
      <c r="BE881">
        <v>0</v>
      </c>
      <c r="BF881">
        <v>0</v>
      </c>
      <c r="BG881">
        <v>0</v>
      </c>
      <c r="BH881">
        <v>0</v>
      </c>
      <c r="BI881">
        <v>0</v>
      </c>
      <c r="BK881" s="151"/>
    </row>
    <row r="882" spans="1:63" x14ac:dyDescent="0.35">
      <c r="A882">
        <v>0</v>
      </c>
      <c r="B882">
        <v>0</v>
      </c>
      <c r="C882">
        <v>0</v>
      </c>
      <c r="D882">
        <v>0</v>
      </c>
      <c r="E882">
        <v>0</v>
      </c>
      <c r="F882">
        <v>0</v>
      </c>
      <c r="G882">
        <v>0</v>
      </c>
      <c r="H882">
        <v>0</v>
      </c>
      <c r="I882">
        <v>0</v>
      </c>
      <c r="J882">
        <v>0</v>
      </c>
      <c r="K882">
        <v>0</v>
      </c>
      <c r="L882">
        <v>0</v>
      </c>
      <c r="M882">
        <v>0</v>
      </c>
      <c r="N882">
        <v>0</v>
      </c>
      <c r="O882">
        <v>0</v>
      </c>
      <c r="P882">
        <v>0</v>
      </c>
      <c r="Q882">
        <v>0</v>
      </c>
      <c r="R882">
        <v>0</v>
      </c>
      <c r="S882">
        <v>0</v>
      </c>
      <c r="T882">
        <v>0</v>
      </c>
      <c r="U882">
        <v>0</v>
      </c>
      <c r="V882">
        <v>0</v>
      </c>
      <c r="W882">
        <v>0</v>
      </c>
      <c r="X882">
        <v>0</v>
      </c>
      <c r="Y882">
        <v>0</v>
      </c>
      <c r="Z882">
        <v>0</v>
      </c>
      <c r="AA882">
        <v>0</v>
      </c>
      <c r="AB882">
        <v>0</v>
      </c>
      <c r="AC882">
        <v>0</v>
      </c>
      <c r="AD882">
        <v>0</v>
      </c>
      <c r="AF882">
        <v>0</v>
      </c>
      <c r="AG882">
        <v>0</v>
      </c>
      <c r="AH882">
        <v>0</v>
      </c>
      <c r="AI882">
        <v>0</v>
      </c>
      <c r="AJ882">
        <v>0</v>
      </c>
      <c r="AK882">
        <v>0</v>
      </c>
      <c r="AL882">
        <v>0</v>
      </c>
      <c r="AM882">
        <v>0</v>
      </c>
      <c r="AN882">
        <v>0</v>
      </c>
      <c r="AO882">
        <v>0</v>
      </c>
      <c r="AP882">
        <v>0</v>
      </c>
      <c r="AQ882">
        <v>0</v>
      </c>
      <c r="AR882">
        <v>0</v>
      </c>
      <c r="AS882">
        <v>0</v>
      </c>
      <c r="AT882">
        <v>0</v>
      </c>
      <c r="AU882">
        <v>0</v>
      </c>
      <c r="AV882">
        <v>0</v>
      </c>
      <c r="AW882">
        <v>0</v>
      </c>
      <c r="AX882">
        <v>0</v>
      </c>
      <c r="AY882">
        <v>0</v>
      </c>
      <c r="AZ882">
        <v>0</v>
      </c>
      <c r="BA882">
        <v>0</v>
      </c>
      <c r="BB882">
        <v>0</v>
      </c>
      <c r="BC882">
        <v>0</v>
      </c>
      <c r="BD882">
        <v>0</v>
      </c>
      <c r="BE882">
        <v>0</v>
      </c>
      <c r="BF882">
        <v>0</v>
      </c>
      <c r="BG882">
        <v>0</v>
      </c>
      <c r="BH882">
        <v>0</v>
      </c>
      <c r="BI882">
        <v>0</v>
      </c>
      <c r="BK882" s="151"/>
    </row>
    <row r="883" spans="1:63" x14ac:dyDescent="0.35">
      <c r="A883">
        <v>0</v>
      </c>
      <c r="B883">
        <v>0</v>
      </c>
      <c r="C883">
        <v>0</v>
      </c>
      <c r="D883">
        <v>0</v>
      </c>
      <c r="E883">
        <v>0</v>
      </c>
      <c r="F883">
        <v>0</v>
      </c>
      <c r="G883">
        <v>0</v>
      </c>
      <c r="H883">
        <v>0</v>
      </c>
      <c r="I883">
        <v>0</v>
      </c>
      <c r="J883">
        <v>0</v>
      </c>
      <c r="K883">
        <v>0</v>
      </c>
      <c r="L883">
        <v>0</v>
      </c>
      <c r="M883">
        <v>0</v>
      </c>
      <c r="N883">
        <v>0</v>
      </c>
      <c r="O883">
        <v>0</v>
      </c>
      <c r="P883">
        <v>0</v>
      </c>
      <c r="Q883">
        <v>0</v>
      </c>
      <c r="R883">
        <v>0</v>
      </c>
      <c r="S883">
        <v>0</v>
      </c>
      <c r="T883">
        <v>0</v>
      </c>
      <c r="U883">
        <v>0</v>
      </c>
      <c r="V883">
        <v>0</v>
      </c>
      <c r="W883">
        <v>0</v>
      </c>
      <c r="X883">
        <v>0</v>
      </c>
      <c r="Y883">
        <v>0</v>
      </c>
      <c r="Z883">
        <v>0</v>
      </c>
      <c r="AA883">
        <v>0</v>
      </c>
      <c r="AB883">
        <v>0</v>
      </c>
      <c r="AC883">
        <v>0</v>
      </c>
      <c r="AD883">
        <v>0</v>
      </c>
      <c r="AF883">
        <v>0</v>
      </c>
      <c r="AG883">
        <v>0</v>
      </c>
      <c r="AH883">
        <v>0</v>
      </c>
      <c r="AI883">
        <v>0</v>
      </c>
      <c r="AJ883">
        <v>0</v>
      </c>
      <c r="AK883">
        <v>0</v>
      </c>
      <c r="AL883">
        <v>0</v>
      </c>
      <c r="AM883">
        <v>0</v>
      </c>
      <c r="AN883">
        <v>0</v>
      </c>
      <c r="AO883">
        <v>0</v>
      </c>
      <c r="AP883">
        <v>0</v>
      </c>
      <c r="AQ883">
        <v>0</v>
      </c>
      <c r="AR883">
        <v>0</v>
      </c>
      <c r="AS883">
        <v>0</v>
      </c>
      <c r="AT883">
        <v>0</v>
      </c>
      <c r="AU883">
        <v>0</v>
      </c>
      <c r="AV883">
        <v>0</v>
      </c>
      <c r="AW883">
        <v>0</v>
      </c>
      <c r="AX883">
        <v>0</v>
      </c>
      <c r="AY883">
        <v>0</v>
      </c>
      <c r="AZ883">
        <v>0</v>
      </c>
      <c r="BA883">
        <v>0</v>
      </c>
      <c r="BB883">
        <v>0</v>
      </c>
      <c r="BC883">
        <v>0</v>
      </c>
      <c r="BD883">
        <v>0</v>
      </c>
      <c r="BE883">
        <v>0</v>
      </c>
      <c r="BF883">
        <v>0</v>
      </c>
      <c r="BG883">
        <v>0</v>
      </c>
      <c r="BH883">
        <v>0</v>
      </c>
      <c r="BI883">
        <v>0</v>
      </c>
      <c r="BK883" s="151"/>
    </row>
    <row r="884" spans="1:63" x14ac:dyDescent="0.35">
      <c r="A884">
        <v>0</v>
      </c>
      <c r="B884">
        <v>0</v>
      </c>
      <c r="C884">
        <v>0</v>
      </c>
      <c r="D884">
        <v>0</v>
      </c>
      <c r="E884">
        <v>0</v>
      </c>
      <c r="F884">
        <v>0</v>
      </c>
      <c r="G884">
        <v>0</v>
      </c>
      <c r="H884">
        <v>0</v>
      </c>
      <c r="I884">
        <v>0</v>
      </c>
      <c r="J884">
        <v>0</v>
      </c>
      <c r="K884">
        <v>0</v>
      </c>
      <c r="L884">
        <v>0</v>
      </c>
      <c r="M884">
        <v>0</v>
      </c>
      <c r="N884">
        <v>0</v>
      </c>
      <c r="O884">
        <v>0</v>
      </c>
      <c r="P884">
        <v>0</v>
      </c>
      <c r="Q884">
        <v>0</v>
      </c>
      <c r="R884">
        <v>0</v>
      </c>
      <c r="S884">
        <v>0</v>
      </c>
      <c r="T884">
        <v>0</v>
      </c>
      <c r="U884">
        <v>0</v>
      </c>
      <c r="V884">
        <v>0</v>
      </c>
      <c r="W884">
        <v>0</v>
      </c>
      <c r="X884">
        <v>0</v>
      </c>
      <c r="Y884">
        <v>0</v>
      </c>
      <c r="Z884">
        <v>0</v>
      </c>
      <c r="AA884">
        <v>0</v>
      </c>
      <c r="AB884">
        <v>0</v>
      </c>
      <c r="AC884">
        <v>0</v>
      </c>
      <c r="AD884">
        <v>0</v>
      </c>
      <c r="AF884">
        <v>0</v>
      </c>
      <c r="AG884">
        <v>0</v>
      </c>
      <c r="AH884">
        <v>0</v>
      </c>
      <c r="AI884">
        <v>0</v>
      </c>
      <c r="AJ884">
        <v>0</v>
      </c>
      <c r="AK884">
        <v>0</v>
      </c>
      <c r="AL884">
        <v>0</v>
      </c>
      <c r="AM884">
        <v>0</v>
      </c>
      <c r="AN884">
        <v>0</v>
      </c>
      <c r="AO884">
        <v>0</v>
      </c>
      <c r="AP884">
        <v>0</v>
      </c>
      <c r="AQ884">
        <v>0</v>
      </c>
      <c r="AR884">
        <v>0</v>
      </c>
      <c r="AS884">
        <v>0</v>
      </c>
      <c r="AT884">
        <v>0</v>
      </c>
      <c r="AU884">
        <v>0</v>
      </c>
      <c r="AV884">
        <v>0</v>
      </c>
      <c r="AW884">
        <v>0</v>
      </c>
      <c r="AX884">
        <v>0</v>
      </c>
      <c r="AY884">
        <v>0</v>
      </c>
      <c r="AZ884">
        <v>0</v>
      </c>
      <c r="BA884">
        <v>0</v>
      </c>
      <c r="BB884">
        <v>0</v>
      </c>
      <c r="BC884">
        <v>0</v>
      </c>
      <c r="BD884">
        <v>0</v>
      </c>
      <c r="BE884">
        <v>0</v>
      </c>
      <c r="BF884">
        <v>0</v>
      </c>
      <c r="BG884">
        <v>0</v>
      </c>
      <c r="BH884">
        <v>0</v>
      </c>
      <c r="BI884">
        <v>0</v>
      </c>
      <c r="BK884" s="151"/>
    </row>
    <row r="885" spans="1:63" x14ac:dyDescent="0.35">
      <c r="A885">
        <v>0</v>
      </c>
      <c r="B885">
        <v>0</v>
      </c>
      <c r="C885">
        <v>0</v>
      </c>
      <c r="D885">
        <v>0</v>
      </c>
      <c r="E885">
        <v>0</v>
      </c>
      <c r="F885">
        <v>0</v>
      </c>
      <c r="G885">
        <v>0</v>
      </c>
      <c r="H885">
        <v>0</v>
      </c>
      <c r="I885">
        <v>0</v>
      </c>
      <c r="J885">
        <v>0</v>
      </c>
      <c r="K885">
        <v>0</v>
      </c>
      <c r="L885">
        <v>0</v>
      </c>
      <c r="M885">
        <v>0</v>
      </c>
      <c r="N885">
        <v>0</v>
      </c>
      <c r="O885">
        <v>0</v>
      </c>
      <c r="P885">
        <v>0</v>
      </c>
      <c r="Q885">
        <v>0</v>
      </c>
      <c r="R885">
        <v>0</v>
      </c>
      <c r="S885">
        <v>0</v>
      </c>
      <c r="T885">
        <v>0</v>
      </c>
      <c r="U885">
        <v>0</v>
      </c>
      <c r="V885">
        <v>0</v>
      </c>
      <c r="W885">
        <v>0</v>
      </c>
      <c r="X885">
        <v>0</v>
      </c>
      <c r="Y885">
        <v>0</v>
      </c>
      <c r="Z885">
        <v>0</v>
      </c>
      <c r="AA885">
        <v>0</v>
      </c>
      <c r="AB885">
        <v>0</v>
      </c>
      <c r="AC885">
        <v>0</v>
      </c>
      <c r="AD885">
        <v>0</v>
      </c>
      <c r="AF885">
        <v>0</v>
      </c>
      <c r="AG885">
        <v>0</v>
      </c>
      <c r="AH885">
        <v>0</v>
      </c>
      <c r="AI885">
        <v>0</v>
      </c>
      <c r="AJ885">
        <v>0</v>
      </c>
      <c r="AK885">
        <v>0</v>
      </c>
      <c r="AL885">
        <v>0</v>
      </c>
      <c r="AM885">
        <v>0</v>
      </c>
      <c r="AN885">
        <v>0</v>
      </c>
      <c r="AO885">
        <v>0</v>
      </c>
      <c r="AP885">
        <v>0</v>
      </c>
      <c r="AQ885">
        <v>0</v>
      </c>
      <c r="AR885">
        <v>0</v>
      </c>
      <c r="AS885">
        <v>0</v>
      </c>
      <c r="AT885">
        <v>0</v>
      </c>
      <c r="AU885">
        <v>0</v>
      </c>
      <c r="AV885">
        <v>0</v>
      </c>
      <c r="AW885">
        <v>0</v>
      </c>
      <c r="AX885">
        <v>0</v>
      </c>
      <c r="AY885">
        <v>0</v>
      </c>
      <c r="AZ885">
        <v>0</v>
      </c>
      <c r="BA885">
        <v>0</v>
      </c>
      <c r="BB885">
        <v>0</v>
      </c>
      <c r="BC885">
        <v>0</v>
      </c>
      <c r="BD885">
        <v>0</v>
      </c>
      <c r="BE885">
        <v>0</v>
      </c>
      <c r="BF885">
        <v>0</v>
      </c>
      <c r="BG885">
        <v>0</v>
      </c>
      <c r="BH885">
        <v>0</v>
      </c>
      <c r="BI885">
        <v>0</v>
      </c>
      <c r="BK885" s="151"/>
    </row>
    <row r="886" spans="1:63" x14ac:dyDescent="0.35">
      <c r="A886">
        <v>0</v>
      </c>
      <c r="B886">
        <v>0</v>
      </c>
      <c r="C886">
        <v>0</v>
      </c>
      <c r="D886">
        <v>0</v>
      </c>
      <c r="E886">
        <v>0</v>
      </c>
      <c r="F886">
        <v>0</v>
      </c>
      <c r="G886">
        <v>0</v>
      </c>
      <c r="H886">
        <v>0</v>
      </c>
      <c r="I886">
        <v>0</v>
      </c>
      <c r="J886">
        <v>0</v>
      </c>
      <c r="K886">
        <v>0</v>
      </c>
      <c r="L886">
        <v>0</v>
      </c>
      <c r="M886">
        <v>0</v>
      </c>
      <c r="N886">
        <v>0</v>
      </c>
      <c r="O886">
        <v>0</v>
      </c>
      <c r="P886">
        <v>0</v>
      </c>
      <c r="Q886">
        <v>0</v>
      </c>
      <c r="R886">
        <v>0</v>
      </c>
      <c r="S886">
        <v>0</v>
      </c>
      <c r="T886">
        <v>0</v>
      </c>
      <c r="U886">
        <v>0</v>
      </c>
      <c r="V886">
        <v>0</v>
      </c>
      <c r="W886">
        <v>0</v>
      </c>
      <c r="X886">
        <v>0</v>
      </c>
      <c r="Y886">
        <v>0</v>
      </c>
      <c r="Z886">
        <v>0</v>
      </c>
      <c r="AA886">
        <v>0</v>
      </c>
      <c r="AB886">
        <v>0</v>
      </c>
      <c r="AC886">
        <v>0</v>
      </c>
      <c r="AD886">
        <v>0</v>
      </c>
      <c r="AF886">
        <v>0</v>
      </c>
      <c r="AG886">
        <v>0</v>
      </c>
      <c r="AH886">
        <v>0</v>
      </c>
      <c r="AI886">
        <v>0</v>
      </c>
      <c r="AJ886">
        <v>0</v>
      </c>
      <c r="AK886">
        <v>0</v>
      </c>
      <c r="AL886">
        <v>0</v>
      </c>
      <c r="AM886">
        <v>0</v>
      </c>
      <c r="AN886">
        <v>0</v>
      </c>
      <c r="AO886">
        <v>0</v>
      </c>
      <c r="AP886">
        <v>0</v>
      </c>
      <c r="AQ886">
        <v>0</v>
      </c>
      <c r="AR886">
        <v>0</v>
      </c>
      <c r="AS886">
        <v>0</v>
      </c>
      <c r="AT886">
        <v>0</v>
      </c>
      <c r="AU886">
        <v>0</v>
      </c>
      <c r="AV886">
        <v>0</v>
      </c>
      <c r="AW886">
        <v>0</v>
      </c>
      <c r="AX886">
        <v>0</v>
      </c>
      <c r="AY886">
        <v>0</v>
      </c>
      <c r="AZ886">
        <v>0</v>
      </c>
      <c r="BA886">
        <v>0</v>
      </c>
      <c r="BB886">
        <v>0</v>
      </c>
      <c r="BC886">
        <v>0</v>
      </c>
      <c r="BD886">
        <v>0</v>
      </c>
      <c r="BE886">
        <v>0</v>
      </c>
      <c r="BF886">
        <v>0</v>
      </c>
      <c r="BG886">
        <v>0</v>
      </c>
      <c r="BH886">
        <v>0</v>
      </c>
      <c r="BI886">
        <v>0</v>
      </c>
      <c r="BK886" s="151"/>
    </row>
    <row r="887" spans="1:63" x14ac:dyDescent="0.35">
      <c r="A887">
        <v>0</v>
      </c>
      <c r="B887">
        <v>0</v>
      </c>
      <c r="C887">
        <v>0</v>
      </c>
      <c r="D887">
        <v>0</v>
      </c>
      <c r="E887">
        <v>0</v>
      </c>
      <c r="F887">
        <v>0</v>
      </c>
      <c r="G887">
        <v>0</v>
      </c>
      <c r="H887">
        <v>0</v>
      </c>
      <c r="I887">
        <v>0</v>
      </c>
      <c r="J887">
        <v>0</v>
      </c>
      <c r="K887">
        <v>0</v>
      </c>
      <c r="L887">
        <v>0</v>
      </c>
      <c r="M887">
        <v>0</v>
      </c>
      <c r="N887">
        <v>0</v>
      </c>
      <c r="O887">
        <v>0</v>
      </c>
      <c r="P887">
        <v>0</v>
      </c>
      <c r="Q887">
        <v>0</v>
      </c>
      <c r="R887">
        <v>0</v>
      </c>
      <c r="S887">
        <v>0</v>
      </c>
      <c r="T887">
        <v>0</v>
      </c>
      <c r="U887">
        <v>0</v>
      </c>
      <c r="V887">
        <v>0</v>
      </c>
      <c r="W887">
        <v>0</v>
      </c>
      <c r="X887">
        <v>0</v>
      </c>
      <c r="Y887">
        <v>0</v>
      </c>
      <c r="Z887">
        <v>0</v>
      </c>
      <c r="AA887">
        <v>0</v>
      </c>
      <c r="AB887">
        <v>0</v>
      </c>
      <c r="AC887">
        <v>0</v>
      </c>
      <c r="AD887">
        <v>0</v>
      </c>
      <c r="AF887">
        <v>0</v>
      </c>
      <c r="AG887">
        <v>0</v>
      </c>
      <c r="AH887">
        <v>0</v>
      </c>
      <c r="AI887">
        <v>0</v>
      </c>
      <c r="AJ887">
        <v>0</v>
      </c>
      <c r="AK887">
        <v>0</v>
      </c>
      <c r="AL887">
        <v>0</v>
      </c>
      <c r="AM887">
        <v>0</v>
      </c>
      <c r="AN887">
        <v>0</v>
      </c>
      <c r="AO887">
        <v>0</v>
      </c>
      <c r="AP887">
        <v>0</v>
      </c>
      <c r="AQ887">
        <v>0</v>
      </c>
      <c r="AR887">
        <v>0</v>
      </c>
      <c r="AS887">
        <v>0</v>
      </c>
      <c r="AT887">
        <v>0</v>
      </c>
      <c r="AU887">
        <v>0</v>
      </c>
      <c r="AV887">
        <v>0</v>
      </c>
      <c r="AW887">
        <v>0</v>
      </c>
      <c r="AX887">
        <v>0</v>
      </c>
      <c r="AY887">
        <v>0</v>
      </c>
      <c r="AZ887">
        <v>0</v>
      </c>
      <c r="BA887">
        <v>0</v>
      </c>
      <c r="BB887">
        <v>0</v>
      </c>
      <c r="BC887">
        <v>0</v>
      </c>
      <c r="BD887">
        <v>0</v>
      </c>
      <c r="BE887">
        <v>0</v>
      </c>
      <c r="BF887">
        <v>0</v>
      </c>
      <c r="BG887">
        <v>0</v>
      </c>
      <c r="BH887">
        <v>0</v>
      </c>
      <c r="BI887">
        <v>0</v>
      </c>
      <c r="BK887" s="151"/>
    </row>
    <row r="888" spans="1:63" x14ac:dyDescent="0.35">
      <c r="A888">
        <v>0</v>
      </c>
      <c r="B888">
        <v>0</v>
      </c>
      <c r="C888">
        <v>0</v>
      </c>
      <c r="D888">
        <v>0</v>
      </c>
      <c r="E888">
        <v>0</v>
      </c>
      <c r="F888">
        <v>0</v>
      </c>
      <c r="G888">
        <v>0</v>
      </c>
      <c r="H888">
        <v>0</v>
      </c>
      <c r="I888">
        <v>0</v>
      </c>
      <c r="J888">
        <v>0</v>
      </c>
      <c r="K888">
        <v>0</v>
      </c>
      <c r="L888">
        <v>0</v>
      </c>
      <c r="M888">
        <v>0</v>
      </c>
      <c r="N888">
        <v>0</v>
      </c>
      <c r="O888">
        <v>0</v>
      </c>
      <c r="P888">
        <v>0</v>
      </c>
      <c r="Q888">
        <v>0</v>
      </c>
      <c r="R888">
        <v>0</v>
      </c>
      <c r="S888">
        <v>0</v>
      </c>
      <c r="T888">
        <v>0</v>
      </c>
      <c r="U888">
        <v>0</v>
      </c>
      <c r="V888">
        <v>0</v>
      </c>
      <c r="W888">
        <v>0</v>
      </c>
      <c r="X888">
        <v>0</v>
      </c>
      <c r="Y888">
        <v>0</v>
      </c>
      <c r="Z888">
        <v>0</v>
      </c>
      <c r="AA888">
        <v>0</v>
      </c>
      <c r="AB888">
        <v>0</v>
      </c>
      <c r="AC888">
        <v>0</v>
      </c>
      <c r="AD888">
        <v>0</v>
      </c>
      <c r="AF888">
        <v>0</v>
      </c>
      <c r="AG888">
        <v>0</v>
      </c>
      <c r="AH888">
        <v>0</v>
      </c>
      <c r="AI888">
        <v>0</v>
      </c>
      <c r="AJ888">
        <v>0</v>
      </c>
      <c r="AK888">
        <v>0</v>
      </c>
      <c r="AL888">
        <v>0</v>
      </c>
      <c r="AM888">
        <v>0</v>
      </c>
      <c r="AN888">
        <v>0</v>
      </c>
      <c r="AO888">
        <v>0</v>
      </c>
      <c r="AP888">
        <v>0</v>
      </c>
      <c r="AQ888">
        <v>0</v>
      </c>
      <c r="AR888">
        <v>0</v>
      </c>
      <c r="AS888">
        <v>0</v>
      </c>
      <c r="AT888">
        <v>0</v>
      </c>
      <c r="AU888">
        <v>0</v>
      </c>
      <c r="AV888">
        <v>0</v>
      </c>
      <c r="AW888">
        <v>0</v>
      </c>
      <c r="AX888">
        <v>0</v>
      </c>
      <c r="AY888">
        <v>0</v>
      </c>
      <c r="AZ888">
        <v>0</v>
      </c>
      <c r="BA888">
        <v>0</v>
      </c>
      <c r="BB888">
        <v>0</v>
      </c>
      <c r="BC888">
        <v>0</v>
      </c>
      <c r="BD888">
        <v>0</v>
      </c>
      <c r="BE888">
        <v>0</v>
      </c>
      <c r="BF888">
        <v>0</v>
      </c>
      <c r="BG888">
        <v>0</v>
      </c>
      <c r="BH888">
        <v>0</v>
      </c>
      <c r="BI888">
        <v>0</v>
      </c>
      <c r="BK888" s="151"/>
    </row>
    <row r="889" spans="1:63" x14ac:dyDescent="0.35">
      <c r="A889">
        <v>0</v>
      </c>
      <c r="B889">
        <v>0</v>
      </c>
      <c r="C889">
        <v>0</v>
      </c>
      <c r="D889">
        <v>0</v>
      </c>
      <c r="E889">
        <v>0</v>
      </c>
      <c r="F889">
        <v>0</v>
      </c>
      <c r="G889">
        <v>0</v>
      </c>
      <c r="H889">
        <v>0</v>
      </c>
      <c r="I889">
        <v>0</v>
      </c>
      <c r="J889">
        <v>0</v>
      </c>
      <c r="K889">
        <v>0</v>
      </c>
      <c r="L889">
        <v>0</v>
      </c>
      <c r="M889">
        <v>0</v>
      </c>
      <c r="N889">
        <v>0</v>
      </c>
      <c r="O889">
        <v>0</v>
      </c>
      <c r="P889">
        <v>0</v>
      </c>
      <c r="Q889">
        <v>0</v>
      </c>
      <c r="R889">
        <v>0</v>
      </c>
      <c r="S889">
        <v>0</v>
      </c>
      <c r="T889">
        <v>0</v>
      </c>
      <c r="U889">
        <v>0</v>
      </c>
      <c r="V889">
        <v>0</v>
      </c>
      <c r="W889">
        <v>0</v>
      </c>
      <c r="X889">
        <v>0</v>
      </c>
      <c r="Y889">
        <v>0</v>
      </c>
      <c r="Z889">
        <v>0</v>
      </c>
      <c r="AA889">
        <v>0</v>
      </c>
      <c r="AB889">
        <v>0</v>
      </c>
      <c r="AC889">
        <v>0</v>
      </c>
      <c r="AD889">
        <v>0</v>
      </c>
      <c r="AF889">
        <v>0</v>
      </c>
      <c r="AG889">
        <v>0</v>
      </c>
      <c r="AH889">
        <v>0</v>
      </c>
      <c r="AI889">
        <v>0</v>
      </c>
      <c r="AJ889">
        <v>0</v>
      </c>
      <c r="AK889">
        <v>0</v>
      </c>
      <c r="AL889">
        <v>0</v>
      </c>
      <c r="AM889">
        <v>0</v>
      </c>
      <c r="AN889">
        <v>0</v>
      </c>
      <c r="AO889">
        <v>0</v>
      </c>
      <c r="AP889">
        <v>0</v>
      </c>
      <c r="AQ889">
        <v>0</v>
      </c>
      <c r="AR889">
        <v>0</v>
      </c>
      <c r="AS889">
        <v>0</v>
      </c>
      <c r="AT889">
        <v>0</v>
      </c>
      <c r="AU889">
        <v>0</v>
      </c>
      <c r="AV889">
        <v>0</v>
      </c>
      <c r="AW889">
        <v>0</v>
      </c>
      <c r="AX889">
        <v>0</v>
      </c>
      <c r="AY889">
        <v>0</v>
      </c>
      <c r="AZ889">
        <v>0</v>
      </c>
      <c r="BA889">
        <v>0</v>
      </c>
      <c r="BB889">
        <v>0</v>
      </c>
      <c r="BC889">
        <v>0</v>
      </c>
      <c r="BD889">
        <v>0</v>
      </c>
      <c r="BE889">
        <v>0</v>
      </c>
      <c r="BF889">
        <v>0</v>
      </c>
      <c r="BG889">
        <v>0</v>
      </c>
      <c r="BH889">
        <v>0</v>
      </c>
      <c r="BI889">
        <v>0</v>
      </c>
      <c r="BK889" s="151"/>
    </row>
    <row r="890" spans="1:63" x14ac:dyDescent="0.35">
      <c r="A890">
        <v>0</v>
      </c>
      <c r="B890">
        <v>0</v>
      </c>
      <c r="C890">
        <v>0</v>
      </c>
      <c r="D890">
        <v>0</v>
      </c>
      <c r="E890">
        <v>0</v>
      </c>
      <c r="F890">
        <v>0</v>
      </c>
      <c r="G890">
        <v>0</v>
      </c>
      <c r="H890">
        <v>0</v>
      </c>
      <c r="I890">
        <v>0</v>
      </c>
      <c r="J890">
        <v>0</v>
      </c>
      <c r="K890">
        <v>0</v>
      </c>
      <c r="L890">
        <v>0</v>
      </c>
      <c r="M890">
        <v>0</v>
      </c>
      <c r="N890">
        <v>0</v>
      </c>
      <c r="O890">
        <v>0</v>
      </c>
      <c r="P890">
        <v>0</v>
      </c>
      <c r="Q890">
        <v>0</v>
      </c>
      <c r="R890">
        <v>0</v>
      </c>
      <c r="S890">
        <v>0</v>
      </c>
      <c r="T890">
        <v>0</v>
      </c>
      <c r="U890">
        <v>0</v>
      </c>
      <c r="V890">
        <v>0</v>
      </c>
      <c r="W890">
        <v>0</v>
      </c>
      <c r="X890">
        <v>0</v>
      </c>
      <c r="Y890">
        <v>0</v>
      </c>
      <c r="Z890">
        <v>0</v>
      </c>
      <c r="AA890">
        <v>0</v>
      </c>
      <c r="AB890">
        <v>0</v>
      </c>
      <c r="AC890">
        <v>0</v>
      </c>
      <c r="AD890">
        <v>0</v>
      </c>
      <c r="AF890">
        <v>0</v>
      </c>
      <c r="AG890">
        <v>0</v>
      </c>
      <c r="AH890">
        <v>0</v>
      </c>
      <c r="AI890">
        <v>0</v>
      </c>
      <c r="AJ890">
        <v>0</v>
      </c>
      <c r="AK890">
        <v>0</v>
      </c>
      <c r="AL890">
        <v>0</v>
      </c>
      <c r="AM890">
        <v>0</v>
      </c>
      <c r="AN890">
        <v>0</v>
      </c>
      <c r="AO890">
        <v>0</v>
      </c>
      <c r="AP890">
        <v>0</v>
      </c>
      <c r="AQ890">
        <v>0</v>
      </c>
      <c r="AR890">
        <v>0</v>
      </c>
      <c r="AS890">
        <v>0</v>
      </c>
      <c r="AT890">
        <v>0</v>
      </c>
      <c r="AU890">
        <v>0</v>
      </c>
      <c r="AV890">
        <v>0</v>
      </c>
      <c r="AW890">
        <v>0</v>
      </c>
      <c r="AX890">
        <v>0</v>
      </c>
      <c r="AY890">
        <v>0</v>
      </c>
      <c r="AZ890">
        <v>0</v>
      </c>
      <c r="BA890">
        <v>0</v>
      </c>
      <c r="BB890">
        <v>0</v>
      </c>
      <c r="BC890">
        <v>0</v>
      </c>
      <c r="BD890">
        <v>0</v>
      </c>
      <c r="BE890">
        <v>0</v>
      </c>
      <c r="BF890">
        <v>0</v>
      </c>
      <c r="BG890">
        <v>0</v>
      </c>
      <c r="BH890">
        <v>0</v>
      </c>
      <c r="BI890">
        <v>0</v>
      </c>
      <c r="BK890" s="151"/>
    </row>
    <row r="891" spans="1:63" x14ac:dyDescent="0.35">
      <c r="A891">
        <v>0</v>
      </c>
      <c r="B891">
        <v>0</v>
      </c>
      <c r="C891">
        <v>0</v>
      </c>
      <c r="D891">
        <v>0</v>
      </c>
      <c r="E891">
        <v>0</v>
      </c>
      <c r="F891">
        <v>0</v>
      </c>
      <c r="G891">
        <v>0</v>
      </c>
      <c r="H891">
        <v>0</v>
      </c>
      <c r="I891">
        <v>0</v>
      </c>
      <c r="J891">
        <v>0</v>
      </c>
      <c r="K891">
        <v>0</v>
      </c>
      <c r="L891">
        <v>0</v>
      </c>
      <c r="M891">
        <v>0</v>
      </c>
      <c r="N891">
        <v>0</v>
      </c>
      <c r="O891">
        <v>0</v>
      </c>
      <c r="P891">
        <v>0</v>
      </c>
      <c r="Q891">
        <v>0</v>
      </c>
      <c r="R891">
        <v>0</v>
      </c>
      <c r="S891">
        <v>0</v>
      </c>
      <c r="T891">
        <v>0</v>
      </c>
      <c r="U891">
        <v>0</v>
      </c>
      <c r="V891">
        <v>0</v>
      </c>
      <c r="W891">
        <v>0</v>
      </c>
      <c r="X891">
        <v>0</v>
      </c>
      <c r="Y891">
        <v>0</v>
      </c>
      <c r="Z891">
        <v>0</v>
      </c>
      <c r="AA891">
        <v>0</v>
      </c>
      <c r="AB891">
        <v>0</v>
      </c>
      <c r="AC891">
        <v>0</v>
      </c>
      <c r="AD891">
        <v>0</v>
      </c>
      <c r="AF891">
        <v>0</v>
      </c>
      <c r="AG891">
        <v>0</v>
      </c>
      <c r="AH891">
        <v>0</v>
      </c>
      <c r="AI891">
        <v>0</v>
      </c>
      <c r="AJ891">
        <v>0</v>
      </c>
      <c r="AK891">
        <v>0</v>
      </c>
      <c r="AL891">
        <v>0</v>
      </c>
      <c r="AM891">
        <v>0</v>
      </c>
      <c r="AN891">
        <v>0</v>
      </c>
      <c r="AO891">
        <v>0</v>
      </c>
      <c r="AP891">
        <v>0</v>
      </c>
      <c r="AQ891">
        <v>0</v>
      </c>
      <c r="AR891">
        <v>0</v>
      </c>
      <c r="AS891">
        <v>0</v>
      </c>
      <c r="AT891">
        <v>0</v>
      </c>
      <c r="AU891">
        <v>0</v>
      </c>
      <c r="AV891">
        <v>0</v>
      </c>
      <c r="AW891">
        <v>0</v>
      </c>
      <c r="AX891">
        <v>0</v>
      </c>
      <c r="AY891">
        <v>0</v>
      </c>
      <c r="AZ891">
        <v>0</v>
      </c>
      <c r="BA891">
        <v>0</v>
      </c>
      <c r="BB891">
        <v>0</v>
      </c>
      <c r="BC891">
        <v>0</v>
      </c>
      <c r="BD891">
        <v>0</v>
      </c>
      <c r="BE891">
        <v>0</v>
      </c>
      <c r="BF891">
        <v>0</v>
      </c>
      <c r="BG891">
        <v>0</v>
      </c>
      <c r="BH891">
        <v>0</v>
      </c>
      <c r="BI891">
        <v>0</v>
      </c>
      <c r="BK891" s="151"/>
    </row>
    <row r="892" spans="1:63" x14ac:dyDescent="0.35">
      <c r="A892">
        <v>0</v>
      </c>
      <c r="B892">
        <v>0</v>
      </c>
      <c r="C892">
        <v>0</v>
      </c>
      <c r="D892">
        <v>0</v>
      </c>
      <c r="E892">
        <v>0</v>
      </c>
      <c r="F892">
        <v>0</v>
      </c>
      <c r="G892">
        <v>0</v>
      </c>
      <c r="H892">
        <v>0</v>
      </c>
      <c r="I892">
        <v>0</v>
      </c>
      <c r="J892">
        <v>0</v>
      </c>
      <c r="K892">
        <v>0</v>
      </c>
      <c r="L892">
        <v>0</v>
      </c>
      <c r="M892">
        <v>0</v>
      </c>
      <c r="N892">
        <v>0</v>
      </c>
      <c r="O892">
        <v>0</v>
      </c>
      <c r="P892">
        <v>0</v>
      </c>
      <c r="Q892">
        <v>0</v>
      </c>
      <c r="R892">
        <v>0</v>
      </c>
      <c r="S892">
        <v>0</v>
      </c>
      <c r="T892">
        <v>0</v>
      </c>
      <c r="U892">
        <v>0</v>
      </c>
      <c r="V892">
        <v>0</v>
      </c>
      <c r="W892">
        <v>0</v>
      </c>
      <c r="X892">
        <v>0</v>
      </c>
      <c r="Y892">
        <v>0</v>
      </c>
      <c r="Z892">
        <v>0</v>
      </c>
      <c r="AA892">
        <v>0</v>
      </c>
      <c r="AB892">
        <v>0</v>
      </c>
      <c r="AC892">
        <v>0</v>
      </c>
      <c r="AD892">
        <v>0</v>
      </c>
      <c r="AF892">
        <v>0</v>
      </c>
      <c r="AG892">
        <v>0</v>
      </c>
      <c r="AH892">
        <v>0</v>
      </c>
      <c r="AI892">
        <v>0</v>
      </c>
      <c r="AJ892">
        <v>0</v>
      </c>
      <c r="AK892">
        <v>0</v>
      </c>
      <c r="AL892">
        <v>0</v>
      </c>
      <c r="AM892">
        <v>0</v>
      </c>
      <c r="AN892">
        <v>0</v>
      </c>
      <c r="AO892">
        <v>0</v>
      </c>
      <c r="AP892">
        <v>0</v>
      </c>
      <c r="AQ892">
        <v>0</v>
      </c>
      <c r="AR892">
        <v>0</v>
      </c>
      <c r="AS892">
        <v>0</v>
      </c>
      <c r="AT892">
        <v>0</v>
      </c>
      <c r="AU892">
        <v>0</v>
      </c>
      <c r="AV892">
        <v>0</v>
      </c>
      <c r="AW892">
        <v>0</v>
      </c>
      <c r="AX892">
        <v>0</v>
      </c>
      <c r="AY892">
        <v>0</v>
      </c>
      <c r="AZ892">
        <v>0</v>
      </c>
      <c r="BA892">
        <v>0</v>
      </c>
      <c r="BB892">
        <v>0</v>
      </c>
      <c r="BC892">
        <v>0</v>
      </c>
      <c r="BD892">
        <v>0</v>
      </c>
      <c r="BE892">
        <v>0</v>
      </c>
      <c r="BF892">
        <v>0</v>
      </c>
      <c r="BG892">
        <v>0</v>
      </c>
      <c r="BH892">
        <v>0</v>
      </c>
      <c r="BI892">
        <v>0</v>
      </c>
      <c r="BK892" s="151"/>
    </row>
    <row r="893" spans="1:63" x14ac:dyDescent="0.35">
      <c r="A893">
        <v>0</v>
      </c>
      <c r="B893">
        <v>0</v>
      </c>
      <c r="C893">
        <v>0</v>
      </c>
      <c r="D893">
        <v>0</v>
      </c>
      <c r="E893">
        <v>0</v>
      </c>
      <c r="F893">
        <v>0</v>
      </c>
      <c r="G893">
        <v>0</v>
      </c>
      <c r="H893">
        <v>0</v>
      </c>
      <c r="I893">
        <v>0</v>
      </c>
      <c r="J893">
        <v>0</v>
      </c>
      <c r="K893">
        <v>0</v>
      </c>
      <c r="L893">
        <v>0</v>
      </c>
      <c r="M893">
        <v>0</v>
      </c>
      <c r="N893">
        <v>0</v>
      </c>
      <c r="O893">
        <v>0</v>
      </c>
      <c r="P893">
        <v>0</v>
      </c>
      <c r="Q893">
        <v>0</v>
      </c>
      <c r="R893">
        <v>0</v>
      </c>
      <c r="S893">
        <v>0</v>
      </c>
      <c r="T893">
        <v>0</v>
      </c>
      <c r="U893">
        <v>0</v>
      </c>
      <c r="V893">
        <v>0</v>
      </c>
      <c r="W893">
        <v>0</v>
      </c>
      <c r="X893">
        <v>0</v>
      </c>
      <c r="Y893">
        <v>0</v>
      </c>
      <c r="Z893">
        <v>0</v>
      </c>
      <c r="AA893">
        <v>0</v>
      </c>
      <c r="AB893">
        <v>0</v>
      </c>
      <c r="AC893">
        <v>0</v>
      </c>
      <c r="AD893">
        <v>0</v>
      </c>
      <c r="AF893">
        <v>0</v>
      </c>
      <c r="AG893">
        <v>0</v>
      </c>
      <c r="AH893">
        <v>0</v>
      </c>
      <c r="AI893">
        <v>0</v>
      </c>
      <c r="AJ893">
        <v>0</v>
      </c>
      <c r="AK893">
        <v>0</v>
      </c>
      <c r="AL893">
        <v>0</v>
      </c>
      <c r="AM893">
        <v>0</v>
      </c>
      <c r="AN893">
        <v>0</v>
      </c>
      <c r="AO893">
        <v>0</v>
      </c>
      <c r="AP893">
        <v>0</v>
      </c>
      <c r="AQ893">
        <v>0</v>
      </c>
      <c r="AR893">
        <v>0</v>
      </c>
      <c r="AS893">
        <v>0</v>
      </c>
      <c r="AT893">
        <v>0</v>
      </c>
      <c r="AU893">
        <v>0</v>
      </c>
      <c r="AV893">
        <v>0</v>
      </c>
      <c r="AW893">
        <v>0</v>
      </c>
      <c r="AX893">
        <v>0</v>
      </c>
      <c r="AY893">
        <v>0</v>
      </c>
      <c r="AZ893">
        <v>0</v>
      </c>
      <c r="BA893">
        <v>0</v>
      </c>
      <c r="BB893">
        <v>0</v>
      </c>
      <c r="BC893">
        <v>0</v>
      </c>
      <c r="BD893">
        <v>0</v>
      </c>
      <c r="BE893">
        <v>0</v>
      </c>
      <c r="BF893">
        <v>0</v>
      </c>
      <c r="BG893">
        <v>0</v>
      </c>
      <c r="BH893">
        <v>0</v>
      </c>
      <c r="BI893">
        <v>0</v>
      </c>
      <c r="BK893" s="151"/>
    </row>
    <row r="894" spans="1:63" x14ac:dyDescent="0.35">
      <c r="A894">
        <v>0</v>
      </c>
      <c r="B894">
        <v>0</v>
      </c>
      <c r="C894">
        <v>0</v>
      </c>
      <c r="D894">
        <v>0</v>
      </c>
      <c r="E894">
        <v>0</v>
      </c>
      <c r="F894">
        <v>0</v>
      </c>
      <c r="G894">
        <v>0</v>
      </c>
      <c r="H894">
        <v>0</v>
      </c>
      <c r="I894">
        <v>0</v>
      </c>
      <c r="J894">
        <v>0</v>
      </c>
      <c r="K894">
        <v>0</v>
      </c>
      <c r="L894">
        <v>0</v>
      </c>
      <c r="M894">
        <v>0</v>
      </c>
      <c r="N894">
        <v>0</v>
      </c>
      <c r="O894">
        <v>0</v>
      </c>
      <c r="P894">
        <v>0</v>
      </c>
      <c r="Q894">
        <v>0</v>
      </c>
      <c r="R894">
        <v>0</v>
      </c>
      <c r="S894">
        <v>0</v>
      </c>
      <c r="T894">
        <v>0</v>
      </c>
      <c r="U894">
        <v>0</v>
      </c>
      <c r="V894">
        <v>0</v>
      </c>
      <c r="W894">
        <v>0</v>
      </c>
      <c r="X894">
        <v>0</v>
      </c>
      <c r="Y894">
        <v>0</v>
      </c>
      <c r="Z894">
        <v>0</v>
      </c>
      <c r="AA894">
        <v>0</v>
      </c>
      <c r="AB894">
        <v>0</v>
      </c>
      <c r="AC894">
        <v>0</v>
      </c>
      <c r="AD894">
        <v>0</v>
      </c>
      <c r="AF894">
        <v>0</v>
      </c>
      <c r="AG894">
        <v>0</v>
      </c>
      <c r="AH894">
        <v>0</v>
      </c>
      <c r="AI894">
        <v>0</v>
      </c>
      <c r="AJ894">
        <v>0</v>
      </c>
      <c r="AK894">
        <v>0</v>
      </c>
      <c r="AL894">
        <v>0</v>
      </c>
      <c r="AM894">
        <v>0</v>
      </c>
      <c r="AN894">
        <v>0</v>
      </c>
      <c r="AO894">
        <v>0</v>
      </c>
      <c r="AP894">
        <v>0</v>
      </c>
      <c r="AQ894">
        <v>0</v>
      </c>
      <c r="AR894">
        <v>0</v>
      </c>
      <c r="AS894">
        <v>0</v>
      </c>
      <c r="AT894">
        <v>0</v>
      </c>
      <c r="AU894">
        <v>0</v>
      </c>
      <c r="AV894">
        <v>0</v>
      </c>
      <c r="AW894">
        <v>0</v>
      </c>
      <c r="AX894">
        <v>0</v>
      </c>
      <c r="AY894">
        <v>0</v>
      </c>
      <c r="AZ894">
        <v>0</v>
      </c>
      <c r="BA894">
        <v>0</v>
      </c>
      <c r="BB894">
        <v>0</v>
      </c>
      <c r="BC894">
        <v>0</v>
      </c>
      <c r="BD894">
        <v>0</v>
      </c>
      <c r="BE894">
        <v>0</v>
      </c>
      <c r="BF894">
        <v>0</v>
      </c>
      <c r="BG894">
        <v>0</v>
      </c>
      <c r="BH894">
        <v>0</v>
      </c>
      <c r="BI894">
        <v>0</v>
      </c>
      <c r="BK894" s="151"/>
    </row>
    <row r="895" spans="1:63" x14ac:dyDescent="0.35">
      <c r="A895">
        <v>0</v>
      </c>
      <c r="B895">
        <v>0</v>
      </c>
      <c r="C895">
        <v>0</v>
      </c>
      <c r="D895">
        <v>0</v>
      </c>
      <c r="E895">
        <v>0</v>
      </c>
      <c r="F895">
        <v>0</v>
      </c>
      <c r="G895">
        <v>0</v>
      </c>
      <c r="H895">
        <v>0</v>
      </c>
      <c r="I895">
        <v>0</v>
      </c>
      <c r="J895">
        <v>0</v>
      </c>
      <c r="K895">
        <v>0</v>
      </c>
      <c r="L895">
        <v>0</v>
      </c>
      <c r="M895">
        <v>0</v>
      </c>
      <c r="N895">
        <v>0</v>
      </c>
      <c r="O895">
        <v>0</v>
      </c>
      <c r="P895">
        <v>0</v>
      </c>
      <c r="Q895">
        <v>0</v>
      </c>
      <c r="R895">
        <v>0</v>
      </c>
      <c r="S895">
        <v>0</v>
      </c>
      <c r="T895">
        <v>0</v>
      </c>
      <c r="U895">
        <v>0</v>
      </c>
      <c r="V895">
        <v>0</v>
      </c>
      <c r="W895">
        <v>0</v>
      </c>
      <c r="X895">
        <v>0</v>
      </c>
      <c r="Y895">
        <v>0</v>
      </c>
      <c r="Z895">
        <v>0</v>
      </c>
      <c r="AA895">
        <v>0</v>
      </c>
      <c r="AB895">
        <v>0</v>
      </c>
      <c r="AC895">
        <v>0</v>
      </c>
      <c r="AD895">
        <v>0</v>
      </c>
      <c r="AF895">
        <v>0</v>
      </c>
      <c r="AG895">
        <v>0</v>
      </c>
      <c r="AH895">
        <v>0</v>
      </c>
      <c r="AI895">
        <v>0</v>
      </c>
      <c r="AJ895">
        <v>0</v>
      </c>
      <c r="AK895">
        <v>0</v>
      </c>
      <c r="AL895">
        <v>0</v>
      </c>
      <c r="AM895">
        <v>0</v>
      </c>
      <c r="AN895">
        <v>0</v>
      </c>
      <c r="AO895">
        <v>0</v>
      </c>
      <c r="AP895">
        <v>0</v>
      </c>
      <c r="AQ895">
        <v>0</v>
      </c>
      <c r="AR895">
        <v>0</v>
      </c>
      <c r="AS895">
        <v>0</v>
      </c>
      <c r="AT895">
        <v>0</v>
      </c>
      <c r="AU895">
        <v>0</v>
      </c>
      <c r="AV895">
        <v>0</v>
      </c>
      <c r="AW895">
        <v>0</v>
      </c>
      <c r="AX895">
        <v>0</v>
      </c>
      <c r="AY895">
        <v>0</v>
      </c>
      <c r="AZ895">
        <v>0</v>
      </c>
      <c r="BA895">
        <v>0</v>
      </c>
      <c r="BB895">
        <v>0</v>
      </c>
      <c r="BC895">
        <v>0</v>
      </c>
      <c r="BD895">
        <v>0</v>
      </c>
      <c r="BE895">
        <v>0</v>
      </c>
      <c r="BF895">
        <v>0</v>
      </c>
      <c r="BG895">
        <v>0</v>
      </c>
      <c r="BH895">
        <v>0</v>
      </c>
      <c r="BI895">
        <v>0</v>
      </c>
      <c r="BK895" s="151"/>
    </row>
    <row r="896" spans="1:63" x14ac:dyDescent="0.35">
      <c r="A896">
        <v>0</v>
      </c>
      <c r="B896">
        <v>0</v>
      </c>
      <c r="C896">
        <v>0</v>
      </c>
      <c r="D896">
        <v>0</v>
      </c>
      <c r="E896">
        <v>0</v>
      </c>
      <c r="F896">
        <v>0</v>
      </c>
      <c r="G896">
        <v>0</v>
      </c>
      <c r="H896">
        <v>0</v>
      </c>
      <c r="I896">
        <v>0</v>
      </c>
      <c r="J896">
        <v>0</v>
      </c>
      <c r="K896">
        <v>0</v>
      </c>
      <c r="L896">
        <v>0</v>
      </c>
      <c r="M896">
        <v>0</v>
      </c>
      <c r="N896">
        <v>0</v>
      </c>
      <c r="O896">
        <v>0</v>
      </c>
      <c r="P896">
        <v>0</v>
      </c>
      <c r="Q896">
        <v>0</v>
      </c>
      <c r="R896">
        <v>0</v>
      </c>
      <c r="S896">
        <v>0</v>
      </c>
      <c r="T896">
        <v>0</v>
      </c>
      <c r="U896">
        <v>0</v>
      </c>
      <c r="V896">
        <v>0</v>
      </c>
      <c r="W896">
        <v>0</v>
      </c>
      <c r="X896">
        <v>0</v>
      </c>
      <c r="Y896">
        <v>0</v>
      </c>
      <c r="Z896">
        <v>0</v>
      </c>
      <c r="AA896">
        <v>0</v>
      </c>
      <c r="AB896">
        <v>0</v>
      </c>
      <c r="AC896">
        <v>0</v>
      </c>
      <c r="AD896">
        <v>0</v>
      </c>
      <c r="AF896">
        <v>0</v>
      </c>
      <c r="AG896">
        <v>0</v>
      </c>
      <c r="AH896">
        <v>0</v>
      </c>
      <c r="AI896">
        <v>0</v>
      </c>
      <c r="AJ896">
        <v>0</v>
      </c>
      <c r="AK896">
        <v>0</v>
      </c>
      <c r="AL896">
        <v>0</v>
      </c>
      <c r="AM896">
        <v>0</v>
      </c>
      <c r="AN896">
        <v>0</v>
      </c>
      <c r="AO896">
        <v>0</v>
      </c>
      <c r="AP896">
        <v>0</v>
      </c>
      <c r="AQ896">
        <v>0</v>
      </c>
      <c r="AR896">
        <v>0</v>
      </c>
      <c r="AS896">
        <v>0</v>
      </c>
      <c r="AT896">
        <v>0</v>
      </c>
      <c r="AU896">
        <v>0</v>
      </c>
      <c r="AV896">
        <v>0</v>
      </c>
      <c r="AW896">
        <v>0</v>
      </c>
      <c r="AX896">
        <v>0</v>
      </c>
      <c r="AY896">
        <v>0</v>
      </c>
      <c r="AZ896">
        <v>0</v>
      </c>
      <c r="BA896">
        <v>0</v>
      </c>
      <c r="BB896">
        <v>0</v>
      </c>
      <c r="BC896">
        <v>0</v>
      </c>
      <c r="BD896">
        <v>0</v>
      </c>
      <c r="BE896">
        <v>0</v>
      </c>
      <c r="BF896">
        <v>0</v>
      </c>
      <c r="BG896">
        <v>0</v>
      </c>
      <c r="BH896">
        <v>0</v>
      </c>
      <c r="BI896">
        <v>0</v>
      </c>
      <c r="BK896" s="151"/>
    </row>
    <row r="897" spans="1:63" x14ac:dyDescent="0.35">
      <c r="A897">
        <v>0</v>
      </c>
      <c r="B897">
        <v>0</v>
      </c>
      <c r="C897">
        <v>0</v>
      </c>
      <c r="D897">
        <v>0</v>
      </c>
      <c r="E897">
        <v>0</v>
      </c>
      <c r="F897">
        <v>0</v>
      </c>
      <c r="G897">
        <v>0</v>
      </c>
      <c r="H897">
        <v>0</v>
      </c>
      <c r="I897">
        <v>0</v>
      </c>
      <c r="J897">
        <v>0</v>
      </c>
      <c r="K897">
        <v>0</v>
      </c>
      <c r="L897">
        <v>0</v>
      </c>
      <c r="M897">
        <v>0</v>
      </c>
      <c r="N897">
        <v>0</v>
      </c>
      <c r="O897">
        <v>0</v>
      </c>
      <c r="P897">
        <v>0</v>
      </c>
      <c r="Q897">
        <v>0</v>
      </c>
      <c r="R897">
        <v>0</v>
      </c>
      <c r="S897">
        <v>0</v>
      </c>
      <c r="T897">
        <v>0</v>
      </c>
      <c r="U897">
        <v>0</v>
      </c>
      <c r="V897">
        <v>0</v>
      </c>
      <c r="W897">
        <v>0</v>
      </c>
      <c r="X897">
        <v>0</v>
      </c>
      <c r="Y897">
        <v>0</v>
      </c>
      <c r="Z897">
        <v>0</v>
      </c>
      <c r="AA897">
        <v>0</v>
      </c>
      <c r="AB897">
        <v>0</v>
      </c>
      <c r="AC897">
        <v>0</v>
      </c>
      <c r="AD897">
        <v>0</v>
      </c>
      <c r="AF897">
        <v>0</v>
      </c>
      <c r="AG897">
        <v>0</v>
      </c>
      <c r="AH897">
        <v>0</v>
      </c>
      <c r="AI897">
        <v>0</v>
      </c>
      <c r="AJ897">
        <v>0</v>
      </c>
      <c r="AK897">
        <v>0</v>
      </c>
      <c r="AL897">
        <v>0</v>
      </c>
      <c r="AM897">
        <v>0</v>
      </c>
      <c r="AN897">
        <v>0</v>
      </c>
      <c r="AO897">
        <v>0</v>
      </c>
      <c r="AP897">
        <v>0</v>
      </c>
      <c r="AQ897">
        <v>0</v>
      </c>
      <c r="AR897">
        <v>0</v>
      </c>
      <c r="AS897">
        <v>0</v>
      </c>
      <c r="AT897">
        <v>0</v>
      </c>
      <c r="AU897">
        <v>0</v>
      </c>
      <c r="AV897">
        <v>0</v>
      </c>
      <c r="AW897">
        <v>0</v>
      </c>
      <c r="AX897">
        <v>0</v>
      </c>
      <c r="AY897">
        <v>0</v>
      </c>
      <c r="AZ897">
        <v>0</v>
      </c>
      <c r="BA897">
        <v>0</v>
      </c>
      <c r="BB897">
        <v>0</v>
      </c>
      <c r="BC897">
        <v>0</v>
      </c>
      <c r="BD897">
        <v>0</v>
      </c>
      <c r="BE897">
        <v>0</v>
      </c>
      <c r="BF897">
        <v>0</v>
      </c>
      <c r="BG897">
        <v>0</v>
      </c>
      <c r="BH897">
        <v>0</v>
      </c>
      <c r="BI897">
        <v>0</v>
      </c>
      <c r="BK897" s="151"/>
    </row>
    <row r="898" spans="1:63" x14ac:dyDescent="0.35">
      <c r="A898">
        <v>0</v>
      </c>
      <c r="B898">
        <v>0</v>
      </c>
      <c r="C898">
        <v>0</v>
      </c>
      <c r="D898">
        <v>0</v>
      </c>
      <c r="E898">
        <v>0</v>
      </c>
      <c r="F898">
        <v>0</v>
      </c>
      <c r="G898">
        <v>0</v>
      </c>
      <c r="H898">
        <v>0</v>
      </c>
      <c r="I898">
        <v>0</v>
      </c>
      <c r="J898">
        <v>0</v>
      </c>
      <c r="K898">
        <v>0</v>
      </c>
      <c r="L898">
        <v>0</v>
      </c>
      <c r="M898">
        <v>0</v>
      </c>
      <c r="N898">
        <v>0</v>
      </c>
      <c r="O898">
        <v>0</v>
      </c>
      <c r="P898">
        <v>0</v>
      </c>
      <c r="Q898">
        <v>0</v>
      </c>
      <c r="R898">
        <v>0</v>
      </c>
      <c r="S898">
        <v>0</v>
      </c>
      <c r="T898">
        <v>0</v>
      </c>
      <c r="U898">
        <v>0</v>
      </c>
      <c r="V898">
        <v>0</v>
      </c>
      <c r="W898">
        <v>0</v>
      </c>
      <c r="X898">
        <v>0</v>
      </c>
      <c r="Y898">
        <v>0</v>
      </c>
      <c r="Z898">
        <v>0</v>
      </c>
      <c r="AA898">
        <v>0</v>
      </c>
      <c r="AB898">
        <v>0</v>
      </c>
      <c r="AC898">
        <v>0</v>
      </c>
      <c r="AD898">
        <v>0</v>
      </c>
      <c r="AF898">
        <v>0</v>
      </c>
      <c r="AG898">
        <v>0</v>
      </c>
      <c r="AH898">
        <v>0</v>
      </c>
      <c r="AI898">
        <v>0</v>
      </c>
      <c r="AJ898">
        <v>0</v>
      </c>
      <c r="AK898">
        <v>0</v>
      </c>
      <c r="AL898">
        <v>0</v>
      </c>
      <c r="AM898">
        <v>0</v>
      </c>
      <c r="AN898">
        <v>0</v>
      </c>
      <c r="AO898">
        <v>0</v>
      </c>
      <c r="AP898">
        <v>0</v>
      </c>
      <c r="AQ898">
        <v>0</v>
      </c>
      <c r="AR898">
        <v>0</v>
      </c>
      <c r="AS898">
        <v>0</v>
      </c>
      <c r="AT898">
        <v>0</v>
      </c>
      <c r="AU898">
        <v>0</v>
      </c>
      <c r="AV898">
        <v>0</v>
      </c>
      <c r="AW898">
        <v>0</v>
      </c>
      <c r="AX898">
        <v>0</v>
      </c>
      <c r="AY898">
        <v>0</v>
      </c>
      <c r="AZ898">
        <v>0</v>
      </c>
      <c r="BA898">
        <v>0</v>
      </c>
      <c r="BB898">
        <v>0</v>
      </c>
      <c r="BC898">
        <v>0</v>
      </c>
      <c r="BD898">
        <v>0</v>
      </c>
      <c r="BE898">
        <v>0</v>
      </c>
      <c r="BF898">
        <v>0</v>
      </c>
      <c r="BG898">
        <v>0</v>
      </c>
      <c r="BH898">
        <v>0</v>
      </c>
      <c r="BI898">
        <v>0</v>
      </c>
      <c r="BK898" s="151"/>
    </row>
    <row r="899" spans="1:63" x14ac:dyDescent="0.35">
      <c r="A899">
        <v>0</v>
      </c>
      <c r="B899">
        <v>0</v>
      </c>
      <c r="C899">
        <v>0</v>
      </c>
      <c r="D899">
        <v>0</v>
      </c>
      <c r="E899">
        <v>0</v>
      </c>
      <c r="F899">
        <v>0</v>
      </c>
      <c r="G899">
        <v>0</v>
      </c>
      <c r="H899">
        <v>0</v>
      </c>
      <c r="I899">
        <v>0</v>
      </c>
      <c r="J899">
        <v>0</v>
      </c>
      <c r="K899">
        <v>0</v>
      </c>
      <c r="L899">
        <v>0</v>
      </c>
      <c r="M899">
        <v>0</v>
      </c>
      <c r="N899">
        <v>0</v>
      </c>
      <c r="O899">
        <v>0</v>
      </c>
      <c r="P899">
        <v>0</v>
      </c>
      <c r="Q899">
        <v>0</v>
      </c>
      <c r="R899">
        <v>0</v>
      </c>
      <c r="S899">
        <v>0</v>
      </c>
      <c r="T899">
        <v>0</v>
      </c>
      <c r="U899">
        <v>0</v>
      </c>
      <c r="V899">
        <v>0</v>
      </c>
      <c r="W899">
        <v>0</v>
      </c>
      <c r="X899">
        <v>0</v>
      </c>
      <c r="Y899">
        <v>0</v>
      </c>
      <c r="Z899">
        <v>0</v>
      </c>
      <c r="AA899">
        <v>0</v>
      </c>
      <c r="AB899">
        <v>0</v>
      </c>
      <c r="AC899">
        <v>0</v>
      </c>
      <c r="AD899">
        <v>0</v>
      </c>
      <c r="AF899">
        <v>0</v>
      </c>
      <c r="AG899">
        <v>0</v>
      </c>
      <c r="AH899">
        <v>0</v>
      </c>
      <c r="AI899">
        <v>0</v>
      </c>
      <c r="AJ899">
        <v>0</v>
      </c>
      <c r="AK899">
        <v>0</v>
      </c>
      <c r="AL899">
        <v>0</v>
      </c>
      <c r="AM899">
        <v>0</v>
      </c>
      <c r="AN899">
        <v>0</v>
      </c>
      <c r="AO899">
        <v>0</v>
      </c>
      <c r="AP899">
        <v>0</v>
      </c>
      <c r="AQ899">
        <v>0</v>
      </c>
      <c r="AR899">
        <v>0</v>
      </c>
      <c r="AS899">
        <v>0</v>
      </c>
      <c r="AT899">
        <v>0</v>
      </c>
      <c r="AU899">
        <v>0</v>
      </c>
      <c r="AV899">
        <v>0</v>
      </c>
      <c r="AW899">
        <v>0</v>
      </c>
      <c r="AX899">
        <v>0</v>
      </c>
      <c r="AY899">
        <v>0</v>
      </c>
      <c r="AZ899">
        <v>0</v>
      </c>
      <c r="BA899">
        <v>0</v>
      </c>
      <c r="BB899">
        <v>0</v>
      </c>
      <c r="BC899">
        <v>0</v>
      </c>
      <c r="BD899">
        <v>0</v>
      </c>
      <c r="BE899">
        <v>0</v>
      </c>
      <c r="BF899">
        <v>0</v>
      </c>
      <c r="BG899">
        <v>0</v>
      </c>
      <c r="BH899">
        <v>0</v>
      </c>
      <c r="BI899">
        <v>0</v>
      </c>
      <c r="BK899" s="151"/>
    </row>
    <row r="900" spans="1:63" x14ac:dyDescent="0.35">
      <c r="A900">
        <v>0</v>
      </c>
      <c r="B900">
        <v>0</v>
      </c>
      <c r="C900">
        <v>0</v>
      </c>
      <c r="D900">
        <v>0</v>
      </c>
      <c r="E900">
        <v>0</v>
      </c>
      <c r="F900">
        <v>0</v>
      </c>
      <c r="G900">
        <v>0</v>
      </c>
      <c r="H900">
        <v>0</v>
      </c>
      <c r="I900">
        <v>0</v>
      </c>
      <c r="J900">
        <v>0</v>
      </c>
      <c r="K900">
        <v>0</v>
      </c>
      <c r="L900">
        <v>0</v>
      </c>
      <c r="M900">
        <v>0</v>
      </c>
      <c r="N900">
        <v>0</v>
      </c>
      <c r="O900">
        <v>0</v>
      </c>
      <c r="P900">
        <v>0</v>
      </c>
      <c r="Q900">
        <v>0</v>
      </c>
      <c r="R900">
        <v>0</v>
      </c>
      <c r="S900">
        <v>0</v>
      </c>
      <c r="T900">
        <v>0</v>
      </c>
      <c r="U900">
        <v>0</v>
      </c>
      <c r="V900">
        <v>0</v>
      </c>
      <c r="W900">
        <v>0</v>
      </c>
      <c r="X900">
        <v>0</v>
      </c>
      <c r="Y900">
        <v>0</v>
      </c>
      <c r="Z900">
        <v>0</v>
      </c>
      <c r="AA900">
        <v>0</v>
      </c>
      <c r="AB900">
        <v>0</v>
      </c>
      <c r="AC900">
        <v>0</v>
      </c>
      <c r="AD900">
        <v>0</v>
      </c>
      <c r="AF900">
        <v>0</v>
      </c>
      <c r="AG900">
        <v>0</v>
      </c>
      <c r="AH900">
        <v>0</v>
      </c>
      <c r="AI900">
        <v>0</v>
      </c>
      <c r="AJ900">
        <v>0</v>
      </c>
      <c r="AK900">
        <v>0</v>
      </c>
      <c r="AL900">
        <v>0</v>
      </c>
      <c r="AM900">
        <v>0</v>
      </c>
      <c r="AN900">
        <v>0</v>
      </c>
      <c r="AO900">
        <v>0</v>
      </c>
      <c r="AP900">
        <v>0</v>
      </c>
      <c r="AQ900">
        <v>0</v>
      </c>
      <c r="AR900">
        <v>0</v>
      </c>
      <c r="AS900">
        <v>0</v>
      </c>
      <c r="AT900">
        <v>0</v>
      </c>
      <c r="AU900">
        <v>0</v>
      </c>
      <c r="AV900">
        <v>0</v>
      </c>
      <c r="AW900">
        <v>0</v>
      </c>
      <c r="AX900">
        <v>0</v>
      </c>
      <c r="AY900">
        <v>0</v>
      </c>
      <c r="AZ900">
        <v>0</v>
      </c>
      <c r="BA900">
        <v>0</v>
      </c>
      <c r="BB900">
        <v>0</v>
      </c>
      <c r="BC900">
        <v>0</v>
      </c>
      <c r="BD900">
        <v>0</v>
      </c>
      <c r="BE900">
        <v>0</v>
      </c>
      <c r="BF900">
        <v>0</v>
      </c>
      <c r="BG900">
        <v>0</v>
      </c>
      <c r="BH900">
        <v>0</v>
      </c>
      <c r="BI900">
        <v>0</v>
      </c>
      <c r="BK900" s="151"/>
    </row>
    <row r="901" spans="1:63" x14ac:dyDescent="0.35">
      <c r="A901">
        <v>0</v>
      </c>
      <c r="B901">
        <v>0</v>
      </c>
      <c r="C901">
        <v>0</v>
      </c>
      <c r="D901">
        <v>0</v>
      </c>
      <c r="E901">
        <v>0</v>
      </c>
      <c r="F901">
        <v>0</v>
      </c>
      <c r="G901">
        <v>0</v>
      </c>
      <c r="H901">
        <v>0</v>
      </c>
      <c r="I901">
        <v>0</v>
      </c>
      <c r="J901">
        <v>0</v>
      </c>
      <c r="K901">
        <v>0</v>
      </c>
      <c r="L901">
        <v>0</v>
      </c>
      <c r="M901">
        <v>0</v>
      </c>
      <c r="N901">
        <v>0</v>
      </c>
      <c r="O901">
        <v>0</v>
      </c>
      <c r="P901">
        <v>0</v>
      </c>
      <c r="Q901">
        <v>0</v>
      </c>
      <c r="R901">
        <v>0</v>
      </c>
      <c r="S901">
        <v>0</v>
      </c>
      <c r="T901">
        <v>0</v>
      </c>
      <c r="U901">
        <v>0</v>
      </c>
      <c r="V901">
        <v>0</v>
      </c>
      <c r="W901">
        <v>0</v>
      </c>
      <c r="X901">
        <v>0</v>
      </c>
      <c r="Y901">
        <v>0</v>
      </c>
      <c r="Z901">
        <v>0</v>
      </c>
      <c r="AA901">
        <v>0</v>
      </c>
      <c r="AB901">
        <v>0</v>
      </c>
      <c r="AC901">
        <v>0</v>
      </c>
      <c r="AD901">
        <v>0</v>
      </c>
      <c r="AF901">
        <v>0</v>
      </c>
      <c r="AG901">
        <v>0</v>
      </c>
      <c r="AH901">
        <v>0</v>
      </c>
      <c r="AI901">
        <v>0</v>
      </c>
      <c r="AJ901">
        <v>0</v>
      </c>
      <c r="AK901">
        <v>0</v>
      </c>
      <c r="AL901">
        <v>0</v>
      </c>
      <c r="AM901">
        <v>0</v>
      </c>
      <c r="AN901">
        <v>0</v>
      </c>
      <c r="AO901">
        <v>0</v>
      </c>
      <c r="AP901">
        <v>0</v>
      </c>
      <c r="AQ901">
        <v>0</v>
      </c>
      <c r="AR901">
        <v>0</v>
      </c>
      <c r="AS901">
        <v>0</v>
      </c>
      <c r="AT901">
        <v>0</v>
      </c>
      <c r="AU901">
        <v>0</v>
      </c>
      <c r="AV901">
        <v>0</v>
      </c>
      <c r="AW901">
        <v>0</v>
      </c>
      <c r="AX901">
        <v>0</v>
      </c>
      <c r="AY901">
        <v>0</v>
      </c>
      <c r="AZ901">
        <v>0</v>
      </c>
      <c r="BA901">
        <v>0</v>
      </c>
      <c r="BB901">
        <v>0</v>
      </c>
      <c r="BC901">
        <v>0</v>
      </c>
      <c r="BD901">
        <v>0</v>
      </c>
      <c r="BE901">
        <v>0</v>
      </c>
      <c r="BF901">
        <v>0</v>
      </c>
      <c r="BG901">
        <v>0</v>
      </c>
      <c r="BH901">
        <v>0</v>
      </c>
      <c r="BI901">
        <v>0</v>
      </c>
      <c r="BK901" s="151"/>
    </row>
    <row r="902" spans="1:63" x14ac:dyDescent="0.35">
      <c r="A902">
        <v>0</v>
      </c>
      <c r="B902">
        <v>0</v>
      </c>
      <c r="C902">
        <v>0</v>
      </c>
      <c r="D902">
        <v>0</v>
      </c>
      <c r="E902">
        <v>0</v>
      </c>
      <c r="F902">
        <v>0</v>
      </c>
      <c r="G902">
        <v>0</v>
      </c>
      <c r="H902">
        <v>0</v>
      </c>
      <c r="I902">
        <v>0</v>
      </c>
      <c r="J902">
        <v>0</v>
      </c>
      <c r="K902">
        <v>0</v>
      </c>
      <c r="L902">
        <v>0</v>
      </c>
      <c r="M902">
        <v>0</v>
      </c>
      <c r="N902">
        <v>0</v>
      </c>
      <c r="O902">
        <v>0</v>
      </c>
      <c r="P902">
        <v>0</v>
      </c>
      <c r="Q902">
        <v>0</v>
      </c>
      <c r="R902">
        <v>0</v>
      </c>
      <c r="S902">
        <v>0</v>
      </c>
      <c r="T902">
        <v>0</v>
      </c>
      <c r="U902">
        <v>0</v>
      </c>
      <c r="V902">
        <v>0</v>
      </c>
      <c r="W902">
        <v>0</v>
      </c>
      <c r="X902">
        <v>0</v>
      </c>
      <c r="Y902">
        <v>0</v>
      </c>
      <c r="Z902">
        <v>0</v>
      </c>
      <c r="AA902">
        <v>0</v>
      </c>
      <c r="AB902">
        <v>0</v>
      </c>
      <c r="AC902">
        <v>0</v>
      </c>
      <c r="AD902">
        <v>0</v>
      </c>
      <c r="AF902">
        <v>0</v>
      </c>
      <c r="AG902">
        <v>0</v>
      </c>
      <c r="AH902">
        <v>0</v>
      </c>
      <c r="AI902">
        <v>0</v>
      </c>
      <c r="AJ902">
        <v>0</v>
      </c>
      <c r="AK902">
        <v>0</v>
      </c>
      <c r="AL902">
        <v>0</v>
      </c>
      <c r="AM902">
        <v>0</v>
      </c>
      <c r="AN902">
        <v>0</v>
      </c>
      <c r="AO902">
        <v>0</v>
      </c>
      <c r="AP902">
        <v>0</v>
      </c>
      <c r="AQ902">
        <v>0</v>
      </c>
      <c r="AR902">
        <v>0</v>
      </c>
      <c r="AS902">
        <v>0</v>
      </c>
      <c r="AT902">
        <v>0</v>
      </c>
      <c r="AU902">
        <v>0</v>
      </c>
      <c r="AV902">
        <v>0</v>
      </c>
      <c r="AW902">
        <v>0</v>
      </c>
      <c r="AX902">
        <v>0</v>
      </c>
      <c r="AY902">
        <v>0</v>
      </c>
      <c r="AZ902">
        <v>0</v>
      </c>
      <c r="BA902">
        <v>0</v>
      </c>
      <c r="BB902">
        <v>0</v>
      </c>
      <c r="BC902">
        <v>0</v>
      </c>
      <c r="BD902">
        <v>0</v>
      </c>
      <c r="BE902">
        <v>0</v>
      </c>
      <c r="BF902">
        <v>0</v>
      </c>
      <c r="BG902">
        <v>0</v>
      </c>
      <c r="BH902">
        <v>0</v>
      </c>
      <c r="BI902">
        <v>0</v>
      </c>
      <c r="BK902" s="151"/>
    </row>
    <row r="903" spans="1:63" x14ac:dyDescent="0.35">
      <c r="A903">
        <v>0</v>
      </c>
      <c r="B903">
        <v>0</v>
      </c>
      <c r="C903">
        <v>0</v>
      </c>
      <c r="D903">
        <v>0</v>
      </c>
      <c r="E903">
        <v>0</v>
      </c>
      <c r="F903">
        <v>0</v>
      </c>
      <c r="G903">
        <v>0</v>
      </c>
      <c r="H903">
        <v>0</v>
      </c>
      <c r="I903">
        <v>0</v>
      </c>
      <c r="J903">
        <v>0</v>
      </c>
      <c r="K903">
        <v>0</v>
      </c>
      <c r="L903">
        <v>0</v>
      </c>
      <c r="M903">
        <v>0</v>
      </c>
      <c r="N903">
        <v>0</v>
      </c>
      <c r="O903">
        <v>0</v>
      </c>
      <c r="P903">
        <v>0</v>
      </c>
      <c r="Q903">
        <v>0</v>
      </c>
      <c r="R903">
        <v>0</v>
      </c>
      <c r="S903">
        <v>0</v>
      </c>
      <c r="T903">
        <v>0</v>
      </c>
      <c r="U903">
        <v>0</v>
      </c>
      <c r="V903">
        <v>0</v>
      </c>
      <c r="W903">
        <v>0</v>
      </c>
      <c r="X903">
        <v>0</v>
      </c>
      <c r="Y903">
        <v>0</v>
      </c>
      <c r="Z903">
        <v>0</v>
      </c>
      <c r="AA903">
        <v>0</v>
      </c>
      <c r="AB903">
        <v>0</v>
      </c>
      <c r="AC903">
        <v>0</v>
      </c>
      <c r="AD903">
        <v>0</v>
      </c>
      <c r="AF903">
        <v>0</v>
      </c>
      <c r="AG903">
        <v>0</v>
      </c>
      <c r="AH903">
        <v>0</v>
      </c>
      <c r="AI903">
        <v>0</v>
      </c>
      <c r="AJ903">
        <v>0</v>
      </c>
      <c r="AK903">
        <v>0</v>
      </c>
      <c r="AL903">
        <v>0</v>
      </c>
      <c r="AM903">
        <v>0</v>
      </c>
      <c r="AN903">
        <v>0</v>
      </c>
      <c r="AO903">
        <v>0</v>
      </c>
      <c r="AP903">
        <v>0</v>
      </c>
      <c r="AQ903">
        <v>0</v>
      </c>
      <c r="AR903">
        <v>0</v>
      </c>
      <c r="AS903">
        <v>0</v>
      </c>
      <c r="AT903">
        <v>0</v>
      </c>
      <c r="AU903">
        <v>0</v>
      </c>
      <c r="AV903">
        <v>0</v>
      </c>
      <c r="AW903">
        <v>0</v>
      </c>
      <c r="AX903">
        <v>0</v>
      </c>
      <c r="AY903">
        <v>0</v>
      </c>
      <c r="AZ903">
        <v>0</v>
      </c>
      <c r="BA903">
        <v>0</v>
      </c>
      <c r="BB903">
        <v>0</v>
      </c>
      <c r="BC903">
        <v>0</v>
      </c>
      <c r="BD903">
        <v>0</v>
      </c>
      <c r="BE903">
        <v>0</v>
      </c>
      <c r="BF903">
        <v>0</v>
      </c>
      <c r="BG903">
        <v>0</v>
      </c>
      <c r="BH903">
        <v>0</v>
      </c>
      <c r="BI903">
        <v>0</v>
      </c>
      <c r="BK903" s="151"/>
    </row>
    <row r="904" spans="1:63" x14ac:dyDescent="0.35">
      <c r="A904">
        <v>0</v>
      </c>
      <c r="B904">
        <v>0</v>
      </c>
      <c r="C904">
        <v>0</v>
      </c>
      <c r="D904">
        <v>0</v>
      </c>
      <c r="E904">
        <v>0</v>
      </c>
      <c r="F904">
        <v>0</v>
      </c>
      <c r="G904">
        <v>0</v>
      </c>
      <c r="H904">
        <v>0</v>
      </c>
      <c r="I904">
        <v>0</v>
      </c>
      <c r="J904">
        <v>0</v>
      </c>
      <c r="K904">
        <v>0</v>
      </c>
      <c r="L904">
        <v>0</v>
      </c>
      <c r="M904">
        <v>0</v>
      </c>
      <c r="N904">
        <v>0</v>
      </c>
      <c r="O904">
        <v>0</v>
      </c>
      <c r="P904">
        <v>0</v>
      </c>
      <c r="Q904">
        <v>0</v>
      </c>
      <c r="R904">
        <v>0</v>
      </c>
      <c r="S904">
        <v>0</v>
      </c>
      <c r="T904">
        <v>0</v>
      </c>
      <c r="U904">
        <v>0</v>
      </c>
      <c r="V904">
        <v>0</v>
      </c>
      <c r="W904">
        <v>0</v>
      </c>
      <c r="X904">
        <v>0</v>
      </c>
      <c r="Y904">
        <v>0</v>
      </c>
      <c r="Z904">
        <v>0</v>
      </c>
      <c r="AA904">
        <v>0</v>
      </c>
      <c r="AB904">
        <v>0</v>
      </c>
      <c r="AC904">
        <v>0</v>
      </c>
      <c r="AD904">
        <v>0</v>
      </c>
      <c r="AF904">
        <v>0</v>
      </c>
      <c r="AG904">
        <v>0</v>
      </c>
      <c r="AH904">
        <v>0</v>
      </c>
      <c r="AI904">
        <v>0</v>
      </c>
      <c r="AJ904">
        <v>0</v>
      </c>
      <c r="AK904">
        <v>0</v>
      </c>
      <c r="AL904">
        <v>0</v>
      </c>
      <c r="AM904">
        <v>0</v>
      </c>
      <c r="AN904">
        <v>0</v>
      </c>
      <c r="AO904">
        <v>0</v>
      </c>
      <c r="AP904">
        <v>0</v>
      </c>
      <c r="AQ904">
        <v>0</v>
      </c>
      <c r="AR904">
        <v>0</v>
      </c>
      <c r="AS904">
        <v>0</v>
      </c>
      <c r="AT904">
        <v>0</v>
      </c>
      <c r="AU904">
        <v>0</v>
      </c>
      <c r="AV904">
        <v>0</v>
      </c>
      <c r="AW904">
        <v>0</v>
      </c>
      <c r="AX904">
        <v>0</v>
      </c>
      <c r="AY904">
        <v>0</v>
      </c>
      <c r="AZ904">
        <v>0</v>
      </c>
      <c r="BA904">
        <v>0</v>
      </c>
      <c r="BB904">
        <v>0</v>
      </c>
      <c r="BC904">
        <v>0</v>
      </c>
      <c r="BD904">
        <v>0</v>
      </c>
      <c r="BE904">
        <v>0</v>
      </c>
      <c r="BF904">
        <v>0</v>
      </c>
      <c r="BG904">
        <v>0</v>
      </c>
      <c r="BH904">
        <v>0</v>
      </c>
      <c r="BI904">
        <v>0</v>
      </c>
      <c r="BK904" s="151"/>
    </row>
    <row r="905" spans="1:63" x14ac:dyDescent="0.35">
      <c r="A905">
        <v>0</v>
      </c>
      <c r="B905">
        <v>0</v>
      </c>
      <c r="C905">
        <v>0</v>
      </c>
      <c r="D905">
        <v>0</v>
      </c>
      <c r="E905">
        <v>0</v>
      </c>
      <c r="F905">
        <v>0</v>
      </c>
      <c r="G905">
        <v>0</v>
      </c>
      <c r="H905">
        <v>0</v>
      </c>
      <c r="I905">
        <v>0</v>
      </c>
      <c r="J905">
        <v>0</v>
      </c>
      <c r="K905">
        <v>0</v>
      </c>
      <c r="L905">
        <v>0</v>
      </c>
      <c r="M905">
        <v>0</v>
      </c>
      <c r="N905">
        <v>0</v>
      </c>
      <c r="O905">
        <v>0</v>
      </c>
      <c r="P905">
        <v>0</v>
      </c>
      <c r="Q905">
        <v>0</v>
      </c>
      <c r="R905">
        <v>0</v>
      </c>
      <c r="S905">
        <v>0</v>
      </c>
      <c r="T905">
        <v>0</v>
      </c>
      <c r="U905">
        <v>0</v>
      </c>
      <c r="V905">
        <v>0</v>
      </c>
      <c r="W905">
        <v>0</v>
      </c>
      <c r="X905">
        <v>0</v>
      </c>
      <c r="Y905">
        <v>0</v>
      </c>
      <c r="Z905">
        <v>0</v>
      </c>
      <c r="AA905">
        <v>0</v>
      </c>
      <c r="AB905">
        <v>0</v>
      </c>
      <c r="AC905">
        <v>0</v>
      </c>
      <c r="AD905">
        <v>0</v>
      </c>
      <c r="AF905">
        <v>0</v>
      </c>
      <c r="AG905">
        <v>0</v>
      </c>
      <c r="AH905">
        <v>0</v>
      </c>
      <c r="AI905">
        <v>0</v>
      </c>
      <c r="AJ905">
        <v>0</v>
      </c>
      <c r="AK905">
        <v>0</v>
      </c>
      <c r="AL905">
        <v>0</v>
      </c>
      <c r="AM905">
        <v>0</v>
      </c>
      <c r="AN905">
        <v>0</v>
      </c>
      <c r="AO905">
        <v>0</v>
      </c>
      <c r="AP905">
        <v>0</v>
      </c>
      <c r="AQ905">
        <v>0</v>
      </c>
      <c r="AR905">
        <v>0</v>
      </c>
      <c r="AS905">
        <v>0</v>
      </c>
      <c r="AT905">
        <v>0</v>
      </c>
      <c r="AU905">
        <v>0</v>
      </c>
      <c r="AV905">
        <v>0</v>
      </c>
      <c r="AW905">
        <v>0</v>
      </c>
      <c r="AX905">
        <v>0</v>
      </c>
      <c r="AY905">
        <v>0</v>
      </c>
      <c r="AZ905">
        <v>0</v>
      </c>
      <c r="BA905">
        <v>0</v>
      </c>
      <c r="BB905">
        <v>0</v>
      </c>
      <c r="BC905">
        <v>0</v>
      </c>
      <c r="BD905">
        <v>0</v>
      </c>
      <c r="BE905">
        <v>0</v>
      </c>
      <c r="BF905">
        <v>0</v>
      </c>
      <c r="BG905">
        <v>0</v>
      </c>
      <c r="BH905">
        <v>0</v>
      </c>
      <c r="BI905">
        <v>0</v>
      </c>
      <c r="BK905" s="151"/>
    </row>
    <row r="906" spans="1:63" x14ac:dyDescent="0.35">
      <c r="A906">
        <v>0</v>
      </c>
      <c r="B906">
        <v>0</v>
      </c>
      <c r="C906">
        <v>0</v>
      </c>
      <c r="D906">
        <v>0</v>
      </c>
      <c r="E906">
        <v>0</v>
      </c>
      <c r="F906">
        <v>0</v>
      </c>
      <c r="G906">
        <v>0</v>
      </c>
      <c r="H906">
        <v>0</v>
      </c>
      <c r="I906">
        <v>0</v>
      </c>
      <c r="J906">
        <v>0</v>
      </c>
      <c r="K906">
        <v>0</v>
      </c>
      <c r="L906">
        <v>0</v>
      </c>
      <c r="M906">
        <v>0</v>
      </c>
      <c r="N906">
        <v>0</v>
      </c>
      <c r="O906">
        <v>0</v>
      </c>
      <c r="P906">
        <v>0</v>
      </c>
      <c r="Q906">
        <v>0</v>
      </c>
      <c r="R906">
        <v>0</v>
      </c>
      <c r="S906">
        <v>0</v>
      </c>
      <c r="T906">
        <v>0</v>
      </c>
      <c r="U906">
        <v>0</v>
      </c>
      <c r="V906">
        <v>0</v>
      </c>
      <c r="W906">
        <v>0</v>
      </c>
      <c r="X906">
        <v>0</v>
      </c>
      <c r="Y906">
        <v>0</v>
      </c>
      <c r="Z906">
        <v>0</v>
      </c>
      <c r="AA906">
        <v>0</v>
      </c>
      <c r="AB906">
        <v>0</v>
      </c>
      <c r="AC906">
        <v>0</v>
      </c>
      <c r="AD906">
        <v>0</v>
      </c>
      <c r="AF906">
        <v>0</v>
      </c>
      <c r="AG906">
        <v>0</v>
      </c>
      <c r="AH906">
        <v>0</v>
      </c>
      <c r="AI906">
        <v>0</v>
      </c>
      <c r="AJ906">
        <v>0</v>
      </c>
      <c r="AK906">
        <v>0</v>
      </c>
      <c r="AL906">
        <v>0</v>
      </c>
      <c r="AM906">
        <v>0</v>
      </c>
      <c r="AN906">
        <v>0</v>
      </c>
      <c r="AO906">
        <v>0</v>
      </c>
      <c r="AP906">
        <v>0</v>
      </c>
      <c r="AQ906">
        <v>0</v>
      </c>
      <c r="AR906">
        <v>0</v>
      </c>
      <c r="AS906">
        <v>0</v>
      </c>
      <c r="AT906">
        <v>0</v>
      </c>
      <c r="AU906">
        <v>0</v>
      </c>
      <c r="AV906">
        <v>0</v>
      </c>
      <c r="AW906">
        <v>0</v>
      </c>
      <c r="AX906">
        <v>0</v>
      </c>
      <c r="AY906">
        <v>0</v>
      </c>
      <c r="AZ906">
        <v>0</v>
      </c>
      <c r="BA906">
        <v>0</v>
      </c>
      <c r="BB906">
        <v>0</v>
      </c>
      <c r="BC906">
        <v>0</v>
      </c>
      <c r="BD906">
        <v>0</v>
      </c>
      <c r="BE906">
        <v>0</v>
      </c>
      <c r="BF906">
        <v>0</v>
      </c>
      <c r="BG906">
        <v>0</v>
      </c>
      <c r="BH906">
        <v>0</v>
      </c>
      <c r="BI906">
        <v>0</v>
      </c>
      <c r="BK906" s="151"/>
    </row>
    <row r="907" spans="1:63" x14ac:dyDescent="0.35">
      <c r="A907">
        <v>0</v>
      </c>
      <c r="B907">
        <v>0</v>
      </c>
      <c r="C907">
        <v>0</v>
      </c>
      <c r="D907">
        <v>0</v>
      </c>
      <c r="E907">
        <v>0</v>
      </c>
      <c r="F907">
        <v>0</v>
      </c>
      <c r="G907">
        <v>0</v>
      </c>
      <c r="H907">
        <v>0</v>
      </c>
      <c r="I907">
        <v>0</v>
      </c>
      <c r="J907">
        <v>0</v>
      </c>
      <c r="K907">
        <v>0</v>
      </c>
      <c r="L907">
        <v>0</v>
      </c>
      <c r="M907">
        <v>0</v>
      </c>
      <c r="N907">
        <v>0</v>
      </c>
      <c r="O907">
        <v>0</v>
      </c>
      <c r="P907">
        <v>0</v>
      </c>
      <c r="Q907">
        <v>0</v>
      </c>
      <c r="R907">
        <v>0</v>
      </c>
      <c r="S907">
        <v>0</v>
      </c>
      <c r="T907">
        <v>0</v>
      </c>
      <c r="U907">
        <v>0</v>
      </c>
      <c r="V907">
        <v>0</v>
      </c>
      <c r="W907">
        <v>0</v>
      </c>
      <c r="X907">
        <v>0</v>
      </c>
      <c r="Y907">
        <v>0</v>
      </c>
      <c r="Z907">
        <v>0</v>
      </c>
      <c r="AA907">
        <v>0</v>
      </c>
      <c r="AB907">
        <v>0</v>
      </c>
      <c r="AC907">
        <v>0</v>
      </c>
      <c r="AD907">
        <v>0</v>
      </c>
      <c r="AF907">
        <v>0</v>
      </c>
      <c r="AG907">
        <v>0</v>
      </c>
      <c r="AH907">
        <v>0</v>
      </c>
      <c r="AI907">
        <v>0</v>
      </c>
      <c r="AJ907">
        <v>0</v>
      </c>
      <c r="AK907">
        <v>0</v>
      </c>
      <c r="AL907">
        <v>0</v>
      </c>
      <c r="AM907">
        <v>0</v>
      </c>
      <c r="AN907">
        <v>0</v>
      </c>
      <c r="AO907">
        <v>0</v>
      </c>
      <c r="AP907">
        <v>0</v>
      </c>
      <c r="AQ907">
        <v>0</v>
      </c>
      <c r="AR907">
        <v>0</v>
      </c>
      <c r="AS907">
        <v>0</v>
      </c>
      <c r="AT907">
        <v>0</v>
      </c>
      <c r="AU907">
        <v>0</v>
      </c>
      <c r="AV907">
        <v>0</v>
      </c>
      <c r="AW907">
        <v>0</v>
      </c>
      <c r="AX907">
        <v>0</v>
      </c>
      <c r="AY907">
        <v>0</v>
      </c>
      <c r="AZ907">
        <v>0</v>
      </c>
      <c r="BA907">
        <v>0</v>
      </c>
      <c r="BB907">
        <v>0</v>
      </c>
      <c r="BC907">
        <v>0</v>
      </c>
      <c r="BD907">
        <v>0</v>
      </c>
      <c r="BE907">
        <v>0</v>
      </c>
      <c r="BF907">
        <v>0</v>
      </c>
      <c r="BG907">
        <v>0</v>
      </c>
      <c r="BH907">
        <v>0</v>
      </c>
      <c r="BI907">
        <v>0</v>
      </c>
      <c r="BK907" s="151"/>
    </row>
    <row r="908" spans="1:63" x14ac:dyDescent="0.35">
      <c r="A908">
        <v>0</v>
      </c>
      <c r="B908">
        <v>0</v>
      </c>
      <c r="C908">
        <v>0</v>
      </c>
      <c r="D908">
        <v>0</v>
      </c>
      <c r="E908">
        <v>0</v>
      </c>
      <c r="F908">
        <v>0</v>
      </c>
      <c r="G908">
        <v>0</v>
      </c>
      <c r="H908">
        <v>0</v>
      </c>
      <c r="I908">
        <v>0</v>
      </c>
      <c r="J908">
        <v>0</v>
      </c>
      <c r="K908">
        <v>0</v>
      </c>
      <c r="L908">
        <v>0</v>
      </c>
      <c r="M908">
        <v>0</v>
      </c>
      <c r="N908">
        <v>0</v>
      </c>
      <c r="O908">
        <v>0</v>
      </c>
      <c r="P908">
        <v>0</v>
      </c>
      <c r="Q908">
        <v>0</v>
      </c>
      <c r="R908">
        <v>0</v>
      </c>
      <c r="S908">
        <v>0</v>
      </c>
      <c r="T908">
        <v>0</v>
      </c>
      <c r="U908">
        <v>0</v>
      </c>
      <c r="V908">
        <v>0</v>
      </c>
      <c r="W908">
        <v>0</v>
      </c>
      <c r="X908">
        <v>0</v>
      </c>
      <c r="Y908">
        <v>0</v>
      </c>
      <c r="Z908">
        <v>0</v>
      </c>
      <c r="AA908">
        <v>0</v>
      </c>
      <c r="AB908">
        <v>0</v>
      </c>
      <c r="AC908">
        <v>0</v>
      </c>
      <c r="AD908">
        <v>0</v>
      </c>
      <c r="AF908">
        <v>0</v>
      </c>
      <c r="AG908">
        <v>0</v>
      </c>
      <c r="AH908">
        <v>0</v>
      </c>
      <c r="AI908">
        <v>0</v>
      </c>
      <c r="AJ908">
        <v>0</v>
      </c>
      <c r="AK908">
        <v>0</v>
      </c>
      <c r="AL908">
        <v>0</v>
      </c>
      <c r="AM908">
        <v>0</v>
      </c>
      <c r="AN908">
        <v>0</v>
      </c>
      <c r="AO908">
        <v>0</v>
      </c>
      <c r="AP908">
        <v>0</v>
      </c>
      <c r="AQ908">
        <v>0</v>
      </c>
      <c r="AR908">
        <v>0</v>
      </c>
      <c r="AS908">
        <v>0</v>
      </c>
      <c r="AT908">
        <v>0</v>
      </c>
      <c r="AU908">
        <v>0</v>
      </c>
      <c r="AV908">
        <v>0</v>
      </c>
      <c r="AW908">
        <v>0</v>
      </c>
      <c r="AX908">
        <v>0</v>
      </c>
      <c r="AY908">
        <v>0</v>
      </c>
      <c r="AZ908">
        <v>0</v>
      </c>
      <c r="BA908">
        <v>0</v>
      </c>
      <c r="BB908">
        <v>0</v>
      </c>
      <c r="BC908">
        <v>0</v>
      </c>
      <c r="BD908">
        <v>0</v>
      </c>
      <c r="BE908">
        <v>0</v>
      </c>
      <c r="BF908">
        <v>0</v>
      </c>
      <c r="BG908">
        <v>0</v>
      </c>
      <c r="BH908">
        <v>0</v>
      </c>
      <c r="BI908">
        <v>0</v>
      </c>
      <c r="BK908" s="151"/>
    </row>
    <row r="909" spans="1:63" x14ac:dyDescent="0.35">
      <c r="A909">
        <v>0</v>
      </c>
      <c r="B909">
        <v>0</v>
      </c>
      <c r="C909">
        <v>0</v>
      </c>
      <c r="D909">
        <v>0</v>
      </c>
      <c r="E909">
        <v>0</v>
      </c>
      <c r="F909">
        <v>0</v>
      </c>
      <c r="G909">
        <v>0</v>
      </c>
      <c r="H909">
        <v>0</v>
      </c>
      <c r="I909">
        <v>0</v>
      </c>
      <c r="J909">
        <v>0</v>
      </c>
      <c r="K909">
        <v>0</v>
      </c>
      <c r="L909">
        <v>0</v>
      </c>
      <c r="M909">
        <v>0</v>
      </c>
      <c r="N909">
        <v>0</v>
      </c>
      <c r="O909">
        <v>0</v>
      </c>
      <c r="P909">
        <v>0</v>
      </c>
      <c r="Q909">
        <v>0</v>
      </c>
      <c r="R909">
        <v>0</v>
      </c>
      <c r="S909">
        <v>0</v>
      </c>
      <c r="T909">
        <v>0</v>
      </c>
      <c r="U909">
        <v>0</v>
      </c>
      <c r="V909">
        <v>0</v>
      </c>
      <c r="W909">
        <v>0</v>
      </c>
      <c r="X909">
        <v>0</v>
      </c>
      <c r="Y909">
        <v>0</v>
      </c>
      <c r="Z909">
        <v>0</v>
      </c>
      <c r="AA909">
        <v>0</v>
      </c>
      <c r="AB909">
        <v>0</v>
      </c>
      <c r="AC909">
        <v>0</v>
      </c>
      <c r="AD909">
        <v>0</v>
      </c>
      <c r="AF909">
        <v>0</v>
      </c>
      <c r="AG909">
        <v>0</v>
      </c>
      <c r="AH909">
        <v>0</v>
      </c>
      <c r="AI909">
        <v>0</v>
      </c>
      <c r="AJ909">
        <v>0</v>
      </c>
      <c r="AK909">
        <v>0</v>
      </c>
      <c r="AL909">
        <v>0</v>
      </c>
      <c r="AM909">
        <v>0</v>
      </c>
      <c r="AN909">
        <v>0</v>
      </c>
      <c r="AO909">
        <v>0</v>
      </c>
      <c r="AP909">
        <v>0</v>
      </c>
      <c r="AQ909">
        <v>0</v>
      </c>
      <c r="AR909">
        <v>0</v>
      </c>
      <c r="AS909">
        <v>0</v>
      </c>
      <c r="AT909">
        <v>0</v>
      </c>
      <c r="AU909">
        <v>0</v>
      </c>
      <c r="AV909">
        <v>0</v>
      </c>
      <c r="AW909">
        <v>0</v>
      </c>
      <c r="AX909">
        <v>0</v>
      </c>
      <c r="AY909">
        <v>0</v>
      </c>
      <c r="AZ909">
        <v>0</v>
      </c>
      <c r="BA909">
        <v>0</v>
      </c>
      <c r="BB909">
        <v>0</v>
      </c>
      <c r="BC909">
        <v>0</v>
      </c>
      <c r="BD909">
        <v>0</v>
      </c>
      <c r="BE909">
        <v>0</v>
      </c>
      <c r="BF909">
        <v>0</v>
      </c>
      <c r="BG909">
        <v>0</v>
      </c>
      <c r="BH909">
        <v>0</v>
      </c>
      <c r="BI909">
        <v>0</v>
      </c>
      <c r="BK909" s="151"/>
    </row>
    <row r="910" spans="1:63" x14ac:dyDescent="0.35">
      <c r="A910">
        <v>0</v>
      </c>
      <c r="B910">
        <v>0</v>
      </c>
      <c r="C910">
        <v>0</v>
      </c>
      <c r="D910">
        <v>0</v>
      </c>
      <c r="E910">
        <v>0</v>
      </c>
      <c r="F910">
        <v>0</v>
      </c>
      <c r="G910">
        <v>0</v>
      </c>
      <c r="H910">
        <v>0</v>
      </c>
      <c r="I910">
        <v>0</v>
      </c>
      <c r="J910">
        <v>0</v>
      </c>
      <c r="K910">
        <v>0</v>
      </c>
      <c r="L910">
        <v>0</v>
      </c>
      <c r="M910">
        <v>0</v>
      </c>
      <c r="N910">
        <v>0</v>
      </c>
      <c r="O910">
        <v>0</v>
      </c>
      <c r="P910">
        <v>0</v>
      </c>
      <c r="Q910">
        <v>0</v>
      </c>
      <c r="R910">
        <v>0</v>
      </c>
      <c r="S910">
        <v>0</v>
      </c>
      <c r="T910">
        <v>0</v>
      </c>
      <c r="U910">
        <v>0</v>
      </c>
      <c r="V910">
        <v>0</v>
      </c>
      <c r="W910">
        <v>0</v>
      </c>
      <c r="X910">
        <v>0</v>
      </c>
      <c r="Y910">
        <v>0</v>
      </c>
      <c r="Z910">
        <v>0</v>
      </c>
      <c r="AA910">
        <v>0</v>
      </c>
      <c r="AB910">
        <v>0</v>
      </c>
      <c r="AC910">
        <v>0</v>
      </c>
      <c r="AD910">
        <v>0</v>
      </c>
      <c r="AF910">
        <v>0</v>
      </c>
      <c r="AG910">
        <v>0</v>
      </c>
      <c r="AH910">
        <v>0</v>
      </c>
      <c r="AI910">
        <v>0</v>
      </c>
      <c r="AJ910">
        <v>0</v>
      </c>
      <c r="AK910">
        <v>0</v>
      </c>
      <c r="AL910">
        <v>0</v>
      </c>
      <c r="AM910">
        <v>0</v>
      </c>
      <c r="AN910">
        <v>0</v>
      </c>
      <c r="AO910">
        <v>0</v>
      </c>
      <c r="AP910">
        <v>0</v>
      </c>
      <c r="AQ910">
        <v>0</v>
      </c>
      <c r="AR910">
        <v>0</v>
      </c>
      <c r="AS910">
        <v>0</v>
      </c>
      <c r="AT910">
        <v>0</v>
      </c>
      <c r="AU910">
        <v>0</v>
      </c>
      <c r="AV910">
        <v>0</v>
      </c>
      <c r="AW910">
        <v>0</v>
      </c>
      <c r="AX910">
        <v>0</v>
      </c>
      <c r="AY910">
        <v>0</v>
      </c>
      <c r="AZ910">
        <v>0</v>
      </c>
      <c r="BA910">
        <v>0</v>
      </c>
      <c r="BB910">
        <v>0</v>
      </c>
      <c r="BC910">
        <v>0</v>
      </c>
      <c r="BD910">
        <v>0</v>
      </c>
      <c r="BE910">
        <v>0</v>
      </c>
      <c r="BF910">
        <v>0</v>
      </c>
      <c r="BG910">
        <v>0</v>
      </c>
      <c r="BH910">
        <v>0</v>
      </c>
      <c r="BI910">
        <v>0</v>
      </c>
      <c r="BK910" s="151"/>
    </row>
    <row r="911" spans="1:63" x14ac:dyDescent="0.35">
      <c r="A911">
        <v>0</v>
      </c>
      <c r="B911">
        <v>0</v>
      </c>
      <c r="C911">
        <v>0</v>
      </c>
      <c r="D911">
        <v>0</v>
      </c>
      <c r="E911">
        <v>0</v>
      </c>
      <c r="F911">
        <v>0</v>
      </c>
      <c r="G911">
        <v>0</v>
      </c>
      <c r="H911">
        <v>0</v>
      </c>
      <c r="I911">
        <v>0</v>
      </c>
      <c r="J911">
        <v>0</v>
      </c>
      <c r="K911">
        <v>0</v>
      </c>
      <c r="L911">
        <v>0</v>
      </c>
      <c r="M911">
        <v>0</v>
      </c>
      <c r="N911">
        <v>0</v>
      </c>
      <c r="O911">
        <v>0</v>
      </c>
      <c r="P911">
        <v>0</v>
      </c>
      <c r="Q911">
        <v>0</v>
      </c>
      <c r="R911">
        <v>0</v>
      </c>
      <c r="S911">
        <v>0</v>
      </c>
      <c r="T911">
        <v>0</v>
      </c>
      <c r="U911">
        <v>0</v>
      </c>
      <c r="V911">
        <v>0</v>
      </c>
      <c r="W911">
        <v>0</v>
      </c>
      <c r="X911">
        <v>0</v>
      </c>
      <c r="Y911">
        <v>0</v>
      </c>
      <c r="Z911">
        <v>0</v>
      </c>
      <c r="AA911">
        <v>0</v>
      </c>
      <c r="AB911">
        <v>0</v>
      </c>
      <c r="AC911">
        <v>0</v>
      </c>
      <c r="AD911">
        <v>0</v>
      </c>
      <c r="AF911">
        <v>0</v>
      </c>
      <c r="AG911">
        <v>0</v>
      </c>
      <c r="AH911">
        <v>0</v>
      </c>
      <c r="AI911">
        <v>0</v>
      </c>
      <c r="AJ911">
        <v>0</v>
      </c>
      <c r="AK911">
        <v>0</v>
      </c>
      <c r="AL911">
        <v>0</v>
      </c>
      <c r="AM911">
        <v>0</v>
      </c>
      <c r="AN911">
        <v>0</v>
      </c>
      <c r="AO911">
        <v>0</v>
      </c>
      <c r="AP911">
        <v>0</v>
      </c>
      <c r="AQ911">
        <v>0</v>
      </c>
      <c r="AR911">
        <v>0</v>
      </c>
      <c r="AS911">
        <v>0</v>
      </c>
      <c r="AT911">
        <v>0</v>
      </c>
      <c r="AU911">
        <v>0</v>
      </c>
      <c r="AV911">
        <v>0</v>
      </c>
      <c r="AW911">
        <v>0</v>
      </c>
      <c r="AX911">
        <v>0</v>
      </c>
      <c r="AY911">
        <v>0</v>
      </c>
      <c r="AZ911">
        <v>0</v>
      </c>
      <c r="BA911">
        <v>0</v>
      </c>
      <c r="BB911">
        <v>0</v>
      </c>
      <c r="BC911">
        <v>0</v>
      </c>
      <c r="BD911">
        <v>0</v>
      </c>
      <c r="BE911">
        <v>0</v>
      </c>
      <c r="BF911">
        <v>0</v>
      </c>
      <c r="BG911">
        <v>0</v>
      </c>
      <c r="BH911">
        <v>0</v>
      </c>
      <c r="BI911">
        <v>0</v>
      </c>
      <c r="BK911" s="151"/>
    </row>
    <row r="912" spans="1:63" x14ac:dyDescent="0.35">
      <c r="A912">
        <v>0</v>
      </c>
      <c r="B912">
        <v>0</v>
      </c>
      <c r="C912">
        <v>0</v>
      </c>
      <c r="D912">
        <v>0</v>
      </c>
      <c r="E912">
        <v>0</v>
      </c>
      <c r="F912">
        <v>0</v>
      </c>
      <c r="G912">
        <v>0</v>
      </c>
      <c r="H912">
        <v>0</v>
      </c>
      <c r="I912">
        <v>0</v>
      </c>
      <c r="J912">
        <v>0</v>
      </c>
      <c r="K912">
        <v>0</v>
      </c>
      <c r="L912">
        <v>0</v>
      </c>
      <c r="M912">
        <v>0</v>
      </c>
      <c r="N912">
        <v>0</v>
      </c>
      <c r="O912">
        <v>0</v>
      </c>
      <c r="P912">
        <v>0</v>
      </c>
      <c r="Q912">
        <v>0</v>
      </c>
      <c r="R912">
        <v>0</v>
      </c>
      <c r="S912">
        <v>0</v>
      </c>
      <c r="T912">
        <v>0</v>
      </c>
      <c r="U912">
        <v>0</v>
      </c>
      <c r="V912">
        <v>0</v>
      </c>
      <c r="W912">
        <v>0</v>
      </c>
      <c r="X912">
        <v>0</v>
      </c>
      <c r="Y912">
        <v>0</v>
      </c>
      <c r="Z912">
        <v>0</v>
      </c>
      <c r="AA912">
        <v>0</v>
      </c>
      <c r="AB912">
        <v>0</v>
      </c>
      <c r="AC912">
        <v>0</v>
      </c>
      <c r="AD912">
        <v>0</v>
      </c>
      <c r="AF912">
        <v>0</v>
      </c>
      <c r="AG912">
        <v>0</v>
      </c>
      <c r="AH912">
        <v>0</v>
      </c>
      <c r="AI912">
        <v>0</v>
      </c>
      <c r="AJ912">
        <v>0</v>
      </c>
      <c r="AK912">
        <v>0</v>
      </c>
      <c r="AL912">
        <v>0</v>
      </c>
      <c r="AM912">
        <v>0</v>
      </c>
      <c r="AN912">
        <v>0</v>
      </c>
      <c r="AO912">
        <v>0</v>
      </c>
      <c r="AP912">
        <v>0</v>
      </c>
      <c r="AQ912">
        <v>0</v>
      </c>
      <c r="AR912">
        <v>0</v>
      </c>
      <c r="AS912">
        <v>0</v>
      </c>
      <c r="AT912">
        <v>0</v>
      </c>
      <c r="AU912">
        <v>0</v>
      </c>
      <c r="AV912">
        <v>0</v>
      </c>
      <c r="AW912">
        <v>0</v>
      </c>
      <c r="AX912">
        <v>0</v>
      </c>
      <c r="AY912">
        <v>0</v>
      </c>
      <c r="AZ912">
        <v>0</v>
      </c>
      <c r="BA912">
        <v>0</v>
      </c>
      <c r="BB912">
        <v>0</v>
      </c>
      <c r="BC912">
        <v>0</v>
      </c>
      <c r="BD912">
        <v>0</v>
      </c>
      <c r="BE912">
        <v>0</v>
      </c>
      <c r="BF912">
        <v>0</v>
      </c>
      <c r="BG912">
        <v>0</v>
      </c>
      <c r="BH912">
        <v>0</v>
      </c>
      <c r="BI912">
        <v>0</v>
      </c>
      <c r="BK912" s="151"/>
    </row>
    <row r="913" spans="1:63" x14ac:dyDescent="0.35">
      <c r="A913">
        <v>0</v>
      </c>
      <c r="B913">
        <v>0</v>
      </c>
      <c r="C913">
        <v>0</v>
      </c>
      <c r="D913">
        <v>0</v>
      </c>
      <c r="E913">
        <v>0</v>
      </c>
      <c r="F913">
        <v>0</v>
      </c>
      <c r="G913">
        <v>0</v>
      </c>
      <c r="H913">
        <v>0</v>
      </c>
      <c r="I913">
        <v>0</v>
      </c>
      <c r="J913">
        <v>0</v>
      </c>
      <c r="K913">
        <v>0</v>
      </c>
      <c r="L913">
        <v>0</v>
      </c>
      <c r="M913">
        <v>0</v>
      </c>
      <c r="N913">
        <v>0</v>
      </c>
      <c r="O913">
        <v>0</v>
      </c>
      <c r="P913">
        <v>0</v>
      </c>
      <c r="Q913">
        <v>0</v>
      </c>
      <c r="R913">
        <v>0</v>
      </c>
      <c r="S913">
        <v>0</v>
      </c>
      <c r="T913">
        <v>0</v>
      </c>
      <c r="U913">
        <v>0</v>
      </c>
      <c r="V913">
        <v>0</v>
      </c>
      <c r="W913">
        <v>0</v>
      </c>
      <c r="X913">
        <v>0</v>
      </c>
      <c r="Y913">
        <v>0</v>
      </c>
      <c r="Z913">
        <v>0</v>
      </c>
      <c r="AA913">
        <v>0</v>
      </c>
      <c r="AB913">
        <v>0</v>
      </c>
      <c r="AC913">
        <v>0</v>
      </c>
      <c r="AD913">
        <v>0</v>
      </c>
      <c r="AF913">
        <v>0</v>
      </c>
      <c r="AG913">
        <v>0</v>
      </c>
      <c r="AH913">
        <v>0</v>
      </c>
      <c r="AI913">
        <v>0</v>
      </c>
      <c r="AJ913">
        <v>0</v>
      </c>
      <c r="AK913">
        <v>0</v>
      </c>
      <c r="AL913">
        <v>0</v>
      </c>
      <c r="AM913">
        <v>0</v>
      </c>
      <c r="AN913">
        <v>0</v>
      </c>
      <c r="AO913">
        <v>0</v>
      </c>
      <c r="AP913">
        <v>0</v>
      </c>
      <c r="AQ913">
        <v>0</v>
      </c>
      <c r="AR913">
        <v>0</v>
      </c>
      <c r="AS913">
        <v>0</v>
      </c>
      <c r="AT913">
        <v>0</v>
      </c>
      <c r="AU913">
        <v>0</v>
      </c>
      <c r="AV913">
        <v>0</v>
      </c>
      <c r="AW913">
        <v>0</v>
      </c>
      <c r="AX913">
        <v>0</v>
      </c>
      <c r="AY913">
        <v>0</v>
      </c>
      <c r="AZ913">
        <v>0</v>
      </c>
      <c r="BA913">
        <v>0</v>
      </c>
      <c r="BB913">
        <v>0</v>
      </c>
      <c r="BC913">
        <v>0</v>
      </c>
      <c r="BD913">
        <v>0</v>
      </c>
      <c r="BE913">
        <v>0</v>
      </c>
      <c r="BF913">
        <v>0</v>
      </c>
      <c r="BG913">
        <v>0</v>
      </c>
      <c r="BH913">
        <v>0</v>
      </c>
      <c r="BI913">
        <v>0</v>
      </c>
      <c r="BK913" s="151"/>
    </row>
    <row r="914" spans="1:63" x14ac:dyDescent="0.35">
      <c r="A914">
        <v>0</v>
      </c>
      <c r="B914">
        <v>0</v>
      </c>
      <c r="C914">
        <v>0</v>
      </c>
      <c r="D914">
        <v>0</v>
      </c>
      <c r="E914">
        <v>0</v>
      </c>
      <c r="F914">
        <v>0</v>
      </c>
      <c r="G914">
        <v>0</v>
      </c>
      <c r="H914">
        <v>0</v>
      </c>
      <c r="I914">
        <v>0</v>
      </c>
      <c r="J914">
        <v>0</v>
      </c>
      <c r="K914">
        <v>0</v>
      </c>
      <c r="L914">
        <v>0</v>
      </c>
      <c r="M914">
        <v>0</v>
      </c>
      <c r="N914">
        <v>0</v>
      </c>
      <c r="O914">
        <v>0</v>
      </c>
      <c r="P914">
        <v>0</v>
      </c>
      <c r="Q914">
        <v>0</v>
      </c>
      <c r="R914">
        <v>0</v>
      </c>
      <c r="S914">
        <v>0</v>
      </c>
      <c r="T914">
        <v>0</v>
      </c>
      <c r="U914">
        <v>0</v>
      </c>
      <c r="V914">
        <v>0</v>
      </c>
      <c r="W914">
        <v>0</v>
      </c>
      <c r="X914">
        <v>0</v>
      </c>
      <c r="Y914">
        <v>0</v>
      </c>
      <c r="Z914">
        <v>0</v>
      </c>
      <c r="AA914">
        <v>0</v>
      </c>
      <c r="AB914">
        <v>0</v>
      </c>
      <c r="AC914">
        <v>0</v>
      </c>
      <c r="AD914">
        <v>0</v>
      </c>
      <c r="AF914">
        <v>0</v>
      </c>
      <c r="AG914">
        <v>0</v>
      </c>
      <c r="AH914">
        <v>0</v>
      </c>
      <c r="AI914">
        <v>0</v>
      </c>
      <c r="AJ914">
        <v>0</v>
      </c>
      <c r="AK914">
        <v>0</v>
      </c>
      <c r="AL914">
        <v>0</v>
      </c>
      <c r="AM914">
        <v>0</v>
      </c>
      <c r="AN914">
        <v>0</v>
      </c>
      <c r="AO914">
        <v>0</v>
      </c>
      <c r="AP914">
        <v>0</v>
      </c>
      <c r="AQ914">
        <v>0</v>
      </c>
      <c r="AR914">
        <v>0</v>
      </c>
      <c r="AS914">
        <v>0</v>
      </c>
      <c r="AT914">
        <v>0</v>
      </c>
      <c r="AU914">
        <v>0</v>
      </c>
      <c r="AV914">
        <v>0</v>
      </c>
      <c r="AW914">
        <v>0</v>
      </c>
      <c r="AX914">
        <v>0</v>
      </c>
      <c r="AY914">
        <v>0</v>
      </c>
      <c r="AZ914">
        <v>0</v>
      </c>
      <c r="BA914">
        <v>0</v>
      </c>
      <c r="BB914">
        <v>0</v>
      </c>
      <c r="BC914">
        <v>0</v>
      </c>
      <c r="BD914">
        <v>0</v>
      </c>
      <c r="BE914">
        <v>0</v>
      </c>
      <c r="BF914">
        <v>0</v>
      </c>
      <c r="BG914">
        <v>0</v>
      </c>
      <c r="BH914">
        <v>0</v>
      </c>
      <c r="BI914">
        <v>0</v>
      </c>
      <c r="BK914" s="151"/>
    </row>
    <row r="915" spans="1:63" x14ac:dyDescent="0.35">
      <c r="A915">
        <v>0</v>
      </c>
      <c r="B915">
        <v>0</v>
      </c>
      <c r="C915">
        <v>0</v>
      </c>
      <c r="D915">
        <v>0</v>
      </c>
      <c r="E915">
        <v>0</v>
      </c>
      <c r="F915">
        <v>0</v>
      </c>
      <c r="G915">
        <v>0</v>
      </c>
      <c r="H915">
        <v>0</v>
      </c>
      <c r="I915">
        <v>0</v>
      </c>
      <c r="J915">
        <v>0</v>
      </c>
      <c r="K915">
        <v>0</v>
      </c>
      <c r="L915">
        <v>0</v>
      </c>
      <c r="M915">
        <v>0</v>
      </c>
      <c r="N915">
        <v>0</v>
      </c>
      <c r="O915">
        <v>0</v>
      </c>
      <c r="P915">
        <v>0</v>
      </c>
      <c r="Q915">
        <v>0</v>
      </c>
      <c r="R915">
        <v>0</v>
      </c>
      <c r="S915">
        <v>0</v>
      </c>
      <c r="T915">
        <v>0</v>
      </c>
      <c r="U915">
        <v>0</v>
      </c>
      <c r="V915">
        <v>0</v>
      </c>
      <c r="W915">
        <v>0</v>
      </c>
      <c r="X915">
        <v>0</v>
      </c>
      <c r="Y915">
        <v>0</v>
      </c>
      <c r="Z915">
        <v>0</v>
      </c>
      <c r="AA915">
        <v>0</v>
      </c>
      <c r="AB915">
        <v>0</v>
      </c>
      <c r="AC915">
        <v>0</v>
      </c>
      <c r="AD915">
        <v>0</v>
      </c>
      <c r="AF915">
        <v>0</v>
      </c>
      <c r="AG915">
        <v>0</v>
      </c>
      <c r="AH915">
        <v>0</v>
      </c>
      <c r="AI915">
        <v>0</v>
      </c>
      <c r="AJ915">
        <v>0</v>
      </c>
      <c r="AK915">
        <v>0</v>
      </c>
      <c r="AL915">
        <v>0</v>
      </c>
      <c r="AM915">
        <v>0</v>
      </c>
      <c r="AN915">
        <v>0</v>
      </c>
      <c r="AO915">
        <v>0</v>
      </c>
      <c r="AP915">
        <v>0</v>
      </c>
      <c r="AQ915">
        <v>0</v>
      </c>
      <c r="AR915">
        <v>0</v>
      </c>
      <c r="AS915">
        <v>0</v>
      </c>
      <c r="AT915">
        <v>0</v>
      </c>
      <c r="AU915">
        <v>0</v>
      </c>
      <c r="AV915">
        <v>0</v>
      </c>
      <c r="AW915">
        <v>0</v>
      </c>
      <c r="AX915">
        <v>0</v>
      </c>
      <c r="AY915">
        <v>0</v>
      </c>
      <c r="AZ915">
        <v>0</v>
      </c>
      <c r="BA915">
        <v>0</v>
      </c>
      <c r="BB915">
        <v>0</v>
      </c>
      <c r="BC915">
        <v>0</v>
      </c>
      <c r="BD915">
        <v>0</v>
      </c>
      <c r="BE915">
        <v>0</v>
      </c>
      <c r="BF915">
        <v>0</v>
      </c>
      <c r="BG915">
        <v>0</v>
      </c>
      <c r="BH915">
        <v>0</v>
      </c>
      <c r="BI915">
        <v>0</v>
      </c>
      <c r="BK915" s="151"/>
    </row>
    <row r="916" spans="1:63" x14ac:dyDescent="0.35">
      <c r="A916">
        <v>0</v>
      </c>
      <c r="B916">
        <v>0</v>
      </c>
      <c r="C916">
        <v>0</v>
      </c>
      <c r="D916">
        <v>0</v>
      </c>
      <c r="E916">
        <v>0</v>
      </c>
      <c r="F916">
        <v>0</v>
      </c>
      <c r="G916">
        <v>0</v>
      </c>
      <c r="H916">
        <v>0</v>
      </c>
      <c r="I916">
        <v>0</v>
      </c>
      <c r="J916">
        <v>0</v>
      </c>
      <c r="K916">
        <v>0</v>
      </c>
      <c r="L916">
        <v>0</v>
      </c>
      <c r="M916">
        <v>0</v>
      </c>
      <c r="N916">
        <v>0</v>
      </c>
      <c r="O916">
        <v>0</v>
      </c>
      <c r="P916">
        <v>0</v>
      </c>
      <c r="Q916">
        <v>0</v>
      </c>
      <c r="R916">
        <v>0</v>
      </c>
      <c r="S916">
        <v>0</v>
      </c>
      <c r="T916">
        <v>0</v>
      </c>
      <c r="U916">
        <v>0</v>
      </c>
      <c r="V916">
        <v>0</v>
      </c>
      <c r="W916">
        <v>0</v>
      </c>
      <c r="X916">
        <v>0</v>
      </c>
      <c r="Y916">
        <v>0</v>
      </c>
      <c r="Z916">
        <v>0</v>
      </c>
      <c r="AA916">
        <v>0</v>
      </c>
      <c r="AB916">
        <v>0</v>
      </c>
      <c r="AC916">
        <v>0</v>
      </c>
      <c r="AD916">
        <v>0</v>
      </c>
      <c r="AF916">
        <v>0</v>
      </c>
      <c r="AG916">
        <v>0</v>
      </c>
      <c r="AH916">
        <v>0</v>
      </c>
      <c r="AI916">
        <v>0</v>
      </c>
      <c r="AJ916">
        <v>0</v>
      </c>
      <c r="AK916">
        <v>0</v>
      </c>
      <c r="AL916">
        <v>0</v>
      </c>
      <c r="AM916">
        <v>0</v>
      </c>
      <c r="AN916">
        <v>0</v>
      </c>
      <c r="AO916">
        <v>0</v>
      </c>
      <c r="AP916">
        <v>0</v>
      </c>
      <c r="AQ916">
        <v>0</v>
      </c>
      <c r="AR916">
        <v>0</v>
      </c>
      <c r="AS916">
        <v>0</v>
      </c>
      <c r="AT916">
        <v>0</v>
      </c>
      <c r="AU916">
        <v>0</v>
      </c>
      <c r="AV916">
        <v>0</v>
      </c>
      <c r="AW916">
        <v>0</v>
      </c>
      <c r="AX916">
        <v>0</v>
      </c>
      <c r="AY916">
        <v>0</v>
      </c>
      <c r="AZ916">
        <v>0</v>
      </c>
      <c r="BA916">
        <v>0</v>
      </c>
      <c r="BB916">
        <v>0</v>
      </c>
      <c r="BC916">
        <v>0</v>
      </c>
      <c r="BD916">
        <v>0</v>
      </c>
      <c r="BE916">
        <v>0</v>
      </c>
      <c r="BF916">
        <v>0</v>
      </c>
      <c r="BG916">
        <v>0</v>
      </c>
      <c r="BH916">
        <v>0</v>
      </c>
      <c r="BI916">
        <v>0</v>
      </c>
      <c r="BK916" s="151"/>
    </row>
    <row r="917" spans="1:63" x14ac:dyDescent="0.35">
      <c r="A917">
        <v>0</v>
      </c>
      <c r="B917">
        <v>0</v>
      </c>
      <c r="C917">
        <v>0</v>
      </c>
      <c r="D917">
        <v>0</v>
      </c>
      <c r="E917">
        <v>0</v>
      </c>
      <c r="F917">
        <v>0</v>
      </c>
      <c r="G917">
        <v>0</v>
      </c>
      <c r="H917">
        <v>0</v>
      </c>
      <c r="I917">
        <v>0</v>
      </c>
      <c r="J917">
        <v>0</v>
      </c>
      <c r="K917">
        <v>0</v>
      </c>
      <c r="L917">
        <v>0</v>
      </c>
      <c r="M917">
        <v>0</v>
      </c>
      <c r="N917">
        <v>0</v>
      </c>
      <c r="O917">
        <v>0</v>
      </c>
      <c r="P917">
        <v>0</v>
      </c>
      <c r="Q917">
        <v>0</v>
      </c>
      <c r="R917">
        <v>0</v>
      </c>
      <c r="S917">
        <v>0</v>
      </c>
      <c r="T917">
        <v>0</v>
      </c>
      <c r="U917">
        <v>0</v>
      </c>
      <c r="V917">
        <v>0</v>
      </c>
      <c r="W917">
        <v>0</v>
      </c>
      <c r="X917">
        <v>0</v>
      </c>
      <c r="Y917">
        <v>0</v>
      </c>
      <c r="Z917">
        <v>0</v>
      </c>
      <c r="AA917">
        <v>0</v>
      </c>
      <c r="AB917">
        <v>0</v>
      </c>
      <c r="AC917">
        <v>0</v>
      </c>
      <c r="AD917">
        <v>0</v>
      </c>
      <c r="AF917">
        <v>0</v>
      </c>
      <c r="AG917">
        <v>0</v>
      </c>
      <c r="AH917">
        <v>0</v>
      </c>
      <c r="AI917">
        <v>0</v>
      </c>
      <c r="AJ917">
        <v>0</v>
      </c>
      <c r="AK917">
        <v>0</v>
      </c>
      <c r="AL917">
        <v>0</v>
      </c>
      <c r="AM917">
        <v>0</v>
      </c>
      <c r="AN917">
        <v>0</v>
      </c>
      <c r="AO917">
        <v>0</v>
      </c>
      <c r="AP917">
        <v>0</v>
      </c>
      <c r="AQ917">
        <v>0</v>
      </c>
      <c r="AR917">
        <v>0</v>
      </c>
      <c r="AS917">
        <v>0</v>
      </c>
      <c r="AT917">
        <v>0</v>
      </c>
      <c r="AU917">
        <v>0</v>
      </c>
      <c r="AV917">
        <v>0</v>
      </c>
      <c r="AW917">
        <v>0</v>
      </c>
      <c r="AX917">
        <v>0</v>
      </c>
      <c r="AY917">
        <v>0</v>
      </c>
      <c r="AZ917">
        <v>0</v>
      </c>
      <c r="BA917">
        <v>0</v>
      </c>
      <c r="BB917">
        <v>0</v>
      </c>
      <c r="BC917">
        <v>0</v>
      </c>
      <c r="BD917">
        <v>0</v>
      </c>
      <c r="BE917">
        <v>0</v>
      </c>
      <c r="BF917">
        <v>0</v>
      </c>
      <c r="BG917">
        <v>0</v>
      </c>
      <c r="BH917">
        <v>0</v>
      </c>
      <c r="BI917">
        <v>0</v>
      </c>
      <c r="BK917" s="151"/>
    </row>
    <row r="918" spans="1:63" x14ac:dyDescent="0.35">
      <c r="A918">
        <v>0</v>
      </c>
      <c r="B918">
        <v>0</v>
      </c>
      <c r="C918">
        <v>0</v>
      </c>
      <c r="D918">
        <v>0</v>
      </c>
      <c r="E918">
        <v>0</v>
      </c>
      <c r="F918">
        <v>0</v>
      </c>
      <c r="G918">
        <v>0</v>
      </c>
      <c r="H918">
        <v>0</v>
      </c>
      <c r="I918">
        <v>0</v>
      </c>
      <c r="J918">
        <v>0</v>
      </c>
      <c r="K918">
        <v>0</v>
      </c>
      <c r="L918">
        <v>0</v>
      </c>
      <c r="M918">
        <v>0</v>
      </c>
      <c r="N918">
        <v>0</v>
      </c>
      <c r="O918">
        <v>0</v>
      </c>
      <c r="P918">
        <v>0</v>
      </c>
      <c r="Q918">
        <v>0</v>
      </c>
      <c r="R918">
        <v>0</v>
      </c>
      <c r="S918">
        <v>0</v>
      </c>
      <c r="T918">
        <v>0</v>
      </c>
      <c r="U918">
        <v>0</v>
      </c>
      <c r="V918">
        <v>0</v>
      </c>
      <c r="W918">
        <v>0</v>
      </c>
      <c r="X918">
        <v>0</v>
      </c>
      <c r="Y918">
        <v>0</v>
      </c>
      <c r="Z918">
        <v>0</v>
      </c>
      <c r="AA918">
        <v>0</v>
      </c>
      <c r="AB918">
        <v>0</v>
      </c>
      <c r="AC918">
        <v>0</v>
      </c>
      <c r="AD918">
        <v>0</v>
      </c>
      <c r="AF918">
        <v>0</v>
      </c>
      <c r="AG918">
        <v>0</v>
      </c>
      <c r="AH918">
        <v>0</v>
      </c>
      <c r="AI918">
        <v>0</v>
      </c>
      <c r="AJ918">
        <v>0</v>
      </c>
      <c r="AK918">
        <v>0</v>
      </c>
      <c r="AL918">
        <v>0</v>
      </c>
      <c r="AM918">
        <v>0</v>
      </c>
      <c r="AN918">
        <v>0</v>
      </c>
      <c r="AO918">
        <v>0</v>
      </c>
      <c r="AP918">
        <v>0</v>
      </c>
      <c r="AQ918">
        <v>0</v>
      </c>
      <c r="AR918">
        <v>0</v>
      </c>
      <c r="AS918">
        <v>0</v>
      </c>
      <c r="AT918">
        <v>0</v>
      </c>
      <c r="AU918">
        <v>0</v>
      </c>
      <c r="AV918">
        <v>0</v>
      </c>
      <c r="AW918">
        <v>0</v>
      </c>
      <c r="AX918">
        <v>0</v>
      </c>
      <c r="AY918">
        <v>0</v>
      </c>
      <c r="AZ918">
        <v>0</v>
      </c>
      <c r="BA918">
        <v>0</v>
      </c>
      <c r="BB918">
        <v>0</v>
      </c>
      <c r="BC918">
        <v>0</v>
      </c>
      <c r="BD918">
        <v>0</v>
      </c>
      <c r="BE918">
        <v>0</v>
      </c>
      <c r="BF918">
        <v>0</v>
      </c>
      <c r="BG918">
        <v>0</v>
      </c>
      <c r="BH918">
        <v>0</v>
      </c>
      <c r="BI918">
        <v>0</v>
      </c>
      <c r="BK918" s="151"/>
    </row>
    <row r="919" spans="1:63" x14ac:dyDescent="0.35">
      <c r="A919">
        <v>0</v>
      </c>
      <c r="B919">
        <v>0</v>
      </c>
      <c r="C919">
        <v>0</v>
      </c>
      <c r="D919">
        <v>0</v>
      </c>
      <c r="E919">
        <v>0</v>
      </c>
      <c r="F919">
        <v>0</v>
      </c>
      <c r="G919">
        <v>0</v>
      </c>
      <c r="H919">
        <v>0</v>
      </c>
      <c r="I919">
        <v>0</v>
      </c>
      <c r="J919">
        <v>0</v>
      </c>
      <c r="K919">
        <v>0</v>
      </c>
      <c r="L919">
        <v>0</v>
      </c>
      <c r="M919">
        <v>0</v>
      </c>
      <c r="N919">
        <v>0</v>
      </c>
      <c r="O919">
        <v>0</v>
      </c>
      <c r="P919">
        <v>0</v>
      </c>
      <c r="Q919">
        <v>0</v>
      </c>
      <c r="R919">
        <v>0</v>
      </c>
      <c r="S919">
        <v>0</v>
      </c>
      <c r="T919">
        <v>0</v>
      </c>
      <c r="U919">
        <v>0</v>
      </c>
      <c r="V919">
        <v>0</v>
      </c>
      <c r="W919">
        <v>0</v>
      </c>
      <c r="X919">
        <v>0</v>
      </c>
      <c r="Y919">
        <v>0</v>
      </c>
      <c r="Z919">
        <v>0</v>
      </c>
      <c r="AA919">
        <v>0</v>
      </c>
      <c r="AB919">
        <v>0</v>
      </c>
      <c r="AC919">
        <v>0</v>
      </c>
      <c r="AD919">
        <v>0</v>
      </c>
      <c r="AF919">
        <v>0</v>
      </c>
      <c r="AG919">
        <v>0</v>
      </c>
      <c r="AH919">
        <v>0</v>
      </c>
      <c r="AI919">
        <v>0</v>
      </c>
      <c r="AJ919">
        <v>0</v>
      </c>
      <c r="AK919">
        <v>0</v>
      </c>
      <c r="AL919">
        <v>0</v>
      </c>
      <c r="AM919">
        <v>0</v>
      </c>
      <c r="AN919">
        <v>0</v>
      </c>
      <c r="AO919">
        <v>0</v>
      </c>
      <c r="AP919">
        <v>0</v>
      </c>
      <c r="AQ919">
        <v>0</v>
      </c>
      <c r="AR919">
        <v>0</v>
      </c>
      <c r="AS919">
        <v>0</v>
      </c>
      <c r="AT919">
        <v>0</v>
      </c>
      <c r="AU919">
        <v>0</v>
      </c>
      <c r="AV919">
        <v>0</v>
      </c>
      <c r="AW919">
        <v>0</v>
      </c>
      <c r="AX919">
        <v>0</v>
      </c>
      <c r="AY919">
        <v>0</v>
      </c>
      <c r="AZ919">
        <v>0</v>
      </c>
      <c r="BA919">
        <v>0</v>
      </c>
      <c r="BB919">
        <v>0</v>
      </c>
      <c r="BC919">
        <v>0</v>
      </c>
      <c r="BD919">
        <v>0</v>
      </c>
      <c r="BE919">
        <v>0</v>
      </c>
      <c r="BF919">
        <v>0</v>
      </c>
      <c r="BG919">
        <v>0</v>
      </c>
      <c r="BH919">
        <v>0</v>
      </c>
      <c r="BI919">
        <v>0</v>
      </c>
      <c r="BK919" s="151"/>
    </row>
    <row r="920" spans="1:63" x14ac:dyDescent="0.35">
      <c r="A920">
        <v>0</v>
      </c>
      <c r="B920">
        <v>0</v>
      </c>
      <c r="C920">
        <v>0</v>
      </c>
      <c r="D920">
        <v>0</v>
      </c>
      <c r="E920">
        <v>0</v>
      </c>
      <c r="F920">
        <v>0</v>
      </c>
      <c r="G920">
        <v>0</v>
      </c>
      <c r="H920">
        <v>0</v>
      </c>
      <c r="I920">
        <v>0</v>
      </c>
      <c r="J920">
        <v>0</v>
      </c>
      <c r="K920">
        <v>0</v>
      </c>
      <c r="L920">
        <v>0</v>
      </c>
      <c r="M920">
        <v>0</v>
      </c>
      <c r="N920">
        <v>0</v>
      </c>
      <c r="O920">
        <v>0</v>
      </c>
      <c r="P920">
        <v>0</v>
      </c>
      <c r="Q920">
        <v>0</v>
      </c>
      <c r="R920">
        <v>0</v>
      </c>
      <c r="S920">
        <v>0</v>
      </c>
      <c r="T920">
        <v>0</v>
      </c>
      <c r="U920">
        <v>0</v>
      </c>
      <c r="V920">
        <v>0</v>
      </c>
      <c r="W920">
        <v>0</v>
      </c>
      <c r="X920">
        <v>0</v>
      </c>
      <c r="Y920">
        <v>0</v>
      </c>
      <c r="Z920">
        <v>0</v>
      </c>
      <c r="AA920">
        <v>0</v>
      </c>
      <c r="AB920">
        <v>0</v>
      </c>
      <c r="AC920">
        <v>0</v>
      </c>
      <c r="AD920">
        <v>0</v>
      </c>
      <c r="AF920">
        <v>0</v>
      </c>
      <c r="AG920">
        <v>0</v>
      </c>
      <c r="AH920">
        <v>0</v>
      </c>
      <c r="AI920">
        <v>0</v>
      </c>
      <c r="AJ920">
        <v>0</v>
      </c>
      <c r="AK920">
        <v>0</v>
      </c>
      <c r="AL920">
        <v>0</v>
      </c>
      <c r="AM920">
        <v>0</v>
      </c>
      <c r="AN920">
        <v>0</v>
      </c>
      <c r="AO920">
        <v>0</v>
      </c>
      <c r="AP920">
        <v>0</v>
      </c>
      <c r="AQ920">
        <v>0</v>
      </c>
      <c r="AR920">
        <v>0</v>
      </c>
      <c r="AS920">
        <v>0</v>
      </c>
      <c r="AT920">
        <v>0</v>
      </c>
      <c r="AU920">
        <v>0</v>
      </c>
      <c r="AV920">
        <v>0</v>
      </c>
      <c r="AW920">
        <v>0</v>
      </c>
      <c r="AX920">
        <v>0</v>
      </c>
      <c r="AY920">
        <v>0</v>
      </c>
      <c r="AZ920">
        <v>0</v>
      </c>
      <c r="BA920">
        <v>0</v>
      </c>
      <c r="BB920">
        <v>0</v>
      </c>
      <c r="BC920">
        <v>0</v>
      </c>
      <c r="BD920">
        <v>0</v>
      </c>
      <c r="BE920">
        <v>0</v>
      </c>
      <c r="BF920">
        <v>0</v>
      </c>
      <c r="BG920">
        <v>0</v>
      </c>
      <c r="BH920">
        <v>0</v>
      </c>
      <c r="BI920">
        <v>0</v>
      </c>
      <c r="BK920" s="151"/>
    </row>
    <row r="921" spans="1:63" x14ac:dyDescent="0.35">
      <c r="A921">
        <v>0</v>
      </c>
      <c r="B921">
        <v>0</v>
      </c>
      <c r="C921">
        <v>0</v>
      </c>
      <c r="D921">
        <v>0</v>
      </c>
      <c r="E921">
        <v>0</v>
      </c>
      <c r="F921">
        <v>0</v>
      </c>
      <c r="G921">
        <v>0</v>
      </c>
      <c r="H921">
        <v>0</v>
      </c>
      <c r="I921">
        <v>0</v>
      </c>
      <c r="J921">
        <v>0</v>
      </c>
      <c r="K921">
        <v>0</v>
      </c>
      <c r="L921">
        <v>0</v>
      </c>
      <c r="M921">
        <v>0</v>
      </c>
      <c r="N921">
        <v>0</v>
      </c>
      <c r="O921">
        <v>0</v>
      </c>
      <c r="P921">
        <v>0</v>
      </c>
      <c r="Q921">
        <v>0</v>
      </c>
      <c r="R921">
        <v>0</v>
      </c>
      <c r="S921">
        <v>0</v>
      </c>
      <c r="T921">
        <v>0</v>
      </c>
      <c r="U921">
        <v>0</v>
      </c>
      <c r="V921">
        <v>0</v>
      </c>
      <c r="W921">
        <v>0</v>
      </c>
      <c r="X921">
        <v>0</v>
      </c>
      <c r="Y921">
        <v>0</v>
      </c>
      <c r="Z921">
        <v>0</v>
      </c>
      <c r="AA921">
        <v>0</v>
      </c>
      <c r="AB921">
        <v>0</v>
      </c>
      <c r="AC921">
        <v>0</v>
      </c>
      <c r="AD921">
        <v>0</v>
      </c>
      <c r="AF921">
        <v>0</v>
      </c>
      <c r="AG921">
        <v>0</v>
      </c>
      <c r="AH921">
        <v>0</v>
      </c>
      <c r="AI921">
        <v>0</v>
      </c>
      <c r="AJ921">
        <v>0</v>
      </c>
      <c r="AK921">
        <v>0</v>
      </c>
      <c r="AL921">
        <v>0</v>
      </c>
      <c r="AM921">
        <v>0</v>
      </c>
      <c r="AN921">
        <v>0</v>
      </c>
      <c r="AO921">
        <v>0</v>
      </c>
      <c r="AP921">
        <v>0</v>
      </c>
      <c r="AQ921">
        <v>0</v>
      </c>
      <c r="AR921">
        <v>0</v>
      </c>
      <c r="AS921">
        <v>0</v>
      </c>
      <c r="AT921">
        <v>0</v>
      </c>
      <c r="AU921">
        <v>0</v>
      </c>
      <c r="AV921">
        <v>0</v>
      </c>
      <c r="AW921">
        <v>0</v>
      </c>
      <c r="AX921">
        <v>0</v>
      </c>
      <c r="AY921">
        <v>0</v>
      </c>
      <c r="AZ921">
        <v>0</v>
      </c>
      <c r="BA921">
        <v>0</v>
      </c>
      <c r="BB921">
        <v>0</v>
      </c>
      <c r="BC921">
        <v>0</v>
      </c>
      <c r="BD921">
        <v>0</v>
      </c>
      <c r="BE921">
        <v>0</v>
      </c>
      <c r="BF921">
        <v>0</v>
      </c>
      <c r="BG921">
        <v>0</v>
      </c>
      <c r="BH921">
        <v>0</v>
      </c>
      <c r="BI921">
        <v>0</v>
      </c>
      <c r="BK921" s="151"/>
    </row>
    <row r="922" spans="1:63" x14ac:dyDescent="0.35">
      <c r="A922">
        <v>0</v>
      </c>
      <c r="B922">
        <v>0</v>
      </c>
      <c r="C922">
        <v>0</v>
      </c>
      <c r="D922">
        <v>0</v>
      </c>
      <c r="E922">
        <v>0</v>
      </c>
      <c r="F922">
        <v>0</v>
      </c>
      <c r="G922">
        <v>0</v>
      </c>
      <c r="H922">
        <v>0</v>
      </c>
      <c r="I922">
        <v>0</v>
      </c>
      <c r="J922">
        <v>0</v>
      </c>
      <c r="K922">
        <v>0</v>
      </c>
      <c r="L922">
        <v>0</v>
      </c>
      <c r="M922">
        <v>0</v>
      </c>
      <c r="N922">
        <v>0</v>
      </c>
      <c r="O922">
        <v>0</v>
      </c>
      <c r="P922">
        <v>0</v>
      </c>
      <c r="Q922">
        <v>0</v>
      </c>
      <c r="R922">
        <v>0</v>
      </c>
      <c r="S922">
        <v>0</v>
      </c>
      <c r="T922">
        <v>0</v>
      </c>
      <c r="U922">
        <v>0</v>
      </c>
      <c r="V922">
        <v>0</v>
      </c>
      <c r="W922">
        <v>0</v>
      </c>
      <c r="X922">
        <v>0</v>
      </c>
      <c r="Y922">
        <v>0</v>
      </c>
      <c r="Z922">
        <v>0</v>
      </c>
      <c r="AA922">
        <v>0</v>
      </c>
      <c r="AB922">
        <v>0</v>
      </c>
      <c r="AC922">
        <v>0</v>
      </c>
      <c r="AD922">
        <v>0</v>
      </c>
      <c r="AF922">
        <v>0</v>
      </c>
      <c r="AG922">
        <v>0</v>
      </c>
      <c r="AH922">
        <v>0</v>
      </c>
      <c r="AI922">
        <v>0</v>
      </c>
      <c r="AJ922">
        <v>0</v>
      </c>
      <c r="AK922">
        <v>0</v>
      </c>
      <c r="AL922">
        <v>0</v>
      </c>
      <c r="AM922">
        <v>0</v>
      </c>
      <c r="AN922">
        <v>0</v>
      </c>
      <c r="AO922">
        <v>0</v>
      </c>
      <c r="AP922">
        <v>0</v>
      </c>
      <c r="AQ922">
        <v>0</v>
      </c>
      <c r="AR922">
        <v>0</v>
      </c>
      <c r="AS922">
        <v>0</v>
      </c>
      <c r="AT922">
        <v>0</v>
      </c>
      <c r="AU922">
        <v>0</v>
      </c>
      <c r="AV922">
        <v>0</v>
      </c>
      <c r="AW922">
        <v>0</v>
      </c>
      <c r="AX922">
        <v>0</v>
      </c>
      <c r="AY922">
        <v>0</v>
      </c>
      <c r="AZ922">
        <v>0</v>
      </c>
      <c r="BA922">
        <v>0</v>
      </c>
      <c r="BB922">
        <v>0</v>
      </c>
      <c r="BC922">
        <v>0</v>
      </c>
      <c r="BD922">
        <v>0</v>
      </c>
      <c r="BE922">
        <v>0</v>
      </c>
      <c r="BF922">
        <v>0</v>
      </c>
      <c r="BG922">
        <v>0</v>
      </c>
      <c r="BH922">
        <v>0</v>
      </c>
      <c r="BI922">
        <v>0</v>
      </c>
      <c r="BK922" s="151"/>
    </row>
    <row r="923" spans="1:63" x14ac:dyDescent="0.35">
      <c r="A923">
        <v>0</v>
      </c>
      <c r="B923">
        <v>0</v>
      </c>
      <c r="C923">
        <v>0</v>
      </c>
      <c r="D923">
        <v>0</v>
      </c>
      <c r="E923">
        <v>0</v>
      </c>
      <c r="F923">
        <v>0</v>
      </c>
      <c r="G923">
        <v>0</v>
      </c>
      <c r="H923">
        <v>0</v>
      </c>
      <c r="I923">
        <v>0</v>
      </c>
      <c r="J923">
        <v>0</v>
      </c>
      <c r="K923">
        <v>0</v>
      </c>
      <c r="L923">
        <v>0</v>
      </c>
      <c r="M923">
        <v>0</v>
      </c>
      <c r="N923">
        <v>0</v>
      </c>
      <c r="O923">
        <v>0</v>
      </c>
      <c r="P923">
        <v>0</v>
      </c>
      <c r="Q923">
        <v>0</v>
      </c>
      <c r="R923">
        <v>0</v>
      </c>
      <c r="S923">
        <v>0</v>
      </c>
      <c r="T923">
        <v>0</v>
      </c>
      <c r="U923">
        <v>0</v>
      </c>
      <c r="V923">
        <v>0</v>
      </c>
      <c r="W923">
        <v>0</v>
      </c>
      <c r="X923">
        <v>0</v>
      </c>
      <c r="Y923">
        <v>0</v>
      </c>
      <c r="Z923">
        <v>0</v>
      </c>
      <c r="AA923">
        <v>0</v>
      </c>
      <c r="AB923">
        <v>0</v>
      </c>
      <c r="AC923">
        <v>0</v>
      </c>
      <c r="AD923">
        <v>0</v>
      </c>
      <c r="AF923">
        <v>0</v>
      </c>
      <c r="AG923">
        <v>0</v>
      </c>
      <c r="AH923">
        <v>0</v>
      </c>
      <c r="AI923">
        <v>0</v>
      </c>
      <c r="AJ923">
        <v>0</v>
      </c>
      <c r="AK923">
        <v>0</v>
      </c>
      <c r="AL923">
        <v>0</v>
      </c>
      <c r="AM923">
        <v>0</v>
      </c>
      <c r="AN923">
        <v>0</v>
      </c>
      <c r="AO923">
        <v>0</v>
      </c>
      <c r="AP923">
        <v>0</v>
      </c>
      <c r="AQ923">
        <v>0</v>
      </c>
      <c r="AR923">
        <v>0</v>
      </c>
      <c r="AS923">
        <v>0</v>
      </c>
      <c r="AT923">
        <v>0</v>
      </c>
      <c r="AU923">
        <v>0</v>
      </c>
      <c r="AV923">
        <v>0</v>
      </c>
      <c r="AW923">
        <v>0</v>
      </c>
      <c r="AX923">
        <v>0</v>
      </c>
      <c r="AY923">
        <v>0</v>
      </c>
      <c r="AZ923">
        <v>0</v>
      </c>
      <c r="BA923">
        <v>0</v>
      </c>
      <c r="BB923">
        <v>0</v>
      </c>
      <c r="BC923">
        <v>0</v>
      </c>
      <c r="BD923">
        <v>0</v>
      </c>
      <c r="BE923">
        <v>0</v>
      </c>
      <c r="BF923">
        <v>0</v>
      </c>
      <c r="BG923">
        <v>0</v>
      </c>
      <c r="BH923">
        <v>0</v>
      </c>
      <c r="BI923">
        <v>0</v>
      </c>
      <c r="BK923" s="151"/>
    </row>
    <row r="924" spans="1:63" x14ac:dyDescent="0.35">
      <c r="A924">
        <v>0</v>
      </c>
      <c r="B924">
        <v>0</v>
      </c>
      <c r="C924">
        <v>0</v>
      </c>
      <c r="D924">
        <v>0</v>
      </c>
      <c r="E924">
        <v>0</v>
      </c>
      <c r="F924">
        <v>0</v>
      </c>
      <c r="G924">
        <v>0</v>
      </c>
      <c r="H924">
        <v>0</v>
      </c>
      <c r="I924">
        <v>0</v>
      </c>
      <c r="J924">
        <v>0</v>
      </c>
      <c r="K924">
        <v>0</v>
      </c>
      <c r="L924">
        <v>0</v>
      </c>
      <c r="M924">
        <v>0</v>
      </c>
      <c r="N924">
        <v>0</v>
      </c>
      <c r="O924">
        <v>0</v>
      </c>
      <c r="P924">
        <v>0</v>
      </c>
      <c r="Q924">
        <v>0</v>
      </c>
      <c r="R924">
        <v>0</v>
      </c>
      <c r="S924">
        <v>0</v>
      </c>
      <c r="T924">
        <v>0</v>
      </c>
      <c r="U924">
        <v>0</v>
      </c>
      <c r="V924">
        <v>0</v>
      </c>
      <c r="W924">
        <v>0</v>
      </c>
      <c r="X924">
        <v>0</v>
      </c>
      <c r="Y924">
        <v>0</v>
      </c>
      <c r="Z924">
        <v>0</v>
      </c>
      <c r="AA924">
        <v>0</v>
      </c>
      <c r="AB924">
        <v>0</v>
      </c>
      <c r="AC924">
        <v>0</v>
      </c>
      <c r="AD924">
        <v>0</v>
      </c>
      <c r="AF924">
        <v>0</v>
      </c>
      <c r="AG924">
        <v>0</v>
      </c>
      <c r="AH924">
        <v>0</v>
      </c>
      <c r="AI924">
        <v>0</v>
      </c>
      <c r="AJ924">
        <v>0</v>
      </c>
      <c r="AK924">
        <v>0</v>
      </c>
      <c r="AL924">
        <v>0</v>
      </c>
      <c r="AM924">
        <v>0</v>
      </c>
      <c r="AN924">
        <v>0</v>
      </c>
      <c r="AO924">
        <v>0</v>
      </c>
      <c r="AP924">
        <v>0</v>
      </c>
      <c r="AQ924">
        <v>0</v>
      </c>
      <c r="AR924">
        <v>0</v>
      </c>
      <c r="AS924">
        <v>0</v>
      </c>
      <c r="AT924">
        <v>0</v>
      </c>
      <c r="AU924">
        <v>0</v>
      </c>
      <c r="AV924">
        <v>0</v>
      </c>
      <c r="AW924">
        <v>0</v>
      </c>
      <c r="AX924">
        <v>0</v>
      </c>
      <c r="AY924">
        <v>0</v>
      </c>
      <c r="AZ924">
        <v>0</v>
      </c>
      <c r="BA924">
        <v>0</v>
      </c>
      <c r="BB924">
        <v>0</v>
      </c>
      <c r="BC924">
        <v>0</v>
      </c>
      <c r="BD924">
        <v>0</v>
      </c>
      <c r="BE924">
        <v>0</v>
      </c>
      <c r="BF924">
        <v>0</v>
      </c>
      <c r="BG924">
        <v>0</v>
      </c>
      <c r="BH924">
        <v>0</v>
      </c>
      <c r="BI924">
        <v>0</v>
      </c>
      <c r="BK924" s="151"/>
    </row>
    <row r="925" spans="1:63" x14ac:dyDescent="0.35">
      <c r="A925">
        <v>0</v>
      </c>
      <c r="B925">
        <v>0</v>
      </c>
      <c r="C925">
        <v>0</v>
      </c>
      <c r="D925">
        <v>0</v>
      </c>
      <c r="E925">
        <v>0</v>
      </c>
      <c r="F925">
        <v>0</v>
      </c>
      <c r="G925">
        <v>0</v>
      </c>
      <c r="H925">
        <v>0</v>
      </c>
      <c r="I925">
        <v>0</v>
      </c>
      <c r="J925">
        <v>0</v>
      </c>
      <c r="K925">
        <v>0</v>
      </c>
      <c r="L925">
        <v>0</v>
      </c>
      <c r="M925">
        <v>0</v>
      </c>
      <c r="N925">
        <v>0</v>
      </c>
      <c r="O925">
        <v>0</v>
      </c>
      <c r="P925">
        <v>0</v>
      </c>
      <c r="Q925">
        <v>0</v>
      </c>
      <c r="R925">
        <v>0</v>
      </c>
      <c r="S925">
        <v>0</v>
      </c>
      <c r="T925">
        <v>0</v>
      </c>
      <c r="U925">
        <v>0</v>
      </c>
      <c r="V925">
        <v>0</v>
      </c>
      <c r="W925">
        <v>0</v>
      </c>
      <c r="X925">
        <v>0</v>
      </c>
      <c r="Y925">
        <v>0</v>
      </c>
      <c r="Z925">
        <v>0</v>
      </c>
      <c r="AA925">
        <v>0</v>
      </c>
      <c r="AB925">
        <v>0</v>
      </c>
      <c r="AC925">
        <v>0</v>
      </c>
      <c r="AD925">
        <v>0</v>
      </c>
      <c r="AF925">
        <v>0</v>
      </c>
      <c r="AG925">
        <v>0</v>
      </c>
      <c r="AH925">
        <v>0</v>
      </c>
      <c r="AI925">
        <v>0</v>
      </c>
      <c r="AJ925">
        <v>0</v>
      </c>
      <c r="AK925">
        <v>0</v>
      </c>
      <c r="AL925">
        <v>0</v>
      </c>
      <c r="AM925">
        <v>0</v>
      </c>
      <c r="AN925">
        <v>0</v>
      </c>
      <c r="AO925">
        <v>0</v>
      </c>
      <c r="AP925">
        <v>0</v>
      </c>
      <c r="AQ925">
        <v>0</v>
      </c>
      <c r="AR925">
        <v>0</v>
      </c>
      <c r="AS925">
        <v>0</v>
      </c>
      <c r="AT925">
        <v>0</v>
      </c>
      <c r="AU925">
        <v>0</v>
      </c>
      <c r="AV925">
        <v>0</v>
      </c>
      <c r="AW925">
        <v>0</v>
      </c>
      <c r="AX925">
        <v>0</v>
      </c>
      <c r="AY925">
        <v>0</v>
      </c>
      <c r="AZ925">
        <v>0</v>
      </c>
      <c r="BA925">
        <v>0</v>
      </c>
      <c r="BB925">
        <v>0</v>
      </c>
      <c r="BC925">
        <v>0</v>
      </c>
      <c r="BD925">
        <v>0</v>
      </c>
      <c r="BE925">
        <v>0</v>
      </c>
      <c r="BF925">
        <v>0</v>
      </c>
      <c r="BG925">
        <v>0</v>
      </c>
      <c r="BH925">
        <v>0</v>
      </c>
      <c r="BI925">
        <v>0</v>
      </c>
      <c r="BK925" s="151"/>
    </row>
    <row r="926" spans="1:63" x14ac:dyDescent="0.35">
      <c r="A926">
        <v>0</v>
      </c>
      <c r="B926">
        <v>0</v>
      </c>
      <c r="C926">
        <v>0</v>
      </c>
      <c r="D926">
        <v>0</v>
      </c>
      <c r="E926">
        <v>0</v>
      </c>
      <c r="F926">
        <v>0</v>
      </c>
      <c r="G926">
        <v>0</v>
      </c>
      <c r="H926">
        <v>0</v>
      </c>
      <c r="I926">
        <v>0</v>
      </c>
      <c r="J926">
        <v>0</v>
      </c>
      <c r="K926">
        <v>0</v>
      </c>
      <c r="L926">
        <v>0</v>
      </c>
      <c r="M926">
        <v>0</v>
      </c>
      <c r="N926">
        <v>0</v>
      </c>
      <c r="O926">
        <v>0</v>
      </c>
      <c r="P926">
        <v>0</v>
      </c>
      <c r="Q926">
        <v>0</v>
      </c>
      <c r="R926">
        <v>0</v>
      </c>
      <c r="S926">
        <v>0</v>
      </c>
      <c r="T926">
        <v>0</v>
      </c>
      <c r="U926">
        <v>0</v>
      </c>
      <c r="V926">
        <v>0</v>
      </c>
      <c r="W926">
        <v>0</v>
      </c>
      <c r="X926">
        <v>0</v>
      </c>
      <c r="Y926">
        <v>0</v>
      </c>
      <c r="Z926">
        <v>0</v>
      </c>
      <c r="AA926">
        <v>0</v>
      </c>
      <c r="AB926">
        <v>0</v>
      </c>
      <c r="AC926">
        <v>0</v>
      </c>
      <c r="AD926">
        <v>0</v>
      </c>
      <c r="AF926">
        <v>0</v>
      </c>
      <c r="AG926">
        <v>0</v>
      </c>
      <c r="AH926">
        <v>0</v>
      </c>
      <c r="AI926">
        <v>0</v>
      </c>
      <c r="AJ926">
        <v>0</v>
      </c>
      <c r="AK926">
        <v>0</v>
      </c>
      <c r="AL926">
        <v>0</v>
      </c>
      <c r="AM926">
        <v>0</v>
      </c>
      <c r="AN926">
        <v>0</v>
      </c>
      <c r="AO926">
        <v>0</v>
      </c>
      <c r="AP926">
        <v>0</v>
      </c>
      <c r="AQ926">
        <v>0</v>
      </c>
      <c r="AR926">
        <v>0</v>
      </c>
      <c r="AS926">
        <v>0</v>
      </c>
      <c r="AT926">
        <v>0</v>
      </c>
      <c r="AU926">
        <v>0</v>
      </c>
      <c r="AV926">
        <v>0</v>
      </c>
      <c r="AW926">
        <v>0</v>
      </c>
      <c r="AX926">
        <v>0</v>
      </c>
      <c r="AY926">
        <v>0</v>
      </c>
      <c r="AZ926">
        <v>0</v>
      </c>
      <c r="BA926">
        <v>0</v>
      </c>
      <c r="BB926">
        <v>0</v>
      </c>
      <c r="BC926">
        <v>0</v>
      </c>
      <c r="BD926">
        <v>0</v>
      </c>
      <c r="BE926">
        <v>0</v>
      </c>
      <c r="BF926">
        <v>0</v>
      </c>
      <c r="BG926">
        <v>0</v>
      </c>
      <c r="BH926">
        <v>0</v>
      </c>
      <c r="BI926">
        <v>0</v>
      </c>
      <c r="BK926" s="151"/>
    </row>
    <row r="927" spans="1:63" x14ac:dyDescent="0.35">
      <c r="A927">
        <v>0</v>
      </c>
      <c r="B927">
        <v>0</v>
      </c>
      <c r="C927">
        <v>0</v>
      </c>
      <c r="D927">
        <v>0</v>
      </c>
      <c r="E927">
        <v>0</v>
      </c>
      <c r="F927">
        <v>0</v>
      </c>
      <c r="G927">
        <v>0</v>
      </c>
      <c r="H927">
        <v>0</v>
      </c>
      <c r="I927">
        <v>0</v>
      </c>
      <c r="J927">
        <v>0</v>
      </c>
      <c r="K927">
        <v>0</v>
      </c>
      <c r="L927">
        <v>0</v>
      </c>
      <c r="M927">
        <v>0</v>
      </c>
      <c r="N927">
        <v>0</v>
      </c>
      <c r="O927">
        <v>0</v>
      </c>
      <c r="P927">
        <v>0</v>
      </c>
      <c r="Q927">
        <v>0</v>
      </c>
      <c r="R927">
        <v>0</v>
      </c>
      <c r="S927">
        <v>0</v>
      </c>
      <c r="T927">
        <v>0</v>
      </c>
      <c r="U927">
        <v>0</v>
      </c>
      <c r="V927">
        <v>0</v>
      </c>
      <c r="W927">
        <v>0</v>
      </c>
      <c r="X927">
        <v>0</v>
      </c>
      <c r="Y927">
        <v>0</v>
      </c>
      <c r="Z927">
        <v>0</v>
      </c>
      <c r="AA927">
        <v>0</v>
      </c>
      <c r="AB927">
        <v>0</v>
      </c>
      <c r="AC927">
        <v>0</v>
      </c>
      <c r="AD927">
        <v>0</v>
      </c>
      <c r="AF927">
        <v>0</v>
      </c>
      <c r="AG927">
        <v>0</v>
      </c>
      <c r="AH927">
        <v>0</v>
      </c>
      <c r="AI927">
        <v>0</v>
      </c>
      <c r="AJ927">
        <v>0</v>
      </c>
      <c r="AK927">
        <v>0</v>
      </c>
      <c r="AL927">
        <v>0</v>
      </c>
      <c r="AM927">
        <v>0</v>
      </c>
      <c r="AN927">
        <v>0</v>
      </c>
      <c r="AO927">
        <v>0</v>
      </c>
      <c r="AP927">
        <v>0</v>
      </c>
      <c r="AQ927">
        <v>0</v>
      </c>
      <c r="AR927">
        <v>0</v>
      </c>
      <c r="AS927">
        <v>0</v>
      </c>
      <c r="AT927">
        <v>0</v>
      </c>
      <c r="AU927">
        <v>0</v>
      </c>
      <c r="AV927">
        <v>0</v>
      </c>
      <c r="AW927">
        <v>0</v>
      </c>
      <c r="AX927">
        <v>0</v>
      </c>
      <c r="AY927">
        <v>0</v>
      </c>
      <c r="AZ927">
        <v>0</v>
      </c>
      <c r="BA927">
        <v>0</v>
      </c>
      <c r="BB927">
        <v>0</v>
      </c>
      <c r="BC927">
        <v>0</v>
      </c>
      <c r="BD927">
        <v>0</v>
      </c>
      <c r="BE927">
        <v>0</v>
      </c>
      <c r="BF927">
        <v>0</v>
      </c>
      <c r="BG927">
        <v>0</v>
      </c>
      <c r="BH927">
        <v>0</v>
      </c>
      <c r="BI927">
        <v>0</v>
      </c>
      <c r="BK927" s="151"/>
    </row>
    <row r="928" spans="1:63" x14ac:dyDescent="0.35">
      <c r="A928">
        <v>0</v>
      </c>
      <c r="B928">
        <v>0</v>
      </c>
      <c r="C928">
        <v>0</v>
      </c>
      <c r="D928">
        <v>0</v>
      </c>
      <c r="E928">
        <v>0</v>
      </c>
      <c r="F928">
        <v>0</v>
      </c>
      <c r="G928">
        <v>0</v>
      </c>
      <c r="H928">
        <v>0</v>
      </c>
      <c r="I928">
        <v>0</v>
      </c>
      <c r="J928">
        <v>0</v>
      </c>
      <c r="K928">
        <v>0</v>
      </c>
      <c r="L928">
        <v>0</v>
      </c>
      <c r="M928">
        <v>0</v>
      </c>
      <c r="N928">
        <v>0</v>
      </c>
      <c r="O928">
        <v>0</v>
      </c>
      <c r="P928">
        <v>0</v>
      </c>
      <c r="Q928">
        <v>0</v>
      </c>
      <c r="R928">
        <v>0</v>
      </c>
      <c r="S928">
        <v>0</v>
      </c>
      <c r="T928">
        <v>0</v>
      </c>
      <c r="U928">
        <v>0</v>
      </c>
      <c r="V928">
        <v>0</v>
      </c>
      <c r="W928">
        <v>0</v>
      </c>
      <c r="X928">
        <v>0</v>
      </c>
      <c r="Y928">
        <v>0</v>
      </c>
      <c r="Z928">
        <v>0</v>
      </c>
      <c r="AA928">
        <v>0</v>
      </c>
      <c r="AB928">
        <v>0</v>
      </c>
      <c r="AC928">
        <v>0</v>
      </c>
      <c r="AD928">
        <v>0</v>
      </c>
      <c r="AF928">
        <v>0</v>
      </c>
      <c r="AG928">
        <v>0</v>
      </c>
      <c r="AH928">
        <v>0</v>
      </c>
      <c r="AI928">
        <v>0</v>
      </c>
      <c r="AJ928">
        <v>0</v>
      </c>
      <c r="AK928">
        <v>0</v>
      </c>
      <c r="AL928">
        <v>0</v>
      </c>
      <c r="AM928">
        <v>0</v>
      </c>
      <c r="AN928">
        <v>0</v>
      </c>
      <c r="AO928">
        <v>0</v>
      </c>
      <c r="AP928">
        <v>0</v>
      </c>
      <c r="AQ928">
        <v>0</v>
      </c>
      <c r="AR928">
        <v>0</v>
      </c>
      <c r="AS928">
        <v>0</v>
      </c>
      <c r="AT928">
        <v>0</v>
      </c>
      <c r="AU928">
        <v>0</v>
      </c>
      <c r="AV928">
        <v>0</v>
      </c>
      <c r="AW928">
        <v>0</v>
      </c>
      <c r="AX928">
        <v>0</v>
      </c>
      <c r="AY928">
        <v>0</v>
      </c>
      <c r="AZ928">
        <v>0</v>
      </c>
      <c r="BA928">
        <v>0</v>
      </c>
      <c r="BB928">
        <v>0</v>
      </c>
      <c r="BC928">
        <v>0</v>
      </c>
      <c r="BD928">
        <v>0</v>
      </c>
      <c r="BE928">
        <v>0</v>
      </c>
      <c r="BF928">
        <v>0</v>
      </c>
      <c r="BG928">
        <v>0</v>
      </c>
      <c r="BH928">
        <v>0</v>
      </c>
      <c r="BI928">
        <v>0</v>
      </c>
      <c r="BK928" s="151"/>
    </row>
    <row r="929" spans="1:63" x14ac:dyDescent="0.35">
      <c r="A929">
        <v>0</v>
      </c>
      <c r="B929">
        <v>0</v>
      </c>
      <c r="C929">
        <v>0</v>
      </c>
      <c r="D929">
        <v>0</v>
      </c>
      <c r="E929">
        <v>0</v>
      </c>
      <c r="F929">
        <v>0</v>
      </c>
      <c r="G929">
        <v>0</v>
      </c>
      <c r="H929">
        <v>0</v>
      </c>
      <c r="I929">
        <v>0</v>
      </c>
      <c r="J929">
        <v>0</v>
      </c>
      <c r="K929">
        <v>0</v>
      </c>
      <c r="L929">
        <v>0</v>
      </c>
      <c r="M929">
        <v>0</v>
      </c>
      <c r="N929">
        <v>0</v>
      </c>
      <c r="O929">
        <v>0</v>
      </c>
      <c r="P929">
        <v>0</v>
      </c>
      <c r="Q929">
        <v>0</v>
      </c>
      <c r="R929">
        <v>0</v>
      </c>
      <c r="S929">
        <v>0</v>
      </c>
      <c r="T929">
        <v>0</v>
      </c>
      <c r="U929">
        <v>0</v>
      </c>
      <c r="V929">
        <v>0</v>
      </c>
      <c r="W929">
        <v>0</v>
      </c>
      <c r="X929">
        <v>0</v>
      </c>
      <c r="Y929">
        <v>0</v>
      </c>
      <c r="Z929">
        <v>0</v>
      </c>
      <c r="AA929">
        <v>0</v>
      </c>
      <c r="AB929">
        <v>0</v>
      </c>
      <c r="AC929">
        <v>0</v>
      </c>
      <c r="AD929">
        <v>0</v>
      </c>
      <c r="AF929">
        <v>0</v>
      </c>
      <c r="AG929">
        <v>0</v>
      </c>
      <c r="AH929">
        <v>0</v>
      </c>
      <c r="AI929">
        <v>0</v>
      </c>
      <c r="AJ929">
        <v>0</v>
      </c>
      <c r="AK929">
        <v>0</v>
      </c>
      <c r="AL929">
        <v>0</v>
      </c>
      <c r="AM929">
        <v>0</v>
      </c>
      <c r="AN929">
        <v>0</v>
      </c>
      <c r="AO929">
        <v>0</v>
      </c>
      <c r="AP929">
        <v>0</v>
      </c>
      <c r="AQ929">
        <v>0</v>
      </c>
      <c r="AR929">
        <v>0</v>
      </c>
      <c r="AS929">
        <v>0</v>
      </c>
      <c r="AT929">
        <v>0</v>
      </c>
      <c r="AU929">
        <v>0</v>
      </c>
      <c r="AV929">
        <v>0</v>
      </c>
      <c r="AW929">
        <v>0</v>
      </c>
      <c r="AX929">
        <v>0</v>
      </c>
      <c r="AY929">
        <v>0</v>
      </c>
      <c r="AZ929">
        <v>0</v>
      </c>
      <c r="BA929">
        <v>0</v>
      </c>
      <c r="BB929">
        <v>0</v>
      </c>
      <c r="BC929">
        <v>0</v>
      </c>
      <c r="BD929">
        <v>0</v>
      </c>
      <c r="BE929">
        <v>0</v>
      </c>
      <c r="BF929">
        <v>0</v>
      </c>
      <c r="BG929">
        <v>0</v>
      </c>
      <c r="BH929">
        <v>0</v>
      </c>
      <c r="BI929">
        <v>0</v>
      </c>
      <c r="BK929" s="151"/>
    </row>
    <row r="930" spans="1:63" x14ac:dyDescent="0.35">
      <c r="A930">
        <v>0</v>
      </c>
      <c r="B930">
        <v>0</v>
      </c>
      <c r="C930">
        <v>0</v>
      </c>
      <c r="D930">
        <v>0</v>
      </c>
      <c r="E930">
        <v>0</v>
      </c>
      <c r="F930">
        <v>0</v>
      </c>
      <c r="G930">
        <v>0</v>
      </c>
      <c r="H930">
        <v>0</v>
      </c>
      <c r="I930">
        <v>0</v>
      </c>
      <c r="J930">
        <v>0</v>
      </c>
      <c r="K930">
        <v>0</v>
      </c>
      <c r="L930">
        <v>0</v>
      </c>
      <c r="M930">
        <v>0</v>
      </c>
      <c r="N930">
        <v>0</v>
      </c>
      <c r="O930">
        <v>0</v>
      </c>
      <c r="P930">
        <v>0</v>
      </c>
      <c r="Q930">
        <v>0</v>
      </c>
      <c r="R930">
        <v>0</v>
      </c>
      <c r="S930">
        <v>0</v>
      </c>
      <c r="T930">
        <v>0</v>
      </c>
      <c r="U930">
        <v>0</v>
      </c>
      <c r="V930">
        <v>0</v>
      </c>
      <c r="W930">
        <v>0</v>
      </c>
      <c r="X930">
        <v>0</v>
      </c>
      <c r="Y930">
        <v>0</v>
      </c>
      <c r="Z930">
        <v>0</v>
      </c>
      <c r="AA930">
        <v>0</v>
      </c>
      <c r="AB930">
        <v>0</v>
      </c>
      <c r="AC930">
        <v>0</v>
      </c>
      <c r="AD930">
        <v>0</v>
      </c>
      <c r="AF930">
        <v>0</v>
      </c>
      <c r="AG930">
        <v>0</v>
      </c>
      <c r="AH930">
        <v>0</v>
      </c>
      <c r="AI930">
        <v>0</v>
      </c>
      <c r="AJ930">
        <v>0</v>
      </c>
      <c r="AK930">
        <v>0</v>
      </c>
      <c r="AL930">
        <v>0</v>
      </c>
      <c r="AM930">
        <v>0</v>
      </c>
      <c r="AN930">
        <v>0</v>
      </c>
      <c r="AO930">
        <v>0</v>
      </c>
      <c r="AP930">
        <v>0</v>
      </c>
      <c r="AQ930">
        <v>0</v>
      </c>
      <c r="AR930">
        <v>0</v>
      </c>
      <c r="AS930">
        <v>0</v>
      </c>
      <c r="AT930">
        <v>0</v>
      </c>
      <c r="AU930">
        <v>0</v>
      </c>
      <c r="AV930">
        <v>0</v>
      </c>
      <c r="AW930">
        <v>0</v>
      </c>
      <c r="AX930">
        <v>0</v>
      </c>
      <c r="AY930">
        <v>0</v>
      </c>
      <c r="AZ930">
        <v>0</v>
      </c>
      <c r="BA930">
        <v>0</v>
      </c>
      <c r="BB930">
        <v>0</v>
      </c>
      <c r="BC930">
        <v>0</v>
      </c>
      <c r="BD930">
        <v>0</v>
      </c>
      <c r="BE930">
        <v>0</v>
      </c>
      <c r="BF930">
        <v>0</v>
      </c>
      <c r="BG930">
        <v>0</v>
      </c>
      <c r="BH930">
        <v>0</v>
      </c>
      <c r="BI930">
        <v>0</v>
      </c>
      <c r="BK930" s="151"/>
    </row>
    <row r="931" spans="1:63" x14ac:dyDescent="0.35">
      <c r="A931">
        <v>0</v>
      </c>
      <c r="B931">
        <v>0</v>
      </c>
      <c r="C931">
        <v>0</v>
      </c>
      <c r="D931">
        <v>0</v>
      </c>
      <c r="E931">
        <v>0</v>
      </c>
      <c r="F931">
        <v>0</v>
      </c>
      <c r="G931">
        <v>0</v>
      </c>
      <c r="H931">
        <v>0</v>
      </c>
      <c r="I931">
        <v>0</v>
      </c>
      <c r="J931">
        <v>0</v>
      </c>
      <c r="K931">
        <v>0</v>
      </c>
      <c r="L931">
        <v>0</v>
      </c>
      <c r="M931">
        <v>0</v>
      </c>
      <c r="N931">
        <v>0</v>
      </c>
      <c r="O931">
        <v>0</v>
      </c>
      <c r="P931">
        <v>0</v>
      </c>
      <c r="Q931">
        <v>0</v>
      </c>
      <c r="R931">
        <v>0</v>
      </c>
      <c r="S931">
        <v>0</v>
      </c>
      <c r="T931">
        <v>0</v>
      </c>
      <c r="U931">
        <v>0</v>
      </c>
      <c r="V931">
        <v>0</v>
      </c>
      <c r="W931">
        <v>0</v>
      </c>
      <c r="X931">
        <v>0</v>
      </c>
      <c r="Y931">
        <v>0</v>
      </c>
      <c r="Z931">
        <v>0</v>
      </c>
      <c r="AA931">
        <v>0</v>
      </c>
      <c r="AB931">
        <v>0</v>
      </c>
      <c r="AC931">
        <v>0</v>
      </c>
      <c r="AD931">
        <v>0</v>
      </c>
      <c r="AF931">
        <v>0</v>
      </c>
      <c r="AG931">
        <v>0</v>
      </c>
      <c r="AH931">
        <v>0</v>
      </c>
      <c r="AI931">
        <v>0</v>
      </c>
      <c r="AJ931">
        <v>0</v>
      </c>
      <c r="AK931">
        <v>0</v>
      </c>
      <c r="AL931">
        <v>0</v>
      </c>
      <c r="AM931">
        <v>0</v>
      </c>
      <c r="AN931">
        <v>0</v>
      </c>
      <c r="AO931">
        <v>0</v>
      </c>
      <c r="AP931">
        <v>0</v>
      </c>
      <c r="AQ931">
        <v>0</v>
      </c>
      <c r="AR931">
        <v>0</v>
      </c>
      <c r="AS931">
        <v>0</v>
      </c>
      <c r="AT931">
        <v>0</v>
      </c>
      <c r="AU931">
        <v>0</v>
      </c>
      <c r="AV931">
        <v>0</v>
      </c>
      <c r="AW931">
        <v>0</v>
      </c>
      <c r="AX931">
        <v>0</v>
      </c>
      <c r="AY931">
        <v>0</v>
      </c>
      <c r="AZ931">
        <v>0</v>
      </c>
      <c r="BA931">
        <v>0</v>
      </c>
      <c r="BB931">
        <v>0</v>
      </c>
      <c r="BC931">
        <v>0</v>
      </c>
      <c r="BD931">
        <v>0</v>
      </c>
      <c r="BE931">
        <v>0</v>
      </c>
      <c r="BF931">
        <v>0</v>
      </c>
      <c r="BG931">
        <v>0</v>
      </c>
      <c r="BH931">
        <v>0</v>
      </c>
      <c r="BI931">
        <v>0</v>
      </c>
      <c r="BK931" s="151"/>
    </row>
    <row r="932" spans="1:63" x14ac:dyDescent="0.35">
      <c r="A932">
        <v>0</v>
      </c>
      <c r="B932">
        <v>0</v>
      </c>
      <c r="C932">
        <v>0</v>
      </c>
      <c r="D932">
        <v>0</v>
      </c>
      <c r="E932">
        <v>0</v>
      </c>
      <c r="F932">
        <v>0</v>
      </c>
      <c r="G932">
        <v>0</v>
      </c>
      <c r="H932">
        <v>0</v>
      </c>
      <c r="I932">
        <v>0</v>
      </c>
      <c r="J932">
        <v>0</v>
      </c>
      <c r="K932">
        <v>0</v>
      </c>
      <c r="L932">
        <v>0</v>
      </c>
      <c r="M932">
        <v>0</v>
      </c>
      <c r="N932">
        <v>0</v>
      </c>
      <c r="O932">
        <v>0</v>
      </c>
      <c r="P932">
        <v>0</v>
      </c>
      <c r="Q932">
        <v>0</v>
      </c>
      <c r="R932">
        <v>0</v>
      </c>
      <c r="S932">
        <v>0</v>
      </c>
      <c r="T932">
        <v>0</v>
      </c>
      <c r="U932">
        <v>0</v>
      </c>
      <c r="V932">
        <v>0</v>
      </c>
      <c r="W932">
        <v>0</v>
      </c>
      <c r="X932">
        <v>0</v>
      </c>
      <c r="Y932">
        <v>0</v>
      </c>
      <c r="Z932">
        <v>0</v>
      </c>
      <c r="AA932">
        <v>0</v>
      </c>
      <c r="AB932">
        <v>0</v>
      </c>
      <c r="AC932">
        <v>0</v>
      </c>
      <c r="AD932">
        <v>0</v>
      </c>
      <c r="AF932">
        <v>0</v>
      </c>
      <c r="AG932">
        <v>0</v>
      </c>
      <c r="AH932">
        <v>0</v>
      </c>
      <c r="AI932">
        <v>0</v>
      </c>
      <c r="AJ932">
        <v>0</v>
      </c>
      <c r="AK932">
        <v>0</v>
      </c>
      <c r="AL932">
        <v>0</v>
      </c>
      <c r="AM932">
        <v>0</v>
      </c>
      <c r="AN932">
        <v>0</v>
      </c>
      <c r="AO932">
        <v>0</v>
      </c>
      <c r="AP932">
        <v>0</v>
      </c>
      <c r="AQ932">
        <v>0</v>
      </c>
      <c r="AR932">
        <v>0</v>
      </c>
      <c r="AS932">
        <v>0</v>
      </c>
      <c r="AT932">
        <v>0</v>
      </c>
      <c r="AU932">
        <v>0</v>
      </c>
      <c r="AV932">
        <v>0</v>
      </c>
      <c r="AW932">
        <v>0</v>
      </c>
      <c r="AX932">
        <v>0</v>
      </c>
      <c r="AY932">
        <v>0</v>
      </c>
      <c r="AZ932">
        <v>0</v>
      </c>
      <c r="BA932">
        <v>0</v>
      </c>
      <c r="BB932">
        <v>0</v>
      </c>
      <c r="BC932">
        <v>0</v>
      </c>
      <c r="BD932">
        <v>0</v>
      </c>
      <c r="BE932">
        <v>0</v>
      </c>
      <c r="BF932">
        <v>0</v>
      </c>
      <c r="BG932">
        <v>0</v>
      </c>
      <c r="BH932">
        <v>0</v>
      </c>
      <c r="BI932">
        <v>0</v>
      </c>
      <c r="BK932" s="151"/>
    </row>
    <row r="933" spans="1:63" x14ac:dyDescent="0.35">
      <c r="A933">
        <v>0</v>
      </c>
      <c r="B933">
        <v>0</v>
      </c>
      <c r="C933">
        <v>0</v>
      </c>
      <c r="D933">
        <v>0</v>
      </c>
      <c r="E933">
        <v>0</v>
      </c>
      <c r="F933">
        <v>0</v>
      </c>
      <c r="G933">
        <v>0</v>
      </c>
      <c r="H933">
        <v>0</v>
      </c>
      <c r="I933">
        <v>0</v>
      </c>
      <c r="J933">
        <v>0</v>
      </c>
      <c r="K933">
        <v>0</v>
      </c>
      <c r="L933">
        <v>0</v>
      </c>
      <c r="M933">
        <v>0</v>
      </c>
      <c r="N933">
        <v>0</v>
      </c>
      <c r="O933">
        <v>0</v>
      </c>
      <c r="P933">
        <v>0</v>
      </c>
      <c r="Q933">
        <v>0</v>
      </c>
      <c r="R933">
        <v>0</v>
      </c>
      <c r="S933">
        <v>0</v>
      </c>
      <c r="T933">
        <v>0</v>
      </c>
      <c r="U933">
        <v>0</v>
      </c>
      <c r="V933">
        <v>0</v>
      </c>
      <c r="W933">
        <v>0</v>
      </c>
      <c r="X933">
        <v>0</v>
      </c>
      <c r="Y933">
        <v>0</v>
      </c>
      <c r="Z933">
        <v>0</v>
      </c>
      <c r="AA933">
        <v>0</v>
      </c>
      <c r="AB933">
        <v>0</v>
      </c>
      <c r="AC933">
        <v>0</v>
      </c>
      <c r="AD933">
        <v>0</v>
      </c>
      <c r="AF933">
        <v>0</v>
      </c>
      <c r="AG933">
        <v>0</v>
      </c>
      <c r="AH933">
        <v>0</v>
      </c>
      <c r="AI933">
        <v>0</v>
      </c>
      <c r="AJ933">
        <v>0</v>
      </c>
      <c r="AK933">
        <v>0</v>
      </c>
      <c r="AL933">
        <v>0</v>
      </c>
      <c r="AM933">
        <v>0</v>
      </c>
      <c r="AN933">
        <v>0</v>
      </c>
      <c r="AO933">
        <v>0</v>
      </c>
      <c r="AP933">
        <v>0</v>
      </c>
      <c r="AQ933">
        <v>0</v>
      </c>
      <c r="AR933">
        <v>0</v>
      </c>
      <c r="AS933">
        <v>0</v>
      </c>
      <c r="AT933">
        <v>0</v>
      </c>
      <c r="AU933">
        <v>0</v>
      </c>
      <c r="AV933">
        <v>0</v>
      </c>
      <c r="AW933">
        <v>0</v>
      </c>
      <c r="AX933">
        <v>0</v>
      </c>
      <c r="AY933">
        <v>0</v>
      </c>
      <c r="AZ933">
        <v>0</v>
      </c>
      <c r="BA933">
        <v>0</v>
      </c>
      <c r="BB933">
        <v>0</v>
      </c>
      <c r="BC933">
        <v>0</v>
      </c>
      <c r="BD933">
        <v>0</v>
      </c>
      <c r="BE933">
        <v>0</v>
      </c>
      <c r="BF933">
        <v>0</v>
      </c>
      <c r="BG933">
        <v>0</v>
      </c>
      <c r="BH933">
        <v>0</v>
      </c>
      <c r="BI933">
        <v>0</v>
      </c>
      <c r="BK933" s="151"/>
    </row>
    <row r="934" spans="1:63" x14ac:dyDescent="0.35">
      <c r="A934">
        <v>0</v>
      </c>
      <c r="B934">
        <v>0</v>
      </c>
      <c r="C934">
        <v>0</v>
      </c>
      <c r="D934">
        <v>0</v>
      </c>
      <c r="E934">
        <v>0</v>
      </c>
      <c r="F934">
        <v>0</v>
      </c>
      <c r="G934">
        <v>0</v>
      </c>
      <c r="H934">
        <v>0</v>
      </c>
      <c r="I934">
        <v>0</v>
      </c>
      <c r="J934">
        <v>0</v>
      </c>
      <c r="K934">
        <v>0</v>
      </c>
      <c r="L934">
        <v>0</v>
      </c>
      <c r="M934">
        <v>0</v>
      </c>
      <c r="N934">
        <v>0</v>
      </c>
      <c r="O934">
        <v>0</v>
      </c>
      <c r="P934">
        <v>0</v>
      </c>
      <c r="Q934">
        <v>0</v>
      </c>
      <c r="R934">
        <v>0</v>
      </c>
      <c r="S934">
        <v>0</v>
      </c>
      <c r="T934">
        <v>0</v>
      </c>
      <c r="U934">
        <v>0</v>
      </c>
      <c r="V934">
        <v>0</v>
      </c>
      <c r="W934">
        <v>0</v>
      </c>
      <c r="X934">
        <v>0</v>
      </c>
      <c r="Y934">
        <v>0</v>
      </c>
      <c r="Z934">
        <v>0</v>
      </c>
      <c r="AA934">
        <v>0</v>
      </c>
      <c r="AB934">
        <v>0</v>
      </c>
      <c r="AC934">
        <v>0</v>
      </c>
      <c r="AD934">
        <v>0</v>
      </c>
      <c r="AF934">
        <v>0</v>
      </c>
      <c r="AG934">
        <v>0</v>
      </c>
      <c r="AH934">
        <v>0</v>
      </c>
      <c r="AI934">
        <v>0</v>
      </c>
      <c r="AJ934">
        <v>0</v>
      </c>
      <c r="AK934">
        <v>0</v>
      </c>
      <c r="AL934">
        <v>0</v>
      </c>
      <c r="AM934">
        <v>0</v>
      </c>
      <c r="AN934">
        <v>0</v>
      </c>
      <c r="AO934">
        <v>0</v>
      </c>
      <c r="AP934">
        <v>0</v>
      </c>
      <c r="AQ934">
        <v>0</v>
      </c>
      <c r="AR934">
        <v>0</v>
      </c>
      <c r="AS934">
        <v>0</v>
      </c>
      <c r="AT934">
        <v>0</v>
      </c>
      <c r="AU934">
        <v>0</v>
      </c>
      <c r="AV934">
        <v>0</v>
      </c>
      <c r="AW934">
        <v>0</v>
      </c>
      <c r="AX934">
        <v>0</v>
      </c>
      <c r="AY934">
        <v>0</v>
      </c>
      <c r="AZ934">
        <v>0</v>
      </c>
      <c r="BA934">
        <v>0</v>
      </c>
      <c r="BB934">
        <v>0</v>
      </c>
      <c r="BC934">
        <v>0</v>
      </c>
      <c r="BD934">
        <v>0</v>
      </c>
      <c r="BE934">
        <v>0</v>
      </c>
      <c r="BF934">
        <v>0</v>
      </c>
      <c r="BG934">
        <v>0</v>
      </c>
      <c r="BH934">
        <v>0</v>
      </c>
      <c r="BI934">
        <v>0</v>
      </c>
      <c r="BK934" s="151"/>
    </row>
    <row r="935" spans="1:63" x14ac:dyDescent="0.35">
      <c r="A935">
        <v>0</v>
      </c>
      <c r="B935">
        <v>0</v>
      </c>
      <c r="C935">
        <v>0</v>
      </c>
      <c r="D935">
        <v>0</v>
      </c>
      <c r="E935">
        <v>0</v>
      </c>
      <c r="F935">
        <v>0</v>
      </c>
      <c r="G935">
        <v>0</v>
      </c>
      <c r="H935">
        <v>0</v>
      </c>
      <c r="I935">
        <v>0</v>
      </c>
      <c r="J935">
        <v>0</v>
      </c>
      <c r="K935">
        <v>0</v>
      </c>
      <c r="L935">
        <v>0</v>
      </c>
      <c r="M935">
        <v>0</v>
      </c>
      <c r="N935">
        <v>0</v>
      </c>
      <c r="O935">
        <v>0</v>
      </c>
      <c r="P935">
        <v>0</v>
      </c>
      <c r="Q935">
        <v>0</v>
      </c>
      <c r="R935">
        <v>0</v>
      </c>
      <c r="S935">
        <v>0</v>
      </c>
      <c r="T935">
        <v>0</v>
      </c>
      <c r="U935">
        <v>0</v>
      </c>
      <c r="V935">
        <v>0</v>
      </c>
      <c r="W935">
        <v>0</v>
      </c>
      <c r="X935">
        <v>0</v>
      </c>
      <c r="Y935">
        <v>0</v>
      </c>
      <c r="Z935">
        <v>0</v>
      </c>
      <c r="AA935">
        <v>0</v>
      </c>
      <c r="AB935">
        <v>0</v>
      </c>
      <c r="AC935">
        <v>0</v>
      </c>
      <c r="AD935">
        <v>0</v>
      </c>
      <c r="AF935">
        <v>0</v>
      </c>
      <c r="AG935">
        <v>0</v>
      </c>
      <c r="AH935">
        <v>0</v>
      </c>
      <c r="AI935">
        <v>0</v>
      </c>
      <c r="AJ935">
        <v>0</v>
      </c>
      <c r="AK935">
        <v>0</v>
      </c>
      <c r="AL935">
        <v>0</v>
      </c>
      <c r="AM935">
        <v>0</v>
      </c>
      <c r="AN935">
        <v>0</v>
      </c>
      <c r="AO935">
        <v>0</v>
      </c>
      <c r="AP935">
        <v>0</v>
      </c>
      <c r="AQ935">
        <v>0</v>
      </c>
      <c r="AR935">
        <v>0</v>
      </c>
      <c r="AS935">
        <v>0</v>
      </c>
      <c r="AT935">
        <v>0</v>
      </c>
      <c r="AU935">
        <v>0</v>
      </c>
      <c r="AV935">
        <v>0</v>
      </c>
      <c r="AW935">
        <v>0</v>
      </c>
      <c r="AX935">
        <v>0</v>
      </c>
      <c r="AY935">
        <v>0</v>
      </c>
      <c r="AZ935">
        <v>0</v>
      </c>
      <c r="BA935">
        <v>0</v>
      </c>
      <c r="BB935">
        <v>0</v>
      </c>
      <c r="BC935">
        <v>0</v>
      </c>
      <c r="BD935">
        <v>0</v>
      </c>
      <c r="BE935">
        <v>0</v>
      </c>
      <c r="BF935">
        <v>0</v>
      </c>
      <c r="BG935">
        <v>0</v>
      </c>
      <c r="BH935">
        <v>0</v>
      </c>
      <c r="BI935">
        <v>0</v>
      </c>
      <c r="BK935" s="151"/>
    </row>
    <row r="936" spans="1:63" x14ac:dyDescent="0.35">
      <c r="A936">
        <v>0</v>
      </c>
      <c r="B936">
        <v>0</v>
      </c>
      <c r="C936">
        <v>0</v>
      </c>
      <c r="D936">
        <v>0</v>
      </c>
      <c r="E936">
        <v>0</v>
      </c>
      <c r="F936">
        <v>0</v>
      </c>
      <c r="G936">
        <v>0</v>
      </c>
      <c r="H936">
        <v>0</v>
      </c>
      <c r="I936">
        <v>0</v>
      </c>
      <c r="J936">
        <v>0</v>
      </c>
      <c r="K936">
        <v>0</v>
      </c>
      <c r="L936">
        <v>0</v>
      </c>
      <c r="M936">
        <v>0</v>
      </c>
      <c r="N936">
        <v>0</v>
      </c>
      <c r="O936">
        <v>0</v>
      </c>
      <c r="P936">
        <v>0</v>
      </c>
      <c r="Q936">
        <v>0</v>
      </c>
      <c r="R936">
        <v>0</v>
      </c>
      <c r="S936">
        <v>0</v>
      </c>
      <c r="T936">
        <v>0</v>
      </c>
      <c r="U936">
        <v>0</v>
      </c>
      <c r="V936">
        <v>0</v>
      </c>
      <c r="W936">
        <v>0</v>
      </c>
      <c r="X936">
        <v>0</v>
      </c>
      <c r="Y936">
        <v>0</v>
      </c>
      <c r="Z936">
        <v>0</v>
      </c>
      <c r="AA936">
        <v>0</v>
      </c>
      <c r="AB936">
        <v>0</v>
      </c>
      <c r="AC936">
        <v>0</v>
      </c>
      <c r="AD936">
        <v>0</v>
      </c>
      <c r="AF936">
        <v>0</v>
      </c>
      <c r="AG936">
        <v>0</v>
      </c>
      <c r="AH936">
        <v>0</v>
      </c>
      <c r="AI936">
        <v>0</v>
      </c>
      <c r="AJ936">
        <v>0</v>
      </c>
      <c r="AK936">
        <v>0</v>
      </c>
      <c r="AL936">
        <v>0</v>
      </c>
      <c r="AM936">
        <v>0</v>
      </c>
      <c r="AN936">
        <v>0</v>
      </c>
      <c r="AO936">
        <v>0</v>
      </c>
      <c r="AP936">
        <v>0</v>
      </c>
      <c r="AQ936">
        <v>0</v>
      </c>
      <c r="AR936">
        <v>0</v>
      </c>
      <c r="AS936">
        <v>0</v>
      </c>
      <c r="AT936">
        <v>0</v>
      </c>
      <c r="AU936">
        <v>0</v>
      </c>
      <c r="AV936">
        <v>0</v>
      </c>
      <c r="AW936">
        <v>0</v>
      </c>
      <c r="AX936">
        <v>0</v>
      </c>
      <c r="AY936">
        <v>0</v>
      </c>
      <c r="AZ936">
        <v>0</v>
      </c>
      <c r="BA936">
        <v>0</v>
      </c>
      <c r="BB936">
        <v>0</v>
      </c>
      <c r="BC936">
        <v>0</v>
      </c>
      <c r="BD936">
        <v>0</v>
      </c>
      <c r="BE936">
        <v>0</v>
      </c>
      <c r="BF936">
        <v>0</v>
      </c>
      <c r="BG936">
        <v>0</v>
      </c>
      <c r="BH936">
        <v>0</v>
      </c>
      <c r="BI936">
        <v>0</v>
      </c>
      <c r="BK936" s="151"/>
    </row>
    <row r="937" spans="1:63" x14ac:dyDescent="0.35">
      <c r="A937">
        <v>0</v>
      </c>
      <c r="B937">
        <v>0</v>
      </c>
      <c r="C937">
        <v>0</v>
      </c>
      <c r="D937">
        <v>0</v>
      </c>
      <c r="E937">
        <v>0</v>
      </c>
      <c r="F937">
        <v>0</v>
      </c>
      <c r="G937">
        <v>0</v>
      </c>
      <c r="H937">
        <v>0</v>
      </c>
      <c r="I937">
        <v>0</v>
      </c>
      <c r="J937">
        <v>0</v>
      </c>
      <c r="K937">
        <v>0</v>
      </c>
      <c r="L937">
        <v>0</v>
      </c>
      <c r="M937">
        <v>0</v>
      </c>
      <c r="N937">
        <v>0</v>
      </c>
      <c r="O937">
        <v>0</v>
      </c>
      <c r="P937">
        <v>0</v>
      </c>
      <c r="Q937">
        <v>0</v>
      </c>
      <c r="R937">
        <v>0</v>
      </c>
      <c r="S937">
        <v>0</v>
      </c>
      <c r="T937">
        <v>0</v>
      </c>
      <c r="U937">
        <v>0</v>
      </c>
      <c r="V937">
        <v>0</v>
      </c>
      <c r="W937">
        <v>0</v>
      </c>
      <c r="X937">
        <v>0</v>
      </c>
      <c r="Y937">
        <v>0</v>
      </c>
      <c r="Z937">
        <v>0</v>
      </c>
      <c r="AA937">
        <v>0</v>
      </c>
      <c r="AB937">
        <v>0</v>
      </c>
      <c r="AC937">
        <v>0</v>
      </c>
      <c r="AD937">
        <v>0</v>
      </c>
      <c r="AF937">
        <v>0</v>
      </c>
      <c r="AG937">
        <v>0</v>
      </c>
      <c r="AH937">
        <v>0</v>
      </c>
      <c r="AI937">
        <v>0</v>
      </c>
      <c r="AJ937">
        <v>0</v>
      </c>
      <c r="AK937">
        <v>0</v>
      </c>
      <c r="AL937">
        <v>0</v>
      </c>
      <c r="AM937">
        <v>0</v>
      </c>
      <c r="AN937">
        <v>0</v>
      </c>
      <c r="AO937">
        <v>0</v>
      </c>
      <c r="AP937">
        <v>0</v>
      </c>
      <c r="AQ937">
        <v>0</v>
      </c>
      <c r="AR937">
        <v>0</v>
      </c>
      <c r="AS937">
        <v>0</v>
      </c>
      <c r="AT937">
        <v>0</v>
      </c>
      <c r="AU937">
        <v>0</v>
      </c>
      <c r="AV937">
        <v>0</v>
      </c>
      <c r="AW937">
        <v>0</v>
      </c>
      <c r="AX937">
        <v>0</v>
      </c>
      <c r="AY937">
        <v>0</v>
      </c>
      <c r="AZ937">
        <v>0</v>
      </c>
      <c r="BA937">
        <v>0</v>
      </c>
      <c r="BB937">
        <v>0</v>
      </c>
      <c r="BC937">
        <v>0</v>
      </c>
      <c r="BD937">
        <v>0</v>
      </c>
      <c r="BE937">
        <v>0</v>
      </c>
      <c r="BF937">
        <v>0</v>
      </c>
      <c r="BG937">
        <v>0</v>
      </c>
      <c r="BH937">
        <v>0</v>
      </c>
      <c r="BI937">
        <v>0</v>
      </c>
      <c r="BK937" s="151"/>
    </row>
    <row r="938" spans="1:63" x14ac:dyDescent="0.35">
      <c r="A938">
        <v>0</v>
      </c>
      <c r="B938">
        <v>0</v>
      </c>
      <c r="C938">
        <v>0</v>
      </c>
      <c r="D938">
        <v>0</v>
      </c>
      <c r="E938">
        <v>0</v>
      </c>
      <c r="F938">
        <v>0</v>
      </c>
      <c r="G938">
        <v>0</v>
      </c>
      <c r="H938">
        <v>0</v>
      </c>
      <c r="I938">
        <v>0</v>
      </c>
      <c r="J938">
        <v>0</v>
      </c>
      <c r="K938">
        <v>0</v>
      </c>
      <c r="L938">
        <v>0</v>
      </c>
      <c r="M938">
        <v>0</v>
      </c>
      <c r="N938">
        <v>0</v>
      </c>
      <c r="O938">
        <v>0</v>
      </c>
      <c r="P938">
        <v>0</v>
      </c>
      <c r="Q938">
        <v>0</v>
      </c>
      <c r="R938">
        <v>0</v>
      </c>
      <c r="S938">
        <v>0</v>
      </c>
      <c r="T938">
        <v>0</v>
      </c>
      <c r="U938">
        <v>0</v>
      </c>
      <c r="V938">
        <v>0</v>
      </c>
      <c r="W938">
        <v>0</v>
      </c>
      <c r="X938">
        <v>0</v>
      </c>
      <c r="Y938">
        <v>0</v>
      </c>
      <c r="Z938">
        <v>0</v>
      </c>
      <c r="AA938">
        <v>0</v>
      </c>
      <c r="AB938">
        <v>0</v>
      </c>
      <c r="AC938">
        <v>0</v>
      </c>
      <c r="AD938">
        <v>0</v>
      </c>
      <c r="AF938">
        <v>0</v>
      </c>
      <c r="AG938">
        <v>0</v>
      </c>
      <c r="AH938">
        <v>0</v>
      </c>
      <c r="AI938">
        <v>0</v>
      </c>
      <c r="AJ938">
        <v>0</v>
      </c>
      <c r="AK938">
        <v>0</v>
      </c>
      <c r="AL938">
        <v>0</v>
      </c>
      <c r="AM938">
        <v>0</v>
      </c>
      <c r="AN938">
        <v>0</v>
      </c>
      <c r="AO938">
        <v>0</v>
      </c>
      <c r="AP938">
        <v>0</v>
      </c>
      <c r="AQ938">
        <v>0</v>
      </c>
      <c r="AR938">
        <v>0</v>
      </c>
      <c r="AS938">
        <v>0</v>
      </c>
      <c r="AT938">
        <v>0</v>
      </c>
      <c r="AU938">
        <v>0</v>
      </c>
      <c r="AV938">
        <v>0</v>
      </c>
      <c r="AW938">
        <v>0</v>
      </c>
      <c r="AX938">
        <v>0</v>
      </c>
      <c r="AY938">
        <v>0</v>
      </c>
      <c r="AZ938">
        <v>0</v>
      </c>
      <c r="BA938">
        <v>0</v>
      </c>
      <c r="BB938">
        <v>0</v>
      </c>
      <c r="BC938">
        <v>0</v>
      </c>
      <c r="BD938">
        <v>0</v>
      </c>
      <c r="BE938">
        <v>0</v>
      </c>
      <c r="BF938">
        <v>0</v>
      </c>
      <c r="BG938">
        <v>0</v>
      </c>
      <c r="BH938">
        <v>0</v>
      </c>
      <c r="BI938">
        <v>0</v>
      </c>
      <c r="BK938" s="151"/>
    </row>
    <row r="939" spans="1:63" x14ac:dyDescent="0.35">
      <c r="A939">
        <v>0</v>
      </c>
      <c r="B939">
        <v>0</v>
      </c>
      <c r="C939">
        <v>0</v>
      </c>
      <c r="D939">
        <v>0</v>
      </c>
      <c r="E939">
        <v>0</v>
      </c>
      <c r="F939">
        <v>0</v>
      </c>
      <c r="G939">
        <v>0</v>
      </c>
      <c r="H939">
        <v>0</v>
      </c>
      <c r="I939">
        <v>0</v>
      </c>
      <c r="J939">
        <v>0</v>
      </c>
      <c r="K939">
        <v>0</v>
      </c>
      <c r="L939">
        <v>0</v>
      </c>
      <c r="M939">
        <v>0</v>
      </c>
      <c r="N939">
        <v>0</v>
      </c>
      <c r="O939">
        <v>0</v>
      </c>
      <c r="P939">
        <v>0</v>
      </c>
      <c r="Q939">
        <v>0</v>
      </c>
      <c r="R939">
        <v>0</v>
      </c>
      <c r="S939">
        <v>0</v>
      </c>
      <c r="T939">
        <v>0</v>
      </c>
      <c r="U939">
        <v>0</v>
      </c>
      <c r="V939">
        <v>0</v>
      </c>
      <c r="W939">
        <v>0</v>
      </c>
      <c r="X939">
        <v>0</v>
      </c>
      <c r="Y939">
        <v>0</v>
      </c>
      <c r="Z939">
        <v>0</v>
      </c>
      <c r="AA939">
        <v>0</v>
      </c>
      <c r="AB939">
        <v>0</v>
      </c>
      <c r="AC939">
        <v>0</v>
      </c>
      <c r="AD939">
        <v>0</v>
      </c>
      <c r="AF939">
        <v>0</v>
      </c>
      <c r="AG939">
        <v>0</v>
      </c>
      <c r="AH939">
        <v>0</v>
      </c>
      <c r="AI939">
        <v>0</v>
      </c>
      <c r="AJ939">
        <v>0</v>
      </c>
      <c r="AK939">
        <v>0</v>
      </c>
      <c r="AL939">
        <v>0</v>
      </c>
      <c r="AM939">
        <v>0</v>
      </c>
      <c r="AN939">
        <v>0</v>
      </c>
      <c r="AO939">
        <v>0</v>
      </c>
      <c r="AP939">
        <v>0</v>
      </c>
      <c r="AQ939">
        <v>0</v>
      </c>
      <c r="AR939">
        <v>0</v>
      </c>
      <c r="AS939">
        <v>0</v>
      </c>
      <c r="AT939">
        <v>0</v>
      </c>
      <c r="AU939">
        <v>0</v>
      </c>
      <c r="AV939">
        <v>0</v>
      </c>
      <c r="AW939">
        <v>0</v>
      </c>
      <c r="AX939">
        <v>0</v>
      </c>
      <c r="AY939">
        <v>0</v>
      </c>
      <c r="AZ939">
        <v>0</v>
      </c>
      <c r="BA939">
        <v>0</v>
      </c>
      <c r="BB939">
        <v>0</v>
      </c>
      <c r="BC939">
        <v>0</v>
      </c>
      <c r="BD939">
        <v>0</v>
      </c>
      <c r="BE939">
        <v>0</v>
      </c>
      <c r="BF939">
        <v>0</v>
      </c>
      <c r="BG939">
        <v>0</v>
      </c>
      <c r="BH939">
        <v>0</v>
      </c>
      <c r="BI939">
        <v>0</v>
      </c>
      <c r="BK939" s="151"/>
    </row>
    <row r="940" spans="1:63" x14ac:dyDescent="0.35">
      <c r="A940">
        <v>0</v>
      </c>
      <c r="B940">
        <v>0</v>
      </c>
      <c r="C940">
        <v>0</v>
      </c>
      <c r="D940">
        <v>0</v>
      </c>
      <c r="E940">
        <v>0</v>
      </c>
      <c r="F940">
        <v>0</v>
      </c>
      <c r="G940">
        <v>0</v>
      </c>
      <c r="H940">
        <v>0</v>
      </c>
      <c r="I940">
        <v>0</v>
      </c>
      <c r="J940">
        <v>0</v>
      </c>
      <c r="K940">
        <v>0</v>
      </c>
      <c r="L940">
        <v>0</v>
      </c>
      <c r="M940">
        <v>0</v>
      </c>
      <c r="N940">
        <v>0</v>
      </c>
      <c r="O940">
        <v>0</v>
      </c>
      <c r="P940">
        <v>0</v>
      </c>
      <c r="Q940">
        <v>0</v>
      </c>
      <c r="R940">
        <v>0</v>
      </c>
      <c r="S940">
        <v>0</v>
      </c>
      <c r="T940">
        <v>0</v>
      </c>
      <c r="U940">
        <v>0</v>
      </c>
      <c r="V940">
        <v>0</v>
      </c>
      <c r="W940">
        <v>0</v>
      </c>
      <c r="X940">
        <v>0</v>
      </c>
      <c r="Y940">
        <v>0</v>
      </c>
      <c r="Z940">
        <v>0</v>
      </c>
      <c r="AA940">
        <v>0</v>
      </c>
      <c r="AB940">
        <v>0</v>
      </c>
      <c r="AC940">
        <v>0</v>
      </c>
      <c r="AD940">
        <v>0</v>
      </c>
      <c r="AF940">
        <v>0</v>
      </c>
      <c r="AG940">
        <v>0</v>
      </c>
      <c r="AH940">
        <v>0</v>
      </c>
      <c r="AI940">
        <v>0</v>
      </c>
      <c r="AJ940">
        <v>0</v>
      </c>
      <c r="AK940">
        <v>0</v>
      </c>
      <c r="AL940">
        <v>0</v>
      </c>
      <c r="AM940">
        <v>0</v>
      </c>
      <c r="AN940">
        <v>0</v>
      </c>
      <c r="AO940">
        <v>0</v>
      </c>
      <c r="AP940">
        <v>0</v>
      </c>
      <c r="AQ940">
        <v>0</v>
      </c>
      <c r="AR940">
        <v>0</v>
      </c>
      <c r="AS940">
        <v>0</v>
      </c>
      <c r="AT940">
        <v>0</v>
      </c>
      <c r="AU940">
        <v>0</v>
      </c>
      <c r="AV940">
        <v>0</v>
      </c>
      <c r="AW940">
        <v>0</v>
      </c>
      <c r="AX940">
        <v>0</v>
      </c>
      <c r="AY940">
        <v>0</v>
      </c>
      <c r="AZ940">
        <v>0</v>
      </c>
      <c r="BA940">
        <v>0</v>
      </c>
      <c r="BB940">
        <v>0</v>
      </c>
      <c r="BC940">
        <v>0</v>
      </c>
      <c r="BD940">
        <v>0</v>
      </c>
      <c r="BE940">
        <v>0</v>
      </c>
      <c r="BF940">
        <v>0</v>
      </c>
      <c r="BG940">
        <v>0</v>
      </c>
      <c r="BH940">
        <v>0</v>
      </c>
      <c r="BI940">
        <v>0</v>
      </c>
      <c r="BK940" s="151"/>
    </row>
    <row r="941" spans="1:63" x14ac:dyDescent="0.35">
      <c r="A941">
        <v>0</v>
      </c>
      <c r="B941">
        <v>0</v>
      </c>
      <c r="C941">
        <v>0</v>
      </c>
      <c r="D941">
        <v>0</v>
      </c>
      <c r="E941">
        <v>0</v>
      </c>
      <c r="F941">
        <v>0</v>
      </c>
      <c r="G941">
        <v>0</v>
      </c>
      <c r="H941">
        <v>0</v>
      </c>
      <c r="I941">
        <v>0</v>
      </c>
      <c r="J941">
        <v>0</v>
      </c>
      <c r="K941">
        <v>0</v>
      </c>
      <c r="L941">
        <v>0</v>
      </c>
      <c r="M941">
        <v>0</v>
      </c>
      <c r="N941">
        <v>0</v>
      </c>
      <c r="O941">
        <v>0</v>
      </c>
      <c r="P941">
        <v>0</v>
      </c>
      <c r="Q941">
        <v>0</v>
      </c>
      <c r="R941">
        <v>0</v>
      </c>
      <c r="S941">
        <v>0</v>
      </c>
      <c r="T941">
        <v>0</v>
      </c>
      <c r="U941">
        <v>0</v>
      </c>
      <c r="V941">
        <v>0</v>
      </c>
      <c r="W941">
        <v>0</v>
      </c>
      <c r="X941">
        <v>0</v>
      </c>
      <c r="Y941">
        <v>0</v>
      </c>
      <c r="Z941">
        <v>0</v>
      </c>
      <c r="AA941">
        <v>0</v>
      </c>
      <c r="AB941">
        <v>0</v>
      </c>
      <c r="AC941">
        <v>0</v>
      </c>
      <c r="AD941">
        <v>0</v>
      </c>
      <c r="AF941">
        <v>0</v>
      </c>
      <c r="AG941">
        <v>0</v>
      </c>
      <c r="AH941">
        <v>0</v>
      </c>
      <c r="AI941">
        <v>0</v>
      </c>
      <c r="AJ941">
        <v>0</v>
      </c>
      <c r="AK941">
        <v>0</v>
      </c>
      <c r="AL941">
        <v>0</v>
      </c>
      <c r="AM941">
        <v>0</v>
      </c>
      <c r="AN941">
        <v>0</v>
      </c>
      <c r="AO941">
        <v>0</v>
      </c>
      <c r="AP941">
        <v>0</v>
      </c>
      <c r="AQ941">
        <v>0</v>
      </c>
      <c r="AR941">
        <v>0</v>
      </c>
      <c r="AS941">
        <v>0</v>
      </c>
      <c r="AT941">
        <v>0</v>
      </c>
      <c r="AU941">
        <v>0</v>
      </c>
      <c r="AV941">
        <v>0</v>
      </c>
      <c r="AW941">
        <v>0</v>
      </c>
      <c r="AX941">
        <v>0</v>
      </c>
      <c r="AY941">
        <v>0</v>
      </c>
      <c r="AZ941">
        <v>0</v>
      </c>
      <c r="BA941">
        <v>0</v>
      </c>
      <c r="BB941">
        <v>0</v>
      </c>
      <c r="BC941">
        <v>0</v>
      </c>
      <c r="BD941">
        <v>0</v>
      </c>
      <c r="BE941">
        <v>0</v>
      </c>
      <c r="BF941">
        <v>0</v>
      </c>
      <c r="BG941">
        <v>0</v>
      </c>
      <c r="BH941">
        <v>0</v>
      </c>
      <c r="BI941">
        <v>0</v>
      </c>
      <c r="BK941" s="151"/>
    </row>
    <row r="942" spans="1:63" x14ac:dyDescent="0.35">
      <c r="A942">
        <v>0</v>
      </c>
      <c r="B942">
        <v>0</v>
      </c>
      <c r="C942">
        <v>0</v>
      </c>
      <c r="D942">
        <v>0</v>
      </c>
      <c r="E942">
        <v>0</v>
      </c>
      <c r="F942">
        <v>0</v>
      </c>
      <c r="G942">
        <v>0</v>
      </c>
      <c r="H942">
        <v>0</v>
      </c>
      <c r="I942">
        <v>0</v>
      </c>
      <c r="J942">
        <v>0</v>
      </c>
      <c r="K942">
        <v>0</v>
      </c>
      <c r="L942">
        <v>0</v>
      </c>
      <c r="M942">
        <v>0</v>
      </c>
      <c r="N942">
        <v>0</v>
      </c>
      <c r="O942">
        <v>0</v>
      </c>
      <c r="P942">
        <v>0</v>
      </c>
      <c r="Q942">
        <v>0</v>
      </c>
      <c r="R942">
        <v>0</v>
      </c>
      <c r="S942">
        <v>0</v>
      </c>
      <c r="T942">
        <v>0</v>
      </c>
      <c r="U942">
        <v>0</v>
      </c>
      <c r="V942">
        <v>0</v>
      </c>
      <c r="W942">
        <v>0</v>
      </c>
      <c r="X942">
        <v>0</v>
      </c>
      <c r="Y942">
        <v>0</v>
      </c>
      <c r="Z942">
        <v>0</v>
      </c>
      <c r="AA942">
        <v>0</v>
      </c>
      <c r="AB942">
        <v>0</v>
      </c>
      <c r="AC942">
        <v>0</v>
      </c>
      <c r="AD942">
        <v>0</v>
      </c>
      <c r="AF942">
        <v>0</v>
      </c>
      <c r="AG942">
        <v>0</v>
      </c>
      <c r="AH942">
        <v>0</v>
      </c>
      <c r="AI942">
        <v>0</v>
      </c>
      <c r="AJ942">
        <v>0</v>
      </c>
      <c r="AK942">
        <v>0</v>
      </c>
      <c r="AL942">
        <v>0</v>
      </c>
      <c r="AM942">
        <v>0</v>
      </c>
      <c r="AN942">
        <v>0</v>
      </c>
      <c r="AO942">
        <v>0</v>
      </c>
      <c r="AP942">
        <v>0</v>
      </c>
      <c r="AQ942">
        <v>0</v>
      </c>
      <c r="AR942">
        <v>0</v>
      </c>
      <c r="AS942">
        <v>0</v>
      </c>
      <c r="AT942">
        <v>0</v>
      </c>
      <c r="AU942">
        <v>0</v>
      </c>
      <c r="AV942">
        <v>0</v>
      </c>
      <c r="AW942">
        <v>0</v>
      </c>
      <c r="AX942">
        <v>0</v>
      </c>
      <c r="AY942">
        <v>0</v>
      </c>
      <c r="AZ942">
        <v>0</v>
      </c>
      <c r="BA942">
        <v>0</v>
      </c>
      <c r="BB942">
        <v>0</v>
      </c>
      <c r="BC942">
        <v>0</v>
      </c>
      <c r="BD942">
        <v>0</v>
      </c>
      <c r="BE942">
        <v>0</v>
      </c>
      <c r="BF942">
        <v>0</v>
      </c>
      <c r="BG942">
        <v>0</v>
      </c>
      <c r="BH942">
        <v>0</v>
      </c>
      <c r="BI942">
        <v>0</v>
      </c>
      <c r="BK942" s="151"/>
    </row>
    <row r="943" spans="1:63" x14ac:dyDescent="0.35">
      <c r="A943">
        <v>0</v>
      </c>
      <c r="B943">
        <v>0</v>
      </c>
      <c r="C943">
        <v>0</v>
      </c>
      <c r="D943">
        <v>0</v>
      </c>
      <c r="E943">
        <v>0</v>
      </c>
      <c r="F943">
        <v>0</v>
      </c>
      <c r="G943">
        <v>0</v>
      </c>
      <c r="H943">
        <v>0</v>
      </c>
      <c r="I943">
        <v>0</v>
      </c>
      <c r="J943">
        <v>0</v>
      </c>
      <c r="K943">
        <v>0</v>
      </c>
      <c r="L943">
        <v>0</v>
      </c>
      <c r="M943">
        <v>0</v>
      </c>
      <c r="N943">
        <v>0</v>
      </c>
      <c r="O943">
        <v>0</v>
      </c>
      <c r="P943">
        <v>0</v>
      </c>
      <c r="Q943">
        <v>0</v>
      </c>
      <c r="R943">
        <v>0</v>
      </c>
      <c r="S943">
        <v>0</v>
      </c>
      <c r="T943">
        <v>0</v>
      </c>
      <c r="U943">
        <v>0</v>
      </c>
      <c r="V943">
        <v>0</v>
      </c>
      <c r="W943">
        <v>0</v>
      </c>
      <c r="X943">
        <v>0</v>
      </c>
      <c r="Y943">
        <v>0</v>
      </c>
      <c r="Z943">
        <v>0</v>
      </c>
      <c r="AA943">
        <v>0</v>
      </c>
      <c r="AB943">
        <v>0</v>
      </c>
      <c r="AC943">
        <v>0</v>
      </c>
      <c r="AD943">
        <v>0</v>
      </c>
      <c r="AF943">
        <v>0</v>
      </c>
      <c r="AG943">
        <v>0</v>
      </c>
      <c r="AH943">
        <v>0</v>
      </c>
      <c r="AI943">
        <v>0</v>
      </c>
      <c r="AJ943">
        <v>0</v>
      </c>
      <c r="AK943">
        <v>0</v>
      </c>
      <c r="AL943">
        <v>0</v>
      </c>
      <c r="AM943">
        <v>0</v>
      </c>
      <c r="AN943">
        <v>0</v>
      </c>
      <c r="AO943">
        <v>0</v>
      </c>
      <c r="AP943">
        <v>0</v>
      </c>
      <c r="AQ943">
        <v>0</v>
      </c>
      <c r="AR943">
        <v>0</v>
      </c>
      <c r="AS943">
        <v>0</v>
      </c>
      <c r="AT943">
        <v>0</v>
      </c>
      <c r="AU943">
        <v>0</v>
      </c>
      <c r="AV943">
        <v>0</v>
      </c>
      <c r="AW943">
        <v>0</v>
      </c>
      <c r="AX943">
        <v>0</v>
      </c>
      <c r="AY943">
        <v>0</v>
      </c>
      <c r="AZ943">
        <v>0</v>
      </c>
      <c r="BA943">
        <v>0</v>
      </c>
      <c r="BB943">
        <v>0</v>
      </c>
      <c r="BC943">
        <v>0</v>
      </c>
      <c r="BD943">
        <v>0</v>
      </c>
      <c r="BE943">
        <v>0</v>
      </c>
      <c r="BF943">
        <v>0</v>
      </c>
      <c r="BG943">
        <v>0</v>
      </c>
      <c r="BH943">
        <v>0</v>
      </c>
      <c r="BI943">
        <v>0</v>
      </c>
      <c r="BK943" s="151"/>
    </row>
    <row r="944" spans="1:63" x14ac:dyDescent="0.35">
      <c r="A944">
        <v>0</v>
      </c>
      <c r="B944">
        <v>0</v>
      </c>
      <c r="C944">
        <v>0</v>
      </c>
      <c r="D944">
        <v>0</v>
      </c>
      <c r="E944">
        <v>0</v>
      </c>
      <c r="F944">
        <v>0</v>
      </c>
      <c r="G944">
        <v>0</v>
      </c>
      <c r="H944">
        <v>0</v>
      </c>
      <c r="I944">
        <v>0</v>
      </c>
      <c r="J944">
        <v>0</v>
      </c>
      <c r="K944">
        <v>0</v>
      </c>
      <c r="L944">
        <v>0</v>
      </c>
      <c r="M944">
        <v>0</v>
      </c>
      <c r="N944">
        <v>0</v>
      </c>
      <c r="O944">
        <v>0</v>
      </c>
      <c r="P944">
        <v>0</v>
      </c>
      <c r="Q944">
        <v>0</v>
      </c>
      <c r="R944">
        <v>0</v>
      </c>
      <c r="S944">
        <v>0</v>
      </c>
      <c r="T944">
        <v>0</v>
      </c>
      <c r="U944">
        <v>0</v>
      </c>
      <c r="V944">
        <v>0</v>
      </c>
      <c r="W944">
        <v>0</v>
      </c>
      <c r="X944">
        <v>0</v>
      </c>
      <c r="Y944">
        <v>0</v>
      </c>
      <c r="Z944">
        <v>0</v>
      </c>
      <c r="AA944">
        <v>0</v>
      </c>
      <c r="AB944">
        <v>0</v>
      </c>
      <c r="AC944">
        <v>0</v>
      </c>
      <c r="AD944">
        <v>0</v>
      </c>
      <c r="AF944">
        <v>0</v>
      </c>
      <c r="AG944">
        <v>0</v>
      </c>
      <c r="AH944">
        <v>0</v>
      </c>
      <c r="AI944">
        <v>0</v>
      </c>
      <c r="AJ944">
        <v>0</v>
      </c>
      <c r="AK944">
        <v>0</v>
      </c>
      <c r="AL944">
        <v>0</v>
      </c>
      <c r="AM944">
        <v>0</v>
      </c>
      <c r="AN944">
        <v>0</v>
      </c>
      <c r="AO944">
        <v>0</v>
      </c>
      <c r="AP944">
        <v>0</v>
      </c>
      <c r="AQ944">
        <v>0</v>
      </c>
      <c r="AR944">
        <v>0</v>
      </c>
      <c r="AS944">
        <v>0</v>
      </c>
      <c r="AT944">
        <v>0</v>
      </c>
      <c r="AU944">
        <v>0</v>
      </c>
      <c r="AV944">
        <v>0</v>
      </c>
      <c r="AW944">
        <v>0</v>
      </c>
      <c r="AX944">
        <v>0</v>
      </c>
      <c r="AY944">
        <v>0</v>
      </c>
      <c r="AZ944">
        <v>0</v>
      </c>
      <c r="BA944">
        <v>0</v>
      </c>
      <c r="BB944">
        <v>0</v>
      </c>
      <c r="BC944">
        <v>0</v>
      </c>
      <c r="BD944">
        <v>0</v>
      </c>
      <c r="BE944">
        <v>0</v>
      </c>
      <c r="BF944">
        <v>0</v>
      </c>
      <c r="BG944">
        <v>0</v>
      </c>
      <c r="BH944">
        <v>0</v>
      </c>
      <c r="BI944">
        <v>0</v>
      </c>
      <c r="BK944" s="151"/>
    </row>
    <row r="945" spans="1:63" x14ac:dyDescent="0.35">
      <c r="A945">
        <v>0</v>
      </c>
      <c r="B945">
        <v>0</v>
      </c>
      <c r="C945">
        <v>0</v>
      </c>
      <c r="D945">
        <v>0</v>
      </c>
      <c r="E945">
        <v>0</v>
      </c>
      <c r="F945">
        <v>0</v>
      </c>
      <c r="G945">
        <v>0</v>
      </c>
      <c r="H945">
        <v>0</v>
      </c>
      <c r="I945">
        <v>0</v>
      </c>
      <c r="J945">
        <v>0</v>
      </c>
      <c r="K945">
        <v>0</v>
      </c>
      <c r="L945">
        <v>0</v>
      </c>
      <c r="M945">
        <v>0</v>
      </c>
      <c r="N945">
        <v>0</v>
      </c>
      <c r="O945">
        <v>0</v>
      </c>
      <c r="P945">
        <v>0</v>
      </c>
      <c r="Q945">
        <v>0</v>
      </c>
      <c r="R945">
        <v>0</v>
      </c>
      <c r="S945">
        <v>0</v>
      </c>
      <c r="T945">
        <v>0</v>
      </c>
      <c r="U945">
        <v>0</v>
      </c>
      <c r="V945">
        <v>0</v>
      </c>
      <c r="W945">
        <v>0</v>
      </c>
      <c r="X945">
        <v>0</v>
      </c>
      <c r="Y945">
        <v>0</v>
      </c>
      <c r="Z945">
        <v>0</v>
      </c>
      <c r="AA945">
        <v>0</v>
      </c>
      <c r="AB945">
        <v>0</v>
      </c>
      <c r="AC945">
        <v>0</v>
      </c>
      <c r="AD945">
        <v>0</v>
      </c>
      <c r="AF945">
        <v>0</v>
      </c>
      <c r="AG945">
        <v>0</v>
      </c>
      <c r="AH945">
        <v>0</v>
      </c>
      <c r="AI945">
        <v>0</v>
      </c>
      <c r="AJ945">
        <v>0</v>
      </c>
      <c r="AK945">
        <v>0</v>
      </c>
      <c r="AL945">
        <v>0</v>
      </c>
      <c r="AM945">
        <v>0</v>
      </c>
      <c r="AN945">
        <v>0</v>
      </c>
      <c r="AO945">
        <v>0</v>
      </c>
      <c r="AP945">
        <v>0</v>
      </c>
      <c r="AQ945">
        <v>0</v>
      </c>
      <c r="AR945">
        <v>0</v>
      </c>
      <c r="AS945">
        <v>0</v>
      </c>
      <c r="AT945">
        <v>0</v>
      </c>
      <c r="AU945">
        <v>0</v>
      </c>
      <c r="AV945">
        <v>0</v>
      </c>
      <c r="AW945">
        <v>0</v>
      </c>
      <c r="AX945">
        <v>0</v>
      </c>
      <c r="AY945">
        <v>0</v>
      </c>
      <c r="AZ945">
        <v>0</v>
      </c>
      <c r="BA945">
        <v>0</v>
      </c>
      <c r="BB945">
        <v>0</v>
      </c>
      <c r="BC945">
        <v>0</v>
      </c>
      <c r="BD945">
        <v>0</v>
      </c>
      <c r="BE945">
        <v>0</v>
      </c>
      <c r="BF945">
        <v>0</v>
      </c>
      <c r="BG945">
        <v>0</v>
      </c>
      <c r="BH945">
        <v>0</v>
      </c>
      <c r="BI945">
        <v>0</v>
      </c>
      <c r="BK945" s="151"/>
    </row>
    <row r="946" spans="1:63" x14ac:dyDescent="0.35">
      <c r="A946">
        <v>0</v>
      </c>
      <c r="B946">
        <v>0</v>
      </c>
      <c r="C946">
        <v>0</v>
      </c>
      <c r="D946">
        <v>0</v>
      </c>
      <c r="E946">
        <v>0</v>
      </c>
      <c r="F946">
        <v>0</v>
      </c>
      <c r="G946">
        <v>0</v>
      </c>
      <c r="H946">
        <v>0</v>
      </c>
      <c r="I946">
        <v>0</v>
      </c>
      <c r="J946">
        <v>0</v>
      </c>
      <c r="K946">
        <v>0</v>
      </c>
      <c r="L946">
        <v>0</v>
      </c>
      <c r="M946">
        <v>0</v>
      </c>
      <c r="N946">
        <v>0</v>
      </c>
      <c r="O946">
        <v>0</v>
      </c>
      <c r="P946">
        <v>0</v>
      </c>
      <c r="Q946">
        <v>0</v>
      </c>
      <c r="R946">
        <v>0</v>
      </c>
      <c r="S946">
        <v>0</v>
      </c>
      <c r="T946">
        <v>0</v>
      </c>
      <c r="U946">
        <v>0</v>
      </c>
      <c r="V946">
        <v>0</v>
      </c>
      <c r="W946">
        <v>0</v>
      </c>
      <c r="X946">
        <v>0</v>
      </c>
      <c r="Y946">
        <v>0</v>
      </c>
      <c r="Z946">
        <v>0</v>
      </c>
      <c r="AA946">
        <v>0</v>
      </c>
      <c r="AB946">
        <v>0</v>
      </c>
      <c r="AC946">
        <v>0</v>
      </c>
      <c r="AD946">
        <v>0</v>
      </c>
      <c r="AF946">
        <v>0</v>
      </c>
      <c r="AG946">
        <v>0</v>
      </c>
      <c r="AH946">
        <v>0</v>
      </c>
      <c r="AI946">
        <v>0</v>
      </c>
      <c r="AJ946">
        <v>0</v>
      </c>
      <c r="AK946">
        <v>0</v>
      </c>
      <c r="AL946">
        <v>0</v>
      </c>
      <c r="AM946">
        <v>0</v>
      </c>
      <c r="AN946">
        <v>0</v>
      </c>
      <c r="AO946">
        <v>0</v>
      </c>
      <c r="AP946">
        <v>0</v>
      </c>
      <c r="AQ946">
        <v>0</v>
      </c>
      <c r="AR946">
        <v>0</v>
      </c>
      <c r="AS946">
        <v>0</v>
      </c>
      <c r="AT946">
        <v>0</v>
      </c>
      <c r="AU946">
        <v>0</v>
      </c>
      <c r="AV946">
        <v>0</v>
      </c>
      <c r="AW946">
        <v>0</v>
      </c>
      <c r="AX946">
        <v>0</v>
      </c>
      <c r="AY946">
        <v>0</v>
      </c>
      <c r="AZ946">
        <v>0</v>
      </c>
      <c r="BA946">
        <v>0</v>
      </c>
      <c r="BB946">
        <v>0</v>
      </c>
      <c r="BC946">
        <v>0</v>
      </c>
      <c r="BD946">
        <v>0</v>
      </c>
      <c r="BE946">
        <v>0</v>
      </c>
      <c r="BF946">
        <v>0</v>
      </c>
      <c r="BG946">
        <v>0</v>
      </c>
      <c r="BH946">
        <v>0</v>
      </c>
      <c r="BI946">
        <v>0</v>
      </c>
      <c r="BK946" s="151"/>
    </row>
    <row r="947" spans="1:63" x14ac:dyDescent="0.35">
      <c r="A947">
        <v>0</v>
      </c>
      <c r="B947">
        <v>0</v>
      </c>
      <c r="C947">
        <v>0</v>
      </c>
      <c r="D947">
        <v>0</v>
      </c>
      <c r="E947">
        <v>0</v>
      </c>
      <c r="F947">
        <v>0</v>
      </c>
      <c r="G947">
        <v>0</v>
      </c>
      <c r="H947">
        <v>0</v>
      </c>
      <c r="I947">
        <v>0</v>
      </c>
      <c r="J947">
        <v>0</v>
      </c>
      <c r="K947">
        <v>0</v>
      </c>
      <c r="L947">
        <v>0</v>
      </c>
      <c r="M947">
        <v>0</v>
      </c>
      <c r="N947">
        <v>0</v>
      </c>
      <c r="O947">
        <v>0</v>
      </c>
      <c r="P947">
        <v>0</v>
      </c>
      <c r="Q947">
        <v>0</v>
      </c>
      <c r="R947">
        <v>0</v>
      </c>
      <c r="S947">
        <v>0</v>
      </c>
      <c r="T947">
        <v>0</v>
      </c>
      <c r="U947">
        <v>0</v>
      </c>
      <c r="V947">
        <v>0</v>
      </c>
      <c r="W947">
        <v>0</v>
      </c>
      <c r="X947">
        <v>0</v>
      </c>
      <c r="Y947">
        <v>0</v>
      </c>
      <c r="Z947">
        <v>0</v>
      </c>
      <c r="AA947">
        <v>0</v>
      </c>
      <c r="AB947">
        <v>0</v>
      </c>
      <c r="AC947">
        <v>0</v>
      </c>
      <c r="AD947">
        <v>0</v>
      </c>
      <c r="AF947">
        <v>0</v>
      </c>
      <c r="AG947">
        <v>0</v>
      </c>
      <c r="AH947">
        <v>0</v>
      </c>
      <c r="AI947">
        <v>0</v>
      </c>
      <c r="AJ947">
        <v>0</v>
      </c>
      <c r="AK947">
        <v>0</v>
      </c>
      <c r="AL947">
        <v>0</v>
      </c>
      <c r="AM947">
        <v>0</v>
      </c>
      <c r="AN947">
        <v>0</v>
      </c>
      <c r="AO947">
        <v>0</v>
      </c>
      <c r="AP947">
        <v>0</v>
      </c>
      <c r="AQ947">
        <v>0</v>
      </c>
      <c r="AR947">
        <v>0</v>
      </c>
      <c r="AS947">
        <v>0</v>
      </c>
      <c r="AT947">
        <v>0</v>
      </c>
      <c r="AU947">
        <v>0</v>
      </c>
      <c r="AV947">
        <v>0</v>
      </c>
      <c r="AW947">
        <v>0</v>
      </c>
      <c r="AX947">
        <v>0</v>
      </c>
      <c r="AY947">
        <v>0</v>
      </c>
      <c r="AZ947">
        <v>0</v>
      </c>
      <c r="BA947">
        <v>0</v>
      </c>
      <c r="BB947">
        <v>0</v>
      </c>
      <c r="BC947">
        <v>0</v>
      </c>
      <c r="BD947">
        <v>0</v>
      </c>
      <c r="BE947">
        <v>0</v>
      </c>
      <c r="BF947">
        <v>0</v>
      </c>
      <c r="BG947">
        <v>0</v>
      </c>
      <c r="BH947">
        <v>0</v>
      </c>
      <c r="BI947">
        <v>0</v>
      </c>
      <c r="BK947" s="151"/>
    </row>
    <row r="948" spans="1:63" x14ac:dyDescent="0.35">
      <c r="A948">
        <v>0</v>
      </c>
      <c r="B948">
        <v>0</v>
      </c>
      <c r="C948">
        <v>0</v>
      </c>
      <c r="D948">
        <v>0</v>
      </c>
      <c r="E948">
        <v>0</v>
      </c>
      <c r="F948">
        <v>0</v>
      </c>
      <c r="G948">
        <v>0</v>
      </c>
      <c r="H948">
        <v>0</v>
      </c>
      <c r="I948">
        <v>0</v>
      </c>
      <c r="J948">
        <v>0</v>
      </c>
      <c r="K948">
        <v>0</v>
      </c>
      <c r="L948">
        <v>0</v>
      </c>
      <c r="M948">
        <v>0</v>
      </c>
      <c r="N948">
        <v>0</v>
      </c>
      <c r="O948">
        <v>0</v>
      </c>
      <c r="P948">
        <v>0</v>
      </c>
      <c r="Q948">
        <v>0</v>
      </c>
      <c r="R948">
        <v>0</v>
      </c>
      <c r="S948">
        <v>0</v>
      </c>
      <c r="T948">
        <v>0</v>
      </c>
      <c r="U948">
        <v>0</v>
      </c>
      <c r="V948">
        <v>0</v>
      </c>
      <c r="W948">
        <v>0</v>
      </c>
      <c r="X948">
        <v>0</v>
      </c>
      <c r="Y948">
        <v>0</v>
      </c>
      <c r="Z948">
        <v>0</v>
      </c>
      <c r="AA948">
        <v>0</v>
      </c>
      <c r="AB948">
        <v>0</v>
      </c>
      <c r="AC948">
        <v>0</v>
      </c>
      <c r="AD948">
        <v>0</v>
      </c>
      <c r="AF948">
        <v>0</v>
      </c>
      <c r="AG948">
        <v>0</v>
      </c>
      <c r="AH948">
        <v>0</v>
      </c>
      <c r="AI948">
        <v>0</v>
      </c>
      <c r="AJ948">
        <v>0</v>
      </c>
      <c r="AK948">
        <v>0</v>
      </c>
      <c r="AL948">
        <v>0</v>
      </c>
      <c r="AM948">
        <v>0</v>
      </c>
      <c r="AN948">
        <v>0</v>
      </c>
      <c r="AO948">
        <v>0</v>
      </c>
      <c r="AP948">
        <v>0</v>
      </c>
      <c r="AQ948">
        <v>0</v>
      </c>
      <c r="AR948">
        <v>0</v>
      </c>
      <c r="AS948">
        <v>0</v>
      </c>
      <c r="AT948">
        <v>0</v>
      </c>
      <c r="AU948">
        <v>0</v>
      </c>
      <c r="AV948">
        <v>0</v>
      </c>
      <c r="AW948">
        <v>0</v>
      </c>
      <c r="AX948">
        <v>0</v>
      </c>
      <c r="AY948">
        <v>0</v>
      </c>
      <c r="AZ948">
        <v>0</v>
      </c>
      <c r="BA948">
        <v>0</v>
      </c>
      <c r="BB948">
        <v>0</v>
      </c>
      <c r="BC948">
        <v>0</v>
      </c>
      <c r="BD948">
        <v>0</v>
      </c>
      <c r="BE948">
        <v>0</v>
      </c>
      <c r="BF948">
        <v>0</v>
      </c>
      <c r="BG948">
        <v>0</v>
      </c>
      <c r="BH948">
        <v>0</v>
      </c>
      <c r="BI948">
        <v>0</v>
      </c>
      <c r="BK948" s="151"/>
    </row>
    <row r="949" spans="1:63" x14ac:dyDescent="0.35">
      <c r="A949">
        <v>0</v>
      </c>
      <c r="B949">
        <v>0</v>
      </c>
      <c r="C949">
        <v>0</v>
      </c>
      <c r="D949">
        <v>0</v>
      </c>
      <c r="E949">
        <v>0</v>
      </c>
      <c r="F949">
        <v>0</v>
      </c>
      <c r="G949">
        <v>0</v>
      </c>
      <c r="H949">
        <v>0</v>
      </c>
      <c r="I949">
        <v>0</v>
      </c>
      <c r="J949">
        <v>0</v>
      </c>
      <c r="K949">
        <v>0</v>
      </c>
      <c r="L949">
        <v>0</v>
      </c>
      <c r="M949">
        <v>0</v>
      </c>
      <c r="N949">
        <v>0</v>
      </c>
      <c r="O949">
        <v>0</v>
      </c>
      <c r="P949">
        <v>0</v>
      </c>
      <c r="Q949">
        <v>0</v>
      </c>
      <c r="R949">
        <v>0</v>
      </c>
      <c r="S949">
        <v>0</v>
      </c>
      <c r="T949">
        <v>0</v>
      </c>
      <c r="U949">
        <v>0</v>
      </c>
      <c r="V949">
        <v>0</v>
      </c>
      <c r="W949">
        <v>0</v>
      </c>
      <c r="X949">
        <v>0</v>
      </c>
      <c r="Y949">
        <v>0</v>
      </c>
      <c r="Z949">
        <v>0</v>
      </c>
      <c r="AA949">
        <v>0</v>
      </c>
      <c r="AB949">
        <v>0</v>
      </c>
      <c r="AC949">
        <v>0</v>
      </c>
      <c r="AD949">
        <v>0</v>
      </c>
      <c r="AF949">
        <v>0</v>
      </c>
      <c r="AG949">
        <v>0</v>
      </c>
      <c r="AH949">
        <v>0</v>
      </c>
      <c r="AI949">
        <v>0</v>
      </c>
      <c r="AJ949">
        <v>0</v>
      </c>
      <c r="AK949">
        <v>0</v>
      </c>
      <c r="AL949">
        <v>0</v>
      </c>
      <c r="AM949">
        <v>0</v>
      </c>
      <c r="AN949">
        <v>0</v>
      </c>
      <c r="AO949">
        <v>0</v>
      </c>
      <c r="AP949">
        <v>0</v>
      </c>
      <c r="AQ949">
        <v>0</v>
      </c>
      <c r="AR949">
        <v>0</v>
      </c>
      <c r="AS949">
        <v>0</v>
      </c>
      <c r="AT949">
        <v>0</v>
      </c>
      <c r="AU949">
        <v>0</v>
      </c>
      <c r="AV949">
        <v>0</v>
      </c>
      <c r="AW949">
        <v>0</v>
      </c>
      <c r="AX949">
        <v>0</v>
      </c>
      <c r="AY949">
        <v>0</v>
      </c>
      <c r="AZ949">
        <v>0</v>
      </c>
      <c r="BA949">
        <v>0</v>
      </c>
      <c r="BB949">
        <v>0</v>
      </c>
      <c r="BC949">
        <v>0</v>
      </c>
      <c r="BD949">
        <v>0</v>
      </c>
      <c r="BE949">
        <v>0</v>
      </c>
      <c r="BF949">
        <v>0</v>
      </c>
      <c r="BG949">
        <v>0</v>
      </c>
      <c r="BH949">
        <v>0</v>
      </c>
      <c r="BI949">
        <v>0</v>
      </c>
      <c r="BK949" s="151"/>
    </row>
    <row r="950" spans="1:63" x14ac:dyDescent="0.35">
      <c r="A950">
        <v>0</v>
      </c>
      <c r="B950">
        <v>0</v>
      </c>
      <c r="C950">
        <v>0</v>
      </c>
      <c r="D950">
        <v>0</v>
      </c>
      <c r="E950">
        <v>0</v>
      </c>
      <c r="F950">
        <v>0</v>
      </c>
      <c r="G950">
        <v>0</v>
      </c>
      <c r="H950">
        <v>0</v>
      </c>
      <c r="I950">
        <v>0</v>
      </c>
      <c r="J950">
        <v>0</v>
      </c>
      <c r="K950">
        <v>0</v>
      </c>
      <c r="L950">
        <v>0</v>
      </c>
      <c r="M950">
        <v>0</v>
      </c>
      <c r="N950">
        <v>0</v>
      </c>
      <c r="O950">
        <v>0</v>
      </c>
      <c r="P950">
        <v>0</v>
      </c>
      <c r="Q950">
        <v>0</v>
      </c>
      <c r="R950">
        <v>0</v>
      </c>
      <c r="S950">
        <v>0</v>
      </c>
      <c r="T950">
        <v>0</v>
      </c>
      <c r="U950">
        <v>0</v>
      </c>
      <c r="V950">
        <v>0</v>
      </c>
      <c r="W950">
        <v>0</v>
      </c>
      <c r="X950">
        <v>0</v>
      </c>
      <c r="Y950">
        <v>0</v>
      </c>
      <c r="Z950">
        <v>0</v>
      </c>
      <c r="AA950">
        <v>0</v>
      </c>
      <c r="AB950">
        <v>0</v>
      </c>
      <c r="AC950">
        <v>0</v>
      </c>
      <c r="AD950">
        <v>0</v>
      </c>
      <c r="AF950">
        <v>0</v>
      </c>
      <c r="AG950">
        <v>0</v>
      </c>
      <c r="AH950">
        <v>0</v>
      </c>
      <c r="AI950">
        <v>0</v>
      </c>
      <c r="AJ950">
        <v>0</v>
      </c>
      <c r="AK950">
        <v>0</v>
      </c>
      <c r="AL950">
        <v>0</v>
      </c>
      <c r="AM950">
        <v>0</v>
      </c>
      <c r="AN950">
        <v>0</v>
      </c>
      <c r="AO950">
        <v>0</v>
      </c>
      <c r="AP950">
        <v>0</v>
      </c>
      <c r="AQ950">
        <v>0</v>
      </c>
      <c r="AR950">
        <v>0</v>
      </c>
      <c r="AS950">
        <v>0</v>
      </c>
      <c r="AT950">
        <v>0</v>
      </c>
      <c r="AU950">
        <v>0</v>
      </c>
      <c r="AV950">
        <v>0</v>
      </c>
      <c r="AW950">
        <v>0</v>
      </c>
      <c r="AX950">
        <v>0</v>
      </c>
      <c r="AY950">
        <v>0</v>
      </c>
      <c r="AZ950">
        <v>0</v>
      </c>
      <c r="BA950">
        <v>0</v>
      </c>
      <c r="BB950">
        <v>0</v>
      </c>
      <c r="BC950">
        <v>0</v>
      </c>
      <c r="BD950">
        <v>0</v>
      </c>
      <c r="BE950">
        <v>0</v>
      </c>
      <c r="BF950">
        <v>0</v>
      </c>
      <c r="BG950">
        <v>0</v>
      </c>
      <c r="BH950">
        <v>0</v>
      </c>
      <c r="BI950">
        <v>0</v>
      </c>
      <c r="BK950" s="151"/>
    </row>
    <row r="951" spans="1:63" x14ac:dyDescent="0.35">
      <c r="A951">
        <v>0</v>
      </c>
      <c r="B951">
        <v>0</v>
      </c>
      <c r="C951">
        <v>0</v>
      </c>
      <c r="D951">
        <v>0</v>
      </c>
      <c r="E951">
        <v>0</v>
      </c>
      <c r="F951">
        <v>0</v>
      </c>
      <c r="G951">
        <v>0</v>
      </c>
      <c r="H951">
        <v>0</v>
      </c>
      <c r="I951">
        <v>0</v>
      </c>
      <c r="J951">
        <v>0</v>
      </c>
      <c r="K951">
        <v>0</v>
      </c>
      <c r="L951">
        <v>0</v>
      </c>
      <c r="M951">
        <v>0</v>
      </c>
      <c r="N951">
        <v>0</v>
      </c>
      <c r="O951">
        <v>0</v>
      </c>
      <c r="P951">
        <v>0</v>
      </c>
      <c r="Q951">
        <v>0</v>
      </c>
      <c r="R951">
        <v>0</v>
      </c>
      <c r="S951">
        <v>0</v>
      </c>
      <c r="T951">
        <v>0</v>
      </c>
      <c r="U951">
        <v>0</v>
      </c>
      <c r="V951">
        <v>0</v>
      </c>
      <c r="W951">
        <v>0</v>
      </c>
      <c r="X951">
        <v>0</v>
      </c>
      <c r="Y951">
        <v>0</v>
      </c>
      <c r="Z951">
        <v>0</v>
      </c>
      <c r="AA951">
        <v>0</v>
      </c>
      <c r="AB951">
        <v>0</v>
      </c>
      <c r="AC951">
        <v>0</v>
      </c>
      <c r="AD951">
        <v>0</v>
      </c>
      <c r="AF951">
        <v>0</v>
      </c>
      <c r="AG951">
        <v>0</v>
      </c>
      <c r="AH951">
        <v>0</v>
      </c>
      <c r="AI951">
        <v>0</v>
      </c>
      <c r="AJ951">
        <v>0</v>
      </c>
      <c r="AK951">
        <v>0</v>
      </c>
      <c r="AL951">
        <v>0</v>
      </c>
      <c r="AM951">
        <v>0</v>
      </c>
      <c r="AN951">
        <v>0</v>
      </c>
      <c r="AO951">
        <v>0</v>
      </c>
      <c r="AP951">
        <v>0</v>
      </c>
      <c r="AQ951">
        <v>0</v>
      </c>
      <c r="AR951">
        <v>0</v>
      </c>
      <c r="AS951">
        <v>0</v>
      </c>
      <c r="AT951">
        <v>0</v>
      </c>
      <c r="AU951">
        <v>0</v>
      </c>
      <c r="AV951">
        <v>0</v>
      </c>
      <c r="AW951">
        <v>0</v>
      </c>
      <c r="AX951">
        <v>0</v>
      </c>
      <c r="AY951">
        <v>0</v>
      </c>
      <c r="AZ951">
        <v>0</v>
      </c>
      <c r="BA951">
        <v>0</v>
      </c>
      <c r="BB951">
        <v>0</v>
      </c>
      <c r="BC951">
        <v>0</v>
      </c>
      <c r="BD951">
        <v>0</v>
      </c>
      <c r="BE951">
        <v>0</v>
      </c>
      <c r="BF951">
        <v>0</v>
      </c>
      <c r="BG951">
        <v>0</v>
      </c>
      <c r="BH951">
        <v>0</v>
      </c>
      <c r="BI951">
        <v>0</v>
      </c>
      <c r="BK951" s="151"/>
    </row>
    <row r="952" spans="1:63" x14ac:dyDescent="0.35">
      <c r="A952">
        <v>0</v>
      </c>
      <c r="B952">
        <v>0</v>
      </c>
      <c r="C952">
        <v>0</v>
      </c>
      <c r="D952">
        <v>0</v>
      </c>
      <c r="E952">
        <v>0</v>
      </c>
      <c r="F952">
        <v>0</v>
      </c>
      <c r="G952">
        <v>0</v>
      </c>
      <c r="H952">
        <v>0</v>
      </c>
      <c r="I952">
        <v>0</v>
      </c>
      <c r="J952">
        <v>0</v>
      </c>
      <c r="K952">
        <v>0</v>
      </c>
      <c r="L952">
        <v>0</v>
      </c>
      <c r="M952">
        <v>0</v>
      </c>
      <c r="N952">
        <v>0</v>
      </c>
      <c r="O952">
        <v>0</v>
      </c>
      <c r="P952">
        <v>0</v>
      </c>
      <c r="Q952">
        <v>0</v>
      </c>
      <c r="R952">
        <v>0</v>
      </c>
      <c r="S952">
        <v>0</v>
      </c>
      <c r="T952">
        <v>0</v>
      </c>
      <c r="U952">
        <v>0</v>
      </c>
      <c r="V952">
        <v>0</v>
      </c>
      <c r="W952">
        <v>0</v>
      </c>
      <c r="X952">
        <v>0</v>
      </c>
      <c r="Y952">
        <v>0</v>
      </c>
      <c r="Z952">
        <v>0</v>
      </c>
      <c r="AA952">
        <v>0</v>
      </c>
      <c r="AB952">
        <v>0</v>
      </c>
      <c r="AC952">
        <v>0</v>
      </c>
      <c r="AD952">
        <v>0</v>
      </c>
      <c r="AF952">
        <v>0</v>
      </c>
      <c r="AG952">
        <v>0</v>
      </c>
      <c r="AH952">
        <v>0</v>
      </c>
      <c r="AI952">
        <v>0</v>
      </c>
      <c r="AJ952">
        <v>0</v>
      </c>
      <c r="AK952">
        <v>0</v>
      </c>
      <c r="AL952">
        <v>0</v>
      </c>
      <c r="AM952">
        <v>0</v>
      </c>
      <c r="AN952">
        <v>0</v>
      </c>
      <c r="AO952">
        <v>0</v>
      </c>
      <c r="AP952">
        <v>0</v>
      </c>
      <c r="AQ952">
        <v>0</v>
      </c>
      <c r="AR952">
        <v>0</v>
      </c>
      <c r="AS952">
        <v>0</v>
      </c>
      <c r="AT952">
        <v>0</v>
      </c>
      <c r="AU952">
        <v>0</v>
      </c>
      <c r="AV952">
        <v>0</v>
      </c>
      <c r="AW952">
        <v>0</v>
      </c>
      <c r="AX952">
        <v>0</v>
      </c>
      <c r="AY952">
        <v>0</v>
      </c>
      <c r="AZ952">
        <v>0</v>
      </c>
      <c r="BA952">
        <v>0</v>
      </c>
      <c r="BB952">
        <v>0</v>
      </c>
      <c r="BC952">
        <v>0</v>
      </c>
      <c r="BD952">
        <v>0</v>
      </c>
      <c r="BE952">
        <v>0</v>
      </c>
      <c r="BF952">
        <v>0</v>
      </c>
      <c r="BG952">
        <v>0</v>
      </c>
      <c r="BH952">
        <v>0</v>
      </c>
      <c r="BI952">
        <v>0</v>
      </c>
      <c r="BK952" s="151"/>
    </row>
    <row r="953" spans="1:63" x14ac:dyDescent="0.35">
      <c r="A953">
        <v>0</v>
      </c>
      <c r="B953">
        <v>0</v>
      </c>
      <c r="C953">
        <v>0</v>
      </c>
      <c r="D953">
        <v>0</v>
      </c>
      <c r="E953">
        <v>0</v>
      </c>
      <c r="F953">
        <v>0</v>
      </c>
      <c r="G953">
        <v>0</v>
      </c>
      <c r="H953">
        <v>0</v>
      </c>
      <c r="I953">
        <v>0</v>
      </c>
      <c r="J953">
        <v>0</v>
      </c>
      <c r="K953">
        <v>0</v>
      </c>
      <c r="L953">
        <v>0</v>
      </c>
      <c r="M953">
        <v>0</v>
      </c>
      <c r="N953">
        <v>0</v>
      </c>
      <c r="O953">
        <v>0</v>
      </c>
      <c r="P953">
        <v>0</v>
      </c>
      <c r="Q953">
        <v>0</v>
      </c>
      <c r="R953">
        <v>0</v>
      </c>
      <c r="S953">
        <v>0</v>
      </c>
      <c r="T953">
        <v>0</v>
      </c>
      <c r="U953">
        <v>0</v>
      </c>
      <c r="V953">
        <v>0</v>
      </c>
      <c r="W953">
        <v>0</v>
      </c>
      <c r="X953">
        <v>0</v>
      </c>
      <c r="Y953">
        <v>0</v>
      </c>
      <c r="Z953">
        <v>0</v>
      </c>
      <c r="AA953">
        <v>0</v>
      </c>
      <c r="AB953">
        <v>0</v>
      </c>
      <c r="AC953">
        <v>0</v>
      </c>
      <c r="AD953">
        <v>0</v>
      </c>
      <c r="AF953">
        <v>0</v>
      </c>
      <c r="AG953">
        <v>0</v>
      </c>
      <c r="AH953">
        <v>0</v>
      </c>
      <c r="AI953">
        <v>0</v>
      </c>
      <c r="AJ953">
        <v>0</v>
      </c>
      <c r="AK953">
        <v>0</v>
      </c>
      <c r="AL953">
        <v>0</v>
      </c>
      <c r="AM953">
        <v>0</v>
      </c>
      <c r="AN953">
        <v>0</v>
      </c>
      <c r="AO953">
        <v>0</v>
      </c>
      <c r="AP953">
        <v>0</v>
      </c>
      <c r="AQ953">
        <v>0</v>
      </c>
      <c r="AR953">
        <v>0</v>
      </c>
      <c r="AS953">
        <v>0</v>
      </c>
      <c r="AT953">
        <v>0</v>
      </c>
      <c r="AU953">
        <v>0</v>
      </c>
      <c r="AV953">
        <v>0</v>
      </c>
      <c r="AW953">
        <v>0</v>
      </c>
      <c r="AX953">
        <v>0</v>
      </c>
      <c r="AY953">
        <v>0</v>
      </c>
      <c r="AZ953">
        <v>0</v>
      </c>
      <c r="BA953">
        <v>0</v>
      </c>
      <c r="BB953">
        <v>0</v>
      </c>
      <c r="BC953">
        <v>0</v>
      </c>
      <c r="BD953">
        <v>0</v>
      </c>
      <c r="BE953">
        <v>0</v>
      </c>
      <c r="BF953">
        <v>0</v>
      </c>
      <c r="BG953">
        <v>0</v>
      </c>
      <c r="BH953">
        <v>0</v>
      </c>
      <c r="BI953">
        <v>0</v>
      </c>
      <c r="BK953" s="151"/>
    </row>
    <row r="954" spans="1:63" x14ac:dyDescent="0.35">
      <c r="A954">
        <v>0</v>
      </c>
      <c r="B954">
        <v>0</v>
      </c>
      <c r="C954">
        <v>0</v>
      </c>
      <c r="D954">
        <v>0</v>
      </c>
      <c r="E954">
        <v>0</v>
      </c>
      <c r="F954">
        <v>0</v>
      </c>
      <c r="G954">
        <v>0</v>
      </c>
      <c r="H954">
        <v>0</v>
      </c>
      <c r="I954">
        <v>0</v>
      </c>
      <c r="J954">
        <v>0</v>
      </c>
      <c r="K954">
        <v>0</v>
      </c>
      <c r="L954">
        <v>0</v>
      </c>
      <c r="M954">
        <v>0</v>
      </c>
      <c r="N954">
        <v>0</v>
      </c>
      <c r="O954">
        <v>0</v>
      </c>
      <c r="P954">
        <v>0</v>
      </c>
      <c r="Q954">
        <v>0</v>
      </c>
      <c r="R954">
        <v>0</v>
      </c>
      <c r="S954">
        <v>0</v>
      </c>
      <c r="T954">
        <v>0</v>
      </c>
      <c r="U954">
        <v>0</v>
      </c>
      <c r="V954">
        <v>0</v>
      </c>
      <c r="W954">
        <v>0</v>
      </c>
      <c r="X954">
        <v>0</v>
      </c>
      <c r="Y954">
        <v>0</v>
      </c>
      <c r="Z954">
        <v>0</v>
      </c>
      <c r="AA954">
        <v>0</v>
      </c>
      <c r="AB954">
        <v>0</v>
      </c>
      <c r="AC954">
        <v>0</v>
      </c>
      <c r="AD954">
        <v>0</v>
      </c>
      <c r="AF954">
        <v>0</v>
      </c>
      <c r="AG954">
        <v>0</v>
      </c>
      <c r="AH954">
        <v>0</v>
      </c>
      <c r="AI954">
        <v>0</v>
      </c>
      <c r="AJ954">
        <v>0</v>
      </c>
      <c r="AK954">
        <v>0</v>
      </c>
      <c r="AL954">
        <v>0</v>
      </c>
      <c r="AM954">
        <v>0</v>
      </c>
      <c r="AN954">
        <v>0</v>
      </c>
      <c r="AO954">
        <v>0</v>
      </c>
      <c r="AP954">
        <v>0</v>
      </c>
      <c r="AQ954">
        <v>0</v>
      </c>
      <c r="AR954">
        <v>0</v>
      </c>
      <c r="AS954">
        <v>0</v>
      </c>
      <c r="AT954">
        <v>0</v>
      </c>
      <c r="AU954">
        <v>0</v>
      </c>
      <c r="AV954">
        <v>0</v>
      </c>
      <c r="AW954">
        <v>0</v>
      </c>
      <c r="AX954">
        <v>0</v>
      </c>
      <c r="AY954">
        <v>0</v>
      </c>
      <c r="AZ954">
        <v>0</v>
      </c>
      <c r="BA954">
        <v>0</v>
      </c>
      <c r="BB954">
        <v>0</v>
      </c>
      <c r="BC954">
        <v>0</v>
      </c>
      <c r="BD954">
        <v>0</v>
      </c>
      <c r="BE954">
        <v>0</v>
      </c>
      <c r="BF954">
        <v>0</v>
      </c>
      <c r="BG954">
        <v>0</v>
      </c>
      <c r="BH954">
        <v>0</v>
      </c>
      <c r="BI954">
        <v>0</v>
      </c>
      <c r="BK954" s="151"/>
    </row>
    <row r="955" spans="1:63" x14ac:dyDescent="0.35">
      <c r="A955">
        <v>0</v>
      </c>
      <c r="B955">
        <v>0</v>
      </c>
      <c r="C955">
        <v>0</v>
      </c>
      <c r="D955">
        <v>0</v>
      </c>
      <c r="E955">
        <v>0</v>
      </c>
      <c r="F955">
        <v>0</v>
      </c>
      <c r="G955">
        <v>0</v>
      </c>
      <c r="H955">
        <v>0</v>
      </c>
      <c r="I955">
        <v>0</v>
      </c>
      <c r="J955">
        <v>0</v>
      </c>
      <c r="K955">
        <v>0</v>
      </c>
      <c r="L955">
        <v>0</v>
      </c>
      <c r="M955">
        <v>0</v>
      </c>
      <c r="N955">
        <v>0</v>
      </c>
      <c r="O955">
        <v>0</v>
      </c>
      <c r="P955">
        <v>0</v>
      </c>
      <c r="Q955">
        <v>0</v>
      </c>
      <c r="R955">
        <v>0</v>
      </c>
      <c r="S955">
        <v>0</v>
      </c>
      <c r="T955">
        <v>0</v>
      </c>
      <c r="U955">
        <v>0</v>
      </c>
      <c r="V955">
        <v>0</v>
      </c>
      <c r="W955">
        <v>0</v>
      </c>
      <c r="X955">
        <v>0</v>
      </c>
      <c r="Y955">
        <v>0</v>
      </c>
      <c r="Z955">
        <v>0</v>
      </c>
      <c r="AA955">
        <v>0</v>
      </c>
      <c r="AB955">
        <v>0</v>
      </c>
      <c r="AC955">
        <v>0</v>
      </c>
      <c r="AD955">
        <v>0</v>
      </c>
      <c r="AF955">
        <v>0</v>
      </c>
      <c r="AG955">
        <v>0</v>
      </c>
      <c r="AH955">
        <v>0</v>
      </c>
      <c r="AI955">
        <v>0</v>
      </c>
      <c r="AJ955">
        <v>0</v>
      </c>
      <c r="AK955">
        <v>0</v>
      </c>
      <c r="AL955">
        <v>0</v>
      </c>
      <c r="AM955">
        <v>0</v>
      </c>
      <c r="AN955">
        <v>0</v>
      </c>
      <c r="AO955">
        <v>0</v>
      </c>
      <c r="AP955">
        <v>0</v>
      </c>
      <c r="AQ955">
        <v>0</v>
      </c>
      <c r="AR955">
        <v>0</v>
      </c>
      <c r="AS955">
        <v>0</v>
      </c>
      <c r="AT955">
        <v>0</v>
      </c>
      <c r="AU955">
        <v>0</v>
      </c>
      <c r="AV955">
        <v>0</v>
      </c>
      <c r="AW955">
        <v>0</v>
      </c>
      <c r="AX955">
        <v>0</v>
      </c>
      <c r="AY955">
        <v>0</v>
      </c>
      <c r="AZ955">
        <v>0</v>
      </c>
      <c r="BA955">
        <v>0</v>
      </c>
      <c r="BB955">
        <v>0</v>
      </c>
      <c r="BC955">
        <v>0</v>
      </c>
      <c r="BD955">
        <v>0</v>
      </c>
      <c r="BE955">
        <v>0</v>
      </c>
      <c r="BF955">
        <v>0</v>
      </c>
      <c r="BG955">
        <v>0</v>
      </c>
      <c r="BH955">
        <v>0</v>
      </c>
      <c r="BI955">
        <v>0</v>
      </c>
      <c r="BK955" s="151"/>
    </row>
    <row r="956" spans="1:63" x14ac:dyDescent="0.35">
      <c r="A956">
        <v>0</v>
      </c>
      <c r="B956">
        <v>0</v>
      </c>
      <c r="C956">
        <v>0</v>
      </c>
      <c r="D956">
        <v>0</v>
      </c>
      <c r="E956">
        <v>0</v>
      </c>
      <c r="F956">
        <v>0</v>
      </c>
      <c r="G956">
        <v>0</v>
      </c>
      <c r="H956">
        <v>0</v>
      </c>
      <c r="I956">
        <v>0</v>
      </c>
      <c r="J956">
        <v>0</v>
      </c>
      <c r="K956">
        <v>0</v>
      </c>
      <c r="L956">
        <v>0</v>
      </c>
      <c r="M956">
        <v>0</v>
      </c>
      <c r="N956">
        <v>0</v>
      </c>
      <c r="O956">
        <v>0</v>
      </c>
      <c r="P956">
        <v>0</v>
      </c>
      <c r="Q956">
        <v>0</v>
      </c>
      <c r="R956">
        <v>0</v>
      </c>
      <c r="S956">
        <v>0</v>
      </c>
      <c r="T956">
        <v>0</v>
      </c>
      <c r="U956">
        <v>0</v>
      </c>
      <c r="V956">
        <v>0</v>
      </c>
      <c r="W956">
        <v>0</v>
      </c>
      <c r="X956">
        <v>0</v>
      </c>
      <c r="Y956">
        <v>0</v>
      </c>
      <c r="Z956">
        <v>0</v>
      </c>
      <c r="AA956">
        <v>0</v>
      </c>
      <c r="AB956">
        <v>0</v>
      </c>
      <c r="AC956">
        <v>0</v>
      </c>
      <c r="AD956">
        <v>0</v>
      </c>
      <c r="AF956">
        <v>0</v>
      </c>
      <c r="AG956">
        <v>0</v>
      </c>
      <c r="AH956">
        <v>0</v>
      </c>
      <c r="AI956">
        <v>0</v>
      </c>
      <c r="AJ956">
        <v>0</v>
      </c>
      <c r="AK956">
        <v>0</v>
      </c>
      <c r="AL956">
        <v>0</v>
      </c>
      <c r="AM956">
        <v>0</v>
      </c>
      <c r="AN956">
        <v>0</v>
      </c>
      <c r="AO956">
        <v>0</v>
      </c>
      <c r="AP956">
        <v>0</v>
      </c>
      <c r="AQ956">
        <v>0</v>
      </c>
      <c r="AR956">
        <v>0</v>
      </c>
      <c r="AS956">
        <v>0</v>
      </c>
      <c r="AT956">
        <v>0</v>
      </c>
      <c r="AU956">
        <v>0</v>
      </c>
      <c r="AV956">
        <v>0</v>
      </c>
      <c r="AW956">
        <v>0</v>
      </c>
      <c r="AX956">
        <v>0</v>
      </c>
      <c r="AY956">
        <v>0</v>
      </c>
      <c r="AZ956">
        <v>0</v>
      </c>
      <c r="BA956">
        <v>0</v>
      </c>
      <c r="BB956">
        <v>0</v>
      </c>
      <c r="BC956">
        <v>0</v>
      </c>
      <c r="BD956">
        <v>0</v>
      </c>
      <c r="BE956">
        <v>0</v>
      </c>
      <c r="BF956">
        <v>0</v>
      </c>
      <c r="BG956">
        <v>0</v>
      </c>
      <c r="BH956">
        <v>0</v>
      </c>
      <c r="BI956">
        <v>0</v>
      </c>
      <c r="BK956" s="151"/>
    </row>
    <row r="957" spans="1:63" x14ac:dyDescent="0.35">
      <c r="A957">
        <v>0</v>
      </c>
      <c r="B957">
        <v>0</v>
      </c>
      <c r="C957">
        <v>0</v>
      </c>
      <c r="D957">
        <v>0</v>
      </c>
      <c r="E957">
        <v>0</v>
      </c>
      <c r="F957">
        <v>0</v>
      </c>
      <c r="G957">
        <v>0</v>
      </c>
      <c r="H957">
        <v>0</v>
      </c>
      <c r="I957">
        <v>0</v>
      </c>
      <c r="J957">
        <v>0</v>
      </c>
      <c r="K957">
        <v>0</v>
      </c>
      <c r="L957">
        <v>0</v>
      </c>
      <c r="M957">
        <v>0</v>
      </c>
      <c r="N957">
        <v>0</v>
      </c>
      <c r="O957">
        <v>0</v>
      </c>
      <c r="P957">
        <v>0</v>
      </c>
      <c r="Q957">
        <v>0</v>
      </c>
      <c r="R957">
        <v>0</v>
      </c>
      <c r="S957">
        <v>0</v>
      </c>
      <c r="T957">
        <v>0</v>
      </c>
      <c r="U957">
        <v>0</v>
      </c>
      <c r="V957">
        <v>0</v>
      </c>
      <c r="W957">
        <v>0</v>
      </c>
      <c r="X957">
        <v>0</v>
      </c>
      <c r="Y957">
        <v>0</v>
      </c>
      <c r="Z957">
        <v>0</v>
      </c>
      <c r="AA957">
        <v>0</v>
      </c>
      <c r="AB957">
        <v>0</v>
      </c>
      <c r="AC957">
        <v>0</v>
      </c>
      <c r="AD957">
        <v>0</v>
      </c>
      <c r="AF957">
        <v>0</v>
      </c>
      <c r="AG957">
        <v>0</v>
      </c>
      <c r="AH957">
        <v>0</v>
      </c>
      <c r="AI957">
        <v>0</v>
      </c>
      <c r="AJ957">
        <v>0</v>
      </c>
      <c r="AK957">
        <v>0</v>
      </c>
      <c r="AL957">
        <v>0</v>
      </c>
      <c r="AM957">
        <v>0</v>
      </c>
      <c r="AN957">
        <v>0</v>
      </c>
      <c r="AO957">
        <v>0</v>
      </c>
      <c r="AP957">
        <v>0</v>
      </c>
      <c r="AQ957">
        <v>0</v>
      </c>
      <c r="AR957">
        <v>0</v>
      </c>
      <c r="AS957">
        <v>0</v>
      </c>
      <c r="AT957">
        <v>0</v>
      </c>
      <c r="AU957">
        <v>0</v>
      </c>
      <c r="AV957">
        <v>0</v>
      </c>
      <c r="AW957">
        <v>0</v>
      </c>
      <c r="AX957">
        <v>0</v>
      </c>
      <c r="AY957">
        <v>0</v>
      </c>
      <c r="AZ957">
        <v>0</v>
      </c>
      <c r="BA957">
        <v>0</v>
      </c>
      <c r="BB957">
        <v>0</v>
      </c>
      <c r="BC957">
        <v>0</v>
      </c>
      <c r="BD957">
        <v>0</v>
      </c>
      <c r="BE957">
        <v>0</v>
      </c>
      <c r="BF957">
        <v>0</v>
      </c>
      <c r="BG957">
        <v>0</v>
      </c>
      <c r="BH957">
        <v>0</v>
      </c>
      <c r="BI957">
        <v>0</v>
      </c>
      <c r="BK957" s="151"/>
    </row>
    <row r="958" spans="1:63" x14ac:dyDescent="0.35">
      <c r="A958">
        <v>0</v>
      </c>
      <c r="B958">
        <v>0</v>
      </c>
      <c r="C958">
        <v>0</v>
      </c>
      <c r="D958">
        <v>0</v>
      </c>
      <c r="E958">
        <v>0</v>
      </c>
      <c r="F958">
        <v>0</v>
      </c>
      <c r="G958">
        <v>0</v>
      </c>
      <c r="H958">
        <v>0</v>
      </c>
      <c r="I958">
        <v>0</v>
      </c>
      <c r="J958">
        <v>0</v>
      </c>
      <c r="K958">
        <v>0</v>
      </c>
      <c r="L958">
        <v>0</v>
      </c>
      <c r="M958">
        <v>0</v>
      </c>
      <c r="N958">
        <v>0</v>
      </c>
      <c r="O958">
        <v>0</v>
      </c>
      <c r="P958">
        <v>0</v>
      </c>
      <c r="Q958">
        <v>0</v>
      </c>
      <c r="R958">
        <v>0</v>
      </c>
      <c r="S958">
        <v>0</v>
      </c>
      <c r="T958">
        <v>0</v>
      </c>
      <c r="U958">
        <v>0</v>
      </c>
      <c r="V958">
        <v>0</v>
      </c>
      <c r="W958">
        <v>0</v>
      </c>
      <c r="X958">
        <v>0</v>
      </c>
      <c r="Y958">
        <v>0</v>
      </c>
      <c r="Z958">
        <v>0</v>
      </c>
      <c r="AA958">
        <v>0</v>
      </c>
      <c r="AB958">
        <v>0</v>
      </c>
      <c r="AC958">
        <v>0</v>
      </c>
      <c r="AD958">
        <v>0</v>
      </c>
      <c r="AF958">
        <v>0</v>
      </c>
      <c r="AG958">
        <v>0</v>
      </c>
      <c r="AH958">
        <v>0</v>
      </c>
      <c r="AI958">
        <v>0</v>
      </c>
      <c r="AJ958">
        <v>0</v>
      </c>
      <c r="AK958">
        <v>0</v>
      </c>
      <c r="AL958">
        <v>0</v>
      </c>
      <c r="AM958">
        <v>0</v>
      </c>
      <c r="AN958">
        <v>0</v>
      </c>
      <c r="AO958">
        <v>0</v>
      </c>
      <c r="AP958">
        <v>0</v>
      </c>
      <c r="AQ958">
        <v>0</v>
      </c>
      <c r="AR958">
        <v>0</v>
      </c>
      <c r="AS958">
        <v>0</v>
      </c>
      <c r="AT958">
        <v>0</v>
      </c>
      <c r="AU958">
        <v>0</v>
      </c>
      <c r="AV958">
        <v>0</v>
      </c>
      <c r="AW958">
        <v>0</v>
      </c>
      <c r="AX958">
        <v>0</v>
      </c>
      <c r="AY958">
        <v>0</v>
      </c>
      <c r="AZ958">
        <v>0</v>
      </c>
      <c r="BA958">
        <v>0</v>
      </c>
      <c r="BB958">
        <v>0</v>
      </c>
      <c r="BC958">
        <v>0</v>
      </c>
      <c r="BD958">
        <v>0</v>
      </c>
      <c r="BE958">
        <v>0</v>
      </c>
      <c r="BF958">
        <v>0</v>
      </c>
      <c r="BG958">
        <v>0</v>
      </c>
      <c r="BH958">
        <v>0</v>
      </c>
      <c r="BI958">
        <v>0</v>
      </c>
      <c r="BK958" s="151"/>
    </row>
    <row r="959" spans="1:63" x14ac:dyDescent="0.35">
      <c r="A959">
        <v>0</v>
      </c>
      <c r="B959">
        <v>0</v>
      </c>
      <c r="C959">
        <v>0</v>
      </c>
      <c r="D959">
        <v>0</v>
      </c>
      <c r="E959">
        <v>0</v>
      </c>
      <c r="F959">
        <v>0</v>
      </c>
      <c r="G959">
        <v>0</v>
      </c>
      <c r="H959">
        <v>0</v>
      </c>
      <c r="I959">
        <v>0</v>
      </c>
      <c r="J959">
        <v>0</v>
      </c>
      <c r="K959">
        <v>0</v>
      </c>
      <c r="L959">
        <v>0</v>
      </c>
      <c r="M959">
        <v>0</v>
      </c>
      <c r="N959">
        <v>0</v>
      </c>
      <c r="O959">
        <v>0</v>
      </c>
      <c r="P959">
        <v>0</v>
      </c>
      <c r="Q959">
        <v>0</v>
      </c>
      <c r="R959">
        <v>0</v>
      </c>
      <c r="S959">
        <v>0</v>
      </c>
      <c r="T959">
        <v>0</v>
      </c>
      <c r="U959">
        <v>0</v>
      </c>
      <c r="V959">
        <v>0</v>
      </c>
      <c r="W959">
        <v>0</v>
      </c>
      <c r="X959">
        <v>0</v>
      </c>
      <c r="Y959">
        <v>0</v>
      </c>
      <c r="Z959">
        <v>0</v>
      </c>
      <c r="AA959">
        <v>0</v>
      </c>
      <c r="AB959">
        <v>0</v>
      </c>
      <c r="AC959">
        <v>0</v>
      </c>
      <c r="AD959">
        <v>0</v>
      </c>
      <c r="AF959">
        <v>0</v>
      </c>
      <c r="AG959">
        <v>0</v>
      </c>
      <c r="AH959">
        <v>0</v>
      </c>
      <c r="AI959">
        <v>0</v>
      </c>
      <c r="AJ959">
        <v>0</v>
      </c>
      <c r="AK959">
        <v>0</v>
      </c>
      <c r="AL959">
        <v>0</v>
      </c>
      <c r="AM959">
        <v>0</v>
      </c>
      <c r="AN959">
        <v>0</v>
      </c>
      <c r="AO959">
        <v>0</v>
      </c>
      <c r="AP959">
        <v>0</v>
      </c>
      <c r="AQ959">
        <v>0</v>
      </c>
      <c r="AR959">
        <v>0</v>
      </c>
      <c r="AS959">
        <v>0</v>
      </c>
      <c r="AT959">
        <v>0</v>
      </c>
      <c r="AU959">
        <v>0</v>
      </c>
      <c r="AV959">
        <v>0</v>
      </c>
      <c r="AW959">
        <v>0</v>
      </c>
      <c r="AX959">
        <v>0</v>
      </c>
      <c r="AY959">
        <v>0</v>
      </c>
      <c r="AZ959">
        <v>0</v>
      </c>
      <c r="BA959">
        <v>0</v>
      </c>
      <c r="BB959">
        <v>0</v>
      </c>
      <c r="BC959">
        <v>0</v>
      </c>
      <c r="BD959">
        <v>0</v>
      </c>
      <c r="BE959">
        <v>0</v>
      </c>
      <c r="BF959">
        <v>0</v>
      </c>
      <c r="BG959">
        <v>0</v>
      </c>
      <c r="BH959">
        <v>0</v>
      </c>
      <c r="BI959">
        <v>0</v>
      </c>
      <c r="BK959" s="151"/>
    </row>
    <row r="960" spans="1:63" x14ac:dyDescent="0.35">
      <c r="A960">
        <v>0</v>
      </c>
      <c r="B960">
        <v>0</v>
      </c>
      <c r="C960">
        <v>0</v>
      </c>
      <c r="D960">
        <v>0</v>
      </c>
      <c r="E960">
        <v>0</v>
      </c>
      <c r="F960">
        <v>0</v>
      </c>
      <c r="G960">
        <v>0</v>
      </c>
      <c r="H960">
        <v>0</v>
      </c>
      <c r="I960">
        <v>0</v>
      </c>
      <c r="J960">
        <v>0</v>
      </c>
      <c r="K960">
        <v>0</v>
      </c>
      <c r="L960">
        <v>0</v>
      </c>
      <c r="M960">
        <v>0</v>
      </c>
      <c r="N960">
        <v>0</v>
      </c>
      <c r="O960">
        <v>0</v>
      </c>
      <c r="P960">
        <v>0</v>
      </c>
      <c r="Q960">
        <v>0</v>
      </c>
      <c r="R960">
        <v>0</v>
      </c>
      <c r="S960">
        <v>0</v>
      </c>
      <c r="T960">
        <v>0</v>
      </c>
      <c r="U960">
        <v>0</v>
      </c>
      <c r="V960">
        <v>0</v>
      </c>
      <c r="W960">
        <v>0</v>
      </c>
      <c r="X960">
        <v>0</v>
      </c>
      <c r="Y960">
        <v>0</v>
      </c>
      <c r="Z960">
        <v>0</v>
      </c>
      <c r="AA960">
        <v>0</v>
      </c>
      <c r="AB960">
        <v>0</v>
      </c>
      <c r="AC960">
        <v>0</v>
      </c>
      <c r="AD960">
        <v>0</v>
      </c>
      <c r="AF960">
        <v>0</v>
      </c>
      <c r="AG960">
        <v>0</v>
      </c>
      <c r="AH960">
        <v>0</v>
      </c>
      <c r="AI960">
        <v>0</v>
      </c>
      <c r="AJ960">
        <v>0</v>
      </c>
      <c r="AK960">
        <v>0</v>
      </c>
      <c r="AL960">
        <v>0</v>
      </c>
      <c r="AM960">
        <v>0</v>
      </c>
      <c r="AN960">
        <v>0</v>
      </c>
      <c r="AO960">
        <v>0</v>
      </c>
      <c r="AP960">
        <v>0</v>
      </c>
      <c r="AQ960">
        <v>0</v>
      </c>
      <c r="AR960">
        <v>0</v>
      </c>
      <c r="AS960">
        <v>0</v>
      </c>
      <c r="AT960">
        <v>0</v>
      </c>
      <c r="AU960">
        <v>0</v>
      </c>
      <c r="AV960">
        <v>0</v>
      </c>
      <c r="AW960">
        <v>0</v>
      </c>
      <c r="AX960">
        <v>0</v>
      </c>
      <c r="AY960">
        <v>0</v>
      </c>
      <c r="AZ960">
        <v>0</v>
      </c>
      <c r="BA960">
        <v>0</v>
      </c>
      <c r="BB960">
        <v>0</v>
      </c>
      <c r="BC960">
        <v>0</v>
      </c>
      <c r="BD960">
        <v>0</v>
      </c>
      <c r="BE960">
        <v>0</v>
      </c>
      <c r="BF960">
        <v>0</v>
      </c>
      <c r="BG960">
        <v>0</v>
      </c>
      <c r="BH960">
        <v>0</v>
      </c>
      <c r="BI960">
        <v>0</v>
      </c>
      <c r="BK960" s="151"/>
    </row>
    <row r="961" spans="1:63" x14ac:dyDescent="0.35">
      <c r="A961">
        <v>0</v>
      </c>
      <c r="B961">
        <v>0</v>
      </c>
      <c r="C961">
        <v>0</v>
      </c>
      <c r="D961">
        <v>0</v>
      </c>
      <c r="E961">
        <v>0</v>
      </c>
      <c r="F961">
        <v>0</v>
      </c>
      <c r="G961">
        <v>0</v>
      </c>
      <c r="H961">
        <v>0</v>
      </c>
      <c r="I961">
        <v>0</v>
      </c>
      <c r="J961">
        <v>0</v>
      </c>
      <c r="K961">
        <v>0</v>
      </c>
      <c r="L961">
        <v>0</v>
      </c>
      <c r="M961">
        <v>0</v>
      </c>
      <c r="N961">
        <v>0</v>
      </c>
      <c r="O961">
        <v>0</v>
      </c>
      <c r="P961">
        <v>0</v>
      </c>
      <c r="Q961">
        <v>0</v>
      </c>
      <c r="R961">
        <v>0</v>
      </c>
      <c r="S961">
        <v>0</v>
      </c>
      <c r="T961">
        <v>0</v>
      </c>
      <c r="U961">
        <v>0</v>
      </c>
      <c r="V961">
        <v>0</v>
      </c>
      <c r="W961">
        <v>0</v>
      </c>
      <c r="X961">
        <v>0</v>
      </c>
      <c r="Y961">
        <v>0</v>
      </c>
      <c r="Z961">
        <v>0</v>
      </c>
      <c r="AA961">
        <v>0</v>
      </c>
      <c r="AB961">
        <v>0</v>
      </c>
      <c r="AC961">
        <v>0</v>
      </c>
      <c r="AD961">
        <v>0</v>
      </c>
      <c r="AF961">
        <v>0</v>
      </c>
      <c r="AG961">
        <v>0</v>
      </c>
      <c r="AH961">
        <v>0</v>
      </c>
      <c r="AI961">
        <v>0</v>
      </c>
      <c r="AJ961">
        <v>0</v>
      </c>
      <c r="AK961">
        <v>0</v>
      </c>
      <c r="AL961">
        <v>0</v>
      </c>
      <c r="AM961">
        <v>0</v>
      </c>
      <c r="AN961">
        <v>0</v>
      </c>
      <c r="AO961">
        <v>0</v>
      </c>
      <c r="AP961">
        <v>0</v>
      </c>
      <c r="AQ961">
        <v>0</v>
      </c>
      <c r="AR961">
        <v>0</v>
      </c>
      <c r="AS961">
        <v>0</v>
      </c>
      <c r="AT961">
        <v>0</v>
      </c>
      <c r="AU961">
        <v>0</v>
      </c>
      <c r="AV961">
        <v>0</v>
      </c>
      <c r="AW961">
        <v>0</v>
      </c>
      <c r="AX961">
        <v>0</v>
      </c>
      <c r="AY961">
        <v>0</v>
      </c>
      <c r="AZ961">
        <v>0</v>
      </c>
      <c r="BA961">
        <v>0</v>
      </c>
      <c r="BB961">
        <v>0</v>
      </c>
      <c r="BC961">
        <v>0</v>
      </c>
      <c r="BD961">
        <v>0</v>
      </c>
      <c r="BE961">
        <v>0</v>
      </c>
      <c r="BF961">
        <v>0</v>
      </c>
      <c r="BG961">
        <v>0</v>
      </c>
      <c r="BH961">
        <v>0</v>
      </c>
      <c r="BI961">
        <v>0</v>
      </c>
      <c r="BK961" s="151"/>
    </row>
    <row r="962" spans="1:63" x14ac:dyDescent="0.35">
      <c r="A962">
        <v>0</v>
      </c>
      <c r="B962">
        <v>0</v>
      </c>
      <c r="C962">
        <v>0</v>
      </c>
      <c r="D962">
        <v>0</v>
      </c>
      <c r="E962">
        <v>0</v>
      </c>
      <c r="F962">
        <v>0</v>
      </c>
      <c r="G962">
        <v>0</v>
      </c>
      <c r="H962">
        <v>0</v>
      </c>
      <c r="I962">
        <v>0</v>
      </c>
      <c r="J962">
        <v>0</v>
      </c>
      <c r="K962">
        <v>0</v>
      </c>
      <c r="L962">
        <v>0</v>
      </c>
      <c r="M962">
        <v>0</v>
      </c>
      <c r="N962">
        <v>0</v>
      </c>
      <c r="O962">
        <v>0</v>
      </c>
      <c r="P962">
        <v>0</v>
      </c>
      <c r="Q962">
        <v>0</v>
      </c>
      <c r="R962">
        <v>0</v>
      </c>
      <c r="S962">
        <v>0</v>
      </c>
      <c r="T962">
        <v>0</v>
      </c>
      <c r="U962">
        <v>0</v>
      </c>
      <c r="V962">
        <v>0</v>
      </c>
      <c r="W962">
        <v>0</v>
      </c>
      <c r="X962">
        <v>0</v>
      </c>
      <c r="Y962">
        <v>0</v>
      </c>
      <c r="Z962">
        <v>0</v>
      </c>
      <c r="AA962">
        <v>0</v>
      </c>
      <c r="AB962">
        <v>0</v>
      </c>
      <c r="AC962">
        <v>0</v>
      </c>
      <c r="AD962">
        <v>0</v>
      </c>
      <c r="AF962">
        <v>0</v>
      </c>
      <c r="AG962">
        <v>0</v>
      </c>
      <c r="AH962">
        <v>0</v>
      </c>
      <c r="AI962">
        <v>0</v>
      </c>
      <c r="AJ962">
        <v>0</v>
      </c>
      <c r="AK962">
        <v>0</v>
      </c>
      <c r="AL962">
        <v>0</v>
      </c>
      <c r="AM962">
        <v>0</v>
      </c>
      <c r="AN962">
        <v>0</v>
      </c>
      <c r="AO962">
        <v>0</v>
      </c>
      <c r="AP962">
        <v>0</v>
      </c>
      <c r="AQ962">
        <v>0</v>
      </c>
      <c r="AR962">
        <v>0</v>
      </c>
      <c r="AS962">
        <v>0</v>
      </c>
      <c r="AT962">
        <v>0</v>
      </c>
      <c r="AU962">
        <v>0</v>
      </c>
      <c r="AV962">
        <v>0</v>
      </c>
      <c r="AW962">
        <v>0</v>
      </c>
      <c r="AX962">
        <v>0</v>
      </c>
      <c r="AY962">
        <v>0</v>
      </c>
      <c r="AZ962">
        <v>0</v>
      </c>
      <c r="BA962">
        <v>0</v>
      </c>
      <c r="BB962">
        <v>0</v>
      </c>
      <c r="BC962">
        <v>0</v>
      </c>
      <c r="BD962">
        <v>0</v>
      </c>
      <c r="BE962">
        <v>0</v>
      </c>
      <c r="BF962">
        <v>0</v>
      </c>
      <c r="BG962">
        <v>0</v>
      </c>
      <c r="BH962">
        <v>0</v>
      </c>
      <c r="BI962">
        <v>0</v>
      </c>
      <c r="BK962" s="151"/>
    </row>
    <row r="963" spans="1:63" x14ac:dyDescent="0.35">
      <c r="A963">
        <v>0</v>
      </c>
      <c r="B963">
        <v>0</v>
      </c>
      <c r="C963">
        <v>0</v>
      </c>
      <c r="D963">
        <v>0</v>
      </c>
      <c r="E963">
        <v>0</v>
      </c>
      <c r="F963">
        <v>0</v>
      </c>
      <c r="G963">
        <v>0</v>
      </c>
      <c r="H963">
        <v>0</v>
      </c>
      <c r="I963">
        <v>0</v>
      </c>
      <c r="J963">
        <v>0</v>
      </c>
      <c r="K963">
        <v>0</v>
      </c>
      <c r="L963">
        <v>0</v>
      </c>
      <c r="M963">
        <v>0</v>
      </c>
      <c r="N963">
        <v>0</v>
      </c>
      <c r="O963">
        <v>0</v>
      </c>
      <c r="P963">
        <v>0</v>
      </c>
      <c r="Q963">
        <v>0</v>
      </c>
      <c r="R963">
        <v>0</v>
      </c>
      <c r="S963">
        <v>0</v>
      </c>
      <c r="T963">
        <v>0</v>
      </c>
      <c r="U963">
        <v>0</v>
      </c>
      <c r="V963">
        <v>0</v>
      </c>
      <c r="W963">
        <v>0</v>
      </c>
      <c r="X963">
        <v>0</v>
      </c>
      <c r="Y963">
        <v>0</v>
      </c>
      <c r="Z963">
        <v>0</v>
      </c>
      <c r="AA963">
        <v>0</v>
      </c>
      <c r="AB963">
        <v>0</v>
      </c>
      <c r="AC963">
        <v>0</v>
      </c>
      <c r="AD963">
        <v>0</v>
      </c>
      <c r="AF963">
        <v>0</v>
      </c>
      <c r="AG963">
        <v>0</v>
      </c>
      <c r="AH963">
        <v>0</v>
      </c>
      <c r="AI963">
        <v>0</v>
      </c>
      <c r="AJ963">
        <v>0</v>
      </c>
      <c r="AK963">
        <v>0</v>
      </c>
      <c r="AL963">
        <v>0</v>
      </c>
      <c r="AM963">
        <v>0</v>
      </c>
      <c r="AN963">
        <v>0</v>
      </c>
      <c r="AO963">
        <v>0</v>
      </c>
      <c r="AP963">
        <v>0</v>
      </c>
      <c r="AQ963">
        <v>0</v>
      </c>
      <c r="AR963">
        <v>0</v>
      </c>
      <c r="AS963">
        <v>0</v>
      </c>
      <c r="AT963">
        <v>0</v>
      </c>
      <c r="AU963">
        <v>0</v>
      </c>
      <c r="AV963">
        <v>0</v>
      </c>
      <c r="AW963">
        <v>0</v>
      </c>
      <c r="AX963">
        <v>0</v>
      </c>
      <c r="AY963">
        <v>0</v>
      </c>
      <c r="AZ963">
        <v>0</v>
      </c>
      <c r="BA963">
        <v>0</v>
      </c>
      <c r="BB963">
        <v>0</v>
      </c>
      <c r="BC963">
        <v>0</v>
      </c>
      <c r="BD963">
        <v>0</v>
      </c>
      <c r="BE963">
        <v>0</v>
      </c>
      <c r="BF963">
        <v>0</v>
      </c>
      <c r="BG963">
        <v>0</v>
      </c>
      <c r="BH963">
        <v>0</v>
      </c>
      <c r="BI963">
        <v>0</v>
      </c>
      <c r="BK963" s="151"/>
    </row>
    <row r="964" spans="1:63" x14ac:dyDescent="0.35">
      <c r="A964">
        <v>0</v>
      </c>
      <c r="B964">
        <v>0</v>
      </c>
      <c r="C964">
        <v>0</v>
      </c>
      <c r="D964">
        <v>0</v>
      </c>
      <c r="E964">
        <v>0</v>
      </c>
      <c r="F964">
        <v>0</v>
      </c>
      <c r="G964">
        <v>0</v>
      </c>
      <c r="H964">
        <v>0</v>
      </c>
      <c r="I964">
        <v>0</v>
      </c>
      <c r="J964">
        <v>0</v>
      </c>
      <c r="K964">
        <v>0</v>
      </c>
      <c r="L964">
        <v>0</v>
      </c>
      <c r="M964">
        <v>0</v>
      </c>
      <c r="N964">
        <v>0</v>
      </c>
      <c r="O964">
        <v>0</v>
      </c>
      <c r="P964">
        <v>0</v>
      </c>
      <c r="Q964">
        <v>0</v>
      </c>
      <c r="R964">
        <v>0</v>
      </c>
      <c r="S964">
        <v>0</v>
      </c>
      <c r="T964">
        <v>0</v>
      </c>
      <c r="U964">
        <v>0</v>
      </c>
      <c r="V964">
        <v>0</v>
      </c>
      <c r="W964">
        <v>0</v>
      </c>
      <c r="X964">
        <v>0</v>
      </c>
      <c r="Y964">
        <v>0</v>
      </c>
      <c r="Z964">
        <v>0</v>
      </c>
      <c r="AA964">
        <v>0</v>
      </c>
      <c r="AB964">
        <v>0</v>
      </c>
      <c r="AC964">
        <v>0</v>
      </c>
      <c r="AD964">
        <v>0</v>
      </c>
      <c r="AF964">
        <v>0</v>
      </c>
      <c r="AG964">
        <v>0</v>
      </c>
      <c r="AH964">
        <v>0</v>
      </c>
      <c r="AI964">
        <v>0</v>
      </c>
      <c r="AJ964">
        <v>0</v>
      </c>
      <c r="AK964">
        <v>0</v>
      </c>
      <c r="AL964">
        <v>0</v>
      </c>
      <c r="AM964">
        <v>0</v>
      </c>
      <c r="AN964">
        <v>0</v>
      </c>
      <c r="AO964">
        <v>0</v>
      </c>
      <c r="AP964">
        <v>0</v>
      </c>
      <c r="AQ964">
        <v>0</v>
      </c>
      <c r="AR964">
        <v>0</v>
      </c>
      <c r="AS964">
        <v>0</v>
      </c>
      <c r="AT964">
        <v>0</v>
      </c>
      <c r="AU964">
        <v>0</v>
      </c>
      <c r="AV964">
        <v>0</v>
      </c>
      <c r="AW964">
        <v>0</v>
      </c>
      <c r="AX964">
        <v>0</v>
      </c>
      <c r="AY964">
        <v>0</v>
      </c>
      <c r="AZ964">
        <v>0</v>
      </c>
      <c r="BA964">
        <v>0</v>
      </c>
      <c r="BB964">
        <v>0</v>
      </c>
      <c r="BC964">
        <v>0</v>
      </c>
      <c r="BD964">
        <v>0</v>
      </c>
      <c r="BE964">
        <v>0</v>
      </c>
      <c r="BF964">
        <v>0</v>
      </c>
      <c r="BG964">
        <v>0</v>
      </c>
      <c r="BH964">
        <v>0</v>
      </c>
      <c r="BI964">
        <v>0</v>
      </c>
      <c r="BK964" s="151"/>
    </row>
    <row r="965" spans="1:63" x14ac:dyDescent="0.35">
      <c r="A965">
        <v>0</v>
      </c>
      <c r="B965">
        <v>0</v>
      </c>
      <c r="C965">
        <v>0</v>
      </c>
      <c r="D965">
        <v>0</v>
      </c>
      <c r="E965">
        <v>0</v>
      </c>
      <c r="F965">
        <v>0</v>
      </c>
      <c r="G965">
        <v>0</v>
      </c>
      <c r="H965">
        <v>0</v>
      </c>
      <c r="I965">
        <v>0</v>
      </c>
      <c r="J965">
        <v>0</v>
      </c>
      <c r="K965">
        <v>0</v>
      </c>
      <c r="L965">
        <v>0</v>
      </c>
      <c r="M965">
        <v>0</v>
      </c>
      <c r="N965">
        <v>0</v>
      </c>
      <c r="O965">
        <v>0</v>
      </c>
      <c r="P965">
        <v>0</v>
      </c>
      <c r="Q965">
        <v>0</v>
      </c>
      <c r="R965">
        <v>0</v>
      </c>
      <c r="S965">
        <v>0</v>
      </c>
      <c r="T965">
        <v>0</v>
      </c>
      <c r="U965">
        <v>0</v>
      </c>
      <c r="V965">
        <v>0</v>
      </c>
      <c r="W965">
        <v>0</v>
      </c>
      <c r="X965">
        <v>0</v>
      </c>
      <c r="Y965">
        <v>0</v>
      </c>
      <c r="Z965">
        <v>0</v>
      </c>
      <c r="AA965">
        <v>0</v>
      </c>
      <c r="AB965">
        <v>0</v>
      </c>
      <c r="AC965">
        <v>0</v>
      </c>
      <c r="AD965">
        <v>0</v>
      </c>
      <c r="AF965">
        <v>0</v>
      </c>
      <c r="AG965">
        <v>0</v>
      </c>
      <c r="AH965">
        <v>0</v>
      </c>
      <c r="AI965">
        <v>0</v>
      </c>
      <c r="AJ965">
        <v>0</v>
      </c>
      <c r="AK965">
        <v>0</v>
      </c>
      <c r="AL965">
        <v>0</v>
      </c>
      <c r="AM965">
        <v>0</v>
      </c>
      <c r="AN965">
        <v>0</v>
      </c>
      <c r="AO965">
        <v>0</v>
      </c>
      <c r="AP965">
        <v>0</v>
      </c>
      <c r="AQ965">
        <v>0</v>
      </c>
      <c r="AR965">
        <v>0</v>
      </c>
      <c r="AS965">
        <v>0</v>
      </c>
      <c r="AT965">
        <v>0</v>
      </c>
      <c r="AU965">
        <v>0</v>
      </c>
      <c r="AV965">
        <v>0</v>
      </c>
      <c r="AW965">
        <v>0</v>
      </c>
      <c r="AX965">
        <v>0</v>
      </c>
      <c r="AY965">
        <v>0</v>
      </c>
      <c r="AZ965">
        <v>0</v>
      </c>
      <c r="BA965">
        <v>0</v>
      </c>
      <c r="BB965">
        <v>0</v>
      </c>
      <c r="BC965">
        <v>0</v>
      </c>
      <c r="BD965">
        <v>0</v>
      </c>
      <c r="BE965">
        <v>0</v>
      </c>
      <c r="BF965">
        <v>0</v>
      </c>
      <c r="BG965">
        <v>0</v>
      </c>
      <c r="BH965">
        <v>0</v>
      </c>
      <c r="BI965">
        <v>0</v>
      </c>
      <c r="BK965" s="151"/>
    </row>
    <row r="966" spans="1:63" x14ac:dyDescent="0.35">
      <c r="A966">
        <v>0</v>
      </c>
      <c r="B966">
        <v>0</v>
      </c>
      <c r="C966">
        <v>0</v>
      </c>
      <c r="D966">
        <v>0</v>
      </c>
      <c r="E966">
        <v>0</v>
      </c>
      <c r="F966">
        <v>0</v>
      </c>
      <c r="G966">
        <v>0</v>
      </c>
      <c r="H966">
        <v>0</v>
      </c>
      <c r="I966">
        <v>0</v>
      </c>
      <c r="J966">
        <v>0</v>
      </c>
      <c r="K966">
        <v>0</v>
      </c>
      <c r="L966">
        <v>0</v>
      </c>
      <c r="M966">
        <v>0</v>
      </c>
      <c r="N966">
        <v>0</v>
      </c>
      <c r="O966">
        <v>0</v>
      </c>
      <c r="P966">
        <v>0</v>
      </c>
      <c r="Q966">
        <v>0</v>
      </c>
      <c r="R966">
        <v>0</v>
      </c>
      <c r="S966">
        <v>0</v>
      </c>
      <c r="T966">
        <v>0</v>
      </c>
      <c r="U966">
        <v>0</v>
      </c>
      <c r="V966">
        <v>0</v>
      </c>
      <c r="W966">
        <v>0</v>
      </c>
      <c r="X966">
        <v>0</v>
      </c>
      <c r="Y966">
        <v>0</v>
      </c>
      <c r="Z966">
        <v>0</v>
      </c>
      <c r="AA966">
        <v>0</v>
      </c>
      <c r="AB966">
        <v>0</v>
      </c>
      <c r="AC966">
        <v>0</v>
      </c>
      <c r="AD966">
        <v>0</v>
      </c>
      <c r="AF966">
        <v>0</v>
      </c>
      <c r="AG966">
        <v>0</v>
      </c>
      <c r="AH966">
        <v>0</v>
      </c>
      <c r="AI966">
        <v>0</v>
      </c>
      <c r="AJ966">
        <v>0</v>
      </c>
      <c r="AK966">
        <v>0</v>
      </c>
      <c r="AL966">
        <v>0</v>
      </c>
      <c r="AM966">
        <v>0</v>
      </c>
      <c r="AN966">
        <v>0</v>
      </c>
      <c r="AO966">
        <v>0</v>
      </c>
      <c r="AP966">
        <v>0</v>
      </c>
      <c r="AQ966">
        <v>0</v>
      </c>
      <c r="AR966">
        <v>0</v>
      </c>
      <c r="AS966">
        <v>0</v>
      </c>
      <c r="AT966">
        <v>0</v>
      </c>
      <c r="AU966">
        <v>0</v>
      </c>
      <c r="AV966">
        <v>0</v>
      </c>
      <c r="AW966">
        <v>0</v>
      </c>
      <c r="AX966">
        <v>0</v>
      </c>
      <c r="AY966">
        <v>0</v>
      </c>
      <c r="AZ966">
        <v>0</v>
      </c>
      <c r="BA966">
        <v>0</v>
      </c>
      <c r="BB966">
        <v>0</v>
      </c>
      <c r="BC966">
        <v>0</v>
      </c>
      <c r="BD966">
        <v>0</v>
      </c>
      <c r="BE966">
        <v>0</v>
      </c>
      <c r="BF966">
        <v>0</v>
      </c>
      <c r="BG966">
        <v>0</v>
      </c>
      <c r="BH966">
        <v>0</v>
      </c>
      <c r="BI966">
        <v>0</v>
      </c>
      <c r="BK966" s="151"/>
    </row>
    <row r="967" spans="1:63" x14ac:dyDescent="0.35">
      <c r="A967">
        <v>0</v>
      </c>
      <c r="B967">
        <v>0</v>
      </c>
      <c r="C967">
        <v>0</v>
      </c>
      <c r="D967">
        <v>0</v>
      </c>
      <c r="E967">
        <v>0</v>
      </c>
      <c r="F967">
        <v>0</v>
      </c>
      <c r="G967">
        <v>0</v>
      </c>
      <c r="H967">
        <v>0</v>
      </c>
      <c r="I967">
        <v>0</v>
      </c>
      <c r="J967">
        <v>0</v>
      </c>
      <c r="K967">
        <v>0</v>
      </c>
      <c r="L967">
        <v>0</v>
      </c>
      <c r="M967">
        <v>0</v>
      </c>
      <c r="N967">
        <v>0</v>
      </c>
      <c r="O967">
        <v>0</v>
      </c>
      <c r="P967">
        <v>0</v>
      </c>
      <c r="Q967">
        <v>0</v>
      </c>
      <c r="R967">
        <v>0</v>
      </c>
      <c r="S967">
        <v>0</v>
      </c>
      <c r="T967">
        <v>0</v>
      </c>
      <c r="U967">
        <v>0</v>
      </c>
      <c r="V967">
        <v>0</v>
      </c>
      <c r="W967">
        <v>0</v>
      </c>
      <c r="X967">
        <v>0</v>
      </c>
      <c r="Y967">
        <v>0</v>
      </c>
      <c r="Z967">
        <v>0</v>
      </c>
      <c r="AA967">
        <v>0</v>
      </c>
      <c r="AB967">
        <v>0</v>
      </c>
      <c r="AC967">
        <v>0</v>
      </c>
      <c r="AD967">
        <v>0</v>
      </c>
      <c r="AF967">
        <v>0</v>
      </c>
      <c r="AG967">
        <v>0</v>
      </c>
      <c r="AH967">
        <v>0</v>
      </c>
      <c r="AI967">
        <v>0</v>
      </c>
      <c r="AJ967">
        <v>0</v>
      </c>
      <c r="AK967">
        <v>0</v>
      </c>
      <c r="AL967">
        <v>0</v>
      </c>
      <c r="AM967">
        <v>0</v>
      </c>
      <c r="AN967">
        <v>0</v>
      </c>
      <c r="AO967">
        <v>0</v>
      </c>
      <c r="AP967">
        <v>0</v>
      </c>
      <c r="AQ967">
        <v>0</v>
      </c>
      <c r="AR967">
        <v>0</v>
      </c>
      <c r="AS967">
        <v>0</v>
      </c>
      <c r="AT967">
        <v>0</v>
      </c>
      <c r="AU967">
        <v>0</v>
      </c>
      <c r="AV967">
        <v>0</v>
      </c>
      <c r="AW967">
        <v>0</v>
      </c>
      <c r="AX967">
        <v>0</v>
      </c>
      <c r="AY967">
        <v>0</v>
      </c>
      <c r="AZ967">
        <v>0</v>
      </c>
      <c r="BA967">
        <v>0</v>
      </c>
      <c r="BB967">
        <v>0</v>
      </c>
      <c r="BC967">
        <v>0</v>
      </c>
      <c r="BD967">
        <v>0</v>
      </c>
      <c r="BE967">
        <v>0</v>
      </c>
      <c r="BF967">
        <v>0</v>
      </c>
      <c r="BG967">
        <v>0</v>
      </c>
      <c r="BH967">
        <v>0</v>
      </c>
      <c r="BI967">
        <v>0</v>
      </c>
      <c r="BK967" s="151"/>
    </row>
    <row r="968" spans="1:63" x14ac:dyDescent="0.35">
      <c r="A968">
        <v>0</v>
      </c>
      <c r="B968">
        <v>0</v>
      </c>
      <c r="C968">
        <v>0</v>
      </c>
      <c r="D968">
        <v>0</v>
      </c>
      <c r="E968">
        <v>0</v>
      </c>
      <c r="F968">
        <v>0</v>
      </c>
      <c r="G968">
        <v>0</v>
      </c>
      <c r="H968">
        <v>0</v>
      </c>
      <c r="I968">
        <v>0</v>
      </c>
      <c r="J968">
        <v>0</v>
      </c>
      <c r="K968">
        <v>0</v>
      </c>
      <c r="L968">
        <v>0</v>
      </c>
      <c r="M968">
        <v>0</v>
      </c>
      <c r="N968">
        <v>0</v>
      </c>
      <c r="O968">
        <v>0</v>
      </c>
      <c r="P968">
        <v>0</v>
      </c>
      <c r="Q968">
        <v>0</v>
      </c>
      <c r="R968">
        <v>0</v>
      </c>
      <c r="S968">
        <v>0</v>
      </c>
      <c r="T968">
        <v>0</v>
      </c>
      <c r="U968">
        <v>0</v>
      </c>
      <c r="V968">
        <v>0</v>
      </c>
      <c r="W968">
        <v>0</v>
      </c>
      <c r="X968">
        <v>0</v>
      </c>
      <c r="Y968">
        <v>0</v>
      </c>
      <c r="Z968">
        <v>0</v>
      </c>
      <c r="AA968">
        <v>0</v>
      </c>
      <c r="AB968">
        <v>0</v>
      </c>
      <c r="AC968">
        <v>0</v>
      </c>
      <c r="AD968">
        <v>0</v>
      </c>
      <c r="AF968">
        <v>0</v>
      </c>
      <c r="AG968">
        <v>0</v>
      </c>
      <c r="AH968">
        <v>0</v>
      </c>
      <c r="AI968">
        <v>0</v>
      </c>
      <c r="AJ968">
        <v>0</v>
      </c>
      <c r="AK968">
        <v>0</v>
      </c>
      <c r="AL968">
        <v>0</v>
      </c>
      <c r="AM968">
        <v>0</v>
      </c>
      <c r="AN968">
        <v>0</v>
      </c>
      <c r="AO968">
        <v>0</v>
      </c>
      <c r="AP968">
        <v>0</v>
      </c>
      <c r="AQ968">
        <v>0</v>
      </c>
      <c r="AR968">
        <v>0</v>
      </c>
      <c r="AS968">
        <v>0</v>
      </c>
      <c r="AT968">
        <v>0</v>
      </c>
      <c r="AU968">
        <v>0</v>
      </c>
      <c r="AV968">
        <v>0</v>
      </c>
      <c r="AW968">
        <v>0</v>
      </c>
      <c r="AX968">
        <v>0</v>
      </c>
      <c r="AY968">
        <v>0</v>
      </c>
      <c r="AZ968">
        <v>0</v>
      </c>
      <c r="BA968">
        <v>0</v>
      </c>
      <c r="BB968">
        <v>0</v>
      </c>
      <c r="BC968">
        <v>0</v>
      </c>
      <c r="BD968">
        <v>0</v>
      </c>
      <c r="BE968">
        <v>0</v>
      </c>
      <c r="BF968">
        <v>0</v>
      </c>
      <c r="BG968">
        <v>0</v>
      </c>
      <c r="BH968">
        <v>0</v>
      </c>
      <c r="BI968">
        <v>0</v>
      </c>
      <c r="BK968" s="151"/>
    </row>
    <row r="969" spans="1:63" x14ac:dyDescent="0.35">
      <c r="A969">
        <v>0</v>
      </c>
      <c r="B969">
        <v>0</v>
      </c>
      <c r="C969">
        <v>0</v>
      </c>
      <c r="D969">
        <v>0</v>
      </c>
      <c r="E969">
        <v>0</v>
      </c>
      <c r="F969">
        <v>0</v>
      </c>
      <c r="G969">
        <v>0</v>
      </c>
      <c r="H969">
        <v>0</v>
      </c>
      <c r="I969">
        <v>0</v>
      </c>
      <c r="J969">
        <v>0</v>
      </c>
      <c r="K969">
        <v>0</v>
      </c>
      <c r="L969">
        <v>0</v>
      </c>
      <c r="M969">
        <v>0</v>
      </c>
      <c r="N969">
        <v>0</v>
      </c>
      <c r="O969">
        <v>0</v>
      </c>
      <c r="P969">
        <v>0</v>
      </c>
      <c r="Q969">
        <v>0</v>
      </c>
      <c r="R969">
        <v>0</v>
      </c>
      <c r="S969">
        <v>0</v>
      </c>
      <c r="T969">
        <v>0</v>
      </c>
      <c r="U969">
        <v>0</v>
      </c>
      <c r="V969">
        <v>0</v>
      </c>
      <c r="W969">
        <v>0</v>
      </c>
      <c r="X969">
        <v>0</v>
      </c>
      <c r="Y969">
        <v>0</v>
      </c>
      <c r="Z969">
        <v>0</v>
      </c>
      <c r="AA969">
        <v>0</v>
      </c>
      <c r="AB969">
        <v>0</v>
      </c>
      <c r="AC969">
        <v>0</v>
      </c>
      <c r="AD969">
        <v>0</v>
      </c>
      <c r="AF969">
        <v>0</v>
      </c>
      <c r="AG969">
        <v>0</v>
      </c>
      <c r="AH969">
        <v>0</v>
      </c>
      <c r="AI969">
        <v>0</v>
      </c>
      <c r="AJ969">
        <v>0</v>
      </c>
      <c r="AK969">
        <v>0</v>
      </c>
      <c r="AL969">
        <v>0</v>
      </c>
      <c r="AM969">
        <v>0</v>
      </c>
      <c r="AN969">
        <v>0</v>
      </c>
      <c r="AO969">
        <v>0</v>
      </c>
      <c r="AP969">
        <v>0</v>
      </c>
      <c r="AQ969">
        <v>0</v>
      </c>
      <c r="AR969">
        <v>0</v>
      </c>
      <c r="AS969">
        <v>0</v>
      </c>
      <c r="AT969">
        <v>0</v>
      </c>
      <c r="AU969">
        <v>0</v>
      </c>
      <c r="AV969">
        <v>0</v>
      </c>
      <c r="AW969">
        <v>0</v>
      </c>
      <c r="AX969">
        <v>0</v>
      </c>
      <c r="AY969">
        <v>0</v>
      </c>
      <c r="AZ969">
        <v>0</v>
      </c>
      <c r="BA969">
        <v>0</v>
      </c>
      <c r="BB969">
        <v>0</v>
      </c>
      <c r="BC969">
        <v>0</v>
      </c>
      <c r="BD969">
        <v>0</v>
      </c>
      <c r="BE969">
        <v>0</v>
      </c>
      <c r="BF969">
        <v>0</v>
      </c>
      <c r="BG969">
        <v>0</v>
      </c>
      <c r="BH969">
        <v>0</v>
      </c>
      <c r="BI969">
        <v>0</v>
      </c>
      <c r="BK969" s="151"/>
    </row>
    <row r="970" spans="1:63" x14ac:dyDescent="0.35">
      <c r="A970">
        <v>0</v>
      </c>
      <c r="B970">
        <v>0</v>
      </c>
      <c r="C970">
        <v>0</v>
      </c>
      <c r="D970">
        <v>0</v>
      </c>
      <c r="E970">
        <v>0</v>
      </c>
      <c r="F970">
        <v>0</v>
      </c>
      <c r="G970">
        <v>0</v>
      </c>
      <c r="H970">
        <v>0</v>
      </c>
      <c r="I970">
        <v>0</v>
      </c>
      <c r="J970">
        <v>0</v>
      </c>
      <c r="K970">
        <v>0</v>
      </c>
      <c r="L970">
        <v>0</v>
      </c>
      <c r="M970">
        <v>0</v>
      </c>
      <c r="N970">
        <v>0</v>
      </c>
      <c r="O970">
        <v>0</v>
      </c>
      <c r="P970">
        <v>0</v>
      </c>
      <c r="Q970">
        <v>0</v>
      </c>
      <c r="R970">
        <v>0</v>
      </c>
      <c r="S970">
        <v>0</v>
      </c>
      <c r="T970">
        <v>0</v>
      </c>
      <c r="U970">
        <v>0</v>
      </c>
      <c r="V970">
        <v>0</v>
      </c>
      <c r="W970">
        <v>0</v>
      </c>
      <c r="X970">
        <v>0</v>
      </c>
      <c r="Y970">
        <v>0</v>
      </c>
      <c r="Z970">
        <v>0</v>
      </c>
      <c r="AA970">
        <v>0</v>
      </c>
      <c r="AB970">
        <v>0</v>
      </c>
      <c r="AC970">
        <v>0</v>
      </c>
      <c r="AD970">
        <v>0</v>
      </c>
      <c r="AF970">
        <v>0</v>
      </c>
      <c r="AG970">
        <v>0</v>
      </c>
      <c r="AH970">
        <v>0</v>
      </c>
      <c r="AI970">
        <v>0</v>
      </c>
      <c r="AJ970">
        <v>0</v>
      </c>
      <c r="AK970">
        <v>0</v>
      </c>
      <c r="AL970">
        <v>0</v>
      </c>
      <c r="AM970">
        <v>0</v>
      </c>
      <c r="AN970">
        <v>0</v>
      </c>
      <c r="AO970">
        <v>0</v>
      </c>
      <c r="AP970">
        <v>0</v>
      </c>
      <c r="AQ970">
        <v>0</v>
      </c>
      <c r="AR970">
        <v>0</v>
      </c>
      <c r="AS970">
        <v>0</v>
      </c>
      <c r="AT970">
        <v>0</v>
      </c>
      <c r="AU970">
        <v>0</v>
      </c>
      <c r="AV970">
        <v>0</v>
      </c>
      <c r="AW970">
        <v>0</v>
      </c>
      <c r="AX970">
        <v>0</v>
      </c>
      <c r="AY970">
        <v>0</v>
      </c>
      <c r="AZ970">
        <v>0</v>
      </c>
      <c r="BA970">
        <v>0</v>
      </c>
      <c r="BB970">
        <v>0</v>
      </c>
      <c r="BC970">
        <v>0</v>
      </c>
      <c r="BD970">
        <v>0</v>
      </c>
      <c r="BE970">
        <v>0</v>
      </c>
      <c r="BF970">
        <v>0</v>
      </c>
      <c r="BG970">
        <v>0</v>
      </c>
      <c r="BH970">
        <v>0</v>
      </c>
      <c r="BI970">
        <v>0</v>
      </c>
      <c r="BK970" s="151"/>
    </row>
    <row r="971" spans="1:63" x14ac:dyDescent="0.35">
      <c r="A971">
        <v>0</v>
      </c>
      <c r="B971">
        <v>0</v>
      </c>
      <c r="C971">
        <v>0</v>
      </c>
      <c r="D971">
        <v>0</v>
      </c>
      <c r="E971">
        <v>0</v>
      </c>
      <c r="F971">
        <v>0</v>
      </c>
      <c r="G971">
        <v>0</v>
      </c>
      <c r="H971">
        <v>0</v>
      </c>
      <c r="I971">
        <v>0</v>
      </c>
      <c r="J971">
        <v>0</v>
      </c>
      <c r="K971">
        <v>0</v>
      </c>
      <c r="L971">
        <v>0</v>
      </c>
      <c r="M971">
        <v>0</v>
      </c>
      <c r="N971">
        <v>0</v>
      </c>
      <c r="O971">
        <v>0</v>
      </c>
      <c r="P971">
        <v>0</v>
      </c>
      <c r="Q971">
        <v>0</v>
      </c>
      <c r="R971">
        <v>0</v>
      </c>
      <c r="S971">
        <v>0</v>
      </c>
      <c r="T971">
        <v>0</v>
      </c>
      <c r="U971">
        <v>0</v>
      </c>
      <c r="V971">
        <v>0</v>
      </c>
      <c r="W971">
        <v>0</v>
      </c>
      <c r="X971">
        <v>0</v>
      </c>
      <c r="Y971">
        <v>0</v>
      </c>
      <c r="Z971">
        <v>0</v>
      </c>
      <c r="AA971">
        <v>0</v>
      </c>
      <c r="AB971">
        <v>0</v>
      </c>
      <c r="AC971">
        <v>0</v>
      </c>
      <c r="AD971">
        <v>0</v>
      </c>
      <c r="AF971">
        <v>0</v>
      </c>
      <c r="AG971">
        <v>0</v>
      </c>
      <c r="AH971">
        <v>0</v>
      </c>
      <c r="AI971">
        <v>0</v>
      </c>
      <c r="AJ971">
        <v>0</v>
      </c>
      <c r="AK971">
        <v>0</v>
      </c>
      <c r="AL971">
        <v>0</v>
      </c>
      <c r="AM971">
        <v>0</v>
      </c>
      <c r="AN971">
        <v>0</v>
      </c>
      <c r="AO971">
        <v>0</v>
      </c>
      <c r="AP971">
        <v>0</v>
      </c>
      <c r="AQ971">
        <v>0</v>
      </c>
      <c r="AR971">
        <v>0</v>
      </c>
      <c r="AS971">
        <v>0</v>
      </c>
      <c r="AT971">
        <v>0</v>
      </c>
      <c r="AU971">
        <v>0</v>
      </c>
      <c r="AV971">
        <v>0</v>
      </c>
      <c r="AW971">
        <v>0</v>
      </c>
      <c r="AX971">
        <v>0</v>
      </c>
      <c r="AY971">
        <v>0</v>
      </c>
      <c r="AZ971">
        <v>0</v>
      </c>
      <c r="BA971">
        <v>0</v>
      </c>
      <c r="BB971">
        <v>0</v>
      </c>
      <c r="BC971">
        <v>0</v>
      </c>
      <c r="BD971">
        <v>0</v>
      </c>
      <c r="BE971">
        <v>0</v>
      </c>
      <c r="BF971">
        <v>0</v>
      </c>
      <c r="BG971">
        <v>0</v>
      </c>
      <c r="BH971">
        <v>0</v>
      </c>
      <c r="BI971">
        <v>0</v>
      </c>
      <c r="BK971" s="151"/>
    </row>
    <row r="972" spans="1:63" x14ac:dyDescent="0.35">
      <c r="A972">
        <v>0</v>
      </c>
      <c r="B972">
        <v>0</v>
      </c>
      <c r="C972">
        <v>0</v>
      </c>
      <c r="D972">
        <v>0</v>
      </c>
      <c r="E972">
        <v>0</v>
      </c>
      <c r="F972">
        <v>0</v>
      </c>
      <c r="G972">
        <v>0</v>
      </c>
      <c r="H972">
        <v>0</v>
      </c>
      <c r="I972">
        <v>0</v>
      </c>
      <c r="J972">
        <v>0</v>
      </c>
      <c r="K972">
        <v>0</v>
      </c>
      <c r="L972">
        <v>0</v>
      </c>
      <c r="M972">
        <v>0</v>
      </c>
      <c r="N972">
        <v>0</v>
      </c>
      <c r="O972">
        <v>0</v>
      </c>
      <c r="P972">
        <v>0</v>
      </c>
      <c r="Q972">
        <v>0</v>
      </c>
      <c r="R972">
        <v>0</v>
      </c>
      <c r="S972">
        <v>0</v>
      </c>
      <c r="T972">
        <v>0</v>
      </c>
      <c r="U972">
        <v>0</v>
      </c>
      <c r="V972">
        <v>0</v>
      </c>
      <c r="W972">
        <v>0</v>
      </c>
      <c r="X972">
        <v>0</v>
      </c>
      <c r="Y972">
        <v>0</v>
      </c>
      <c r="Z972">
        <v>0</v>
      </c>
      <c r="AA972">
        <v>0</v>
      </c>
      <c r="AB972">
        <v>0</v>
      </c>
      <c r="AC972">
        <v>0</v>
      </c>
      <c r="AD972">
        <v>0</v>
      </c>
      <c r="AF972">
        <v>0</v>
      </c>
      <c r="AG972">
        <v>0</v>
      </c>
      <c r="AH972">
        <v>0</v>
      </c>
      <c r="AI972">
        <v>0</v>
      </c>
      <c r="AJ972">
        <v>0</v>
      </c>
      <c r="AK972">
        <v>0</v>
      </c>
      <c r="AL972">
        <v>0</v>
      </c>
      <c r="AM972">
        <v>0</v>
      </c>
      <c r="AN972">
        <v>0</v>
      </c>
      <c r="AO972">
        <v>0</v>
      </c>
      <c r="AP972">
        <v>0</v>
      </c>
      <c r="AQ972">
        <v>0</v>
      </c>
      <c r="AR972">
        <v>0</v>
      </c>
      <c r="AS972">
        <v>0</v>
      </c>
      <c r="AT972">
        <v>0</v>
      </c>
      <c r="AU972">
        <v>0</v>
      </c>
      <c r="AV972">
        <v>0</v>
      </c>
      <c r="AW972">
        <v>0</v>
      </c>
      <c r="AX972">
        <v>0</v>
      </c>
      <c r="AY972">
        <v>0</v>
      </c>
      <c r="AZ972">
        <v>0</v>
      </c>
      <c r="BA972">
        <v>0</v>
      </c>
      <c r="BB972">
        <v>0</v>
      </c>
      <c r="BC972">
        <v>0</v>
      </c>
      <c r="BD972">
        <v>0</v>
      </c>
      <c r="BE972">
        <v>0</v>
      </c>
      <c r="BF972">
        <v>0</v>
      </c>
      <c r="BG972">
        <v>0</v>
      </c>
      <c r="BH972">
        <v>0</v>
      </c>
      <c r="BI972">
        <v>0</v>
      </c>
      <c r="BK972" s="151"/>
    </row>
    <row r="973" spans="1:63" x14ac:dyDescent="0.35">
      <c r="A973">
        <v>0</v>
      </c>
      <c r="B973">
        <v>0</v>
      </c>
      <c r="C973">
        <v>0</v>
      </c>
      <c r="D973">
        <v>0</v>
      </c>
      <c r="E973">
        <v>0</v>
      </c>
      <c r="F973">
        <v>0</v>
      </c>
      <c r="G973">
        <v>0</v>
      </c>
      <c r="H973">
        <v>0</v>
      </c>
      <c r="I973">
        <v>0</v>
      </c>
      <c r="J973">
        <v>0</v>
      </c>
      <c r="K973">
        <v>0</v>
      </c>
      <c r="L973">
        <v>0</v>
      </c>
      <c r="M973">
        <v>0</v>
      </c>
      <c r="N973">
        <v>0</v>
      </c>
      <c r="O973">
        <v>0</v>
      </c>
      <c r="P973">
        <v>0</v>
      </c>
      <c r="Q973">
        <v>0</v>
      </c>
      <c r="R973">
        <v>0</v>
      </c>
      <c r="S973">
        <v>0</v>
      </c>
      <c r="T973">
        <v>0</v>
      </c>
      <c r="U973">
        <v>0</v>
      </c>
      <c r="V973">
        <v>0</v>
      </c>
      <c r="W973">
        <v>0</v>
      </c>
      <c r="X973">
        <v>0</v>
      </c>
      <c r="Y973">
        <v>0</v>
      </c>
      <c r="Z973">
        <v>0</v>
      </c>
      <c r="AA973">
        <v>0</v>
      </c>
      <c r="AB973">
        <v>0</v>
      </c>
      <c r="AC973">
        <v>0</v>
      </c>
      <c r="AD973">
        <v>0</v>
      </c>
      <c r="AF973">
        <v>0</v>
      </c>
      <c r="AG973">
        <v>0</v>
      </c>
      <c r="AH973">
        <v>0</v>
      </c>
      <c r="AI973">
        <v>0</v>
      </c>
      <c r="AJ973">
        <v>0</v>
      </c>
      <c r="AK973">
        <v>0</v>
      </c>
      <c r="AL973">
        <v>0</v>
      </c>
      <c r="AM973">
        <v>0</v>
      </c>
      <c r="AN973">
        <v>0</v>
      </c>
      <c r="AO973">
        <v>0</v>
      </c>
      <c r="AP973">
        <v>0</v>
      </c>
      <c r="AQ973">
        <v>0</v>
      </c>
      <c r="AR973">
        <v>0</v>
      </c>
      <c r="AS973">
        <v>0</v>
      </c>
      <c r="AT973">
        <v>0</v>
      </c>
      <c r="AU973">
        <v>0</v>
      </c>
      <c r="AV973">
        <v>0</v>
      </c>
      <c r="AW973">
        <v>0</v>
      </c>
      <c r="AX973">
        <v>0</v>
      </c>
      <c r="AY973">
        <v>0</v>
      </c>
      <c r="AZ973">
        <v>0</v>
      </c>
      <c r="BA973">
        <v>0</v>
      </c>
      <c r="BB973">
        <v>0</v>
      </c>
      <c r="BC973">
        <v>0</v>
      </c>
      <c r="BD973">
        <v>0</v>
      </c>
      <c r="BE973">
        <v>0</v>
      </c>
      <c r="BF973">
        <v>0</v>
      </c>
      <c r="BG973">
        <v>0</v>
      </c>
      <c r="BH973">
        <v>0</v>
      </c>
      <c r="BI973">
        <v>0</v>
      </c>
      <c r="BK973" s="151"/>
    </row>
    <row r="974" spans="1:63" x14ac:dyDescent="0.35">
      <c r="A974">
        <v>0</v>
      </c>
      <c r="B974">
        <v>0</v>
      </c>
      <c r="C974">
        <v>0</v>
      </c>
      <c r="D974">
        <v>0</v>
      </c>
      <c r="E974">
        <v>0</v>
      </c>
      <c r="F974">
        <v>0</v>
      </c>
      <c r="G974">
        <v>0</v>
      </c>
      <c r="H974">
        <v>0</v>
      </c>
      <c r="I974">
        <v>0</v>
      </c>
      <c r="J974">
        <v>0</v>
      </c>
      <c r="K974">
        <v>0</v>
      </c>
      <c r="L974">
        <v>0</v>
      </c>
      <c r="M974">
        <v>0</v>
      </c>
      <c r="N974">
        <v>0</v>
      </c>
      <c r="O974">
        <v>0</v>
      </c>
      <c r="P974">
        <v>0</v>
      </c>
      <c r="Q974">
        <v>0</v>
      </c>
      <c r="R974">
        <v>0</v>
      </c>
      <c r="S974">
        <v>0</v>
      </c>
      <c r="T974">
        <v>0</v>
      </c>
      <c r="U974">
        <v>0</v>
      </c>
      <c r="V974">
        <v>0</v>
      </c>
      <c r="W974">
        <v>0</v>
      </c>
      <c r="X974">
        <v>0</v>
      </c>
      <c r="Y974">
        <v>0</v>
      </c>
      <c r="Z974">
        <v>0</v>
      </c>
      <c r="AA974">
        <v>0</v>
      </c>
      <c r="AB974">
        <v>0</v>
      </c>
      <c r="AC974">
        <v>0</v>
      </c>
      <c r="AD974">
        <v>0</v>
      </c>
      <c r="AF974">
        <v>0</v>
      </c>
      <c r="AG974">
        <v>0</v>
      </c>
      <c r="AH974">
        <v>0</v>
      </c>
      <c r="AI974">
        <v>0</v>
      </c>
      <c r="AJ974">
        <v>0</v>
      </c>
      <c r="AK974">
        <v>0</v>
      </c>
      <c r="AL974">
        <v>0</v>
      </c>
      <c r="AM974">
        <v>0</v>
      </c>
      <c r="AN974">
        <v>0</v>
      </c>
      <c r="AO974">
        <v>0</v>
      </c>
      <c r="AP974">
        <v>0</v>
      </c>
      <c r="AQ974">
        <v>0</v>
      </c>
      <c r="AR974">
        <v>0</v>
      </c>
      <c r="AS974">
        <v>0</v>
      </c>
      <c r="AT974">
        <v>0</v>
      </c>
      <c r="AU974">
        <v>0</v>
      </c>
      <c r="AV974">
        <v>0</v>
      </c>
      <c r="AW974">
        <v>0</v>
      </c>
      <c r="AX974">
        <v>0</v>
      </c>
      <c r="AY974">
        <v>0</v>
      </c>
      <c r="AZ974">
        <v>0</v>
      </c>
      <c r="BA974">
        <v>0</v>
      </c>
      <c r="BB974">
        <v>0</v>
      </c>
      <c r="BC974">
        <v>0</v>
      </c>
      <c r="BD974">
        <v>0</v>
      </c>
      <c r="BE974">
        <v>0</v>
      </c>
      <c r="BF974">
        <v>0</v>
      </c>
      <c r="BG974">
        <v>0</v>
      </c>
      <c r="BH974">
        <v>0</v>
      </c>
      <c r="BI974">
        <v>0</v>
      </c>
      <c r="BK974" s="151"/>
    </row>
    <row r="975" spans="1:63" x14ac:dyDescent="0.35">
      <c r="A975">
        <v>0</v>
      </c>
      <c r="B975">
        <v>0</v>
      </c>
      <c r="C975">
        <v>0</v>
      </c>
      <c r="D975">
        <v>0</v>
      </c>
      <c r="E975">
        <v>0</v>
      </c>
      <c r="F975">
        <v>0</v>
      </c>
      <c r="G975">
        <v>0</v>
      </c>
      <c r="H975">
        <v>0</v>
      </c>
      <c r="I975">
        <v>0</v>
      </c>
      <c r="J975">
        <v>0</v>
      </c>
      <c r="K975">
        <v>0</v>
      </c>
      <c r="L975">
        <v>0</v>
      </c>
      <c r="M975">
        <v>0</v>
      </c>
      <c r="N975">
        <v>0</v>
      </c>
      <c r="O975">
        <v>0</v>
      </c>
      <c r="P975">
        <v>0</v>
      </c>
      <c r="Q975">
        <v>0</v>
      </c>
      <c r="R975">
        <v>0</v>
      </c>
      <c r="S975">
        <v>0</v>
      </c>
      <c r="T975">
        <v>0</v>
      </c>
      <c r="U975">
        <v>0</v>
      </c>
      <c r="V975">
        <v>0</v>
      </c>
      <c r="W975">
        <v>0</v>
      </c>
      <c r="X975">
        <v>0</v>
      </c>
      <c r="Y975">
        <v>0</v>
      </c>
      <c r="Z975">
        <v>0</v>
      </c>
      <c r="AA975">
        <v>0</v>
      </c>
      <c r="AB975">
        <v>0</v>
      </c>
      <c r="AC975">
        <v>0</v>
      </c>
      <c r="AD975">
        <v>0</v>
      </c>
      <c r="AF975">
        <v>0</v>
      </c>
      <c r="AG975">
        <v>0</v>
      </c>
      <c r="AH975">
        <v>0</v>
      </c>
      <c r="AI975">
        <v>0</v>
      </c>
      <c r="AJ975">
        <v>0</v>
      </c>
      <c r="AK975">
        <v>0</v>
      </c>
      <c r="AL975">
        <v>0</v>
      </c>
      <c r="AM975">
        <v>0</v>
      </c>
      <c r="AN975">
        <v>0</v>
      </c>
      <c r="AO975">
        <v>0</v>
      </c>
      <c r="AP975">
        <v>0</v>
      </c>
      <c r="AQ975">
        <v>0</v>
      </c>
      <c r="AR975">
        <v>0</v>
      </c>
      <c r="AS975">
        <v>0</v>
      </c>
      <c r="AT975">
        <v>0</v>
      </c>
      <c r="AU975">
        <v>0</v>
      </c>
      <c r="AV975">
        <v>0</v>
      </c>
      <c r="AW975">
        <v>0</v>
      </c>
      <c r="AX975">
        <v>0</v>
      </c>
      <c r="AY975">
        <v>0</v>
      </c>
      <c r="AZ975">
        <v>0</v>
      </c>
      <c r="BA975">
        <v>0</v>
      </c>
      <c r="BB975">
        <v>0</v>
      </c>
      <c r="BC975">
        <v>0</v>
      </c>
      <c r="BD975">
        <v>0</v>
      </c>
      <c r="BE975">
        <v>0</v>
      </c>
      <c r="BF975">
        <v>0</v>
      </c>
      <c r="BG975">
        <v>0</v>
      </c>
      <c r="BH975">
        <v>0</v>
      </c>
      <c r="BI975">
        <v>0</v>
      </c>
      <c r="BK975" s="151"/>
    </row>
    <row r="976" spans="1:63" x14ac:dyDescent="0.35">
      <c r="A976">
        <v>0</v>
      </c>
      <c r="B976">
        <v>0</v>
      </c>
      <c r="C976">
        <v>0</v>
      </c>
      <c r="D976">
        <v>0</v>
      </c>
      <c r="E976">
        <v>0</v>
      </c>
      <c r="F976">
        <v>0</v>
      </c>
      <c r="G976">
        <v>0</v>
      </c>
      <c r="H976">
        <v>0</v>
      </c>
      <c r="I976">
        <v>0</v>
      </c>
      <c r="J976">
        <v>0</v>
      </c>
      <c r="K976">
        <v>0</v>
      </c>
      <c r="L976">
        <v>0</v>
      </c>
      <c r="M976">
        <v>0</v>
      </c>
      <c r="N976">
        <v>0</v>
      </c>
      <c r="O976">
        <v>0</v>
      </c>
      <c r="P976">
        <v>0</v>
      </c>
      <c r="Q976">
        <v>0</v>
      </c>
      <c r="R976">
        <v>0</v>
      </c>
      <c r="S976">
        <v>0</v>
      </c>
      <c r="T976">
        <v>0</v>
      </c>
      <c r="U976">
        <v>0</v>
      </c>
      <c r="V976">
        <v>0</v>
      </c>
      <c r="W976">
        <v>0</v>
      </c>
      <c r="X976">
        <v>0</v>
      </c>
      <c r="Y976">
        <v>0</v>
      </c>
      <c r="Z976">
        <v>0</v>
      </c>
      <c r="AA976">
        <v>0</v>
      </c>
      <c r="AB976">
        <v>0</v>
      </c>
      <c r="AC976">
        <v>0</v>
      </c>
      <c r="AD976">
        <v>0</v>
      </c>
      <c r="AF976">
        <v>0</v>
      </c>
      <c r="AG976">
        <v>0</v>
      </c>
      <c r="AH976">
        <v>0</v>
      </c>
      <c r="AI976">
        <v>0</v>
      </c>
      <c r="AJ976">
        <v>0</v>
      </c>
      <c r="AK976">
        <v>0</v>
      </c>
      <c r="AL976">
        <v>0</v>
      </c>
      <c r="AM976">
        <v>0</v>
      </c>
      <c r="AN976">
        <v>0</v>
      </c>
      <c r="AO976">
        <v>0</v>
      </c>
      <c r="AP976">
        <v>0</v>
      </c>
      <c r="AQ976">
        <v>0</v>
      </c>
      <c r="AR976">
        <v>0</v>
      </c>
      <c r="AS976">
        <v>0</v>
      </c>
      <c r="AT976">
        <v>0</v>
      </c>
      <c r="AU976">
        <v>0</v>
      </c>
      <c r="AV976">
        <v>0</v>
      </c>
      <c r="AW976">
        <v>0</v>
      </c>
      <c r="AX976">
        <v>0</v>
      </c>
      <c r="AY976">
        <v>0</v>
      </c>
      <c r="AZ976">
        <v>0</v>
      </c>
      <c r="BA976">
        <v>0</v>
      </c>
      <c r="BB976">
        <v>0</v>
      </c>
      <c r="BC976">
        <v>0</v>
      </c>
      <c r="BD976">
        <v>0</v>
      </c>
      <c r="BE976">
        <v>0</v>
      </c>
      <c r="BF976">
        <v>0</v>
      </c>
      <c r="BG976">
        <v>0</v>
      </c>
      <c r="BH976">
        <v>0</v>
      </c>
      <c r="BI976">
        <v>0</v>
      </c>
      <c r="BK976" s="151"/>
    </row>
    <row r="977" spans="1:63" x14ac:dyDescent="0.35">
      <c r="A977">
        <v>0</v>
      </c>
      <c r="B977">
        <v>0</v>
      </c>
      <c r="C977">
        <v>0</v>
      </c>
      <c r="D977">
        <v>0</v>
      </c>
      <c r="E977">
        <v>0</v>
      </c>
      <c r="F977">
        <v>0</v>
      </c>
      <c r="G977">
        <v>0</v>
      </c>
      <c r="H977">
        <v>0</v>
      </c>
      <c r="I977">
        <v>0</v>
      </c>
      <c r="J977">
        <v>0</v>
      </c>
      <c r="K977">
        <v>0</v>
      </c>
      <c r="L977">
        <v>0</v>
      </c>
      <c r="M977">
        <v>0</v>
      </c>
      <c r="N977">
        <v>0</v>
      </c>
      <c r="O977">
        <v>0</v>
      </c>
      <c r="P977">
        <v>0</v>
      </c>
      <c r="Q977">
        <v>0</v>
      </c>
      <c r="R977">
        <v>0</v>
      </c>
      <c r="S977">
        <v>0</v>
      </c>
      <c r="T977">
        <v>0</v>
      </c>
      <c r="U977">
        <v>0</v>
      </c>
      <c r="V977">
        <v>0</v>
      </c>
      <c r="W977">
        <v>0</v>
      </c>
      <c r="X977">
        <v>0</v>
      </c>
      <c r="Y977">
        <v>0</v>
      </c>
      <c r="Z977">
        <v>0</v>
      </c>
      <c r="AA977">
        <v>0</v>
      </c>
      <c r="AB977">
        <v>0</v>
      </c>
      <c r="AC977">
        <v>0</v>
      </c>
      <c r="AD977">
        <v>0</v>
      </c>
      <c r="AF977">
        <v>0</v>
      </c>
      <c r="AG977">
        <v>0</v>
      </c>
      <c r="AH977">
        <v>0</v>
      </c>
      <c r="AI977">
        <v>0</v>
      </c>
      <c r="AJ977">
        <v>0</v>
      </c>
      <c r="AK977">
        <v>0</v>
      </c>
      <c r="AL977">
        <v>0</v>
      </c>
      <c r="AM977">
        <v>0</v>
      </c>
      <c r="AN977">
        <v>0</v>
      </c>
      <c r="AO977">
        <v>0</v>
      </c>
      <c r="AP977">
        <v>0</v>
      </c>
      <c r="AQ977">
        <v>0</v>
      </c>
      <c r="AR977">
        <v>0</v>
      </c>
      <c r="AS977">
        <v>0</v>
      </c>
      <c r="AT977">
        <v>0</v>
      </c>
      <c r="AU977">
        <v>0</v>
      </c>
      <c r="AV977">
        <v>0</v>
      </c>
      <c r="AW977">
        <v>0</v>
      </c>
      <c r="AX977">
        <v>0</v>
      </c>
      <c r="AY977">
        <v>0</v>
      </c>
      <c r="AZ977">
        <v>0</v>
      </c>
      <c r="BA977">
        <v>0</v>
      </c>
      <c r="BB977">
        <v>0</v>
      </c>
      <c r="BC977">
        <v>0</v>
      </c>
      <c r="BD977">
        <v>0</v>
      </c>
      <c r="BE977">
        <v>0</v>
      </c>
      <c r="BF977">
        <v>0</v>
      </c>
      <c r="BG977">
        <v>0</v>
      </c>
      <c r="BH977">
        <v>0</v>
      </c>
      <c r="BI977">
        <v>0</v>
      </c>
      <c r="BK977" s="151"/>
    </row>
    <row r="978" spans="1:63" x14ac:dyDescent="0.35">
      <c r="A978">
        <v>0</v>
      </c>
      <c r="B978">
        <v>0</v>
      </c>
      <c r="C978">
        <v>0</v>
      </c>
      <c r="D978">
        <v>0</v>
      </c>
      <c r="E978">
        <v>0</v>
      </c>
      <c r="F978">
        <v>0</v>
      </c>
      <c r="G978">
        <v>0</v>
      </c>
      <c r="H978">
        <v>0</v>
      </c>
      <c r="I978">
        <v>0</v>
      </c>
      <c r="J978">
        <v>0</v>
      </c>
      <c r="K978">
        <v>0</v>
      </c>
      <c r="L978">
        <v>0</v>
      </c>
      <c r="M978">
        <v>0</v>
      </c>
      <c r="N978">
        <v>0</v>
      </c>
      <c r="O978">
        <v>0</v>
      </c>
      <c r="P978">
        <v>0</v>
      </c>
      <c r="Q978">
        <v>0</v>
      </c>
      <c r="R978">
        <v>0</v>
      </c>
      <c r="S978">
        <v>0</v>
      </c>
      <c r="T978">
        <v>0</v>
      </c>
      <c r="U978">
        <v>0</v>
      </c>
      <c r="V978">
        <v>0</v>
      </c>
      <c r="W978">
        <v>0</v>
      </c>
      <c r="X978">
        <v>0</v>
      </c>
      <c r="Y978">
        <v>0</v>
      </c>
      <c r="Z978">
        <v>0</v>
      </c>
      <c r="AA978">
        <v>0</v>
      </c>
      <c r="AB978">
        <v>0</v>
      </c>
      <c r="AC978">
        <v>0</v>
      </c>
      <c r="AD978">
        <v>0</v>
      </c>
      <c r="AF978">
        <v>0</v>
      </c>
      <c r="AG978">
        <v>0</v>
      </c>
      <c r="AH978">
        <v>0</v>
      </c>
      <c r="AI978">
        <v>0</v>
      </c>
      <c r="AJ978">
        <v>0</v>
      </c>
      <c r="AK978">
        <v>0</v>
      </c>
      <c r="AL978">
        <v>0</v>
      </c>
      <c r="AM978">
        <v>0</v>
      </c>
      <c r="AN978">
        <v>0</v>
      </c>
      <c r="AO978">
        <v>0</v>
      </c>
      <c r="AP978">
        <v>0</v>
      </c>
      <c r="AQ978">
        <v>0</v>
      </c>
      <c r="AR978">
        <v>0</v>
      </c>
      <c r="AS978">
        <v>0</v>
      </c>
      <c r="AT978">
        <v>0</v>
      </c>
      <c r="AU978">
        <v>0</v>
      </c>
      <c r="AV978">
        <v>0</v>
      </c>
      <c r="AW978">
        <v>0</v>
      </c>
      <c r="AX978">
        <v>0</v>
      </c>
      <c r="AY978">
        <v>0</v>
      </c>
      <c r="AZ978">
        <v>0</v>
      </c>
      <c r="BA978">
        <v>0</v>
      </c>
      <c r="BB978">
        <v>0</v>
      </c>
      <c r="BC978">
        <v>0</v>
      </c>
      <c r="BD978">
        <v>0</v>
      </c>
      <c r="BE978">
        <v>0</v>
      </c>
      <c r="BF978">
        <v>0</v>
      </c>
      <c r="BG978">
        <v>0</v>
      </c>
      <c r="BH978">
        <v>0</v>
      </c>
      <c r="BI978">
        <v>0</v>
      </c>
      <c r="BK978" s="151"/>
    </row>
    <row r="979" spans="1:63" x14ac:dyDescent="0.35">
      <c r="A979">
        <v>0</v>
      </c>
      <c r="B979">
        <v>0</v>
      </c>
      <c r="C979">
        <v>0</v>
      </c>
      <c r="D979">
        <v>0</v>
      </c>
      <c r="E979">
        <v>0</v>
      </c>
      <c r="F979">
        <v>0</v>
      </c>
      <c r="G979">
        <v>0</v>
      </c>
      <c r="H979">
        <v>0</v>
      </c>
      <c r="I979">
        <v>0</v>
      </c>
      <c r="J979">
        <v>0</v>
      </c>
      <c r="K979">
        <v>0</v>
      </c>
      <c r="L979">
        <v>0</v>
      </c>
      <c r="M979">
        <v>0</v>
      </c>
      <c r="N979">
        <v>0</v>
      </c>
      <c r="O979">
        <v>0</v>
      </c>
      <c r="P979">
        <v>0</v>
      </c>
      <c r="Q979">
        <v>0</v>
      </c>
      <c r="R979">
        <v>0</v>
      </c>
      <c r="S979">
        <v>0</v>
      </c>
      <c r="T979">
        <v>0</v>
      </c>
      <c r="U979">
        <v>0</v>
      </c>
      <c r="V979">
        <v>0</v>
      </c>
      <c r="W979">
        <v>0</v>
      </c>
      <c r="X979">
        <v>0</v>
      </c>
      <c r="Y979">
        <v>0</v>
      </c>
      <c r="Z979">
        <v>0</v>
      </c>
      <c r="AA979">
        <v>0</v>
      </c>
      <c r="AB979">
        <v>0</v>
      </c>
      <c r="AC979">
        <v>0</v>
      </c>
      <c r="AD979">
        <v>0</v>
      </c>
      <c r="AF979">
        <v>0</v>
      </c>
      <c r="AG979">
        <v>0</v>
      </c>
      <c r="AH979">
        <v>0</v>
      </c>
      <c r="AI979">
        <v>0</v>
      </c>
      <c r="AJ979">
        <v>0</v>
      </c>
      <c r="AK979">
        <v>0</v>
      </c>
      <c r="AL979">
        <v>0</v>
      </c>
      <c r="AM979">
        <v>0</v>
      </c>
      <c r="AN979">
        <v>0</v>
      </c>
      <c r="AO979">
        <v>0</v>
      </c>
      <c r="AP979">
        <v>0</v>
      </c>
      <c r="AQ979">
        <v>0</v>
      </c>
      <c r="AR979">
        <v>0</v>
      </c>
      <c r="AS979">
        <v>0</v>
      </c>
      <c r="AT979">
        <v>0</v>
      </c>
      <c r="AU979">
        <v>0</v>
      </c>
      <c r="AV979">
        <v>0</v>
      </c>
      <c r="AW979">
        <v>0</v>
      </c>
      <c r="AX979">
        <v>0</v>
      </c>
      <c r="AY979">
        <v>0</v>
      </c>
      <c r="AZ979">
        <v>0</v>
      </c>
      <c r="BA979">
        <v>0</v>
      </c>
      <c r="BB979">
        <v>0</v>
      </c>
      <c r="BC979">
        <v>0</v>
      </c>
      <c r="BD979">
        <v>0</v>
      </c>
      <c r="BE979">
        <v>0</v>
      </c>
      <c r="BF979">
        <v>0</v>
      </c>
      <c r="BG979">
        <v>0</v>
      </c>
      <c r="BH979">
        <v>0</v>
      </c>
      <c r="BI979">
        <v>0</v>
      </c>
      <c r="BK979" s="151"/>
    </row>
    <row r="980" spans="1:63" x14ac:dyDescent="0.35">
      <c r="A980">
        <v>0</v>
      </c>
      <c r="B980">
        <v>0</v>
      </c>
      <c r="C980">
        <v>0</v>
      </c>
      <c r="D980">
        <v>0</v>
      </c>
      <c r="E980">
        <v>0</v>
      </c>
      <c r="F980">
        <v>0</v>
      </c>
      <c r="G980">
        <v>0</v>
      </c>
      <c r="H980">
        <v>0</v>
      </c>
      <c r="I980">
        <v>0</v>
      </c>
      <c r="J980">
        <v>0</v>
      </c>
      <c r="K980">
        <v>0</v>
      </c>
      <c r="L980">
        <v>0</v>
      </c>
      <c r="M980">
        <v>0</v>
      </c>
      <c r="N980">
        <v>0</v>
      </c>
      <c r="O980">
        <v>0</v>
      </c>
      <c r="P980">
        <v>0</v>
      </c>
      <c r="Q980">
        <v>0</v>
      </c>
      <c r="R980">
        <v>0</v>
      </c>
      <c r="S980">
        <v>0</v>
      </c>
      <c r="T980">
        <v>0</v>
      </c>
      <c r="U980">
        <v>0</v>
      </c>
      <c r="V980">
        <v>0</v>
      </c>
      <c r="W980">
        <v>0</v>
      </c>
      <c r="X980">
        <v>0</v>
      </c>
      <c r="Y980">
        <v>0</v>
      </c>
      <c r="Z980">
        <v>0</v>
      </c>
      <c r="AA980">
        <v>0</v>
      </c>
      <c r="AB980">
        <v>0</v>
      </c>
      <c r="AC980">
        <v>0</v>
      </c>
      <c r="AD980">
        <v>0</v>
      </c>
      <c r="AF980">
        <v>0</v>
      </c>
      <c r="AG980">
        <v>0</v>
      </c>
      <c r="AH980">
        <v>0</v>
      </c>
      <c r="AI980">
        <v>0</v>
      </c>
      <c r="AJ980">
        <v>0</v>
      </c>
      <c r="AK980">
        <v>0</v>
      </c>
      <c r="AL980">
        <v>0</v>
      </c>
      <c r="AM980">
        <v>0</v>
      </c>
      <c r="AN980">
        <v>0</v>
      </c>
      <c r="AO980">
        <v>0</v>
      </c>
      <c r="AP980">
        <v>0</v>
      </c>
      <c r="AQ980">
        <v>0</v>
      </c>
      <c r="AR980">
        <v>0</v>
      </c>
      <c r="AS980">
        <v>0</v>
      </c>
      <c r="AT980">
        <v>0</v>
      </c>
      <c r="AU980">
        <v>0</v>
      </c>
      <c r="AV980">
        <v>0</v>
      </c>
      <c r="AW980">
        <v>0</v>
      </c>
      <c r="AX980">
        <v>0</v>
      </c>
      <c r="AY980">
        <v>0</v>
      </c>
      <c r="AZ980">
        <v>0</v>
      </c>
      <c r="BA980">
        <v>0</v>
      </c>
      <c r="BB980">
        <v>0</v>
      </c>
      <c r="BC980">
        <v>0</v>
      </c>
      <c r="BD980">
        <v>0</v>
      </c>
      <c r="BE980">
        <v>0</v>
      </c>
      <c r="BF980">
        <v>0</v>
      </c>
      <c r="BG980">
        <v>0</v>
      </c>
      <c r="BH980">
        <v>0</v>
      </c>
      <c r="BI980">
        <v>0</v>
      </c>
      <c r="BK980" s="151"/>
    </row>
    <row r="981" spans="1:63" x14ac:dyDescent="0.35">
      <c r="A981">
        <v>0</v>
      </c>
      <c r="B981">
        <v>0</v>
      </c>
      <c r="C981">
        <v>0</v>
      </c>
      <c r="D981">
        <v>0</v>
      </c>
      <c r="E981">
        <v>0</v>
      </c>
      <c r="F981">
        <v>0</v>
      </c>
      <c r="G981">
        <v>0</v>
      </c>
      <c r="H981">
        <v>0</v>
      </c>
      <c r="I981">
        <v>0</v>
      </c>
      <c r="J981">
        <v>0</v>
      </c>
      <c r="K981">
        <v>0</v>
      </c>
      <c r="L981">
        <v>0</v>
      </c>
      <c r="M981">
        <v>0</v>
      </c>
      <c r="N981">
        <v>0</v>
      </c>
      <c r="O981">
        <v>0</v>
      </c>
      <c r="P981">
        <v>0</v>
      </c>
      <c r="Q981">
        <v>0</v>
      </c>
      <c r="R981">
        <v>0</v>
      </c>
      <c r="S981">
        <v>0</v>
      </c>
      <c r="T981">
        <v>0</v>
      </c>
      <c r="U981">
        <v>0</v>
      </c>
      <c r="V981">
        <v>0</v>
      </c>
      <c r="W981">
        <v>0</v>
      </c>
      <c r="X981">
        <v>0</v>
      </c>
      <c r="Y981">
        <v>0</v>
      </c>
      <c r="Z981">
        <v>0</v>
      </c>
      <c r="AA981">
        <v>0</v>
      </c>
      <c r="AB981">
        <v>0</v>
      </c>
      <c r="AC981">
        <v>0</v>
      </c>
      <c r="AD981">
        <v>0</v>
      </c>
      <c r="AF981">
        <v>0</v>
      </c>
      <c r="AG981">
        <v>0</v>
      </c>
      <c r="AH981">
        <v>0</v>
      </c>
      <c r="AI981">
        <v>0</v>
      </c>
      <c r="AJ981">
        <v>0</v>
      </c>
      <c r="AK981">
        <v>0</v>
      </c>
      <c r="AL981">
        <v>0</v>
      </c>
      <c r="AM981">
        <v>0</v>
      </c>
      <c r="AN981">
        <v>0</v>
      </c>
      <c r="AO981">
        <v>0</v>
      </c>
      <c r="AP981">
        <v>0</v>
      </c>
      <c r="AQ981">
        <v>0</v>
      </c>
      <c r="AR981">
        <v>0</v>
      </c>
      <c r="AS981">
        <v>0</v>
      </c>
      <c r="AT981">
        <v>0</v>
      </c>
      <c r="AU981">
        <v>0</v>
      </c>
      <c r="AV981">
        <v>0</v>
      </c>
      <c r="AW981">
        <v>0</v>
      </c>
      <c r="AX981">
        <v>0</v>
      </c>
      <c r="AY981">
        <v>0</v>
      </c>
      <c r="AZ981">
        <v>0</v>
      </c>
      <c r="BA981">
        <v>0</v>
      </c>
      <c r="BB981">
        <v>0</v>
      </c>
      <c r="BC981">
        <v>0</v>
      </c>
      <c r="BD981">
        <v>0</v>
      </c>
      <c r="BE981">
        <v>0</v>
      </c>
      <c r="BF981">
        <v>0</v>
      </c>
      <c r="BG981">
        <v>0</v>
      </c>
      <c r="BH981">
        <v>0</v>
      </c>
      <c r="BI981">
        <v>0</v>
      </c>
      <c r="BK981" s="151"/>
    </row>
    <row r="982" spans="1:63" x14ac:dyDescent="0.35">
      <c r="A982">
        <v>0</v>
      </c>
      <c r="B982">
        <v>0</v>
      </c>
      <c r="C982">
        <v>0</v>
      </c>
      <c r="D982">
        <v>0</v>
      </c>
      <c r="E982">
        <v>0</v>
      </c>
      <c r="F982">
        <v>0</v>
      </c>
      <c r="G982">
        <v>0</v>
      </c>
      <c r="H982">
        <v>0</v>
      </c>
      <c r="I982">
        <v>0</v>
      </c>
      <c r="J982">
        <v>0</v>
      </c>
      <c r="K982">
        <v>0</v>
      </c>
      <c r="L982">
        <v>0</v>
      </c>
      <c r="M982">
        <v>0</v>
      </c>
      <c r="N982">
        <v>0</v>
      </c>
      <c r="O982">
        <v>0</v>
      </c>
      <c r="P982">
        <v>0</v>
      </c>
      <c r="Q982">
        <v>0</v>
      </c>
      <c r="R982">
        <v>0</v>
      </c>
      <c r="S982">
        <v>0</v>
      </c>
      <c r="T982">
        <v>0</v>
      </c>
      <c r="U982">
        <v>0</v>
      </c>
      <c r="V982">
        <v>0</v>
      </c>
      <c r="W982">
        <v>0</v>
      </c>
      <c r="X982">
        <v>0</v>
      </c>
      <c r="Y982">
        <v>0</v>
      </c>
      <c r="Z982">
        <v>0</v>
      </c>
      <c r="AA982">
        <v>0</v>
      </c>
      <c r="AB982">
        <v>0</v>
      </c>
      <c r="AC982">
        <v>0</v>
      </c>
      <c r="AD982">
        <v>0</v>
      </c>
      <c r="AF982">
        <v>0</v>
      </c>
      <c r="AG982">
        <v>0</v>
      </c>
      <c r="AH982">
        <v>0</v>
      </c>
      <c r="AI982">
        <v>0</v>
      </c>
      <c r="AJ982">
        <v>0</v>
      </c>
      <c r="AK982">
        <v>0</v>
      </c>
      <c r="AL982">
        <v>0</v>
      </c>
      <c r="AM982">
        <v>0</v>
      </c>
      <c r="AN982">
        <v>0</v>
      </c>
      <c r="AO982">
        <v>0</v>
      </c>
      <c r="AP982">
        <v>0</v>
      </c>
      <c r="AQ982">
        <v>0</v>
      </c>
      <c r="AR982">
        <v>0</v>
      </c>
      <c r="AS982">
        <v>0</v>
      </c>
      <c r="AT982">
        <v>0</v>
      </c>
      <c r="AU982">
        <v>0</v>
      </c>
      <c r="AV982">
        <v>0</v>
      </c>
      <c r="AW982">
        <v>0</v>
      </c>
      <c r="AX982">
        <v>0</v>
      </c>
      <c r="AY982">
        <v>0</v>
      </c>
      <c r="AZ982">
        <v>0</v>
      </c>
      <c r="BA982">
        <v>0</v>
      </c>
      <c r="BB982">
        <v>0</v>
      </c>
      <c r="BC982">
        <v>0</v>
      </c>
      <c r="BD982">
        <v>0</v>
      </c>
      <c r="BE982">
        <v>0</v>
      </c>
      <c r="BF982">
        <v>0</v>
      </c>
      <c r="BG982">
        <v>0</v>
      </c>
      <c r="BH982">
        <v>0</v>
      </c>
      <c r="BI982">
        <v>0</v>
      </c>
      <c r="BK982" s="151"/>
    </row>
    <row r="983" spans="1:63" x14ac:dyDescent="0.35">
      <c r="A983">
        <v>0</v>
      </c>
      <c r="B983">
        <v>0</v>
      </c>
      <c r="C983">
        <v>0</v>
      </c>
      <c r="D983">
        <v>0</v>
      </c>
      <c r="E983">
        <v>0</v>
      </c>
      <c r="F983">
        <v>0</v>
      </c>
      <c r="G983">
        <v>0</v>
      </c>
      <c r="H983">
        <v>0</v>
      </c>
      <c r="I983">
        <v>0</v>
      </c>
      <c r="J983">
        <v>0</v>
      </c>
      <c r="K983">
        <v>0</v>
      </c>
      <c r="L983">
        <v>0</v>
      </c>
      <c r="M983">
        <v>0</v>
      </c>
      <c r="N983">
        <v>0</v>
      </c>
      <c r="O983">
        <v>0</v>
      </c>
      <c r="P983">
        <v>0</v>
      </c>
      <c r="Q983">
        <v>0</v>
      </c>
      <c r="R983">
        <v>0</v>
      </c>
      <c r="S983">
        <v>0</v>
      </c>
      <c r="T983">
        <v>0</v>
      </c>
      <c r="U983">
        <v>0</v>
      </c>
      <c r="V983">
        <v>0</v>
      </c>
      <c r="W983">
        <v>0</v>
      </c>
      <c r="X983">
        <v>0</v>
      </c>
      <c r="Y983">
        <v>0</v>
      </c>
      <c r="Z983">
        <v>0</v>
      </c>
      <c r="AA983">
        <v>0</v>
      </c>
      <c r="AB983">
        <v>0</v>
      </c>
      <c r="AC983">
        <v>0</v>
      </c>
      <c r="AD983">
        <v>0</v>
      </c>
      <c r="AF983">
        <v>0</v>
      </c>
      <c r="AG983">
        <v>0</v>
      </c>
      <c r="AH983">
        <v>0</v>
      </c>
      <c r="AI983">
        <v>0</v>
      </c>
      <c r="AJ983">
        <v>0</v>
      </c>
      <c r="AK983">
        <v>0</v>
      </c>
      <c r="AL983">
        <v>0</v>
      </c>
      <c r="AM983">
        <v>0</v>
      </c>
      <c r="AN983">
        <v>0</v>
      </c>
      <c r="AO983">
        <v>0</v>
      </c>
      <c r="AP983">
        <v>0</v>
      </c>
      <c r="AQ983">
        <v>0</v>
      </c>
      <c r="AR983">
        <v>0</v>
      </c>
      <c r="AS983">
        <v>0</v>
      </c>
      <c r="AT983">
        <v>0</v>
      </c>
      <c r="AU983">
        <v>0</v>
      </c>
      <c r="AV983">
        <v>0</v>
      </c>
      <c r="AW983">
        <v>0</v>
      </c>
      <c r="AX983">
        <v>0</v>
      </c>
      <c r="AY983">
        <v>0</v>
      </c>
      <c r="AZ983">
        <v>0</v>
      </c>
      <c r="BA983">
        <v>0</v>
      </c>
      <c r="BB983">
        <v>0</v>
      </c>
      <c r="BC983">
        <v>0</v>
      </c>
      <c r="BD983">
        <v>0</v>
      </c>
      <c r="BE983">
        <v>0</v>
      </c>
      <c r="BF983">
        <v>0</v>
      </c>
      <c r="BG983">
        <v>0</v>
      </c>
      <c r="BH983">
        <v>0</v>
      </c>
      <c r="BI983">
        <v>0</v>
      </c>
      <c r="BK983" s="151"/>
    </row>
    <row r="984" spans="1:63" x14ac:dyDescent="0.35">
      <c r="A984">
        <v>0</v>
      </c>
      <c r="B984">
        <v>0</v>
      </c>
      <c r="C984">
        <v>0</v>
      </c>
      <c r="D984">
        <v>0</v>
      </c>
      <c r="E984">
        <v>0</v>
      </c>
      <c r="F984">
        <v>0</v>
      </c>
      <c r="G984">
        <v>0</v>
      </c>
      <c r="H984">
        <v>0</v>
      </c>
      <c r="I984">
        <v>0</v>
      </c>
      <c r="J984">
        <v>0</v>
      </c>
      <c r="K984">
        <v>0</v>
      </c>
      <c r="L984">
        <v>0</v>
      </c>
      <c r="M984">
        <v>0</v>
      </c>
      <c r="N984">
        <v>0</v>
      </c>
      <c r="O984">
        <v>0</v>
      </c>
      <c r="P984">
        <v>0</v>
      </c>
      <c r="Q984">
        <v>0</v>
      </c>
      <c r="R984">
        <v>0</v>
      </c>
      <c r="S984">
        <v>0</v>
      </c>
      <c r="T984">
        <v>0</v>
      </c>
      <c r="U984">
        <v>0</v>
      </c>
      <c r="V984">
        <v>0</v>
      </c>
      <c r="W984">
        <v>0</v>
      </c>
      <c r="X984">
        <v>0</v>
      </c>
      <c r="Y984">
        <v>0</v>
      </c>
      <c r="Z984">
        <v>0</v>
      </c>
      <c r="AA984">
        <v>0</v>
      </c>
      <c r="AB984">
        <v>0</v>
      </c>
      <c r="AC984">
        <v>0</v>
      </c>
      <c r="AD984">
        <v>0</v>
      </c>
      <c r="AF984">
        <v>0</v>
      </c>
      <c r="AG984">
        <v>0</v>
      </c>
      <c r="AH984">
        <v>0</v>
      </c>
      <c r="AI984">
        <v>0</v>
      </c>
      <c r="AJ984">
        <v>0</v>
      </c>
      <c r="AK984">
        <v>0</v>
      </c>
      <c r="AL984">
        <v>0</v>
      </c>
      <c r="AM984">
        <v>0</v>
      </c>
      <c r="AN984">
        <v>0</v>
      </c>
      <c r="AO984">
        <v>0</v>
      </c>
      <c r="AP984">
        <v>0</v>
      </c>
      <c r="AQ984">
        <v>0</v>
      </c>
      <c r="AR984">
        <v>0</v>
      </c>
      <c r="AS984">
        <v>0</v>
      </c>
      <c r="AT984">
        <v>0</v>
      </c>
      <c r="AU984">
        <v>0</v>
      </c>
      <c r="AV984">
        <v>0</v>
      </c>
      <c r="AW984">
        <v>0</v>
      </c>
      <c r="AX984">
        <v>0</v>
      </c>
      <c r="AY984">
        <v>0</v>
      </c>
      <c r="AZ984">
        <v>0</v>
      </c>
      <c r="BA984">
        <v>0</v>
      </c>
      <c r="BB984">
        <v>0</v>
      </c>
      <c r="BC984">
        <v>0</v>
      </c>
      <c r="BD984">
        <v>0</v>
      </c>
      <c r="BE984">
        <v>0</v>
      </c>
      <c r="BF984">
        <v>0</v>
      </c>
      <c r="BG984">
        <v>0</v>
      </c>
      <c r="BH984">
        <v>0</v>
      </c>
      <c r="BI984">
        <v>0</v>
      </c>
      <c r="BK984" s="151"/>
    </row>
    <row r="985" spans="1:63" x14ac:dyDescent="0.35">
      <c r="A985">
        <v>0</v>
      </c>
      <c r="B985">
        <v>0</v>
      </c>
      <c r="C985">
        <v>0</v>
      </c>
      <c r="D985">
        <v>0</v>
      </c>
      <c r="E985">
        <v>0</v>
      </c>
      <c r="F985">
        <v>0</v>
      </c>
      <c r="G985">
        <v>0</v>
      </c>
      <c r="H985">
        <v>0</v>
      </c>
      <c r="I985">
        <v>0</v>
      </c>
      <c r="J985">
        <v>0</v>
      </c>
      <c r="K985">
        <v>0</v>
      </c>
      <c r="L985">
        <v>0</v>
      </c>
      <c r="M985">
        <v>0</v>
      </c>
      <c r="N985">
        <v>0</v>
      </c>
      <c r="O985">
        <v>0</v>
      </c>
      <c r="P985">
        <v>0</v>
      </c>
      <c r="Q985">
        <v>0</v>
      </c>
      <c r="R985">
        <v>0</v>
      </c>
      <c r="S985">
        <v>0</v>
      </c>
      <c r="T985">
        <v>0</v>
      </c>
      <c r="U985">
        <v>0</v>
      </c>
      <c r="V985">
        <v>0</v>
      </c>
      <c r="W985">
        <v>0</v>
      </c>
      <c r="X985">
        <v>0</v>
      </c>
      <c r="Y985">
        <v>0</v>
      </c>
      <c r="Z985">
        <v>0</v>
      </c>
      <c r="AA985">
        <v>0</v>
      </c>
      <c r="AB985">
        <v>0</v>
      </c>
      <c r="AC985">
        <v>0</v>
      </c>
      <c r="AD985">
        <v>0</v>
      </c>
      <c r="AF985">
        <v>0</v>
      </c>
      <c r="AG985">
        <v>0</v>
      </c>
      <c r="AH985">
        <v>0</v>
      </c>
      <c r="AI985">
        <v>0</v>
      </c>
      <c r="AJ985">
        <v>0</v>
      </c>
      <c r="AK985">
        <v>0</v>
      </c>
      <c r="AL985">
        <v>0</v>
      </c>
      <c r="AM985">
        <v>0</v>
      </c>
      <c r="AN985">
        <v>0</v>
      </c>
      <c r="AO985">
        <v>0</v>
      </c>
      <c r="AP985">
        <v>0</v>
      </c>
      <c r="AQ985">
        <v>0</v>
      </c>
      <c r="AR985">
        <v>0</v>
      </c>
      <c r="AS985">
        <v>0</v>
      </c>
      <c r="AT985">
        <v>0</v>
      </c>
      <c r="AU985">
        <v>0</v>
      </c>
      <c r="AV985">
        <v>0</v>
      </c>
      <c r="AW985">
        <v>0</v>
      </c>
      <c r="AX985">
        <v>0</v>
      </c>
      <c r="AY985">
        <v>0</v>
      </c>
      <c r="AZ985">
        <v>0</v>
      </c>
      <c r="BA985">
        <v>0</v>
      </c>
      <c r="BB985">
        <v>0</v>
      </c>
      <c r="BC985">
        <v>0</v>
      </c>
      <c r="BD985">
        <v>0</v>
      </c>
      <c r="BE985">
        <v>0</v>
      </c>
      <c r="BF985">
        <v>0</v>
      </c>
      <c r="BG985">
        <v>0</v>
      </c>
      <c r="BH985">
        <v>0</v>
      </c>
      <c r="BI985">
        <v>0</v>
      </c>
      <c r="BK985" s="151"/>
    </row>
    <row r="986" spans="1:63" x14ac:dyDescent="0.35">
      <c r="A986">
        <v>0</v>
      </c>
      <c r="B986">
        <v>0</v>
      </c>
      <c r="C986">
        <v>0</v>
      </c>
      <c r="D986">
        <v>0</v>
      </c>
      <c r="E986">
        <v>0</v>
      </c>
      <c r="F986">
        <v>0</v>
      </c>
      <c r="G986">
        <v>0</v>
      </c>
      <c r="H986">
        <v>0</v>
      </c>
      <c r="I986">
        <v>0</v>
      </c>
      <c r="J986">
        <v>0</v>
      </c>
      <c r="K986">
        <v>0</v>
      </c>
      <c r="L986">
        <v>0</v>
      </c>
      <c r="M986">
        <v>0</v>
      </c>
      <c r="N986">
        <v>0</v>
      </c>
      <c r="O986">
        <v>0</v>
      </c>
      <c r="P986">
        <v>0</v>
      </c>
      <c r="Q986">
        <v>0</v>
      </c>
      <c r="R986">
        <v>0</v>
      </c>
      <c r="S986">
        <v>0</v>
      </c>
      <c r="T986">
        <v>0</v>
      </c>
      <c r="U986">
        <v>0</v>
      </c>
      <c r="V986">
        <v>0</v>
      </c>
      <c r="W986">
        <v>0</v>
      </c>
      <c r="X986">
        <v>0</v>
      </c>
      <c r="Y986">
        <v>0</v>
      </c>
      <c r="Z986">
        <v>0</v>
      </c>
      <c r="AA986">
        <v>0</v>
      </c>
      <c r="AB986">
        <v>0</v>
      </c>
      <c r="AC986">
        <v>0</v>
      </c>
      <c r="AD986">
        <v>0</v>
      </c>
      <c r="AF986">
        <v>0</v>
      </c>
      <c r="AG986">
        <v>0</v>
      </c>
      <c r="AH986">
        <v>0</v>
      </c>
      <c r="AI986">
        <v>0</v>
      </c>
      <c r="AJ986">
        <v>0</v>
      </c>
      <c r="AK986">
        <v>0</v>
      </c>
      <c r="AL986">
        <v>0</v>
      </c>
      <c r="AM986">
        <v>0</v>
      </c>
      <c r="AN986">
        <v>0</v>
      </c>
      <c r="AO986">
        <v>0</v>
      </c>
      <c r="AP986">
        <v>0</v>
      </c>
      <c r="AQ986">
        <v>0</v>
      </c>
      <c r="AR986">
        <v>0</v>
      </c>
      <c r="AS986">
        <v>0</v>
      </c>
      <c r="AT986">
        <v>0</v>
      </c>
      <c r="AU986">
        <v>0</v>
      </c>
      <c r="AV986">
        <v>0</v>
      </c>
      <c r="AW986">
        <v>0</v>
      </c>
      <c r="AX986">
        <v>0</v>
      </c>
      <c r="AY986">
        <v>0</v>
      </c>
      <c r="AZ986">
        <v>0</v>
      </c>
      <c r="BA986">
        <v>0</v>
      </c>
      <c r="BB986">
        <v>0</v>
      </c>
      <c r="BC986">
        <v>0</v>
      </c>
      <c r="BD986">
        <v>0</v>
      </c>
      <c r="BE986">
        <v>0</v>
      </c>
      <c r="BF986">
        <v>0</v>
      </c>
      <c r="BG986">
        <v>0</v>
      </c>
      <c r="BH986">
        <v>0</v>
      </c>
      <c r="BI986">
        <v>0</v>
      </c>
      <c r="BK986" s="151"/>
    </row>
    <row r="987" spans="1:63" x14ac:dyDescent="0.35">
      <c r="A987">
        <v>0</v>
      </c>
      <c r="B987">
        <v>0</v>
      </c>
      <c r="C987">
        <v>0</v>
      </c>
      <c r="D987">
        <v>0</v>
      </c>
      <c r="E987">
        <v>0</v>
      </c>
      <c r="F987">
        <v>0</v>
      </c>
      <c r="G987">
        <v>0</v>
      </c>
      <c r="H987">
        <v>0</v>
      </c>
      <c r="I987">
        <v>0</v>
      </c>
      <c r="J987">
        <v>0</v>
      </c>
      <c r="K987">
        <v>0</v>
      </c>
      <c r="L987">
        <v>0</v>
      </c>
      <c r="M987">
        <v>0</v>
      </c>
      <c r="N987">
        <v>0</v>
      </c>
      <c r="O987">
        <v>0</v>
      </c>
      <c r="P987">
        <v>0</v>
      </c>
      <c r="Q987">
        <v>0</v>
      </c>
      <c r="R987">
        <v>0</v>
      </c>
      <c r="S987">
        <v>0</v>
      </c>
      <c r="T987">
        <v>0</v>
      </c>
      <c r="U987">
        <v>0</v>
      </c>
      <c r="V987">
        <v>0</v>
      </c>
      <c r="W987">
        <v>0</v>
      </c>
      <c r="X987">
        <v>0</v>
      </c>
      <c r="Y987">
        <v>0</v>
      </c>
      <c r="Z987">
        <v>0</v>
      </c>
      <c r="AA987">
        <v>0</v>
      </c>
      <c r="AB987">
        <v>0</v>
      </c>
      <c r="AC987">
        <v>0</v>
      </c>
      <c r="AD987">
        <v>0</v>
      </c>
      <c r="AF987">
        <v>0</v>
      </c>
      <c r="AG987">
        <v>0</v>
      </c>
      <c r="AH987">
        <v>0</v>
      </c>
      <c r="AI987">
        <v>0</v>
      </c>
      <c r="AJ987">
        <v>0</v>
      </c>
      <c r="AK987">
        <v>0</v>
      </c>
      <c r="AL987">
        <v>0</v>
      </c>
      <c r="AM987">
        <v>0</v>
      </c>
      <c r="AN987">
        <v>0</v>
      </c>
      <c r="AO987">
        <v>0</v>
      </c>
      <c r="AP987">
        <v>0</v>
      </c>
      <c r="AQ987">
        <v>0</v>
      </c>
      <c r="AR987">
        <v>0</v>
      </c>
      <c r="AS987">
        <v>0</v>
      </c>
      <c r="AT987">
        <v>0</v>
      </c>
      <c r="AU987">
        <v>0</v>
      </c>
      <c r="AV987">
        <v>0</v>
      </c>
      <c r="AW987">
        <v>0</v>
      </c>
      <c r="AX987">
        <v>0</v>
      </c>
      <c r="AY987">
        <v>0</v>
      </c>
      <c r="AZ987">
        <v>0</v>
      </c>
      <c r="BA987">
        <v>0</v>
      </c>
      <c r="BB987">
        <v>0</v>
      </c>
      <c r="BC987">
        <v>0</v>
      </c>
      <c r="BD987">
        <v>0</v>
      </c>
      <c r="BE987">
        <v>0</v>
      </c>
      <c r="BF987">
        <v>0</v>
      </c>
      <c r="BG987">
        <v>0</v>
      </c>
      <c r="BH987">
        <v>0</v>
      </c>
      <c r="BI987">
        <v>0</v>
      </c>
      <c r="BK987" s="151"/>
    </row>
    <row r="988" spans="1:63" x14ac:dyDescent="0.35">
      <c r="A988">
        <v>0</v>
      </c>
      <c r="B988">
        <v>0</v>
      </c>
      <c r="C988">
        <v>0</v>
      </c>
      <c r="D988">
        <v>0</v>
      </c>
      <c r="E988">
        <v>0</v>
      </c>
      <c r="F988">
        <v>0</v>
      </c>
      <c r="G988">
        <v>0</v>
      </c>
      <c r="H988">
        <v>0</v>
      </c>
      <c r="I988">
        <v>0</v>
      </c>
      <c r="J988">
        <v>0</v>
      </c>
      <c r="K988">
        <v>0</v>
      </c>
      <c r="L988">
        <v>0</v>
      </c>
      <c r="M988">
        <v>0</v>
      </c>
      <c r="N988">
        <v>0</v>
      </c>
      <c r="O988">
        <v>0</v>
      </c>
      <c r="P988">
        <v>0</v>
      </c>
      <c r="Q988">
        <v>0</v>
      </c>
      <c r="R988">
        <v>0</v>
      </c>
      <c r="S988">
        <v>0</v>
      </c>
      <c r="T988">
        <v>0</v>
      </c>
      <c r="U988">
        <v>0</v>
      </c>
      <c r="V988">
        <v>0</v>
      </c>
      <c r="W988">
        <v>0</v>
      </c>
      <c r="X988">
        <v>0</v>
      </c>
      <c r="Y988">
        <v>0</v>
      </c>
      <c r="Z988">
        <v>0</v>
      </c>
      <c r="AA988">
        <v>0</v>
      </c>
      <c r="AB988">
        <v>0</v>
      </c>
      <c r="AC988">
        <v>0</v>
      </c>
      <c r="AD988">
        <v>0</v>
      </c>
      <c r="AF988">
        <v>0</v>
      </c>
      <c r="AG988">
        <v>0</v>
      </c>
      <c r="AH988">
        <v>0</v>
      </c>
      <c r="AI988">
        <v>0</v>
      </c>
      <c r="AJ988">
        <v>0</v>
      </c>
      <c r="AK988">
        <v>0</v>
      </c>
      <c r="AL988">
        <v>0</v>
      </c>
      <c r="AM988">
        <v>0</v>
      </c>
      <c r="AN988">
        <v>0</v>
      </c>
      <c r="AO988">
        <v>0</v>
      </c>
      <c r="AP988">
        <v>0</v>
      </c>
      <c r="AQ988">
        <v>0</v>
      </c>
      <c r="AR988">
        <v>0</v>
      </c>
      <c r="AS988">
        <v>0</v>
      </c>
      <c r="AT988">
        <v>0</v>
      </c>
      <c r="AU988">
        <v>0</v>
      </c>
      <c r="AV988">
        <v>0</v>
      </c>
      <c r="AW988">
        <v>0</v>
      </c>
      <c r="AX988">
        <v>0</v>
      </c>
      <c r="AY988">
        <v>0</v>
      </c>
      <c r="AZ988">
        <v>0</v>
      </c>
      <c r="BA988">
        <v>0</v>
      </c>
      <c r="BB988">
        <v>0</v>
      </c>
      <c r="BC988">
        <v>0</v>
      </c>
      <c r="BD988">
        <v>0</v>
      </c>
      <c r="BE988">
        <v>0</v>
      </c>
      <c r="BF988">
        <v>0</v>
      </c>
      <c r="BG988">
        <v>0</v>
      </c>
      <c r="BH988">
        <v>0</v>
      </c>
      <c r="BI988">
        <v>0</v>
      </c>
      <c r="BK988" s="151"/>
    </row>
    <row r="989" spans="1:63" x14ac:dyDescent="0.35">
      <c r="A989">
        <v>0</v>
      </c>
      <c r="B989">
        <v>0</v>
      </c>
      <c r="C989">
        <v>0</v>
      </c>
      <c r="D989">
        <v>0</v>
      </c>
      <c r="E989">
        <v>0</v>
      </c>
      <c r="F989">
        <v>0</v>
      </c>
      <c r="G989">
        <v>0</v>
      </c>
      <c r="H989">
        <v>0</v>
      </c>
      <c r="I989">
        <v>0</v>
      </c>
      <c r="J989">
        <v>0</v>
      </c>
      <c r="K989">
        <v>0</v>
      </c>
      <c r="L989">
        <v>0</v>
      </c>
      <c r="M989">
        <v>0</v>
      </c>
      <c r="N989">
        <v>0</v>
      </c>
      <c r="O989">
        <v>0</v>
      </c>
      <c r="P989">
        <v>0</v>
      </c>
      <c r="Q989">
        <v>0</v>
      </c>
      <c r="R989">
        <v>0</v>
      </c>
      <c r="S989">
        <v>0</v>
      </c>
      <c r="T989">
        <v>0</v>
      </c>
      <c r="U989">
        <v>0</v>
      </c>
      <c r="V989">
        <v>0</v>
      </c>
      <c r="W989">
        <v>0</v>
      </c>
      <c r="X989">
        <v>0</v>
      </c>
      <c r="Y989">
        <v>0</v>
      </c>
      <c r="Z989">
        <v>0</v>
      </c>
      <c r="AA989">
        <v>0</v>
      </c>
      <c r="AB989">
        <v>0</v>
      </c>
      <c r="AC989">
        <v>0</v>
      </c>
      <c r="AD989">
        <v>0</v>
      </c>
      <c r="AF989">
        <v>0</v>
      </c>
      <c r="AG989">
        <v>0</v>
      </c>
      <c r="AH989">
        <v>0</v>
      </c>
      <c r="AI989">
        <v>0</v>
      </c>
      <c r="AJ989">
        <v>0</v>
      </c>
      <c r="AK989">
        <v>0</v>
      </c>
      <c r="AL989">
        <v>0</v>
      </c>
      <c r="AM989">
        <v>0</v>
      </c>
      <c r="AN989">
        <v>0</v>
      </c>
      <c r="AO989">
        <v>0</v>
      </c>
      <c r="AP989">
        <v>0</v>
      </c>
      <c r="AQ989">
        <v>0</v>
      </c>
      <c r="AR989">
        <v>0</v>
      </c>
      <c r="AS989">
        <v>0</v>
      </c>
      <c r="AT989">
        <v>0</v>
      </c>
      <c r="AU989">
        <v>0</v>
      </c>
      <c r="AV989">
        <v>0</v>
      </c>
      <c r="AW989">
        <v>0</v>
      </c>
      <c r="AX989">
        <v>0</v>
      </c>
      <c r="AY989">
        <v>0</v>
      </c>
      <c r="AZ989">
        <v>0</v>
      </c>
      <c r="BA989">
        <v>0</v>
      </c>
      <c r="BB989">
        <v>0</v>
      </c>
      <c r="BC989">
        <v>0</v>
      </c>
      <c r="BD989">
        <v>0</v>
      </c>
      <c r="BE989">
        <v>0</v>
      </c>
      <c r="BF989">
        <v>0</v>
      </c>
      <c r="BG989">
        <v>0</v>
      </c>
      <c r="BH989">
        <v>0</v>
      </c>
      <c r="BI989">
        <v>0</v>
      </c>
      <c r="BK989" s="151"/>
    </row>
    <row r="990" spans="1:63" x14ac:dyDescent="0.35">
      <c r="A990">
        <v>0</v>
      </c>
      <c r="B990">
        <v>0</v>
      </c>
      <c r="C990">
        <v>0</v>
      </c>
      <c r="D990">
        <v>0</v>
      </c>
      <c r="E990">
        <v>0</v>
      </c>
      <c r="F990">
        <v>0</v>
      </c>
      <c r="G990">
        <v>0</v>
      </c>
      <c r="H990">
        <v>0</v>
      </c>
      <c r="I990">
        <v>0</v>
      </c>
      <c r="J990">
        <v>0</v>
      </c>
      <c r="K990">
        <v>0</v>
      </c>
      <c r="L990">
        <v>0</v>
      </c>
      <c r="M990">
        <v>0</v>
      </c>
      <c r="N990">
        <v>0</v>
      </c>
      <c r="O990">
        <v>0</v>
      </c>
      <c r="P990">
        <v>0</v>
      </c>
      <c r="Q990">
        <v>0</v>
      </c>
      <c r="R990">
        <v>0</v>
      </c>
      <c r="S990">
        <v>0</v>
      </c>
      <c r="T990">
        <v>0</v>
      </c>
      <c r="U990">
        <v>0</v>
      </c>
      <c r="V990">
        <v>0</v>
      </c>
      <c r="W990">
        <v>0</v>
      </c>
      <c r="X990">
        <v>0</v>
      </c>
      <c r="Y990">
        <v>0</v>
      </c>
      <c r="Z990">
        <v>0</v>
      </c>
      <c r="AA990">
        <v>0</v>
      </c>
      <c r="AB990">
        <v>0</v>
      </c>
      <c r="AC990">
        <v>0</v>
      </c>
      <c r="AD990">
        <v>0</v>
      </c>
      <c r="AF990">
        <v>0</v>
      </c>
      <c r="AG990">
        <v>0</v>
      </c>
      <c r="AH990">
        <v>0</v>
      </c>
      <c r="AI990">
        <v>0</v>
      </c>
      <c r="AJ990">
        <v>0</v>
      </c>
      <c r="AK990">
        <v>0</v>
      </c>
      <c r="AL990">
        <v>0</v>
      </c>
      <c r="AM990">
        <v>0</v>
      </c>
      <c r="AN990">
        <v>0</v>
      </c>
      <c r="AO990">
        <v>0</v>
      </c>
      <c r="AP990">
        <v>0</v>
      </c>
      <c r="AQ990">
        <v>0</v>
      </c>
      <c r="AR990">
        <v>0</v>
      </c>
      <c r="AS990">
        <v>0</v>
      </c>
      <c r="AT990">
        <v>0</v>
      </c>
      <c r="AU990">
        <v>0</v>
      </c>
      <c r="AV990">
        <v>0</v>
      </c>
      <c r="AW990">
        <v>0</v>
      </c>
      <c r="AX990">
        <v>0</v>
      </c>
      <c r="AY990">
        <v>0</v>
      </c>
      <c r="AZ990">
        <v>0</v>
      </c>
      <c r="BA990">
        <v>0</v>
      </c>
      <c r="BB990">
        <v>0</v>
      </c>
      <c r="BC990">
        <v>0</v>
      </c>
      <c r="BD990">
        <v>0</v>
      </c>
      <c r="BE990">
        <v>0</v>
      </c>
      <c r="BF990">
        <v>0</v>
      </c>
      <c r="BG990">
        <v>0</v>
      </c>
      <c r="BH990">
        <v>0</v>
      </c>
      <c r="BI990">
        <v>0</v>
      </c>
      <c r="BK990" s="151"/>
    </row>
    <row r="991" spans="1:63" x14ac:dyDescent="0.35">
      <c r="A991">
        <v>0</v>
      </c>
      <c r="B991">
        <v>0</v>
      </c>
      <c r="C991">
        <v>0</v>
      </c>
      <c r="D991">
        <v>0</v>
      </c>
      <c r="E991">
        <v>0</v>
      </c>
      <c r="F991">
        <v>0</v>
      </c>
      <c r="G991">
        <v>0</v>
      </c>
      <c r="H991">
        <v>0</v>
      </c>
      <c r="I991">
        <v>0</v>
      </c>
      <c r="J991">
        <v>0</v>
      </c>
      <c r="K991">
        <v>0</v>
      </c>
      <c r="L991">
        <v>0</v>
      </c>
      <c r="M991">
        <v>0</v>
      </c>
      <c r="N991">
        <v>0</v>
      </c>
      <c r="O991">
        <v>0</v>
      </c>
      <c r="P991">
        <v>0</v>
      </c>
      <c r="Q991">
        <v>0</v>
      </c>
      <c r="R991">
        <v>0</v>
      </c>
      <c r="S991">
        <v>0</v>
      </c>
      <c r="T991">
        <v>0</v>
      </c>
      <c r="U991">
        <v>0</v>
      </c>
      <c r="V991">
        <v>0</v>
      </c>
      <c r="W991">
        <v>0</v>
      </c>
      <c r="X991">
        <v>0</v>
      </c>
      <c r="Y991">
        <v>0</v>
      </c>
      <c r="Z991">
        <v>0</v>
      </c>
      <c r="AA991">
        <v>0</v>
      </c>
      <c r="AB991">
        <v>0</v>
      </c>
      <c r="AC991">
        <v>0</v>
      </c>
      <c r="AD991">
        <v>0</v>
      </c>
      <c r="AF991">
        <v>0</v>
      </c>
      <c r="AG991">
        <v>0</v>
      </c>
      <c r="AH991">
        <v>0</v>
      </c>
      <c r="AI991">
        <v>0</v>
      </c>
      <c r="AJ991">
        <v>0</v>
      </c>
      <c r="AK991">
        <v>0</v>
      </c>
      <c r="AL991">
        <v>0</v>
      </c>
      <c r="AM991">
        <v>0</v>
      </c>
      <c r="AN991">
        <v>0</v>
      </c>
      <c r="AO991">
        <v>0</v>
      </c>
      <c r="AP991">
        <v>0</v>
      </c>
      <c r="AQ991">
        <v>0</v>
      </c>
      <c r="AR991">
        <v>0</v>
      </c>
      <c r="AS991">
        <v>0</v>
      </c>
      <c r="AT991">
        <v>0</v>
      </c>
      <c r="AU991">
        <v>0</v>
      </c>
      <c r="AV991">
        <v>0</v>
      </c>
      <c r="AW991">
        <v>0</v>
      </c>
      <c r="AX991">
        <v>0</v>
      </c>
      <c r="AY991">
        <v>0</v>
      </c>
      <c r="AZ991">
        <v>0</v>
      </c>
      <c r="BA991">
        <v>0</v>
      </c>
      <c r="BB991">
        <v>0</v>
      </c>
      <c r="BC991">
        <v>0</v>
      </c>
      <c r="BD991">
        <v>0</v>
      </c>
      <c r="BE991">
        <v>0</v>
      </c>
      <c r="BF991">
        <v>0</v>
      </c>
      <c r="BG991">
        <v>0</v>
      </c>
      <c r="BH991">
        <v>0</v>
      </c>
      <c r="BI991">
        <v>0</v>
      </c>
      <c r="BK991" s="151"/>
    </row>
    <row r="992" spans="1:63" x14ac:dyDescent="0.35">
      <c r="A992">
        <v>0</v>
      </c>
      <c r="B992">
        <v>0</v>
      </c>
      <c r="C992">
        <v>0</v>
      </c>
      <c r="D992">
        <v>0</v>
      </c>
      <c r="E992">
        <v>0</v>
      </c>
      <c r="F992">
        <v>0</v>
      </c>
      <c r="G992">
        <v>0</v>
      </c>
      <c r="H992">
        <v>0</v>
      </c>
      <c r="I992">
        <v>0</v>
      </c>
      <c r="J992">
        <v>0</v>
      </c>
      <c r="K992">
        <v>0</v>
      </c>
      <c r="L992">
        <v>0</v>
      </c>
      <c r="M992">
        <v>0</v>
      </c>
      <c r="N992">
        <v>0</v>
      </c>
      <c r="O992">
        <v>0</v>
      </c>
      <c r="P992">
        <v>0</v>
      </c>
      <c r="Q992">
        <v>0</v>
      </c>
      <c r="R992">
        <v>0</v>
      </c>
      <c r="S992">
        <v>0</v>
      </c>
      <c r="T992">
        <v>0</v>
      </c>
      <c r="U992">
        <v>0</v>
      </c>
      <c r="V992">
        <v>0</v>
      </c>
      <c r="W992">
        <v>0</v>
      </c>
      <c r="X992">
        <v>0</v>
      </c>
      <c r="Y992">
        <v>0</v>
      </c>
      <c r="Z992">
        <v>0</v>
      </c>
      <c r="AA992">
        <v>0</v>
      </c>
      <c r="AB992">
        <v>0</v>
      </c>
      <c r="AC992">
        <v>0</v>
      </c>
      <c r="AD992">
        <v>0</v>
      </c>
      <c r="AF992">
        <v>0</v>
      </c>
      <c r="AG992">
        <v>0</v>
      </c>
      <c r="AH992">
        <v>0</v>
      </c>
      <c r="AI992">
        <v>0</v>
      </c>
      <c r="AJ992">
        <v>0</v>
      </c>
      <c r="AK992">
        <v>0</v>
      </c>
      <c r="AL992">
        <v>0</v>
      </c>
      <c r="AM992">
        <v>0</v>
      </c>
      <c r="AN992">
        <v>0</v>
      </c>
      <c r="AO992">
        <v>0</v>
      </c>
      <c r="AP992">
        <v>0</v>
      </c>
      <c r="AQ992">
        <v>0</v>
      </c>
      <c r="AR992">
        <v>0</v>
      </c>
      <c r="AS992">
        <v>0</v>
      </c>
      <c r="AT992">
        <v>0</v>
      </c>
      <c r="AU992">
        <v>0</v>
      </c>
      <c r="AV992">
        <v>0</v>
      </c>
      <c r="AW992">
        <v>0</v>
      </c>
      <c r="AX992">
        <v>0</v>
      </c>
      <c r="AY992">
        <v>0</v>
      </c>
      <c r="AZ992">
        <v>0</v>
      </c>
      <c r="BA992">
        <v>0</v>
      </c>
      <c r="BB992">
        <v>0</v>
      </c>
      <c r="BC992">
        <v>0</v>
      </c>
      <c r="BD992">
        <v>0</v>
      </c>
      <c r="BE992">
        <v>0</v>
      </c>
      <c r="BF992">
        <v>0</v>
      </c>
      <c r="BG992">
        <v>0</v>
      </c>
      <c r="BH992">
        <v>0</v>
      </c>
      <c r="BI992">
        <v>0</v>
      </c>
      <c r="BK992" s="151"/>
    </row>
    <row r="993" spans="1:63" x14ac:dyDescent="0.35">
      <c r="A993">
        <v>0</v>
      </c>
      <c r="B993">
        <v>0</v>
      </c>
      <c r="C993">
        <v>0</v>
      </c>
      <c r="D993">
        <v>0</v>
      </c>
      <c r="E993">
        <v>0</v>
      </c>
      <c r="F993">
        <v>0</v>
      </c>
      <c r="G993">
        <v>0</v>
      </c>
      <c r="H993">
        <v>0</v>
      </c>
      <c r="I993">
        <v>0</v>
      </c>
      <c r="J993">
        <v>0</v>
      </c>
      <c r="K993">
        <v>0</v>
      </c>
      <c r="L993">
        <v>0</v>
      </c>
      <c r="M993">
        <v>0</v>
      </c>
      <c r="N993">
        <v>0</v>
      </c>
      <c r="O993">
        <v>0</v>
      </c>
      <c r="P993">
        <v>0</v>
      </c>
      <c r="Q993">
        <v>0</v>
      </c>
      <c r="R993">
        <v>0</v>
      </c>
      <c r="S993">
        <v>0</v>
      </c>
      <c r="T993">
        <v>0</v>
      </c>
      <c r="U993">
        <v>0</v>
      </c>
      <c r="V993">
        <v>0</v>
      </c>
      <c r="W993">
        <v>0</v>
      </c>
      <c r="X993">
        <v>0</v>
      </c>
      <c r="Y993">
        <v>0</v>
      </c>
      <c r="Z993">
        <v>0</v>
      </c>
      <c r="AA993">
        <v>0</v>
      </c>
      <c r="AB993">
        <v>0</v>
      </c>
      <c r="AC993">
        <v>0</v>
      </c>
      <c r="AD993">
        <v>0</v>
      </c>
      <c r="AF993">
        <v>0</v>
      </c>
      <c r="AG993">
        <v>0</v>
      </c>
      <c r="AH993">
        <v>0</v>
      </c>
      <c r="AI993">
        <v>0</v>
      </c>
      <c r="AJ993">
        <v>0</v>
      </c>
      <c r="AK993">
        <v>0</v>
      </c>
      <c r="AL993">
        <v>0</v>
      </c>
      <c r="AM993">
        <v>0</v>
      </c>
      <c r="AN993">
        <v>0</v>
      </c>
      <c r="AO993">
        <v>0</v>
      </c>
      <c r="AP993">
        <v>0</v>
      </c>
      <c r="AQ993">
        <v>0</v>
      </c>
      <c r="AR993">
        <v>0</v>
      </c>
      <c r="AS993">
        <v>0</v>
      </c>
      <c r="AT993">
        <v>0</v>
      </c>
      <c r="AU993">
        <v>0</v>
      </c>
      <c r="AV993">
        <v>0</v>
      </c>
      <c r="AW993">
        <v>0</v>
      </c>
      <c r="AX993">
        <v>0</v>
      </c>
      <c r="AY993">
        <v>0</v>
      </c>
      <c r="AZ993">
        <v>0</v>
      </c>
      <c r="BA993">
        <v>0</v>
      </c>
      <c r="BB993">
        <v>0</v>
      </c>
      <c r="BC993">
        <v>0</v>
      </c>
      <c r="BD993">
        <v>0</v>
      </c>
      <c r="BE993">
        <v>0</v>
      </c>
      <c r="BF993">
        <v>0</v>
      </c>
      <c r="BG993">
        <v>0</v>
      </c>
      <c r="BH993">
        <v>0</v>
      </c>
      <c r="BI993">
        <v>0</v>
      </c>
      <c r="BK993" s="151"/>
    </row>
    <row r="994" spans="1:63" x14ac:dyDescent="0.35">
      <c r="A994">
        <v>0</v>
      </c>
      <c r="B994">
        <v>0</v>
      </c>
      <c r="C994">
        <v>0</v>
      </c>
      <c r="D994">
        <v>0</v>
      </c>
      <c r="E994">
        <v>0</v>
      </c>
      <c r="F994">
        <v>0</v>
      </c>
      <c r="G994">
        <v>0</v>
      </c>
      <c r="H994">
        <v>0</v>
      </c>
      <c r="I994">
        <v>0</v>
      </c>
      <c r="J994">
        <v>0</v>
      </c>
      <c r="K994">
        <v>0</v>
      </c>
      <c r="L994">
        <v>0</v>
      </c>
      <c r="M994">
        <v>0</v>
      </c>
      <c r="N994">
        <v>0</v>
      </c>
      <c r="O994">
        <v>0</v>
      </c>
      <c r="P994">
        <v>0</v>
      </c>
      <c r="Q994">
        <v>0</v>
      </c>
      <c r="R994">
        <v>0</v>
      </c>
      <c r="S994">
        <v>0</v>
      </c>
      <c r="T994">
        <v>0</v>
      </c>
      <c r="U994">
        <v>0</v>
      </c>
      <c r="V994">
        <v>0</v>
      </c>
      <c r="W994">
        <v>0</v>
      </c>
      <c r="X994">
        <v>0</v>
      </c>
      <c r="Y994">
        <v>0</v>
      </c>
      <c r="Z994">
        <v>0</v>
      </c>
      <c r="AA994">
        <v>0</v>
      </c>
      <c r="AB994">
        <v>0</v>
      </c>
      <c r="AC994">
        <v>0</v>
      </c>
      <c r="AD994">
        <v>0</v>
      </c>
      <c r="AF994">
        <v>0</v>
      </c>
      <c r="AG994">
        <v>0</v>
      </c>
      <c r="AH994">
        <v>0</v>
      </c>
      <c r="AI994">
        <v>0</v>
      </c>
      <c r="AJ994">
        <v>0</v>
      </c>
      <c r="AK994">
        <v>0</v>
      </c>
      <c r="AL994">
        <v>0</v>
      </c>
      <c r="AM994">
        <v>0</v>
      </c>
      <c r="AN994">
        <v>0</v>
      </c>
      <c r="AO994">
        <v>0</v>
      </c>
      <c r="AP994">
        <v>0</v>
      </c>
      <c r="AQ994">
        <v>0</v>
      </c>
      <c r="AR994">
        <v>0</v>
      </c>
      <c r="AS994">
        <v>0</v>
      </c>
      <c r="AT994">
        <v>0</v>
      </c>
      <c r="AU994">
        <v>0</v>
      </c>
      <c r="AV994">
        <v>0</v>
      </c>
      <c r="AW994">
        <v>0</v>
      </c>
      <c r="AX994">
        <v>0</v>
      </c>
      <c r="AY994">
        <v>0</v>
      </c>
      <c r="AZ994">
        <v>0</v>
      </c>
      <c r="BA994">
        <v>0</v>
      </c>
      <c r="BB994">
        <v>0</v>
      </c>
      <c r="BC994">
        <v>0</v>
      </c>
      <c r="BD994">
        <v>0</v>
      </c>
      <c r="BE994">
        <v>0</v>
      </c>
      <c r="BF994">
        <v>0</v>
      </c>
      <c r="BG994">
        <v>0</v>
      </c>
      <c r="BH994">
        <v>0</v>
      </c>
      <c r="BI994">
        <v>0</v>
      </c>
      <c r="BK994" s="151"/>
    </row>
    <row r="995" spans="1:63" x14ac:dyDescent="0.35">
      <c r="A995">
        <v>0</v>
      </c>
      <c r="B995">
        <v>0</v>
      </c>
      <c r="C995">
        <v>0</v>
      </c>
      <c r="D995">
        <v>0</v>
      </c>
      <c r="E995">
        <v>0</v>
      </c>
      <c r="F995">
        <v>0</v>
      </c>
      <c r="G995">
        <v>0</v>
      </c>
      <c r="H995">
        <v>0</v>
      </c>
      <c r="I995">
        <v>0</v>
      </c>
      <c r="J995">
        <v>0</v>
      </c>
      <c r="K995">
        <v>0</v>
      </c>
      <c r="L995">
        <v>0</v>
      </c>
      <c r="M995">
        <v>0</v>
      </c>
      <c r="N995">
        <v>0</v>
      </c>
      <c r="O995">
        <v>0</v>
      </c>
      <c r="P995">
        <v>0</v>
      </c>
      <c r="Q995">
        <v>0</v>
      </c>
      <c r="R995">
        <v>0</v>
      </c>
      <c r="S995">
        <v>0</v>
      </c>
      <c r="T995">
        <v>0</v>
      </c>
      <c r="U995">
        <v>0</v>
      </c>
      <c r="V995">
        <v>0</v>
      </c>
      <c r="W995">
        <v>0</v>
      </c>
      <c r="X995">
        <v>0</v>
      </c>
      <c r="Y995">
        <v>0</v>
      </c>
      <c r="Z995">
        <v>0</v>
      </c>
      <c r="AA995">
        <v>0</v>
      </c>
      <c r="AB995">
        <v>0</v>
      </c>
      <c r="AC995">
        <v>0</v>
      </c>
      <c r="AD995">
        <v>0</v>
      </c>
      <c r="AF995">
        <v>0</v>
      </c>
      <c r="AG995">
        <v>0</v>
      </c>
      <c r="AH995">
        <v>0</v>
      </c>
      <c r="AI995">
        <v>0</v>
      </c>
      <c r="AJ995">
        <v>0</v>
      </c>
      <c r="AK995">
        <v>0</v>
      </c>
      <c r="AL995">
        <v>0</v>
      </c>
      <c r="AM995">
        <v>0</v>
      </c>
      <c r="AN995">
        <v>0</v>
      </c>
      <c r="AO995">
        <v>0</v>
      </c>
      <c r="AP995">
        <v>0</v>
      </c>
      <c r="AQ995">
        <v>0</v>
      </c>
      <c r="AR995">
        <v>0</v>
      </c>
      <c r="AS995">
        <v>0</v>
      </c>
      <c r="AT995">
        <v>0</v>
      </c>
      <c r="AU995">
        <v>0</v>
      </c>
      <c r="AV995">
        <v>0</v>
      </c>
      <c r="AW995">
        <v>0</v>
      </c>
      <c r="AX995">
        <v>0</v>
      </c>
      <c r="AY995">
        <v>0</v>
      </c>
      <c r="AZ995">
        <v>0</v>
      </c>
      <c r="BA995">
        <v>0</v>
      </c>
      <c r="BB995">
        <v>0</v>
      </c>
      <c r="BC995">
        <v>0</v>
      </c>
      <c r="BD995">
        <v>0</v>
      </c>
      <c r="BE995">
        <v>0</v>
      </c>
      <c r="BF995">
        <v>0</v>
      </c>
      <c r="BG995">
        <v>0</v>
      </c>
      <c r="BH995">
        <v>0</v>
      </c>
      <c r="BI995">
        <v>0</v>
      </c>
      <c r="BK995" s="151"/>
    </row>
    <row r="996" spans="1:63" x14ac:dyDescent="0.35">
      <c r="A996">
        <v>0</v>
      </c>
      <c r="B996">
        <v>0</v>
      </c>
      <c r="C996">
        <v>0</v>
      </c>
      <c r="D996">
        <v>0</v>
      </c>
      <c r="E996">
        <v>0</v>
      </c>
      <c r="F996">
        <v>0</v>
      </c>
      <c r="G996">
        <v>0</v>
      </c>
      <c r="H996">
        <v>0</v>
      </c>
      <c r="I996">
        <v>0</v>
      </c>
      <c r="J996">
        <v>0</v>
      </c>
      <c r="K996">
        <v>0</v>
      </c>
      <c r="L996">
        <v>0</v>
      </c>
      <c r="M996">
        <v>0</v>
      </c>
      <c r="N996">
        <v>0</v>
      </c>
      <c r="O996">
        <v>0</v>
      </c>
      <c r="P996">
        <v>0</v>
      </c>
      <c r="Q996">
        <v>0</v>
      </c>
      <c r="R996">
        <v>0</v>
      </c>
      <c r="S996">
        <v>0</v>
      </c>
      <c r="T996">
        <v>0</v>
      </c>
      <c r="U996">
        <v>0</v>
      </c>
      <c r="V996">
        <v>0</v>
      </c>
      <c r="W996">
        <v>0</v>
      </c>
      <c r="X996">
        <v>0</v>
      </c>
      <c r="Y996">
        <v>0</v>
      </c>
      <c r="Z996">
        <v>0</v>
      </c>
      <c r="AA996">
        <v>0</v>
      </c>
      <c r="AB996">
        <v>0</v>
      </c>
      <c r="AC996">
        <v>0</v>
      </c>
      <c r="AD996">
        <v>0</v>
      </c>
      <c r="AF996">
        <v>0</v>
      </c>
      <c r="AG996">
        <v>0</v>
      </c>
      <c r="AH996">
        <v>0</v>
      </c>
      <c r="AI996">
        <v>0</v>
      </c>
      <c r="AJ996">
        <v>0</v>
      </c>
      <c r="AK996">
        <v>0</v>
      </c>
      <c r="AL996">
        <v>0</v>
      </c>
      <c r="AM996">
        <v>0</v>
      </c>
      <c r="AN996">
        <v>0</v>
      </c>
      <c r="AO996">
        <v>0</v>
      </c>
      <c r="AP996">
        <v>0</v>
      </c>
      <c r="AQ996">
        <v>0</v>
      </c>
      <c r="AR996">
        <v>0</v>
      </c>
      <c r="AS996">
        <v>0</v>
      </c>
      <c r="AT996">
        <v>0</v>
      </c>
      <c r="AU996">
        <v>0</v>
      </c>
      <c r="AV996">
        <v>0</v>
      </c>
      <c r="AW996">
        <v>0</v>
      </c>
      <c r="AX996">
        <v>0</v>
      </c>
      <c r="AY996">
        <v>0</v>
      </c>
      <c r="AZ996">
        <v>0</v>
      </c>
      <c r="BA996">
        <v>0</v>
      </c>
      <c r="BB996">
        <v>0</v>
      </c>
      <c r="BC996">
        <v>0</v>
      </c>
      <c r="BD996">
        <v>0</v>
      </c>
      <c r="BE996">
        <v>0</v>
      </c>
      <c r="BF996">
        <v>0</v>
      </c>
      <c r="BG996">
        <v>0</v>
      </c>
      <c r="BH996">
        <v>0</v>
      </c>
      <c r="BI996">
        <v>0</v>
      </c>
      <c r="BK996" s="151"/>
    </row>
    <row r="997" spans="1:63" x14ac:dyDescent="0.35">
      <c r="A997">
        <v>0</v>
      </c>
      <c r="B997">
        <v>0</v>
      </c>
      <c r="C997">
        <v>0</v>
      </c>
      <c r="D997">
        <v>0</v>
      </c>
      <c r="E997">
        <v>0</v>
      </c>
      <c r="F997">
        <v>0</v>
      </c>
      <c r="G997">
        <v>0</v>
      </c>
      <c r="H997">
        <v>0</v>
      </c>
      <c r="I997">
        <v>0</v>
      </c>
      <c r="J997">
        <v>0</v>
      </c>
      <c r="K997">
        <v>0</v>
      </c>
      <c r="L997">
        <v>0</v>
      </c>
      <c r="M997">
        <v>0</v>
      </c>
      <c r="N997">
        <v>0</v>
      </c>
      <c r="O997">
        <v>0</v>
      </c>
      <c r="P997">
        <v>0</v>
      </c>
      <c r="Q997">
        <v>0</v>
      </c>
      <c r="R997">
        <v>0</v>
      </c>
      <c r="S997">
        <v>0</v>
      </c>
      <c r="T997">
        <v>0</v>
      </c>
      <c r="U997">
        <v>0</v>
      </c>
      <c r="V997">
        <v>0</v>
      </c>
      <c r="W997">
        <v>0</v>
      </c>
      <c r="X997">
        <v>0</v>
      </c>
      <c r="Y997">
        <v>0</v>
      </c>
      <c r="Z997">
        <v>0</v>
      </c>
      <c r="AA997">
        <v>0</v>
      </c>
      <c r="AB997">
        <v>0</v>
      </c>
      <c r="AC997">
        <v>0</v>
      </c>
      <c r="AD997">
        <v>0</v>
      </c>
      <c r="AF997">
        <v>0</v>
      </c>
      <c r="AG997">
        <v>0</v>
      </c>
      <c r="AH997">
        <v>0</v>
      </c>
      <c r="AI997">
        <v>0</v>
      </c>
      <c r="AJ997">
        <v>0</v>
      </c>
      <c r="AK997">
        <v>0</v>
      </c>
      <c r="AL997">
        <v>0</v>
      </c>
      <c r="AM997">
        <v>0</v>
      </c>
      <c r="AN997">
        <v>0</v>
      </c>
      <c r="AO997">
        <v>0</v>
      </c>
      <c r="AP997">
        <v>0</v>
      </c>
      <c r="AQ997">
        <v>0</v>
      </c>
      <c r="AR997">
        <v>0</v>
      </c>
      <c r="AS997">
        <v>0</v>
      </c>
      <c r="AT997">
        <v>0</v>
      </c>
      <c r="AU997">
        <v>0</v>
      </c>
      <c r="AV997">
        <v>0</v>
      </c>
      <c r="AW997">
        <v>0</v>
      </c>
      <c r="AX997">
        <v>0</v>
      </c>
      <c r="AY997">
        <v>0</v>
      </c>
      <c r="AZ997">
        <v>0</v>
      </c>
      <c r="BA997">
        <v>0</v>
      </c>
      <c r="BB997">
        <v>0</v>
      </c>
      <c r="BC997">
        <v>0</v>
      </c>
      <c r="BD997">
        <v>0</v>
      </c>
      <c r="BE997">
        <v>0</v>
      </c>
      <c r="BF997">
        <v>0</v>
      </c>
      <c r="BG997">
        <v>0</v>
      </c>
      <c r="BH997">
        <v>0</v>
      </c>
      <c r="BI997">
        <v>0</v>
      </c>
      <c r="BK997" s="151"/>
    </row>
    <row r="998" spans="1:63" x14ac:dyDescent="0.35">
      <c r="A998">
        <v>0</v>
      </c>
      <c r="B998">
        <v>0</v>
      </c>
      <c r="C998">
        <v>0</v>
      </c>
      <c r="D998">
        <v>0</v>
      </c>
      <c r="E998">
        <v>0</v>
      </c>
      <c r="F998">
        <v>0</v>
      </c>
      <c r="G998">
        <v>0</v>
      </c>
      <c r="H998">
        <v>0</v>
      </c>
      <c r="I998">
        <v>0</v>
      </c>
      <c r="J998">
        <v>0</v>
      </c>
      <c r="K998">
        <v>0</v>
      </c>
      <c r="L998">
        <v>0</v>
      </c>
      <c r="M998">
        <v>0</v>
      </c>
      <c r="N998">
        <v>0</v>
      </c>
      <c r="O998">
        <v>0</v>
      </c>
      <c r="P998">
        <v>0</v>
      </c>
      <c r="Q998">
        <v>0</v>
      </c>
      <c r="R998">
        <v>0</v>
      </c>
      <c r="S998">
        <v>0</v>
      </c>
      <c r="T998">
        <v>0</v>
      </c>
      <c r="U998">
        <v>0</v>
      </c>
      <c r="V998">
        <v>0</v>
      </c>
      <c r="W998">
        <v>0</v>
      </c>
      <c r="X998">
        <v>0</v>
      </c>
      <c r="Y998">
        <v>0</v>
      </c>
      <c r="Z998">
        <v>0</v>
      </c>
      <c r="AA998">
        <v>0</v>
      </c>
      <c r="AB998">
        <v>0</v>
      </c>
      <c r="AC998">
        <v>0</v>
      </c>
      <c r="AD998">
        <v>0</v>
      </c>
      <c r="AF998">
        <v>0</v>
      </c>
      <c r="AG998">
        <v>0</v>
      </c>
      <c r="AH998">
        <v>0</v>
      </c>
      <c r="AI998">
        <v>0</v>
      </c>
      <c r="AJ998">
        <v>0</v>
      </c>
      <c r="AK998">
        <v>0</v>
      </c>
      <c r="AL998">
        <v>0</v>
      </c>
      <c r="AM998">
        <v>0</v>
      </c>
      <c r="AN998">
        <v>0</v>
      </c>
      <c r="AO998">
        <v>0</v>
      </c>
      <c r="AP998">
        <v>0</v>
      </c>
      <c r="AQ998">
        <v>0</v>
      </c>
      <c r="AR998">
        <v>0</v>
      </c>
      <c r="AS998">
        <v>0</v>
      </c>
      <c r="AT998">
        <v>0</v>
      </c>
      <c r="AU998">
        <v>0</v>
      </c>
      <c r="AV998">
        <v>0</v>
      </c>
      <c r="AW998">
        <v>0</v>
      </c>
      <c r="AX998">
        <v>0</v>
      </c>
      <c r="AY998">
        <v>0</v>
      </c>
      <c r="AZ998">
        <v>0</v>
      </c>
      <c r="BA998">
        <v>0</v>
      </c>
      <c r="BB998">
        <v>0</v>
      </c>
      <c r="BC998">
        <v>0</v>
      </c>
      <c r="BD998">
        <v>0</v>
      </c>
      <c r="BE998">
        <v>0</v>
      </c>
      <c r="BF998">
        <v>0</v>
      </c>
      <c r="BG998">
        <v>0</v>
      </c>
      <c r="BH998">
        <v>0</v>
      </c>
      <c r="BI998">
        <v>0</v>
      </c>
      <c r="BK998" s="151"/>
    </row>
    <row r="999" spans="1:63" x14ac:dyDescent="0.35">
      <c r="A999">
        <v>0</v>
      </c>
      <c r="B999">
        <v>0</v>
      </c>
      <c r="C999">
        <v>0</v>
      </c>
      <c r="D999">
        <v>0</v>
      </c>
      <c r="E999">
        <v>0</v>
      </c>
      <c r="F999">
        <v>0</v>
      </c>
      <c r="G999">
        <v>0</v>
      </c>
      <c r="H999">
        <v>0</v>
      </c>
      <c r="I999">
        <v>0</v>
      </c>
      <c r="J999">
        <v>0</v>
      </c>
      <c r="K999">
        <v>0</v>
      </c>
      <c r="L999">
        <v>0</v>
      </c>
      <c r="M999">
        <v>0</v>
      </c>
      <c r="N999">
        <v>0</v>
      </c>
      <c r="O999">
        <v>0</v>
      </c>
      <c r="P999">
        <v>0</v>
      </c>
      <c r="Q999">
        <v>0</v>
      </c>
      <c r="R999">
        <v>0</v>
      </c>
      <c r="S999">
        <v>0</v>
      </c>
      <c r="T999">
        <v>0</v>
      </c>
      <c r="U999">
        <v>0</v>
      </c>
      <c r="V999">
        <v>0</v>
      </c>
      <c r="W999">
        <v>0</v>
      </c>
      <c r="X999">
        <v>0</v>
      </c>
      <c r="Y999">
        <v>0</v>
      </c>
      <c r="Z999">
        <v>0</v>
      </c>
      <c r="AA999">
        <v>0</v>
      </c>
      <c r="AB999">
        <v>0</v>
      </c>
      <c r="AC999">
        <v>0</v>
      </c>
      <c r="AD999">
        <v>0</v>
      </c>
      <c r="AF999">
        <v>0</v>
      </c>
      <c r="AG999">
        <v>0</v>
      </c>
      <c r="AH999">
        <v>0</v>
      </c>
      <c r="AI999">
        <v>0</v>
      </c>
      <c r="AJ999">
        <v>0</v>
      </c>
      <c r="AK999">
        <v>0</v>
      </c>
      <c r="AL999">
        <v>0</v>
      </c>
      <c r="AM999">
        <v>0</v>
      </c>
      <c r="AN999">
        <v>0</v>
      </c>
      <c r="AO999">
        <v>0</v>
      </c>
      <c r="AP999">
        <v>0</v>
      </c>
      <c r="AQ999">
        <v>0</v>
      </c>
      <c r="AR999">
        <v>0</v>
      </c>
      <c r="AS999">
        <v>0</v>
      </c>
      <c r="AT999">
        <v>0</v>
      </c>
      <c r="AU999">
        <v>0</v>
      </c>
      <c r="AV999">
        <v>0</v>
      </c>
      <c r="AW999">
        <v>0</v>
      </c>
      <c r="AX999">
        <v>0</v>
      </c>
      <c r="AY999">
        <v>0</v>
      </c>
      <c r="AZ999">
        <v>0</v>
      </c>
      <c r="BA999">
        <v>0</v>
      </c>
      <c r="BB999">
        <v>0</v>
      </c>
      <c r="BC999">
        <v>0</v>
      </c>
      <c r="BD999">
        <v>0</v>
      </c>
      <c r="BE999">
        <v>0</v>
      </c>
      <c r="BF999">
        <v>0</v>
      </c>
      <c r="BG999">
        <v>0</v>
      </c>
      <c r="BH999">
        <v>0</v>
      </c>
      <c r="BI999">
        <v>0</v>
      </c>
      <c r="BK999" s="151"/>
    </row>
    <row r="1000" spans="1:63" x14ac:dyDescent="0.35">
      <c r="A1000">
        <v>0</v>
      </c>
      <c r="B1000">
        <v>0</v>
      </c>
      <c r="C1000">
        <v>0</v>
      </c>
      <c r="D1000">
        <v>0</v>
      </c>
      <c r="E1000">
        <v>0</v>
      </c>
      <c r="F1000">
        <v>0</v>
      </c>
      <c r="G1000">
        <v>0</v>
      </c>
      <c r="H1000">
        <v>0</v>
      </c>
      <c r="I1000">
        <v>0</v>
      </c>
      <c r="J1000">
        <v>0</v>
      </c>
      <c r="K1000">
        <v>0</v>
      </c>
      <c r="L1000">
        <v>0</v>
      </c>
      <c r="M1000">
        <v>0</v>
      </c>
      <c r="N1000">
        <v>0</v>
      </c>
      <c r="O1000">
        <v>0</v>
      </c>
      <c r="P1000">
        <v>0</v>
      </c>
      <c r="Q1000">
        <v>0</v>
      </c>
      <c r="R1000">
        <v>0</v>
      </c>
      <c r="S1000">
        <v>0</v>
      </c>
      <c r="T1000">
        <v>0</v>
      </c>
      <c r="U1000">
        <v>0</v>
      </c>
      <c r="V1000">
        <v>0</v>
      </c>
      <c r="W1000">
        <v>0</v>
      </c>
      <c r="X1000">
        <v>0</v>
      </c>
      <c r="Y1000">
        <v>0</v>
      </c>
      <c r="Z1000">
        <v>0</v>
      </c>
      <c r="AA1000">
        <v>0</v>
      </c>
      <c r="AB1000">
        <v>0</v>
      </c>
      <c r="AC1000">
        <v>0</v>
      </c>
      <c r="AD1000">
        <v>0</v>
      </c>
      <c r="AF1000">
        <v>0</v>
      </c>
      <c r="AG1000">
        <v>0</v>
      </c>
      <c r="AH1000">
        <v>0</v>
      </c>
      <c r="AI1000">
        <v>0</v>
      </c>
      <c r="AJ1000">
        <v>0</v>
      </c>
      <c r="AK1000">
        <v>0</v>
      </c>
      <c r="AL1000">
        <v>0</v>
      </c>
      <c r="AM1000">
        <v>0</v>
      </c>
      <c r="AN1000">
        <v>0</v>
      </c>
      <c r="AO1000">
        <v>0</v>
      </c>
      <c r="AP1000">
        <v>0</v>
      </c>
      <c r="AQ1000">
        <v>0</v>
      </c>
      <c r="AR1000">
        <v>0</v>
      </c>
      <c r="AS1000">
        <v>0</v>
      </c>
      <c r="AT1000">
        <v>0</v>
      </c>
      <c r="AU1000">
        <v>0</v>
      </c>
      <c r="AV1000">
        <v>0</v>
      </c>
      <c r="AW1000">
        <v>0</v>
      </c>
      <c r="AX1000">
        <v>0</v>
      </c>
      <c r="AY1000">
        <v>0</v>
      </c>
      <c r="AZ1000">
        <v>0</v>
      </c>
      <c r="BA1000">
        <v>0</v>
      </c>
      <c r="BB1000">
        <v>0</v>
      </c>
      <c r="BC1000">
        <v>0</v>
      </c>
      <c r="BD1000">
        <v>0</v>
      </c>
      <c r="BE1000">
        <v>0</v>
      </c>
      <c r="BF1000">
        <v>0</v>
      </c>
      <c r="BG1000">
        <v>0</v>
      </c>
      <c r="BH1000">
        <v>0</v>
      </c>
      <c r="BI1000">
        <v>0</v>
      </c>
      <c r="BK1000" s="151"/>
    </row>
    <row r="1001" spans="1:63" x14ac:dyDescent="0.35">
      <c r="A1001">
        <v>0</v>
      </c>
      <c r="B1001">
        <v>0</v>
      </c>
      <c r="C1001">
        <v>0</v>
      </c>
      <c r="D1001">
        <v>0</v>
      </c>
      <c r="E1001">
        <v>0</v>
      </c>
      <c r="F1001">
        <v>0</v>
      </c>
      <c r="G1001">
        <v>0</v>
      </c>
      <c r="H1001">
        <v>0</v>
      </c>
      <c r="I1001">
        <v>0</v>
      </c>
      <c r="J1001">
        <v>0</v>
      </c>
      <c r="K1001">
        <v>0</v>
      </c>
      <c r="L1001">
        <v>0</v>
      </c>
      <c r="M1001">
        <v>0</v>
      </c>
      <c r="N1001">
        <v>0</v>
      </c>
      <c r="O1001">
        <v>0</v>
      </c>
      <c r="P1001">
        <v>0</v>
      </c>
      <c r="Q1001">
        <v>0</v>
      </c>
      <c r="R1001">
        <v>0</v>
      </c>
      <c r="S1001">
        <v>0</v>
      </c>
      <c r="T1001">
        <v>0</v>
      </c>
      <c r="U1001">
        <v>0</v>
      </c>
      <c r="V1001">
        <v>0</v>
      </c>
      <c r="W1001">
        <v>0</v>
      </c>
      <c r="X1001">
        <v>0</v>
      </c>
      <c r="Y1001">
        <v>0</v>
      </c>
      <c r="Z1001">
        <v>0</v>
      </c>
      <c r="AA1001">
        <v>0</v>
      </c>
      <c r="AB1001">
        <v>0</v>
      </c>
      <c r="AC1001">
        <v>0</v>
      </c>
      <c r="AD1001">
        <v>0</v>
      </c>
      <c r="AF1001">
        <v>0</v>
      </c>
      <c r="AG1001">
        <v>0</v>
      </c>
      <c r="AH1001">
        <v>0</v>
      </c>
      <c r="AI1001">
        <v>0</v>
      </c>
      <c r="AJ1001">
        <v>0</v>
      </c>
      <c r="AK1001">
        <v>0</v>
      </c>
      <c r="AL1001">
        <v>0</v>
      </c>
      <c r="AM1001">
        <v>0</v>
      </c>
      <c r="AN1001">
        <v>0</v>
      </c>
      <c r="AO1001">
        <v>0</v>
      </c>
      <c r="AP1001">
        <v>0</v>
      </c>
      <c r="AQ1001">
        <v>0</v>
      </c>
      <c r="AR1001">
        <v>0</v>
      </c>
      <c r="AS1001">
        <v>0</v>
      </c>
      <c r="AT1001">
        <v>0</v>
      </c>
      <c r="AU1001">
        <v>0</v>
      </c>
      <c r="AV1001">
        <v>0</v>
      </c>
      <c r="AW1001">
        <v>0</v>
      </c>
      <c r="AX1001">
        <v>0</v>
      </c>
      <c r="AY1001">
        <v>0</v>
      </c>
      <c r="AZ1001">
        <v>0</v>
      </c>
      <c r="BA1001">
        <v>0</v>
      </c>
      <c r="BB1001">
        <v>0</v>
      </c>
      <c r="BC1001">
        <v>0</v>
      </c>
      <c r="BD1001">
        <v>0</v>
      </c>
      <c r="BE1001">
        <v>0</v>
      </c>
      <c r="BF1001">
        <v>0</v>
      </c>
      <c r="BG1001">
        <v>0</v>
      </c>
      <c r="BH1001">
        <v>0</v>
      </c>
      <c r="BI1001">
        <v>0</v>
      </c>
      <c r="BK1001" s="151"/>
    </row>
  </sheetData>
  <mergeCells count="1">
    <mergeCell ref="BL1:BM1"/>
  </mergeCells>
  <pageMargins left="0.7" right="0.7" top="0.75" bottom="0.75" header="0.3" footer="0.3"/>
  <pageSetup orientation="portrait" r:id="rId1"/>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7E2104-77E8-47FA-A5AE-22718F2EF3F7}">
  <sheetPr codeName="Ark1311">
    <tabColor theme="4" tint="-0.249977111117893"/>
  </sheetPr>
  <dimension ref="B1:BH106"/>
  <sheetViews>
    <sheetView zoomScale="40" zoomScaleNormal="40" workbookViewId="0"/>
  </sheetViews>
  <sheetFormatPr baseColWidth="10" defaultColWidth="11.453125" defaultRowHeight="14.5" x14ac:dyDescent="0.35"/>
  <sheetData>
    <row r="1" spans="22:60" ht="15" thickBot="1" x14ac:dyDescent="0.4"/>
    <row r="2" spans="22:60" x14ac:dyDescent="0.35">
      <c r="V2" s="674"/>
      <c r="W2" s="675"/>
      <c r="X2" s="675"/>
      <c r="Y2" s="675"/>
      <c r="Z2" s="675"/>
      <c r="AA2" s="675"/>
      <c r="AB2" s="675"/>
      <c r="AC2" s="675"/>
      <c r="AD2" s="675"/>
      <c r="AE2" s="675"/>
      <c r="AF2" s="675"/>
      <c r="AG2" s="675"/>
      <c r="AH2" s="675"/>
      <c r="AI2" s="675"/>
      <c r="AJ2" s="675"/>
      <c r="AK2" s="675"/>
      <c r="AL2" s="675"/>
      <c r="AM2" s="675"/>
      <c r="AN2" s="676"/>
      <c r="AP2" s="674"/>
      <c r="AQ2" s="675"/>
      <c r="AR2" s="675"/>
      <c r="AS2" s="675"/>
      <c r="AT2" s="675"/>
      <c r="AU2" s="675"/>
      <c r="AV2" s="675"/>
      <c r="AW2" s="675"/>
      <c r="AX2" s="675"/>
      <c r="AY2" s="675"/>
      <c r="AZ2" s="675"/>
      <c r="BA2" s="675"/>
      <c r="BB2" s="675"/>
      <c r="BC2" s="675"/>
      <c r="BD2" s="675"/>
      <c r="BE2" s="675"/>
      <c r="BF2" s="675"/>
      <c r="BG2" s="675"/>
      <c r="BH2" s="676"/>
    </row>
    <row r="3" spans="22:60" x14ac:dyDescent="0.35">
      <c r="V3" s="677"/>
      <c r="W3" s="446"/>
      <c r="X3" s="446"/>
      <c r="Y3" s="446"/>
      <c r="Z3" s="446"/>
      <c r="AA3" s="446"/>
      <c r="AB3" s="446"/>
      <c r="AC3" s="446"/>
      <c r="AD3" s="446"/>
      <c r="AE3" s="446"/>
      <c r="AF3" s="446"/>
      <c r="AG3" s="446"/>
      <c r="AH3" s="446"/>
      <c r="AI3" s="446"/>
      <c r="AJ3" s="446"/>
      <c r="AK3" s="446"/>
      <c r="AL3" s="446"/>
      <c r="AM3" s="446"/>
      <c r="AN3" s="678"/>
      <c r="AP3" s="677"/>
      <c r="AQ3" s="446"/>
      <c r="AR3" s="446"/>
      <c r="AS3" s="446"/>
      <c r="AT3" s="446"/>
      <c r="AU3" s="446"/>
      <c r="AV3" s="446"/>
      <c r="AW3" s="446"/>
      <c r="AX3" s="446"/>
      <c r="AY3" s="446"/>
      <c r="AZ3" s="446"/>
      <c r="BA3" s="446"/>
      <c r="BB3" s="446"/>
      <c r="BC3" s="446"/>
      <c r="BD3" s="446"/>
      <c r="BE3" s="446"/>
      <c r="BF3" s="446"/>
      <c r="BG3" s="446"/>
      <c r="BH3" s="678"/>
    </row>
    <row r="4" spans="22:60" x14ac:dyDescent="0.35">
      <c r="V4" s="677"/>
      <c r="W4" s="446"/>
      <c r="X4" s="446"/>
      <c r="Y4" s="446"/>
      <c r="Z4" s="446"/>
      <c r="AA4" s="446"/>
      <c r="AB4" s="446"/>
      <c r="AC4" s="446"/>
      <c r="AD4" s="446"/>
      <c r="AE4" s="446"/>
      <c r="AF4" s="446"/>
      <c r="AG4" s="446"/>
      <c r="AH4" s="446"/>
      <c r="AI4" s="446"/>
      <c r="AJ4" s="446"/>
      <c r="AK4" s="446"/>
      <c r="AL4" s="446"/>
      <c r="AM4" s="446"/>
      <c r="AN4" s="678"/>
      <c r="AP4" s="677"/>
      <c r="AQ4" s="446"/>
      <c r="AR4" s="446"/>
      <c r="AS4" s="446"/>
      <c r="AT4" s="446"/>
      <c r="AU4" s="446"/>
      <c r="AV4" s="446"/>
      <c r="AW4" s="446"/>
      <c r="AX4" s="446"/>
      <c r="AY4" s="446"/>
      <c r="AZ4" s="446"/>
      <c r="BA4" s="446"/>
      <c r="BB4" s="446"/>
      <c r="BC4" s="446"/>
      <c r="BD4" s="446"/>
      <c r="BE4" s="446"/>
      <c r="BF4" s="446"/>
      <c r="BG4" s="446"/>
      <c r="BH4" s="678"/>
    </row>
    <row r="5" spans="22:60" x14ac:dyDescent="0.35">
      <c r="V5" s="677"/>
      <c r="W5" s="446"/>
      <c r="X5" s="446"/>
      <c r="Y5" s="446"/>
      <c r="Z5" s="446"/>
      <c r="AA5" s="446"/>
      <c r="AB5" s="446"/>
      <c r="AC5" s="446"/>
      <c r="AD5" s="446"/>
      <c r="AE5" s="446"/>
      <c r="AF5" s="446"/>
      <c r="AG5" s="446"/>
      <c r="AH5" s="446"/>
      <c r="AI5" s="446"/>
      <c r="AJ5" s="446"/>
      <c r="AK5" s="446"/>
      <c r="AL5" s="446"/>
      <c r="AM5" s="446"/>
      <c r="AN5" s="678"/>
      <c r="AP5" s="677"/>
      <c r="AQ5" s="446"/>
      <c r="AR5" s="446"/>
      <c r="AS5" s="446"/>
      <c r="AT5" s="446"/>
      <c r="AU5" s="446"/>
      <c r="AV5" s="446"/>
      <c r="AW5" s="446"/>
      <c r="AX5" s="446"/>
      <c r="AY5" s="446"/>
      <c r="AZ5" s="446"/>
      <c r="BA5" s="446"/>
      <c r="BB5" s="446"/>
      <c r="BC5" s="446"/>
      <c r="BD5" s="446"/>
      <c r="BE5" s="446"/>
      <c r="BF5" s="446"/>
      <c r="BG5" s="446"/>
      <c r="BH5" s="678"/>
    </row>
    <row r="6" spans="22:60" x14ac:dyDescent="0.35">
      <c r="V6" s="677"/>
      <c r="W6" s="446"/>
      <c r="X6" s="446"/>
      <c r="Y6" s="446"/>
      <c r="Z6" s="446"/>
      <c r="AA6" s="446"/>
      <c r="AB6" s="446"/>
      <c r="AC6" s="446"/>
      <c r="AD6" s="446"/>
      <c r="AE6" s="446"/>
      <c r="AF6" s="446"/>
      <c r="AG6" s="446"/>
      <c r="AH6" s="446"/>
      <c r="AI6" s="446"/>
      <c r="AJ6" s="446"/>
      <c r="AK6" s="446"/>
      <c r="AL6" s="446"/>
      <c r="AM6" s="446"/>
      <c r="AN6" s="678"/>
      <c r="AP6" s="677"/>
      <c r="AQ6" s="446"/>
      <c r="AR6" s="446"/>
      <c r="AS6" s="446"/>
      <c r="AT6" s="446"/>
      <c r="AU6" s="446"/>
      <c r="AV6" s="446"/>
      <c r="AW6" s="446"/>
      <c r="AX6" s="446"/>
      <c r="AY6" s="446"/>
      <c r="AZ6" s="446"/>
      <c r="BA6" s="446"/>
      <c r="BB6" s="446"/>
      <c r="BC6" s="446"/>
      <c r="BD6" s="446"/>
      <c r="BE6" s="446"/>
      <c r="BF6" s="446"/>
      <c r="BG6" s="446"/>
      <c r="BH6" s="678"/>
    </row>
    <row r="7" spans="22:60" x14ac:dyDescent="0.35">
      <c r="V7" s="677"/>
      <c r="W7" s="446"/>
      <c r="X7" s="446"/>
      <c r="Y7" s="446"/>
      <c r="Z7" s="446"/>
      <c r="AA7" s="446"/>
      <c r="AB7" s="446"/>
      <c r="AC7" s="446"/>
      <c r="AD7" s="446"/>
      <c r="AE7" s="446"/>
      <c r="AF7" s="446"/>
      <c r="AG7" s="446"/>
      <c r="AH7" s="446"/>
      <c r="AI7" s="446"/>
      <c r="AJ7" s="446"/>
      <c r="AK7" s="446"/>
      <c r="AL7" s="446"/>
      <c r="AM7" s="446"/>
      <c r="AN7" s="678"/>
      <c r="AP7" s="677"/>
      <c r="AQ7" s="446"/>
      <c r="AR7" s="446"/>
      <c r="AS7" s="446"/>
      <c r="AT7" s="446"/>
      <c r="AU7" s="446"/>
      <c r="AV7" s="446"/>
      <c r="AW7" s="446"/>
      <c r="AX7" s="446"/>
      <c r="AY7" s="446"/>
      <c r="AZ7" s="446"/>
      <c r="BA7" s="446"/>
      <c r="BB7" s="446"/>
      <c r="BC7" s="446"/>
      <c r="BD7" s="446"/>
      <c r="BE7" s="446"/>
      <c r="BF7" s="446"/>
      <c r="BG7" s="446"/>
      <c r="BH7" s="678"/>
    </row>
    <row r="8" spans="22:60" x14ac:dyDescent="0.35">
      <c r="V8" s="677"/>
      <c r="W8" s="446"/>
      <c r="X8" s="446"/>
      <c r="Y8" s="446"/>
      <c r="Z8" s="446"/>
      <c r="AA8" s="446"/>
      <c r="AB8" s="446"/>
      <c r="AC8" s="446"/>
      <c r="AD8" s="446"/>
      <c r="AE8" s="446"/>
      <c r="AF8" s="446"/>
      <c r="AG8" s="446"/>
      <c r="AH8" s="446"/>
      <c r="AI8" s="446"/>
      <c r="AJ8" s="446"/>
      <c r="AK8" s="446"/>
      <c r="AL8" s="446"/>
      <c r="AM8" s="446"/>
      <c r="AN8" s="678"/>
      <c r="AP8" s="677"/>
      <c r="AQ8" s="446"/>
      <c r="AR8" s="446"/>
      <c r="AS8" s="446"/>
      <c r="AT8" s="446"/>
      <c r="AU8" s="446"/>
      <c r="AV8" s="446"/>
      <c r="AW8" s="446"/>
      <c r="AX8" s="446"/>
      <c r="AY8" s="446"/>
      <c r="AZ8" s="446"/>
      <c r="BA8" s="446"/>
      <c r="BB8" s="446"/>
      <c r="BC8" s="446"/>
      <c r="BD8" s="446"/>
      <c r="BE8" s="446"/>
      <c r="BF8" s="446"/>
      <c r="BG8" s="446"/>
      <c r="BH8" s="678"/>
    </row>
    <row r="9" spans="22:60" x14ac:dyDescent="0.35">
      <c r="V9" s="677"/>
      <c r="W9" s="446"/>
      <c r="X9" s="446"/>
      <c r="Y9" s="446"/>
      <c r="Z9" s="446"/>
      <c r="AA9" s="446"/>
      <c r="AB9" s="446"/>
      <c r="AC9" s="446"/>
      <c r="AD9" s="446"/>
      <c r="AE9" s="446"/>
      <c r="AF9" s="446"/>
      <c r="AG9" s="446"/>
      <c r="AH9" s="446"/>
      <c r="AI9" s="446"/>
      <c r="AJ9" s="446"/>
      <c r="AK9" s="446"/>
      <c r="AL9" s="446"/>
      <c r="AM9" s="446"/>
      <c r="AN9" s="678"/>
      <c r="AP9" s="677"/>
      <c r="AQ9" s="446"/>
      <c r="AR9" s="446"/>
      <c r="AS9" s="446"/>
      <c r="AT9" s="446"/>
      <c r="AU9" s="446"/>
      <c r="AV9" s="446"/>
      <c r="AW9" s="446"/>
      <c r="AX9" s="446"/>
      <c r="AY9" s="446"/>
      <c r="AZ9" s="446"/>
      <c r="BA9" s="446"/>
      <c r="BB9" s="446"/>
      <c r="BC9" s="446"/>
      <c r="BD9" s="446"/>
      <c r="BE9" s="446"/>
      <c r="BF9" s="446"/>
      <c r="BG9" s="446"/>
      <c r="BH9" s="678"/>
    </row>
    <row r="10" spans="22:60" x14ac:dyDescent="0.35">
      <c r="V10" s="677"/>
      <c r="W10" s="446"/>
      <c r="X10" s="446"/>
      <c r="Y10" s="446"/>
      <c r="Z10" s="446"/>
      <c r="AA10" s="446"/>
      <c r="AB10" s="446"/>
      <c r="AC10" s="446"/>
      <c r="AD10" s="446"/>
      <c r="AE10" s="446"/>
      <c r="AF10" s="446"/>
      <c r="AG10" s="446"/>
      <c r="AH10" s="446"/>
      <c r="AI10" s="446"/>
      <c r="AJ10" s="446"/>
      <c r="AK10" s="446"/>
      <c r="AL10" s="446"/>
      <c r="AM10" s="446"/>
      <c r="AN10" s="678"/>
      <c r="AP10" s="677"/>
      <c r="AQ10" s="446"/>
      <c r="AR10" s="446"/>
      <c r="AS10" s="446"/>
      <c r="AT10" s="446"/>
      <c r="AU10" s="446"/>
      <c r="AV10" s="446"/>
      <c r="AW10" s="446"/>
      <c r="AX10" s="446"/>
      <c r="AY10" s="446"/>
      <c r="AZ10" s="446"/>
      <c r="BA10" s="446"/>
      <c r="BB10" s="446"/>
      <c r="BC10" s="446"/>
      <c r="BD10" s="446"/>
      <c r="BE10" s="446"/>
      <c r="BF10" s="446"/>
      <c r="BG10" s="446"/>
      <c r="BH10" s="678"/>
    </row>
    <row r="11" spans="22:60" x14ac:dyDescent="0.35">
      <c r="V11" s="677"/>
      <c r="W11" s="446"/>
      <c r="X11" s="446"/>
      <c r="Y11" s="446"/>
      <c r="Z11" s="446"/>
      <c r="AA11" s="446"/>
      <c r="AB11" s="446"/>
      <c r="AC11" s="446"/>
      <c r="AD11" s="446"/>
      <c r="AE11" s="446"/>
      <c r="AF11" s="446"/>
      <c r="AG11" s="446"/>
      <c r="AH11" s="446"/>
      <c r="AI11" s="446"/>
      <c r="AJ11" s="446"/>
      <c r="AK11" s="446"/>
      <c r="AL11" s="446"/>
      <c r="AM11" s="446"/>
      <c r="AN11" s="678"/>
      <c r="AP11" s="677"/>
      <c r="AQ11" s="446"/>
      <c r="AR11" s="446"/>
      <c r="AS11" s="446"/>
      <c r="AT11" s="446"/>
      <c r="AU11" s="446"/>
      <c r="AV11" s="446"/>
      <c r="AW11" s="446"/>
      <c r="AX11" s="446"/>
      <c r="AY11" s="446"/>
      <c r="AZ11" s="446"/>
      <c r="BA11" s="446"/>
      <c r="BB11" s="446"/>
      <c r="BC11" s="446"/>
      <c r="BD11" s="446"/>
      <c r="BE11" s="446"/>
      <c r="BF11" s="446"/>
      <c r="BG11" s="446"/>
      <c r="BH11" s="678"/>
    </row>
    <row r="12" spans="22:60" x14ac:dyDescent="0.35">
      <c r="V12" s="677"/>
      <c r="W12" s="446"/>
      <c r="X12" s="446"/>
      <c r="Y12" s="446"/>
      <c r="Z12" s="446"/>
      <c r="AA12" s="446"/>
      <c r="AB12" s="446"/>
      <c r="AC12" s="446"/>
      <c r="AD12" s="446"/>
      <c r="AE12" s="446"/>
      <c r="AF12" s="446"/>
      <c r="AG12" s="446"/>
      <c r="AH12" s="446"/>
      <c r="AI12" s="446"/>
      <c r="AJ12" s="446"/>
      <c r="AK12" s="446"/>
      <c r="AL12" s="446"/>
      <c r="AM12" s="446"/>
      <c r="AN12" s="678"/>
      <c r="AP12" s="677"/>
      <c r="AQ12" s="446"/>
      <c r="AR12" s="446"/>
      <c r="AS12" s="446"/>
      <c r="AT12" s="446"/>
      <c r="AU12" s="446"/>
      <c r="AV12" s="446"/>
      <c r="AW12" s="446"/>
      <c r="AX12" s="446"/>
      <c r="AY12" s="446"/>
      <c r="AZ12" s="446"/>
      <c r="BA12" s="446"/>
      <c r="BB12" s="446"/>
      <c r="BC12" s="446"/>
      <c r="BD12" s="446"/>
      <c r="BE12" s="446"/>
      <c r="BF12" s="446"/>
      <c r="BG12" s="446"/>
      <c r="BH12" s="678"/>
    </row>
    <row r="13" spans="22:60" x14ac:dyDescent="0.35">
      <c r="V13" s="677"/>
      <c r="W13" s="446"/>
      <c r="X13" s="446"/>
      <c r="Y13" s="446"/>
      <c r="Z13" s="446"/>
      <c r="AA13" s="446"/>
      <c r="AB13" s="446"/>
      <c r="AC13" s="446"/>
      <c r="AD13" s="446"/>
      <c r="AE13" s="446"/>
      <c r="AF13" s="446"/>
      <c r="AG13" s="446"/>
      <c r="AH13" s="446"/>
      <c r="AI13" s="446"/>
      <c r="AJ13" s="446"/>
      <c r="AK13" s="446"/>
      <c r="AL13" s="446"/>
      <c r="AM13" s="446"/>
      <c r="AN13" s="678"/>
      <c r="AP13" s="677"/>
      <c r="AQ13" s="446"/>
      <c r="AR13" s="446"/>
      <c r="AS13" s="446"/>
      <c r="AT13" s="446"/>
      <c r="AU13" s="446"/>
      <c r="AV13" s="446"/>
      <c r="AW13" s="446"/>
      <c r="AX13" s="446"/>
      <c r="AY13" s="446"/>
      <c r="AZ13" s="446"/>
      <c r="BA13" s="446"/>
      <c r="BB13" s="446"/>
      <c r="BC13" s="446"/>
      <c r="BD13" s="446"/>
      <c r="BE13" s="446"/>
      <c r="BF13" s="446"/>
      <c r="BG13" s="446"/>
      <c r="BH13" s="678"/>
    </row>
    <row r="14" spans="22:60" x14ac:dyDescent="0.35">
      <c r="V14" s="677"/>
      <c r="W14" s="446"/>
      <c r="X14" s="446"/>
      <c r="Y14" s="446"/>
      <c r="Z14" s="446"/>
      <c r="AA14" s="446"/>
      <c r="AB14" s="446"/>
      <c r="AC14" s="446"/>
      <c r="AD14" s="446"/>
      <c r="AE14" s="446"/>
      <c r="AF14" s="446"/>
      <c r="AG14" s="446"/>
      <c r="AH14" s="446"/>
      <c r="AI14" s="446"/>
      <c r="AJ14" s="446"/>
      <c r="AK14" s="446"/>
      <c r="AL14" s="446"/>
      <c r="AM14" s="446"/>
      <c r="AN14" s="678"/>
      <c r="AP14" s="677"/>
      <c r="AQ14" s="446"/>
      <c r="AR14" s="446"/>
      <c r="AS14" s="446"/>
      <c r="AT14" s="446"/>
      <c r="AU14" s="446"/>
      <c r="AV14" s="446"/>
      <c r="AW14" s="446"/>
      <c r="AX14" s="446"/>
      <c r="AY14" s="446"/>
      <c r="AZ14" s="446"/>
      <c r="BA14" s="446"/>
      <c r="BB14" s="446"/>
      <c r="BC14" s="446"/>
      <c r="BD14" s="446"/>
      <c r="BE14" s="446"/>
      <c r="BF14" s="446"/>
      <c r="BG14" s="446"/>
      <c r="BH14" s="678"/>
    </row>
    <row r="15" spans="22:60" x14ac:dyDescent="0.35">
      <c r="V15" s="677"/>
      <c r="W15" s="446"/>
      <c r="X15" s="446"/>
      <c r="Y15" s="446"/>
      <c r="Z15" s="446"/>
      <c r="AA15" s="446"/>
      <c r="AB15" s="446"/>
      <c r="AC15" s="446"/>
      <c r="AD15" s="446"/>
      <c r="AE15" s="446"/>
      <c r="AF15" s="446"/>
      <c r="AG15" s="446"/>
      <c r="AH15" s="446"/>
      <c r="AI15" s="446"/>
      <c r="AJ15" s="446"/>
      <c r="AK15" s="446"/>
      <c r="AL15" s="446"/>
      <c r="AM15" s="446"/>
      <c r="AN15" s="678"/>
      <c r="AP15" s="677"/>
      <c r="AQ15" s="446"/>
      <c r="AR15" s="446"/>
      <c r="AS15" s="446"/>
      <c r="AT15" s="446"/>
      <c r="AU15" s="446"/>
      <c r="AV15" s="446"/>
      <c r="AW15" s="446"/>
      <c r="AX15" s="446"/>
      <c r="AY15" s="446"/>
      <c r="AZ15" s="446"/>
      <c r="BA15" s="446"/>
      <c r="BB15" s="446"/>
      <c r="BC15" s="446"/>
      <c r="BD15" s="446"/>
      <c r="BE15" s="446"/>
      <c r="BF15" s="446"/>
      <c r="BG15" s="446"/>
      <c r="BH15" s="678"/>
    </row>
    <row r="16" spans="22:60" x14ac:dyDescent="0.35">
      <c r="V16" s="677"/>
      <c r="W16" s="446"/>
      <c r="X16" s="446"/>
      <c r="Y16" s="446"/>
      <c r="Z16" s="446"/>
      <c r="AA16" s="446"/>
      <c r="AB16" s="446"/>
      <c r="AC16" s="446"/>
      <c r="AD16" s="446"/>
      <c r="AE16" s="446"/>
      <c r="AF16" s="446"/>
      <c r="AG16" s="446"/>
      <c r="AH16" s="446"/>
      <c r="AI16" s="446"/>
      <c r="AJ16" s="446"/>
      <c r="AK16" s="446"/>
      <c r="AL16" s="446"/>
      <c r="AM16" s="446"/>
      <c r="AN16" s="678"/>
      <c r="AP16" s="677"/>
      <c r="AQ16" s="446"/>
      <c r="AR16" s="446"/>
      <c r="AS16" s="446"/>
      <c r="AT16" s="446"/>
      <c r="AU16" s="446"/>
      <c r="AV16" s="446"/>
      <c r="AW16" s="446"/>
      <c r="AX16" s="446"/>
      <c r="AY16" s="446"/>
      <c r="AZ16" s="446"/>
      <c r="BA16" s="446"/>
      <c r="BB16" s="446"/>
      <c r="BC16" s="446"/>
      <c r="BD16" s="446"/>
      <c r="BE16" s="446"/>
      <c r="BF16" s="446"/>
      <c r="BG16" s="446"/>
      <c r="BH16" s="678"/>
    </row>
    <row r="17" spans="22:60" x14ac:dyDescent="0.35">
      <c r="V17" s="677"/>
      <c r="W17" s="446"/>
      <c r="X17" s="446"/>
      <c r="Y17" s="446"/>
      <c r="Z17" s="446"/>
      <c r="AA17" s="446"/>
      <c r="AB17" s="446"/>
      <c r="AC17" s="446"/>
      <c r="AD17" s="446"/>
      <c r="AE17" s="446"/>
      <c r="AF17" s="446"/>
      <c r="AG17" s="446"/>
      <c r="AH17" s="446"/>
      <c r="AI17" s="446"/>
      <c r="AJ17" s="446"/>
      <c r="AK17" s="446"/>
      <c r="AL17" s="446"/>
      <c r="AM17" s="446"/>
      <c r="AN17" s="678"/>
      <c r="AP17" s="677"/>
      <c r="AQ17" s="446"/>
      <c r="AR17" s="446"/>
      <c r="AS17" s="446"/>
      <c r="AT17" s="446"/>
      <c r="AU17" s="446"/>
      <c r="AV17" s="446"/>
      <c r="AW17" s="446"/>
      <c r="AX17" s="446"/>
      <c r="AY17" s="446"/>
      <c r="AZ17" s="446"/>
      <c r="BA17" s="446"/>
      <c r="BB17" s="446"/>
      <c r="BC17" s="446"/>
      <c r="BD17" s="446"/>
      <c r="BE17" s="446"/>
      <c r="BF17" s="446"/>
      <c r="BG17" s="446"/>
      <c r="BH17" s="678"/>
    </row>
    <row r="18" spans="22:60" x14ac:dyDescent="0.35">
      <c r="V18" s="677"/>
      <c r="W18" s="446"/>
      <c r="X18" s="446"/>
      <c r="Y18" s="446"/>
      <c r="Z18" s="446"/>
      <c r="AA18" s="446"/>
      <c r="AB18" s="446"/>
      <c r="AC18" s="446"/>
      <c r="AD18" s="446"/>
      <c r="AE18" s="446"/>
      <c r="AF18" s="446"/>
      <c r="AG18" s="446"/>
      <c r="AH18" s="446"/>
      <c r="AI18" s="446"/>
      <c r="AJ18" s="446"/>
      <c r="AK18" s="446"/>
      <c r="AL18" s="446"/>
      <c r="AM18" s="446"/>
      <c r="AN18" s="678"/>
      <c r="AP18" s="677"/>
      <c r="AQ18" s="446"/>
      <c r="AR18" s="446"/>
      <c r="AS18" s="446"/>
      <c r="AT18" s="446"/>
      <c r="AU18" s="446"/>
      <c r="AV18" s="446"/>
      <c r="AW18" s="446"/>
      <c r="AX18" s="446"/>
      <c r="AY18" s="446"/>
      <c r="AZ18" s="446"/>
      <c r="BA18" s="446"/>
      <c r="BB18" s="446"/>
      <c r="BC18" s="446"/>
      <c r="BD18" s="446"/>
      <c r="BE18" s="446"/>
      <c r="BF18" s="446"/>
      <c r="BG18" s="446"/>
      <c r="BH18" s="678"/>
    </row>
    <row r="19" spans="22:60" x14ac:dyDescent="0.35">
      <c r="V19" s="677"/>
      <c r="W19" s="446"/>
      <c r="X19" s="446"/>
      <c r="Y19" s="446"/>
      <c r="Z19" s="446"/>
      <c r="AA19" s="446"/>
      <c r="AB19" s="446"/>
      <c r="AC19" s="446"/>
      <c r="AD19" s="446"/>
      <c r="AE19" s="446"/>
      <c r="AF19" s="446"/>
      <c r="AG19" s="446"/>
      <c r="AH19" s="446"/>
      <c r="AI19" s="446"/>
      <c r="AJ19" s="446"/>
      <c r="AK19" s="446"/>
      <c r="AL19" s="446"/>
      <c r="AM19" s="446"/>
      <c r="AN19" s="678"/>
      <c r="AP19" s="677"/>
      <c r="AQ19" s="446"/>
      <c r="AR19" s="446"/>
      <c r="AS19" s="446"/>
      <c r="AT19" s="446"/>
      <c r="AU19" s="446"/>
      <c r="AV19" s="446"/>
      <c r="AW19" s="446"/>
      <c r="AX19" s="446"/>
      <c r="AY19" s="446"/>
      <c r="AZ19" s="446"/>
      <c r="BA19" s="446"/>
      <c r="BB19" s="446"/>
      <c r="BC19" s="446"/>
      <c r="BD19" s="446"/>
      <c r="BE19" s="446"/>
      <c r="BF19" s="446"/>
      <c r="BG19" s="446"/>
      <c r="BH19" s="678"/>
    </row>
    <row r="20" spans="22:60" x14ac:dyDescent="0.35">
      <c r="V20" s="677"/>
      <c r="W20" s="446"/>
      <c r="X20" s="446"/>
      <c r="Y20" s="446"/>
      <c r="Z20" s="446"/>
      <c r="AA20" s="446"/>
      <c r="AB20" s="446"/>
      <c r="AC20" s="446"/>
      <c r="AD20" s="446"/>
      <c r="AE20" s="446"/>
      <c r="AF20" s="446"/>
      <c r="AG20" s="446"/>
      <c r="AH20" s="446"/>
      <c r="AI20" s="446"/>
      <c r="AJ20" s="446"/>
      <c r="AK20" s="446"/>
      <c r="AL20" s="446"/>
      <c r="AM20" s="446"/>
      <c r="AN20" s="678"/>
      <c r="AP20" s="677"/>
      <c r="AQ20" s="446"/>
      <c r="AR20" s="446"/>
      <c r="AS20" s="446"/>
      <c r="AT20" s="446"/>
      <c r="AU20" s="446"/>
      <c r="AV20" s="446"/>
      <c r="AW20" s="446"/>
      <c r="AX20" s="446"/>
      <c r="AY20" s="446"/>
      <c r="AZ20" s="446"/>
      <c r="BA20" s="446"/>
      <c r="BB20" s="446"/>
      <c r="BC20" s="446"/>
      <c r="BD20" s="446"/>
      <c r="BE20" s="446"/>
      <c r="BF20" s="446"/>
      <c r="BG20" s="446"/>
      <c r="BH20" s="678"/>
    </row>
    <row r="21" spans="22:60" x14ac:dyDescent="0.35">
      <c r="V21" s="677"/>
      <c r="W21" s="446"/>
      <c r="X21" s="446"/>
      <c r="Y21" s="446"/>
      <c r="Z21" s="446"/>
      <c r="AA21" s="446"/>
      <c r="AB21" s="446"/>
      <c r="AC21" s="446"/>
      <c r="AD21" s="446"/>
      <c r="AE21" s="446"/>
      <c r="AF21" s="446"/>
      <c r="AG21" s="446"/>
      <c r="AH21" s="446"/>
      <c r="AI21" s="446"/>
      <c r="AJ21" s="446"/>
      <c r="AK21" s="446"/>
      <c r="AL21" s="446"/>
      <c r="AM21" s="446"/>
      <c r="AN21" s="678"/>
      <c r="AP21" s="677"/>
      <c r="AQ21" s="446"/>
      <c r="AR21" s="446"/>
      <c r="AS21" s="446"/>
      <c r="AT21" s="446"/>
      <c r="AU21" s="446"/>
      <c r="AV21" s="446"/>
      <c r="AW21" s="446"/>
      <c r="AX21" s="446"/>
      <c r="AY21" s="446"/>
      <c r="AZ21" s="446"/>
      <c r="BA21" s="446"/>
      <c r="BB21" s="446"/>
      <c r="BC21" s="446"/>
      <c r="BD21" s="446"/>
      <c r="BE21" s="446"/>
      <c r="BF21" s="446"/>
      <c r="BG21" s="446"/>
      <c r="BH21" s="678"/>
    </row>
    <row r="22" spans="22:60" x14ac:dyDescent="0.35">
      <c r="V22" s="677"/>
      <c r="W22" s="446"/>
      <c r="X22" s="446"/>
      <c r="Y22" s="446"/>
      <c r="Z22" s="446"/>
      <c r="AA22" s="446"/>
      <c r="AB22" s="446"/>
      <c r="AC22" s="446"/>
      <c r="AD22" s="446"/>
      <c r="AE22" s="446"/>
      <c r="AF22" s="446"/>
      <c r="AG22" s="446"/>
      <c r="AH22" s="446"/>
      <c r="AI22" s="446"/>
      <c r="AJ22" s="446"/>
      <c r="AK22" s="446"/>
      <c r="AL22" s="446"/>
      <c r="AM22" s="446"/>
      <c r="AN22" s="678"/>
      <c r="AP22" s="677"/>
      <c r="AQ22" s="446"/>
      <c r="AR22" s="446"/>
      <c r="AS22" s="446"/>
      <c r="AT22" s="446"/>
      <c r="AU22" s="446"/>
      <c r="AV22" s="446"/>
      <c r="AW22" s="446"/>
      <c r="AX22" s="446"/>
      <c r="AY22" s="446"/>
      <c r="AZ22" s="446"/>
      <c r="BA22" s="446"/>
      <c r="BB22" s="446"/>
      <c r="BC22" s="446"/>
      <c r="BD22" s="446"/>
      <c r="BE22" s="446"/>
      <c r="BF22" s="446"/>
      <c r="BG22" s="446"/>
      <c r="BH22" s="678"/>
    </row>
    <row r="23" spans="22:60" x14ac:dyDescent="0.35">
      <c r="V23" s="677"/>
      <c r="W23" s="446"/>
      <c r="X23" s="446"/>
      <c r="Y23" s="446"/>
      <c r="Z23" s="446"/>
      <c r="AA23" s="446"/>
      <c r="AB23" s="446"/>
      <c r="AC23" s="446"/>
      <c r="AD23" s="446"/>
      <c r="AE23" s="446"/>
      <c r="AF23" s="446"/>
      <c r="AG23" s="446"/>
      <c r="AH23" s="446"/>
      <c r="AI23" s="446"/>
      <c r="AJ23" s="446"/>
      <c r="AK23" s="446"/>
      <c r="AL23" s="446"/>
      <c r="AM23" s="446"/>
      <c r="AN23" s="678"/>
      <c r="AP23" s="677"/>
      <c r="AQ23" s="446"/>
      <c r="AR23" s="446"/>
      <c r="AS23" s="446"/>
      <c r="AT23" s="446"/>
      <c r="AU23" s="446"/>
      <c r="AV23" s="446"/>
      <c r="AW23" s="446"/>
      <c r="AX23" s="446"/>
      <c r="AY23" s="446"/>
      <c r="AZ23" s="446"/>
      <c r="BA23" s="446"/>
      <c r="BB23" s="446"/>
      <c r="BC23" s="446"/>
      <c r="BD23" s="446"/>
      <c r="BE23" s="446"/>
      <c r="BF23" s="446"/>
      <c r="BG23" s="446"/>
      <c r="BH23" s="678"/>
    </row>
    <row r="24" spans="22:60" x14ac:dyDescent="0.35">
      <c r="V24" s="677"/>
      <c r="W24" s="446"/>
      <c r="X24" s="446"/>
      <c r="Y24" s="446"/>
      <c r="Z24" s="446"/>
      <c r="AA24" s="446"/>
      <c r="AB24" s="446"/>
      <c r="AC24" s="446"/>
      <c r="AD24" s="446"/>
      <c r="AE24" s="446"/>
      <c r="AF24" s="446"/>
      <c r="AG24" s="446"/>
      <c r="AH24" s="446"/>
      <c r="AI24" s="446"/>
      <c r="AJ24" s="446"/>
      <c r="AK24" s="446"/>
      <c r="AL24" s="446"/>
      <c r="AM24" s="446"/>
      <c r="AN24" s="678"/>
      <c r="AP24" s="677"/>
      <c r="AQ24" s="446"/>
      <c r="AR24" s="446"/>
      <c r="AS24" s="446"/>
      <c r="AT24" s="446"/>
      <c r="AU24" s="446"/>
      <c r="AV24" s="446"/>
      <c r="AW24" s="446"/>
      <c r="AX24" s="446"/>
      <c r="AY24" s="446"/>
      <c r="AZ24" s="446"/>
      <c r="BA24" s="446"/>
      <c r="BB24" s="446"/>
      <c r="BC24" s="446"/>
      <c r="BD24" s="446"/>
      <c r="BE24" s="446"/>
      <c r="BF24" s="446"/>
      <c r="BG24" s="446"/>
      <c r="BH24" s="678"/>
    </row>
    <row r="25" spans="22:60" x14ac:dyDescent="0.35">
      <c r="V25" s="677"/>
      <c r="W25" s="446"/>
      <c r="X25" s="446"/>
      <c r="Y25" s="446"/>
      <c r="Z25" s="446"/>
      <c r="AA25" s="446"/>
      <c r="AB25" s="446"/>
      <c r="AC25" s="446"/>
      <c r="AD25" s="446"/>
      <c r="AE25" s="446"/>
      <c r="AF25" s="446"/>
      <c r="AG25" s="446"/>
      <c r="AH25" s="446"/>
      <c r="AI25" s="446"/>
      <c r="AJ25" s="446"/>
      <c r="AK25" s="446"/>
      <c r="AL25" s="446"/>
      <c r="AM25" s="446"/>
      <c r="AN25" s="678"/>
      <c r="AP25" s="677"/>
      <c r="AQ25" s="446"/>
      <c r="AR25" s="446"/>
      <c r="AS25" s="446"/>
      <c r="AT25" s="446"/>
      <c r="AU25" s="446"/>
      <c r="AV25" s="446"/>
      <c r="AW25" s="446"/>
      <c r="AX25" s="446"/>
      <c r="AY25" s="446"/>
      <c r="AZ25" s="446"/>
      <c r="BA25" s="446"/>
      <c r="BB25" s="446"/>
      <c r="BC25" s="446"/>
      <c r="BD25" s="446"/>
      <c r="BE25" s="446"/>
      <c r="BF25" s="446"/>
      <c r="BG25" s="446"/>
      <c r="BH25" s="678"/>
    </row>
    <row r="26" spans="22:60" x14ac:dyDescent="0.35">
      <c r="V26" s="677"/>
      <c r="W26" s="446"/>
      <c r="X26" s="446"/>
      <c r="Y26" s="446"/>
      <c r="Z26" s="446"/>
      <c r="AA26" s="446"/>
      <c r="AB26" s="446"/>
      <c r="AC26" s="446"/>
      <c r="AD26" s="446"/>
      <c r="AE26" s="446"/>
      <c r="AF26" s="446"/>
      <c r="AG26" s="446"/>
      <c r="AH26" s="446"/>
      <c r="AI26" s="446"/>
      <c r="AJ26" s="446"/>
      <c r="AK26" s="446"/>
      <c r="AL26" s="446"/>
      <c r="AM26" s="446"/>
      <c r="AN26" s="678"/>
      <c r="AP26" s="677"/>
      <c r="AQ26" s="446"/>
      <c r="AR26" s="446"/>
      <c r="AS26" s="446"/>
      <c r="AT26" s="446"/>
      <c r="AU26" s="446"/>
      <c r="AV26" s="446"/>
      <c r="AW26" s="446"/>
      <c r="AX26" s="446"/>
      <c r="AY26" s="446"/>
      <c r="AZ26" s="446"/>
      <c r="BA26" s="446"/>
      <c r="BB26" s="446"/>
      <c r="BC26" s="446"/>
      <c r="BD26" s="446"/>
      <c r="BE26" s="446"/>
      <c r="BF26" s="446"/>
      <c r="BG26" s="446"/>
      <c r="BH26" s="678"/>
    </row>
    <row r="27" spans="22:60" x14ac:dyDescent="0.35">
      <c r="V27" s="677"/>
      <c r="W27" s="446"/>
      <c r="X27" s="446"/>
      <c r="Y27" s="446"/>
      <c r="Z27" s="446"/>
      <c r="AA27" s="446"/>
      <c r="AB27" s="446"/>
      <c r="AC27" s="446"/>
      <c r="AD27" s="446"/>
      <c r="AE27" s="446"/>
      <c r="AF27" s="446"/>
      <c r="AG27" s="446"/>
      <c r="AH27" s="446"/>
      <c r="AI27" s="446"/>
      <c r="AJ27" s="446"/>
      <c r="AK27" s="446"/>
      <c r="AL27" s="446"/>
      <c r="AM27" s="446"/>
      <c r="AN27" s="678"/>
      <c r="AP27" s="677"/>
      <c r="AQ27" s="446"/>
      <c r="AR27" s="446"/>
      <c r="AS27" s="446"/>
      <c r="AT27" s="446"/>
      <c r="AU27" s="446"/>
      <c r="AV27" s="446"/>
      <c r="AW27" s="446"/>
      <c r="AX27" s="446"/>
      <c r="AY27" s="446"/>
      <c r="AZ27" s="446"/>
      <c r="BA27" s="446"/>
      <c r="BB27" s="446"/>
      <c r="BC27" s="446"/>
      <c r="BD27" s="446"/>
      <c r="BE27" s="446"/>
      <c r="BF27" s="446"/>
      <c r="BG27" s="446"/>
      <c r="BH27" s="678"/>
    </row>
    <row r="28" spans="22:60" x14ac:dyDescent="0.35">
      <c r="V28" s="677"/>
      <c r="W28" s="446"/>
      <c r="X28" s="446"/>
      <c r="Y28" s="446"/>
      <c r="Z28" s="446"/>
      <c r="AA28" s="446"/>
      <c r="AB28" s="446"/>
      <c r="AC28" s="446"/>
      <c r="AD28" s="446"/>
      <c r="AE28" s="446"/>
      <c r="AF28" s="446"/>
      <c r="AG28" s="446"/>
      <c r="AH28" s="446"/>
      <c r="AI28" s="446"/>
      <c r="AJ28" s="446"/>
      <c r="AK28" s="446"/>
      <c r="AL28" s="446"/>
      <c r="AM28" s="446"/>
      <c r="AN28" s="678"/>
      <c r="AP28" s="677"/>
      <c r="AQ28" s="446"/>
      <c r="AR28" s="446"/>
      <c r="AS28" s="446"/>
      <c r="AT28" s="446"/>
      <c r="AU28" s="446"/>
      <c r="AV28" s="446"/>
      <c r="AW28" s="446"/>
      <c r="AX28" s="446"/>
      <c r="AY28" s="446"/>
      <c r="AZ28" s="446"/>
      <c r="BA28" s="446"/>
      <c r="BB28" s="446"/>
      <c r="BC28" s="446"/>
      <c r="BD28" s="446"/>
      <c r="BE28" s="446"/>
      <c r="BF28" s="446"/>
      <c r="BG28" s="446"/>
      <c r="BH28" s="678"/>
    </row>
    <row r="29" spans="22:60" x14ac:dyDescent="0.35">
      <c r="V29" s="677"/>
      <c r="W29" s="446"/>
      <c r="X29" s="446"/>
      <c r="Y29" s="446"/>
      <c r="Z29" s="446"/>
      <c r="AA29" s="446"/>
      <c r="AB29" s="446"/>
      <c r="AC29" s="446"/>
      <c r="AD29" s="446"/>
      <c r="AE29" s="446"/>
      <c r="AF29" s="446"/>
      <c r="AG29" s="446"/>
      <c r="AH29" s="446"/>
      <c r="AI29" s="446"/>
      <c r="AJ29" s="446"/>
      <c r="AK29" s="446"/>
      <c r="AL29" s="446"/>
      <c r="AM29" s="446"/>
      <c r="AN29" s="678"/>
      <c r="AP29" s="677"/>
      <c r="AQ29" s="446"/>
      <c r="AR29" s="446"/>
      <c r="AS29" s="446"/>
      <c r="AT29" s="446"/>
      <c r="AU29" s="446"/>
      <c r="AV29" s="446"/>
      <c r="AW29" s="446"/>
      <c r="AX29" s="446"/>
      <c r="AY29" s="446"/>
      <c r="AZ29" s="446"/>
      <c r="BA29" s="446"/>
      <c r="BB29" s="446"/>
      <c r="BC29" s="446"/>
      <c r="BD29" s="446"/>
      <c r="BE29" s="446"/>
      <c r="BF29" s="446"/>
      <c r="BG29" s="446"/>
      <c r="BH29" s="678"/>
    </row>
    <row r="30" spans="22:60" x14ac:dyDescent="0.35">
      <c r="V30" s="677"/>
      <c r="W30" s="446"/>
      <c r="X30" s="446"/>
      <c r="Y30" s="446"/>
      <c r="Z30" s="446"/>
      <c r="AA30" s="446"/>
      <c r="AB30" s="446"/>
      <c r="AC30" s="446"/>
      <c r="AD30" s="446"/>
      <c r="AE30" s="446"/>
      <c r="AF30" s="446"/>
      <c r="AG30" s="446"/>
      <c r="AH30" s="446"/>
      <c r="AI30" s="446"/>
      <c r="AJ30" s="446"/>
      <c r="AK30" s="446"/>
      <c r="AL30" s="446"/>
      <c r="AM30" s="446"/>
      <c r="AN30" s="678"/>
      <c r="AP30" s="677"/>
      <c r="AQ30" s="446"/>
      <c r="AR30" s="446"/>
      <c r="AS30" s="446"/>
      <c r="AT30" s="446"/>
      <c r="AU30" s="446"/>
      <c r="AV30" s="446"/>
      <c r="AW30" s="446"/>
      <c r="AX30" s="446"/>
      <c r="AY30" s="446"/>
      <c r="AZ30" s="446"/>
      <c r="BA30" s="446"/>
      <c r="BB30" s="446"/>
      <c r="BC30" s="446"/>
      <c r="BD30" s="446"/>
      <c r="BE30" s="446"/>
      <c r="BF30" s="446"/>
      <c r="BG30" s="446"/>
      <c r="BH30" s="678"/>
    </row>
    <row r="31" spans="22:60" x14ac:dyDescent="0.35">
      <c r="V31" s="677"/>
      <c r="W31" s="446"/>
      <c r="X31" s="446"/>
      <c r="Y31" s="446"/>
      <c r="Z31" s="446"/>
      <c r="AA31" s="446"/>
      <c r="AB31" s="446"/>
      <c r="AC31" s="446"/>
      <c r="AD31" s="446"/>
      <c r="AE31" s="446"/>
      <c r="AF31" s="446"/>
      <c r="AG31" s="446"/>
      <c r="AH31" s="446"/>
      <c r="AI31" s="446"/>
      <c r="AJ31" s="446"/>
      <c r="AK31" s="446"/>
      <c r="AL31" s="446"/>
      <c r="AM31" s="446"/>
      <c r="AN31" s="678"/>
      <c r="AP31" s="677"/>
      <c r="AQ31" s="446"/>
      <c r="AR31" s="446"/>
      <c r="AS31" s="446"/>
      <c r="AT31" s="446"/>
      <c r="AU31" s="446"/>
      <c r="AV31" s="446"/>
      <c r="AW31" s="446"/>
      <c r="AX31" s="446"/>
      <c r="AY31" s="446"/>
      <c r="AZ31" s="446"/>
      <c r="BA31" s="446"/>
      <c r="BB31" s="446"/>
      <c r="BC31" s="446"/>
      <c r="BD31" s="446"/>
      <c r="BE31" s="446"/>
      <c r="BF31" s="446"/>
      <c r="BG31" s="446"/>
      <c r="BH31" s="678"/>
    </row>
    <row r="32" spans="22:60" x14ac:dyDescent="0.35">
      <c r="V32" s="677"/>
      <c r="W32" s="446"/>
      <c r="X32" s="446"/>
      <c r="Y32" s="446"/>
      <c r="Z32" s="446"/>
      <c r="AA32" s="446"/>
      <c r="AB32" s="446"/>
      <c r="AC32" s="446"/>
      <c r="AD32" s="446"/>
      <c r="AE32" s="446"/>
      <c r="AF32" s="446"/>
      <c r="AG32" s="446"/>
      <c r="AH32" s="446"/>
      <c r="AI32" s="446"/>
      <c r="AJ32" s="446"/>
      <c r="AK32" s="446"/>
      <c r="AL32" s="446"/>
      <c r="AM32" s="446"/>
      <c r="AN32" s="678"/>
      <c r="AP32" s="677"/>
      <c r="AQ32" s="446"/>
      <c r="AR32" s="446"/>
      <c r="AS32" s="446"/>
      <c r="AT32" s="446"/>
      <c r="AU32" s="446"/>
      <c r="AV32" s="446"/>
      <c r="AW32" s="446"/>
      <c r="AX32" s="446"/>
      <c r="AY32" s="446"/>
      <c r="AZ32" s="446"/>
      <c r="BA32" s="446"/>
      <c r="BB32" s="446"/>
      <c r="BC32" s="446"/>
      <c r="BD32" s="446"/>
      <c r="BE32" s="446"/>
      <c r="BF32" s="446"/>
      <c r="BG32" s="446"/>
      <c r="BH32" s="678"/>
    </row>
    <row r="33" spans="2:60" x14ac:dyDescent="0.35">
      <c r="V33" s="677"/>
      <c r="W33" s="446"/>
      <c r="X33" s="446"/>
      <c r="Y33" s="446"/>
      <c r="Z33" s="446"/>
      <c r="AA33" s="446"/>
      <c r="AB33" s="446"/>
      <c r="AC33" s="446"/>
      <c r="AD33" s="446"/>
      <c r="AE33" s="446"/>
      <c r="AF33" s="446"/>
      <c r="AG33" s="446"/>
      <c r="AH33" s="446"/>
      <c r="AI33" s="446"/>
      <c r="AJ33" s="446"/>
      <c r="AK33" s="446"/>
      <c r="AL33" s="446"/>
      <c r="AM33" s="446"/>
      <c r="AN33" s="678"/>
      <c r="AP33" s="677"/>
      <c r="AQ33" s="446"/>
      <c r="AR33" s="446"/>
      <c r="AS33" s="446"/>
      <c r="AT33" s="446"/>
      <c r="AU33" s="446"/>
      <c r="AV33" s="446"/>
      <c r="AW33" s="446"/>
      <c r="AX33" s="446"/>
      <c r="AY33" s="446"/>
      <c r="AZ33" s="446"/>
      <c r="BA33" s="446"/>
      <c r="BB33" s="446"/>
      <c r="BC33" s="446"/>
      <c r="BD33" s="446"/>
      <c r="BE33" s="446"/>
      <c r="BF33" s="446"/>
      <c r="BG33" s="446"/>
      <c r="BH33" s="678"/>
    </row>
    <row r="34" spans="2:60" ht="15" thickBot="1" x14ac:dyDescent="0.4">
      <c r="V34" s="679"/>
      <c r="W34" s="680"/>
      <c r="X34" s="680"/>
      <c r="Y34" s="680"/>
      <c r="Z34" s="680"/>
      <c r="AA34" s="680"/>
      <c r="AB34" s="680"/>
      <c r="AC34" s="680"/>
      <c r="AD34" s="680"/>
      <c r="AE34" s="680"/>
      <c r="AF34" s="680"/>
      <c r="AG34" s="680"/>
      <c r="AH34" s="680"/>
      <c r="AI34" s="680"/>
      <c r="AJ34" s="680"/>
      <c r="AK34" s="680"/>
      <c r="AL34" s="680"/>
      <c r="AM34" s="680"/>
      <c r="AN34" s="681"/>
      <c r="AP34" s="679"/>
      <c r="AQ34" s="680"/>
      <c r="AR34" s="680"/>
      <c r="AS34" s="680"/>
      <c r="AT34" s="680"/>
      <c r="AU34" s="680"/>
      <c r="AV34" s="680"/>
      <c r="AW34" s="680"/>
      <c r="AX34" s="680"/>
      <c r="AY34" s="680"/>
      <c r="AZ34" s="680"/>
      <c r="BA34" s="680"/>
      <c r="BB34" s="680"/>
      <c r="BC34" s="680"/>
      <c r="BD34" s="680"/>
      <c r="BE34" s="680"/>
      <c r="BF34" s="680"/>
      <c r="BG34" s="680"/>
      <c r="BH34" s="681"/>
    </row>
    <row r="37" spans="2:60" ht="15" thickBot="1" x14ac:dyDescent="0.4"/>
    <row r="38" spans="2:60" x14ac:dyDescent="0.35">
      <c r="B38" s="674"/>
      <c r="C38" s="675"/>
      <c r="D38" s="675"/>
      <c r="E38" s="675"/>
      <c r="F38" s="675"/>
      <c r="G38" s="675"/>
      <c r="H38" s="675"/>
      <c r="I38" s="675"/>
      <c r="J38" s="675"/>
      <c r="K38" s="675"/>
      <c r="L38" s="675"/>
      <c r="M38" s="675"/>
      <c r="N38" s="675"/>
      <c r="O38" s="675"/>
      <c r="P38" s="675"/>
      <c r="Q38" s="675"/>
      <c r="R38" s="675"/>
      <c r="S38" s="675"/>
      <c r="T38" s="676"/>
      <c r="V38" s="674"/>
      <c r="W38" s="675"/>
      <c r="X38" s="675"/>
      <c r="Y38" s="675"/>
      <c r="Z38" s="675"/>
      <c r="AA38" s="675"/>
      <c r="AB38" s="675"/>
      <c r="AC38" s="675"/>
      <c r="AD38" s="675"/>
      <c r="AE38" s="675"/>
      <c r="AF38" s="675"/>
      <c r="AG38" s="675"/>
      <c r="AH38" s="675"/>
      <c r="AI38" s="675"/>
      <c r="AJ38" s="675"/>
      <c r="AK38" s="675"/>
      <c r="AL38" s="675"/>
      <c r="AM38" s="675"/>
      <c r="AN38" s="676"/>
      <c r="AP38" s="674"/>
      <c r="AQ38" s="675"/>
      <c r="AR38" s="675"/>
      <c r="AS38" s="675"/>
      <c r="AT38" s="675"/>
      <c r="AU38" s="675"/>
      <c r="AV38" s="675"/>
      <c r="AW38" s="675"/>
      <c r="AX38" s="675"/>
      <c r="AY38" s="675"/>
      <c r="AZ38" s="675"/>
      <c r="BA38" s="675"/>
      <c r="BB38" s="675"/>
      <c r="BC38" s="675"/>
      <c r="BD38" s="675"/>
      <c r="BE38" s="675"/>
      <c r="BF38" s="675"/>
      <c r="BG38" s="675"/>
      <c r="BH38" s="676"/>
    </row>
    <row r="39" spans="2:60" x14ac:dyDescent="0.35">
      <c r="B39" s="677"/>
      <c r="C39" s="446"/>
      <c r="D39" s="446"/>
      <c r="E39" s="446"/>
      <c r="F39" s="446"/>
      <c r="G39" s="446"/>
      <c r="H39" s="446"/>
      <c r="I39" s="446"/>
      <c r="J39" s="446"/>
      <c r="K39" s="446"/>
      <c r="L39" s="446"/>
      <c r="M39" s="446"/>
      <c r="N39" s="446"/>
      <c r="O39" s="446"/>
      <c r="P39" s="446"/>
      <c r="Q39" s="446"/>
      <c r="R39" s="446"/>
      <c r="S39" s="446"/>
      <c r="T39" s="678"/>
      <c r="V39" s="677"/>
      <c r="W39" s="446"/>
      <c r="X39" s="446"/>
      <c r="Y39" s="446"/>
      <c r="Z39" s="446"/>
      <c r="AA39" s="446"/>
      <c r="AB39" s="446"/>
      <c r="AC39" s="446"/>
      <c r="AD39" s="446"/>
      <c r="AE39" s="446"/>
      <c r="AF39" s="446"/>
      <c r="AG39" s="446"/>
      <c r="AH39" s="446"/>
      <c r="AI39" s="446"/>
      <c r="AJ39" s="446"/>
      <c r="AK39" s="446"/>
      <c r="AL39" s="446"/>
      <c r="AM39" s="446"/>
      <c r="AN39" s="678"/>
      <c r="AP39" s="677"/>
      <c r="AQ39" s="446"/>
      <c r="AR39" s="446"/>
      <c r="AS39" s="446"/>
      <c r="AT39" s="446"/>
      <c r="AU39" s="446"/>
      <c r="AV39" s="446"/>
      <c r="AW39" s="446"/>
      <c r="AX39" s="446"/>
      <c r="AY39" s="446"/>
      <c r="AZ39" s="446"/>
      <c r="BA39" s="446"/>
      <c r="BB39" s="446"/>
      <c r="BC39" s="446"/>
      <c r="BD39" s="446"/>
      <c r="BE39" s="446"/>
      <c r="BF39" s="446"/>
      <c r="BG39" s="446"/>
      <c r="BH39" s="678"/>
    </row>
    <row r="40" spans="2:60" x14ac:dyDescent="0.35">
      <c r="B40" s="677"/>
      <c r="C40" s="446"/>
      <c r="D40" s="446"/>
      <c r="E40" s="446"/>
      <c r="F40" s="446"/>
      <c r="G40" s="446"/>
      <c r="H40" s="446"/>
      <c r="I40" s="446"/>
      <c r="J40" s="446"/>
      <c r="K40" s="446"/>
      <c r="L40" s="446"/>
      <c r="M40" s="446"/>
      <c r="N40" s="446"/>
      <c r="O40" s="446"/>
      <c r="P40" s="446"/>
      <c r="Q40" s="446"/>
      <c r="R40" s="446"/>
      <c r="S40" s="446"/>
      <c r="T40" s="678"/>
      <c r="V40" s="677"/>
      <c r="W40" s="446"/>
      <c r="X40" s="446"/>
      <c r="Y40" s="446"/>
      <c r="Z40" s="446"/>
      <c r="AA40" s="446"/>
      <c r="AB40" s="446"/>
      <c r="AC40" s="446"/>
      <c r="AD40" s="446"/>
      <c r="AE40" s="446"/>
      <c r="AF40" s="446"/>
      <c r="AG40" s="446"/>
      <c r="AH40" s="446"/>
      <c r="AI40" s="446"/>
      <c r="AJ40" s="446"/>
      <c r="AK40" s="446"/>
      <c r="AL40" s="446"/>
      <c r="AM40" s="446"/>
      <c r="AN40" s="678"/>
      <c r="AP40" s="677"/>
      <c r="AQ40" s="446"/>
      <c r="AR40" s="446"/>
      <c r="AS40" s="446"/>
      <c r="AT40" s="446"/>
      <c r="AU40" s="446"/>
      <c r="AV40" s="446"/>
      <c r="AW40" s="446"/>
      <c r="AX40" s="446"/>
      <c r="AY40" s="446"/>
      <c r="AZ40" s="446"/>
      <c r="BA40" s="446"/>
      <c r="BB40" s="446"/>
      <c r="BC40" s="446"/>
      <c r="BD40" s="446"/>
      <c r="BE40" s="446"/>
      <c r="BF40" s="446"/>
      <c r="BG40" s="446"/>
      <c r="BH40" s="678"/>
    </row>
    <row r="41" spans="2:60" x14ac:dyDescent="0.35">
      <c r="B41" s="677"/>
      <c r="C41" s="446"/>
      <c r="D41" s="446"/>
      <c r="E41" s="446"/>
      <c r="F41" s="446"/>
      <c r="G41" s="446"/>
      <c r="H41" s="446"/>
      <c r="I41" s="446"/>
      <c r="J41" s="446"/>
      <c r="K41" s="446"/>
      <c r="L41" s="446"/>
      <c r="M41" s="446"/>
      <c r="N41" s="446"/>
      <c r="O41" s="446"/>
      <c r="P41" s="446"/>
      <c r="Q41" s="446"/>
      <c r="R41" s="446"/>
      <c r="S41" s="446"/>
      <c r="T41" s="678"/>
      <c r="V41" s="677"/>
      <c r="W41" s="446"/>
      <c r="X41" s="446"/>
      <c r="Y41" s="446"/>
      <c r="Z41" s="446"/>
      <c r="AA41" s="446"/>
      <c r="AB41" s="446"/>
      <c r="AC41" s="446"/>
      <c r="AD41" s="446"/>
      <c r="AE41" s="446"/>
      <c r="AF41" s="446"/>
      <c r="AG41" s="446"/>
      <c r="AH41" s="446"/>
      <c r="AI41" s="446"/>
      <c r="AJ41" s="446"/>
      <c r="AK41" s="446"/>
      <c r="AL41" s="446"/>
      <c r="AM41" s="446"/>
      <c r="AN41" s="678"/>
      <c r="AP41" s="677"/>
      <c r="AQ41" s="446"/>
      <c r="AR41" s="446"/>
      <c r="AS41" s="446"/>
      <c r="AT41" s="446"/>
      <c r="AU41" s="446"/>
      <c r="AV41" s="446"/>
      <c r="AW41" s="446"/>
      <c r="AX41" s="446"/>
      <c r="AY41" s="446"/>
      <c r="AZ41" s="446"/>
      <c r="BA41" s="446"/>
      <c r="BB41" s="446"/>
      <c r="BC41" s="446"/>
      <c r="BD41" s="446"/>
      <c r="BE41" s="446"/>
      <c r="BF41" s="446"/>
      <c r="BG41" s="446"/>
      <c r="BH41" s="678"/>
    </row>
    <row r="42" spans="2:60" x14ac:dyDescent="0.35">
      <c r="B42" s="677"/>
      <c r="C42" s="446"/>
      <c r="D42" s="446"/>
      <c r="E42" s="446"/>
      <c r="F42" s="446"/>
      <c r="G42" s="446"/>
      <c r="H42" s="446"/>
      <c r="I42" s="446"/>
      <c r="J42" s="446"/>
      <c r="K42" s="446"/>
      <c r="L42" s="446"/>
      <c r="M42" s="446"/>
      <c r="N42" s="446"/>
      <c r="O42" s="446"/>
      <c r="P42" s="446"/>
      <c r="Q42" s="446"/>
      <c r="R42" s="446"/>
      <c r="S42" s="446"/>
      <c r="T42" s="678"/>
      <c r="V42" s="677"/>
      <c r="W42" s="446"/>
      <c r="X42" s="446"/>
      <c r="Y42" s="446"/>
      <c r="Z42" s="446"/>
      <c r="AA42" s="446"/>
      <c r="AB42" s="446"/>
      <c r="AC42" s="446"/>
      <c r="AD42" s="446"/>
      <c r="AE42" s="446"/>
      <c r="AF42" s="446"/>
      <c r="AG42" s="446"/>
      <c r="AH42" s="446"/>
      <c r="AI42" s="446"/>
      <c r="AJ42" s="446"/>
      <c r="AK42" s="446"/>
      <c r="AL42" s="446"/>
      <c r="AM42" s="446"/>
      <c r="AN42" s="678"/>
      <c r="AP42" s="677"/>
      <c r="AQ42" s="446"/>
      <c r="AR42" s="446"/>
      <c r="AS42" s="446"/>
      <c r="AT42" s="446"/>
      <c r="AU42" s="446"/>
      <c r="AV42" s="446"/>
      <c r="AW42" s="446"/>
      <c r="AX42" s="446"/>
      <c r="AY42" s="446"/>
      <c r="AZ42" s="446"/>
      <c r="BA42" s="446"/>
      <c r="BB42" s="446"/>
      <c r="BC42" s="446"/>
      <c r="BD42" s="446"/>
      <c r="BE42" s="446"/>
      <c r="BF42" s="446"/>
      <c r="BG42" s="446"/>
      <c r="BH42" s="678"/>
    </row>
    <row r="43" spans="2:60" x14ac:dyDescent="0.35">
      <c r="B43" s="677"/>
      <c r="C43" s="446"/>
      <c r="D43" s="446"/>
      <c r="E43" s="446"/>
      <c r="F43" s="446"/>
      <c r="G43" s="446"/>
      <c r="H43" s="446"/>
      <c r="I43" s="446"/>
      <c r="J43" s="446"/>
      <c r="K43" s="446"/>
      <c r="L43" s="446"/>
      <c r="M43" s="446"/>
      <c r="N43" s="446"/>
      <c r="O43" s="446"/>
      <c r="P43" s="446"/>
      <c r="Q43" s="446"/>
      <c r="R43" s="446"/>
      <c r="S43" s="446"/>
      <c r="T43" s="678"/>
      <c r="V43" s="677"/>
      <c r="W43" s="446"/>
      <c r="X43" s="446"/>
      <c r="Y43" s="446"/>
      <c r="Z43" s="446"/>
      <c r="AA43" s="446"/>
      <c r="AB43" s="446"/>
      <c r="AC43" s="446"/>
      <c r="AD43" s="446"/>
      <c r="AE43" s="446"/>
      <c r="AF43" s="446"/>
      <c r="AG43" s="446"/>
      <c r="AH43" s="446"/>
      <c r="AI43" s="446"/>
      <c r="AJ43" s="446"/>
      <c r="AK43" s="446"/>
      <c r="AL43" s="446"/>
      <c r="AM43" s="446"/>
      <c r="AN43" s="678"/>
      <c r="AP43" s="677"/>
      <c r="AQ43" s="446"/>
      <c r="AR43" s="446"/>
      <c r="AS43" s="446"/>
      <c r="AT43" s="446"/>
      <c r="AU43" s="446"/>
      <c r="AV43" s="446"/>
      <c r="AW43" s="446"/>
      <c r="AX43" s="446"/>
      <c r="AY43" s="446"/>
      <c r="AZ43" s="446"/>
      <c r="BA43" s="446"/>
      <c r="BB43" s="446"/>
      <c r="BC43" s="446"/>
      <c r="BD43" s="446"/>
      <c r="BE43" s="446"/>
      <c r="BF43" s="446"/>
      <c r="BG43" s="446"/>
      <c r="BH43" s="678"/>
    </row>
    <row r="44" spans="2:60" x14ac:dyDescent="0.35">
      <c r="B44" s="677"/>
      <c r="C44" s="446"/>
      <c r="D44" s="446"/>
      <c r="E44" s="446"/>
      <c r="F44" s="446"/>
      <c r="G44" s="446"/>
      <c r="H44" s="446"/>
      <c r="I44" s="446"/>
      <c r="J44" s="446"/>
      <c r="K44" s="446"/>
      <c r="L44" s="446"/>
      <c r="M44" s="446"/>
      <c r="N44" s="446"/>
      <c r="O44" s="446"/>
      <c r="P44" s="446"/>
      <c r="Q44" s="446"/>
      <c r="R44" s="446"/>
      <c r="S44" s="446"/>
      <c r="T44" s="678"/>
      <c r="V44" s="677"/>
      <c r="W44" s="446"/>
      <c r="X44" s="446"/>
      <c r="Y44" s="446"/>
      <c r="Z44" s="446"/>
      <c r="AA44" s="446"/>
      <c r="AB44" s="446"/>
      <c r="AC44" s="446"/>
      <c r="AD44" s="446"/>
      <c r="AE44" s="446"/>
      <c r="AF44" s="446"/>
      <c r="AG44" s="446"/>
      <c r="AH44" s="446"/>
      <c r="AI44" s="446"/>
      <c r="AJ44" s="446"/>
      <c r="AK44" s="446"/>
      <c r="AL44" s="446"/>
      <c r="AM44" s="446"/>
      <c r="AN44" s="678"/>
      <c r="AP44" s="677"/>
      <c r="AQ44" s="446"/>
      <c r="AR44" s="446"/>
      <c r="AS44" s="446"/>
      <c r="AT44" s="446"/>
      <c r="AU44" s="446"/>
      <c r="AV44" s="446"/>
      <c r="AW44" s="446"/>
      <c r="AX44" s="446"/>
      <c r="AY44" s="446"/>
      <c r="AZ44" s="446"/>
      <c r="BA44" s="446"/>
      <c r="BB44" s="446"/>
      <c r="BC44" s="446"/>
      <c r="BD44" s="446"/>
      <c r="BE44" s="446"/>
      <c r="BF44" s="446"/>
      <c r="BG44" s="446"/>
      <c r="BH44" s="678"/>
    </row>
    <row r="45" spans="2:60" x14ac:dyDescent="0.35">
      <c r="B45" s="677"/>
      <c r="C45" s="446"/>
      <c r="D45" s="446"/>
      <c r="E45" s="446"/>
      <c r="F45" s="446"/>
      <c r="G45" s="446"/>
      <c r="H45" s="446"/>
      <c r="I45" s="446"/>
      <c r="J45" s="446"/>
      <c r="K45" s="446"/>
      <c r="L45" s="446"/>
      <c r="M45" s="446"/>
      <c r="N45" s="446"/>
      <c r="O45" s="446"/>
      <c r="P45" s="446"/>
      <c r="Q45" s="446"/>
      <c r="R45" s="446"/>
      <c r="S45" s="446"/>
      <c r="T45" s="678"/>
      <c r="V45" s="677"/>
      <c r="W45" s="446"/>
      <c r="X45" s="446"/>
      <c r="Y45" s="446"/>
      <c r="Z45" s="446"/>
      <c r="AA45" s="446"/>
      <c r="AB45" s="446"/>
      <c r="AC45" s="446"/>
      <c r="AD45" s="446"/>
      <c r="AE45" s="446"/>
      <c r="AF45" s="446"/>
      <c r="AG45" s="446"/>
      <c r="AH45" s="446"/>
      <c r="AI45" s="446"/>
      <c r="AJ45" s="446"/>
      <c r="AK45" s="446"/>
      <c r="AL45" s="446"/>
      <c r="AM45" s="446"/>
      <c r="AN45" s="678"/>
      <c r="AP45" s="677"/>
      <c r="AQ45" s="446"/>
      <c r="AR45" s="446"/>
      <c r="AS45" s="446"/>
      <c r="AT45" s="446"/>
      <c r="AU45" s="446"/>
      <c r="AV45" s="446"/>
      <c r="AW45" s="446"/>
      <c r="AX45" s="446"/>
      <c r="AY45" s="446"/>
      <c r="AZ45" s="446"/>
      <c r="BA45" s="446"/>
      <c r="BB45" s="446"/>
      <c r="BC45" s="446"/>
      <c r="BD45" s="446"/>
      <c r="BE45" s="446"/>
      <c r="BF45" s="446"/>
      <c r="BG45" s="446"/>
      <c r="BH45" s="678"/>
    </row>
    <row r="46" spans="2:60" x14ac:dyDescent="0.35">
      <c r="B46" s="677"/>
      <c r="C46" s="446"/>
      <c r="D46" s="446"/>
      <c r="E46" s="446"/>
      <c r="F46" s="446"/>
      <c r="G46" s="446"/>
      <c r="H46" s="446"/>
      <c r="I46" s="446"/>
      <c r="J46" s="446"/>
      <c r="K46" s="446"/>
      <c r="L46" s="446"/>
      <c r="M46" s="446"/>
      <c r="N46" s="446"/>
      <c r="O46" s="446"/>
      <c r="P46" s="446"/>
      <c r="Q46" s="446"/>
      <c r="R46" s="446"/>
      <c r="S46" s="446"/>
      <c r="T46" s="678"/>
      <c r="V46" s="677"/>
      <c r="W46" s="446"/>
      <c r="X46" s="446"/>
      <c r="Y46" s="446"/>
      <c r="Z46" s="446"/>
      <c r="AA46" s="446"/>
      <c r="AB46" s="446"/>
      <c r="AC46" s="446"/>
      <c r="AD46" s="446"/>
      <c r="AE46" s="446"/>
      <c r="AF46" s="446"/>
      <c r="AG46" s="446"/>
      <c r="AH46" s="446"/>
      <c r="AI46" s="446"/>
      <c r="AJ46" s="446"/>
      <c r="AK46" s="446"/>
      <c r="AL46" s="446"/>
      <c r="AM46" s="446"/>
      <c r="AN46" s="678"/>
      <c r="AP46" s="677"/>
      <c r="AQ46" s="446"/>
      <c r="AR46" s="446"/>
      <c r="AS46" s="446"/>
      <c r="AT46" s="446"/>
      <c r="AU46" s="446"/>
      <c r="AV46" s="446"/>
      <c r="AW46" s="446"/>
      <c r="AX46" s="446"/>
      <c r="AY46" s="446"/>
      <c r="AZ46" s="446"/>
      <c r="BA46" s="446"/>
      <c r="BB46" s="446"/>
      <c r="BC46" s="446"/>
      <c r="BD46" s="446"/>
      <c r="BE46" s="446"/>
      <c r="BF46" s="446"/>
      <c r="BG46" s="446"/>
      <c r="BH46" s="678"/>
    </row>
    <row r="47" spans="2:60" x14ac:dyDescent="0.35">
      <c r="B47" s="677"/>
      <c r="C47" s="446"/>
      <c r="D47" s="446"/>
      <c r="E47" s="446"/>
      <c r="F47" s="446"/>
      <c r="G47" s="446"/>
      <c r="H47" s="446"/>
      <c r="I47" s="446"/>
      <c r="J47" s="446"/>
      <c r="K47" s="446"/>
      <c r="L47" s="446"/>
      <c r="M47" s="446"/>
      <c r="N47" s="446"/>
      <c r="O47" s="446"/>
      <c r="P47" s="446"/>
      <c r="Q47" s="446"/>
      <c r="R47" s="446"/>
      <c r="S47" s="446"/>
      <c r="T47" s="678"/>
      <c r="V47" s="677"/>
      <c r="W47" s="446"/>
      <c r="X47" s="446"/>
      <c r="Y47" s="446"/>
      <c r="Z47" s="446"/>
      <c r="AA47" s="446"/>
      <c r="AB47" s="446"/>
      <c r="AC47" s="446"/>
      <c r="AD47" s="446"/>
      <c r="AE47" s="446"/>
      <c r="AF47" s="446"/>
      <c r="AG47" s="446"/>
      <c r="AH47" s="446"/>
      <c r="AI47" s="446"/>
      <c r="AJ47" s="446"/>
      <c r="AK47" s="446"/>
      <c r="AL47" s="446"/>
      <c r="AM47" s="446"/>
      <c r="AN47" s="678"/>
      <c r="AP47" s="677"/>
      <c r="AQ47" s="446"/>
      <c r="AR47" s="446"/>
      <c r="AS47" s="446"/>
      <c r="AT47" s="446"/>
      <c r="AU47" s="446"/>
      <c r="AV47" s="446"/>
      <c r="AW47" s="446"/>
      <c r="AX47" s="446"/>
      <c r="AY47" s="446"/>
      <c r="AZ47" s="446"/>
      <c r="BA47" s="446"/>
      <c r="BB47" s="446"/>
      <c r="BC47" s="446"/>
      <c r="BD47" s="446"/>
      <c r="BE47" s="446"/>
      <c r="BF47" s="446"/>
      <c r="BG47" s="446"/>
      <c r="BH47" s="678"/>
    </row>
    <row r="48" spans="2:60" x14ac:dyDescent="0.35">
      <c r="B48" s="677"/>
      <c r="C48" s="446"/>
      <c r="D48" s="446"/>
      <c r="E48" s="446"/>
      <c r="F48" s="446"/>
      <c r="G48" s="446"/>
      <c r="H48" s="446"/>
      <c r="I48" s="446"/>
      <c r="J48" s="446"/>
      <c r="K48" s="446"/>
      <c r="L48" s="446"/>
      <c r="M48" s="446"/>
      <c r="N48" s="446"/>
      <c r="O48" s="446"/>
      <c r="P48" s="446"/>
      <c r="Q48" s="446"/>
      <c r="R48" s="446"/>
      <c r="S48" s="446"/>
      <c r="T48" s="678"/>
      <c r="V48" s="677"/>
      <c r="W48" s="446"/>
      <c r="X48" s="446"/>
      <c r="Y48" s="446"/>
      <c r="Z48" s="446"/>
      <c r="AA48" s="446"/>
      <c r="AB48" s="446"/>
      <c r="AC48" s="446"/>
      <c r="AD48" s="446"/>
      <c r="AE48" s="446"/>
      <c r="AF48" s="446"/>
      <c r="AG48" s="446"/>
      <c r="AH48" s="446"/>
      <c r="AI48" s="446"/>
      <c r="AJ48" s="446"/>
      <c r="AK48" s="446"/>
      <c r="AL48" s="446"/>
      <c r="AM48" s="446"/>
      <c r="AN48" s="678"/>
      <c r="AP48" s="677"/>
      <c r="AQ48" s="446"/>
      <c r="AR48" s="446"/>
      <c r="AS48" s="446"/>
      <c r="AT48" s="446"/>
      <c r="AU48" s="446"/>
      <c r="AV48" s="446"/>
      <c r="AW48" s="446"/>
      <c r="AX48" s="446"/>
      <c r="AY48" s="446"/>
      <c r="AZ48" s="446"/>
      <c r="BA48" s="446"/>
      <c r="BB48" s="446"/>
      <c r="BC48" s="446"/>
      <c r="BD48" s="446"/>
      <c r="BE48" s="446"/>
      <c r="BF48" s="446"/>
      <c r="BG48" s="446"/>
      <c r="BH48" s="678"/>
    </row>
    <row r="49" spans="2:60" x14ac:dyDescent="0.35">
      <c r="B49" s="677"/>
      <c r="C49" s="446"/>
      <c r="D49" s="446"/>
      <c r="E49" s="446"/>
      <c r="F49" s="446"/>
      <c r="G49" s="446"/>
      <c r="H49" s="446"/>
      <c r="I49" s="446"/>
      <c r="J49" s="446"/>
      <c r="K49" s="446"/>
      <c r="L49" s="446"/>
      <c r="M49" s="446"/>
      <c r="N49" s="446"/>
      <c r="O49" s="446"/>
      <c r="P49" s="446"/>
      <c r="Q49" s="446"/>
      <c r="R49" s="446"/>
      <c r="S49" s="446"/>
      <c r="T49" s="678"/>
      <c r="V49" s="677"/>
      <c r="W49" s="446"/>
      <c r="X49" s="446"/>
      <c r="Y49" s="446"/>
      <c r="Z49" s="446"/>
      <c r="AA49" s="446"/>
      <c r="AB49" s="446"/>
      <c r="AC49" s="446"/>
      <c r="AD49" s="446"/>
      <c r="AE49" s="446"/>
      <c r="AF49" s="446"/>
      <c r="AG49" s="446"/>
      <c r="AH49" s="446"/>
      <c r="AI49" s="446"/>
      <c r="AJ49" s="446"/>
      <c r="AK49" s="446"/>
      <c r="AL49" s="446"/>
      <c r="AM49" s="446"/>
      <c r="AN49" s="678"/>
      <c r="AP49" s="677"/>
      <c r="AQ49" s="446"/>
      <c r="AR49" s="446"/>
      <c r="AS49" s="446"/>
      <c r="AT49" s="446"/>
      <c r="AU49" s="446"/>
      <c r="AV49" s="446"/>
      <c r="AW49" s="446"/>
      <c r="AX49" s="446"/>
      <c r="AY49" s="446"/>
      <c r="AZ49" s="446"/>
      <c r="BA49" s="446"/>
      <c r="BB49" s="446"/>
      <c r="BC49" s="446"/>
      <c r="BD49" s="446"/>
      <c r="BE49" s="446"/>
      <c r="BF49" s="446"/>
      <c r="BG49" s="446"/>
      <c r="BH49" s="678"/>
    </row>
    <row r="50" spans="2:60" x14ac:dyDescent="0.35">
      <c r="B50" s="677"/>
      <c r="C50" s="446"/>
      <c r="D50" s="446"/>
      <c r="E50" s="446"/>
      <c r="F50" s="446"/>
      <c r="G50" s="446"/>
      <c r="H50" s="446"/>
      <c r="I50" s="446"/>
      <c r="J50" s="446"/>
      <c r="K50" s="446"/>
      <c r="L50" s="446"/>
      <c r="M50" s="446"/>
      <c r="N50" s="446"/>
      <c r="O50" s="446"/>
      <c r="P50" s="446"/>
      <c r="Q50" s="446"/>
      <c r="R50" s="446"/>
      <c r="S50" s="446"/>
      <c r="T50" s="678"/>
      <c r="V50" s="677"/>
      <c r="W50" s="446"/>
      <c r="X50" s="446"/>
      <c r="Y50" s="446"/>
      <c r="Z50" s="446"/>
      <c r="AA50" s="446"/>
      <c r="AB50" s="446"/>
      <c r="AC50" s="446"/>
      <c r="AD50" s="446"/>
      <c r="AE50" s="446"/>
      <c r="AF50" s="446"/>
      <c r="AG50" s="446"/>
      <c r="AH50" s="446"/>
      <c r="AI50" s="446"/>
      <c r="AJ50" s="446"/>
      <c r="AK50" s="446"/>
      <c r="AL50" s="446"/>
      <c r="AM50" s="446"/>
      <c r="AN50" s="678"/>
      <c r="AP50" s="677"/>
      <c r="AQ50" s="446"/>
      <c r="AR50" s="446"/>
      <c r="AS50" s="446"/>
      <c r="AT50" s="446"/>
      <c r="AU50" s="446"/>
      <c r="AV50" s="446"/>
      <c r="AW50" s="446"/>
      <c r="AX50" s="446"/>
      <c r="AY50" s="446"/>
      <c r="AZ50" s="446"/>
      <c r="BA50" s="446"/>
      <c r="BB50" s="446"/>
      <c r="BC50" s="446"/>
      <c r="BD50" s="446"/>
      <c r="BE50" s="446"/>
      <c r="BF50" s="446"/>
      <c r="BG50" s="446"/>
      <c r="BH50" s="678"/>
    </row>
    <row r="51" spans="2:60" x14ac:dyDescent="0.35">
      <c r="B51" s="677"/>
      <c r="C51" s="446"/>
      <c r="D51" s="446"/>
      <c r="E51" s="446"/>
      <c r="F51" s="446"/>
      <c r="G51" s="446"/>
      <c r="H51" s="446"/>
      <c r="I51" s="446"/>
      <c r="J51" s="446"/>
      <c r="K51" s="446"/>
      <c r="L51" s="446"/>
      <c r="M51" s="446"/>
      <c r="N51" s="446"/>
      <c r="O51" s="446"/>
      <c r="P51" s="446"/>
      <c r="Q51" s="446"/>
      <c r="R51" s="446"/>
      <c r="S51" s="446"/>
      <c r="T51" s="678"/>
      <c r="V51" s="677"/>
      <c r="W51" s="446"/>
      <c r="X51" s="446"/>
      <c r="Y51" s="446"/>
      <c r="Z51" s="446"/>
      <c r="AA51" s="446"/>
      <c r="AB51" s="446"/>
      <c r="AC51" s="446"/>
      <c r="AD51" s="446"/>
      <c r="AE51" s="446"/>
      <c r="AF51" s="446"/>
      <c r="AG51" s="446"/>
      <c r="AH51" s="446"/>
      <c r="AI51" s="446"/>
      <c r="AJ51" s="446"/>
      <c r="AK51" s="446"/>
      <c r="AL51" s="446"/>
      <c r="AM51" s="446"/>
      <c r="AN51" s="678"/>
      <c r="AP51" s="677"/>
      <c r="AQ51" s="446"/>
      <c r="AR51" s="446"/>
      <c r="AS51" s="446"/>
      <c r="AT51" s="446"/>
      <c r="AU51" s="446"/>
      <c r="AV51" s="446"/>
      <c r="AW51" s="446"/>
      <c r="AX51" s="446"/>
      <c r="AY51" s="446"/>
      <c r="AZ51" s="446"/>
      <c r="BA51" s="446"/>
      <c r="BB51" s="446"/>
      <c r="BC51" s="446"/>
      <c r="BD51" s="446"/>
      <c r="BE51" s="446"/>
      <c r="BF51" s="446"/>
      <c r="BG51" s="446"/>
      <c r="BH51" s="678"/>
    </row>
    <row r="52" spans="2:60" x14ac:dyDescent="0.35">
      <c r="B52" s="677"/>
      <c r="C52" s="446"/>
      <c r="D52" s="446"/>
      <c r="E52" s="446"/>
      <c r="F52" s="446"/>
      <c r="G52" s="446"/>
      <c r="H52" s="446"/>
      <c r="I52" s="446"/>
      <c r="J52" s="446"/>
      <c r="K52" s="446"/>
      <c r="L52" s="446"/>
      <c r="M52" s="446"/>
      <c r="N52" s="446"/>
      <c r="O52" s="446"/>
      <c r="P52" s="446"/>
      <c r="Q52" s="446"/>
      <c r="R52" s="446"/>
      <c r="S52" s="446"/>
      <c r="T52" s="678"/>
      <c r="V52" s="677"/>
      <c r="W52" s="446"/>
      <c r="X52" s="446"/>
      <c r="Y52" s="446"/>
      <c r="Z52" s="446"/>
      <c r="AA52" s="446"/>
      <c r="AB52" s="446"/>
      <c r="AC52" s="446"/>
      <c r="AD52" s="446"/>
      <c r="AE52" s="446"/>
      <c r="AF52" s="446"/>
      <c r="AG52" s="446"/>
      <c r="AH52" s="446"/>
      <c r="AI52" s="446"/>
      <c r="AJ52" s="446"/>
      <c r="AK52" s="446"/>
      <c r="AL52" s="446"/>
      <c r="AM52" s="446"/>
      <c r="AN52" s="678"/>
      <c r="AP52" s="677"/>
      <c r="AQ52" s="446"/>
      <c r="AR52" s="446"/>
      <c r="AS52" s="446"/>
      <c r="AT52" s="446"/>
      <c r="AU52" s="446"/>
      <c r="AV52" s="446"/>
      <c r="AW52" s="446"/>
      <c r="AX52" s="446"/>
      <c r="AY52" s="446"/>
      <c r="AZ52" s="446"/>
      <c r="BA52" s="446"/>
      <c r="BB52" s="446"/>
      <c r="BC52" s="446"/>
      <c r="BD52" s="446"/>
      <c r="BE52" s="446"/>
      <c r="BF52" s="446"/>
      <c r="BG52" s="446"/>
      <c r="BH52" s="678"/>
    </row>
    <row r="53" spans="2:60" x14ac:dyDescent="0.35">
      <c r="B53" s="677"/>
      <c r="C53" s="446"/>
      <c r="D53" s="446"/>
      <c r="E53" s="446"/>
      <c r="F53" s="446"/>
      <c r="G53" s="446"/>
      <c r="H53" s="446"/>
      <c r="I53" s="446"/>
      <c r="J53" s="446"/>
      <c r="K53" s="446"/>
      <c r="L53" s="446"/>
      <c r="M53" s="446"/>
      <c r="N53" s="446"/>
      <c r="O53" s="446"/>
      <c r="P53" s="446"/>
      <c r="Q53" s="446"/>
      <c r="R53" s="446"/>
      <c r="S53" s="446"/>
      <c r="T53" s="678"/>
      <c r="V53" s="677"/>
      <c r="W53" s="446"/>
      <c r="X53" s="446"/>
      <c r="Y53" s="446"/>
      <c r="Z53" s="446"/>
      <c r="AA53" s="446"/>
      <c r="AB53" s="446"/>
      <c r="AC53" s="446"/>
      <c r="AD53" s="446"/>
      <c r="AE53" s="446"/>
      <c r="AF53" s="446"/>
      <c r="AG53" s="446"/>
      <c r="AH53" s="446"/>
      <c r="AI53" s="446"/>
      <c r="AJ53" s="446"/>
      <c r="AK53" s="446"/>
      <c r="AL53" s="446"/>
      <c r="AM53" s="446"/>
      <c r="AN53" s="678"/>
      <c r="AP53" s="677"/>
      <c r="AQ53" s="446"/>
      <c r="AR53" s="446"/>
      <c r="AS53" s="446"/>
      <c r="AT53" s="446"/>
      <c r="AU53" s="446"/>
      <c r="AV53" s="446"/>
      <c r="AW53" s="446"/>
      <c r="AX53" s="446"/>
      <c r="AY53" s="446"/>
      <c r="AZ53" s="446"/>
      <c r="BA53" s="446"/>
      <c r="BB53" s="446"/>
      <c r="BC53" s="446"/>
      <c r="BD53" s="446"/>
      <c r="BE53" s="446"/>
      <c r="BF53" s="446"/>
      <c r="BG53" s="446"/>
      <c r="BH53" s="678"/>
    </row>
    <row r="54" spans="2:60" x14ac:dyDescent="0.35">
      <c r="B54" s="677"/>
      <c r="C54" s="446"/>
      <c r="D54" s="446"/>
      <c r="E54" s="446"/>
      <c r="F54" s="446"/>
      <c r="G54" s="446"/>
      <c r="H54" s="446"/>
      <c r="I54" s="446"/>
      <c r="J54" s="446"/>
      <c r="K54" s="446"/>
      <c r="L54" s="446"/>
      <c r="M54" s="446"/>
      <c r="N54" s="446"/>
      <c r="O54" s="446"/>
      <c r="P54" s="446"/>
      <c r="Q54" s="446"/>
      <c r="R54" s="446"/>
      <c r="S54" s="446"/>
      <c r="T54" s="678"/>
      <c r="V54" s="677"/>
      <c r="W54" s="446"/>
      <c r="X54" s="446"/>
      <c r="Y54" s="446"/>
      <c r="Z54" s="446"/>
      <c r="AA54" s="446"/>
      <c r="AB54" s="446"/>
      <c r="AC54" s="446"/>
      <c r="AD54" s="446"/>
      <c r="AE54" s="446"/>
      <c r="AF54" s="446"/>
      <c r="AG54" s="446"/>
      <c r="AH54" s="446"/>
      <c r="AI54" s="446"/>
      <c r="AJ54" s="446"/>
      <c r="AK54" s="446"/>
      <c r="AL54" s="446"/>
      <c r="AM54" s="446"/>
      <c r="AN54" s="678"/>
      <c r="AP54" s="677"/>
      <c r="AQ54" s="446"/>
      <c r="AR54" s="446"/>
      <c r="AS54" s="446"/>
      <c r="AT54" s="446"/>
      <c r="AU54" s="446"/>
      <c r="AV54" s="446"/>
      <c r="AW54" s="446"/>
      <c r="AX54" s="446"/>
      <c r="AY54" s="446"/>
      <c r="AZ54" s="446"/>
      <c r="BA54" s="446"/>
      <c r="BB54" s="446"/>
      <c r="BC54" s="446"/>
      <c r="BD54" s="446"/>
      <c r="BE54" s="446"/>
      <c r="BF54" s="446"/>
      <c r="BG54" s="446"/>
      <c r="BH54" s="678"/>
    </row>
    <row r="55" spans="2:60" x14ac:dyDescent="0.35">
      <c r="B55" s="677"/>
      <c r="C55" s="446"/>
      <c r="D55" s="446"/>
      <c r="E55" s="446"/>
      <c r="F55" s="446"/>
      <c r="G55" s="446"/>
      <c r="H55" s="446"/>
      <c r="I55" s="446"/>
      <c r="J55" s="446"/>
      <c r="K55" s="446"/>
      <c r="L55" s="446"/>
      <c r="M55" s="446"/>
      <c r="N55" s="446"/>
      <c r="O55" s="446"/>
      <c r="P55" s="446"/>
      <c r="Q55" s="446"/>
      <c r="R55" s="446"/>
      <c r="S55" s="446"/>
      <c r="T55" s="678"/>
      <c r="V55" s="677"/>
      <c r="W55" s="446"/>
      <c r="X55" s="446"/>
      <c r="Y55" s="446"/>
      <c r="Z55" s="446"/>
      <c r="AA55" s="446"/>
      <c r="AB55" s="446"/>
      <c r="AC55" s="446"/>
      <c r="AD55" s="446"/>
      <c r="AE55" s="446"/>
      <c r="AF55" s="446"/>
      <c r="AG55" s="446"/>
      <c r="AH55" s="446"/>
      <c r="AI55" s="446"/>
      <c r="AJ55" s="446"/>
      <c r="AK55" s="446"/>
      <c r="AL55" s="446"/>
      <c r="AM55" s="446"/>
      <c r="AN55" s="678"/>
      <c r="AP55" s="677"/>
      <c r="AQ55" s="446"/>
      <c r="AR55" s="446"/>
      <c r="AS55" s="446"/>
      <c r="AT55" s="446"/>
      <c r="AU55" s="446"/>
      <c r="AV55" s="446"/>
      <c r="AW55" s="446"/>
      <c r="AX55" s="446"/>
      <c r="AY55" s="446"/>
      <c r="AZ55" s="446"/>
      <c r="BA55" s="446"/>
      <c r="BB55" s="446"/>
      <c r="BC55" s="446"/>
      <c r="BD55" s="446"/>
      <c r="BE55" s="446"/>
      <c r="BF55" s="446"/>
      <c r="BG55" s="446"/>
      <c r="BH55" s="678"/>
    </row>
    <row r="56" spans="2:60" x14ac:dyDescent="0.35">
      <c r="B56" s="677"/>
      <c r="C56" s="446"/>
      <c r="D56" s="446"/>
      <c r="E56" s="446"/>
      <c r="F56" s="446"/>
      <c r="G56" s="446"/>
      <c r="H56" s="446"/>
      <c r="I56" s="446"/>
      <c r="J56" s="446"/>
      <c r="K56" s="446"/>
      <c r="L56" s="446"/>
      <c r="M56" s="446"/>
      <c r="N56" s="446"/>
      <c r="O56" s="446"/>
      <c r="P56" s="446"/>
      <c r="Q56" s="446"/>
      <c r="R56" s="446"/>
      <c r="S56" s="446"/>
      <c r="T56" s="678"/>
      <c r="V56" s="677"/>
      <c r="W56" s="446"/>
      <c r="X56" s="446"/>
      <c r="Y56" s="446"/>
      <c r="Z56" s="446"/>
      <c r="AA56" s="446"/>
      <c r="AB56" s="446"/>
      <c r="AC56" s="446"/>
      <c r="AD56" s="446"/>
      <c r="AE56" s="446"/>
      <c r="AF56" s="446"/>
      <c r="AG56" s="446"/>
      <c r="AH56" s="446"/>
      <c r="AI56" s="446"/>
      <c r="AJ56" s="446"/>
      <c r="AK56" s="446"/>
      <c r="AL56" s="446"/>
      <c r="AM56" s="446"/>
      <c r="AN56" s="678"/>
      <c r="AP56" s="677"/>
      <c r="AQ56" s="446"/>
      <c r="AR56" s="446"/>
      <c r="AS56" s="446"/>
      <c r="AT56" s="446"/>
      <c r="AU56" s="446"/>
      <c r="AV56" s="446"/>
      <c r="AW56" s="446"/>
      <c r="AX56" s="446"/>
      <c r="AY56" s="446"/>
      <c r="AZ56" s="446"/>
      <c r="BA56" s="446"/>
      <c r="BB56" s="446"/>
      <c r="BC56" s="446"/>
      <c r="BD56" s="446"/>
      <c r="BE56" s="446"/>
      <c r="BF56" s="446"/>
      <c r="BG56" s="446"/>
      <c r="BH56" s="678"/>
    </row>
    <row r="57" spans="2:60" x14ac:dyDescent="0.35">
      <c r="B57" s="677"/>
      <c r="C57" s="446"/>
      <c r="D57" s="446"/>
      <c r="E57" s="446"/>
      <c r="F57" s="446"/>
      <c r="G57" s="446"/>
      <c r="H57" s="446"/>
      <c r="I57" s="446"/>
      <c r="J57" s="446"/>
      <c r="K57" s="446"/>
      <c r="L57" s="446"/>
      <c r="M57" s="446"/>
      <c r="N57" s="446"/>
      <c r="O57" s="446"/>
      <c r="P57" s="446"/>
      <c r="Q57" s="446"/>
      <c r="R57" s="446"/>
      <c r="S57" s="446"/>
      <c r="T57" s="678"/>
      <c r="V57" s="677"/>
      <c r="W57" s="446"/>
      <c r="X57" s="446"/>
      <c r="Y57" s="446"/>
      <c r="Z57" s="446"/>
      <c r="AA57" s="446"/>
      <c r="AB57" s="446"/>
      <c r="AC57" s="446"/>
      <c r="AD57" s="446"/>
      <c r="AE57" s="446"/>
      <c r="AF57" s="446"/>
      <c r="AG57" s="446"/>
      <c r="AH57" s="446"/>
      <c r="AI57" s="446"/>
      <c r="AJ57" s="446"/>
      <c r="AK57" s="446"/>
      <c r="AL57" s="446"/>
      <c r="AM57" s="446"/>
      <c r="AN57" s="678"/>
      <c r="AP57" s="677"/>
      <c r="AQ57" s="446"/>
      <c r="AR57" s="446"/>
      <c r="AS57" s="446"/>
      <c r="AT57" s="446"/>
      <c r="AU57" s="446"/>
      <c r="AV57" s="446"/>
      <c r="AW57" s="446"/>
      <c r="AX57" s="446"/>
      <c r="AY57" s="446"/>
      <c r="AZ57" s="446"/>
      <c r="BA57" s="446"/>
      <c r="BB57" s="446"/>
      <c r="BC57" s="446"/>
      <c r="BD57" s="446"/>
      <c r="BE57" s="446"/>
      <c r="BF57" s="446"/>
      <c r="BG57" s="446"/>
      <c r="BH57" s="678"/>
    </row>
    <row r="58" spans="2:60" x14ac:dyDescent="0.35">
      <c r="B58" s="677"/>
      <c r="C58" s="446"/>
      <c r="D58" s="446"/>
      <c r="E58" s="446"/>
      <c r="F58" s="446"/>
      <c r="G58" s="446"/>
      <c r="H58" s="446"/>
      <c r="I58" s="446"/>
      <c r="J58" s="446"/>
      <c r="K58" s="446"/>
      <c r="L58" s="446"/>
      <c r="M58" s="446"/>
      <c r="N58" s="446"/>
      <c r="O58" s="446"/>
      <c r="P58" s="446"/>
      <c r="Q58" s="446"/>
      <c r="R58" s="446"/>
      <c r="S58" s="446"/>
      <c r="T58" s="678"/>
      <c r="V58" s="677"/>
      <c r="W58" s="446"/>
      <c r="X58" s="446"/>
      <c r="Y58" s="446"/>
      <c r="Z58" s="446"/>
      <c r="AA58" s="446"/>
      <c r="AB58" s="446"/>
      <c r="AC58" s="446"/>
      <c r="AD58" s="446"/>
      <c r="AE58" s="446"/>
      <c r="AF58" s="446"/>
      <c r="AG58" s="446"/>
      <c r="AH58" s="446"/>
      <c r="AI58" s="446"/>
      <c r="AJ58" s="446"/>
      <c r="AK58" s="446"/>
      <c r="AL58" s="446"/>
      <c r="AM58" s="446"/>
      <c r="AN58" s="678"/>
      <c r="AP58" s="677"/>
      <c r="AQ58" s="446"/>
      <c r="AR58" s="446"/>
      <c r="AS58" s="446"/>
      <c r="AT58" s="446"/>
      <c r="AU58" s="446"/>
      <c r="AV58" s="446"/>
      <c r="AW58" s="446"/>
      <c r="AX58" s="446"/>
      <c r="AY58" s="446"/>
      <c r="AZ58" s="446"/>
      <c r="BA58" s="446"/>
      <c r="BB58" s="446"/>
      <c r="BC58" s="446"/>
      <c r="BD58" s="446"/>
      <c r="BE58" s="446"/>
      <c r="BF58" s="446"/>
      <c r="BG58" s="446"/>
      <c r="BH58" s="678"/>
    </row>
    <row r="59" spans="2:60" x14ac:dyDescent="0.35">
      <c r="B59" s="677"/>
      <c r="C59" s="446"/>
      <c r="D59" s="446"/>
      <c r="E59" s="446"/>
      <c r="F59" s="446"/>
      <c r="G59" s="446"/>
      <c r="H59" s="446"/>
      <c r="I59" s="446"/>
      <c r="J59" s="446"/>
      <c r="K59" s="446"/>
      <c r="L59" s="446"/>
      <c r="M59" s="446"/>
      <c r="N59" s="446"/>
      <c r="O59" s="446"/>
      <c r="P59" s="446"/>
      <c r="Q59" s="446"/>
      <c r="R59" s="446"/>
      <c r="S59" s="446"/>
      <c r="T59" s="678"/>
      <c r="V59" s="677"/>
      <c r="W59" s="446"/>
      <c r="X59" s="446"/>
      <c r="Y59" s="446"/>
      <c r="Z59" s="446"/>
      <c r="AA59" s="446"/>
      <c r="AB59" s="446"/>
      <c r="AC59" s="446"/>
      <c r="AD59" s="446"/>
      <c r="AE59" s="446"/>
      <c r="AF59" s="446"/>
      <c r="AG59" s="446"/>
      <c r="AH59" s="446"/>
      <c r="AI59" s="446"/>
      <c r="AJ59" s="446"/>
      <c r="AK59" s="446"/>
      <c r="AL59" s="446"/>
      <c r="AM59" s="446"/>
      <c r="AN59" s="678"/>
      <c r="AP59" s="677"/>
      <c r="AQ59" s="446"/>
      <c r="AR59" s="446"/>
      <c r="AS59" s="446"/>
      <c r="AT59" s="446"/>
      <c r="AU59" s="446"/>
      <c r="AV59" s="446"/>
      <c r="AW59" s="446"/>
      <c r="AX59" s="446"/>
      <c r="AY59" s="446"/>
      <c r="AZ59" s="446"/>
      <c r="BA59" s="446"/>
      <c r="BB59" s="446"/>
      <c r="BC59" s="446"/>
      <c r="BD59" s="446"/>
      <c r="BE59" s="446"/>
      <c r="BF59" s="446"/>
      <c r="BG59" s="446"/>
      <c r="BH59" s="678"/>
    </row>
    <row r="60" spans="2:60" x14ac:dyDescent="0.35">
      <c r="B60" s="677"/>
      <c r="C60" s="446"/>
      <c r="D60" s="446"/>
      <c r="E60" s="446"/>
      <c r="F60" s="446"/>
      <c r="G60" s="446"/>
      <c r="H60" s="446"/>
      <c r="I60" s="446"/>
      <c r="J60" s="446"/>
      <c r="K60" s="446"/>
      <c r="L60" s="446"/>
      <c r="M60" s="446"/>
      <c r="N60" s="446"/>
      <c r="O60" s="446"/>
      <c r="P60" s="446"/>
      <c r="Q60" s="446"/>
      <c r="R60" s="446"/>
      <c r="S60" s="446"/>
      <c r="T60" s="678"/>
      <c r="V60" s="677"/>
      <c r="W60" s="446"/>
      <c r="X60" s="446"/>
      <c r="Y60" s="446"/>
      <c r="Z60" s="446"/>
      <c r="AA60" s="446"/>
      <c r="AB60" s="446"/>
      <c r="AC60" s="446"/>
      <c r="AD60" s="446"/>
      <c r="AE60" s="446"/>
      <c r="AF60" s="446"/>
      <c r="AG60" s="446"/>
      <c r="AH60" s="446"/>
      <c r="AI60" s="446"/>
      <c r="AJ60" s="446"/>
      <c r="AK60" s="446"/>
      <c r="AL60" s="446"/>
      <c r="AM60" s="446"/>
      <c r="AN60" s="678"/>
      <c r="AP60" s="677"/>
      <c r="AQ60" s="446"/>
      <c r="AR60" s="446"/>
      <c r="AS60" s="446"/>
      <c r="AT60" s="446"/>
      <c r="AU60" s="446"/>
      <c r="AV60" s="446"/>
      <c r="AW60" s="446"/>
      <c r="AX60" s="446"/>
      <c r="AY60" s="446"/>
      <c r="AZ60" s="446"/>
      <c r="BA60" s="446"/>
      <c r="BB60" s="446"/>
      <c r="BC60" s="446"/>
      <c r="BD60" s="446"/>
      <c r="BE60" s="446"/>
      <c r="BF60" s="446"/>
      <c r="BG60" s="446"/>
      <c r="BH60" s="678"/>
    </row>
    <row r="61" spans="2:60" x14ac:dyDescent="0.35">
      <c r="B61" s="677"/>
      <c r="C61" s="446"/>
      <c r="D61" s="446"/>
      <c r="E61" s="446"/>
      <c r="F61" s="446"/>
      <c r="G61" s="446"/>
      <c r="H61" s="446"/>
      <c r="I61" s="446"/>
      <c r="J61" s="446"/>
      <c r="K61" s="446"/>
      <c r="L61" s="446"/>
      <c r="M61" s="446"/>
      <c r="N61" s="446"/>
      <c r="O61" s="446"/>
      <c r="P61" s="446"/>
      <c r="Q61" s="446"/>
      <c r="R61" s="446"/>
      <c r="S61" s="446"/>
      <c r="T61" s="678"/>
      <c r="V61" s="677"/>
      <c r="W61" s="446"/>
      <c r="X61" s="446"/>
      <c r="Y61" s="446"/>
      <c r="Z61" s="446"/>
      <c r="AA61" s="446"/>
      <c r="AB61" s="446"/>
      <c r="AC61" s="446"/>
      <c r="AD61" s="446"/>
      <c r="AE61" s="446"/>
      <c r="AF61" s="446"/>
      <c r="AG61" s="446"/>
      <c r="AH61" s="446"/>
      <c r="AI61" s="446"/>
      <c r="AJ61" s="446"/>
      <c r="AK61" s="446"/>
      <c r="AL61" s="446"/>
      <c r="AM61" s="446"/>
      <c r="AN61" s="678"/>
      <c r="AP61" s="677"/>
      <c r="AQ61" s="446"/>
      <c r="AR61" s="446"/>
      <c r="AS61" s="446"/>
      <c r="AT61" s="446"/>
      <c r="AU61" s="446"/>
      <c r="AV61" s="446"/>
      <c r="AW61" s="446"/>
      <c r="AX61" s="446"/>
      <c r="AY61" s="446"/>
      <c r="AZ61" s="446"/>
      <c r="BA61" s="446"/>
      <c r="BB61" s="446"/>
      <c r="BC61" s="446"/>
      <c r="BD61" s="446"/>
      <c r="BE61" s="446"/>
      <c r="BF61" s="446"/>
      <c r="BG61" s="446"/>
      <c r="BH61" s="678"/>
    </row>
    <row r="62" spans="2:60" x14ac:dyDescent="0.35">
      <c r="B62" s="677"/>
      <c r="C62" s="446"/>
      <c r="D62" s="446"/>
      <c r="E62" s="446"/>
      <c r="F62" s="446"/>
      <c r="G62" s="446"/>
      <c r="H62" s="446"/>
      <c r="I62" s="446"/>
      <c r="J62" s="446"/>
      <c r="K62" s="446"/>
      <c r="L62" s="446"/>
      <c r="M62" s="446"/>
      <c r="N62" s="446"/>
      <c r="O62" s="446"/>
      <c r="P62" s="446"/>
      <c r="Q62" s="446"/>
      <c r="R62" s="446"/>
      <c r="S62" s="446"/>
      <c r="T62" s="678"/>
      <c r="V62" s="677"/>
      <c r="W62" s="446"/>
      <c r="X62" s="446"/>
      <c r="Y62" s="446"/>
      <c r="Z62" s="446"/>
      <c r="AA62" s="446"/>
      <c r="AB62" s="446"/>
      <c r="AC62" s="446"/>
      <c r="AD62" s="446"/>
      <c r="AE62" s="446"/>
      <c r="AF62" s="446"/>
      <c r="AG62" s="446"/>
      <c r="AH62" s="446"/>
      <c r="AI62" s="446"/>
      <c r="AJ62" s="446"/>
      <c r="AK62" s="446"/>
      <c r="AL62" s="446"/>
      <c r="AM62" s="446"/>
      <c r="AN62" s="678"/>
      <c r="AP62" s="677"/>
      <c r="AQ62" s="446"/>
      <c r="AR62" s="446"/>
      <c r="AS62" s="446"/>
      <c r="AT62" s="446"/>
      <c r="AU62" s="446"/>
      <c r="AV62" s="446"/>
      <c r="AW62" s="446"/>
      <c r="AX62" s="446"/>
      <c r="AY62" s="446"/>
      <c r="AZ62" s="446"/>
      <c r="BA62" s="446"/>
      <c r="BB62" s="446"/>
      <c r="BC62" s="446"/>
      <c r="BD62" s="446"/>
      <c r="BE62" s="446"/>
      <c r="BF62" s="446"/>
      <c r="BG62" s="446"/>
      <c r="BH62" s="678"/>
    </row>
    <row r="63" spans="2:60" x14ac:dyDescent="0.35">
      <c r="B63" s="677"/>
      <c r="C63" s="446"/>
      <c r="D63" s="446"/>
      <c r="E63" s="446"/>
      <c r="F63" s="446"/>
      <c r="G63" s="446"/>
      <c r="H63" s="446"/>
      <c r="I63" s="446"/>
      <c r="J63" s="446"/>
      <c r="K63" s="446"/>
      <c r="L63" s="446"/>
      <c r="M63" s="446"/>
      <c r="N63" s="446"/>
      <c r="O63" s="446"/>
      <c r="P63" s="446"/>
      <c r="Q63" s="446"/>
      <c r="R63" s="446"/>
      <c r="S63" s="446"/>
      <c r="T63" s="678"/>
      <c r="V63" s="677"/>
      <c r="W63" s="446"/>
      <c r="X63" s="446"/>
      <c r="Y63" s="446"/>
      <c r="Z63" s="446"/>
      <c r="AA63" s="446"/>
      <c r="AB63" s="446"/>
      <c r="AC63" s="446"/>
      <c r="AD63" s="446"/>
      <c r="AE63" s="446"/>
      <c r="AF63" s="446"/>
      <c r="AG63" s="446"/>
      <c r="AH63" s="446"/>
      <c r="AI63" s="446"/>
      <c r="AJ63" s="446"/>
      <c r="AK63" s="446"/>
      <c r="AL63" s="446"/>
      <c r="AM63" s="446"/>
      <c r="AN63" s="678"/>
      <c r="AP63" s="677"/>
      <c r="AQ63" s="446"/>
      <c r="AR63" s="446"/>
      <c r="AS63" s="446"/>
      <c r="AT63" s="446"/>
      <c r="AU63" s="446"/>
      <c r="AV63" s="446"/>
      <c r="AW63" s="446"/>
      <c r="AX63" s="446"/>
      <c r="AY63" s="446"/>
      <c r="AZ63" s="446"/>
      <c r="BA63" s="446"/>
      <c r="BB63" s="446"/>
      <c r="BC63" s="446"/>
      <c r="BD63" s="446"/>
      <c r="BE63" s="446"/>
      <c r="BF63" s="446"/>
      <c r="BG63" s="446"/>
      <c r="BH63" s="678"/>
    </row>
    <row r="64" spans="2:60" x14ac:dyDescent="0.35">
      <c r="B64" s="677"/>
      <c r="C64" s="446"/>
      <c r="D64" s="446"/>
      <c r="E64" s="446"/>
      <c r="F64" s="446"/>
      <c r="G64" s="446"/>
      <c r="H64" s="446"/>
      <c r="I64" s="446"/>
      <c r="J64" s="446"/>
      <c r="K64" s="446"/>
      <c r="L64" s="446"/>
      <c r="M64" s="446"/>
      <c r="N64" s="446"/>
      <c r="O64" s="446"/>
      <c r="P64" s="446"/>
      <c r="Q64" s="446"/>
      <c r="R64" s="446"/>
      <c r="S64" s="446"/>
      <c r="T64" s="678"/>
      <c r="V64" s="677"/>
      <c r="W64" s="446"/>
      <c r="X64" s="446"/>
      <c r="Y64" s="446"/>
      <c r="Z64" s="446"/>
      <c r="AA64" s="446"/>
      <c r="AB64" s="446"/>
      <c r="AC64" s="446"/>
      <c r="AD64" s="446"/>
      <c r="AE64" s="446"/>
      <c r="AF64" s="446"/>
      <c r="AG64" s="446"/>
      <c r="AH64" s="446"/>
      <c r="AI64" s="446"/>
      <c r="AJ64" s="446"/>
      <c r="AK64" s="446"/>
      <c r="AL64" s="446"/>
      <c r="AM64" s="446"/>
      <c r="AN64" s="678"/>
      <c r="AP64" s="677"/>
      <c r="AQ64" s="446"/>
      <c r="AR64" s="446"/>
      <c r="AS64" s="446"/>
      <c r="AT64" s="446"/>
      <c r="AU64" s="446"/>
      <c r="AV64" s="446"/>
      <c r="AW64" s="446"/>
      <c r="AX64" s="446"/>
      <c r="AY64" s="446"/>
      <c r="AZ64" s="446"/>
      <c r="BA64" s="446"/>
      <c r="BB64" s="446"/>
      <c r="BC64" s="446"/>
      <c r="BD64" s="446"/>
      <c r="BE64" s="446"/>
      <c r="BF64" s="446"/>
      <c r="BG64" s="446"/>
      <c r="BH64" s="678"/>
    </row>
    <row r="65" spans="2:60" x14ac:dyDescent="0.35">
      <c r="B65" s="677"/>
      <c r="C65" s="446"/>
      <c r="D65" s="446"/>
      <c r="E65" s="446"/>
      <c r="F65" s="446"/>
      <c r="G65" s="446"/>
      <c r="H65" s="446"/>
      <c r="I65" s="446"/>
      <c r="J65" s="446"/>
      <c r="K65" s="446"/>
      <c r="L65" s="446"/>
      <c r="M65" s="446"/>
      <c r="N65" s="446"/>
      <c r="O65" s="446"/>
      <c r="P65" s="446"/>
      <c r="Q65" s="446"/>
      <c r="R65" s="446"/>
      <c r="S65" s="446"/>
      <c r="T65" s="678"/>
      <c r="V65" s="677"/>
      <c r="W65" s="446"/>
      <c r="X65" s="446"/>
      <c r="Y65" s="446"/>
      <c r="Z65" s="446"/>
      <c r="AA65" s="446"/>
      <c r="AB65" s="446"/>
      <c r="AC65" s="446"/>
      <c r="AD65" s="446"/>
      <c r="AE65" s="446"/>
      <c r="AF65" s="446"/>
      <c r="AG65" s="446"/>
      <c r="AH65" s="446"/>
      <c r="AI65" s="446"/>
      <c r="AJ65" s="446"/>
      <c r="AK65" s="446"/>
      <c r="AL65" s="446"/>
      <c r="AM65" s="446"/>
      <c r="AN65" s="678"/>
      <c r="AP65" s="677"/>
      <c r="AQ65" s="446"/>
      <c r="AR65" s="446"/>
      <c r="AS65" s="446"/>
      <c r="AT65" s="446"/>
      <c r="AU65" s="446"/>
      <c r="AV65" s="446"/>
      <c r="AW65" s="446"/>
      <c r="AX65" s="446"/>
      <c r="AY65" s="446"/>
      <c r="AZ65" s="446"/>
      <c r="BA65" s="446"/>
      <c r="BB65" s="446"/>
      <c r="BC65" s="446"/>
      <c r="BD65" s="446"/>
      <c r="BE65" s="446"/>
      <c r="BF65" s="446"/>
      <c r="BG65" s="446"/>
      <c r="BH65" s="678"/>
    </row>
    <row r="66" spans="2:60" x14ac:dyDescent="0.35">
      <c r="B66" s="677"/>
      <c r="C66" s="446"/>
      <c r="D66" s="446"/>
      <c r="E66" s="446"/>
      <c r="F66" s="446"/>
      <c r="G66" s="446"/>
      <c r="H66" s="446"/>
      <c r="I66" s="446"/>
      <c r="J66" s="446"/>
      <c r="K66" s="446"/>
      <c r="L66" s="446"/>
      <c r="M66" s="446"/>
      <c r="N66" s="446"/>
      <c r="O66" s="446"/>
      <c r="P66" s="446"/>
      <c r="Q66" s="446"/>
      <c r="R66" s="446"/>
      <c r="S66" s="446"/>
      <c r="T66" s="678"/>
      <c r="V66" s="677"/>
      <c r="W66" s="446"/>
      <c r="X66" s="446"/>
      <c r="Y66" s="446"/>
      <c r="Z66" s="446"/>
      <c r="AA66" s="446"/>
      <c r="AB66" s="446"/>
      <c r="AC66" s="446"/>
      <c r="AD66" s="446"/>
      <c r="AE66" s="446"/>
      <c r="AF66" s="446"/>
      <c r="AG66" s="446"/>
      <c r="AH66" s="446"/>
      <c r="AI66" s="446"/>
      <c r="AJ66" s="446"/>
      <c r="AK66" s="446"/>
      <c r="AL66" s="446"/>
      <c r="AM66" s="446"/>
      <c r="AN66" s="678"/>
      <c r="AP66" s="677"/>
      <c r="AQ66" s="446"/>
      <c r="AR66" s="446"/>
      <c r="AS66" s="446"/>
      <c r="AT66" s="446"/>
      <c r="AU66" s="446"/>
      <c r="AV66" s="446"/>
      <c r="AW66" s="446"/>
      <c r="AX66" s="446"/>
      <c r="AY66" s="446"/>
      <c r="AZ66" s="446"/>
      <c r="BA66" s="446"/>
      <c r="BB66" s="446"/>
      <c r="BC66" s="446"/>
      <c r="BD66" s="446"/>
      <c r="BE66" s="446"/>
      <c r="BF66" s="446"/>
      <c r="BG66" s="446"/>
      <c r="BH66" s="678"/>
    </row>
    <row r="67" spans="2:60" x14ac:dyDescent="0.35">
      <c r="B67" s="677"/>
      <c r="C67" s="446"/>
      <c r="D67" s="446"/>
      <c r="E67" s="446"/>
      <c r="F67" s="446"/>
      <c r="G67" s="446"/>
      <c r="H67" s="446"/>
      <c r="I67" s="446"/>
      <c r="J67" s="446"/>
      <c r="K67" s="446"/>
      <c r="L67" s="446"/>
      <c r="M67" s="446"/>
      <c r="N67" s="446"/>
      <c r="O67" s="446"/>
      <c r="P67" s="446"/>
      <c r="Q67" s="446"/>
      <c r="R67" s="446"/>
      <c r="S67" s="446"/>
      <c r="T67" s="678"/>
      <c r="V67" s="677"/>
      <c r="W67" s="446"/>
      <c r="X67" s="446"/>
      <c r="Y67" s="446"/>
      <c r="Z67" s="446"/>
      <c r="AA67" s="446"/>
      <c r="AB67" s="446"/>
      <c r="AC67" s="446"/>
      <c r="AD67" s="446"/>
      <c r="AE67" s="446"/>
      <c r="AF67" s="446"/>
      <c r="AG67" s="446"/>
      <c r="AH67" s="446"/>
      <c r="AI67" s="446"/>
      <c r="AJ67" s="446"/>
      <c r="AK67" s="446"/>
      <c r="AL67" s="446"/>
      <c r="AM67" s="446"/>
      <c r="AN67" s="678"/>
      <c r="AP67" s="677"/>
      <c r="AQ67" s="446"/>
      <c r="AR67" s="446"/>
      <c r="AS67" s="446"/>
      <c r="AT67" s="446"/>
      <c r="AU67" s="446"/>
      <c r="AV67" s="446"/>
      <c r="AW67" s="446"/>
      <c r="AX67" s="446"/>
      <c r="AY67" s="446"/>
      <c r="AZ67" s="446"/>
      <c r="BA67" s="446"/>
      <c r="BB67" s="446"/>
      <c r="BC67" s="446"/>
      <c r="BD67" s="446"/>
      <c r="BE67" s="446"/>
      <c r="BF67" s="446"/>
      <c r="BG67" s="446"/>
      <c r="BH67" s="678"/>
    </row>
    <row r="68" spans="2:60" x14ac:dyDescent="0.35">
      <c r="B68" s="677"/>
      <c r="C68" s="446"/>
      <c r="D68" s="446"/>
      <c r="E68" s="446"/>
      <c r="F68" s="446"/>
      <c r="G68" s="446"/>
      <c r="H68" s="446"/>
      <c r="I68" s="446"/>
      <c r="J68" s="446"/>
      <c r="K68" s="446"/>
      <c r="L68" s="446"/>
      <c r="M68" s="446"/>
      <c r="N68" s="446"/>
      <c r="O68" s="446"/>
      <c r="P68" s="446"/>
      <c r="Q68" s="446"/>
      <c r="R68" s="446"/>
      <c r="S68" s="446"/>
      <c r="T68" s="678"/>
      <c r="V68" s="677"/>
      <c r="W68" s="446"/>
      <c r="X68" s="446"/>
      <c r="Y68" s="446"/>
      <c r="Z68" s="446"/>
      <c r="AA68" s="446"/>
      <c r="AB68" s="446"/>
      <c r="AC68" s="446"/>
      <c r="AD68" s="446"/>
      <c r="AE68" s="446"/>
      <c r="AF68" s="446"/>
      <c r="AG68" s="446"/>
      <c r="AH68" s="446"/>
      <c r="AI68" s="446"/>
      <c r="AJ68" s="446"/>
      <c r="AK68" s="446"/>
      <c r="AL68" s="446"/>
      <c r="AM68" s="446"/>
      <c r="AN68" s="678"/>
      <c r="AP68" s="677"/>
      <c r="AQ68" s="446"/>
      <c r="AR68" s="446"/>
      <c r="AS68" s="446"/>
      <c r="AT68" s="446"/>
      <c r="AU68" s="446"/>
      <c r="AV68" s="446"/>
      <c r="AW68" s="446"/>
      <c r="AX68" s="446"/>
      <c r="AY68" s="446"/>
      <c r="AZ68" s="446"/>
      <c r="BA68" s="446"/>
      <c r="BB68" s="446"/>
      <c r="BC68" s="446"/>
      <c r="BD68" s="446"/>
      <c r="BE68" s="446"/>
      <c r="BF68" s="446"/>
      <c r="BG68" s="446"/>
      <c r="BH68" s="678"/>
    </row>
    <row r="69" spans="2:60" x14ac:dyDescent="0.35">
      <c r="B69" s="677"/>
      <c r="C69" s="446"/>
      <c r="D69" s="446"/>
      <c r="E69" s="446"/>
      <c r="F69" s="446"/>
      <c r="G69" s="446"/>
      <c r="H69" s="446"/>
      <c r="I69" s="446"/>
      <c r="J69" s="446"/>
      <c r="K69" s="446"/>
      <c r="L69" s="446"/>
      <c r="M69" s="446"/>
      <c r="N69" s="446"/>
      <c r="O69" s="446"/>
      <c r="P69" s="446"/>
      <c r="Q69" s="446"/>
      <c r="R69" s="446"/>
      <c r="S69" s="446"/>
      <c r="T69" s="678"/>
      <c r="V69" s="677"/>
      <c r="W69" s="446"/>
      <c r="X69" s="446"/>
      <c r="Y69" s="446"/>
      <c r="Z69" s="446"/>
      <c r="AA69" s="446"/>
      <c r="AB69" s="446"/>
      <c r="AC69" s="446"/>
      <c r="AD69" s="446"/>
      <c r="AE69" s="446"/>
      <c r="AF69" s="446"/>
      <c r="AG69" s="446"/>
      <c r="AH69" s="446"/>
      <c r="AI69" s="446"/>
      <c r="AJ69" s="446"/>
      <c r="AK69" s="446"/>
      <c r="AL69" s="446"/>
      <c r="AM69" s="446"/>
      <c r="AN69" s="678"/>
      <c r="AP69" s="677"/>
      <c r="AQ69" s="446"/>
      <c r="AR69" s="446"/>
      <c r="AS69" s="446"/>
      <c r="AT69" s="446"/>
      <c r="AU69" s="446"/>
      <c r="AV69" s="446"/>
      <c r="AW69" s="446"/>
      <c r="AX69" s="446"/>
      <c r="AY69" s="446"/>
      <c r="AZ69" s="446"/>
      <c r="BA69" s="446"/>
      <c r="BB69" s="446"/>
      <c r="BC69" s="446"/>
      <c r="BD69" s="446"/>
      <c r="BE69" s="446"/>
      <c r="BF69" s="446"/>
      <c r="BG69" s="446"/>
      <c r="BH69" s="678"/>
    </row>
    <row r="70" spans="2:60" ht="15" thickBot="1" x14ac:dyDescent="0.4">
      <c r="B70" s="679"/>
      <c r="C70" s="680"/>
      <c r="D70" s="680"/>
      <c r="E70" s="680"/>
      <c r="F70" s="680"/>
      <c r="G70" s="680"/>
      <c r="H70" s="680"/>
      <c r="I70" s="680"/>
      <c r="J70" s="680"/>
      <c r="K70" s="680"/>
      <c r="L70" s="680"/>
      <c r="M70" s="680"/>
      <c r="N70" s="680"/>
      <c r="O70" s="680"/>
      <c r="P70" s="680"/>
      <c r="Q70" s="680"/>
      <c r="R70" s="680"/>
      <c r="S70" s="680"/>
      <c r="T70" s="681"/>
      <c r="V70" s="679"/>
      <c r="W70" s="680"/>
      <c r="X70" s="680"/>
      <c r="Y70" s="680"/>
      <c r="Z70" s="680"/>
      <c r="AA70" s="680"/>
      <c r="AB70" s="680"/>
      <c r="AC70" s="680"/>
      <c r="AD70" s="680"/>
      <c r="AE70" s="680"/>
      <c r="AF70" s="680"/>
      <c r="AG70" s="680"/>
      <c r="AH70" s="680"/>
      <c r="AI70" s="680"/>
      <c r="AJ70" s="680"/>
      <c r="AK70" s="680"/>
      <c r="AL70" s="680"/>
      <c r="AM70" s="680"/>
      <c r="AN70" s="681"/>
      <c r="AP70" s="679"/>
      <c r="AQ70" s="680"/>
      <c r="AR70" s="680"/>
      <c r="AS70" s="680"/>
      <c r="AT70" s="680"/>
      <c r="AU70" s="680"/>
      <c r="AV70" s="680"/>
      <c r="AW70" s="680"/>
      <c r="AX70" s="680"/>
      <c r="AY70" s="680"/>
      <c r="AZ70" s="680"/>
      <c r="BA70" s="680"/>
      <c r="BB70" s="680"/>
      <c r="BC70" s="680"/>
      <c r="BD70" s="680"/>
      <c r="BE70" s="680"/>
      <c r="BF70" s="680"/>
      <c r="BG70" s="680"/>
      <c r="BH70" s="681"/>
    </row>
    <row r="73" spans="2:60" ht="15" thickBot="1" x14ac:dyDescent="0.4"/>
    <row r="74" spans="2:60" x14ac:dyDescent="0.35">
      <c r="B74" s="674"/>
      <c r="C74" s="675"/>
      <c r="D74" s="675"/>
      <c r="E74" s="675"/>
      <c r="F74" s="675"/>
      <c r="G74" s="675"/>
      <c r="H74" s="675"/>
      <c r="I74" s="675"/>
      <c r="J74" s="675"/>
      <c r="K74" s="675"/>
      <c r="L74" s="675"/>
      <c r="M74" s="675"/>
      <c r="N74" s="675"/>
      <c r="O74" s="675"/>
      <c r="P74" s="675"/>
      <c r="Q74" s="675"/>
      <c r="R74" s="675"/>
      <c r="S74" s="675"/>
      <c r="T74" s="676"/>
      <c r="V74" s="674"/>
      <c r="W74" s="675"/>
      <c r="X74" s="675"/>
      <c r="Y74" s="675"/>
      <c r="Z74" s="675"/>
      <c r="AA74" s="675"/>
      <c r="AB74" s="675"/>
      <c r="AC74" s="675"/>
      <c r="AD74" s="675"/>
      <c r="AE74" s="675"/>
      <c r="AF74" s="675"/>
      <c r="AG74" s="675"/>
      <c r="AH74" s="675"/>
      <c r="AI74" s="675"/>
      <c r="AJ74" s="675"/>
      <c r="AK74" s="675"/>
      <c r="AL74" s="675"/>
      <c r="AM74" s="675"/>
      <c r="AN74" s="676"/>
      <c r="AP74" s="674"/>
      <c r="AQ74" s="675"/>
      <c r="AR74" s="675"/>
      <c r="AS74" s="675"/>
      <c r="AT74" s="675"/>
      <c r="AU74" s="675"/>
      <c r="AV74" s="675"/>
      <c r="AW74" s="675"/>
      <c r="AX74" s="675"/>
      <c r="AY74" s="675"/>
      <c r="AZ74" s="675"/>
      <c r="BA74" s="675"/>
      <c r="BB74" s="675"/>
      <c r="BC74" s="675"/>
      <c r="BD74" s="675"/>
      <c r="BE74" s="675"/>
      <c r="BF74" s="675"/>
      <c r="BG74" s="675"/>
      <c r="BH74" s="676"/>
    </row>
    <row r="75" spans="2:60" x14ac:dyDescent="0.35">
      <c r="B75" s="677"/>
      <c r="C75" s="446"/>
      <c r="D75" s="446"/>
      <c r="E75" s="446"/>
      <c r="F75" s="446"/>
      <c r="G75" s="446"/>
      <c r="H75" s="446"/>
      <c r="I75" s="446"/>
      <c r="J75" s="446"/>
      <c r="K75" s="446"/>
      <c r="L75" s="446"/>
      <c r="M75" s="446"/>
      <c r="N75" s="446"/>
      <c r="O75" s="446"/>
      <c r="P75" s="446"/>
      <c r="Q75" s="446"/>
      <c r="R75" s="446"/>
      <c r="S75" s="446"/>
      <c r="T75" s="678"/>
      <c r="V75" s="677"/>
      <c r="W75" s="446"/>
      <c r="X75" s="446"/>
      <c r="Y75" s="446"/>
      <c r="Z75" s="446"/>
      <c r="AA75" s="446"/>
      <c r="AB75" s="446"/>
      <c r="AC75" s="446"/>
      <c r="AD75" s="446"/>
      <c r="AE75" s="446"/>
      <c r="AF75" s="446"/>
      <c r="AG75" s="446"/>
      <c r="AH75" s="446"/>
      <c r="AI75" s="446"/>
      <c r="AJ75" s="446"/>
      <c r="AK75" s="446"/>
      <c r="AL75" s="446"/>
      <c r="AM75" s="446"/>
      <c r="AN75" s="678"/>
      <c r="AP75" s="677"/>
      <c r="AQ75" s="446"/>
      <c r="AR75" s="446"/>
      <c r="AS75" s="446"/>
      <c r="AT75" s="446"/>
      <c r="AU75" s="446"/>
      <c r="AV75" s="446"/>
      <c r="AW75" s="446"/>
      <c r="AX75" s="446"/>
      <c r="AY75" s="446"/>
      <c r="AZ75" s="446"/>
      <c r="BA75" s="446"/>
      <c r="BB75" s="446"/>
      <c r="BC75" s="446"/>
      <c r="BD75" s="446"/>
      <c r="BE75" s="446"/>
      <c r="BF75" s="446"/>
      <c r="BG75" s="446"/>
      <c r="BH75" s="678"/>
    </row>
    <row r="76" spans="2:60" x14ac:dyDescent="0.35">
      <c r="B76" s="677"/>
      <c r="C76" s="446"/>
      <c r="D76" s="446"/>
      <c r="E76" s="446"/>
      <c r="F76" s="446"/>
      <c r="G76" s="446"/>
      <c r="H76" s="446"/>
      <c r="I76" s="446"/>
      <c r="J76" s="446"/>
      <c r="K76" s="446"/>
      <c r="L76" s="446"/>
      <c r="M76" s="446"/>
      <c r="N76" s="446"/>
      <c r="O76" s="446"/>
      <c r="P76" s="446"/>
      <c r="Q76" s="446"/>
      <c r="R76" s="446"/>
      <c r="S76" s="446"/>
      <c r="T76" s="678"/>
      <c r="V76" s="677"/>
      <c r="W76" s="446"/>
      <c r="X76" s="446"/>
      <c r="Y76" s="446"/>
      <c r="Z76" s="446"/>
      <c r="AA76" s="446"/>
      <c r="AB76" s="446"/>
      <c r="AC76" s="446"/>
      <c r="AD76" s="446"/>
      <c r="AE76" s="446"/>
      <c r="AF76" s="446"/>
      <c r="AG76" s="446"/>
      <c r="AH76" s="446"/>
      <c r="AI76" s="446"/>
      <c r="AJ76" s="446"/>
      <c r="AK76" s="446"/>
      <c r="AL76" s="446"/>
      <c r="AM76" s="446"/>
      <c r="AN76" s="678"/>
      <c r="AP76" s="677"/>
      <c r="AQ76" s="446"/>
      <c r="AR76" s="446"/>
      <c r="AS76" s="446"/>
      <c r="AT76" s="446"/>
      <c r="AU76" s="446"/>
      <c r="AV76" s="446"/>
      <c r="AW76" s="446"/>
      <c r="AX76" s="446"/>
      <c r="AY76" s="446"/>
      <c r="AZ76" s="446"/>
      <c r="BA76" s="446"/>
      <c r="BB76" s="446"/>
      <c r="BC76" s="446"/>
      <c r="BD76" s="446"/>
      <c r="BE76" s="446"/>
      <c r="BF76" s="446"/>
      <c r="BG76" s="446"/>
      <c r="BH76" s="678"/>
    </row>
    <row r="77" spans="2:60" x14ac:dyDescent="0.35">
      <c r="B77" s="677"/>
      <c r="C77" s="446"/>
      <c r="D77" s="446"/>
      <c r="E77" s="446"/>
      <c r="F77" s="446"/>
      <c r="G77" s="446"/>
      <c r="H77" s="446"/>
      <c r="I77" s="446"/>
      <c r="J77" s="446"/>
      <c r="K77" s="446"/>
      <c r="L77" s="446"/>
      <c r="M77" s="446"/>
      <c r="N77" s="446"/>
      <c r="O77" s="446"/>
      <c r="P77" s="446"/>
      <c r="Q77" s="446"/>
      <c r="R77" s="446"/>
      <c r="S77" s="446"/>
      <c r="T77" s="678"/>
      <c r="V77" s="677"/>
      <c r="W77" s="446"/>
      <c r="X77" s="446"/>
      <c r="Y77" s="446"/>
      <c r="Z77" s="446"/>
      <c r="AA77" s="446"/>
      <c r="AB77" s="446"/>
      <c r="AC77" s="446"/>
      <c r="AD77" s="446"/>
      <c r="AE77" s="446"/>
      <c r="AF77" s="446"/>
      <c r="AG77" s="446"/>
      <c r="AH77" s="446"/>
      <c r="AI77" s="446"/>
      <c r="AJ77" s="446"/>
      <c r="AK77" s="446"/>
      <c r="AL77" s="446"/>
      <c r="AM77" s="446"/>
      <c r="AN77" s="678"/>
      <c r="AP77" s="677"/>
      <c r="AQ77" s="446"/>
      <c r="AR77" s="446"/>
      <c r="AS77" s="446"/>
      <c r="AT77" s="446"/>
      <c r="AU77" s="446"/>
      <c r="AV77" s="446"/>
      <c r="AW77" s="446"/>
      <c r="AX77" s="446"/>
      <c r="AY77" s="446"/>
      <c r="AZ77" s="446"/>
      <c r="BA77" s="446"/>
      <c r="BB77" s="446"/>
      <c r="BC77" s="446"/>
      <c r="BD77" s="446"/>
      <c r="BE77" s="446"/>
      <c r="BF77" s="446"/>
      <c r="BG77" s="446"/>
      <c r="BH77" s="678"/>
    </row>
    <row r="78" spans="2:60" x14ac:dyDescent="0.35">
      <c r="B78" s="677"/>
      <c r="C78" s="446"/>
      <c r="D78" s="446"/>
      <c r="E78" s="446"/>
      <c r="F78" s="446"/>
      <c r="G78" s="446"/>
      <c r="H78" s="446"/>
      <c r="I78" s="446"/>
      <c r="J78" s="446"/>
      <c r="K78" s="446"/>
      <c r="L78" s="446"/>
      <c r="M78" s="446"/>
      <c r="N78" s="446"/>
      <c r="O78" s="446"/>
      <c r="P78" s="446"/>
      <c r="Q78" s="446"/>
      <c r="R78" s="446"/>
      <c r="S78" s="446"/>
      <c r="T78" s="678"/>
      <c r="V78" s="677"/>
      <c r="W78" s="446"/>
      <c r="X78" s="446"/>
      <c r="Y78" s="446"/>
      <c r="Z78" s="446"/>
      <c r="AA78" s="446"/>
      <c r="AB78" s="446"/>
      <c r="AC78" s="446"/>
      <c r="AD78" s="446"/>
      <c r="AE78" s="446"/>
      <c r="AF78" s="446"/>
      <c r="AG78" s="446"/>
      <c r="AH78" s="446"/>
      <c r="AI78" s="446"/>
      <c r="AJ78" s="446"/>
      <c r="AK78" s="446"/>
      <c r="AL78" s="446"/>
      <c r="AM78" s="446"/>
      <c r="AN78" s="678"/>
      <c r="AP78" s="677"/>
      <c r="AQ78" s="446"/>
      <c r="AR78" s="446"/>
      <c r="AS78" s="446"/>
      <c r="AT78" s="446"/>
      <c r="AU78" s="446"/>
      <c r="AV78" s="446"/>
      <c r="AW78" s="446"/>
      <c r="AX78" s="446"/>
      <c r="AY78" s="446"/>
      <c r="AZ78" s="446"/>
      <c r="BA78" s="446"/>
      <c r="BB78" s="446"/>
      <c r="BC78" s="446"/>
      <c r="BD78" s="446"/>
      <c r="BE78" s="446"/>
      <c r="BF78" s="446"/>
      <c r="BG78" s="446"/>
      <c r="BH78" s="678"/>
    </row>
    <row r="79" spans="2:60" x14ac:dyDescent="0.35">
      <c r="B79" s="677"/>
      <c r="C79" s="446"/>
      <c r="D79" s="446"/>
      <c r="E79" s="446"/>
      <c r="F79" s="446"/>
      <c r="G79" s="446"/>
      <c r="H79" s="446"/>
      <c r="I79" s="446"/>
      <c r="J79" s="446"/>
      <c r="K79" s="446"/>
      <c r="L79" s="446"/>
      <c r="M79" s="446"/>
      <c r="N79" s="446"/>
      <c r="O79" s="446"/>
      <c r="P79" s="446"/>
      <c r="Q79" s="446"/>
      <c r="R79" s="446"/>
      <c r="S79" s="446"/>
      <c r="T79" s="678"/>
      <c r="V79" s="677"/>
      <c r="W79" s="446"/>
      <c r="X79" s="446"/>
      <c r="Y79" s="446"/>
      <c r="Z79" s="446"/>
      <c r="AA79" s="446"/>
      <c r="AB79" s="446"/>
      <c r="AC79" s="446"/>
      <c r="AD79" s="446"/>
      <c r="AE79" s="446"/>
      <c r="AF79" s="446"/>
      <c r="AG79" s="446"/>
      <c r="AH79" s="446"/>
      <c r="AI79" s="446"/>
      <c r="AJ79" s="446"/>
      <c r="AK79" s="446"/>
      <c r="AL79" s="446"/>
      <c r="AM79" s="446"/>
      <c r="AN79" s="678"/>
      <c r="AP79" s="677"/>
      <c r="AQ79" s="446"/>
      <c r="AR79" s="446"/>
      <c r="AS79" s="446"/>
      <c r="AT79" s="446"/>
      <c r="AU79" s="446"/>
      <c r="AV79" s="446"/>
      <c r="AW79" s="446"/>
      <c r="AX79" s="446"/>
      <c r="AY79" s="446"/>
      <c r="AZ79" s="446"/>
      <c r="BA79" s="446"/>
      <c r="BB79" s="446"/>
      <c r="BC79" s="446"/>
      <c r="BD79" s="446"/>
      <c r="BE79" s="446"/>
      <c r="BF79" s="446"/>
      <c r="BG79" s="446"/>
      <c r="BH79" s="678"/>
    </row>
    <row r="80" spans="2:60" x14ac:dyDescent="0.35">
      <c r="B80" s="677"/>
      <c r="C80" s="446"/>
      <c r="D80" s="446"/>
      <c r="E80" s="446"/>
      <c r="F80" s="446"/>
      <c r="G80" s="446"/>
      <c r="H80" s="446"/>
      <c r="I80" s="446"/>
      <c r="J80" s="446"/>
      <c r="K80" s="446"/>
      <c r="L80" s="446"/>
      <c r="M80" s="446"/>
      <c r="N80" s="446"/>
      <c r="O80" s="446"/>
      <c r="P80" s="446"/>
      <c r="Q80" s="446"/>
      <c r="R80" s="446"/>
      <c r="S80" s="446"/>
      <c r="T80" s="678"/>
      <c r="V80" s="677"/>
      <c r="W80" s="446"/>
      <c r="X80" s="446"/>
      <c r="Y80" s="446"/>
      <c r="Z80" s="446"/>
      <c r="AA80" s="446"/>
      <c r="AB80" s="446"/>
      <c r="AC80" s="446"/>
      <c r="AD80" s="446"/>
      <c r="AE80" s="446"/>
      <c r="AF80" s="446"/>
      <c r="AG80" s="446"/>
      <c r="AH80" s="446"/>
      <c r="AI80" s="446"/>
      <c r="AJ80" s="446"/>
      <c r="AK80" s="446"/>
      <c r="AL80" s="446"/>
      <c r="AM80" s="446"/>
      <c r="AN80" s="678"/>
      <c r="AP80" s="677"/>
      <c r="AQ80" s="446"/>
      <c r="AR80" s="446"/>
      <c r="AS80" s="446"/>
      <c r="AT80" s="446"/>
      <c r="AU80" s="446"/>
      <c r="AV80" s="446"/>
      <c r="AW80" s="446"/>
      <c r="AX80" s="446"/>
      <c r="AY80" s="446"/>
      <c r="AZ80" s="446"/>
      <c r="BA80" s="446"/>
      <c r="BB80" s="446"/>
      <c r="BC80" s="446"/>
      <c r="BD80" s="446"/>
      <c r="BE80" s="446"/>
      <c r="BF80" s="446"/>
      <c r="BG80" s="446"/>
      <c r="BH80" s="678"/>
    </row>
    <row r="81" spans="2:60" x14ac:dyDescent="0.35">
      <c r="B81" s="677"/>
      <c r="C81" s="446"/>
      <c r="D81" s="446"/>
      <c r="E81" s="446"/>
      <c r="F81" s="446"/>
      <c r="G81" s="446"/>
      <c r="H81" s="446"/>
      <c r="I81" s="446"/>
      <c r="J81" s="446"/>
      <c r="K81" s="446"/>
      <c r="L81" s="446"/>
      <c r="M81" s="446"/>
      <c r="N81" s="446"/>
      <c r="O81" s="446"/>
      <c r="P81" s="446"/>
      <c r="Q81" s="446"/>
      <c r="R81" s="446"/>
      <c r="S81" s="446"/>
      <c r="T81" s="678"/>
      <c r="V81" s="677"/>
      <c r="W81" s="446"/>
      <c r="X81" s="446"/>
      <c r="Y81" s="446"/>
      <c r="Z81" s="446"/>
      <c r="AA81" s="446"/>
      <c r="AB81" s="446"/>
      <c r="AC81" s="446"/>
      <c r="AD81" s="446"/>
      <c r="AE81" s="446"/>
      <c r="AF81" s="446"/>
      <c r="AG81" s="446"/>
      <c r="AH81" s="446"/>
      <c r="AI81" s="446"/>
      <c r="AJ81" s="446"/>
      <c r="AK81" s="446"/>
      <c r="AL81" s="446"/>
      <c r="AM81" s="446"/>
      <c r="AN81" s="678"/>
      <c r="AP81" s="677"/>
      <c r="AQ81" s="446"/>
      <c r="AR81" s="446"/>
      <c r="AS81" s="446"/>
      <c r="AT81" s="446"/>
      <c r="AU81" s="446"/>
      <c r="AV81" s="446"/>
      <c r="AW81" s="446"/>
      <c r="AX81" s="446"/>
      <c r="AY81" s="446"/>
      <c r="AZ81" s="446"/>
      <c r="BA81" s="446"/>
      <c r="BB81" s="446"/>
      <c r="BC81" s="446"/>
      <c r="BD81" s="446"/>
      <c r="BE81" s="446"/>
      <c r="BF81" s="446"/>
      <c r="BG81" s="446"/>
      <c r="BH81" s="678"/>
    </row>
    <row r="82" spans="2:60" x14ac:dyDescent="0.35">
      <c r="B82" s="677"/>
      <c r="C82" s="446"/>
      <c r="D82" s="446"/>
      <c r="E82" s="446"/>
      <c r="F82" s="446"/>
      <c r="G82" s="446"/>
      <c r="H82" s="446"/>
      <c r="I82" s="446"/>
      <c r="J82" s="446"/>
      <c r="K82" s="446"/>
      <c r="L82" s="446"/>
      <c r="M82" s="446"/>
      <c r="N82" s="446"/>
      <c r="O82" s="446"/>
      <c r="P82" s="446"/>
      <c r="Q82" s="446"/>
      <c r="R82" s="446"/>
      <c r="S82" s="446"/>
      <c r="T82" s="678"/>
      <c r="V82" s="677"/>
      <c r="W82" s="446"/>
      <c r="X82" s="446"/>
      <c r="Y82" s="446"/>
      <c r="Z82" s="446"/>
      <c r="AA82" s="446"/>
      <c r="AB82" s="446"/>
      <c r="AC82" s="446"/>
      <c r="AD82" s="446"/>
      <c r="AE82" s="446"/>
      <c r="AF82" s="446"/>
      <c r="AG82" s="446"/>
      <c r="AH82" s="446"/>
      <c r="AI82" s="446"/>
      <c r="AJ82" s="446"/>
      <c r="AK82" s="446"/>
      <c r="AL82" s="446"/>
      <c r="AM82" s="446"/>
      <c r="AN82" s="678"/>
      <c r="AP82" s="677"/>
      <c r="AQ82" s="446"/>
      <c r="AR82" s="446"/>
      <c r="AS82" s="446"/>
      <c r="AT82" s="446"/>
      <c r="AU82" s="446"/>
      <c r="AV82" s="446"/>
      <c r="AW82" s="446"/>
      <c r="AX82" s="446"/>
      <c r="AY82" s="446"/>
      <c r="AZ82" s="446"/>
      <c r="BA82" s="446"/>
      <c r="BB82" s="446"/>
      <c r="BC82" s="446"/>
      <c r="BD82" s="446"/>
      <c r="BE82" s="446"/>
      <c r="BF82" s="446"/>
      <c r="BG82" s="446"/>
      <c r="BH82" s="678"/>
    </row>
    <row r="83" spans="2:60" x14ac:dyDescent="0.35">
      <c r="B83" s="677"/>
      <c r="C83" s="446"/>
      <c r="D83" s="446"/>
      <c r="E83" s="446"/>
      <c r="F83" s="446"/>
      <c r="G83" s="446"/>
      <c r="H83" s="446"/>
      <c r="I83" s="446"/>
      <c r="J83" s="446"/>
      <c r="K83" s="446"/>
      <c r="L83" s="446"/>
      <c r="M83" s="446"/>
      <c r="N83" s="446"/>
      <c r="O83" s="446"/>
      <c r="P83" s="446"/>
      <c r="Q83" s="446"/>
      <c r="R83" s="446"/>
      <c r="S83" s="446"/>
      <c r="T83" s="678"/>
      <c r="V83" s="677"/>
      <c r="W83" s="446"/>
      <c r="X83" s="446"/>
      <c r="Y83" s="446"/>
      <c r="Z83" s="446"/>
      <c r="AA83" s="446"/>
      <c r="AB83" s="446"/>
      <c r="AC83" s="446"/>
      <c r="AD83" s="446"/>
      <c r="AE83" s="446"/>
      <c r="AF83" s="446"/>
      <c r="AG83" s="446"/>
      <c r="AH83" s="446"/>
      <c r="AI83" s="446"/>
      <c r="AJ83" s="446"/>
      <c r="AK83" s="446"/>
      <c r="AL83" s="446"/>
      <c r="AM83" s="446"/>
      <c r="AN83" s="678"/>
      <c r="AP83" s="677"/>
      <c r="AQ83" s="446"/>
      <c r="AR83" s="446"/>
      <c r="AS83" s="446"/>
      <c r="AT83" s="446"/>
      <c r="AU83" s="446"/>
      <c r="AV83" s="446"/>
      <c r="AW83" s="446"/>
      <c r="AX83" s="446"/>
      <c r="AY83" s="446"/>
      <c r="AZ83" s="446"/>
      <c r="BA83" s="446"/>
      <c r="BB83" s="446"/>
      <c r="BC83" s="446"/>
      <c r="BD83" s="446"/>
      <c r="BE83" s="446"/>
      <c r="BF83" s="446"/>
      <c r="BG83" s="446"/>
      <c r="BH83" s="678"/>
    </row>
    <row r="84" spans="2:60" x14ac:dyDescent="0.35">
      <c r="B84" s="677"/>
      <c r="C84" s="446"/>
      <c r="D84" s="446"/>
      <c r="E84" s="446"/>
      <c r="F84" s="446"/>
      <c r="G84" s="446"/>
      <c r="H84" s="446"/>
      <c r="I84" s="446"/>
      <c r="J84" s="446"/>
      <c r="K84" s="446"/>
      <c r="L84" s="446"/>
      <c r="M84" s="446"/>
      <c r="N84" s="446"/>
      <c r="O84" s="446"/>
      <c r="P84" s="446"/>
      <c r="Q84" s="446"/>
      <c r="R84" s="446"/>
      <c r="S84" s="446"/>
      <c r="T84" s="678"/>
      <c r="V84" s="677"/>
      <c r="W84" s="446"/>
      <c r="X84" s="446"/>
      <c r="Y84" s="446"/>
      <c r="Z84" s="446"/>
      <c r="AA84" s="446"/>
      <c r="AB84" s="446"/>
      <c r="AC84" s="446"/>
      <c r="AD84" s="446"/>
      <c r="AE84" s="446"/>
      <c r="AF84" s="446"/>
      <c r="AG84" s="446"/>
      <c r="AH84" s="446"/>
      <c r="AI84" s="446"/>
      <c r="AJ84" s="446"/>
      <c r="AK84" s="446"/>
      <c r="AL84" s="446"/>
      <c r="AM84" s="446"/>
      <c r="AN84" s="678"/>
      <c r="AP84" s="677"/>
      <c r="AQ84" s="446"/>
      <c r="AR84" s="446"/>
      <c r="AS84" s="446"/>
      <c r="AT84" s="446"/>
      <c r="AU84" s="446"/>
      <c r="AV84" s="446"/>
      <c r="AW84" s="446"/>
      <c r="AX84" s="446"/>
      <c r="AY84" s="446"/>
      <c r="AZ84" s="446"/>
      <c r="BA84" s="446"/>
      <c r="BB84" s="446"/>
      <c r="BC84" s="446"/>
      <c r="BD84" s="446"/>
      <c r="BE84" s="446"/>
      <c r="BF84" s="446"/>
      <c r="BG84" s="446"/>
      <c r="BH84" s="678"/>
    </row>
    <row r="85" spans="2:60" x14ac:dyDescent="0.35">
      <c r="B85" s="677"/>
      <c r="C85" s="446"/>
      <c r="D85" s="446"/>
      <c r="E85" s="446"/>
      <c r="F85" s="446"/>
      <c r="G85" s="446"/>
      <c r="H85" s="446"/>
      <c r="I85" s="446"/>
      <c r="J85" s="446"/>
      <c r="K85" s="446"/>
      <c r="L85" s="446"/>
      <c r="M85" s="446"/>
      <c r="N85" s="446"/>
      <c r="O85" s="446"/>
      <c r="P85" s="446"/>
      <c r="Q85" s="446"/>
      <c r="R85" s="446"/>
      <c r="S85" s="446"/>
      <c r="T85" s="678"/>
      <c r="V85" s="677"/>
      <c r="W85" s="446"/>
      <c r="X85" s="446"/>
      <c r="Y85" s="446"/>
      <c r="Z85" s="446"/>
      <c r="AA85" s="446"/>
      <c r="AB85" s="446"/>
      <c r="AC85" s="446"/>
      <c r="AD85" s="446"/>
      <c r="AE85" s="446"/>
      <c r="AF85" s="446"/>
      <c r="AG85" s="446"/>
      <c r="AH85" s="446"/>
      <c r="AI85" s="446"/>
      <c r="AJ85" s="446"/>
      <c r="AK85" s="446"/>
      <c r="AL85" s="446"/>
      <c r="AM85" s="446"/>
      <c r="AN85" s="678"/>
      <c r="AP85" s="677"/>
      <c r="AQ85" s="446"/>
      <c r="AR85" s="446"/>
      <c r="AS85" s="446"/>
      <c r="AT85" s="446"/>
      <c r="AU85" s="446"/>
      <c r="AV85" s="446"/>
      <c r="AW85" s="446"/>
      <c r="AX85" s="446"/>
      <c r="AY85" s="446"/>
      <c r="AZ85" s="446"/>
      <c r="BA85" s="446"/>
      <c r="BB85" s="446"/>
      <c r="BC85" s="446"/>
      <c r="BD85" s="446"/>
      <c r="BE85" s="446"/>
      <c r="BF85" s="446"/>
      <c r="BG85" s="446"/>
      <c r="BH85" s="678"/>
    </row>
    <row r="86" spans="2:60" x14ac:dyDescent="0.35">
      <c r="B86" s="677"/>
      <c r="C86" s="446"/>
      <c r="D86" s="446"/>
      <c r="E86" s="446"/>
      <c r="F86" s="446"/>
      <c r="G86" s="446"/>
      <c r="H86" s="446"/>
      <c r="I86" s="446"/>
      <c r="J86" s="446"/>
      <c r="K86" s="446"/>
      <c r="L86" s="446"/>
      <c r="M86" s="446"/>
      <c r="N86" s="446"/>
      <c r="O86" s="446"/>
      <c r="P86" s="446"/>
      <c r="Q86" s="446"/>
      <c r="R86" s="446"/>
      <c r="S86" s="446"/>
      <c r="T86" s="678"/>
      <c r="V86" s="677"/>
      <c r="W86" s="446"/>
      <c r="X86" s="446"/>
      <c r="Y86" s="446"/>
      <c r="Z86" s="446"/>
      <c r="AA86" s="446"/>
      <c r="AB86" s="446"/>
      <c r="AC86" s="446"/>
      <c r="AD86" s="446"/>
      <c r="AE86" s="446"/>
      <c r="AF86" s="446"/>
      <c r="AG86" s="446"/>
      <c r="AH86" s="446"/>
      <c r="AI86" s="446"/>
      <c r="AJ86" s="446"/>
      <c r="AK86" s="446"/>
      <c r="AL86" s="446"/>
      <c r="AM86" s="446"/>
      <c r="AN86" s="678"/>
      <c r="AP86" s="677"/>
      <c r="AQ86" s="446"/>
      <c r="AR86" s="446"/>
      <c r="AS86" s="446"/>
      <c r="AT86" s="446"/>
      <c r="AU86" s="446"/>
      <c r="AV86" s="446"/>
      <c r="AW86" s="446"/>
      <c r="AX86" s="446"/>
      <c r="AY86" s="446"/>
      <c r="AZ86" s="446"/>
      <c r="BA86" s="446"/>
      <c r="BB86" s="446"/>
      <c r="BC86" s="446"/>
      <c r="BD86" s="446"/>
      <c r="BE86" s="446"/>
      <c r="BF86" s="446"/>
      <c r="BG86" s="446"/>
      <c r="BH86" s="678"/>
    </row>
    <row r="87" spans="2:60" x14ac:dyDescent="0.35">
      <c r="B87" s="677"/>
      <c r="C87" s="446"/>
      <c r="D87" s="446"/>
      <c r="E87" s="446"/>
      <c r="F87" s="446"/>
      <c r="G87" s="446"/>
      <c r="H87" s="446"/>
      <c r="I87" s="446"/>
      <c r="J87" s="446"/>
      <c r="K87" s="446"/>
      <c r="L87" s="446"/>
      <c r="M87" s="446"/>
      <c r="N87" s="446"/>
      <c r="O87" s="446"/>
      <c r="P87" s="446"/>
      <c r="Q87" s="446"/>
      <c r="R87" s="446"/>
      <c r="S87" s="446"/>
      <c r="T87" s="678"/>
      <c r="V87" s="677"/>
      <c r="W87" s="446"/>
      <c r="X87" s="446"/>
      <c r="Y87" s="446"/>
      <c r="Z87" s="446"/>
      <c r="AA87" s="446"/>
      <c r="AB87" s="446"/>
      <c r="AC87" s="446"/>
      <c r="AD87" s="446"/>
      <c r="AE87" s="446"/>
      <c r="AF87" s="446"/>
      <c r="AG87" s="446"/>
      <c r="AH87" s="446"/>
      <c r="AI87" s="446"/>
      <c r="AJ87" s="446"/>
      <c r="AK87" s="446"/>
      <c r="AL87" s="446"/>
      <c r="AM87" s="446"/>
      <c r="AN87" s="678"/>
      <c r="AP87" s="677"/>
      <c r="AQ87" s="446"/>
      <c r="AR87" s="446"/>
      <c r="AS87" s="446"/>
      <c r="AT87" s="446"/>
      <c r="AU87" s="446"/>
      <c r="AV87" s="446"/>
      <c r="AW87" s="446"/>
      <c r="AX87" s="446"/>
      <c r="AY87" s="446"/>
      <c r="AZ87" s="446"/>
      <c r="BA87" s="446"/>
      <c r="BB87" s="446"/>
      <c r="BC87" s="446"/>
      <c r="BD87" s="446"/>
      <c r="BE87" s="446"/>
      <c r="BF87" s="446"/>
      <c r="BG87" s="446"/>
      <c r="BH87" s="678"/>
    </row>
    <row r="88" spans="2:60" x14ac:dyDescent="0.35">
      <c r="B88" s="677"/>
      <c r="C88" s="446"/>
      <c r="D88" s="446"/>
      <c r="E88" s="446"/>
      <c r="F88" s="446"/>
      <c r="G88" s="446"/>
      <c r="H88" s="446"/>
      <c r="I88" s="446"/>
      <c r="J88" s="446"/>
      <c r="K88" s="446"/>
      <c r="L88" s="446"/>
      <c r="M88" s="446"/>
      <c r="N88" s="446"/>
      <c r="O88" s="446"/>
      <c r="P88" s="446"/>
      <c r="Q88" s="446"/>
      <c r="R88" s="446"/>
      <c r="S88" s="446"/>
      <c r="T88" s="678"/>
      <c r="V88" s="677"/>
      <c r="W88" s="446"/>
      <c r="X88" s="446"/>
      <c r="Y88" s="446"/>
      <c r="Z88" s="446"/>
      <c r="AA88" s="446"/>
      <c r="AB88" s="446"/>
      <c r="AC88" s="446"/>
      <c r="AD88" s="446"/>
      <c r="AE88" s="446"/>
      <c r="AF88" s="446"/>
      <c r="AG88" s="446"/>
      <c r="AH88" s="446"/>
      <c r="AI88" s="446"/>
      <c r="AJ88" s="446"/>
      <c r="AK88" s="446"/>
      <c r="AL88" s="446"/>
      <c r="AM88" s="446"/>
      <c r="AN88" s="678"/>
      <c r="AP88" s="677"/>
      <c r="AQ88" s="446"/>
      <c r="AR88" s="446"/>
      <c r="AS88" s="446"/>
      <c r="AT88" s="446"/>
      <c r="AU88" s="446"/>
      <c r="AV88" s="446"/>
      <c r="AW88" s="446"/>
      <c r="AX88" s="446"/>
      <c r="AY88" s="446"/>
      <c r="AZ88" s="446"/>
      <c r="BA88" s="446"/>
      <c r="BB88" s="446"/>
      <c r="BC88" s="446"/>
      <c r="BD88" s="446"/>
      <c r="BE88" s="446"/>
      <c r="BF88" s="446"/>
      <c r="BG88" s="446"/>
      <c r="BH88" s="678"/>
    </row>
    <row r="89" spans="2:60" x14ac:dyDescent="0.35">
      <c r="B89" s="677"/>
      <c r="C89" s="446"/>
      <c r="D89" s="446"/>
      <c r="E89" s="446"/>
      <c r="F89" s="446"/>
      <c r="G89" s="446"/>
      <c r="H89" s="446"/>
      <c r="I89" s="446"/>
      <c r="J89" s="446"/>
      <c r="K89" s="446"/>
      <c r="L89" s="446"/>
      <c r="M89" s="446"/>
      <c r="N89" s="446"/>
      <c r="O89" s="446"/>
      <c r="P89" s="446"/>
      <c r="Q89" s="446"/>
      <c r="R89" s="446"/>
      <c r="S89" s="446"/>
      <c r="T89" s="678"/>
      <c r="V89" s="677"/>
      <c r="W89" s="446"/>
      <c r="X89" s="446"/>
      <c r="Y89" s="446"/>
      <c r="Z89" s="446"/>
      <c r="AA89" s="446"/>
      <c r="AB89" s="446"/>
      <c r="AC89" s="446"/>
      <c r="AD89" s="446"/>
      <c r="AE89" s="446"/>
      <c r="AF89" s="446"/>
      <c r="AG89" s="446"/>
      <c r="AH89" s="446"/>
      <c r="AI89" s="446"/>
      <c r="AJ89" s="446"/>
      <c r="AK89" s="446"/>
      <c r="AL89" s="446"/>
      <c r="AM89" s="446"/>
      <c r="AN89" s="678"/>
      <c r="AP89" s="677"/>
      <c r="AQ89" s="446"/>
      <c r="AR89" s="446"/>
      <c r="AS89" s="446"/>
      <c r="AT89" s="446"/>
      <c r="AU89" s="446"/>
      <c r="AV89" s="446"/>
      <c r="AW89" s="446"/>
      <c r="AX89" s="446"/>
      <c r="AY89" s="446"/>
      <c r="AZ89" s="446"/>
      <c r="BA89" s="446"/>
      <c r="BB89" s="446"/>
      <c r="BC89" s="446"/>
      <c r="BD89" s="446"/>
      <c r="BE89" s="446"/>
      <c r="BF89" s="446"/>
      <c r="BG89" s="446"/>
      <c r="BH89" s="678"/>
    </row>
    <row r="90" spans="2:60" x14ac:dyDescent="0.35">
      <c r="B90" s="677"/>
      <c r="C90" s="446"/>
      <c r="D90" s="446"/>
      <c r="E90" s="446"/>
      <c r="F90" s="446"/>
      <c r="G90" s="446"/>
      <c r="H90" s="446"/>
      <c r="I90" s="446"/>
      <c r="J90" s="446"/>
      <c r="K90" s="446"/>
      <c r="L90" s="446"/>
      <c r="M90" s="446"/>
      <c r="N90" s="446"/>
      <c r="O90" s="446"/>
      <c r="P90" s="446"/>
      <c r="Q90" s="446"/>
      <c r="R90" s="446"/>
      <c r="S90" s="446"/>
      <c r="T90" s="678"/>
      <c r="V90" s="677"/>
      <c r="W90" s="446"/>
      <c r="X90" s="446"/>
      <c r="Y90" s="446"/>
      <c r="Z90" s="446"/>
      <c r="AA90" s="446"/>
      <c r="AB90" s="446"/>
      <c r="AC90" s="446"/>
      <c r="AD90" s="446"/>
      <c r="AE90" s="446"/>
      <c r="AF90" s="446"/>
      <c r="AG90" s="446"/>
      <c r="AH90" s="446"/>
      <c r="AI90" s="446"/>
      <c r="AJ90" s="446"/>
      <c r="AK90" s="446"/>
      <c r="AL90" s="446"/>
      <c r="AM90" s="446"/>
      <c r="AN90" s="678"/>
      <c r="AP90" s="677"/>
      <c r="AQ90" s="446"/>
      <c r="AR90" s="446"/>
      <c r="AS90" s="446"/>
      <c r="AT90" s="446"/>
      <c r="AU90" s="446"/>
      <c r="AV90" s="446"/>
      <c r="AW90" s="446"/>
      <c r="AX90" s="446"/>
      <c r="AY90" s="446"/>
      <c r="AZ90" s="446"/>
      <c r="BA90" s="446"/>
      <c r="BB90" s="446"/>
      <c r="BC90" s="446"/>
      <c r="BD90" s="446"/>
      <c r="BE90" s="446"/>
      <c r="BF90" s="446"/>
      <c r="BG90" s="446"/>
      <c r="BH90" s="678"/>
    </row>
    <row r="91" spans="2:60" x14ac:dyDescent="0.35">
      <c r="B91" s="677"/>
      <c r="C91" s="446"/>
      <c r="D91" s="446"/>
      <c r="E91" s="446"/>
      <c r="F91" s="446"/>
      <c r="G91" s="446"/>
      <c r="H91" s="446"/>
      <c r="I91" s="446"/>
      <c r="J91" s="446"/>
      <c r="K91" s="446"/>
      <c r="L91" s="446"/>
      <c r="M91" s="446"/>
      <c r="N91" s="446"/>
      <c r="O91" s="446"/>
      <c r="P91" s="446"/>
      <c r="Q91" s="446"/>
      <c r="R91" s="446"/>
      <c r="S91" s="446"/>
      <c r="T91" s="678"/>
      <c r="V91" s="677"/>
      <c r="W91" s="446"/>
      <c r="X91" s="446"/>
      <c r="Y91" s="446"/>
      <c r="Z91" s="446"/>
      <c r="AA91" s="446"/>
      <c r="AB91" s="446"/>
      <c r="AC91" s="446"/>
      <c r="AD91" s="446"/>
      <c r="AE91" s="446"/>
      <c r="AF91" s="446"/>
      <c r="AG91" s="446"/>
      <c r="AH91" s="446"/>
      <c r="AI91" s="446"/>
      <c r="AJ91" s="446"/>
      <c r="AK91" s="446"/>
      <c r="AL91" s="446"/>
      <c r="AM91" s="446"/>
      <c r="AN91" s="678"/>
      <c r="AP91" s="677"/>
      <c r="AQ91" s="446"/>
      <c r="AR91" s="446"/>
      <c r="AS91" s="446"/>
      <c r="AT91" s="446"/>
      <c r="AU91" s="446"/>
      <c r="AV91" s="446"/>
      <c r="AW91" s="446"/>
      <c r="AX91" s="446"/>
      <c r="AY91" s="446"/>
      <c r="AZ91" s="446"/>
      <c r="BA91" s="446"/>
      <c r="BB91" s="446"/>
      <c r="BC91" s="446"/>
      <c r="BD91" s="446"/>
      <c r="BE91" s="446"/>
      <c r="BF91" s="446"/>
      <c r="BG91" s="446"/>
      <c r="BH91" s="678"/>
    </row>
    <row r="92" spans="2:60" x14ac:dyDescent="0.35">
      <c r="B92" s="677"/>
      <c r="C92" s="446"/>
      <c r="D92" s="446"/>
      <c r="E92" s="446"/>
      <c r="F92" s="446"/>
      <c r="G92" s="446"/>
      <c r="H92" s="446"/>
      <c r="I92" s="446"/>
      <c r="J92" s="446"/>
      <c r="K92" s="446"/>
      <c r="L92" s="446"/>
      <c r="M92" s="446"/>
      <c r="N92" s="446"/>
      <c r="O92" s="446"/>
      <c r="P92" s="446"/>
      <c r="Q92" s="446"/>
      <c r="R92" s="446"/>
      <c r="S92" s="446"/>
      <c r="T92" s="678"/>
      <c r="V92" s="677"/>
      <c r="W92" s="446"/>
      <c r="X92" s="446"/>
      <c r="Y92" s="446"/>
      <c r="Z92" s="446"/>
      <c r="AA92" s="446"/>
      <c r="AB92" s="446"/>
      <c r="AC92" s="446"/>
      <c r="AD92" s="446"/>
      <c r="AE92" s="446"/>
      <c r="AF92" s="446"/>
      <c r="AG92" s="446"/>
      <c r="AH92" s="446"/>
      <c r="AI92" s="446"/>
      <c r="AJ92" s="446"/>
      <c r="AK92" s="446"/>
      <c r="AL92" s="446"/>
      <c r="AM92" s="446"/>
      <c r="AN92" s="678"/>
      <c r="AP92" s="677"/>
      <c r="AQ92" s="446"/>
      <c r="AR92" s="446"/>
      <c r="AS92" s="446"/>
      <c r="AT92" s="446"/>
      <c r="AU92" s="446"/>
      <c r="AV92" s="446"/>
      <c r="AW92" s="446"/>
      <c r="AX92" s="446"/>
      <c r="AY92" s="446"/>
      <c r="AZ92" s="446"/>
      <c r="BA92" s="446"/>
      <c r="BB92" s="446"/>
      <c r="BC92" s="446"/>
      <c r="BD92" s="446"/>
      <c r="BE92" s="446"/>
      <c r="BF92" s="446"/>
      <c r="BG92" s="446"/>
      <c r="BH92" s="678"/>
    </row>
    <row r="93" spans="2:60" x14ac:dyDescent="0.35">
      <c r="B93" s="677"/>
      <c r="C93" s="446"/>
      <c r="D93" s="446"/>
      <c r="E93" s="446"/>
      <c r="F93" s="446"/>
      <c r="G93" s="446"/>
      <c r="H93" s="446"/>
      <c r="I93" s="446"/>
      <c r="J93" s="446"/>
      <c r="K93" s="446"/>
      <c r="L93" s="446"/>
      <c r="M93" s="446"/>
      <c r="N93" s="446"/>
      <c r="O93" s="446"/>
      <c r="P93" s="446"/>
      <c r="Q93" s="446"/>
      <c r="R93" s="446"/>
      <c r="S93" s="446"/>
      <c r="T93" s="678"/>
      <c r="V93" s="677"/>
      <c r="W93" s="446"/>
      <c r="X93" s="446"/>
      <c r="Y93" s="446"/>
      <c r="Z93" s="446"/>
      <c r="AA93" s="446"/>
      <c r="AB93" s="446"/>
      <c r="AC93" s="446"/>
      <c r="AD93" s="446"/>
      <c r="AE93" s="446"/>
      <c r="AF93" s="446"/>
      <c r="AG93" s="446"/>
      <c r="AH93" s="446"/>
      <c r="AI93" s="446"/>
      <c r="AJ93" s="446"/>
      <c r="AK93" s="446"/>
      <c r="AL93" s="446"/>
      <c r="AM93" s="446"/>
      <c r="AN93" s="678"/>
      <c r="AP93" s="677"/>
      <c r="AQ93" s="446"/>
      <c r="AR93" s="446"/>
      <c r="AS93" s="446"/>
      <c r="AT93" s="446"/>
      <c r="AU93" s="446"/>
      <c r="AV93" s="446"/>
      <c r="AW93" s="446"/>
      <c r="AX93" s="446"/>
      <c r="AY93" s="446"/>
      <c r="AZ93" s="446"/>
      <c r="BA93" s="446"/>
      <c r="BB93" s="446"/>
      <c r="BC93" s="446"/>
      <c r="BD93" s="446"/>
      <c r="BE93" s="446"/>
      <c r="BF93" s="446"/>
      <c r="BG93" s="446"/>
      <c r="BH93" s="678"/>
    </row>
    <row r="94" spans="2:60" x14ac:dyDescent="0.35">
      <c r="B94" s="677"/>
      <c r="C94" s="446"/>
      <c r="D94" s="446"/>
      <c r="E94" s="446"/>
      <c r="F94" s="446"/>
      <c r="G94" s="446"/>
      <c r="H94" s="446"/>
      <c r="I94" s="446"/>
      <c r="J94" s="446"/>
      <c r="K94" s="446"/>
      <c r="L94" s="446"/>
      <c r="M94" s="446"/>
      <c r="N94" s="446"/>
      <c r="O94" s="446"/>
      <c r="P94" s="446"/>
      <c r="Q94" s="446"/>
      <c r="R94" s="446"/>
      <c r="S94" s="446"/>
      <c r="T94" s="678"/>
      <c r="V94" s="677"/>
      <c r="W94" s="446"/>
      <c r="X94" s="446"/>
      <c r="Y94" s="446"/>
      <c r="Z94" s="446"/>
      <c r="AA94" s="446"/>
      <c r="AB94" s="446"/>
      <c r="AC94" s="446"/>
      <c r="AD94" s="446"/>
      <c r="AE94" s="446"/>
      <c r="AF94" s="446"/>
      <c r="AG94" s="446"/>
      <c r="AH94" s="446"/>
      <c r="AI94" s="446"/>
      <c r="AJ94" s="446"/>
      <c r="AK94" s="446"/>
      <c r="AL94" s="446"/>
      <c r="AM94" s="446"/>
      <c r="AN94" s="678"/>
      <c r="AP94" s="677"/>
      <c r="AQ94" s="446"/>
      <c r="AR94" s="446"/>
      <c r="AS94" s="446"/>
      <c r="AT94" s="446"/>
      <c r="AU94" s="446"/>
      <c r="AV94" s="446"/>
      <c r="AW94" s="446"/>
      <c r="AX94" s="446"/>
      <c r="AY94" s="446"/>
      <c r="AZ94" s="446"/>
      <c r="BA94" s="446"/>
      <c r="BB94" s="446"/>
      <c r="BC94" s="446"/>
      <c r="BD94" s="446"/>
      <c r="BE94" s="446"/>
      <c r="BF94" s="446"/>
      <c r="BG94" s="446"/>
      <c r="BH94" s="678"/>
    </row>
    <row r="95" spans="2:60" x14ac:dyDescent="0.35">
      <c r="B95" s="677"/>
      <c r="C95" s="446"/>
      <c r="D95" s="446"/>
      <c r="E95" s="446"/>
      <c r="F95" s="446"/>
      <c r="G95" s="446"/>
      <c r="H95" s="446"/>
      <c r="I95" s="446"/>
      <c r="J95" s="446"/>
      <c r="K95" s="446"/>
      <c r="L95" s="446"/>
      <c r="M95" s="446"/>
      <c r="N95" s="446"/>
      <c r="O95" s="446"/>
      <c r="P95" s="446"/>
      <c r="Q95" s="446"/>
      <c r="R95" s="446"/>
      <c r="S95" s="446"/>
      <c r="T95" s="678"/>
      <c r="V95" s="677"/>
      <c r="W95" s="446"/>
      <c r="X95" s="446"/>
      <c r="Y95" s="446"/>
      <c r="Z95" s="446"/>
      <c r="AA95" s="446"/>
      <c r="AB95" s="446"/>
      <c r="AC95" s="446"/>
      <c r="AD95" s="446"/>
      <c r="AE95" s="446"/>
      <c r="AF95" s="446"/>
      <c r="AG95" s="446"/>
      <c r="AH95" s="446"/>
      <c r="AI95" s="446"/>
      <c r="AJ95" s="446"/>
      <c r="AK95" s="446"/>
      <c r="AL95" s="446"/>
      <c r="AM95" s="446"/>
      <c r="AN95" s="678"/>
      <c r="AP95" s="677"/>
      <c r="AQ95" s="446"/>
      <c r="AR95" s="446"/>
      <c r="AS95" s="446"/>
      <c r="AT95" s="446"/>
      <c r="AU95" s="446"/>
      <c r="AV95" s="446"/>
      <c r="AW95" s="446"/>
      <c r="AX95" s="446"/>
      <c r="AY95" s="446"/>
      <c r="AZ95" s="446"/>
      <c r="BA95" s="446"/>
      <c r="BB95" s="446"/>
      <c r="BC95" s="446"/>
      <c r="BD95" s="446"/>
      <c r="BE95" s="446"/>
      <c r="BF95" s="446"/>
      <c r="BG95" s="446"/>
      <c r="BH95" s="678"/>
    </row>
    <row r="96" spans="2:60" x14ac:dyDescent="0.35">
      <c r="B96" s="677"/>
      <c r="C96" s="446"/>
      <c r="D96" s="446"/>
      <c r="E96" s="446"/>
      <c r="F96" s="446"/>
      <c r="G96" s="446"/>
      <c r="H96" s="446"/>
      <c r="I96" s="446"/>
      <c r="J96" s="446"/>
      <c r="K96" s="446"/>
      <c r="L96" s="446"/>
      <c r="M96" s="446"/>
      <c r="N96" s="446"/>
      <c r="O96" s="446"/>
      <c r="P96" s="446"/>
      <c r="Q96" s="446"/>
      <c r="R96" s="446"/>
      <c r="S96" s="446"/>
      <c r="T96" s="678"/>
      <c r="V96" s="677"/>
      <c r="W96" s="446"/>
      <c r="X96" s="446"/>
      <c r="Y96" s="446"/>
      <c r="Z96" s="446"/>
      <c r="AA96" s="446"/>
      <c r="AB96" s="446"/>
      <c r="AC96" s="446"/>
      <c r="AD96" s="446"/>
      <c r="AE96" s="446"/>
      <c r="AF96" s="446"/>
      <c r="AG96" s="446"/>
      <c r="AH96" s="446"/>
      <c r="AI96" s="446"/>
      <c r="AJ96" s="446"/>
      <c r="AK96" s="446"/>
      <c r="AL96" s="446"/>
      <c r="AM96" s="446"/>
      <c r="AN96" s="678"/>
      <c r="AP96" s="677"/>
      <c r="AQ96" s="446"/>
      <c r="AR96" s="446"/>
      <c r="AS96" s="446"/>
      <c r="AT96" s="446"/>
      <c r="AU96" s="446"/>
      <c r="AV96" s="446"/>
      <c r="AW96" s="446"/>
      <c r="AX96" s="446"/>
      <c r="AY96" s="446"/>
      <c r="AZ96" s="446"/>
      <c r="BA96" s="446"/>
      <c r="BB96" s="446"/>
      <c r="BC96" s="446"/>
      <c r="BD96" s="446"/>
      <c r="BE96" s="446"/>
      <c r="BF96" s="446"/>
      <c r="BG96" s="446"/>
      <c r="BH96" s="678"/>
    </row>
    <row r="97" spans="2:60" x14ac:dyDescent="0.35">
      <c r="B97" s="677"/>
      <c r="C97" s="446"/>
      <c r="D97" s="446"/>
      <c r="E97" s="446"/>
      <c r="F97" s="446"/>
      <c r="G97" s="446"/>
      <c r="H97" s="446"/>
      <c r="I97" s="446"/>
      <c r="J97" s="446"/>
      <c r="K97" s="446"/>
      <c r="L97" s="446"/>
      <c r="M97" s="446"/>
      <c r="N97" s="446"/>
      <c r="O97" s="446"/>
      <c r="P97" s="446"/>
      <c r="Q97" s="446"/>
      <c r="R97" s="446"/>
      <c r="S97" s="446"/>
      <c r="T97" s="678"/>
      <c r="V97" s="677"/>
      <c r="W97" s="446"/>
      <c r="X97" s="446"/>
      <c r="Y97" s="446"/>
      <c r="Z97" s="446"/>
      <c r="AA97" s="446"/>
      <c r="AB97" s="446"/>
      <c r="AC97" s="446"/>
      <c r="AD97" s="446"/>
      <c r="AE97" s="446"/>
      <c r="AF97" s="446"/>
      <c r="AG97" s="446"/>
      <c r="AH97" s="446"/>
      <c r="AI97" s="446"/>
      <c r="AJ97" s="446"/>
      <c r="AK97" s="446"/>
      <c r="AL97" s="446"/>
      <c r="AM97" s="446"/>
      <c r="AN97" s="678"/>
      <c r="AP97" s="677"/>
      <c r="AQ97" s="446"/>
      <c r="AR97" s="446"/>
      <c r="AS97" s="446"/>
      <c r="AT97" s="446"/>
      <c r="AU97" s="446"/>
      <c r="AV97" s="446"/>
      <c r="AW97" s="446"/>
      <c r="AX97" s="446"/>
      <c r="AY97" s="446"/>
      <c r="AZ97" s="446"/>
      <c r="BA97" s="446"/>
      <c r="BB97" s="446"/>
      <c r="BC97" s="446"/>
      <c r="BD97" s="446"/>
      <c r="BE97" s="446"/>
      <c r="BF97" s="446"/>
      <c r="BG97" s="446"/>
      <c r="BH97" s="678"/>
    </row>
    <row r="98" spans="2:60" x14ac:dyDescent="0.35">
      <c r="B98" s="677"/>
      <c r="C98" s="446"/>
      <c r="D98" s="446"/>
      <c r="E98" s="446"/>
      <c r="F98" s="446"/>
      <c r="G98" s="446"/>
      <c r="H98" s="446"/>
      <c r="I98" s="446"/>
      <c r="J98" s="446"/>
      <c r="K98" s="446"/>
      <c r="L98" s="446"/>
      <c r="M98" s="446"/>
      <c r="N98" s="446"/>
      <c r="O98" s="446"/>
      <c r="P98" s="446"/>
      <c r="Q98" s="446"/>
      <c r="R98" s="446"/>
      <c r="S98" s="446"/>
      <c r="T98" s="678"/>
      <c r="V98" s="677"/>
      <c r="W98" s="446"/>
      <c r="X98" s="446"/>
      <c r="Y98" s="446"/>
      <c r="Z98" s="446"/>
      <c r="AA98" s="446"/>
      <c r="AB98" s="446"/>
      <c r="AC98" s="446"/>
      <c r="AD98" s="446"/>
      <c r="AE98" s="446"/>
      <c r="AF98" s="446"/>
      <c r="AG98" s="446"/>
      <c r="AH98" s="446"/>
      <c r="AI98" s="446"/>
      <c r="AJ98" s="446"/>
      <c r="AK98" s="446"/>
      <c r="AL98" s="446"/>
      <c r="AM98" s="446"/>
      <c r="AN98" s="678"/>
      <c r="AP98" s="677"/>
      <c r="AQ98" s="446"/>
      <c r="AR98" s="446"/>
      <c r="AS98" s="446"/>
      <c r="AT98" s="446"/>
      <c r="AU98" s="446"/>
      <c r="AV98" s="446"/>
      <c r="AW98" s="446"/>
      <c r="AX98" s="446"/>
      <c r="AY98" s="446"/>
      <c r="AZ98" s="446"/>
      <c r="BA98" s="446"/>
      <c r="BB98" s="446"/>
      <c r="BC98" s="446"/>
      <c r="BD98" s="446"/>
      <c r="BE98" s="446"/>
      <c r="BF98" s="446"/>
      <c r="BG98" s="446"/>
      <c r="BH98" s="678"/>
    </row>
    <row r="99" spans="2:60" x14ac:dyDescent="0.35">
      <c r="B99" s="677"/>
      <c r="C99" s="446"/>
      <c r="D99" s="446"/>
      <c r="E99" s="446"/>
      <c r="F99" s="446"/>
      <c r="G99" s="446"/>
      <c r="H99" s="446"/>
      <c r="I99" s="446"/>
      <c r="J99" s="446"/>
      <c r="K99" s="446"/>
      <c r="L99" s="446"/>
      <c r="M99" s="446"/>
      <c r="N99" s="446"/>
      <c r="O99" s="446"/>
      <c r="P99" s="446"/>
      <c r="Q99" s="446"/>
      <c r="R99" s="446"/>
      <c r="S99" s="446"/>
      <c r="T99" s="678"/>
      <c r="V99" s="677"/>
      <c r="W99" s="446"/>
      <c r="X99" s="446"/>
      <c r="Y99" s="446"/>
      <c r="Z99" s="446"/>
      <c r="AA99" s="446"/>
      <c r="AB99" s="446"/>
      <c r="AC99" s="446"/>
      <c r="AD99" s="446"/>
      <c r="AE99" s="446"/>
      <c r="AF99" s="446"/>
      <c r="AG99" s="446"/>
      <c r="AH99" s="446"/>
      <c r="AI99" s="446"/>
      <c r="AJ99" s="446"/>
      <c r="AK99" s="446"/>
      <c r="AL99" s="446"/>
      <c r="AM99" s="446"/>
      <c r="AN99" s="678"/>
      <c r="AP99" s="677"/>
      <c r="AQ99" s="446"/>
      <c r="AR99" s="446"/>
      <c r="AS99" s="446"/>
      <c r="AT99" s="446"/>
      <c r="AU99" s="446"/>
      <c r="AV99" s="446"/>
      <c r="AW99" s="446"/>
      <c r="AX99" s="446"/>
      <c r="AY99" s="446"/>
      <c r="AZ99" s="446"/>
      <c r="BA99" s="446"/>
      <c r="BB99" s="446"/>
      <c r="BC99" s="446"/>
      <c r="BD99" s="446"/>
      <c r="BE99" s="446"/>
      <c r="BF99" s="446"/>
      <c r="BG99" s="446"/>
      <c r="BH99" s="678"/>
    </row>
    <row r="100" spans="2:60" x14ac:dyDescent="0.35">
      <c r="B100" s="677"/>
      <c r="C100" s="446"/>
      <c r="D100" s="446"/>
      <c r="E100" s="446"/>
      <c r="F100" s="446"/>
      <c r="G100" s="446"/>
      <c r="H100" s="446"/>
      <c r="I100" s="446"/>
      <c r="J100" s="446"/>
      <c r="K100" s="446"/>
      <c r="L100" s="446"/>
      <c r="M100" s="446"/>
      <c r="N100" s="446"/>
      <c r="O100" s="446"/>
      <c r="P100" s="446"/>
      <c r="Q100" s="446"/>
      <c r="R100" s="446"/>
      <c r="S100" s="446"/>
      <c r="T100" s="678"/>
      <c r="V100" s="677"/>
      <c r="W100" s="446"/>
      <c r="X100" s="446"/>
      <c r="Y100" s="446"/>
      <c r="Z100" s="446"/>
      <c r="AA100" s="446"/>
      <c r="AB100" s="446"/>
      <c r="AC100" s="446"/>
      <c r="AD100" s="446"/>
      <c r="AE100" s="446"/>
      <c r="AF100" s="446"/>
      <c r="AG100" s="446"/>
      <c r="AH100" s="446"/>
      <c r="AI100" s="446"/>
      <c r="AJ100" s="446"/>
      <c r="AK100" s="446"/>
      <c r="AL100" s="446"/>
      <c r="AM100" s="446"/>
      <c r="AN100" s="678"/>
      <c r="AP100" s="677"/>
      <c r="AQ100" s="446"/>
      <c r="AR100" s="446"/>
      <c r="AS100" s="446"/>
      <c r="AT100" s="446"/>
      <c r="AU100" s="446"/>
      <c r="AV100" s="446"/>
      <c r="AW100" s="446"/>
      <c r="AX100" s="446"/>
      <c r="AY100" s="446"/>
      <c r="AZ100" s="446"/>
      <c r="BA100" s="446"/>
      <c r="BB100" s="446"/>
      <c r="BC100" s="446"/>
      <c r="BD100" s="446"/>
      <c r="BE100" s="446"/>
      <c r="BF100" s="446"/>
      <c r="BG100" s="446"/>
      <c r="BH100" s="678"/>
    </row>
    <row r="101" spans="2:60" x14ac:dyDescent="0.35">
      <c r="B101" s="677"/>
      <c r="C101" s="446"/>
      <c r="D101" s="446"/>
      <c r="E101" s="446"/>
      <c r="F101" s="446"/>
      <c r="G101" s="446"/>
      <c r="H101" s="446"/>
      <c r="I101" s="446"/>
      <c r="J101" s="446"/>
      <c r="K101" s="446"/>
      <c r="L101" s="446"/>
      <c r="M101" s="446"/>
      <c r="N101" s="446"/>
      <c r="O101" s="446"/>
      <c r="P101" s="446"/>
      <c r="Q101" s="446"/>
      <c r="R101" s="446"/>
      <c r="S101" s="446"/>
      <c r="T101" s="678"/>
      <c r="V101" s="677"/>
      <c r="W101" s="446"/>
      <c r="X101" s="446"/>
      <c r="Y101" s="446"/>
      <c r="Z101" s="446"/>
      <c r="AA101" s="446"/>
      <c r="AB101" s="446"/>
      <c r="AC101" s="446"/>
      <c r="AD101" s="446"/>
      <c r="AE101" s="446"/>
      <c r="AF101" s="446"/>
      <c r="AG101" s="446"/>
      <c r="AH101" s="446"/>
      <c r="AI101" s="446"/>
      <c r="AJ101" s="446"/>
      <c r="AK101" s="446"/>
      <c r="AL101" s="446"/>
      <c r="AM101" s="446"/>
      <c r="AN101" s="678"/>
      <c r="AP101" s="677"/>
      <c r="AQ101" s="446"/>
      <c r="AR101" s="446"/>
      <c r="AS101" s="446"/>
      <c r="AT101" s="446"/>
      <c r="AU101" s="446"/>
      <c r="AV101" s="446"/>
      <c r="AW101" s="446"/>
      <c r="AX101" s="446"/>
      <c r="AY101" s="446"/>
      <c r="AZ101" s="446"/>
      <c r="BA101" s="446"/>
      <c r="BB101" s="446"/>
      <c r="BC101" s="446"/>
      <c r="BD101" s="446"/>
      <c r="BE101" s="446"/>
      <c r="BF101" s="446"/>
      <c r="BG101" s="446"/>
      <c r="BH101" s="678"/>
    </row>
    <row r="102" spans="2:60" x14ac:dyDescent="0.35">
      <c r="B102" s="677"/>
      <c r="C102" s="446"/>
      <c r="D102" s="446"/>
      <c r="E102" s="446"/>
      <c r="F102" s="446"/>
      <c r="G102" s="446"/>
      <c r="H102" s="446"/>
      <c r="I102" s="446"/>
      <c r="J102" s="446"/>
      <c r="K102" s="446"/>
      <c r="L102" s="446"/>
      <c r="M102" s="446"/>
      <c r="N102" s="446"/>
      <c r="O102" s="446"/>
      <c r="P102" s="446"/>
      <c r="Q102" s="446"/>
      <c r="R102" s="446"/>
      <c r="S102" s="446"/>
      <c r="T102" s="678"/>
      <c r="V102" s="677"/>
      <c r="W102" s="446"/>
      <c r="X102" s="446"/>
      <c r="Y102" s="446"/>
      <c r="Z102" s="446"/>
      <c r="AA102" s="446"/>
      <c r="AB102" s="446"/>
      <c r="AC102" s="446"/>
      <c r="AD102" s="446"/>
      <c r="AE102" s="446"/>
      <c r="AF102" s="446"/>
      <c r="AG102" s="446"/>
      <c r="AH102" s="446"/>
      <c r="AI102" s="446"/>
      <c r="AJ102" s="446"/>
      <c r="AK102" s="446"/>
      <c r="AL102" s="446"/>
      <c r="AM102" s="446"/>
      <c r="AN102" s="678"/>
      <c r="AP102" s="677"/>
      <c r="AQ102" s="446"/>
      <c r="AR102" s="446"/>
      <c r="AS102" s="446"/>
      <c r="AT102" s="446"/>
      <c r="AU102" s="446"/>
      <c r="AV102" s="446"/>
      <c r="AW102" s="446"/>
      <c r="AX102" s="446"/>
      <c r="AY102" s="446"/>
      <c r="AZ102" s="446"/>
      <c r="BA102" s="446"/>
      <c r="BB102" s="446"/>
      <c r="BC102" s="446"/>
      <c r="BD102" s="446"/>
      <c r="BE102" s="446"/>
      <c r="BF102" s="446"/>
      <c r="BG102" s="446"/>
      <c r="BH102" s="678"/>
    </row>
    <row r="103" spans="2:60" x14ac:dyDescent="0.35">
      <c r="B103" s="677"/>
      <c r="C103" s="446"/>
      <c r="D103" s="446"/>
      <c r="E103" s="446"/>
      <c r="F103" s="446"/>
      <c r="G103" s="446"/>
      <c r="H103" s="446"/>
      <c r="I103" s="446"/>
      <c r="J103" s="446"/>
      <c r="K103" s="446"/>
      <c r="L103" s="446"/>
      <c r="M103" s="446"/>
      <c r="N103" s="446"/>
      <c r="O103" s="446"/>
      <c r="P103" s="446"/>
      <c r="Q103" s="446"/>
      <c r="R103" s="446"/>
      <c r="S103" s="446"/>
      <c r="T103" s="678"/>
      <c r="V103" s="677"/>
      <c r="W103" s="446"/>
      <c r="X103" s="446"/>
      <c r="Y103" s="446"/>
      <c r="Z103" s="446"/>
      <c r="AA103" s="446"/>
      <c r="AB103" s="446"/>
      <c r="AC103" s="446"/>
      <c r="AD103" s="446"/>
      <c r="AE103" s="446"/>
      <c r="AF103" s="446"/>
      <c r="AG103" s="446"/>
      <c r="AH103" s="446"/>
      <c r="AI103" s="446"/>
      <c r="AJ103" s="446"/>
      <c r="AK103" s="446"/>
      <c r="AL103" s="446"/>
      <c r="AM103" s="446"/>
      <c r="AN103" s="678"/>
      <c r="AP103" s="677"/>
      <c r="AQ103" s="446"/>
      <c r="AR103" s="446"/>
      <c r="AS103" s="446"/>
      <c r="AT103" s="446"/>
      <c r="AU103" s="446"/>
      <c r="AV103" s="446"/>
      <c r="AW103" s="446"/>
      <c r="AX103" s="446"/>
      <c r="AY103" s="446"/>
      <c r="AZ103" s="446"/>
      <c r="BA103" s="446"/>
      <c r="BB103" s="446"/>
      <c r="BC103" s="446"/>
      <c r="BD103" s="446"/>
      <c r="BE103" s="446"/>
      <c r="BF103" s="446"/>
      <c r="BG103" s="446"/>
      <c r="BH103" s="678"/>
    </row>
    <row r="104" spans="2:60" x14ac:dyDescent="0.35">
      <c r="B104" s="677"/>
      <c r="C104" s="446"/>
      <c r="D104" s="446"/>
      <c r="E104" s="446"/>
      <c r="F104" s="446"/>
      <c r="G104" s="446"/>
      <c r="H104" s="446"/>
      <c r="I104" s="446"/>
      <c r="J104" s="446"/>
      <c r="K104" s="446"/>
      <c r="L104" s="446"/>
      <c r="M104" s="446"/>
      <c r="N104" s="446"/>
      <c r="O104" s="446"/>
      <c r="P104" s="446"/>
      <c r="Q104" s="446"/>
      <c r="R104" s="446"/>
      <c r="S104" s="446"/>
      <c r="T104" s="678"/>
      <c r="V104" s="677"/>
      <c r="W104" s="446"/>
      <c r="X104" s="446"/>
      <c r="Y104" s="446"/>
      <c r="Z104" s="446"/>
      <c r="AA104" s="446"/>
      <c r="AB104" s="446"/>
      <c r="AC104" s="446"/>
      <c r="AD104" s="446"/>
      <c r="AE104" s="446"/>
      <c r="AF104" s="446"/>
      <c r="AG104" s="446"/>
      <c r="AH104" s="446"/>
      <c r="AI104" s="446"/>
      <c r="AJ104" s="446"/>
      <c r="AK104" s="446"/>
      <c r="AL104" s="446"/>
      <c r="AM104" s="446"/>
      <c r="AN104" s="678"/>
      <c r="AP104" s="677"/>
      <c r="AQ104" s="446"/>
      <c r="AR104" s="446"/>
      <c r="AS104" s="446"/>
      <c r="AT104" s="446"/>
      <c r="AU104" s="446"/>
      <c r="AV104" s="446"/>
      <c r="AW104" s="446"/>
      <c r="AX104" s="446"/>
      <c r="AY104" s="446"/>
      <c r="AZ104" s="446"/>
      <c r="BA104" s="446"/>
      <c r="BB104" s="446"/>
      <c r="BC104" s="446"/>
      <c r="BD104" s="446"/>
      <c r="BE104" s="446"/>
      <c r="BF104" s="446"/>
      <c r="BG104" s="446"/>
      <c r="BH104" s="678"/>
    </row>
    <row r="105" spans="2:60" x14ac:dyDescent="0.35">
      <c r="B105" s="677"/>
      <c r="C105" s="446"/>
      <c r="D105" s="446"/>
      <c r="E105" s="446"/>
      <c r="F105" s="446"/>
      <c r="G105" s="446"/>
      <c r="H105" s="446"/>
      <c r="I105" s="446"/>
      <c r="J105" s="446"/>
      <c r="K105" s="446"/>
      <c r="L105" s="446"/>
      <c r="M105" s="446"/>
      <c r="N105" s="446"/>
      <c r="O105" s="446"/>
      <c r="P105" s="446"/>
      <c r="Q105" s="446"/>
      <c r="R105" s="446"/>
      <c r="S105" s="446"/>
      <c r="T105" s="678"/>
      <c r="V105" s="677"/>
      <c r="W105" s="446"/>
      <c r="X105" s="446"/>
      <c r="Y105" s="446"/>
      <c r="Z105" s="446"/>
      <c r="AA105" s="446"/>
      <c r="AB105" s="446"/>
      <c r="AC105" s="446"/>
      <c r="AD105" s="446"/>
      <c r="AE105" s="446"/>
      <c r="AF105" s="446"/>
      <c r="AG105" s="446"/>
      <c r="AH105" s="446"/>
      <c r="AI105" s="446"/>
      <c r="AJ105" s="446"/>
      <c r="AK105" s="446"/>
      <c r="AL105" s="446"/>
      <c r="AM105" s="446"/>
      <c r="AN105" s="678"/>
      <c r="AP105" s="677"/>
      <c r="AQ105" s="446"/>
      <c r="AR105" s="446"/>
      <c r="AS105" s="446"/>
      <c r="AT105" s="446"/>
      <c r="AU105" s="446"/>
      <c r="AV105" s="446"/>
      <c r="AW105" s="446"/>
      <c r="AX105" s="446"/>
      <c r="AY105" s="446"/>
      <c r="AZ105" s="446"/>
      <c r="BA105" s="446"/>
      <c r="BB105" s="446"/>
      <c r="BC105" s="446"/>
      <c r="BD105" s="446"/>
      <c r="BE105" s="446"/>
      <c r="BF105" s="446"/>
      <c r="BG105" s="446"/>
      <c r="BH105" s="678"/>
    </row>
    <row r="106" spans="2:60" ht="15" thickBot="1" x14ac:dyDescent="0.4">
      <c r="B106" s="679"/>
      <c r="C106" s="680"/>
      <c r="D106" s="680"/>
      <c r="E106" s="680"/>
      <c r="F106" s="680"/>
      <c r="G106" s="680"/>
      <c r="H106" s="680"/>
      <c r="I106" s="680"/>
      <c r="J106" s="680"/>
      <c r="K106" s="680"/>
      <c r="L106" s="680"/>
      <c r="M106" s="680"/>
      <c r="N106" s="680"/>
      <c r="O106" s="680"/>
      <c r="P106" s="680"/>
      <c r="Q106" s="680"/>
      <c r="R106" s="680"/>
      <c r="S106" s="680"/>
      <c r="T106" s="681"/>
      <c r="V106" s="679"/>
      <c r="W106" s="680"/>
      <c r="X106" s="680"/>
      <c r="Y106" s="680"/>
      <c r="Z106" s="680"/>
      <c r="AA106" s="680"/>
      <c r="AB106" s="680"/>
      <c r="AC106" s="680"/>
      <c r="AD106" s="680"/>
      <c r="AE106" s="680"/>
      <c r="AF106" s="680"/>
      <c r="AG106" s="680"/>
      <c r="AH106" s="680"/>
      <c r="AI106" s="680"/>
      <c r="AJ106" s="680"/>
      <c r="AK106" s="680"/>
      <c r="AL106" s="680"/>
      <c r="AM106" s="680"/>
      <c r="AN106" s="681"/>
      <c r="AP106" s="679"/>
      <c r="AQ106" s="680"/>
      <c r="AR106" s="680"/>
      <c r="AS106" s="680"/>
      <c r="AT106" s="680"/>
      <c r="AU106" s="680"/>
      <c r="AV106" s="680"/>
      <c r="AW106" s="680"/>
      <c r="AX106" s="680"/>
      <c r="AY106" s="680"/>
      <c r="AZ106" s="680"/>
      <c r="BA106" s="680"/>
      <c r="BB106" s="680"/>
      <c r="BC106" s="680"/>
      <c r="BD106" s="680"/>
      <c r="BE106" s="680"/>
      <c r="BF106" s="680"/>
      <c r="BG106" s="680"/>
      <c r="BH106" s="681"/>
    </row>
  </sheetData>
  <pageMargins left="0.7" right="0.7" top="0.75" bottom="0.75" header="0.3" footer="0.3"/>
  <pageSetup orientation="portrait" r:id="rId1"/>
  <drawing r:id="rId2"/>
  <legacyDrawing r:id="rId3"/>
  <controls>
    <mc:AlternateContent xmlns:mc="http://schemas.openxmlformats.org/markup-compatibility/2006">
      <mc:Choice Requires="x14">
        <control shapeId="3" r:id="rId4" name="Hovedfigur_knapp">
          <controlPr defaultSize="0" autoLine="0" autoPict="0" r:id="rId5">
            <anchor moveWithCells="1">
              <from>
                <xdr:col>8</xdr:col>
                <xdr:colOff>641350</xdr:colOff>
                <xdr:row>3</xdr:row>
                <xdr:rowOff>50800</xdr:rowOff>
              </from>
              <to>
                <xdr:col>13</xdr:col>
                <xdr:colOff>69850</xdr:colOff>
                <xdr:row>7</xdr:row>
                <xdr:rowOff>0</xdr:rowOff>
              </to>
            </anchor>
          </controlPr>
        </control>
      </mc:Choice>
      <mc:Fallback>
        <control shapeId="31746" r:id="rId4" name="Hovedfigur_knapp"/>
      </mc:Fallback>
    </mc:AlternateContent>
    <mc:AlternateContent xmlns:mc="http://schemas.openxmlformats.org/markup-compatibility/2006">
      <mc:Choice Requires="x14">
        <control shapeId="5" r:id="rId6" name="Trafikantnytte_knapp">
          <controlPr defaultSize="0" autoLine="0" autoPict="0" r:id="rId7">
            <anchor moveWithCells="1">
              <from>
                <xdr:col>8</xdr:col>
                <xdr:colOff>641350</xdr:colOff>
                <xdr:row>8</xdr:row>
                <xdr:rowOff>31750</xdr:rowOff>
              </from>
              <to>
                <xdr:col>13</xdr:col>
                <xdr:colOff>12700</xdr:colOff>
                <xdr:row>11</xdr:row>
                <xdr:rowOff>165100</xdr:rowOff>
              </to>
            </anchor>
          </controlPr>
        </control>
      </mc:Choice>
      <mc:Fallback>
        <control shapeId="31747" r:id="rId6" name="Trafikantnytte_knapp"/>
      </mc:Fallback>
    </mc:AlternateContent>
    <mc:AlternateContent xmlns:mc="http://schemas.openxmlformats.org/markup-compatibility/2006">
      <mc:Choice Requires="x14">
        <control shapeId="9" r:id="rId8" name="Operatornytte_knapp">
          <controlPr defaultSize="0" autoLine="0" autoPict="0" r:id="rId9">
            <anchor moveWithCells="1">
              <from>
                <xdr:col>13</xdr:col>
                <xdr:colOff>381000</xdr:colOff>
                <xdr:row>3</xdr:row>
                <xdr:rowOff>50800</xdr:rowOff>
              </from>
              <to>
                <xdr:col>19</xdr:col>
                <xdr:colOff>381000</xdr:colOff>
                <xdr:row>7</xdr:row>
                <xdr:rowOff>0</xdr:rowOff>
              </to>
            </anchor>
          </controlPr>
        </control>
      </mc:Choice>
      <mc:Fallback>
        <control shapeId="31748" r:id="rId8" name="Operatornytte_knapp"/>
      </mc:Fallback>
    </mc:AlternateContent>
    <mc:AlternateContent xmlns:mc="http://schemas.openxmlformats.org/markup-compatibility/2006">
      <mc:Choice Requires="x14">
        <control shapeId="10" r:id="rId10" name="Offentlige_knapp">
          <controlPr defaultSize="0" autoLine="0" autoPict="0" r:id="rId11">
            <anchor moveWithCells="1">
              <from>
                <xdr:col>13</xdr:col>
                <xdr:colOff>361950</xdr:colOff>
                <xdr:row>8</xdr:row>
                <xdr:rowOff>31750</xdr:rowOff>
              </from>
              <to>
                <xdr:col>19</xdr:col>
                <xdr:colOff>381000</xdr:colOff>
                <xdr:row>11</xdr:row>
                <xdr:rowOff>184150</xdr:rowOff>
              </to>
            </anchor>
          </controlPr>
        </control>
      </mc:Choice>
      <mc:Fallback>
        <control shapeId="31749" r:id="rId10" name="Offentlige_knapp"/>
      </mc:Fallback>
    </mc:AlternateContent>
    <mc:AlternateContent xmlns:mc="http://schemas.openxmlformats.org/markup-compatibility/2006">
      <mc:Choice Requires="x14">
        <control shapeId="11" r:id="rId12" name="Samfunnet_knapp">
          <controlPr defaultSize="0" autoLine="0" autoPict="0" r:id="rId13">
            <anchor moveWithCells="1">
              <from>
                <xdr:col>8</xdr:col>
                <xdr:colOff>641350</xdr:colOff>
                <xdr:row>13</xdr:row>
                <xdr:rowOff>19050</xdr:rowOff>
              </from>
              <to>
                <xdr:col>19</xdr:col>
                <xdr:colOff>381000</xdr:colOff>
                <xdr:row>16</xdr:row>
                <xdr:rowOff>184150</xdr:rowOff>
              </to>
            </anchor>
          </controlPr>
        </control>
      </mc:Choice>
      <mc:Fallback>
        <control shapeId="31750" r:id="rId12" name="Samfunnet_knapp"/>
      </mc:Fallback>
    </mc:AlternateContent>
    <mc:AlternateContent xmlns:mc="http://schemas.openxmlformats.org/markup-compatibility/2006">
      <mc:Choice Requires="x14">
        <control shapeId="12" r:id="rId14" name="Stolpediagram_knapp">
          <controlPr defaultSize="0" autoLine="0" autoPict="0" r:id="rId15">
            <anchor moveWithCells="1">
              <from>
                <xdr:col>8</xdr:col>
                <xdr:colOff>641350</xdr:colOff>
                <xdr:row>18</xdr:row>
                <xdr:rowOff>19050</xdr:rowOff>
              </from>
              <to>
                <xdr:col>19</xdr:col>
                <xdr:colOff>381000</xdr:colOff>
                <xdr:row>21</xdr:row>
                <xdr:rowOff>152400</xdr:rowOff>
              </to>
            </anchor>
          </controlPr>
        </control>
      </mc:Choice>
      <mc:Fallback>
        <control shapeId="31754" r:id="rId14" name="Stolpediagram_knapp"/>
      </mc:Fallback>
    </mc:AlternateContent>
    <mc:AlternateContent xmlns:mc="http://schemas.openxmlformats.org/markup-compatibility/2006">
      <mc:Choice Requires="x14">
        <control shapeId="13" r:id="rId16" name="TrafikantKake_knapp">
          <controlPr defaultSize="0" autoLine="0" autoPict="0" r:id="rId17">
            <anchor moveWithCells="1">
              <from>
                <xdr:col>8</xdr:col>
                <xdr:colOff>647700</xdr:colOff>
                <xdr:row>23</xdr:row>
                <xdr:rowOff>0</xdr:rowOff>
              </from>
              <to>
                <xdr:col>19</xdr:col>
                <xdr:colOff>336550</xdr:colOff>
                <xdr:row>26</xdr:row>
                <xdr:rowOff>171450</xdr:rowOff>
              </to>
            </anchor>
          </controlPr>
        </control>
      </mc:Choice>
      <mc:Fallback>
        <control shapeId="31757" r:id="rId16" name="TrafikantKake_knapp"/>
      </mc:Fallback>
    </mc:AlternateContent>
    <mc:AlternateContent xmlns:mc="http://schemas.openxmlformats.org/markup-compatibility/2006">
      <mc:Choice Requires="x14">
        <control shapeId="25" r:id="rId18" name="TrafikantKakeProsent_knapp">
          <controlPr defaultSize="0" autoLine="0" autoPict="0" r:id="rId19">
            <anchor moveWithCells="1">
              <from>
                <xdr:col>8</xdr:col>
                <xdr:colOff>641350</xdr:colOff>
                <xdr:row>27</xdr:row>
                <xdr:rowOff>190500</xdr:rowOff>
              </from>
              <to>
                <xdr:col>19</xdr:col>
                <xdr:colOff>412750</xdr:colOff>
                <xdr:row>31</xdr:row>
                <xdr:rowOff>165100</xdr:rowOff>
              </to>
            </anchor>
          </controlPr>
        </control>
      </mc:Choice>
      <mc:Fallback>
        <control shapeId="31803" r:id="rId18" name="TrafikantKakeProsent_knapp"/>
      </mc:Fallback>
    </mc:AlternateContent>
    <mc:AlternateContent xmlns:mc="http://schemas.openxmlformats.org/markup-compatibility/2006">
      <mc:Choice Requires="x14">
        <control shapeId="14" r:id="rId20" name="Button 44">
          <controlPr defaultSize="0" print="0" autoFill="0" autoPict="0" macro="[0]!Zoom_ut">
            <anchor moveWithCells="1" sizeWithCells="1">
              <from>
                <xdr:col>22</xdr:col>
                <xdr:colOff>127000</xdr:colOff>
                <xdr:row>4</xdr:row>
                <xdr:rowOff>38100</xdr:rowOff>
              </from>
              <to>
                <xdr:col>23</xdr:col>
                <xdr:colOff>457200</xdr:colOff>
                <xdr:row>6</xdr:row>
                <xdr:rowOff>165100</xdr:rowOff>
              </to>
            </anchor>
          </controlPr>
        </control>
      </mc:Choice>
    </mc:AlternateContent>
    <mc:AlternateContent xmlns:mc="http://schemas.openxmlformats.org/markup-compatibility/2006">
      <mc:Choice Requires="x14">
        <control shapeId="16" r:id="rId21" name="Button 47">
          <controlPr defaultSize="0" print="0" autoFill="0" autoPict="0" macro="[0]!Zoom_ut">
            <anchor moveWithCells="1" sizeWithCells="1">
              <from>
                <xdr:col>41</xdr:col>
                <xdr:colOff>736600</xdr:colOff>
                <xdr:row>4</xdr:row>
                <xdr:rowOff>171450</xdr:rowOff>
              </from>
              <to>
                <xdr:col>43</xdr:col>
                <xdr:colOff>508000</xdr:colOff>
                <xdr:row>7</xdr:row>
                <xdr:rowOff>88900</xdr:rowOff>
              </to>
            </anchor>
          </controlPr>
        </control>
      </mc:Choice>
    </mc:AlternateContent>
    <mc:AlternateContent xmlns:mc="http://schemas.openxmlformats.org/markup-compatibility/2006">
      <mc:Choice Requires="x14">
        <control shapeId="17" r:id="rId22" name="Button 51">
          <controlPr defaultSize="0" print="0" autoFill="0" autoPict="0" macro="[0]!Zoom_ut">
            <anchor moveWithCells="1" sizeWithCells="1">
              <from>
                <xdr:col>42</xdr:col>
                <xdr:colOff>38100</xdr:colOff>
                <xdr:row>40</xdr:row>
                <xdr:rowOff>127000</xdr:rowOff>
              </from>
              <to>
                <xdr:col>43</xdr:col>
                <xdr:colOff>571500</xdr:colOff>
                <xdr:row>43</xdr:row>
                <xdr:rowOff>38100</xdr:rowOff>
              </to>
            </anchor>
          </controlPr>
        </control>
      </mc:Choice>
    </mc:AlternateContent>
    <mc:AlternateContent xmlns:mc="http://schemas.openxmlformats.org/markup-compatibility/2006">
      <mc:Choice Requires="x14">
        <control shapeId="18" r:id="rId23" name="Button 54">
          <controlPr defaultSize="0" print="0" autoFill="0" autoPict="0" macro="[0]!Zoom_ut">
            <anchor moveWithCells="1" sizeWithCells="1">
              <from>
                <xdr:col>22</xdr:col>
                <xdr:colOff>12700</xdr:colOff>
                <xdr:row>40</xdr:row>
                <xdr:rowOff>38100</xdr:rowOff>
              </from>
              <to>
                <xdr:col>23</xdr:col>
                <xdr:colOff>546100</xdr:colOff>
                <xdr:row>42</xdr:row>
                <xdr:rowOff>146050</xdr:rowOff>
              </to>
            </anchor>
          </controlPr>
        </control>
      </mc:Choice>
    </mc:AlternateContent>
    <mc:AlternateContent xmlns:mc="http://schemas.openxmlformats.org/markup-compatibility/2006">
      <mc:Choice Requires="x14">
        <control shapeId="21" r:id="rId24" name="Button 55">
          <controlPr defaultSize="0" print="0" autoFill="0" autoPict="0" macro="[0]!Zoom_ut">
            <anchor moveWithCells="1" sizeWithCells="1">
              <from>
                <xdr:col>1</xdr:col>
                <xdr:colOff>736600</xdr:colOff>
                <xdr:row>76</xdr:row>
                <xdr:rowOff>31750</xdr:rowOff>
              </from>
              <to>
                <xdr:col>3</xdr:col>
                <xdr:colOff>508000</xdr:colOff>
                <xdr:row>78</xdr:row>
                <xdr:rowOff>133350</xdr:rowOff>
              </to>
            </anchor>
          </controlPr>
        </control>
      </mc:Choice>
    </mc:AlternateContent>
    <mc:AlternateContent xmlns:mc="http://schemas.openxmlformats.org/markup-compatibility/2006">
      <mc:Choice Requires="x14">
        <control shapeId="22" r:id="rId25" name="Button 56">
          <controlPr defaultSize="0" print="0" autoFill="0" autoPict="0" macro="[0]!Zoom_ut">
            <anchor moveWithCells="1" sizeWithCells="1">
              <from>
                <xdr:col>1</xdr:col>
                <xdr:colOff>666750</xdr:colOff>
                <xdr:row>39</xdr:row>
                <xdr:rowOff>50800</xdr:rowOff>
              </from>
              <to>
                <xdr:col>3</xdr:col>
                <xdr:colOff>438150</xdr:colOff>
                <xdr:row>41</xdr:row>
                <xdr:rowOff>152400</xdr:rowOff>
              </to>
            </anchor>
          </controlPr>
        </control>
      </mc:Choice>
    </mc:AlternateContent>
    <mc:AlternateContent xmlns:mc="http://schemas.openxmlformats.org/markup-compatibility/2006">
      <mc:Choice Requires="x14">
        <control shapeId="23" r:id="rId26" name="Button 57">
          <controlPr defaultSize="0" print="0" autoFill="0" autoPict="0" macro="[0]!Zoom_ut">
            <anchor moveWithCells="1" sizeWithCells="1">
              <from>
                <xdr:col>22</xdr:col>
                <xdr:colOff>31750</xdr:colOff>
                <xdr:row>75</xdr:row>
                <xdr:rowOff>19050</xdr:rowOff>
              </from>
              <to>
                <xdr:col>23</xdr:col>
                <xdr:colOff>565150</xdr:colOff>
                <xdr:row>77</xdr:row>
                <xdr:rowOff>127000</xdr:rowOff>
              </to>
            </anchor>
          </controlPr>
        </control>
      </mc:Choice>
    </mc:AlternateContent>
    <mc:AlternateContent xmlns:mc="http://schemas.openxmlformats.org/markup-compatibility/2006">
      <mc:Choice Requires="x14">
        <control shapeId="24" r:id="rId27" name="Button 58">
          <controlPr defaultSize="0" print="0" autoFill="0" autoPict="0" macro="[0]!Zoom_ut">
            <anchor moveWithCells="1" sizeWithCells="1">
              <from>
                <xdr:col>42</xdr:col>
                <xdr:colOff>38100</xdr:colOff>
                <xdr:row>75</xdr:row>
                <xdr:rowOff>19050</xdr:rowOff>
              </from>
              <to>
                <xdr:col>43</xdr:col>
                <xdr:colOff>571500</xdr:colOff>
                <xdr:row>77</xdr:row>
                <xdr:rowOff>133350</xdr:rowOff>
              </to>
            </anchor>
          </controlPr>
        </control>
      </mc:Choice>
    </mc:AlternateContent>
  </controls>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8C3FFE-B03D-4692-8AA9-019FBF6DAED6}">
  <sheetPr codeName="Ark1911">
    <tabColor theme="4" tint="-0.249977111117893"/>
  </sheetPr>
  <dimension ref="B1:BH95"/>
  <sheetViews>
    <sheetView zoomScale="40" zoomScaleNormal="40" workbookViewId="0"/>
  </sheetViews>
  <sheetFormatPr baseColWidth="10" defaultColWidth="11.453125" defaultRowHeight="14.5" x14ac:dyDescent="0.35"/>
  <sheetData>
    <row r="1" spans="3:60" ht="15" thickBot="1" x14ac:dyDescent="0.4"/>
    <row r="2" spans="3:60" x14ac:dyDescent="0.35">
      <c r="V2" s="674"/>
      <c r="W2" s="675"/>
      <c r="X2" s="675"/>
      <c r="Y2" s="675"/>
      <c r="Z2" s="675"/>
      <c r="AA2" s="675"/>
      <c r="AB2" s="675"/>
      <c r="AC2" s="675"/>
      <c r="AD2" s="675"/>
      <c r="AE2" s="675"/>
      <c r="AF2" s="675"/>
      <c r="AG2" s="675"/>
      <c r="AH2" s="675"/>
      <c r="AI2" s="675"/>
      <c r="AJ2" s="675"/>
      <c r="AK2" s="675"/>
      <c r="AL2" s="675"/>
      <c r="AM2" s="675"/>
      <c r="AN2" s="676"/>
      <c r="AP2" s="674"/>
      <c r="AQ2" s="675"/>
      <c r="AR2" s="675"/>
      <c r="AS2" s="675"/>
      <c r="AT2" s="675"/>
      <c r="AU2" s="675"/>
      <c r="AV2" s="675"/>
      <c r="AW2" s="675"/>
      <c r="AX2" s="675"/>
      <c r="AY2" s="675"/>
      <c r="AZ2" s="675"/>
      <c r="BA2" s="675"/>
      <c r="BB2" s="675"/>
      <c r="BC2" s="675"/>
      <c r="BD2" s="675"/>
      <c r="BE2" s="675"/>
      <c r="BF2" s="675"/>
      <c r="BG2" s="675"/>
      <c r="BH2" s="676"/>
    </row>
    <row r="3" spans="3:60" x14ac:dyDescent="0.35">
      <c r="V3" s="677"/>
      <c r="W3" s="446"/>
      <c r="X3" s="446"/>
      <c r="Y3" s="446"/>
      <c r="Z3" s="446"/>
      <c r="AA3" s="446"/>
      <c r="AB3" s="446"/>
      <c r="AC3" s="446"/>
      <c r="AD3" s="446"/>
      <c r="AE3" s="446"/>
      <c r="AF3" s="446"/>
      <c r="AG3" s="446"/>
      <c r="AH3" s="446"/>
      <c r="AI3" s="446"/>
      <c r="AJ3" s="446"/>
      <c r="AK3" s="446"/>
      <c r="AL3" s="446"/>
      <c r="AM3" s="446"/>
      <c r="AN3" s="678"/>
      <c r="AP3" s="677"/>
      <c r="AQ3" s="446"/>
      <c r="AR3" s="446"/>
      <c r="AS3" s="446"/>
      <c r="AT3" s="446"/>
      <c r="AU3" s="446"/>
      <c r="AV3" s="446"/>
      <c r="AW3" s="446"/>
      <c r="AX3" s="446"/>
      <c r="AY3" s="446"/>
      <c r="AZ3" s="446"/>
      <c r="BA3" s="446"/>
      <c r="BB3" s="446"/>
      <c r="BC3" s="446"/>
      <c r="BD3" s="446"/>
      <c r="BE3" s="446"/>
      <c r="BF3" s="446"/>
      <c r="BG3" s="446"/>
      <c r="BH3" s="678"/>
    </row>
    <row r="4" spans="3:60" x14ac:dyDescent="0.35">
      <c r="V4" s="677"/>
      <c r="W4" s="446"/>
      <c r="X4" s="446"/>
      <c r="Y4" s="446"/>
      <c r="Z4" s="446"/>
      <c r="AA4" s="446"/>
      <c r="AB4" s="446"/>
      <c r="AC4" s="446"/>
      <c r="AD4" s="446"/>
      <c r="AE4" s="446"/>
      <c r="AF4" s="446"/>
      <c r="AG4" s="446"/>
      <c r="AH4" s="446"/>
      <c r="AI4" s="446"/>
      <c r="AJ4" s="446"/>
      <c r="AK4" s="446"/>
      <c r="AL4" s="446"/>
      <c r="AM4" s="446"/>
      <c r="AN4" s="678"/>
      <c r="AP4" s="677"/>
      <c r="AQ4" s="446"/>
      <c r="AR4" s="446"/>
      <c r="AS4" s="446"/>
      <c r="AT4" s="446"/>
      <c r="AU4" s="446"/>
      <c r="AV4" s="446"/>
      <c r="AW4" s="446"/>
      <c r="AX4" s="446"/>
      <c r="AY4" s="446"/>
      <c r="AZ4" s="446"/>
      <c r="BA4" s="446"/>
      <c r="BB4" s="446"/>
      <c r="BC4" s="446"/>
      <c r="BD4" s="446"/>
      <c r="BE4" s="446"/>
      <c r="BF4" s="446"/>
      <c r="BG4" s="446"/>
      <c r="BH4" s="678"/>
    </row>
    <row r="5" spans="3:60" x14ac:dyDescent="0.35">
      <c r="C5" s="692"/>
      <c r="V5" s="677"/>
      <c r="W5" s="446"/>
      <c r="X5" s="446"/>
      <c r="Y5" s="446"/>
      <c r="Z5" s="446"/>
      <c r="AA5" s="446"/>
      <c r="AB5" s="446"/>
      <c r="AC5" s="446"/>
      <c r="AD5" s="446"/>
      <c r="AE5" s="446"/>
      <c r="AF5" s="446"/>
      <c r="AG5" s="446"/>
      <c r="AH5" s="446"/>
      <c r="AI5" s="446"/>
      <c r="AJ5" s="446"/>
      <c r="AK5" s="446"/>
      <c r="AL5" s="446"/>
      <c r="AM5" s="446"/>
      <c r="AN5" s="678"/>
      <c r="AP5" s="677"/>
      <c r="AQ5" s="446"/>
      <c r="AR5" s="446"/>
      <c r="AS5" s="446"/>
      <c r="AT5" s="446"/>
      <c r="AU5" s="446"/>
      <c r="AV5" s="446"/>
      <c r="AW5" s="446"/>
      <c r="AX5" s="446"/>
      <c r="AY5" s="446"/>
      <c r="AZ5" s="446"/>
      <c r="BA5" s="446"/>
      <c r="BB5" s="446"/>
      <c r="BC5" s="446"/>
      <c r="BD5" s="446"/>
      <c r="BE5" s="446"/>
      <c r="BF5" s="446"/>
      <c r="BG5" s="446"/>
      <c r="BH5" s="678"/>
    </row>
    <row r="6" spans="3:60" x14ac:dyDescent="0.35">
      <c r="V6" s="677"/>
      <c r="W6" s="446"/>
      <c r="X6" s="446"/>
      <c r="Y6" s="446"/>
      <c r="Z6" s="446"/>
      <c r="AA6" s="446"/>
      <c r="AB6" s="446"/>
      <c r="AC6" s="446"/>
      <c r="AD6" s="446"/>
      <c r="AE6" s="446"/>
      <c r="AF6" s="446"/>
      <c r="AG6" s="446"/>
      <c r="AH6" s="446"/>
      <c r="AI6" s="446"/>
      <c r="AJ6" s="446"/>
      <c r="AK6" s="446"/>
      <c r="AL6" s="446"/>
      <c r="AM6" s="446"/>
      <c r="AN6" s="678"/>
      <c r="AP6" s="677"/>
      <c r="AQ6" s="446"/>
      <c r="AR6" s="446"/>
      <c r="AS6" s="446"/>
      <c r="AT6" s="446"/>
      <c r="AU6" s="446"/>
      <c r="AV6" s="446"/>
      <c r="AW6" s="446"/>
      <c r="AX6" s="446"/>
      <c r="AY6" s="446"/>
      <c r="AZ6" s="446"/>
      <c r="BA6" s="446"/>
      <c r="BB6" s="446"/>
      <c r="BC6" s="446"/>
      <c r="BD6" s="446"/>
      <c r="BE6" s="446"/>
      <c r="BF6" s="446"/>
      <c r="BG6" s="446"/>
      <c r="BH6" s="678"/>
    </row>
    <row r="7" spans="3:60" x14ac:dyDescent="0.35">
      <c r="V7" s="677"/>
      <c r="W7" s="446"/>
      <c r="X7" s="446"/>
      <c r="Y7" s="446"/>
      <c r="Z7" s="446"/>
      <c r="AA7" s="446"/>
      <c r="AB7" s="446"/>
      <c r="AC7" s="446"/>
      <c r="AD7" s="446"/>
      <c r="AE7" s="446"/>
      <c r="AF7" s="446"/>
      <c r="AG7" s="446"/>
      <c r="AH7" s="446"/>
      <c r="AI7" s="446"/>
      <c r="AJ7" s="446"/>
      <c r="AK7" s="446"/>
      <c r="AL7" s="446"/>
      <c r="AM7" s="446"/>
      <c r="AN7" s="678"/>
      <c r="AP7" s="677"/>
      <c r="AQ7" s="446"/>
      <c r="AR7" s="446"/>
      <c r="AS7" s="446"/>
      <c r="AT7" s="446"/>
      <c r="AU7" s="446"/>
      <c r="AV7" s="446"/>
      <c r="AW7" s="446"/>
      <c r="AX7" s="446"/>
      <c r="AY7" s="446"/>
      <c r="AZ7" s="446"/>
      <c r="BA7" s="446"/>
      <c r="BB7" s="446"/>
      <c r="BC7" s="446"/>
      <c r="BD7" s="446"/>
      <c r="BE7" s="446"/>
      <c r="BF7" s="446"/>
      <c r="BG7" s="446"/>
      <c r="BH7" s="678"/>
    </row>
    <row r="8" spans="3:60" x14ac:dyDescent="0.35">
      <c r="V8" s="677"/>
      <c r="W8" s="446"/>
      <c r="X8" s="446"/>
      <c r="Y8" s="446"/>
      <c r="Z8" s="446"/>
      <c r="AA8" s="446"/>
      <c r="AB8" s="446"/>
      <c r="AC8" s="446"/>
      <c r="AD8" s="446"/>
      <c r="AE8" s="446"/>
      <c r="AF8" s="446"/>
      <c r="AG8" s="446"/>
      <c r="AH8" s="446"/>
      <c r="AI8" s="446"/>
      <c r="AJ8" s="446"/>
      <c r="AK8" s="446"/>
      <c r="AL8" s="446"/>
      <c r="AM8" s="446"/>
      <c r="AN8" s="678"/>
      <c r="AP8" s="677"/>
      <c r="AQ8" s="446"/>
      <c r="AR8" s="446"/>
      <c r="AS8" s="446"/>
      <c r="AT8" s="446"/>
      <c r="AU8" s="446"/>
      <c r="AV8" s="446"/>
      <c r="AW8" s="446"/>
      <c r="AX8" s="446"/>
      <c r="AY8" s="446"/>
      <c r="AZ8" s="446"/>
      <c r="BA8" s="446"/>
      <c r="BB8" s="446"/>
      <c r="BC8" s="446"/>
      <c r="BD8" s="446"/>
      <c r="BE8" s="446"/>
      <c r="BF8" s="446"/>
      <c r="BG8" s="446"/>
      <c r="BH8" s="678"/>
    </row>
    <row r="9" spans="3:60" x14ac:dyDescent="0.35">
      <c r="V9" s="677"/>
      <c r="W9" s="446"/>
      <c r="X9" s="446"/>
      <c r="Y9" s="446"/>
      <c r="Z9" s="446"/>
      <c r="AA9" s="446"/>
      <c r="AB9" s="446"/>
      <c r="AC9" s="446"/>
      <c r="AD9" s="446"/>
      <c r="AE9" s="446"/>
      <c r="AF9" s="446"/>
      <c r="AG9" s="446"/>
      <c r="AH9" s="446"/>
      <c r="AI9" s="446"/>
      <c r="AJ9" s="446"/>
      <c r="AK9" s="446"/>
      <c r="AL9" s="446"/>
      <c r="AM9" s="446"/>
      <c r="AN9" s="678"/>
      <c r="AP9" s="677"/>
      <c r="AQ9" s="446"/>
      <c r="AR9" s="446"/>
      <c r="AS9" s="446"/>
      <c r="AT9" s="446"/>
      <c r="AU9" s="446"/>
      <c r="AV9" s="446"/>
      <c r="AW9" s="446"/>
      <c r="AX9" s="446"/>
      <c r="AY9" s="446"/>
      <c r="AZ9" s="446"/>
      <c r="BA9" s="446"/>
      <c r="BB9" s="446"/>
      <c r="BC9" s="446"/>
      <c r="BD9" s="446"/>
      <c r="BE9" s="446"/>
      <c r="BF9" s="446"/>
      <c r="BG9" s="446"/>
      <c r="BH9" s="678"/>
    </row>
    <row r="10" spans="3:60" x14ac:dyDescent="0.35">
      <c r="V10" s="677"/>
      <c r="W10" s="446"/>
      <c r="X10" s="446"/>
      <c r="Y10" s="446"/>
      <c r="Z10" s="446"/>
      <c r="AA10" s="446"/>
      <c r="AB10" s="446"/>
      <c r="AC10" s="446"/>
      <c r="AD10" s="446"/>
      <c r="AE10" s="446"/>
      <c r="AF10" s="446"/>
      <c r="AG10" s="446"/>
      <c r="AH10" s="446"/>
      <c r="AI10" s="446"/>
      <c r="AJ10" s="446"/>
      <c r="AK10" s="446"/>
      <c r="AL10" s="446"/>
      <c r="AM10" s="446"/>
      <c r="AN10" s="678"/>
      <c r="AP10" s="677"/>
      <c r="AQ10" s="446"/>
      <c r="AR10" s="446"/>
      <c r="AS10" s="446"/>
      <c r="AT10" s="446"/>
      <c r="AU10" s="446"/>
      <c r="AV10" s="446"/>
      <c r="AW10" s="446"/>
      <c r="AX10" s="446"/>
      <c r="AY10" s="446"/>
      <c r="AZ10" s="446"/>
      <c r="BA10" s="446"/>
      <c r="BB10" s="446"/>
      <c r="BC10" s="446"/>
      <c r="BD10" s="446"/>
      <c r="BE10" s="446"/>
      <c r="BF10" s="446"/>
      <c r="BG10" s="446"/>
      <c r="BH10" s="678"/>
    </row>
    <row r="11" spans="3:60" x14ac:dyDescent="0.35">
      <c r="V11" s="677"/>
      <c r="W11" s="446"/>
      <c r="X11" s="446"/>
      <c r="Y11" s="446"/>
      <c r="Z11" s="446"/>
      <c r="AA11" s="446"/>
      <c r="AB11" s="446"/>
      <c r="AC11" s="446"/>
      <c r="AD11" s="446"/>
      <c r="AE11" s="446"/>
      <c r="AF11" s="446"/>
      <c r="AG11" s="446"/>
      <c r="AH11" s="446"/>
      <c r="AI11" s="446"/>
      <c r="AJ11" s="446"/>
      <c r="AK11" s="446"/>
      <c r="AL11" s="446"/>
      <c r="AM11" s="446"/>
      <c r="AN11" s="678"/>
      <c r="AP11" s="677"/>
      <c r="AQ11" s="446"/>
      <c r="AR11" s="446"/>
      <c r="AS11" s="446"/>
      <c r="AT11" s="446"/>
      <c r="AU11" s="446"/>
      <c r="AV11" s="446"/>
      <c r="AW11" s="446"/>
      <c r="AX11" s="446"/>
      <c r="AY11" s="446"/>
      <c r="AZ11" s="446"/>
      <c r="BA11" s="446"/>
      <c r="BB11" s="446"/>
      <c r="BC11" s="446"/>
      <c r="BD11" s="446"/>
      <c r="BE11" s="446"/>
      <c r="BF11" s="446"/>
      <c r="BG11" s="446"/>
      <c r="BH11" s="678"/>
    </row>
    <row r="12" spans="3:60" x14ac:dyDescent="0.35">
      <c r="V12" s="677"/>
      <c r="W12" s="446"/>
      <c r="X12" s="446"/>
      <c r="Y12" s="446"/>
      <c r="Z12" s="446"/>
      <c r="AA12" s="446"/>
      <c r="AB12" s="446"/>
      <c r="AC12" s="446"/>
      <c r="AD12" s="446"/>
      <c r="AE12" s="446"/>
      <c r="AF12" s="446"/>
      <c r="AG12" s="446"/>
      <c r="AH12" s="446"/>
      <c r="AI12" s="446"/>
      <c r="AJ12" s="446"/>
      <c r="AK12" s="446"/>
      <c r="AL12" s="446"/>
      <c r="AM12" s="446"/>
      <c r="AN12" s="678"/>
      <c r="AP12" s="677"/>
      <c r="AQ12" s="446"/>
      <c r="AR12" s="446"/>
      <c r="AS12" s="446"/>
      <c r="AT12" s="446"/>
      <c r="AU12" s="446"/>
      <c r="AV12" s="446"/>
      <c r="AW12" s="446"/>
      <c r="AX12" s="446"/>
      <c r="AY12" s="446"/>
      <c r="AZ12" s="446"/>
      <c r="BA12" s="446"/>
      <c r="BB12" s="446"/>
      <c r="BC12" s="446"/>
      <c r="BD12" s="446"/>
      <c r="BE12" s="446"/>
      <c r="BF12" s="446"/>
      <c r="BG12" s="446"/>
      <c r="BH12" s="678"/>
    </row>
    <row r="13" spans="3:60" x14ac:dyDescent="0.35">
      <c r="V13" s="677"/>
      <c r="W13" s="446"/>
      <c r="X13" s="446"/>
      <c r="Y13" s="446"/>
      <c r="Z13" s="446"/>
      <c r="AA13" s="446"/>
      <c r="AB13" s="446"/>
      <c r="AC13" s="446"/>
      <c r="AD13" s="446"/>
      <c r="AE13" s="446"/>
      <c r="AF13" s="446"/>
      <c r="AG13" s="446"/>
      <c r="AH13" s="446"/>
      <c r="AI13" s="446"/>
      <c r="AJ13" s="446"/>
      <c r="AK13" s="446"/>
      <c r="AL13" s="446"/>
      <c r="AM13" s="446"/>
      <c r="AN13" s="678"/>
      <c r="AP13" s="677"/>
      <c r="AQ13" s="446"/>
      <c r="AR13" s="446"/>
      <c r="AS13" s="446"/>
      <c r="AT13" s="446"/>
      <c r="AU13" s="446"/>
      <c r="AV13" s="446"/>
      <c r="AW13" s="446"/>
      <c r="AX13" s="446"/>
      <c r="AY13" s="446"/>
      <c r="AZ13" s="446"/>
      <c r="BA13" s="446"/>
      <c r="BB13" s="446"/>
      <c r="BC13" s="446"/>
      <c r="BD13" s="446"/>
      <c r="BE13" s="446"/>
      <c r="BF13" s="446"/>
      <c r="BG13" s="446"/>
      <c r="BH13" s="678"/>
    </row>
    <row r="14" spans="3:60" x14ac:dyDescent="0.35">
      <c r="V14" s="677"/>
      <c r="W14" s="446"/>
      <c r="X14" s="446"/>
      <c r="Y14" s="446"/>
      <c r="Z14" s="446"/>
      <c r="AA14" s="446"/>
      <c r="AB14" s="446"/>
      <c r="AC14" s="446"/>
      <c r="AD14" s="446"/>
      <c r="AE14" s="446"/>
      <c r="AF14" s="446"/>
      <c r="AG14" s="446"/>
      <c r="AH14" s="446"/>
      <c r="AI14" s="446"/>
      <c r="AJ14" s="446"/>
      <c r="AK14" s="446"/>
      <c r="AL14" s="446"/>
      <c r="AM14" s="446"/>
      <c r="AN14" s="678"/>
      <c r="AP14" s="677"/>
      <c r="AQ14" s="446"/>
      <c r="AR14" s="446"/>
      <c r="AS14" s="446"/>
      <c r="AT14" s="446"/>
      <c r="AU14" s="446"/>
      <c r="AV14" s="446"/>
      <c r="AW14" s="446"/>
      <c r="AX14" s="446"/>
      <c r="AY14" s="446"/>
      <c r="AZ14" s="446"/>
      <c r="BA14" s="446"/>
      <c r="BB14" s="446"/>
      <c r="BC14" s="446"/>
      <c r="BD14" s="446"/>
      <c r="BE14" s="446"/>
      <c r="BF14" s="446"/>
      <c r="BG14" s="446"/>
      <c r="BH14" s="678"/>
    </row>
    <row r="15" spans="3:60" x14ac:dyDescent="0.35">
      <c r="V15" s="677"/>
      <c r="W15" s="446"/>
      <c r="X15" s="446"/>
      <c r="Y15" s="446"/>
      <c r="Z15" s="446"/>
      <c r="AA15" s="446"/>
      <c r="AB15" s="446"/>
      <c r="AC15" s="446"/>
      <c r="AD15" s="446"/>
      <c r="AE15" s="446"/>
      <c r="AF15" s="446"/>
      <c r="AG15" s="446"/>
      <c r="AH15" s="446"/>
      <c r="AI15" s="446"/>
      <c r="AJ15" s="446"/>
      <c r="AK15" s="446"/>
      <c r="AL15" s="446"/>
      <c r="AM15" s="446"/>
      <c r="AN15" s="678"/>
      <c r="AP15" s="677"/>
      <c r="AQ15" s="446"/>
      <c r="AR15" s="446"/>
      <c r="AS15" s="446"/>
      <c r="AT15" s="446"/>
      <c r="AU15" s="446"/>
      <c r="AV15" s="446"/>
      <c r="AW15" s="446"/>
      <c r="AX15" s="446"/>
      <c r="AY15" s="446"/>
      <c r="AZ15" s="446"/>
      <c r="BA15" s="446"/>
      <c r="BB15" s="446"/>
      <c r="BC15" s="446"/>
      <c r="BD15" s="446"/>
      <c r="BE15" s="446"/>
      <c r="BF15" s="446"/>
      <c r="BG15" s="446"/>
      <c r="BH15" s="678"/>
    </row>
    <row r="16" spans="3:60" x14ac:dyDescent="0.35">
      <c r="V16" s="677"/>
      <c r="W16" s="446"/>
      <c r="X16" s="446"/>
      <c r="Y16" s="446"/>
      <c r="Z16" s="446"/>
      <c r="AA16" s="446"/>
      <c r="AB16" s="446"/>
      <c r="AC16" s="446"/>
      <c r="AD16" s="446"/>
      <c r="AE16" s="446"/>
      <c r="AF16" s="446"/>
      <c r="AG16" s="446"/>
      <c r="AH16" s="446"/>
      <c r="AI16" s="446"/>
      <c r="AJ16" s="446"/>
      <c r="AK16" s="446"/>
      <c r="AL16" s="446"/>
      <c r="AM16" s="446"/>
      <c r="AN16" s="678"/>
      <c r="AP16" s="677"/>
      <c r="AQ16" s="446"/>
      <c r="AR16" s="446"/>
      <c r="AS16" s="446"/>
      <c r="AT16" s="446"/>
      <c r="AU16" s="446"/>
      <c r="AV16" s="446"/>
      <c r="AW16" s="446"/>
      <c r="AX16" s="446"/>
      <c r="AY16" s="446"/>
      <c r="AZ16" s="446"/>
      <c r="BA16" s="446"/>
      <c r="BB16" s="446"/>
      <c r="BC16" s="446"/>
      <c r="BD16" s="446"/>
      <c r="BE16" s="446"/>
      <c r="BF16" s="446"/>
      <c r="BG16" s="446"/>
      <c r="BH16" s="678"/>
    </row>
    <row r="17" spans="22:60" x14ac:dyDescent="0.35">
      <c r="V17" s="677"/>
      <c r="W17" s="446"/>
      <c r="X17" s="446"/>
      <c r="Y17" s="446"/>
      <c r="Z17" s="446"/>
      <c r="AA17" s="446"/>
      <c r="AB17" s="446"/>
      <c r="AC17" s="446"/>
      <c r="AD17" s="446"/>
      <c r="AE17" s="446"/>
      <c r="AF17" s="446"/>
      <c r="AG17" s="446"/>
      <c r="AH17" s="446"/>
      <c r="AI17" s="446"/>
      <c r="AJ17" s="446"/>
      <c r="AK17" s="446"/>
      <c r="AL17" s="446"/>
      <c r="AM17" s="446"/>
      <c r="AN17" s="678"/>
      <c r="AP17" s="677"/>
      <c r="AQ17" s="446"/>
      <c r="AR17" s="446"/>
      <c r="AS17" s="446"/>
      <c r="AT17" s="446"/>
      <c r="AU17" s="446"/>
      <c r="AV17" s="446"/>
      <c r="AW17" s="446"/>
      <c r="AX17" s="446"/>
      <c r="AY17" s="446"/>
      <c r="AZ17" s="446"/>
      <c r="BA17" s="446"/>
      <c r="BB17" s="446"/>
      <c r="BC17" s="446"/>
      <c r="BD17" s="446"/>
      <c r="BE17" s="446"/>
      <c r="BF17" s="446"/>
      <c r="BG17" s="446"/>
      <c r="BH17" s="678"/>
    </row>
    <row r="18" spans="22:60" x14ac:dyDescent="0.35">
      <c r="V18" s="677"/>
      <c r="W18" s="446"/>
      <c r="X18" s="446"/>
      <c r="Y18" s="446"/>
      <c r="Z18" s="446"/>
      <c r="AA18" s="446"/>
      <c r="AB18" s="446"/>
      <c r="AC18" s="446"/>
      <c r="AD18" s="446"/>
      <c r="AE18" s="446"/>
      <c r="AF18" s="446"/>
      <c r="AG18" s="446"/>
      <c r="AH18" s="446"/>
      <c r="AI18" s="446"/>
      <c r="AJ18" s="446"/>
      <c r="AK18" s="446"/>
      <c r="AL18" s="446"/>
      <c r="AM18" s="446"/>
      <c r="AN18" s="678"/>
      <c r="AP18" s="677"/>
      <c r="AQ18" s="446"/>
      <c r="AR18" s="446"/>
      <c r="AS18" s="446"/>
      <c r="AT18" s="446"/>
      <c r="AU18" s="446"/>
      <c r="AV18" s="446"/>
      <c r="AW18" s="446"/>
      <c r="AX18" s="446"/>
      <c r="AY18" s="446"/>
      <c r="AZ18" s="446"/>
      <c r="BA18" s="446"/>
      <c r="BB18" s="446"/>
      <c r="BC18" s="446"/>
      <c r="BD18" s="446"/>
      <c r="BE18" s="446"/>
      <c r="BF18" s="446"/>
      <c r="BG18" s="446"/>
      <c r="BH18" s="678"/>
    </row>
    <row r="19" spans="22:60" x14ac:dyDescent="0.35">
      <c r="V19" s="677"/>
      <c r="W19" s="446"/>
      <c r="X19" s="446"/>
      <c r="Y19" s="446"/>
      <c r="Z19" s="446"/>
      <c r="AA19" s="446"/>
      <c r="AB19" s="446"/>
      <c r="AC19" s="446"/>
      <c r="AD19" s="446"/>
      <c r="AE19" s="446"/>
      <c r="AF19" s="446"/>
      <c r="AG19" s="446"/>
      <c r="AH19" s="446"/>
      <c r="AI19" s="446"/>
      <c r="AJ19" s="446"/>
      <c r="AK19" s="446"/>
      <c r="AL19" s="446"/>
      <c r="AM19" s="446"/>
      <c r="AN19" s="678"/>
      <c r="AP19" s="677"/>
      <c r="AQ19" s="446"/>
      <c r="AR19" s="446"/>
      <c r="AS19" s="446"/>
      <c r="AT19" s="446"/>
      <c r="AU19" s="446"/>
      <c r="AV19" s="446"/>
      <c r="AW19" s="446"/>
      <c r="AX19" s="446"/>
      <c r="AY19" s="446"/>
      <c r="AZ19" s="446"/>
      <c r="BA19" s="446"/>
      <c r="BB19" s="446"/>
      <c r="BC19" s="446"/>
      <c r="BD19" s="446"/>
      <c r="BE19" s="446"/>
      <c r="BF19" s="446"/>
      <c r="BG19" s="446"/>
      <c r="BH19" s="678"/>
    </row>
    <row r="20" spans="22:60" x14ac:dyDescent="0.35">
      <c r="V20" s="677"/>
      <c r="W20" s="446"/>
      <c r="X20" s="446"/>
      <c r="Y20" s="446"/>
      <c r="Z20" s="446"/>
      <c r="AA20" s="446"/>
      <c r="AB20" s="446"/>
      <c r="AC20" s="446"/>
      <c r="AD20" s="446"/>
      <c r="AE20" s="446"/>
      <c r="AF20" s="446"/>
      <c r="AG20" s="446"/>
      <c r="AH20" s="446"/>
      <c r="AI20" s="446"/>
      <c r="AJ20" s="446"/>
      <c r="AK20" s="446"/>
      <c r="AL20" s="446"/>
      <c r="AM20" s="446"/>
      <c r="AN20" s="678"/>
      <c r="AP20" s="677"/>
      <c r="AQ20" s="446"/>
      <c r="AR20" s="446"/>
      <c r="AS20" s="446"/>
      <c r="AT20" s="446"/>
      <c r="AU20" s="446"/>
      <c r="AV20" s="446"/>
      <c r="AW20" s="446"/>
      <c r="AX20" s="446"/>
      <c r="AY20" s="446"/>
      <c r="AZ20" s="446"/>
      <c r="BA20" s="446"/>
      <c r="BB20" s="446"/>
      <c r="BC20" s="446"/>
      <c r="BD20" s="446"/>
      <c r="BE20" s="446"/>
      <c r="BF20" s="446"/>
      <c r="BG20" s="446"/>
      <c r="BH20" s="678"/>
    </row>
    <row r="21" spans="22:60" x14ac:dyDescent="0.35">
      <c r="V21" s="677"/>
      <c r="W21" s="446"/>
      <c r="X21" s="446"/>
      <c r="Y21" s="446"/>
      <c r="Z21" s="446"/>
      <c r="AA21" s="446"/>
      <c r="AB21" s="446"/>
      <c r="AC21" s="446"/>
      <c r="AD21" s="446"/>
      <c r="AE21" s="446"/>
      <c r="AF21" s="446"/>
      <c r="AG21" s="446"/>
      <c r="AH21" s="446"/>
      <c r="AI21" s="446"/>
      <c r="AJ21" s="446"/>
      <c r="AK21" s="446"/>
      <c r="AL21" s="446"/>
      <c r="AM21" s="446"/>
      <c r="AN21" s="678"/>
      <c r="AP21" s="677"/>
      <c r="AQ21" s="446"/>
      <c r="AR21" s="446"/>
      <c r="AS21" s="446"/>
      <c r="AT21" s="446"/>
      <c r="AU21" s="446"/>
      <c r="AV21" s="446"/>
      <c r="AW21" s="446"/>
      <c r="AX21" s="446"/>
      <c r="AY21" s="446"/>
      <c r="AZ21" s="446"/>
      <c r="BA21" s="446"/>
      <c r="BB21" s="446"/>
      <c r="BC21" s="446"/>
      <c r="BD21" s="446"/>
      <c r="BE21" s="446"/>
      <c r="BF21" s="446"/>
      <c r="BG21" s="446"/>
      <c r="BH21" s="678"/>
    </row>
    <row r="22" spans="22:60" x14ac:dyDescent="0.35">
      <c r="V22" s="677"/>
      <c r="W22" s="446"/>
      <c r="X22" s="446"/>
      <c r="Y22" s="446"/>
      <c r="Z22" s="446"/>
      <c r="AA22" s="446"/>
      <c r="AB22" s="446"/>
      <c r="AC22" s="446"/>
      <c r="AD22" s="446"/>
      <c r="AE22" s="446"/>
      <c r="AF22" s="446"/>
      <c r="AG22" s="446"/>
      <c r="AH22" s="446"/>
      <c r="AI22" s="446"/>
      <c r="AJ22" s="446"/>
      <c r="AK22" s="446"/>
      <c r="AL22" s="446"/>
      <c r="AM22" s="446"/>
      <c r="AN22" s="678"/>
      <c r="AP22" s="677"/>
      <c r="AQ22" s="446"/>
      <c r="AR22" s="446"/>
      <c r="AS22" s="446"/>
      <c r="AT22" s="446"/>
      <c r="AU22" s="446"/>
      <c r="AV22" s="446"/>
      <c r="AW22" s="446"/>
      <c r="AX22" s="446"/>
      <c r="AY22" s="446"/>
      <c r="AZ22" s="446"/>
      <c r="BA22" s="446"/>
      <c r="BB22" s="446"/>
      <c r="BC22" s="446"/>
      <c r="BD22" s="446"/>
      <c r="BE22" s="446"/>
      <c r="BF22" s="446"/>
      <c r="BG22" s="446"/>
      <c r="BH22" s="678"/>
    </row>
    <row r="23" spans="22:60" x14ac:dyDescent="0.35">
      <c r="V23" s="677"/>
      <c r="W23" s="446"/>
      <c r="X23" s="446"/>
      <c r="Y23" s="446"/>
      <c r="Z23" s="446"/>
      <c r="AA23" s="446"/>
      <c r="AB23" s="446"/>
      <c r="AC23" s="446"/>
      <c r="AD23" s="446"/>
      <c r="AE23" s="446"/>
      <c r="AF23" s="446"/>
      <c r="AG23" s="446"/>
      <c r="AH23" s="446"/>
      <c r="AI23" s="446"/>
      <c r="AJ23" s="446"/>
      <c r="AK23" s="446"/>
      <c r="AL23" s="446"/>
      <c r="AM23" s="446"/>
      <c r="AN23" s="678"/>
      <c r="AP23" s="677"/>
      <c r="AQ23" s="446"/>
      <c r="AR23" s="446"/>
      <c r="AS23" s="446"/>
      <c r="AT23" s="446"/>
      <c r="AU23" s="446"/>
      <c r="AV23" s="446"/>
      <c r="AW23" s="446"/>
      <c r="AX23" s="446"/>
      <c r="AY23" s="446"/>
      <c r="AZ23" s="446"/>
      <c r="BA23" s="446"/>
      <c r="BB23" s="446"/>
      <c r="BC23" s="446"/>
      <c r="BD23" s="446"/>
      <c r="BE23" s="446"/>
      <c r="BF23" s="446"/>
      <c r="BG23" s="446"/>
      <c r="BH23" s="678"/>
    </row>
    <row r="24" spans="22:60" x14ac:dyDescent="0.35">
      <c r="V24" s="677"/>
      <c r="W24" s="446"/>
      <c r="X24" s="446"/>
      <c r="Y24" s="446"/>
      <c r="Z24" s="446"/>
      <c r="AA24" s="446"/>
      <c r="AB24" s="446"/>
      <c r="AC24" s="446"/>
      <c r="AD24" s="446"/>
      <c r="AE24" s="446"/>
      <c r="AF24" s="446"/>
      <c r="AG24" s="446"/>
      <c r="AH24" s="446"/>
      <c r="AI24" s="446"/>
      <c r="AJ24" s="446"/>
      <c r="AK24" s="446"/>
      <c r="AL24" s="446"/>
      <c r="AM24" s="446"/>
      <c r="AN24" s="678"/>
      <c r="AP24" s="677"/>
      <c r="AQ24" s="446"/>
      <c r="AR24" s="446"/>
      <c r="AS24" s="446"/>
      <c r="AT24" s="446"/>
      <c r="AU24" s="446"/>
      <c r="AV24" s="446"/>
      <c r="AW24" s="446"/>
      <c r="AX24" s="446"/>
      <c r="AY24" s="446"/>
      <c r="AZ24" s="446"/>
      <c r="BA24" s="446"/>
      <c r="BB24" s="446"/>
      <c r="BC24" s="446"/>
      <c r="BD24" s="446"/>
      <c r="BE24" s="446"/>
      <c r="BF24" s="446"/>
      <c r="BG24" s="446"/>
      <c r="BH24" s="678"/>
    </row>
    <row r="25" spans="22:60" x14ac:dyDescent="0.35">
      <c r="V25" s="677"/>
      <c r="W25" s="446"/>
      <c r="X25" s="446"/>
      <c r="Y25" s="446"/>
      <c r="Z25" s="446"/>
      <c r="AA25" s="446"/>
      <c r="AB25" s="446"/>
      <c r="AC25" s="446"/>
      <c r="AD25" s="446"/>
      <c r="AE25" s="446"/>
      <c r="AF25" s="446"/>
      <c r="AG25" s="446"/>
      <c r="AH25" s="446"/>
      <c r="AI25" s="446"/>
      <c r="AJ25" s="446"/>
      <c r="AK25" s="446"/>
      <c r="AL25" s="446"/>
      <c r="AM25" s="446"/>
      <c r="AN25" s="678"/>
      <c r="AP25" s="677"/>
      <c r="AQ25" s="446"/>
      <c r="AR25" s="446"/>
      <c r="AS25" s="446"/>
      <c r="AT25" s="446"/>
      <c r="AU25" s="446"/>
      <c r="AV25" s="446"/>
      <c r="AW25" s="446"/>
      <c r="AX25" s="446"/>
      <c r="AY25" s="446"/>
      <c r="AZ25" s="446"/>
      <c r="BA25" s="446"/>
      <c r="BB25" s="446"/>
      <c r="BC25" s="446"/>
      <c r="BD25" s="446"/>
      <c r="BE25" s="446"/>
      <c r="BF25" s="446"/>
      <c r="BG25" s="446"/>
      <c r="BH25" s="678"/>
    </row>
    <row r="26" spans="22:60" x14ac:dyDescent="0.35">
      <c r="V26" s="677"/>
      <c r="W26" s="446"/>
      <c r="X26" s="446"/>
      <c r="Y26" s="446"/>
      <c r="Z26" s="446"/>
      <c r="AA26" s="446"/>
      <c r="AB26" s="446"/>
      <c r="AC26" s="446"/>
      <c r="AD26" s="446"/>
      <c r="AE26" s="446"/>
      <c r="AF26" s="446"/>
      <c r="AG26" s="446"/>
      <c r="AH26" s="446"/>
      <c r="AI26" s="446"/>
      <c r="AJ26" s="446"/>
      <c r="AK26" s="446"/>
      <c r="AL26" s="446"/>
      <c r="AM26" s="446"/>
      <c r="AN26" s="678"/>
      <c r="AP26" s="677"/>
      <c r="AQ26" s="446"/>
      <c r="AR26" s="446"/>
      <c r="AS26" s="446"/>
      <c r="AT26" s="446"/>
      <c r="AU26" s="446"/>
      <c r="AV26" s="446"/>
      <c r="AW26" s="446"/>
      <c r="AX26" s="446"/>
      <c r="AY26" s="446"/>
      <c r="AZ26" s="446"/>
      <c r="BA26" s="446"/>
      <c r="BB26" s="446"/>
      <c r="BC26" s="446"/>
      <c r="BD26" s="446"/>
      <c r="BE26" s="446"/>
      <c r="BF26" s="446"/>
      <c r="BG26" s="446"/>
      <c r="BH26" s="678"/>
    </row>
    <row r="27" spans="22:60" x14ac:dyDescent="0.35">
      <c r="V27" s="677"/>
      <c r="W27" s="446"/>
      <c r="X27" s="446"/>
      <c r="Y27" s="446"/>
      <c r="Z27" s="446"/>
      <c r="AA27" s="446"/>
      <c r="AB27" s="446"/>
      <c r="AC27" s="446"/>
      <c r="AD27" s="446"/>
      <c r="AE27" s="446"/>
      <c r="AF27" s="446"/>
      <c r="AG27" s="446"/>
      <c r="AH27" s="446"/>
      <c r="AI27" s="446"/>
      <c r="AJ27" s="446"/>
      <c r="AK27" s="446"/>
      <c r="AL27" s="446"/>
      <c r="AM27" s="446"/>
      <c r="AN27" s="678"/>
      <c r="AP27" s="677"/>
      <c r="AQ27" s="446"/>
      <c r="AR27" s="446"/>
      <c r="AS27" s="446"/>
      <c r="AT27" s="446"/>
      <c r="AU27" s="446"/>
      <c r="AV27" s="446"/>
      <c r="AW27" s="446"/>
      <c r="AX27" s="446"/>
      <c r="AY27" s="446"/>
      <c r="AZ27" s="446"/>
      <c r="BA27" s="446"/>
      <c r="BB27" s="446"/>
      <c r="BC27" s="446"/>
      <c r="BD27" s="446"/>
      <c r="BE27" s="446"/>
      <c r="BF27" s="446"/>
      <c r="BG27" s="446"/>
      <c r="BH27" s="678"/>
    </row>
    <row r="28" spans="22:60" x14ac:dyDescent="0.35">
      <c r="V28" s="677"/>
      <c r="W28" s="446"/>
      <c r="X28" s="446"/>
      <c r="Y28" s="446"/>
      <c r="Z28" s="446"/>
      <c r="AA28" s="446"/>
      <c r="AB28" s="446"/>
      <c r="AC28" s="446"/>
      <c r="AD28" s="446"/>
      <c r="AE28" s="446"/>
      <c r="AF28" s="446"/>
      <c r="AG28" s="446"/>
      <c r="AH28" s="446"/>
      <c r="AI28" s="446"/>
      <c r="AJ28" s="446"/>
      <c r="AK28" s="446"/>
      <c r="AL28" s="446"/>
      <c r="AM28" s="446"/>
      <c r="AN28" s="678"/>
      <c r="AP28" s="677"/>
      <c r="AQ28" s="446"/>
      <c r="AR28" s="446"/>
      <c r="AS28" s="446"/>
      <c r="AT28" s="446"/>
      <c r="AU28" s="446"/>
      <c r="AV28" s="446"/>
      <c r="AW28" s="446"/>
      <c r="AX28" s="446"/>
      <c r="AY28" s="446"/>
      <c r="AZ28" s="446"/>
      <c r="BA28" s="446"/>
      <c r="BB28" s="446"/>
      <c r="BC28" s="446"/>
      <c r="BD28" s="446"/>
      <c r="BE28" s="446"/>
      <c r="BF28" s="446"/>
      <c r="BG28" s="446"/>
      <c r="BH28" s="678"/>
    </row>
    <row r="29" spans="22:60" x14ac:dyDescent="0.35">
      <c r="V29" s="677"/>
      <c r="W29" s="446"/>
      <c r="X29" s="446"/>
      <c r="Y29" s="446"/>
      <c r="Z29" s="446"/>
      <c r="AA29" s="446"/>
      <c r="AB29" s="446"/>
      <c r="AC29" s="446"/>
      <c r="AD29" s="446"/>
      <c r="AE29" s="446"/>
      <c r="AF29" s="446"/>
      <c r="AG29" s="446"/>
      <c r="AH29" s="446"/>
      <c r="AI29" s="446"/>
      <c r="AJ29" s="446"/>
      <c r="AK29" s="446"/>
      <c r="AL29" s="446"/>
      <c r="AM29" s="446"/>
      <c r="AN29" s="678"/>
      <c r="AP29" s="677"/>
      <c r="AQ29" s="446"/>
      <c r="AR29" s="446"/>
      <c r="AS29" s="446"/>
      <c r="AT29" s="446"/>
      <c r="AU29" s="446"/>
      <c r="AV29" s="446"/>
      <c r="AW29" s="446"/>
      <c r="AX29" s="446"/>
      <c r="AY29" s="446"/>
      <c r="AZ29" s="446"/>
      <c r="BA29" s="446"/>
      <c r="BB29" s="446"/>
      <c r="BC29" s="446"/>
      <c r="BD29" s="446"/>
      <c r="BE29" s="446"/>
      <c r="BF29" s="446"/>
      <c r="BG29" s="446"/>
      <c r="BH29" s="678"/>
    </row>
    <row r="30" spans="22:60" x14ac:dyDescent="0.35">
      <c r="V30" s="677"/>
      <c r="W30" s="446"/>
      <c r="X30" s="446"/>
      <c r="Y30" s="446"/>
      <c r="Z30" s="446"/>
      <c r="AA30" s="446"/>
      <c r="AB30" s="446"/>
      <c r="AC30" s="446"/>
      <c r="AD30" s="446"/>
      <c r="AE30" s="446"/>
      <c r="AF30" s="446"/>
      <c r="AG30" s="446"/>
      <c r="AH30" s="446"/>
      <c r="AI30" s="446"/>
      <c r="AJ30" s="446"/>
      <c r="AK30" s="446"/>
      <c r="AL30" s="446"/>
      <c r="AM30" s="446"/>
      <c r="AN30" s="678"/>
      <c r="AP30" s="677"/>
      <c r="AQ30" s="446"/>
      <c r="AR30" s="446"/>
      <c r="AS30" s="446"/>
      <c r="AT30" s="446"/>
      <c r="AU30" s="446"/>
      <c r="AV30" s="446"/>
      <c r="AW30" s="446"/>
      <c r="AX30" s="446"/>
      <c r="AY30" s="446"/>
      <c r="AZ30" s="446"/>
      <c r="BA30" s="446"/>
      <c r="BB30" s="446"/>
      <c r="BC30" s="446"/>
      <c r="BD30" s="446"/>
      <c r="BE30" s="446"/>
      <c r="BF30" s="446"/>
      <c r="BG30" s="446"/>
      <c r="BH30" s="678"/>
    </row>
    <row r="31" spans="22:60" x14ac:dyDescent="0.35">
      <c r="V31" s="677"/>
      <c r="W31" s="446"/>
      <c r="X31" s="446"/>
      <c r="Y31" s="446"/>
      <c r="Z31" s="446"/>
      <c r="AA31" s="446"/>
      <c r="AB31" s="446"/>
      <c r="AC31" s="446"/>
      <c r="AD31" s="446"/>
      <c r="AE31" s="446"/>
      <c r="AF31" s="446"/>
      <c r="AG31" s="446"/>
      <c r="AH31" s="446"/>
      <c r="AI31" s="446"/>
      <c r="AJ31" s="446"/>
      <c r="AK31" s="446"/>
      <c r="AL31" s="446"/>
      <c r="AM31" s="446"/>
      <c r="AN31" s="678"/>
      <c r="AP31" s="677"/>
      <c r="AQ31" s="446"/>
      <c r="AR31" s="446"/>
      <c r="AS31" s="446"/>
      <c r="AT31" s="446"/>
      <c r="AU31" s="446"/>
      <c r="AV31" s="446"/>
      <c r="AW31" s="446"/>
      <c r="AX31" s="446"/>
      <c r="AY31" s="446"/>
      <c r="AZ31" s="446"/>
      <c r="BA31" s="446"/>
      <c r="BB31" s="446"/>
      <c r="BC31" s="446"/>
      <c r="BD31" s="446"/>
      <c r="BE31" s="446"/>
      <c r="BF31" s="446"/>
      <c r="BG31" s="446"/>
      <c r="BH31" s="678"/>
    </row>
    <row r="32" spans="22:60" x14ac:dyDescent="0.35">
      <c r="V32" s="677"/>
      <c r="W32" s="446"/>
      <c r="X32" s="446"/>
      <c r="Y32" s="446"/>
      <c r="Z32" s="446"/>
      <c r="AA32" s="446"/>
      <c r="AB32" s="446"/>
      <c r="AC32" s="446"/>
      <c r="AD32" s="446"/>
      <c r="AE32" s="446"/>
      <c r="AF32" s="446"/>
      <c r="AG32" s="446"/>
      <c r="AH32" s="446"/>
      <c r="AI32" s="446"/>
      <c r="AJ32" s="446"/>
      <c r="AK32" s="446"/>
      <c r="AL32" s="446"/>
      <c r="AM32" s="446"/>
      <c r="AN32" s="678"/>
      <c r="AP32" s="677"/>
      <c r="AQ32" s="446"/>
      <c r="AR32" s="446"/>
      <c r="AS32" s="446"/>
      <c r="AT32" s="446"/>
      <c r="AU32" s="446"/>
      <c r="AV32" s="446"/>
      <c r="AW32" s="446"/>
      <c r="AX32" s="446"/>
      <c r="AY32" s="446"/>
      <c r="AZ32" s="446"/>
      <c r="BA32" s="446"/>
      <c r="BB32" s="446"/>
      <c r="BC32" s="446"/>
      <c r="BD32" s="446"/>
      <c r="BE32" s="446"/>
      <c r="BF32" s="446"/>
      <c r="BG32" s="446"/>
      <c r="BH32" s="678"/>
    </row>
    <row r="33" spans="2:60" x14ac:dyDescent="0.35">
      <c r="V33" s="677"/>
      <c r="W33" s="446"/>
      <c r="X33" s="446"/>
      <c r="Y33" s="446"/>
      <c r="Z33" s="446"/>
      <c r="AA33" s="446"/>
      <c r="AB33" s="446"/>
      <c r="AC33" s="446"/>
      <c r="AD33" s="446"/>
      <c r="AE33" s="446"/>
      <c r="AF33" s="446"/>
      <c r="AG33" s="446"/>
      <c r="AH33" s="446"/>
      <c r="AI33" s="446"/>
      <c r="AJ33" s="446"/>
      <c r="AK33" s="446"/>
      <c r="AL33" s="446"/>
      <c r="AM33" s="446"/>
      <c r="AN33" s="678"/>
      <c r="AP33" s="677"/>
      <c r="AQ33" s="446"/>
      <c r="AR33" s="446"/>
      <c r="AS33" s="446"/>
      <c r="AT33" s="446"/>
      <c r="AU33" s="446"/>
      <c r="AV33" s="446"/>
      <c r="AW33" s="446"/>
      <c r="AX33" s="446"/>
      <c r="AY33" s="446"/>
      <c r="AZ33" s="446"/>
      <c r="BA33" s="446"/>
      <c r="BB33" s="446"/>
      <c r="BC33" s="446"/>
      <c r="BD33" s="446"/>
      <c r="BE33" s="446"/>
      <c r="BF33" s="446"/>
      <c r="BG33" s="446"/>
      <c r="BH33" s="678"/>
    </row>
    <row r="34" spans="2:60" x14ac:dyDescent="0.35">
      <c r="V34" s="677"/>
      <c r="W34" s="446"/>
      <c r="X34" s="446"/>
      <c r="Y34" s="446"/>
      <c r="Z34" s="446"/>
      <c r="AA34" s="446"/>
      <c r="AB34" s="446"/>
      <c r="AC34" s="446"/>
      <c r="AD34" s="446"/>
      <c r="AE34" s="446"/>
      <c r="AF34" s="446"/>
      <c r="AG34" s="446"/>
      <c r="AH34" s="446"/>
      <c r="AI34" s="446"/>
      <c r="AJ34" s="446"/>
      <c r="AK34" s="446"/>
      <c r="AL34" s="446"/>
      <c r="AM34" s="446"/>
      <c r="AN34" s="678"/>
      <c r="AP34" s="677"/>
      <c r="AQ34" s="446"/>
      <c r="AR34" s="446"/>
      <c r="AS34" s="446"/>
      <c r="AT34" s="446"/>
      <c r="AU34" s="446"/>
      <c r="AV34" s="446"/>
      <c r="AW34" s="446"/>
      <c r="AX34" s="446"/>
      <c r="AY34" s="446"/>
      <c r="AZ34" s="446"/>
      <c r="BA34" s="446"/>
      <c r="BB34" s="446"/>
      <c r="BC34" s="446"/>
      <c r="BD34" s="446"/>
      <c r="BE34" s="446"/>
      <c r="BF34" s="446"/>
      <c r="BG34" s="446"/>
      <c r="BH34" s="678"/>
    </row>
    <row r="35" spans="2:60" x14ac:dyDescent="0.35">
      <c r="V35" s="677"/>
      <c r="W35" s="446"/>
      <c r="X35" s="446"/>
      <c r="Y35" s="446"/>
      <c r="Z35" s="446"/>
      <c r="AA35" s="446"/>
      <c r="AB35" s="446"/>
      <c r="AC35" s="446"/>
      <c r="AD35" s="446"/>
      <c r="AE35" s="446"/>
      <c r="AF35" s="446"/>
      <c r="AG35" s="446"/>
      <c r="AH35" s="446"/>
      <c r="AI35" s="446"/>
      <c r="AJ35" s="446"/>
      <c r="AK35" s="446"/>
      <c r="AL35" s="446"/>
      <c r="AM35" s="446"/>
      <c r="AN35" s="678"/>
      <c r="AP35" s="677"/>
      <c r="AQ35" s="446"/>
      <c r="AR35" s="446"/>
      <c r="AS35" s="446"/>
      <c r="AT35" s="446"/>
      <c r="AU35" s="446"/>
      <c r="AV35" s="446"/>
      <c r="AW35" s="446"/>
      <c r="AX35" s="446"/>
      <c r="AY35" s="446"/>
      <c r="AZ35" s="446"/>
      <c r="BA35" s="446"/>
      <c r="BB35" s="446"/>
      <c r="BC35" s="446"/>
      <c r="BD35" s="446"/>
      <c r="BE35" s="446"/>
      <c r="BF35" s="446"/>
      <c r="BG35" s="446"/>
      <c r="BH35" s="678"/>
    </row>
    <row r="36" spans="2:60" x14ac:dyDescent="0.35">
      <c r="V36" s="677"/>
      <c r="W36" s="446"/>
      <c r="X36" s="446"/>
      <c r="Y36" s="446"/>
      <c r="Z36" s="446"/>
      <c r="AA36" s="446"/>
      <c r="AB36" s="446"/>
      <c r="AC36" s="446"/>
      <c r="AD36" s="446"/>
      <c r="AE36" s="446"/>
      <c r="AF36" s="446"/>
      <c r="AG36" s="446"/>
      <c r="AH36" s="446"/>
      <c r="AI36" s="446"/>
      <c r="AJ36" s="446"/>
      <c r="AK36" s="446"/>
      <c r="AL36" s="446"/>
      <c r="AM36" s="446"/>
      <c r="AN36" s="678"/>
      <c r="AP36" s="677"/>
      <c r="AQ36" s="446"/>
      <c r="AR36" s="446"/>
      <c r="AS36" s="446"/>
      <c r="AT36" s="446"/>
      <c r="AU36" s="446"/>
      <c r="AV36" s="446"/>
      <c r="AW36" s="446"/>
      <c r="AX36" s="446"/>
      <c r="AY36" s="446"/>
      <c r="AZ36" s="446"/>
      <c r="BA36" s="446"/>
      <c r="BB36" s="446"/>
      <c r="BC36" s="446"/>
      <c r="BD36" s="446"/>
      <c r="BE36" s="446"/>
      <c r="BF36" s="446"/>
      <c r="BG36" s="446"/>
      <c r="BH36" s="678"/>
    </row>
    <row r="37" spans="2:60" x14ac:dyDescent="0.35">
      <c r="V37" s="677"/>
      <c r="W37" s="446"/>
      <c r="X37" s="446"/>
      <c r="Y37" s="446"/>
      <c r="Z37" s="446"/>
      <c r="AA37" s="446"/>
      <c r="AB37" s="446"/>
      <c r="AC37" s="446"/>
      <c r="AD37" s="446"/>
      <c r="AE37" s="446"/>
      <c r="AF37" s="446"/>
      <c r="AG37" s="446"/>
      <c r="AH37" s="446"/>
      <c r="AI37" s="446"/>
      <c r="AJ37" s="446"/>
      <c r="AK37" s="446"/>
      <c r="AL37" s="446"/>
      <c r="AM37" s="446"/>
      <c r="AN37" s="678"/>
      <c r="AP37" s="677"/>
      <c r="AQ37" s="446"/>
      <c r="AR37" s="446"/>
      <c r="AS37" s="446"/>
      <c r="AT37" s="446"/>
      <c r="AU37" s="446"/>
      <c r="AV37" s="446"/>
      <c r="AW37" s="446"/>
      <c r="AX37" s="446"/>
      <c r="AY37" s="446"/>
      <c r="AZ37" s="446"/>
      <c r="BA37" s="446"/>
      <c r="BB37" s="446"/>
      <c r="BC37" s="446"/>
      <c r="BD37" s="446"/>
      <c r="BE37" s="446"/>
      <c r="BF37" s="446"/>
      <c r="BG37" s="446"/>
      <c r="BH37" s="678"/>
    </row>
    <row r="38" spans="2:60" ht="15" thickBot="1" x14ac:dyDescent="0.4">
      <c r="V38" s="679"/>
      <c r="W38" s="680"/>
      <c r="X38" s="680"/>
      <c r="Y38" s="680"/>
      <c r="Z38" s="680"/>
      <c r="AA38" s="680"/>
      <c r="AB38" s="680"/>
      <c r="AC38" s="680"/>
      <c r="AD38" s="680"/>
      <c r="AE38" s="680"/>
      <c r="AF38" s="680"/>
      <c r="AG38" s="680"/>
      <c r="AH38" s="680"/>
      <c r="AI38" s="680"/>
      <c r="AJ38" s="680"/>
      <c r="AK38" s="680"/>
      <c r="AL38" s="680"/>
      <c r="AM38" s="680"/>
      <c r="AN38" s="681"/>
      <c r="AP38" s="679"/>
      <c r="AQ38" s="680"/>
      <c r="AR38" s="680"/>
      <c r="AS38" s="680"/>
      <c r="AT38" s="680"/>
      <c r="AU38" s="680"/>
      <c r="AV38" s="680"/>
      <c r="AW38" s="680"/>
      <c r="AX38" s="680"/>
      <c r="AY38" s="680"/>
      <c r="AZ38" s="680"/>
      <c r="BA38" s="680"/>
      <c r="BB38" s="680"/>
      <c r="BC38" s="680"/>
      <c r="BD38" s="680"/>
      <c r="BE38" s="680"/>
      <c r="BF38" s="680"/>
      <c r="BG38" s="680"/>
      <c r="BH38" s="681"/>
    </row>
    <row r="41" spans="2:60" ht="15" thickBot="1" x14ac:dyDescent="0.4"/>
    <row r="42" spans="2:60" x14ac:dyDescent="0.35">
      <c r="B42" s="674"/>
      <c r="C42" s="675"/>
      <c r="D42" s="675"/>
      <c r="E42" s="675"/>
      <c r="F42" s="675"/>
      <c r="G42" s="675"/>
      <c r="H42" s="675"/>
      <c r="I42" s="675"/>
      <c r="J42" s="675"/>
      <c r="K42" s="675"/>
      <c r="L42" s="675"/>
      <c r="M42" s="675"/>
      <c r="N42" s="675"/>
      <c r="O42" s="675"/>
      <c r="P42" s="675"/>
      <c r="Q42" s="675"/>
      <c r="R42" s="675"/>
      <c r="S42" s="675"/>
      <c r="T42" s="676"/>
      <c r="V42" s="674"/>
      <c r="W42" s="675"/>
      <c r="X42" s="675"/>
      <c r="Y42" s="675"/>
      <c r="Z42" s="675"/>
      <c r="AA42" s="675"/>
      <c r="AB42" s="675"/>
      <c r="AC42" s="675"/>
      <c r="AD42" s="675"/>
      <c r="AE42" s="675"/>
      <c r="AF42" s="675"/>
      <c r="AG42" s="675"/>
      <c r="AH42" s="675"/>
      <c r="AI42" s="675"/>
      <c r="AJ42" s="675"/>
      <c r="AK42" s="675"/>
      <c r="AL42" s="675"/>
      <c r="AM42" s="675"/>
      <c r="AN42" s="676"/>
      <c r="AP42" s="674"/>
      <c r="AQ42" s="675"/>
      <c r="AR42" s="675"/>
      <c r="AS42" s="675"/>
      <c r="AT42" s="675"/>
      <c r="AU42" s="675"/>
      <c r="AV42" s="675"/>
      <c r="AW42" s="675"/>
      <c r="AX42" s="675"/>
      <c r="AY42" s="675"/>
      <c r="AZ42" s="675"/>
      <c r="BA42" s="675"/>
      <c r="BB42" s="675"/>
      <c r="BC42" s="675"/>
      <c r="BD42" s="675"/>
      <c r="BE42" s="675"/>
      <c r="BF42" s="675"/>
      <c r="BG42" s="675"/>
      <c r="BH42" s="676"/>
    </row>
    <row r="43" spans="2:60" x14ac:dyDescent="0.35">
      <c r="B43" s="677"/>
      <c r="C43" s="446"/>
      <c r="D43" s="446"/>
      <c r="E43" s="446"/>
      <c r="F43" s="446"/>
      <c r="G43" s="446"/>
      <c r="H43" s="446"/>
      <c r="I43" s="446"/>
      <c r="J43" s="446"/>
      <c r="K43" s="446"/>
      <c r="L43" s="446"/>
      <c r="M43" s="446"/>
      <c r="N43" s="446"/>
      <c r="O43" s="446"/>
      <c r="P43" s="446"/>
      <c r="Q43" s="446"/>
      <c r="R43" s="446"/>
      <c r="S43" s="446"/>
      <c r="T43" s="678"/>
      <c r="V43" s="677"/>
      <c r="W43" s="446"/>
      <c r="X43" s="446"/>
      <c r="Y43" s="446"/>
      <c r="Z43" s="446"/>
      <c r="AA43" s="446"/>
      <c r="AB43" s="446"/>
      <c r="AC43" s="446"/>
      <c r="AD43" s="446"/>
      <c r="AE43" s="446"/>
      <c r="AF43" s="446"/>
      <c r="AG43" s="446"/>
      <c r="AH43" s="446"/>
      <c r="AI43" s="446"/>
      <c r="AJ43" s="446"/>
      <c r="AK43" s="446"/>
      <c r="AL43" s="446"/>
      <c r="AM43" s="446"/>
      <c r="AN43" s="678"/>
      <c r="AP43" s="677"/>
      <c r="AQ43" s="446"/>
      <c r="AR43" s="446"/>
      <c r="AS43" s="446"/>
      <c r="AT43" s="446"/>
      <c r="AU43" s="446"/>
      <c r="AV43" s="446"/>
      <c r="AW43" s="446"/>
      <c r="AX43" s="446"/>
      <c r="AY43" s="446"/>
      <c r="AZ43" s="446"/>
      <c r="BA43" s="446"/>
      <c r="BB43" s="446"/>
      <c r="BC43" s="446"/>
      <c r="BD43" s="446"/>
      <c r="BE43" s="446"/>
      <c r="BF43" s="446"/>
      <c r="BG43" s="446"/>
      <c r="BH43" s="678"/>
    </row>
    <row r="44" spans="2:60" x14ac:dyDescent="0.35">
      <c r="B44" s="677"/>
      <c r="C44" s="446"/>
      <c r="D44" s="446"/>
      <c r="E44" s="446"/>
      <c r="F44" s="446"/>
      <c r="G44" s="446"/>
      <c r="H44" s="446"/>
      <c r="I44" s="446"/>
      <c r="J44" s="446"/>
      <c r="K44" s="446"/>
      <c r="L44" s="446"/>
      <c r="M44" s="446"/>
      <c r="N44" s="446"/>
      <c r="O44" s="446"/>
      <c r="P44" s="446"/>
      <c r="Q44" s="446"/>
      <c r="R44" s="446"/>
      <c r="S44" s="446"/>
      <c r="T44" s="678"/>
      <c r="V44" s="677"/>
      <c r="W44" s="446"/>
      <c r="X44" s="446"/>
      <c r="Y44" s="446"/>
      <c r="Z44" s="446"/>
      <c r="AA44" s="446"/>
      <c r="AB44" s="446"/>
      <c r="AC44" s="446"/>
      <c r="AD44" s="446"/>
      <c r="AE44" s="446"/>
      <c r="AF44" s="446"/>
      <c r="AG44" s="446"/>
      <c r="AH44" s="446"/>
      <c r="AI44" s="446"/>
      <c r="AJ44" s="446"/>
      <c r="AK44" s="446"/>
      <c r="AL44" s="446"/>
      <c r="AM44" s="446"/>
      <c r="AN44" s="678"/>
      <c r="AP44" s="677"/>
      <c r="AQ44" s="446"/>
      <c r="AR44" s="446"/>
      <c r="AS44" s="446"/>
      <c r="AT44" s="446"/>
      <c r="AU44" s="446"/>
      <c r="AV44" s="446"/>
      <c r="AW44" s="446"/>
      <c r="AX44" s="446"/>
      <c r="AY44" s="446"/>
      <c r="AZ44" s="446"/>
      <c r="BA44" s="446"/>
      <c r="BB44" s="446"/>
      <c r="BC44" s="446"/>
      <c r="BD44" s="446"/>
      <c r="BE44" s="446"/>
      <c r="BF44" s="446"/>
      <c r="BG44" s="446"/>
      <c r="BH44" s="678"/>
    </row>
    <row r="45" spans="2:60" x14ac:dyDescent="0.35">
      <c r="B45" s="677"/>
      <c r="C45" s="446"/>
      <c r="D45" s="446"/>
      <c r="E45" s="446"/>
      <c r="F45" s="446"/>
      <c r="G45" s="446"/>
      <c r="H45" s="446"/>
      <c r="I45" s="446"/>
      <c r="J45" s="446"/>
      <c r="K45" s="446"/>
      <c r="L45" s="446"/>
      <c r="M45" s="446"/>
      <c r="N45" s="446"/>
      <c r="O45" s="446"/>
      <c r="P45" s="446"/>
      <c r="Q45" s="446"/>
      <c r="R45" s="446"/>
      <c r="S45" s="446"/>
      <c r="T45" s="678"/>
      <c r="V45" s="677"/>
      <c r="W45" s="446"/>
      <c r="X45" s="446"/>
      <c r="Y45" s="446"/>
      <c r="Z45" s="446"/>
      <c r="AA45" s="446"/>
      <c r="AB45" s="446"/>
      <c r="AC45" s="446"/>
      <c r="AD45" s="446"/>
      <c r="AE45" s="446"/>
      <c r="AF45" s="446"/>
      <c r="AG45" s="446"/>
      <c r="AH45" s="446"/>
      <c r="AI45" s="446"/>
      <c r="AJ45" s="446"/>
      <c r="AK45" s="446"/>
      <c r="AL45" s="446"/>
      <c r="AM45" s="446"/>
      <c r="AN45" s="678"/>
      <c r="AP45" s="677"/>
      <c r="AQ45" s="446"/>
      <c r="AR45" s="446"/>
      <c r="AS45" s="446"/>
      <c r="AT45" s="446"/>
      <c r="AU45" s="446"/>
      <c r="AV45" s="446"/>
      <c r="AW45" s="446"/>
      <c r="AX45" s="446"/>
      <c r="AY45" s="446"/>
      <c r="AZ45" s="446"/>
      <c r="BA45" s="446"/>
      <c r="BB45" s="446"/>
      <c r="BC45" s="446"/>
      <c r="BD45" s="446"/>
      <c r="BE45" s="446"/>
      <c r="BF45" s="446"/>
      <c r="BG45" s="446"/>
      <c r="BH45" s="678"/>
    </row>
    <row r="46" spans="2:60" x14ac:dyDescent="0.35">
      <c r="B46" s="677"/>
      <c r="C46" s="446"/>
      <c r="D46" s="446"/>
      <c r="E46" s="446"/>
      <c r="F46" s="446"/>
      <c r="G46" s="446"/>
      <c r="H46" s="446"/>
      <c r="I46" s="446"/>
      <c r="J46" s="446"/>
      <c r="K46" s="446"/>
      <c r="L46" s="446"/>
      <c r="M46" s="446"/>
      <c r="N46" s="446"/>
      <c r="O46" s="446"/>
      <c r="P46" s="446"/>
      <c r="Q46" s="446"/>
      <c r="R46" s="446"/>
      <c r="S46" s="446"/>
      <c r="T46" s="678"/>
      <c r="V46" s="677"/>
      <c r="W46" s="446"/>
      <c r="X46" s="446"/>
      <c r="Y46" s="446"/>
      <c r="Z46" s="446"/>
      <c r="AA46" s="446"/>
      <c r="AB46" s="446"/>
      <c r="AC46" s="446"/>
      <c r="AD46" s="446"/>
      <c r="AE46" s="446"/>
      <c r="AF46" s="446"/>
      <c r="AG46" s="446"/>
      <c r="AH46" s="446"/>
      <c r="AI46" s="446"/>
      <c r="AJ46" s="446"/>
      <c r="AK46" s="446"/>
      <c r="AL46" s="446"/>
      <c r="AM46" s="446"/>
      <c r="AN46" s="678"/>
      <c r="AP46" s="677"/>
      <c r="AQ46" s="446"/>
      <c r="AR46" s="446"/>
      <c r="AS46" s="446"/>
      <c r="AT46" s="446"/>
      <c r="AU46" s="446"/>
      <c r="AV46" s="446"/>
      <c r="AW46" s="446"/>
      <c r="AX46" s="446"/>
      <c r="AY46" s="446"/>
      <c r="AZ46" s="446"/>
      <c r="BA46" s="446"/>
      <c r="BB46" s="446"/>
      <c r="BC46" s="446"/>
      <c r="BD46" s="446"/>
      <c r="BE46" s="446"/>
      <c r="BF46" s="446"/>
      <c r="BG46" s="446"/>
      <c r="BH46" s="678"/>
    </row>
    <row r="47" spans="2:60" x14ac:dyDescent="0.35">
      <c r="B47" s="677"/>
      <c r="C47" s="446"/>
      <c r="D47" s="446"/>
      <c r="E47" s="446"/>
      <c r="F47" s="446"/>
      <c r="G47" s="446"/>
      <c r="H47" s="446"/>
      <c r="I47" s="446"/>
      <c r="J47" s="446"/>
      <c r="K47" s="446"/>
      <c r="L47" s="446"/>
      <c r="M47" s="446"/>
      <c r="N47" s="446"/>
      <c r="O47" s="446"/>
      <c r="P47" s="446"/>
      <c r="Q47" s="446"/>
      <c r="R47" s="446"/>
      <c r="S47" s="446"/>
      <c r="T47" s="678"/>
      <c r="V47" s="677"/>
      <c r="W47" s="446"/>
      <c r="X47" s="446"/>
      <c r="Y47" s="446"/>
      <c r="Z47" s="446"/>
      <c r="AA47" s="446"/>
      <c r="AB47" s="446"/>
      <c r="AC47" s="446"/>
      <c r="AD47" s="446"/>
      <c r="AE47" s="446"/>
      <c r="AF47" s="446"/>
      <c r="AG47" s="446"/>
      <c r="AH47" s="446"/>
      <c r="AI47" s="446"/>
      <c r="AJ47" s="446"/>
      <c r="AK47" s="446"/>
      <c r="AL47" s="446"/>
      <c r="AM47" s="446"/>
      <c r="AN47" s="678"/>
      <c r="AP47" s="677"/>
      <c r="AQ47" s="446"/>
      <c r="AR47" s="446"/>
      <c r="AS47" s="446"/>
      <c r="AT47" s="446"/>
      <c r="AU47" s="446"/>
      <c r="AV47" s="446"/>
      <c r="AW47" s="446"/>
      <c r="AX47" s="446"/>
      <c r="AY47" s="446"/>
      <c r="AZ47" s="446"/>
      <c r="BA47" s="446"/>
      <c r="BB47" s="446"/>
      <c r="BC47" s="446"/>
      <c r="BD47" s="446"/>
      <c r="BE47" s="446"/>
      <c r="BF47" s="446"/>
      <c r="BG47" s="446"/>
      <c r="BH47" s="678"/>
    </row>
    <row r="48" spans="2:60" x14ac:dyDescent="0.35">
      <c r="B48" s="677"/>
      <c r="C48" s="446"/>
      <c r="D48" s="446"/>
      <c r="E48" s="446"/>
      <c r="F48" s="446"/>
      <c r="G48" s="446"/>
      <c r="H48" s="446"/>
      <c r="I48" s="446"/>
      <c r="J48" s="446"/>
      <c r="K48" s="446"/>
      <c r="L48" s="446"/>
      <c r="M48" s="446"/>
      <c r="N48" s="446"/>
      <c r="O48" s="446"/>
      <c r="P48" s="446"/>
      <c r="Q48" s="446"/>
      <c r="R48" s="446"/>
      <c r="S48" s="446"/>
      <c r="T48" s="678"/>
      <c r="V48" s="677"/>
      <c r="W48" s="446"/>
      <c r="X48" s="446"/>
      <c r="Y48" s="446"/>
      <c r="Z48" s="446"/>
      <c r="AA48" s="446"/>
      <c r="AB48" s="446"/>
      <c r="AC48" s="446"/>
      <c r="AD48" s="446"/>
      <c r="AE48" s="446"/>
      <c r="AF48" s="446"/>
      <c r="AG48" s="446"/>
      <c r="AH48" s="446"/>
      <c r="AI48" s="446"/>
      <c r="AJ48" s="446"/>
      <c r="AK48" s="446"/>
      <c r="AL48" s="446"/>
      <c r="AM48" s="446"/>
      <c r="AN48" s="678"/>
      <c r="AP48" s="677"/>
      <c r="AQ48" s="446"/>
      <c r="AR48" s="446"/>
      <c r="AS48" s="446"/>
      <c r="AT48" s="446"/>
      <c r="AU48" s="446"/>
      <c r="AV48" s="446"/>
      <c r="AW48" s="446"/>
      <c r="AX48" s="446"/>
      <c r="AY48" s="446"/>
      <c r="AZ48" s="446"/>
      <c r="BA48" s="446"/>
      <c r="BB48" s="446"/>
      <c r="BC48" s="446"/>
      <c r="BD48" s="446"/>
      <c r="BE48" s="446"/>
      <c r="BF48" s="446"/>
      <c r="BG48" s="446"/>
      <c r="BH48" s="678"/>
    </row>
    <row r="49" spans="2:60" x14ac:dyDescent="0.35">
      <c r="B49" s="677"/>
      <c r="C49" s="446"/>
      <c r="D49" s="446"/>
      <c r="E49" s="446"/>
      <c r="F49" s="446"/>
      <c r="G49" s="446"/>
      <c r="H49" s="446"/>
      <c r="I49" s="446"/>
      <c r="J49" s="446"/>
      <c r="K49" s="446"/>
      <c r="L49" s="446"/>
      <c r="M49" s="446"/>
      <c r="N49" s="446"/>
      <c r="O49" s="446"/>
      <c r="P49" s="446"/>
      <c r="Q49" s="446"/>
      <c r="R49" s="446"/>
      <c r="S49" s="446"/>
      <c r="T49" s="678"/>
      <c r="V49" s="677"/>
      <c r="W49" s="446"/>
      <c r="X49" s="446"/>
      <c r="Y49" s="446"/>
      <c r="Z49" s="446"/>
      <c r="AA49" s="446"/>
      <c r="AB49" s="446"/>
      <c r="AC49" s="446"/>
      <c r="AD49" s="446"/>
      <c r="AE49" s="446"/>
      <c r="AF49" s="446"/>
      <c r="AG49" s="446"/>
      <c r="AH49" s="446"/>
      <c r="AI49" s="446"/>
      <c r="AJ49" s="446"/>
      <c r="AK49" s="446"/>
      <c r="AL49" s="446"/>
      <c r="AM49" s="446"/>
      <c r="AN49" s="678"/>
      <c r="AP49" s="677"/>
      <c r="AQ49" s="446"/>
      <c r="AR49" s="446"/>
      <c r="AS49" s="446"/>
      <c r="AT49" s="446"/>
      <c r="AU49" s="446"/>
      <c r="AV49" s="446"/>
      <c r="AW49" s="446"/>
      <c r="AX49" s="446"/>
      <c r="AY49" s="446"/>
      <c r="AZ49" s="446"/>
      <c r="BA49" s="446"/>
      <c r="BB49" s="446"/>
      <c r="BC49" s="446"/>
      <c r="BD49" s="446"/>
      <c r="BE49" s="446"/>
      <c r="BF49" s="446"/>
      <c r="BG49" s="446"/>
      <c r="BH49" s="678"/>
    </row>
    <row r="50" spans="2:60" x14ac:dyDescent="0.35">
      <c r="B50" s="677"/>
      <c r="C50" s="446"/>
      <c r="D50" s="446"/>
      <c r="E50" s="446"/>
      <c r="F50" s="446"/>
      <c r="G50" s="446"/>
      <c r="H50" s="446"/>
      <c r="I50" s="446"/>
      <c r="J50" s="446"/>
      <c r="K50" s="446"/>
      <c r="L50" s="446"/>
      <c r="M50" s="446"/>
      <c r="N50" s="446"/>
      <c r="O50" s="446"/>
      <c r="P50" s="446"/>
      <c r="Q50" s="446"/>
      <c r="R50" s="446"/>
      <c r="S50" s="446"/>
      <c r="T50" s="678"/>
      <c r="V50" s="677"/>
      <c r="W50" s="446"/>
      <c r="X50" s="446"/>
      <c r="Y50" s="446"/>
      <c r="Z50" s="446"/>
      <c r="AA50" s="446"/>
      <c r="AB50" s="446"/>
      <c r="AC50" s="446"/>
      <c r="AD50" s="446"/>
      <c r="AE50" s="446"/>
      <c r="AF50" s="446"/>
      <c r="AG50" s="446"/>
      <c r="AH50" s="446"/>
      <c r="AI50" s="446"/>
      <c r="AJ50" s="446"/>
      <c r="AK50" s="446"/>
      <c r="AL50" s="446"/>
      <c r="AM50" s="446"/>
      <c r="AN50" s="678"/>
      <c r="AP50" s="677"/>
      <c r="AQ50" s="446"/>
      <c r="AR50" s="446"/>
      <c r="AS50" s="446"/>
      <c r="AT50" s="446"/>
      <c r="AU50" s="446"/>
      <c r="AV50" s="446"/>
      <c r="AW50" s="446"/>
      <c r="AX50" s="446"/>
      <c r="AY50" s="446"/>
      <c r="AZ50" s="446"/>
      <c r="BA50" s="446"/>
      <c r="BB50" s="446"/>
      <c r="BC50" s="446"/>
      <c r="BD50" s="446"/>
      <c r="BE50" s="446"/>
      <c r="BF50" s="446"/>
      <c r="BG50" s="446"/>
      <c r="BH50" s="678"/>
    </row>
    <row r="51" spans="2:60" x14ac:dyDescent="0.35">
      <c r="B51" s="677"/>
      <c r="C51" s="446"/>
      <c r="D51" s="446"/>
      <c r="E51" s="446"/>
      <c r="F51" s="446"/>
      <c r="G51" s="446"/>
      <c r="H51" s="446"/>
      <c r="I51" s="446"/>
      <c r="J51" s="446"/>
      <c r="K51" s="446"/>
      <c r="L51" s="446"/>
      <c r="M51" s="446"/>
      <c r="N51" s="446"/>
      <c r="O51" s="446"/>
      <c r="P51" s="446"/>
      <c r="Q51" s="446"/>
      <c r="R51" s="446"/>
      <c r="S51" s="446"/>
      <c r="T51" s="678"/>
      <c r="V51" s="677"/>
      <c r="W51" s="446"/>
      <c r="X51" s="446"/>
      <c r="Y51" s="446"/>
      <c r="Z51" s="446"/>
      <c r="AA51" s="446"/>
      <c r="AB51" s="446"/>
      <c r="AC51" s="446"/>
      <c r="AD51" s="446"/>
      <c r="AE51" s="446"/>
      <c r="AF51" s="446"/>
      <c r="AG51" s="446"/>
      <c r="AH51" s="446"/>
      <c r="AI51" s="446"/>
      <c r="AJ51" s="446"/>
      <c r="AK51" s="446"/>
      <c r="AL51" s="446"/>
      <c r="AM51" s="446"/>
      <c r="AN51" s="678"/>
      <c r="AP51" s="677"/>
      <c r="AQ51" s="446"/>
      <c r="AR51" s="446"/>
      <c r="AS51" s="446"/>
      <c r="AT51" s="446"/>
      <c r="AU51" s="446"/>
      <c r="AV51" s="446"/>
      <c r="AW51" s="446"/>
      <c r="AX51" s="446"/>
      <c r="AY51" s="446"/>
      <c r="AZ51" s="446"/>
      <c r="BA51" s="446"/>
      <c r="BB51" s="446"/>
      <c r="BC51" s="446"/>
      <c r="BD51" s="446"/>
      <c r="BE51" s="446"/>
      <c r="BF51" s="446"/>
      <c r="BG51" s="446"/>
      <c r="BH51" s="678"/>
    </row>
    <row r="52" spans="2:60" x14ac:dyDescent="0.35">
      <c r="B52" s="677"/>
      <c r="C52" s="446"/>
      <c r="D52" s="446"/>
      <c r="E52" s="446"/>
      <c r="F52" s="446"/>
      <c r="G52" s="446"/>
      <c r="H52" s="446"/>
      <c r="I52" s="446"/>
      <c r="J52" s="446"/>
      <c r="K52" s="446"/>
      <c r="L52" s="446"/>
      <c r="M52" s="446"/>
      <c r="N52" s="446"/>
      <c r="O52" s="446"/>
      <c r="P52" s="446"/>
      <c r="Q52" s="446"/>
      <c r="R52" s="446"/>
      <c r="S52" s="446"/>
      <c r="T52" s="678"/>
      <c r="V52" s="677"/>
      <c r="W52" s="446"/>
      <c r="X52" s="446"/>
      <c r="Y52" s="446"/>
      <c r="Z52" s="446"/>
      <c r="AA52" s="446"/>
      <c r="AB52" s="446"/>
      <c r="AC52" s="446"/>
      <c r="AD52" s="446"/>
      <c r="AE52" s="446"/>
      <c r="AF52" s="446"/>
      <c r="AG52" s="446"/>
      <c r="AH52" s="446"/>
      <c r="AI52" s="446"/>
      <c r="AJ52" s="446"/>
      <c r="AK52" s="446"/>
      <c r="AL52" s="446"/>
      <c r="AM52" s="446"/>
      <c r="AN52" s="678"/>
      <c r="AP52" s="677"/>
      <c r="AQ52" s="446"/>
      <c r="AR52" s="446"/>
      <c r="AS52" s="446"/>
      <c r="AT52" s="446"/>
      <c r="AU52" s="446"/>
      <c r="AV52" s="446"/>
      <c r="AW52" s="446"/>
      <c r="AX52" s="446"/>
      <c r="AY52" s="446"/>
      <c r="AZ52" s="446"/>
      <c r="BA52" s="446"/>
      <c r="BB52" s="446"/>
      <c r="BC52" s="446"/>
      <c r="BD52" s="446"/>
      <c r="BE52" s="446"/>
      <c r="BF52" s="446"/>
      <c r="BG52" s="446"/>
      <c r="BH52" s="678"/>
    </row>
    <row r="53" spans="2:60" x14ac:dyDescent="0.35">
      <c r="B53" s="677"/>
      <c r="C53" s="446"/>
      <c r="D53" s="446"/>
      <c r="E53" s="446"/>
      <c r="F53" s="446"/>
      <c r="G53" s="446"/>
      <c r="H53" s="446"/>
      <c r="I53" s="446"/>
      <c r="J53" s="446"/>
      <c r="K53" s="446"/>
      <c r="L53" s="446"/>
      <c r="M53" s="446"/>
      <c r="N53" s="446"/>
      <c r="O53" s="446"/>
      <c r="P53" s="446"/>
      <c r="Q53" s="446"/>
      <c r="R53" s="446"/>
      <c r="S53" s="446"/>
      <c r="T53" s="678"/>
      <c r="V53" s="677"/>
      <c r="W53" s="446"/>
      <c r="X53" s="446"/>
      <c r="Y53" s="446"/>
      <c r="Z53" s="446"/>
      <c r="AA53" s="446"/>
      <c r="AB53" s="446"/>
      <c r="AC53" s="446"/>
      <c r="AD53" s="446"/>
      <c r="AE53" s="446"/>
      <c r="AF53" s="446"/>
      <c r="AG53" s="446"/>
      <c r="AH53" s="446"/>
      <c r="AI53" s="446"/>
      <c r="AJ53" s="446"/>
      <c r="AK53" s="446"/>
      <c r="AL53" s="446"/>
      <c r="AM53" s="446"/>
      <c r="AN53" s="678"/>
      <c r="AP53" s="677"/>
      <c r="AQ53" s="446"/>
      <c r="AR53" s="446"/>
      <c r="AS53" s="446"/>
      <c r="AT53" s="446"/>
      <c r="AU53" s="446"/>
      <c r="AV53" s="446"/>
      <c r="AW53" s="446"/>
      <c r="AX53" s="446"/>
      <c r="AY53" s="446"/>
      <c r="AZ53" s="446"/>
      <c r="BA53" s="446"/>
      <c r="BB53" s="446"/>
      <c r="BC53" s="446"/>
      <c r="BD53" s="446"/>
      <c r="BE53" s="446"/>
      <c r="BF53" s="446"/>
      <c r="BG53" s="446"/>
      <c r="BH53" s="678"/>
    </row>
    <row r="54" spans="2:60" x14ac:dyDescent="0.35">
      <c r="B54" s="677"/>
      <c r="C54" s="446"/>
      <c r="D54" s="446"/>
      <c r="E54" s="446"/>
      <c r="F54" s="446"/>
      <c r="G54" s="446"/>
      <c r="H54" s="446"/>
      <c r="I54" s="446"/>
      <c r="J54" s="446"/>
      <c r="K54" s="446"/>
      <c r="L54" s="446"/>
      <c r="M54" s="446"/>
      <c r="N54" s="446"/>
      <c r="O54" s="446"/>
      <c r="P54" s="446"/>
      <c r="Q54" s="446"/>
      <c r="R54" s="446"/>
      <c r="S54" s="446"/>
      <c r="T54" s="678"/>
      <c r="V54" s="677"/>
      <c r="W54" s="446"/>
      <c r="X54" s="446"/>
      <c r="Y54" s="446"/>
      <c r="Z54" s="446"/>
      <c r="AA54" s="446"/>
      <c r="AB54" s="446"/>
      <c r="AC54" s="446"/>
      <c r="AD54" s="446"/>
      <c r="AE54" s="446"/>
      <c r="AF54" s="446"/>
      <c r="AG54" s="446"/>
      <c r="AH54" s="446"/>
      <c r="AI54" s="446"/>
      <c r="AJ54" s="446"/>
      <c r="AK54" s="446"/>
      <c r="AL54" s="446"/>
      <c r="AM54" s="446"/>
      <c r="AN54" s="678"/>
      <c r="AP54" s="677"/>
      <c r="AQ54" s="446"/>
      <c r="AR54" s="446"/>
      <c r="AS54" s="446"/>
      <c r="AT54" s="446"/>
      <c r="AU54" s="446"/>
      <c r="AV54" s="446"/>
      <c r="AW54" s="446"/>
      <c r="AX54" s="446"/>
      <c r="AY54" s="446"/>
      <c r="AZ54" s="446"/>
      <c r="BA54" s="446"/>
      <c r="BB54" s="446"/>
      <c r="BC54" s="446"/>
      <c r="BD54" s="446"/>
      <c r="BE54" s="446"/>
      <c r="BF54" s="446"/>
      <c r="BG54" s="446"/>
      <c r="BH54" s="678"/>
    </row>
    <row r="55" spans="2:60" x14ac:dyDescent="0.35">
      <c r="B55" s="677"/>
      <c r="C55" s="446"/>
      <c r="D55" s="446"/>
      <c r="E55" s="446"/>
      <c r="F55" s="446"/>
      <c r="G55" s="446"/>
      <c r="H55" s="446"/>
      <c r="I55" s="446"/>
      <c r="J55" s="446"/>
      <c r="K55" s="446"/>
      <c r="L55" s="446"/>
      <c r="M55" s="446"/>
      <c r="N55" s="446"/>
      <c r="O55" s="446"/>
      <c r="P55" s="446"/>
      <c r="Q55" s="446"/>
      <c r="R55" s="446"/>
      <c r="S55" s="446"/>
      <c r="T55" s="678"/>
      <c r="V55" s="677"/>
      <c r="W55" s="446"/>
      <c r="X55" s="446"/>
      <c r="Y55" s="446"/>
      <c r="Z55" s="446"/>
      <c r="AA55" s="446"/>
      <c r="AB55" s="446"/>
      <c r="AC55" s="446"/>
      <c r="AD55" s="446"/>
      <c r="AE55" s="446"/>
      <c r="AF55" s="446"/>
      <c r="AG55" s="446"/>
      <c r="AH55" s="446"/>
      <c r="AI55" s="446"/>
      <c r="AJ55" s="446"/>
      <c r="AK55" s="446"/>
      <c r="AL55" s="446"/>
      <c r="AM55" s="446"/>
      <c r="AN55" s="678"/>
      <c r="AP55" s="677"/>
      <c r="AQ55" s="446"/>
      <c r="AR55" s="446"/>
      <c r="AS55" s="446"/>
      <c r="AT55" s="446"/>
      <c r="AU55" s="446"/>
      <c r="AV55" s="446"/>
      <c r="AW55" s="446"/>
      <c r="AX55" s="446"/>
      <c r="AY55" s="446"/>
      <c r="AZ55" s="446"/>
      <c r="BA55" s="446"/>
      <c r="BB55" s="446"/>
      <c r="BC55" s="446"/>
      <c r="BD55" s="446"/>
      <c r="BE55" s="446"/>
      <c r="BF55" s="446"/>
      <c r="BG55" s="446"/>
      <c r="BH55" s="678"/>
    </row>
    <row r="56" spans="2:60" x14ac:dyDescent="0.35">
      <c r="B56" s="677"/>
      <c r="C56" s="446"/>
      <c r="D56" s="446"/>
      <c r="E56" s="446"/>
      <c r="F56" s="446"/>
      <c r="G56" s="446"/>
      <c r="H56" s="446"/>
      <c r="I56" s="446"/>
      <c r="J56" s="446"/>
      <c r="K56" s="446"/>
      <c r="L56" s="446"/>
      <c r="M56" s="446"/>
      <c r="N56" s="446"/>
      <c r="O56" s="446"/>
      <c r="P56" s="446"/>
      <c r="Q56" s="446"/>
      <c r="R56" s="446"/>
      <c r="S56" s="446"/>
      <c r="T56" s="678"/>
      <c r="V56" s="677"/>
      <c r="W56" s="446"/>
      <c r="X56" s="446"/>
      <c r="Y56" s="446"/>
      <c r="Z56" s="446"/>
      <c r="AA56" s="446"/>
      <c r="AB56" s="446"/>
      <c r="AC56" s="446"/>
      <c r="AD56" s="446"/>
      <c r="AE56" s="446"/>
      <c r="AF56" s="446"/>
      <c r="AG56" s="446"/>
      <c r="AH56" s="446"/>
      <c r="AI56" s="446"/>
      <c r="AJ56" s="446"/>
      <c r="AK56" s="446"/>
      <c r="AL56" s="446"/>
      <c r="AM56" s="446"/>
      <c r="AN56" s="678"/>
      <c r="AP56" s="677"/>
      <c r="AQ56" s="446"/>
      <c r="AR56" s="446"/>
      <c r="AS56" s="446"/>
      <c r="AT56" s="446"/>
      <c r="AU56" s="446"/>
      <c r="AV56" s="446"/>
      <c r="AW56" s="446"/>
      <c r="AX56" s="446"/>
      <c r="AY56" s="446"/>
      <c r="AZ56" s="446"/>
      <c r="BA56" s="446"/>
      <c r="BB56" s="446"/>
      <c r="BC56" s="446"/>
      <c r="BD56" s="446"/>
      <c r="BE56" s="446"/>
      <c r="BF56" s="446"/>
      <c r="BG56" s="446"/>
      <c r="BH56" s="678"/>
    </row>
    <row r="57" spans="2:60" x14ac:dyDescent="0.35">
      <c r="B57" s="677"/>
      <c r="C57" s="446"/>
      <c r="D57" s="446"/>
      <c r="E57" s="446"/>
      <c r="F57" s="446"/>
      <c r="G57" s="446"/>
      <c r="H57" s="446"/>
      <c r="I57" s="446"/>
      <c r="J57" s="446"/>
      <c r="K57" s="446"/>
      <c r="L57" s="446"/>
      <c r="M57" s="446"/>
      <c r="N57" s="446"/>
      <c r="O57" s="446"/>
      <c r="P57" s="446"/>
      <c r="Q57" s="446"/>
      <c r="R57" s="446"/>
      <c r="S57" s="446"/>
      <c r="T57" s="678"/>
      <c r="V57" s="677"/>
      <c r="W57" s="446"/>
      <c r="X57" s="446"/>
      <c r="Y57" s="446"/>
      <c r="Z57" s="446"/>
      <c r="AA57" s="446"/>
      <c r="AB57" s="446"/>
      <c r="AC57" s="446"/>
      <c r="AD57" s="446"/>
      <c r="AE57" s="446"/>
      <c r="AF57" s="446"/>
      <c r="AG57" s="446"/>
      <c r="AH57" s="446"/>
      <c r="AI57" s="446"/>
      <c r="AJ57" s="446"/>
      <c r="AK57" s="446"/>
      <c r="AL57" s="446"/>
      <c r="AM57" s="446"/>
      <c r="AN57" s="678"/>
      <c r="AP57" s="677"/>
      <c r="AQ57" s="446"/>
      <c r="AR57" s="446"/>
      <c r="AS57" s="446"/>
      <c r="AT57" s="446"/>
      <c r="AU57" s="446"/>
      <c r="AV57" s="446"/>
      <c r="AW57" s="446"/>
      <c r="AX57" s="446"/>
      <c r="AY57" s="446"/>
      <c r="AZ57" s="446"/>
      <c r="BA57" s="446"/>
      <c r="BB57" s="446"/>
      <c r="BC57" s="446"/>
      <c r="BD57" s="446"/>
      <c r="BE57" s="446"/>
      <c r="BF57" s="446"/>
      <c r="BG57" s="446"/>
      <c r="BH57" s="678"/>
    </row>
    <row r="58" spans="2:60" x14ac:dyDescent="0.35">
      <c r="B58" s="677"/>
      <c r="C58" s="446"/>
      <c r="D58" s="446"/>
      <c r="E58" s="446"/>
      <c r="F58" s="446"/>
      <c r="G58" s="446"/>
      <c r="H58" s="446"/>
      <c r="I58" s="446"/>
      <c r="J58" s="446"/>
      <c r="K58" s="446"/>
      <c r="L58" s="446"/>
      <c r="M58" s="446"/>
      <c r="N58" s="446"/>
      <c r="O58" s="446"/>
      <c r="P58" s="446"/>
      <c r="Q58" s="446"/>
      <c r="R58" s="446"/>
      <c r="S58" s="446"/>
      <c r="T58" s="678"/>
      <c r="V58" s="677"/>
      <c r="W58" s="446"/>
      <c r="X58" s="446"/>
      <c r="Y58" s="446"/>
      <c r="Z58" s="446"/>
      <c r="AA58" s="446"/>
      <c r="AB58" s="446"/>
      <c r="AC58" s="446"/>
      <c r="AD58" s="446"/>
      <c r="AE58" s="446"/>
      <c r="AF58" s="446"/>
      <c r="AG58" s="446"/>
      <c r="AH58" s="446"/>
      <c r="AI58" s="446"/>
      <c r="AJ58" s="446"/>
      <c r="AK58" s="446"/>
      <c r="AL58" s="446"/>
      <c r="AM58" s="446"/>
      <c r="AN58" s="678"/>
      <c r="AP58" s="677"/>
      <c r="AQ58" s="446"/>
      <c r="AR58" s="446"/>
      <c r="AS58" s="446"/>
      <c r="AT58" s="446"/>
      <c r="AU58" s="446"/>
      <c r="AV58" s="446"/>
      <c r="AW58" s="446"/>
      <c r="AX58" s="446"/>
      <c r="AY58" s="446"/>
      <c r="AZ58" s="446"/>
      <c r="BA58" s="446"/>
      <c r="BB58" s="446"/>
      <c r="BC58" s="446"/>
      <c r="BD58" s="446"/>
      <c r="BE58" s="446"/>
      <c r="BF58" s="446"/>
      <c r="BG58" s="446"/>
      <c r="BH58" s="678"/>
    </row>
    <row r="59" spans="2:60" x14ac:dyDescent="0.35">
      <c r="B59" s="677"/>
      <c r="C59" s="446"/>
      <c r="D59" s="446"/>
      <c r="E59" s="446"/>
      <c r="F59" s="446"/>
      <c r="G59" s="446"/>
      <c r="H59" s="446"/>
      <c r="I59" s="446"/>
      <c r="J59" s="446"/>
      <c r="K59" s="446"/>
      <c r="L59" s="446"/>
      <c r="M59" s="446"/>
      <c r="N59" s="446"/>
      <c r="O59" s="446"/>
      <c r="P59" s="446"/>
      <c r="Q59" s="446"/>
      <c r="R59" s="446"/>
      <c r="S59" s="446"/>
      <c r="T59" s="678"/>
      <c r="V59" s="677"/>
      <c r="W59" s="446"/>
      <c r="X59" s="446"/>
      <c r="Y59" s="446"/>
      <c r="Z59" s="446"/>
      <c r="AA59" s="446"/>
      <c r="AB59" s="446"/>
      <c r="AC59" s="446"/>
      <c r="AD59" s="446"/>
      <c r="AE59" s="446"/>
      <c r="AF59" s="446"/>
      <c r="AG59" s="446"/>
      <c r="AH59" s="446"/>
      <c r="AI59" s="446"/>
      <c r="AJ59" s="446"/>
      <c r="AK59" s="446"/>
      <c r="AL59" s="446"/>
      <c r="AM59" s="446"/>
      <c r="AN59" s="678"/>
      <c r="AP59" s="677"/>
      <c r="AQ59" s="446"/>
      <c r="AR59" s="446"/>
      <c r="AS59" s="446"/>
      <c r="AT59" s="446"/>
      <c r="AU59" s="446"/>
      <c r="AV59" s="446"/>
      <c r="AW59" s="446"/>
      <c r="AX59" s="446"/>
      <c r="AY59" s="446"/>
      <c r="AZ59" s="446"/>
      <c r="BA59" s="446"/>
      <c r="BB59" s="446"/>
      <c r="BC59" s="446"/>
      <c r="BD59" s="446"/>
      <c r="BE59" s="446"/>
      <c r="BF59" s="446"/>
      <c r="BG59" s="446"/>
      <c r="BH59" s="678"/>
    </row>
    <row r="60" spans="2:60" x14ac:dyDescent="0.35">
      <c r="B60" s="677"/>
      <c r="C60" s="446"/>
      <c r="D60" s="446"/>
      <c r="E60" s="446"/>
      <c r="F60" s="446"/>
      <c r="G60" s="446"/>
      <c r="H60" s="446"/>
      <c r="I60" s="446"/>
      <c r="J60" s="446"/>
      <c r="K60" s="446"/>
      <c r="L60" s="446"/>
      <c r="M60" s="446"/>
      <c r="N60" s="446"/>
      <c r="O60" s="446"/>
      <c r="P60" s="446"/>
      <c r="Q60" s="446"/>
      <c r="R60" s="446"/>
      <c r="S60" s="446"/>
      <c r="T60" s="678"/>
      <c r="V60" s="677"/>
      <c r="W60" s="446"/>
      <c r="X60" s="446"/>
      <c r="Y60" s="446"/>
      <c r="Z60" s="446"/>
      <c r="AA60" s="446"/>
      <c r="AB60" s="446"/>
      <c r="AC60" s="446"/>
      <c r="AD60" s="446"/>
      <c r="AE60" s="446"/>
      <c r="AF60" s="446"/>
      <c r="AG60" s="446"/>
      <c r="AH60" s="446"/>
      <c r="AI60" s="446"/>
      <c r="AJ60" s="446"/>
      <c r="AK60" s="446"/>
      <c r="AL60" s="446"/>
      <c r="AM60" s="446"/>
      <c r="AN60" s="678"/>
      <c r="AP60" s="677"/>
      <c r="AQ60" s="446"/>
      <c r="AR60" s="446"/>
      <c r="AS60" s="446"/>
      <c r="AT60" s="446"/>
      <c r="AU60" s="446"/>
      <c r="AV60" s="446"/>
      <c r="AW60" s="446"/>
      <c r="AX60" s="446"/>
      <c r="AY60" s="446"/>
      <c r="AZ60" s="446"/>
      <c r="BA60" s="446"/>
      <c r="BB60" s="446"/>
      <c r="BC60" s="446"/>
      <c r="BD60" s="446"/>
      <c r="BE60" s="446"/>
      <c r="BF60" s="446"/>
      <c r="BG60" s="446"/>
      <c r="BH60" s="678"/>
    </row>
    <row r="61" spans="2:60" x14ac:dyDescent="0.35">
      <c r="B61" s="677"/>
      <c r="C61" s="446"/>
      <c r="D61" s="446"/>
      <c r="E61" s="446"/>
      <c r="F61" s="446"/>
      <c r="G61" s="446"/>
      <c r="H61" s="446"/>
      <c r="I61" s="446"/>
      <c r="J61" s="446"/>
      <c r="K61" s="446"/>
      <c r="L61" s="446"/>
      <c r="M61" s="446"/>
      <c r="N61" s="446"/>
      <c r="O61" s="446"/>
      <c r="P61" s="446"/>
      <c r="Q61" s="446"/>
      <c r="R61" s="446"/>
      <c r="S61" s="446"/>
      <c r="T61" s="678"/>
      <c r="V61" s="677"/>
      <c r="W61" s="446"/>
      <c r="X61" s="446"/>
      <c r="Y61" s="446"/>
      <c r="Z61" s="446"/>
      <c r="AA61" s="446"/>
      <c r="AB61" s="446"/>
      <c r="AC61" s="446"/>
      <c r="AD61" s="446"/>
      <c r="AE61" s="446"/>
      <c r="AF61" s="446"/>
      <c r="AG61" s="446"/>
      <c r="AH61" s="446"/>
      <c r="AI61" s="446"/>
      <c r="AJ61" s="446"/>
      <c r="AK61" s="446"/>
      <c r="AL61" s="446"/>
      <c r="AM61" s="446"/>
      <c r="AN61" s="678"/>
      <c r="AP61" s="677"/>
      <c r="AQ61" s="446"/>
      <c r="AR61" s="446"/>
      <c r="AS61" s="446"/>
      <c r="AT61" s="446"/>
      <c r="AU61" s="446"/>
      <c r="AV61" s="446"/>
      <c r="AW61" s="446"/>
      <c r="AX61" s="446"/>
      <c r="AY61" s="446"/>
      <c r="AZ61" s="446"/>
      <c r="BA61" s="446"/>
      <c r="BB61" s="446"/>
      <c r="BC61" s="446"/>
      <c r="BD61" s="446"/>
      <c r="BE61" s="446"/>
      <c r="BF61" s="446"/>
      <c r="BG61" s="446"/>
      <c r="BH61" s="678"/>
    </row>
    <row r="62" spans="2:60" x14ac:dyDescent="0.35">
      <c r="B62" s="677"/>
      <c r="C62" s="446"/>
      <c r="D62" s="446"/>
      <c r="E62" s="446"/>
      <c r="F62" s="446"/>
      <c r="G62" s="446"/>
      <c r="H62" s="446"/>
      <c r="I62" s="446"/>
      <c r="J62" s="446"/>
      <c r="K62" s="446"/>
      <c r="L62" s="446"/>
      <c r="M62" s="446"/>
      <c r="N62" s="446"/>
      <c r="O62" s="446"/>
      <c r="P62" s="446"/>
      <c r="Q62" s="446"/>
      <c r="R62" s="446"/>
      <c r="S62" s="446"/>
      <c r="T62" s="678"/>
      <c r="V62" s="677"/>
      <c r="W62" s="446"/>
      <c r="X62" s="446"/>
      <c r="Y62" s="446"/>
      <c r="Z62" s="446"/>
      <c r="AA62" s="446"/>
      <c r="AB62" s="446"/>
      <c r="AC62" s="446"/>
      <c r="AD62" s="446"/>
      <c r="AE62" s="446"/>
      <c r="AF62" s="446"/>
      <c r="AG62" s="446"/>
      <c r="AH62" s="446"/>
      <c r="AI62" s="446"/>
      <c r="AJ62" s="446"/>
      <c r="AK62" s="446"/>
      <c r="AL62" s="446"/>
      <c r="AM62" s="446"/>
      <c r="AN62" s="678"/>
      <c r="AP62" s="677"/>
      <c r="AQ62" s="446"/>
      <c r="AR62" s="446"/>
      <c r="AS62" s="446"/>
      <c r="AT62" s="446"/>
      <c r="AU62" s="446"/>
      <c r="AV62" s="446"/>
      <c r="AW62" s="446"/>
      <c r="AX62" s="446"/>
      <c r="AY62" s="446"/>
      <c r="AZ62" s="446"/>
      <c r="BA62" s="446"/>
      <c r="BB62" s="446"/>
      <c r="BC62" s="446"/>
      <c r="BD62" s="446"/>
      <c r="BE62" s="446"/>
      <c r="BF62" s="446"/>
      <c r="BG62" s="446"/>
      <c r="BH62" s="678"/>
    </row>
    <row r="63" spans="2:60" x14ac:dyDescent="0.35">
      <c r="B63" s="677"/>
      <c r="C63" s="446"/>
      <c r="D63" s="446"/>
      <c r="E63" s="446"/>
      <c r="F63" s="446"/>
      <c r="G63" s="446"/>
      <c r="H63" s="446"/>
      <c r="I63" s="446"/>
      <c r="J63" s="446"/>
      <c r="K63" s="446"/>
      <c r="L63" s="446"/>
      <c r="M63" s="446"/>
      <c r="N63" s="446"/>
      <c r="O63" s="446"/>
      <c r="P63" s="446"/>
      <c r="Q63" s="446"/>
      <c r="R63" s="446"/>
      <c r="S63" s="446"/>
      <c r="T63" s="678"/>
      <c r="V63" s="677"/>
      <c r="W63" s="446"/>
      <c r="X63" s="446"/>
      <c r="Y63" s="446"/>
      <c r="Z63" s="446"/>
      <c r="AA63" s="446"/>
      <c r="AB63" s="446"/>
      <c r="AC63" s="446"/>
      <c r="AD63" s="446"/>
      <c r="AE63" s="446"/>
      <c r="AF63" s="446"/>
      <c r="AG63" s="446"/>
      <c r="AH63" s="446"/>
      <c r="AI63" s="446"/>
      <c r="AJ63" s="446"/>
      <c r="AK63" s="446"/>
      <c r="AL63" s="446"/>
      <c r="AM63" s="446"/>
      <c r="AN63" s="678"/>
      <c r="AP63" s="677"/>
      <c r="AQ63" s="446"/>
      <c r="AR63" s="446"/>
      <c r="AS63" s="446"/>
      <c r="AT63" s="446"/>
      <c r="AU63" s="446"/>
      <c r="AV63" s="446"/>
      <c r="AW63" s="446"/>
      <c r="AX63" s="446"/>
      <c r="AY63" s="446"/>
      <c r="AZ63" s="446"/>
      <c r="BA63" s="446"/>
      <c r="BB63" s="446"/>
      <c r="BC63" s="446"/>
      <c r="BD63" s="446"/>
      <c r="BE63" s="446"/>
      <c r="BF63" s="446"/>
      <c r="BG63" s="446"/>
      <c r="BH63" s="678"/>
    </row>
    <row r="64" spans="2:60" x14ac:dyDescent="0.35">
      <c r="B64" s="677"/>
      <c r="C64" s="446"/>
      <c r="D64" s="446"/>
      <c r="E64" s="446"/>
      <c r="F64" s="446"/>
      <c r="G64" s="446"/>
      <c r="H64" s="446"/>
      <c r="I64" s="446"/>
      <c r="J64" s="446"/>
      <c r="K64" s="446"/>
      <c r="L64" s="446"/>
      <c r="M64" s="446"/>
      <c r="N64" s="446"/>
      <c r="O64" s="446"/>
      <c r="P64" s="446"/>
      <c r="Q64" s="446"/>
      <c r="R64" s="446"/>
      <c r="S64" s="446"/>
      <c r="T64" s="678"/>
      <c r="V64" s="677"/>
      <c r="W64" s="446"/>
      <c r="X64" s="446"/>
      <c r="Y64" s="446"/>
      <c r="Z64" s="446"/>
      <c r="AA64" s="446"/>
      <c r="AB64" s="446"/>
      <c r="AC64" s="446"/>
      <c r="AD64" s="446"/>
      <c r="AE64" s="446"/>
      <c r="AF64" s="446"/>
      <c r="AG64" s="446"/>
      <c r="AH64" s="446"/>
      <c r="AI64" s="446"/>
      <c r="AJ64" s="446"/>
      <c r="AK64" s="446"/>
      <c r="AL64" s="446"/>
      <c r="AM64" s="446"/>
      <c r="AN64" s="678"/>
      <c r="AP64" s="677"/>
      <c r="AQ64" s="446"/>
      <c r="AR64" s="446"/>
      <c r="AS64" s="446"/>
      <c r="AT64" s="446"/>
      <c r="AU64" s="446"/>
      <c r="AV64" s="446"/>
      <c r="AW64" s="446"/>
      <c r="AX64" s="446"/>
      <c r="AY64" s="446"/>
      <c r="AZ64" s="446"/>
      <c r="BA64" s="446"/>
      <c r="BB64" s="446"/>
      <c r="BC64" s="446"/>
      <c r="BD64" s="446"/>
      <c r="BE64" s="446"/>
      <c r="BF64" s="446"/>
      <c r="BG64" s="446"/>
      <c r="BH64" s="678"/>
    </row>
    <row r="65" spans="2:60" x14ac:dyDescent="0.35">
      <c r="B65" s="677"/>
      <c r="C65" s="446"/>
      <c r="D65" s="446"/>
      <c r="E65" s="446"/>
      <c r="F65" s="446"/>
      <c r="G65" s="446"/>
      <c r="H65" s="446"/>
      <c r="I65" s="446"/>
      <c r="J65" s="446"/>
      <c r="K65" s="446"/>
      <c r="L65" s="446"/>
      <c r="M65" s="446"/>
      <c r="N65" s="446"/>
      <c r="O65" s="446"/>
      <c r="P65" s="446"/>
      <c r="Q65" s="446"/>
      <c r="R65" s="446"/>
      <c r="S65" s="446"/>
      <c r="T65" s="678"/>
      <c r="V65" s="677"/>
      <c r="W65" s="446"/>
      <c r="X65" s="446"/>
      <c r="Y65" s="446"/>
      <c r="Z65" s="446"/>
      <c r="AA65" s="446"/>
      <c r="AB65" s="446"/>
      <c r="AC65" s="446"/>
      <c r="AD65" s="446"/>
      <c r="AE65" s="446"/>
      <c r="AF65" s="446"/>
      <c r="AG65" s="446"/>
      <c r="AH65" s="446"/>
      <c r="AI65" s="446"/>
      <c r="AJ65" s="446"/>
      <c r="AK65" s="446"/>
      <c r="AL65" s="446"/>
      <c r="AM65" s="446"/>
      <c r="AN65" s="678"/>
      <c r="AP65" s="677"/>
      <c r="AQ65" s="446"/>
      <c r="AR65" s="446"/>
      <c r="AS65" s="446"/>
      <c r="AT65" s="446"/>
      <c r="AU65" s="446"/>
      <c r="AV65" s="446"/>
      <c r="AW65" s="446"/>
      <c r="AX65" s="446"/>
      <c r="AY65" s="446"/>
      <c r="AZ65" s="446"/>
      <c r="BA65" s="446"/>
      <c r="BB65" s="446"/>
      <c r="BC65" s="446"/>
      <c r="BD65" s="446"/>
      <c r="BE65" s="446"/>
      <c r="BF65" s="446"/>
      <c r="BG65" s="446"/>
      <c r="BH65" s="678"/>
    </row>
    <row r="66" spans="2:60" x14ac:dyDescent="0.35">
      <c r="B66" s="677"/>
      <c r="C66" s="446"/>
      <c r="D66" s="446"/>
      <c r="E66" s="446"/>
      <c r="F66" s="446"/>
      <c r="G66" s="446"/>
      <c r="H66" s="446"/>
      <c r="I66" s="446"/>
      <c r="J66" s="446"/>
      <c r="K66" s="446"/>
      <c r="L66" s="446"/>
      <c r="M66" s="446"/>
      <c r="N66" s="446"/>
      <c r="O66" s="446"/>
      <c r="P66" s="446"/>
      <c r="Q66" s="446"/>
      <c r="R66" s="446"/>
      <c r="S66" s="446"/>
      <c r="T66" s="678"/>
      <c r="V66" s="677"/>
      <c r="W66" s="446"/>
      <c r="X66" s="446"/>
      <c r="Y66" s="446"/>
      <c r="Z66" s="446"/>
      <c r="AA66" s="446"/>
      <c r="AB66" s="446"/>
      <c r="AC66" s="446"/>
      <c r="AD66" s="446"/>
      <c r="AE66" s="446"/>
      <c r="AF66" s="446"/>
      <c r="AG66" s="446"/>
      <c r="AH66" s="446"/>
      <c r="AI66" s="446"/>
      <c r="AJ66" s="446"/>
      <c r="AK66" s="446"/>
      <c r="AL66" s="446"/>
      <c r="AM66" s="446"/>
      <c r="AN66" s="678"/>
      <c r="AP66" s="677"/>
      <c r="AQ66" s="446"/>
      <c r="AR66" s="446"/>
      <c r="AS66" s="446"/>
      <c r="AT66" s="446"/>
      <c r="AU66" s="446"/>
      <c r="AV66" s="446"/>
      <c r="AW66" s="446"/>
      <c r="AX66" s="446"/>
      <c r="AY66" s="446"/>
      <c r="AZ66" s="446"/>
      <c r="BA66" s="446"/>
      <c r="BB66" s="446"/>
      <c r="BC66" s="446"/>
      <c r="BD66" s="446"/>
      <c r="BE66" s="446"/>
      <c r="BF66" s="446"/>
      <c r="BG66" s="446"/>
      <c r="BH66" s="678"/>
    </row>
    <row r="67" spans="2:60" x14ac:dyDescent="0.35">
      <c r="B67" s="677"/>
      <c r="C67" s="446"/>
      <c r="D67" s="446"/>
      <c r="E67" s="446"/>
      <c r="F67" s="446"/>
      <c r="G67" s="446"/>
      <c r="H67" s="446"/>
      <c r="I67" s="446"/>
      <c r="J67" s="446"/>
      <c r="K67" s="446"/>
      <c r="L67" s="446"/>
      <c r="M67" s="446"/>
      <c r="N67" s="446"/>
      <c r="O67" s="446"/>
      <c r="P67" s="446"/>
      <c r="Q67" s="446"/>
      <c r="R67" s="446"/>
      <c r="S67" s="446"/>
      <c r="T67" s="678"/>
      <c r="V67" s="677"/>
      <c r="W67" s="446"/>
      <c r="X67" s="446"/>
      <c r="Y67" s="446"/>
      <c r="Z67" s="446"/>
      <c r="AA67" s="446"/>
      <c r="AB67" s="446"/>
      <c r="AC67" s="446"/>
      <c r="AD67" s="446"/>
      <c r="AE67" s="446"/>
      <c r="AF67" s="446"/>
      <c r="AG67" s="446"/>
      <c r="AH67" s="446"/>
      <c r="AI67" s="446"/>
      <c r="AJ67" s="446"/>
      <c r="AK67" s="446"/>
      <c r="AL67" s="446"/>
      <c r="AM67" s="446"/>
      <c r="AN67" s="678"/>
      <c r="AP67" s="677"/>
      <c r="AQ67" s="446"/>
      <c r="AR67" s="446"/>
      <c r="AS67" s="446"/>
      <c r="AT67" s="446"/>
      <c r="AU67" s="446"/>
      <c r="AV67" s="446"/>
      <c r="AW67" s="446"/>
      <c r="AX67" s="446"/>
      <c r="AY67" s="446"/>
      <c r="AZ67" s="446"/>
      <c r="BA67" s="446"/>
      <c r="BB67" s="446"/>
      <c r="BC67" s="446"/>
      <c r="BD67" s="446"/>
      <c r="BE67" s="446"/>
      <c r="BF67" s="446"/>
      <c r="BG67" s="446"/>
      <c r="BH67" s="678"/>
    </row>
    <row r="68" spans="2:60" x14ac:dyDescent="0.35">
      <c r="B68" s="677"/>
      <c r="C68" s="446"/>
      <c r="D68" s="446"/>
      <c r="E68" s="446"/>
      <c r="F68" s="446"/>
      <c r="G68" s="446"/>
      <c r="H68" s="446"/>
      <c r="I68" s="446"/>
      <c r="J68" s="446"/>
      <c r="K68" s="446"/>
      <c r="L68" s="446"/>
      <c r="M68" s="446"/>
      <c r="N68" s="446"/>
      <c r="O68" s="446"/>
      <c r="P68" s="446"/>
      <c r="Q68" s="446"/>
      <c r="R68" s="446"/>
      <c r="S68" s="446"/>
      <c r="T68" s="678"/>
      <c r="V68" s="677"/>
      <c r="W68" s="446"/>
      <c r="X68" s="446"/>
      <c r="Y68" s="446"/>
      <c r="Z68" s="446"/>
      <c r="AA68" s="446"/>
      <c r="AB68" s="446"/>
      <c r="AC68" s="446"/>
      <c r="AD68" s="446"/>
      <c r="AE68" s="446"/>
      <c r="AF68" s="446"/>
      <c r="AG68" s="446"/>
      <c r="AH68" s="446"/>
      <c r="AI68" s="446"/>
      <c r="AJ68" s="446"/>
      <c r="AK68" s="446"/>
      <c r="AL68" s="446"/>
      <c r="AM68" s="446"/>
      <c r="AN68" s="678"/>
      <c r="AP68" s="677"/>
      <c r="AQ68" s="446"/>
      <c r="AR68" s="446"/>
      <c r="AS68" s="446"/>
      <c r="AT68" s="446"/>
      <c r="AU68" s="446"/>
      <c r="AV68" s="446"/>
      <c r="AW68" s="446"/>
      <c r="AX68" s="446"/>
      <c r="AY68" s="446"/>
      <c r="AZ68" s="446"/>
      <c r="BA68" s="446"/>
      <c r="BB68" s="446"/>
      <c r="BC68" s="446"/>
      <c r="BD68" s="446"/>
      <c r="BE68" s="446"/>
      <c r="BF68" s="446"/>
      <c r="BG68" s="446"/>
      <c r="BH68" s="678"/>
    </row>
    <row r="69" spans="2:60" x14ac:dyDescent="0.35">
      <c r="B69" s="677"/>
      <c r="C69" s="446"/>
      <c r="D69" s="446"/>
      <c r="E69" s="446"/>
      <c r="F69" s="446"/>
      <c r="G69" s="446"/>
      <c r="H69" s="446"/>
      <c r="I69" s="446"/>
      <c r="J69" s="446"/>
      <c r="K69" s="446"/>
      <c r="L69" s="446"/>
      <c r="M69" s="446"/>
      <c r="N69" s="446"/>
      <c r="O69" s="446"/>
      <c r="P69" s="446"/>
      <c r="Q69" s="446"/>
      <c r="R69" s="446"/>
      <c r="S69" s="446"/>
      <c r="T69" s="678"/>
      <c r="V69" s="677"/>
      <c r="W69" s="446"/>
      <c r="X69" s="446"/>
      <c r="Y69" s="446"/>
      <c r="Z69" s="446"/>
      <c r="AA69" s="446"/>
      <c r="AB69" s="446"/>
      <c r="AC69" s="446"/>
      <c r="AD69" s="446"/>
      <c r="AE69" s="446"/>
      <c r="AF69" s="446"/>
      <c r="AG69" s="446"/>
      <c r="AH69" s="446"/>
      <c r="AI69" s="446"/>
      <c r="AJ69" s="446"/>
      <c r="AK69" s="446"/>
      <c r="AL69" s="446"/>
      <c r="AM69" s="446"/>
      <c r="AN69" s="678"/>
      <c r="AP69" s="677"/>
      <c r="AQ69" s="446"/>
      <c r="AR69" s="446"/>
      <c r="AS69" s="446"/>
      <c r="AT69" s="446"/>
      <c r="AU69" s="446"/>
      <c r="AV69" s="446"/>
      <c r="AW69" s="446"/>
      <c r="AX69" s="446"/>
      <c r="AY69" s="446"/>
      <c r="AZ69" s="446"/>
      <c r="BA69" s="446"/>
      <c r="BB69" s="446"/>
      <c r="BC69" s="446"/>
      <c r="BD69" s="446"/>
      <c r="BE69" s="446"/>
      <c r="BF69" s="446"/>
      <c r="BG69" s="446"/>
      <c r="BH69" s="678"/>
    </row>
    <row r="70" spans="2:60" x14ac:dyDescent="0.35">
      <c r="B70" s="677"/>
      <c r="C70" s="446"/>
      <c r="D70" s="446"/>
      <c r="E70" s="446"/>
      <c r="F70" s="446"/>
      <c r="G70" s="446"/>
      <c r="H70" s="446"/>
      <c r="I70" s="446"/>
      <c r="J70" s="446"/>
      <c r="K70" s="446"/>
      <c r="L70" s="446"/>
      <c r="M70" s="446"/>
      <c r="N70" s="446"/>
      <c r="O70" s="446"/>
      <c r="P70" s="446"/>
      <c r="Q70" s="446"/>
      <c r="R70" s="446"/>
      <c r="S70" s="446"/>
      <c r="T70" s="678"/>
      <c r="V70" s="677"/>
      <c r="W70" s="446"/>
      <c r="X70" s="446"/>
      <c r="Y70" s="446"/>
      <c r="Z70" s="446"/>
      <c r="AA70" s="446"/>
      <c r="AB70" s="446"/>
      <c r="AC70" s="446"/>
      <c r="AD70" s="446"/>
      <c r="AE70" s="446"/>
      <c r="AF70" s="446"/>
      <c r="AG70" s="446"/>
      <c r="AH70" s="446"/>
      <c r="AI70" s="446"/>
      <c r="AJ70" s="446"/>
      <c r="AK70" s="446"/>
      <c r="AL70" s="446"/>
      <c r="AM70" s="446"/>
      <c r="AN70" s="678"/>
      <c r="AP70" s="677"/>
      <c r="AQ70" s="446"/>
      <c r="AR70" s="446"/>
      <c r="AS70" s="446"/>
      <c r="AT70" s="446"/>
      <c r="AU70" s="446"/>
      <c r="AV70" s="446"/>
      <c r="AW70" s="446"/>
      <c r="AX70" s="446"/>
      <c r="AY70" s="446"/>
      <c r="AZ70" s="446"/>
      <c r="BA70" s="446"/>
      <c r="BB70" s="446"/>
      <c r="BC70" s="446"/>
      <c r="BD70" s="446"/>
      <c r="BE70" s="446"/>
      <c r="BF70" s="446"/>
      <c r="BG70" s="446"/>
      <c r="BH70" s="678"/>
    </row>
    <row r="71" spans="2:60" x14ac:dyDescent="0.35">
      <c r="B71" s="677"/>
      <c r="C71" s="446"/>
      <c r="D71" s="446"/>
      <c r="E71" s="446"/>
      <c r="F71" s="446"/>
      <c r="G71" s="446"/>
      <c r="H71" s="446"/>
      <c r="I71" s="446"/>
      <c r="J71" s="446"/>
      <c r="K71" s="446"/>
      <c r="L71" s="446"/>
      <c r="M71" s="446"/>
      <c r="N71" s="446"/>
      <c r="O71" s="446"/>
      <c r="P71" s="446"/>
      <c r="Q71" s="446"/>
      <c r="R71" s="446"/>
      <c r="S71" s="446"/>
      <c r="T71" s="678"/>
      <c r="V71" s="677"/>
      <c r="W71" s="446"/>
      <c r="X71" s="446"/>
      <c r="Y71" s="446"/>
      <c r="Z71" s="446"/>
      <c r="AA71" s="446"/>
      <c r="AB71" s="446"/>
      <c r="AC71" s="446"/>
      <c r="AD71" s="446"/>
      <c r="AE71" s="446"/>
      <c r="AF71" s="446"/>
      <c r="AG71" s="446"/>
      <c r="AH71" s="446"/>
      <c r="AI71" s="446"/>
      <c r="AJ71" s="446"/>
      <c r="AK71" s="446"/>
      <c r="AL71" s="446"/>
      <c r="AM71" s="446"/>
      <c r="AN71" s="678"/>
      <c r="AP71" s="677"/>
      <c r="AQ71" s="446"/>
      <c r="AR71" s="446"/>
      <c r="AS71" s="446"/>
      <c r="AT71" s="446"/>
      <c r="AU71" s="446"/>
      <c r="AV71" s="446"/>
      <c r="AW71" s="446"/>
      <c r="AX71" s="446"/>
      <c r="AY71" s="446"/>
      <c r="AZ71" s="446"/>
      <c r="BA71" s="446"/>
      <c r="BB71" s="446"/>
      <c r="BC71" s="446"/>
      <c r="BD71" s="446"/>
      <c r="BE71" s="446"/>
      <c r="BF71" s="446"/>
      <c r="BG71" s="446"/>
      <c r="BH71" s="678"/>
    </row>
    <row r="72" spans="2:60" x14ac:dyDescent="0.35">
      <c r="B72" s="677"/>
      <c r="C72" s="446"/>
      <c r="D72" s="446"/>
      <c r="E72" s="446"/>
      <c r="F72" s="446"/>
      <c r="G72" s="446"/>
      <c r="H72" s="446"/>
      <c r="I72" s="446"/>
      <c r="J72" s="446"/>
      <c r="K72" s="446"/>
      <c r="L72" s="446"/>
      <c r="M72" s="446"/>
      <c r="N72" s="446"/>
      <c r="O72" s="446"/>
      <c r="P72" s="446"/>
      <c r="Q72" s="446"/>
      <c r="R72" s="446"/>
      <c r="S72" s="446"/>
      <c r="T72" s="678"/>
      <c r="V72" s="677"/>
      <c r="W72" s="446"/>
      <c r="X72" s="446"/>
      <c r="Y72" s="446"/>
      <c r="Z72" s="446"/>
      <c r="AA72" s="446"/>
      <c r="AB72" s="446"/>
      <c r="AC72" s="446"/>
      <c r="AD72" s="446"/>
      <c r="AE72" s="446"/>
      <c r="AF72" s="446"/>
      <c r="AG72" s="446"/>
      <c r="AH72" s="446"/>
      <c r="AI72" s="446"/>
      <c r="AJ72" s="446"/>
      <c r="AK72" s="446"/>
      <c r="AL72" s="446"/>
      <c r="AM72" s="446"/>
      <c r="AN72" s="678"/>
      <c r="AP72" s="677"/>
      <c r="AQ72" s="446"/>
      <c r="AR72" s="446"/>
      <c r="AS72" s="446"/>
      <c r="AT72" s="446"/>
      <c r="AU72" s="446"/>
      <c r="AV72" s="446"/>
      <c r="AW72" s="446"/>
      <c r="AX72" s="446"/>
      <c r="AY72" s="446"/>
      <c r="AZ72" s="446"/>
      <c r="BA72" s="446"/>
      <c r="BB72" s="446"/>
      <c r="BC72" s="446"/>
      <c r="BD72" s="446"/>
      <c r="BE72" s="446"/>
      <c r="BF72" s="446"/>
      <c r="BG72" s="446"/>
      <c r="BH72" s="678"/>
    </row>
    <row r="73" spans="2:60" x14ac:dyDescent="0.35">
      <c r="B73" s="677"/>
      <c r="C73" s="446"/>
      <c r="D73" s="446"/>
      <c r="E73" s="446"/>
      <c r="F73" s="446"/>
      <c r="G73" s="446"/>
      <c r="H73" s="446"/>
      <c r="I73" s="446"/>
      <c r="J73" s="446"/>
      <c r="K73" s="446"/>
      <c r="L73" s="446"/>
      <c r="M73" s="446"/>
      <c r="N73" s="446"/>
      <c r="O73" s="446"/>
      <c r="P73" s="446"/>
      <c r="Q73" s="446"/>
      <c r="R73" s="446"/>
      <c r="S73" s="446"/>
      <c r="T73" s="678"/>
      <c r="V73" s="677"/>
      <c r="W73" s="446"/>
      <c r="X73" s="446"/>
      <c r="Y73" s="446"/>
      <c r="Z73" s="446"/>
      <c r="AA73" s="446"/>
      <c r="AB73" s="446"/>
      <c r="AC73" s="446"/>
      <c r="AD73" s="446"/>
      <c r="AE73" s="446"/>
      <c r="AF73" s="446"/>
      <c r="AG73" s="446"/>
      <c r="AH73" s="446"/>
      <c r="AI73" s="446"/>
      <c r="AJ73" s="446"/>
      <c r="AK73" s="446"/>
      <c r="AL73" s="446"/>
      <c r="AM73" s="446"/>
      <c r="AN73" s="678"/>
      <c r="AP73" s="677"/>
      <c r="AQ73" s="446"/>
      <c r="AR73" s="446"/>
      <c r="AS73" s="446"/>
      <c r="AT73" s="446"/>
      <c r="AU73" s="446"/>
      <c r="AV73" s="446"/>
      <c r="AW73" s="446"/>
      <c r="AX73" s="446"/>
      <c r="AY73" s="446"/>
      <c r="AZ73" s="446"/>
      <c r="BA73" s="446"/>
      <c r="BB73" s="446"/>
      <c r="BC73" s="446"/>
      <c r="BD73" s="446"/>
      <c r="BE73" s="446"/>
      <c r="BF73" s="446"/>
      <c r="BG73" s="446"/>
      <c r="BH73" s="678"/>
    </row>
    <row r="74" spans="2:60" x14ac:dyDescent="0.35">
      <c r="B74" s="677"/>
      <c r="C74" s="446"/>
      <c r="D74" s="446"/>
      <c r="E74" s="446"/>
      <c r="F74" s="446"/>
      <c r="G74" s="446"/>
      <c r="H74" s="446"/>
      <c r="I74" s="446"/>
      <c r="J74" s="446"/>
      <c r="K74" s="446"/>
      <c r="L74" s="446"/>
      <c r="M74" s="446"/>
      <c r="N74" s="446"/>
      <c r="O74" s="446"/>
      <c r="P74" s="446"/>
      <c r="Q74" s="446"/>
      <c r="R74" s="446"/>
      <c r="S74" s="446"/>
      <c r="T74" s="678"/>
      <c r="V74" s="677"/>
      <c r="W74" s="446"/>
      <c r="X74" s="446"/>
      <c r="Y74" s="446"/>
      <c r="Z74" s="446"/>
      <c r="AA74" s="446"/>
      <c r="AB74" s="446"/>
      <c r="AC74" s="446"/>
      <c r="AD74" s="446"/>
      <c r="AE74" s="446"/>
      <c r="AF74" s="446"/>
      <c r="AG74" s="446"/>
      <c r="AH74" s="446"/>
      <c r="AI74" s="446"/>
      <c r="AJ74" s="446"/>
      <c r="AK74" s="446"/>
      <c r="AL74" s="446"/>
      <c r="AM74" s="446"/>
      <c r="AN74" s="678"/>
      <c r="AP74" s="677"/>
      <c r="AQ74" s="446"/>
      <c r="AR74" s="446"/>
      <c r="AS74" s="446"/>
      <c r="AT74" s="446"/>
      <c r="AU74" s="446"/>
      <c r="AV74" s="446"/>
      <c r="AW74" s="446"/>
      <c r="AX74" s="446"/>
      <c r="AY74" s="446"/>
      <c r="AZ74" s="446"/>
      <c r="BA74" s="446"/>
      <c r="BB74" s="446"/>
      <c r="BC74" s="446"/>
      <c r="BD74" s="446"/>
      <c r="BE74" s="446"/>
      <c r="BF74" s="446"/>
      <c r="BG74" s="446"/>
      <c r="BH74" s="678"/>
    </row>
    <row r="75" spans="2:60" x14ac:dyDescent="0.35">
      <c r="B75" s="677"/>
      <c r="C75" s="446"/>
      <c r="D75" s="446"/>
      <c r="E75" s="446"/>
      <c r="F75" s="446"/>
      <c r="G75" s="446"/>
      <c r="H75" s="446"/>
      <c r="I75" s="446"/>
      <c r="J75" s="446"/>
      <c r="K75" s="446"/>
      <c r="L75" s="446"/>
      <c r="M75" s="446"/>
      <c r="N75" s="446"/>
      <c r="O75" s="446"/>
      <c r="P75" s="446"/>
      <c r="Q75" s="446"/>
      <c r="R75" s="446"/>
      <c r="S75" s="446"/>
      <c r="T75" s="678"/>
      <c r="V75" s="677"/>
      <c r="W75" s="446"/>
      <c r="X75" s="446"/>
      <c r="Y75" s="446"/>
      <c r="Z75" s="446"/>
      <c r="AA75" s="446"/>
      <c r="AB75" s="446"/>
      <c r="AC75" s="446"/>
      <c r="AD75" s="446"/>
      <c r="AE75" s="446"/>
      <c r="AF75" s="446"/>
      <c r="AG75" s="446"/>
      <c r="AH75" s="446"/>
      <c r="AI75" s="446"/>
      <c r="AJ75" s="446"/>
      <c r="AK75" s="446"/>
      <c r="AL75" s="446"/>
      <c r="AM75" s="446"/>
      <c r="AN75" s="678"/>
      <c r="AP75" s="677"/>
      <c r="AQ75" s="446"/>
      <c r="AR75" s="446"/>
      <c r="AS75" s="446"/>
      <c r="AT75" s="446"/>
      <c r="AU75" s="446"/>
      <c r="AV75" s="446"/>
      <c r="AW75" s="446"/>
      <c r="AX75" s="446"/>
      <c r="AY75" s="446"/>
      <c r="AZ75" s="446"/>
      <c r="BA75" s="446"/>
      <c r="BB75" s="446"/>
      <c r="BC75" s="446"/>
      <c r="BD75" s="446"/>
      <c r="BE75" s="446"/>
      <c r="BF75" s="446"/>
      <c r="BG75" s="446"/>
      <c r="BH75" s="678"/>
    </row>
    <row r="76" spans="2:60" x14ac:dyDescent="0.35">
      <c r="B76" s="677"/>
      <c r="C76" s="446"/>
      <c r="D76" s="446"/>
      <c r="E76" s="446"/>
      <c r="F76" s="446"/>
      <c r="G76" s="446"/>
      <c r="H76" s="446"/>
      <c r="I76" s="446"/>
      <c r="J76" s="446"/>
      <c r="K76" s="446"/>
      <c r="L76" s="446"/>
      <c r="M76" s="446"/>
      <c r="N76" s="446"/>
      <c r="O76" s="446"/>
      <c r="P76" s="446"/>
      <c r="Q76" s="446"/>
      <c r="R76" s="446"/>
      <c r="S76" s="446"/>
      <c r="T76" s="678"/>
      <c r="V76" s="677"/>
      <c r="W76" s="446"/>
      <c r="X76" s="446"/>
      <c r="Y76" s="446"/>
      <c r="Z76" s="446"/>
      <c r="AA76" s="446"/>
      <c r="AB76" s="446"/>
      <c r="AC76" s="446"/>
      <c r="AD76" s="446"/>
      <c r="AE76" s="446"/>
      <c r="AF76" s="446"/>
      <c r="AG76" s="446"/>
      <c r="AH76" s="446"/>
      <c r="AI76" s="446"/>
      <c r="AJ76" s="446"/>
      <c r="AK76" s="446"/>
      <c r="AL76" s="446"/>
      <c r="AM76" s="446"/>
      <c r="AN76" s="678"/>
      <c r="AP76" s="677"/>
      <c r="AQ76" s="446"/>
      <c r="AR76" s="446"/>
      <c r="AS76" s="446"/>
      <c r="AT76" s="446"/>
      <c r="AU76" s="446"/>
      <c r="AV76" s="446"/>
      <c r="AW76" s="446"/>
      <c r="AX76" s="446"/>
      <c r="AY76" s="446"/>
      <c r="AZ76" s="446"/>
      <c r="BA76" s="446"/>
      <c r="BB76" s="446"/>
      <c r="BC76" s="446"/>
      <c r="BD76" s="446"/>
      <c r="BE76" s="446"/>
      <c r="BF76" s="446"/>
      <c r="BG76" s="446"/>
      <c r="BH76" s="678"/>
    </row>
    <row r="77" spans="2:60" x14ac:dyDescent="0.35">
      <c r="B77" s="677"/>
      <c r="C77" s="446"/>
      <c r="D77" s="446"/>
      <c r="E77" s="446"/>
      <c r="F77" s="446"/>
      <c r="G77" s="446"/>
      <c r="H77" s="446"/>
      <c r="I77" s="446"/>
      <c r="J77" s="446"/>
      <c r="K77" s="446"/>
      <c r="L77" s="446"/>
      <c r="M77" s="446"/>
      <c r="N77" s="446"/>
      <c r="O77" s="446"/>
      <c r="P77" s="446"/>
      <c r="Q77" s="446"/>
      <c r="R77" s="446"/>
      <c r="S77" s="446"/>
      <c r="T77" s="678"/>
      <c r="V77" s="677"/>
      <c r="W77" s="446"/>
      <c r="X77" s="446"/>
      <c r="Y77" s="446"/>
      <c r="Z77" s="446"/>
      <c r="AA77" s="446"/>
      <c r="AB77" s="446"/>
      <c r="AC77" s="446"/>
      <c r="AD77" s="446"/>
      <c r="AE77" s="446"/>
      <c r="AF77" s="446"/>
      <c r="AG77" s="446"/>
      <c r="AH77" s="446"/>
      <c r="AI77" s="446"/>
      <c r="AJ77" s="446"/>
      <c r="AK77" s="446"/>
      <c r="AL77" s="446"/>
      <c r="AM77" s="446"/>
      <c r="AN77" s="678"/>
      <c r="AP77" s="677"/>
      <c r="AQ77" s="446"/>
      <c r="AR77" s="446"/>
      <c r="AS77" s="446"/>
      <c r="AT77" s="446"/>
      <c r="AU77" s="446"/>
      <c r="AV77" s="446"/>
      <c r="AW77" s="446"/>
      <c r="AX77" s="446"/>
      <c r="AY77" s="446"/>
      <c r="AZ77" s="446"/>
      <c r="BA77" s="446"/>
      <c r="BB77" s="446"/>
      <c r="BC77" s="446"/>
      <c r="BD77" s="446"/>
      <c r="BE77" s="446"/>
      <c r="BF77" s="446"/>
      <c r="BG77" s="446"/>
      <c r="BH77" s="678"/>
    </row>
    <row r="78" spans="2:60" ht="15" thickBot="1" x14ac:dyDescent="0.4">
      <c r="B78" s="679"/>
      <c r="C78" s="680"/>
      <c r="D78" s="680"/>
      <c r="E78" s="680"/>
      <c r="F78" s="680"/>
      <c r="G78" s="680"/>
      <c r="H78" s="680"/>
      <c r="I78" s="680"/>
      <c r="J78" s="680"/>
      <c r="K78" s="680"/>
      <c r="L78" s="680"/>
      <c r="M78" s="680"/>
      <c r="N78" s="680"/>
      <c r="O78" s="680"/>
      <c r="P78" s="680"/>
      <c r="Q78" s="680"/>
      <c r="R78" s="680"/>
      <c r="S78" s="680"/>
      <c r="T78" s="681"/>
      <c r="V78" s="679"/>
      <c r="W78" s="680"/>
      <c r="X78" s="680"/>
      <c r="Y78" s="680"/>
      <c r="Z78" s="680"/>
      <c r="AA78" s="680"/>
      <c r="AB78" s="680"/>
      <c r="AC78" s="680"/>
      <c r="AD78" s="680"/>
      <c r="AE78" s="680"/>
      <c r="AF78" s="680"/>
      <c r="AG78" s="680"/>
      <c r="AH78" s="680"/>
      <c r="AI78" s="680"/>
      <c r="AJ78" s="680"/>
      <c r="AK78" s="680"/>
      <c r="AL78" s="680"/>
      <c r="AM78" s="680"/>
      <c r="AN78" s="681"/>
      <c r="AP78" s="679"/>
      <c r="AQ78" s="680"/>
      <c r="AR78" s="680"/>
      <c r="AS78" s="680"/>
      <c r="AT78" s="680"/>
      <c r="AU78" s="680"/>
      <c r="AV78" s="680"/>
      <c r="AW78" s="680"/>
      <c r="AX78" s="680"/>
      <c r="AY78" s="680"/>
      <c r="AZ78" s="680"/>
      <c r="BA78" s="680"/>
      <c r="BB78" s="680"/>
      <c r="BC78" s="680"/>
      <c r="BD78" s="680"/>
      <c r="BE78" s="680"/>
      <c r="BF78" s="680"/>
      <c r="BG78" s="680"/>
      <c r="BH78" s="681"/>
    </row>
    <row r="95" spans="23:23" x14ac:dyDescent="0.35">
      <c r="W95" t="s">
        <v>106</v>
      </c>
    </row>
  </sheetData>
  <pageMargins left="0.7" right="0.7" top="0.75" bottom="0.75" header="0.3" footer="0.3"/>
  <pageSetup paperSize="9" orientation="portrait" r:id="rId1"/>
  <drawing r:id="rId2"/>
  <legacyDrawing r:id="rId3"/>
  <controls>
    <mc:AlternateContent xmlns:mc="http://schemas.openxmlformats.org/markup-compatibility/2006">
      <mc:Choice Requires="x14">
        <control shapeId="21" r:id="rId4" name="CO2Nytte_knapp">
          <controlPr defaultSize="0" autoLine="0" autoPict="0" r:id="rId5">
            <anchor>
              <from>
                <xdr:col>9</xdr:col>
                <xdr:colOff>260350</xdr:colOff>
                <xdr:row>2</xdr:row>
                <xdr:rowOff>114300</xdr:rowOff>
              </from>
              <to>
                <xdr:col>18</xdr:col>
                <xdr:colOff>285750</xdr:colOff>
                <xdr:row>6</xdr:row>
                <xdr:rowOff>127000</xdr:rowOff>
              </to>
            </anchor>
          </controlPr>
        </control>
      </mc:Choice>
      <mc:Fallback>
        <control shapeId="32817" r:id="rId4" name="CO2Nytte_knapp"/>
      </mc:Fallback>
    </mc:AlternateContent>
    <mc:AlternateContent xmlns:mc="http://schemas.openxmlformats.org/markup-compatibility/2006">
      <mc:Choice Requires="x14">
        <control shapeId="20" r:id="rId6" name="CO2Utslipp_knapp">
          <controlPr defaultSize="0" autoLine="0" autoPict="0" r:id="rId7">
            <anchor>
              <from>
                <xdr:col>9</xdr:col>
                <xdr:colOff>298450</xdr:colOff>
                <xdr:row>8</xdr:row>
                <xdr:rowOff>152400</xdr:rowOff>
              </from>
              <to>
                <xdr:col>18</xdr:col>
                <xdr:colOff>317500</xdr:colOff>
                <xdr:row>13</xdr:row>
                <xdr:rowOff>31750</xdr:rowOff>
              </to>
            </anchor>
          </controlPr>
        </control>
      </mc:Choice>
      <mc:Fallback>
        <control shapeId="32818" r:id="rId6" name="CO2Utslipp_knapp"/>
      </mc:Fallback>
    </mc:AlternateContent>
    <mc:AlternateContent xmlns:mc="http://schemas.openxmlformats.org/markup-compatibility/2006">
      <mc:Choice Requires="x14">
        <control shapeId="19" r:id="rId8" name="Budsjettkostnader_knapp">
          <controlPr defaultSize="0" autoLine="0" autoPict="0" r:id="rId9">
            <anchor>
              <from>
                <xdr:col>9</xdr:col>
                <xdr:colOff>298450</xdr:colOff>
                <xdr:row>21</xdr:row>
                <xdr:rowOff>19050</xdr:rowOff>
              </from>
              <to>
                <xdr:col>18</xdr:col>
                <xdr:colOff>317500</xdr:colOff>
                <xdr:row>25</xdr:row>
                <xdr:rowOff>95250</xdr:rowOff>
              </to>
            </anchor>
          </controlPr>
        </control>
      </mc:Choice>
      <mc:Fallback>
        <control shapeId="32819" r:id="rId8" name="Budsjettkostnader_knapp"/>
      </mc:Fallback>
    </mc:AlternateContent>
    <mc:AlternateContent xmlns:mc="http://schemas.openxmlformats.org/markup-compatibility/2006">
      <mc:Choice Requires="x14">
        <control shapeId="18" r:id="rId10" name="Breakeven_knapp">
          <controlPr defaultSize="0" autoLine="0" autoPict="0" r:id="rId11">
            <anchor>
              <from>
                <xdr:col>9</xdr:col>
                <xdr:colOff>298450</xdr:colOff>
                <xdr:row>15</xdr:row>
                <xdr:rowOff>0</xdr:rowOff>
              </from>
              <to>
                <xdr:col>18</xdr:col>
                <xdr:colOff>317500</xdr:colOff>
                <xdr:row>19</xdr:row>
                <xdr:rowOff>69850</xdr:rowOff>
              </to>
            </anchor>
          </controlPr>
        </control>
      </mc:Choice>
      <mc:Fallback>
        <control shapeId="32820" r:id="rId10" name="Breakeven_knapp"/>
      </mc:Fallback>
    </mc:AlternateContent>
    <mc:AlternateContent xmlns:mc="http://schemas.openxmlformats.org/markup-compatibility/2006">
      <mc:Choice Requires="x14">
        <control shapeId="16" r:id="rId12" name="Eksterne_knapp">
          <controlPr defaultSize="0" autoLine="0" autoPict="0" r:id="rId13">
            <anchor>
              <from>
                <xdr:col>9</xdr:col>
                <xdr:colOff>247650</xdr:colOff>
                <xdr:row>27</xdr:row>
                <xdr:rowOff>184150</xdr:rowOff>
              </from>
              <to>
                <xdr:col>18</xdr:col>
                <xdr:colOff>260350</xdr:colOff>
                <xdr:row>32</xdr:row>
                <xdr:rowOff>12700</xdr:rowOff>
              </to>
            </anchor>
          </controlPr>
        </control>
      </mc:Choice>
      <mc:Fallback>
        <control shapeId="32821" r:id="rId12" name="Eksterne_knapp"/>
      </mc:Fallback>
    </mc:AlternateContent>
    <mc:AlternateContent xmlns:mc="http://schemas.openxmlformats.org/markup-compatibility/2006">
      <mc:Choice Requires="x14">
        <control shapeId="3" r:id="rId14" name="Check Box 2">
          <controlPr defaultSize="0" autoFill="0" autoLine="0" autoPict="0" macro="[0]!Avmerkingsboks_Klikk_1">
            <anchor moveWithCells="1">
              <from>
                <xdr:col>21</xdr:col>
                <xdr:colOff>431800</xdr:colOff>
                <xdr:row>10</xdr:row>
                <xdr:rowOff>127000</xdr:rowOff>
              </from>
              <to>
                <xdr:col>24</xdr:col>
                <xdr:colOff>304800</xdr:colOff>
                <xdr:row>11</xdr:row>
                <xdr:rowOff>184150</xdr:rowOff>
              </to>
            </anchor>
          </controlPr>
        </control>
      </mc:Choice>
    </mc:AlternateContent>
    <mc:AlternateContent xmlns:mc="http://schemas.openxmlformats.org/markup-compatibility/2006">
      <mc:Choice Requires="x14">
        <control shapeId="4" r:id="rId15" name="Check Box 3">
          <controlPr defaultSize="0" autoFill="0" autoLine="0" autoPict="0" macro="[0]!Avmerkingsboks_Klikk_1">
            <anchor moveWithCells="1">
              <from>
                <xdr:col>21</xdr:col>
                <xdr:colOff>431800</xdr:colOff>
                <xdr:row>12</xdr:row>
                <xdr:rowOff>50800</xdr:rowOff>
              </from>
              <to>
                <xdr:col>24</xdr:col>
                <xdr:colOff>304800</xdr:colOff>
                <xdr:row>13</xdr:row>
                <xdr:rowOff>95250</xdr:rowOff>
              </to>
            </anchor>
          </controlPr>
        </control>
      </mc:Choice>
    </mc:AlternateContent>
    <mc:AlternateContent xmlns:mc="http://schemas.openxmlformats.org/markup-compatibility/2006">
      <mc:Choice Requires="x14">
        <control shapeId="5" r:id="rId16" name="Check Box 4">
          <controlPr defaultSize="0" autoFill="0" autoLine="0" autoPict="0" macro="[0]!Avmerkingsboks_Klikk_1">
            <anchor moveWithCells="1">
              <from>
                <xdr:col>21</xdr:col>
                <xdr:colOff>431800</xdr:colOff>
                <xdr:row>13</xdr:row>
                <xdr:rowOff>165100</xdr:rowOff>
              </from>
              <to>
                <xdr:col>24</xdr:col>
                <xdr:colOff>304800</xdr:colOff>
                <xdr:row>15</xdr:row>
                <xdr:rowOff>31750</xdr:rowOff>
              </to>
            </anchor>
          </controlPr>
        </control>
      </mc:Choice>
    </mc:AlternateContent>
    <mc:AlternateContent xmlns:mc="http://schemas.openxmlformats.org/markup-compatibility/2006">
      <mc:Choice Requires="x14">
        <control shapeId="6" r:id="rId17" name="Check Box 5">
          <controlPr defaultSize="0" autoFill="0" autoLine="0" autoPict="0" macro="[0]!Avmerkingsboks_Klikk_1">
            <anchor moveWithCells="1">
              <from>
                <xdr:col>21</xdr:col>
                <xdr:colOff>412750</xdr:colOff>
                <xdr:row>15</xdr:row>
                <xdr:rowOff>114300</xdr:rowOff>
              </from>
              <to>
                <xdr:col>24</xdr:col>
                <xdr:colOff>298450</xdr:colOff>
                <xdr:row>16</xdr:row>
                <xdr:rowOff>165100</xdr:rowOff>
              </to>
            </anchor>
          </controlPr>
        </control>
      </mc:Choice>
    </mc:AlternateContent>
    <mc:AlternateContent xmlns:mc="http://schemas.openxmlformats.org/markup-compatibility/2006">
      <mc:Choice Requires="x14">
        <control shapeId="7" r:id="rId18" name="Check Box 6">
          <controlPr defaultSize="0" autoFill="0" autoLine="0" autoPict="0" macro="[0]!Avmerkingsboks_Klikk_1">
            <anchor moveWithCells="1">
              <from>
                <xdr:col>21</xdr:col>
                <xdr:colOff>412750</xdr:colOff>
                <xdr:row>17</xdr:row>
                <xdr:rowOff>31750</xdr:rowOff>
              </from>
              <to>
                <xdr:col>24</xdr:col>
                <xdr:colOff>298450</xdr:colOff>
                <xdr:row>18</xdr:row>
                <xdr:rowOff>88900</xdr:rowOff>
              </to>
            </anchor>
          </controlPr>
        </control>
      </mc:Choice>
    </mc:AlternateContent>
    <mc:AlternateContent xmlns:mc="http://schemas.openxmlformats.org/markup-compatibility/2006">
      <mc:Choice Requires="x14">
        <control shapeId="9" r:id="rId19" name="Check Box 7">
          <controlPr defaultSize="0" autoFill="0" autoLine="0" autoPict="0" macro="[0]!Avmerkingsboks_Klikk_1">
            <anchor moveWithCells="1">
              <from>
                <xdr:col>21</xdr:col>
                <xdr:colOff>412750</xdr:colOff>
                <xdr:row>18</xdr:row>
                <xdr:rowOff>171450</xdr:rowOff>
              </from>
              <to>
                <xdr:col>24</xdr:col>
                <xdr:colOff>298450</xdr:colOff>
                <xdr:row>20</xdr:row>
                <xdr:rowOff>31750</xdr:rowOff>
              </to>
            </anchor>
          </controlPr>
        </control>
      </mc:Choice>
    </mc:AlternateContent>
    <mc:AlternateContent xmlns:mc="http://schemas.openxmlformats.org/markup-compatibility/2006">
      <mc:Choice Requires="x14">
        <control shapeId="11" r:id="rId20" name="Check Box 8">
          <controlPr defaultSize="0" autoFill="0" autoLine="0" autoPict="0" macro="[0]!Avmerkingsboks_Klikk_1">
            <anchor moveWithCells="1">
              <from>
                <xdr:col>21</xdr:col>
                <xdr:colOff>431800</xdr:colOff>
                <xdr:row>22</xdr:row>
                <xdr:rowOff>69850</xdr:rowOff>
              </from>
              <to>
                <xdr:col>24</xdr:col>
                <xdr:colOff>304800</xdr:colOff>
                <xdr:row>23</xdr:row>
                <xdr:rowOff>127000</xdr:rowOff>
              </to>
            </anchor>
          </controlPr>
        </control>
      </mc:Choice>
    </mc:AlternateContent>
    <mc:AlternateContent xmlns:mc="http://schemas.openxmlformats.org/markup-compatibility/2006">
      <mc:Choice Requires="x14">
        <control shapeId="12" r:id="rId21" name="Check Box 13">
          <controlPr defaultSize="0" autoFill="0" autoLine="0" autoPict="0" macro="[0]!Avmerkingsboks_Klikk_1">
            <anchor moveWithCells="1">
              <from>
                <xdr:col>21</xdr:col>
                <xdr:colOff>412750</xdr:colOff>
                <xdr:row>31</xdr:row>
                <xdr:rowOff>12700</xdr:rowOff>
              </from>
              <to>
                <xdr:col>24</xdr:col>
                <xdr:colOff>298450</xdr:colOff>
                <xdr:row>32</xdr:row>
                <xdr:rowOff>57150</xdr:rowOff>
              </to>
            </anchor>
          </controlPr>
        </control>
      </mc:Choice>
    </mc:AlternateContent>
    <mc:AlternateContent xmlns:mc="http://schemas.openxmlformats.org/markup-compatibility/2006">
      <mc:Choice Requires="x14">
        <control shapeId="13" r:id="rId22" name="Check Box 14">
          <controlPr defaultSize="0" autoFill="0" autoLine="0" autoPict="0" macro="[0]!Avmerkingsboks_Klikk_1">
            <anchor moveWithCells="1">
              <from>
                <xdr:col>21</xdr:col>
                <xdr:colOff>412750</xdr:colOff>
                <xdr:row>32</xdr:row>
                <xdr:rowOff>165100</xdr:rowOff>
              </from>
              <to>
                <xdr:col>24</xdr:col>
                <xdr:colOff>298450</xdr:colOff>
                <xdr:row>34</xdr:row>
                <xdr:rowOff>31750</xdr:rowOff>
              </to>
            </anchor>
          </controlPr>
        </control>
      </mc:Choice>
    </mc:AlternateContent>
    <mc:AlternateContent xmlns:mc="http://schemas.openxmlformats.org/markup-compatibility/2006">
      <mc:Choice Requires="x14">
        <control shapeId="15" r:id="rId23" name="Check Box 26">
          <controlPr defaultSize="0" autoFill="0" autoLine="0" autoPict="0" macro="[0]!Avmerkingsboks_Klikk_2">
            <anchor moveWithCells="1">
              <from>
                <xdr:col>41</xdr:col>
                <xdr:colOff>374650</xdr:colOff>
                <xdr:row>25</xdr:row>
                <xdr:rowOff>107950</xdr:rowOff>
              </from>
              <to>
                <xdr:col>44</xdr:col>
                <xdr:colOff>241300</xdr:colOff>
                <xdr:row>26</xdr:row>
                <xdr:rowOff>171450</xdr:rowOff>
              </to>
            </anchor>
          </controlPr>
        </control>
      </mc:Choice>
    </mc:AlternateContent>
    <mc:AlternateContent xmlns:mc="http://schemas.openxmlformats.org/markup-compatibility/2006">
      <mc:Choice Requires="x14">
        <control shapeId="22" r:id="rId24" name="Check Box 27">
          <controlPr defaultSize="0" autoFill="0" autoLine="0" autoPict="0" macro="[0]!Avmerkingsboks_Klikk_2">
            <anchor moveWithCells="1">
              <from>
                <xdr:col>41</xdr:col>
                <xdr:colOff>361950</xdr:colOff>
                <xdr:row>30</xdr:row>
                <xdr:rowOff>12700</xdr:rowOff>
              </from>
              <to>
                <xdr:col>44</xdr:col>
                <xdr:colOff>228600</xdr:colOff>
                <xdr:row>31</xdr:row>
                <xdr:rowOff>88900</xdr:rowOff>
              </to>
            </anchor>
          </controlPr>
        </control>
      </mc:Choice>
    </mc:AlternateContent>
    <mc:AlternateContent xmlns:mc="http://schemas.openxmlformats.org/markup-compatibility/2006">
      <mc:Choice Requires="x14">
        <control shapeId="23" r:id="rId25" name="Check Box 37">
          <controlPr defaultSize="0" autoFill="0" autoLine="0" autoPict="0" macro="[0]!Avmerkingsboks_Klikk_3">
            <anchor moveWithCells="1">
              <from>
                <xdr:col>21</xdr:col>
                <xdr:colOff>336550</xdr:colOff>
                <xdr:row>64</xdr:row>
                <xdr:rowOff>152400</xdr:rowOff>
              </from>
              <to>
                <xdr:col>24</xdr:col>
                <xdr:colOff>209550</xdr:colOff>
                <xdr:row>66</xdr:row>
                <xdr:rowOff>12700</xdr:rowOff>
              </to>
            </anchor>
          </controlPr>
        </control>
      </mc:Choice>
    </mc:AlternateContent>
    <mc:AlternateContent xmlns:mc="http://schemas.openxmlformats.org/markup-compatibility/2006">
      <mc:Choice Requires="x14">
        <control shapeId="24" r:id="rId26" name="Check Box 38">
          <controlPr defaultSize="0" autoFill="0" autoLine="0" autoPict="0" macro="[0]!Avmerkingsboks_Klikk_3">
            <anchor moveWithCells="1">
              <from>
                <xdr:col>21</xdr:col>
                <xdr:colOff>336550</xdr:colOff>
                <xdr:row>60</xdr:row>
                <xdr:rowOff>133350</xdr:rowOff>
              </from>
              <to>
                <xdr:col>24</xdr:col>
                <xdr:colOff>209550</xdr:colOff>
                <xdr:row>61</xdr:row>
                <xdr:rowOff>184150</xdr:rowOff>
              </to>
            </anchor>
          </controlPr>
        </control>
      </mc:Choice>
    </mc:AlternateContent>
    <mc:AlternateContent xmlns:mc="http://schemas.openxmlformats.org/markup-compatibility/2006">
      <mc:Choice Requires="x14">
        <control shapeId="25" r:id="rId27" name="Check Box 39">
          <controlPr defaultSize="0" autoFill="0" autoLine="0" autoPict="0" macro="[0]!Avmerkingsboks_Klikk_3">
            <anchor moveWithCells="1">
              <from>
                <xdr:col>21</xdr:col>
                <xdr:colOff>336550</xdr:colOff>
                <xdr:row>58</xdr:row>
                <xdr:rowOff>127000</xdr:rowOff>
              </from>
              <to>
                <xdr:col>24</xdr:col>
                <xdr:colOff>209550</xdr:colOff>
                <xdr:row>59</xdr:row>
                <xdr:rowOff>171450</xdr:rowOff>
              </to>
            </anchor>
          </controlPr>
        </control>
      </mc:Choice>
    </mc:AlternateContent>
    <mc:AlternateContent xmlns:mc="http://schemas.openxmlformats.org/markup-compatibility/2006">
      <mc:Choice Requires="x14">
        <control shapeId="26" r:id="rId28" name="Check Box 40">
          <controlPr defaultSize="0" autoFill="0" autoLine="0" autoPict="0" macro="[0]!Avmerkingsboks_Klikk_3">
            <anchor moveWithCells="1">
              <from>
                <xdr:col>21</xdr:col>
                <xdr:colOff>336550</xdr:colOff>
                <xdr:row>56</xdr:row>
                <xdr:rowOff>114300</xdr:rowOff>
              </from>
              <to>
                <xdr:col>24</xdr:col>
                <xdr:colOff>209550</xdr:colOff>
                <xdr:row>57</xdr:row>
                <xdr:rowOff>165100</xdr:rowOff>
              </to>
            </anchor>
          </controlPr>
        </control>
      </mc:Choice>
    </mc:AlternateContent>
    <mc:AlternateContent xmlns:mc="http://schemas.openxmlformats.org/markup-compatibility/2006">
      <mc:Choice Requires="x14">
        <control shapeId="27" r:id="rId29" name="Check Box 41">
          <controlPr defaultSize="0" autoFill="0" autoLine="0" autoPict="0" macro="[0]!Avmerkingsboks_Klikk_3">
            <anchor moveWithCells="1">
              <from>
                <xdr:col>21</xdr:col>
                <xdr:colOff>336550</xdr:colOff>
                <xdr:row>54</xdr:row>
                <xdr:rowOff>107950</xdr:rowOff>
              </from>
              <to>
                <xdr:col>24</xdr:col>
                <xdr:colOff>209550</xdr:colOff>
                <xdr:row>55</xdr:row>
                <xdr:rowOff>152400</xdr:rowOff>
              </to>
            </anchor>
          </controlPr>
        </control>
      </mc:Choice>
    </mc:AlternateContent>
    <mc:AlternateContent xmlns:mc="http://schemas.openxmlformats.org/markup-compatibility/2006">
      <mc:Choice Requires="x14">
        <control shapeId="28" r:id="rId30" name="Check Box 42">
          <controlPr defaultSize="0" autoFill="0" autoLine="0" autoPict="0" macro="[0]!Avmerkingsboks_Klikk_3">
            <anchor moveWithCells="1">
              <from>
                <xdr:col>21</xdr:col>
                <xdr:colOff>336550</xdr:colOff>
                <xdr:row>52</xdr:row>
                <xdr:rowOff>95250</xdr:rowOff>
              </from>
              <to>
                <xdr:col>24</xdr:col>
                <xdr:colOff>209550</xdr:colOff>
                <xdr:row>53</xdr:row>
                <xdr:rowOff>146050</xdr:rowOff>
              </to>
            </anchor>
          </controlPr>
        </control>
      </mc:Choice>
    </mc:AlternateContent>
    <mc:AlternateContent xmlns:mc="http://schemas.openxmlformats.org/markup-compatibility/2006">
      <mc:Choice Requires="x14">
        <control shapeId="29" r:id="rId31" name="Check Box 43">
          <controlPr defaultSize="0" autoFill="0" autoLine="0" autoPict="0" macro="[0]!Avmerkingsboks_Klikk_3">
            <anchor moveWithCells="1">
              <from>
                <xdr:col>21</xdr:col>
                <xdr:colOff>336550</xdr:colOff>
                <xdr:row>50</xdr:row>
                <xdr:rowOff>88900</xdr:rowOff>
              </from>
              <to>
                <xdr:col>24</xdr:col>
                <xdr:colOff>209550</xdr:colOff>
                <xdr:row>51</xdr:row>
                <xdr:rowOff>127000</xdr:rowOff>
              </to>
            </anchor>
          </controlPr>
        </control>
      </mc:Choice>
    </mc:AlternateContent>
    <mc:AlternateContent xmlns:mc="http://schemas.openxmlformats.org/markup-compatibility/2006">
      <mc:Choice Requires="x14">
        <control shapeId="30" r:id="rId32" name="Check Box 44">
          <controlPr defaultSize="0" autoFill="0" autoLine="0" autoPict="0" macro="[0]!Avmerkingsboks_Klikk_3">
            <anchor moveWithCells="1">
              <from>
                <xdr:col>21</xdr:col>
                <xdr:colOff>336550</xdr:colOff>
                <xdr:row>73</xdr:row>
                <xdr:rowOff>107950</xdr:rowOff>
              </from>
              <to>
                <xdr:col>24</xdr:col>
                <xdr:colOff>209550</xdr:colOff>
                <xdr:row>74</xdr:row>
                <xdr:rowOff>152400</xdr:rowOff>
              </to>
            </anchor>
          </controlPr>
        </control>
      </mc:Choice>
    </mc:AlternateContent>
    <mc:AlternateContent xmlns:mc="http://schemas.openxmlformats.org/markup-compatibility/2006">
      <mc:Choice Requires="x14">
        <control shapeId="31" r:id="rId33" name="Check Box 45">
          <controlPr defaultSize="0" autoFill="0" autoLine="0" autoPict="0" macro="[0]!Avmerkingsboks_Klikk_3">
            <anchor moveWithCells="1">
              <from>
                <xdr:col>21</xdr:col>
                <xdr:colOff>336550</xdr:colOff>
                <xdr:row>75</xdr:row>
                <xdr:rowOff>19050</xdr:rowOff>
              </from>
              <to>
                <xdr:col>24</xdr:col>
                <xdr:colOff>209550</xdr:colOff>
                <xdr:row>76</xdr:row>
                <xdr:rowOff>69850</xdr:rowOff>
              </to>
            </anchor>
          </controlPr>
        </control>
      </mc:Choice>
    </mc:AlternateContent>
    <mc:AlternateContent xmlns:mc="http://schemas.openxmlformats.org/markup-compatibility/2006">
      <mc:Choice Requires="x14">
        <control shapeId="33" r:id="rId34" name="Check Box 46">
          <controlPr defaultSize="0" autoFill="0" autoLine="0" autoPict="0" macro="[0]!Avmerkingsboks_Klikk_4">
            <anchor moveWithCells="1">
              <from>
                <xdr:col>41</xdr:col>
                <xdr:colOff>361950</xdr:colOff>
                <xdr:row>64</xdr:row>
                <xdr:rowOff>69850</xdr:rowOff>
              </from>
              <to>
                <xdr:col>44</xdr:col>
                <xdr:colOff>228600</xdr:colOff>
                <xdr:row>65</xdr:row>
                <xdr:rowOff>146050</xdr:rowOff>
              </to>
            </anchor>
          </controlPr>
        </control>
      </mc:Choice>
    </mc:AlternateContent>
    <mc:AlternateContent xmlns:mc="http://schemas.openxmlformats.org/markup-compatibility/2006">
      <mc:Choice Requires="x14">
        <control shapeId="37" r:id="rId35" name="Check Box 47">
          <controlPr defaultSize="0" autoFill="0" autoLine="0" autoPict="0" macro="[0]!Avmerkingsboks_Klikk_4">
            <anchor moveWithCells="1">
              <from>
                <xdr:col>41</xdr:col>
                <xdr:colOff>361950</xdr:colOff>
                <xdr:row>66</xdr:row>
                <xdr:rowOff>114300</xdr:rowOff>
              </from>
              <to>
                <xdr:col>44</xdr:col>
                <xdr:colOff>228600</xdr:colOff>
                <xdr:row>67</xdr:row>
                <xdr:rowOff>184150</xdr:rowOff>
              </to>
            </anchor>
          </controlPr>
        </control>
      </mc:Choice>
    </mc:AlternateContent>
    <mc:AlternateContent xmlns:mc="http://schemas.openxmlformats.org/markup-compatibility/2006">
      <mc:Choice Requires="x14">
        <control shapeId="38" r:id="rId36" name="Check Box 48">
          <controlPr defaultSize="0" autoFill="0" autoLine="0" autoPict="0" macro="[0]!Avmerkingsboks_Klikk_4">
            <anchor moveWithCells="1">
              <from>
                <xdr:col>41</xdr:col>
                <xdr:colOff>361950</xdr:colOff>
                <xdr:row>68</xdr:row>
                <xdr:rowOff>152400</xdr:rowOff>
              </from>
              <to>
                <xdr:col>44</xdr:col>
                <xdr:colOff>228600</xdr:colOff>
                <xdr:row>70</xdr:row>
                <xdr:rowOff>38100</xdr:rowOff>
              </to>
            </anchor>
          </controlPr>
        </control>
      </mc:Choice>
    </mc:AlternateContent>
    <mc:AlternateContent xmlns:mc="http://schemas.openxmlformats.org/markup-compatibility/2006">
      <mc:Choice Requires="x14">
        <control shapeId="39" r:id="rId37" name="Button 59">
          <controlPr defaultSize="0" print="0" autoFill="0" autoPict="0" macro="[0]!Zoom_ut">
            <anchor moveWithCells="1" sizeWithCells="1">
              <from>
                <xdr:col>2</xdr:col>
                <xdr:colOff>12700</xdr:colOff>
                <xdr:row>44</xdr:row>
                <xdr:rowOff>12700</xdr:rowOff>
              </from>
              <to>
                <xdr:col>3</xdr:col>
                <xdr:colOff>546100</xdr:colOff>
                <xdr:row>46</xdr:row>
                <xdr:rowOff>114300</xdr:rowOff>
              </to>
            </anchor>
          </controlPr>
        </control>
      </mc:Choice>
    </mc:AlternateContent>
    <mc:AlternateContent xmlns:mc="http://schemas.openxmlformats.org/markup-compatibility/2006">
      <mc:Choice Requires="x14">
        <control shapeId="40" r:id="rId38" name="Button 60">
          <controlPr defaultSize="0" print="0" autoFill="0" autoPict="0" macro="[0]!Zoom_ut">
            <anchor moveWithCells="1" sizeWithCells="1">
              <from>
                <xdr:col>21</xdr:col>
                <xdr:colOff>704850</xdr:colOff>
                <xdr:row>1</xdr:row>
                <xdr:rowOff>146050</xdr:rowOff>
              </from>
              <to>
                <xdr:col>23</xdr:col>
                <xdr:colOff>476250</xdr:colOff>
                <xdr:row>4</xdr:row>
                <xdr:rowOff>50800</xdr:rowOff>
              </to>
            </anchor>
          </controlPr>
        </control>
      </mc:Choice>
    </mc:AlternateContent>
    <mc:AlternateContent xmlns:mc="http://schemas.openxmlformats.org/markup-compatibility/2006">
      <mc:Choice Requires="x14">
        <control shapeId="41" r:id="rId39" name="CO2Utslipp">
          <controlPr defaultSize="0" print="0" autoFill="0" autoPict="0" macro="[0]!Zoom_ut">
            <anchor moveWithCells="1" sizeWithCells="1">
              <from>
                <xdr:col>22</xdr:col>
                <xdr:colOff>50800</xdr:colOff>
                <xdr:row>41</xdr:row>
                <xdr:rowOff>165100</xdr:rowOff>
              </from>
              <to>
                <xdr:col>23</xdr:col>
                <xdr:colOff>584200</xdr:colOff>
                <xdr:row>44</xdr:row>
                <xdr:rowOff>69850</xdr:rowOff>
              </to>
            </anchor>
          </controlPr>
        </control>
      </mc:Choice>
    </mc:AlternateContent>
    <mc:AlternateContent xmlns:mc="http://schemas.openxmlformats.org/markup-compatibility/2006">
      <mc:Choice Requires="x14">
        <control shapeId="42" r:id="rId40" name="Button 62">
          <controlPr defaultSize="0" print="0" autoFill="0" autoPict="0" macro="[0]!Zoom_ut">
            <anchor moveWithCells="1" sizeWithCells="1">
              <from>
                <xdr:col>42</xdr:col>
                <xdr:colOff>19050</xdr:colOff>
                <xdr:row>3</xdr:row>
                <xdr:rowOff>165100</xdr:rowOff>
              </from>
              <to>
                <xdr:col>43</xdr:col>
                <xdr:colOff>552450</xdr:colOff>
                <xdr:row>6</xdr:row>
                <xdr:rowOff>76200</xdr:rowOff>
              </to>
            </anchor>
          </controlPr>
        </control>
      </mc:Choice>
    </mc:AlternateContent>
    <mc:AlternateContent xmlns:mc="http://schemas.openxmlformats.org/markup-compatibility/2006">
      <mc:Choice Requires="x14">
        <control shapeId="43" r:id="rId41" name="Button 63">
          <controlPr defaultSize="0" print="0" autoFill="0" autoPict="0" macro="[0]!Zoom_ut">
            <anchor moveWithCells="1" sizeWithCells="1">
              <from>
                <xdr:col>42</xdr:col>
                <xdr:colOff>0</xdr:colOff>
                <xdr:row>43</xdr:row>
                <xdr:rowOff>19050</xdr:rowOff>
              </from>
              <to>
                <xdr:col>43</xdr:col>
                <xdr:colOff>533400</xdr:colOff>
                <xdr:row>45</xdr:row>
                <xdr:rowOff>127000</xdr:rowOff>
              </to>
            </anchor>
          </controlPr>
        </control>
      </mc:Choice>
    </mc:AlternateContent>
    <mc:AlternateContent xmlns:mc="http://schemas.openxmlformats.org/markup-compatibility/2006">
      <mc:Choice Requires="x14">
        <control shapeId="44" r:id="rId42" name="Check Box 65">
          <controlPr defaultSize="0" autoFill="0" autoLine="0" autoPict="0" macro="[0]!Avmerkingsboks_Klikk_1">
            <anchor moveWithCells="1">
              <from>
                <xdr:col>21</xdr:col>
                <xdr:colOff>419100</xdr:colOff>
                <xdr:row>20</xdr:row>
                <xdr:rowOff>107950</xdr:rowOff>
              </from>
              <to>
                <xdr:col>24</xdr:col>
                <xdr:colOff>285750</xdr:colOff>
                <xdr:row>21</xdr:row>
                <xdr:rowOff>165100</xdr:rowOff>
              </to>
            </anchor>
          </controlPr>
        </control>
      </mc:Choice>
    </mc:AlternateContent>
    <mc:AlternateContent xmlns:mc="http://schemas.openxmlformats.org/markup-compatibility/2006">
      <mc:Choice Requires="x14">
        <control shapeId="45" r:id="rId43" name="Check Box 66">
          <controlPr defaultSize="0" autoFill="0" autoLine="0" autoPict="0" macro="[0]!Avmerkingsboks_Klikk_1" altText="Godsfly">
            <anchor moveWithCells="1">
              <from>
                <xdr:col>21</xdr:col>
                <xdr:colOff>419100</xdr:colOff>
                <xdr:row>24</xdr:row>
                <xdr:rowOff>12700</xdr:rowOff>
              </from>
              <to>
                <xdr:col>24</xdr:col>
                <xdr:colOff>285750</xdr:colOff>
                <xdr:row>25</xdr:row>
                <xdr:rowOff>57150</xdr:rowOff>
              </to>
            </anchor>
          </controlPr>
        </control>
      </mc:Choice>
    </mc:AlternateContent>
    <mc:AlternateContent xmlns:mc="http://schemas.openxmlformats.org/markup-compatibility/2006">
      <mc:Choice Requires="x14">
        <control shapeId="47" r:id="rId44" name="Check Box 67">
          <controlPr defaultSize="0" autoFill="0" autoLine="0" autoPict="0" macro="[0]!Avmerkingsboks_Klikk_1" altText="Godsfly">
            <anchor moveWithCells="1">
              <from>
                <xdr:col>21</xdr:col>
                <xdr:colOff>412750</xdr:colOff>
                <xdr:row>25</xdr:row>
                <xdr:rowOff>146050</xdr:rowOff>
              </from>
              <to>
                <xdr:col>24</xdr:col>
                <xdr:colOff>279400</xdr:colOff>
                <xdr:row>27</xdr:row>
                <xdr:rowOff>12700</xdr:rowOff>
              </to>
            </anchor>
          </controlPr>
        </control>
      </mc:Choice>
    </mc:AlternateContent>
    <mc:AlternateContent xmlns:mc="http://schemas.openxmlformats.org/markup-compatibility/2006">
      <mc:Choice Requires="x14">
        <control shapeId="48" r:id="rId45" name="Check Box 68">
          <controlPr defaultSize="0" autoFill="0" autoLine="0" autoPict="0" macro="[0]!Avmerkingsboks_Klikk_3">
            <anchor moveWithCells="1">
              <from>
                <xdr:col>21</xdr:col>
                <xdr:colOff>336550</xdr:colOff>
                <xdr:row>62</xdr:row>
                <xdr:rowOff>146050</xdr:rowOff>
              </from>
              <to>
                <xdr:col>24</xdr:col>
                <xdr:colOff>209550</xdr:colOff>
                <xdr:row>64</xdr:row>
                <xdr:rowOff>0</xdr:rowOff>
              </to>
            </anchor>
          </controlPr>
        </control>
      </mc:Choice>
    </mc:AlternateContent>
    <mc:AlternateContent xmlns:mc="http://schemas.openxmlformats.org/markup-compatibility/2006">
      <mc:Choice Requires="x14">
        <control shapeId="49" r:id="rId46" name="Check Box 69">
          <controlPr defaultSize="0" autoFill="0" autoLine="0" autoPict="0" macro="[0]!Avmerkingsboks_Klikk_3">
            <anchor moveWithCells="1">
              <from>
                <xdr:col>21</xdr:col>
                <xdr:colOff>336550</xdr:colOff>
                <xdr:row>66</xdr:row>
                <xdr:rowOff>165100</xdr:rowOff>
              </from>
              <to>
                <xdr:col>24</xdr:col>
                <xdr:colOff>209550</xdr:colOff>
                <xdr:row>68</xdr:row>
                <xdr:rowOff>31750</xdr:rowOff>
              </to>
            </anchor>
          </controlPr>
        </control>
      </mc:Choice>
    </mc:AlternateContent>
    <mc:AlternateContent xmlns:mc="http://schemas.openxmlformats.org/markup-compatibility/2006">
      <mc:Choice Requires="x14">
        <control shapeId="50" r:id="rId47" name="Check Box 70">
          <controlPr defaultSize="0" autoFill="0" autoLine="0" autoPict="0" macro="[0]!Avmerkingsboks_Klikk_2">
            <anchor moveWithCells="1">
              <from>
                <xdr:col>41</xdr:col>
                <xdr:colOff>374650</xdr:colOff>
                <xdr:row>27</xdr:row>
                <xdr:rowOff>152400</xdr:rowOff>
              </from>
              <to>
                <xdr:col>44</xdr:col>
                <xdr:colOff>241300</xdr:colOff>
                <xdr:row>29</xdr:row>
                <xdr:rowOff>31750</xdr:rowOff>
              </to>
            </anchor>
          </controlPr>
        </control>
      </mc:Choice>
    </mc:AlternateContent>
    <mc:AlternateContent xmlns:mc="http://schemas.openxmlformats.org/markup-compatibility/2006">
      <mc:Choice Requires="x14">
        <control shapeId="51" r:id="rId48" name="Check Box 71">
          <controlPr defaultSize="0" autoFill="0" autoLine="0" autoPict="0" macro="[0]!Avmerkingsboks_Klikk_3">
            <anchor moveWithCells="1">
              <from>
                <xdr:col>21</xdr:col>
                <xdr:colOff>336550</xdr:colOff>
                <xdr:row>68</xdr:row>
                <xdr:rowOff>184150</xdr:rowOff>
              </from>
              <to>
                <xdr:col>24</xdr:col>
                <xdr:colOff>209550</xdr:colOff>
                <xdr:row>70</xdr:row>
                <xdr:rowOff>31750</xdr:rowOff>
              </to>
            </anchor>
          </controlPr>
        </control>
      </mc:Choice>
    </mc:AlternateContent>
    <mc:AlternateContent xmlns:mc="http://schemas.openxmlformats.org/markup-compatibility/2006">
      <mc:Choice Requires="x14">
        <control shapeId="52" r:id="rId49" name="Check Box 72">
          <controlPr defaultSize="0" autoFill="0" autoLine="0" autoPict="0" macro="[0]!Avmerkingsboks_Klikk_3">
            <anchor moveWithCells="1">
              <from>
                <xdr:col>21</xdr:col>
                <xdr:colOff>342900</xdr:colOff>
                <xdr:row>71</xdr:row>
                <xdr:rowOff>184150</xdr:rowOff>
              </from>
              <to>
                <xdr:col>24</xdr:col>
                <xdr:colOff>222250</xdr:colOff>
                <xdr:row>73</xdr:row>
                <xdr:rowOff>38100</xdr:rowOff>
              </to>
            </anchor>
          </controlPr>
        </control>
      </mc:Choice>
    </mc:AlternateContent>
    <mc:AlternateContent xmlns:mc="http://schemas.openxmlformats.org/markup-compatibility/2006">
      <mc:Choice Requires="x14">
        <control shapeId="53" r:id="rId50" name="Check Box 73">
          <controlPr defaultSize="0" autoFill="0" autoLine="0" autoPict="0" macro="[0]!Avmerkingsboks_Klikk_1" altText="Godsfly">
            <anchor moveWithCells="1">
              <from>
                <xdr:col>21</xdr:col>
                <xdr:colOff>412750</xdr:colOff>
                <xdr:row>29</xdr:row>
                <xdr:rowOff>57150</xdr:rowOff>
              </from>
              <to>
                <xdr:col>24</xdr:col>
                <xdr:colOff>279400</xdr:colOff>
                <xdr:row>30</xdr:row>
                <xdr:rowOff>107950</xdr:rowOff>
              </to>
            </anchor>
          </controlPr>
        </control>
      </mc:Choice>
    </mc:AlternateContent>
    <mc:AlternateContent xmlns:mc="http://schemas.openxmlformats.org/markup-compatibility/2006">
      <mc:Choice Requires="x14">
        <control shapeId="54" r:id="rId51" name="Check Box 74">
          <controlPr defaultSize="0" autoFill="0" autoLine="0" autoPict="0" macro="[0]!Avmerkingsboks_Klikk_1">
            <anchor moveWithCells="1">
              <from>
                <xdr:col>21</xdr:col>
                <xdr:colOff>412750</xdr:colOff>
                <xdr:row>27</xdr:row>
                <xdr:rowOff>95250</xdr:rowOff>
              </from>
              <to>
                <xdr:col>24</xdr:col>
                <xdr:colOff>279400</xdr:colOff>
                <xdr:row>28</xdr:row>
                <xdr:rowOff>133350</xdr:rowOff>
              </to>
            </anchor>
          </controlPr>
        </control>
      </mc:Choice>
    </mc:AlternateContent>
    <mc:AlternateContent xmlns:mc="http://schemas.openxmlformats.org/markup-compatibility/2006">
      <mc:Choice Requires="x14">
        <control shapeId="55" r:id="rId52" name="Check Box 75">
          <controlPr defaultSize="0" autoFill="0" autoLine="0" autoPict="0" macro="[0]!Avmerkingsboks_Klikk_3">
            <anchor moveWithCells="1">
              <from>
                <xdr:col>0</xdr:col>
                <xdr:colOff>361950</xdr:colOff>
                <xdr:row>0</xdr:row>
                <xdr:rowOff>107950</xdr:rowOff>
              </from>
              <to>
                <xdr:col>3</xdr:col>
                <xdr:colOff>260350</xdr:colOff>
                <xdr:row>1</xdr:row>
                <xdr:rowOff>133350</xdr:rowOff>
              </to>
            </anchor>
          </controlPr>
        </control>
      </mc:Choice>
    </mc:AlternateContent>
    <mc:AlternateContent xmlns:mc="http://schemas.openxmlformats.org/markup-compatibility/2006">
      <mc:Choice Requires="x14">
        <control shapeId="56" r:id="rId53" name="Check Box 76">
          <controlPr defaultSize="0" autoFill="0" autoLine="0" autoPict="0" macro="[0]!Avmerkingsboks_Klikk_3">
            <anchor moveWithCells="1">
              <from>
                <xdr:col>0</xdr:col>
                <xdr:colOff>323850</xdr:colOff>
                <xdr:row>0</xdr:row>
                <xdr:rowOff>88900</xdr:rowOff>
              </from>
              <to>
                <xdr:col>3</xdr:col>
                <xdr:colOff>222250</xdr:colOff>
                <xdr:row>1</xdr:row>
                <xdr:rowOff>114300</xdr:rowOff>
              </to>
            </anchor>
          </controlPr>
        </control>
      </mc:Choice>
    </mc:AlternateContent>
    <mc:AlternateContent xmlns:mc="http://schemas.openxmlformats.org/markup-compatibility/2006">
      <mc:Choice Requires="x14">
        <control shapeId="57" r:id="rId54" name="Check Box 77">
          <controlPr defaultSize="0" autoFill="0" autoLine="0" autoPict="0" macro="[0]!Avmerkingsboks_Klikk_3">
            <anchor moveWithCells="1">
              <from>
                <xdr:col>21</xdr:col>
                <xdr:colOff>323850</xdr:colOff>
                <xdr:row>70</xdr:row>
                <xdr:rowOff>95250</xdr:rowOff>
              </from>
              <to>
                <xdr:col>24</xdr:col>
                <xdr:colOff>222250</xdr:colOff>
                <xdr:row>71</xdr:row>
                <xdr:rowOff>133350</xdr:rowOff>
              </to>
            </anchor>
          </controlPr>
        </control>
      </mc:Choice>
    </mc:AlternateContent>
  </control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7F886C-1E97-4221-924D-5BADF1019AEC}">
  <sheetPr codeName="Ark7">
    <tabColor theme="4" tint="-0.249977111117893"/>
    <pageSetUpPr autoPageBreaks="0" fitToPage="1"/>
  </sheetPr>
  <dimension ref="A4:P79"/>
  <sheetViews>
    <sheetView topLeftCell="A25" workbookViewId="0">
      <selection activeCell="C54" sqref="C54"/>
    </sheetView>
  </sheetViews>
  <sheetFormatPr baseColWidth="10" defaultColWidth="10" defaultRowHeight="14.5" x14ac:dyDescent="0.35"/>
  <cols>
    <col min="1" max="1" width="16.54296875" customWidth="1"/>
    <col min="2" max="2" width="18.54296875" customWidth="1"/>
    <col min="3" max="14" width="16.54296875" customWidth="1"/>
    <col min="15" max="15" width="5.26953125" customWidth="1"/>
    <col min="16" max="16" width="22.54296875" customWidth="1"/>
  </cols>
  <sheetData>
    <row r="4" spans="1:16" x14ac:dyDescent="0.35">
      <c r="A4" s="1595" t="s">
        <v>1996</v>
      </c>
      <c r="B4" s="1595"/>
      <c r="C4" s="1595"/>
      <c r="D4" s="1595"/>
      <c r="E4" s="1595"/>
      <c r="F4" s="1595"/>
      <c r="G4" s="1595"/>
      <c r="H4" s="1595"/>
      <c r="I4" s="1595"/>
      <c r="J4" s="1595"/>
      <c r="K4" s="1595"/>
      <c r="L4" s="1595"/>
      <c r="M4" s="1595"/>
      <c r="N4" s="1595"/>
      <c r="P4" s="640"/>
    </row>
    <row r="5" spans="1:16" x14ac:dyDescent="0.35">
      <c r="A5" s="807" t="s">
        <v>1997</v>
      </c>
      <c r="B5" s="809" t="str">
        <f>"Nåverdi av hovedstørrelser og netto nåverdi, mill. "&amp;KroneårIBeregninger&amp;"-kroner"</f>
        <v>Nåverdi av hovedstørrelser og netto nåverdi, mill. -kroner</v>
      </c>
      <c r="C5" s="807"/>
      <c r="D5" s="807"/>
      <c r="E5" s="807"/>
      <c r="F5" s="807"/>
      <c r="G5" s="807"/>
      <c r="H5" s="807"/>
      <c r="I5" s="807"/>
      <c r="J5" s="807"/>
      <c r="K5" s="807"/>
      <c r="L5" s="807"/>
      <c r="M5" s="807"/>
      <c r="N5" s="807"/>
      <c r="P5" s="640"/>
    </row>
    <row r="6" spans="1:16" ht="15.5" x14ac:dyDescent="0.35">
      <c r="A6" s="670" t="s">
        <v>1998</v>
      </c>
      <c r="B6" s="670" t="s">
        <v>1999</v>
      </c>
      <c r="C6" s="670" t="s">
        <v>2000</v>
      </c>
      <c r="D6" s="670" t="s">
        <v>2001</v>
      </c>
      <c r="E6" s="670" t="s">
        <v>1999</v>
      </c>
      <c r="F6" s="670" t="s">
        <v>2002</v>
      </c>
      <c r="G6" s="670" t="s">
        <v>2003</v>
      </c>
      <c r="H6" s="670" t="s">
        <v>2004</v>
      </c>
      <c r="I6" s="670" t="s">
        <v>2005</v>
      </c>
      <c r="J6" s="670" t="s">
        <v>2006</v>
      </c>
      <c r="K6" s="670" t="s">
        <v>2007</v>
      </c>
      <c r="L6" s="670" t="s">
        <v>2008</v>
      </c>
      <c r="M6" s="670" t="s">
        <v>2009</v>
      </c>
      <c r="N6" s="670" t="s">
        <v>2010</v>
      </c>
      <c r="O6" s="164"/>
      <c r="P6" s="641"/>
    </row>
    <row r="7" spans="1:16" ht="15.5" x14ac:dyDescent="0.35">
      <c r="A7" s="646" t="s">
        <v>2011</v>
      </c>
      <c r="B7" s="647"/>
      <c r="C7" s="648">
        <f ca="1">RES_Endring_for_trafikanter</f>
        <v>0</v>
      </c>
      <c r="D7" s="638">
        <f ca="1">C7</f>
        <v>0</v>
      </c>
      <c r="E7" s="633" t="e">
        <f>IF(B7="x",D7,NA())</f>
        <v>#N/A</v>
      </c>
      <c r="F7" s="633">
        <f ca="1">D7+H7-H7</f>
        <v>0</v>
      </c>
      <c r="G7" s="633" t="e">
        <f ca="1">D7+I7-I7</f>
        <v>#N/A</v>
      </c>
      <c r="H7" s="633">
        <f t="shared" ref="H7:H13" ca="1" si="0">IF(B7="x",NA(),IF(C7&gt;=0,C7,NA()))</f>
        <v>0</v>
      </c>
      <c r="I7" s="633" t="e">
        <f t="shared" ref="I7:I13" ca="1" si="1">IF(B7="x",NA(),IF(C7&lt;0,-C7,NA()))</f>
        <v>#N/A</v>
      </c>
      <c r="J7" s="633">
        <f ca="1">IF(B7="x",NA(),IF(AND(D7&lt;0,D7-C7&lt;0),MAX(D7,D7-C7)+ABS(C7),MAX(D7,D7-C7)))</f>
        <v>0</v>
      </c>
      <c r="K7" s="633">
        <f t="shared" ref="K7:K13" ca="1" si="2">IF(B7="x",NA(),IF(C7&gt;=0,IF(D7&lt;0,-C7,C7),NA()))</f>
        <v>0</v>
      </c>
      <c r="L7" s="633" t="e">
        <f ca="1">IF(B7="x",NA(),IF(C7&lt;0,IF(MAX(D7,D7-C7)&lt;0,C7,-C7),NA()))</f>
        <v>#N/A</v>
      </c>
      <c r="M7" s="634">
        <f>-(ROW()-ROW($A$13)-0.5)/ROWS($A$7:$A$13)</f>
        <v>0.9285714285714286</v>
      </c>
      <c r="N7" s="634">
        <f>1/ROWS(A7:A13)</f>
        <v>0.14285714285714285</v>
      </c>
      <c r="O7" s="164"/>
      <c r="P7" s="640"/>
    </row>
    <row r="8" spans="1:16" ht="15.5" x14ac:dyDescent="0.35">
      <c r="A8" s="646" t="s">
        <v>2012</v>
      </c>
      <c r="B8" s="647"/>
      <c r="C8" s="648">
        <f ca="1">RES_Endring_for_operatører</f>
        <v>0</v>
      </c>
      <c r="D8" s="632">
        <f t="shared" ref="D8:D13" ca="1" si="3">OFFSET(D8,-1,0,1,1)+C8</f>
        <v>0</v>
      </c>
      <c r="E8" s="633" t="e">
        <f t="shared" ref="E8:E13" si="4">IF(B8="x",D8,NA())</f>
        <v>#N/A</v>
      </c>
      <c r="F8" s="633">
        <f ca="1">D8+H8-H8</f>
        <v>0</v>
      </c>
      <c r="G8" s="633" t="e">
        <f t="shared" ref="G8:G13" ca="1" si="5">D8+I8-I8</f>
        <v>#N/A</v>
      </c>
      <c r="H8" s="633">
        <f t="shared" ca="1" si="0"/>
        <v>0</v>
      </c>
      <c r="I8" s="633" t="e">
        <f t="shared" ca="1" si="1"/>
        <v>#N/A</v>
      </c>
      <c r="J8" s="633">
        <f t="shared" ref="J8:J12" ca="1" si="6">IF(B8="x",NA(),IF(AND(D8&lt;0,D8-C8&lt;0),MAX(D8,D8-C8)+ABS(C8),MAX(D8,D8-C8)))</f>
        <v>0</v>
      </c>
      <c r="K8" s="633">
        <f t="shared" ca="1" si="2"/>
        <v>0</v>
      </c>
      <c r="L8" s="633" t="e">
        <f t="shared" ref="L8:L13" ca="1" si="7">IF(B8="x",NA(),IF(C8&lt;0,IF(MAX(D8,D8-C8)&lt;0,C8,-C8),NA()))</f>
        <v>#N/A</v>
      </c>
      <c r="M8" s="634">
        <f t="shared" ref="M8:M12" si="8">-(ROW()-ROW($A$13)-0.5)/ROWS($A$7:$A$13)</f>
        <v>0.7857142857142857</v>
      </c>
      <c r="N8" s="634">
        <f ca="1">OFFSET(N8,-1,0,1,1)</f>
        <v>0.14285714285714285</v>
      </c>
      <c r="O8" s="164"/>
      <c r="P8" s="640"/>
    </row>
    <row r="9" spans="1:16" ht="15.5" x14ac:dyDescent="0.35">
      <c r="A9" s="646" t="s">
        <v>2013</v>
      </c>
      <c r="B9" s="647"/>
      <c r="C9" s="648">
        <f ca="1">RES_Endring_for_det_offentlige</f>
        <v>0</v>
      </c>
      <c r="D9" s="632">
        <f t="shared" ca="1" si="3"/>
        <v>0</v>
      </c>
      <c r="E9" s="633" t="e">
        <f t="shared" si="4"/>
        <v>#N/A</v>
      </c>
      <c r="F9" s="633">
        <f t="shared" ref="F9:F13" ca="1" si="9">D9+H9-H9</f>
        <v>0</v>
      </c>
      <c r="G9" s="633" t="e">
        <f t="shared" ca="1" si="5"/>
        <v>#N/A</v>
      </c>
      <c r="H9" s="633">
        <f t="shared" ca="1" si="0"/>
        <v>0</v>
      </c>
      <c r="I9" s="633" t="e">
        <f t="shared" ca="1" si="1"/>
        <v>#N/A</v>
      </c>
      <c r="J9" s="633">
        <f t="shared" ca="1" si="6"/>
        <v>0</v>
      </c>
      <c r="K9" s="633">
        <f t="shared" ca="1" si="2"/>
        <v>0</v>
      </c>
      <c r="L9" s="633" t="e">
        <f ca="1">IF(B9="x",NA(),IF(C9&lt;0,IF(MAX(D9,D9-C9)&lt;0,C9,-C9),NA()))</f>
        <v>#N/A</v>
      </c>
      <c r="M9" s="634">
        <f t="shared" si="8"/>
        <v>0.6428571428571429</v>
      </c>
      <c r="N9" s="634">
        <f t="shared" ref="N9:N13" ca="1" si="10">OFFSET(N9,-1,0,1,1)</f>
        <v>0.14285714285714285</v>
      </c>
      <c r="O9" s="164"/>
      <c r="P9" s="640"/>
    </row>
    <row r="10" spans="1:16" ht="15.5" x14ac:dyDescent="0.35">
      <c r="A10" s="646" t="s">
        <v>2014</v>
      </c>
      <c r="B10" s="647"/>
      <c r="C10" s="648" t="e">
        <f ca="1">RES_Endring_for_samfunnet_for_øvrig</f>
        <v>#N/A</v>
      </c>
      <c r="D10" s="632" t="e">
        <f t="shared" ca="1" si="3"/>
        <v>#N/A</v>
      </c>
      <c r="E10" s="633" t="e">
        <f t="shared" si="4"/>
        <v>#N/A</v>
      </c>
      <c r="F10" s="633" t="e">
        <f ca="1">D10+H10-H10</f>
        <v>#N/A</v>
      </c>
      <c r="G10" s="633" t="e">
        <f t="shared" ca="1" si="5"/>
        <v>#N/A</v>
      </c>
      <c r="H10" s="633" t="e">
        <f t="shared" ca="1" si="0"/>
        <v>#N/A</v>
      </c>
      <c r="I10" s="633" t="e">
        <f t="shared" ca="1" si="1"/>
        <v>#N/A</v>
      </c>
      <c r="J10" s="633" t="e">
        <f t="shared" ca="1" si="6"/>
        <v>#N/A</v>
      </c>
      <c r="K10" s="633" t="e">
        <f t="shared" ca="1" si="2"/>
        <v>#N/A</v>
      </c>
      <c r="L10" s="633" t="e">
        <f t="shared" ca="1" si="7"/>
        <v>#N/A</v>
      </c>
      <c r="M10" s="634">
        <f t="shared" si="8"/>
        <v>0.5</v>
      </c>
      <c r="N10" s="634">
        <f t="shared" ca="1" si="10"/>
        <v>0.14285714285714285</v>
      </c>
      <c r="O10" s="164"/>
      <c r="P10" s="640"/>
    </row>
    <row r="11" spans="1:16" ht="15.5" x14ac:dyDescent="0.35">
      <c r="A11" s="646" t="s">
        <v>1697</v>
      </c>
      <c r="B11" s="647"/>
      <c r="C11" s="648">
        <f ca="1">RES_Restverdi_av_tiltak</f>
        <v>0</v>
      </c>
      <c r="D11" s="632" t="e">
        <f t="shared" ca="1" si="3"/>
        <v>#N/A</v>
      </c>
      <c r="E11" s="633" t="e">
        <f t="shared" si="4"/>
        <v>#N/A</v>
      </c>
      <c r="F11" s="633" t="e">
        <f t="shared" ca="1" si="9"/>
        <v>#N/A</v>
      </c>
      <c r="G11" s="633" t="e">
        <f t="shared" ca="1" si="5"/>
        <v>#N/A</v>
      </c>
      <c r="H11" s="633">
        <f t="shared" ca="1" si="0"/>
        <v>0</v>
      </c>
      <c r="I11" s="633" t="e">
        <f t="shared" ca="1" si="1"/>
        <v>#N/A</v>
      </c>
      <c r="J11" s="633" t="e">
        <f t="shared" ca="1" si="6"/>
        <v>#N/A</v>
      </c>
      <c r="K11" s="633" t="e">
        <f t="shared" ca="1" si="2"/>
        <v>#N/A</v>
      </c>
      <c r="L11" s="633" t="e">
        <f t="shared" ca="1" si="7"/>
        <v>#N/A</v>
      </c>
      <c r="M11" s="634">
        <f t="shared" si="8"/>
        <v>0.35714285714285715</v>
      </c>
      <c r="N11" s="634">
        <f t="shared" ca="1" si="10"/>
        <v>0.14285714285714285</v>
      </c>
      <c r="O11" s="164"/>
      <c r="P11" s="640"/>
    </row>
    <row r="12" spans="1:16" ht="15.5" x14ac:dyDescent="0.35">
      <c r="A12" s="646" t="s">
        <v>1700</v>
      </c>
      <c r="B12" s="647"/>
      <c r="C12" s="648">
        <f ca="1">RES_Endring_i_skattefinansiering</f>
        <v>0</v>
      </c>
      <c r="D12" s="632" t="e">
        <f t="shared" ca="1" si="3"/>
        <v>#N/A</v>
      </c>
      <c r="E12" s="633" t="e">
        <f t="shared" si="4"/>
        <v>#N/A</v>
      </c>
      <c r="F12" s="633" t="e">
        <f t="shared" ca="1" si="9"/>
        <v>#N/A</v>
      </c>
      <c r="G12" s="633" t="e">
        <f t="shared" ca="1" si="5"/>
        <v>#N/A</v>
      </c>
      <c r="H12" s="633">
        <f t="shared" ca="1" si="0"/>
        <v>0</v>
      </c>
      <c r="I12" s="633" t="e">
        <f t="shared" ca="1" si="1"/>
        <v>#N/A</v>
      </c>
      <c r="J12" s="633" t="e">
        <f t="shared" ca="1" si="6"/>
        <v>#N/A</v>
      </c>
      <c r="K12" s="633" t="e">
        <f t="shared" ca="1" si="2"/>
        <v>#N/A</v>
      </c>
      <c r="L12" s="633" t="e">
        <f t="shared" ca="1" si="7"/>
        <v>#N/A</v>
      </c>
      <c r="M12" s="634">
        <f t="shared" si="8"/>
        <v>0.21428571428571427</v>
      </c>
      <c r="N12" s="634">
        <f t="shared" ca="1" si="10"/>
        <v>0.14285714285714285</v>
      </c>
      <c r="O12" s="164"/>
      <c r="P12" s="640"/>
    </row>
    <row r="13" spans="1:16" ht="15.5" x14ac:dyDescent="0.35">
      <c r="A13" s="658" t="s">
        <v>1912</v>
      </c>
      <c r="B13" s="649" t="s">
        <v>2015</v>
      </c>
      <c r="C13" s="659" t="e">
        <f ca="1">SUM(C7:C12)-Resultat_NNV</f>
        <v>#N/A</v>
      </c>
      <c r="D13" s="635" t="e">
        <f t="shared" ca="1" si="3"/>
        <v>#N/A</v>
      </c>
      <c r="E13" s="636" t="e">
        <f t="shared" ca="1" si="4"/>
        <v>#N/A</v>
      </c>
      <c r="F13" s="636" t="e">
        <f t="shared" ca="1" si="9"/>
        <v>#N/A</v>
      </c>
      <c r="G13" s="636" t="e">
        <f t="shared" ca="1" si="5"/>
        <v>#N/A</v>
      </c>
      <c r="H13" s="636" t="e">
        <f t="shared" si="0"/>
        <v>#N/A</v>
      </c>
      <c r="I13" s="636" t="e">
        <f t="shared" si="1"/>
        <v>#N/A</v>
      </c>
      <c r="J13" s="636" t="e">
        <f t="shared" ref="J13" si="11">IF(B13="x",NA(),IF(C13&gt;=0,D13-C13,D13))</f>
        <v>#N/A</v>
      </c>
      <c r="K13" s="636" t="e">
        <f t="shared" si="2"/>
        <v>#N/A</v>
      </c>
      <c r="L13" s="636" t="e">
        <f t="shared" si="7"/>
        <v>#N/A</v>
      </c>
      <c r="M13" s="637">
        <f>-(ROW()-ROW($A$13)-0.5)/ROWS($A$7:$A$13)</f>
        <v>7.1428571428571425E-2</v>
      </c>
      <c r="N13" s="637">
        <f t="shared" ca="1" si="10"/>
        <v>0.14285714285714285</v>
      </c>
      <c r="O13" s="164"/>
      <c r="P13" s="639"/>
    </row>
    <row r="14" spans="1:16" x14ac:dyDescent="0.35">
      <c r="A14" s="650"/>
      <c r="B14" s="650"/>
      <c r="C14" s="650"/>
      <c r="D14" s="650"/>
      <c r="E14" s="650"/>
      <c r="F14" s="650"/>
      <c r="G14" s="650"/>
      <c r="H14" s="650"/>
      <c r="I14" s="650"/>
      <c r="J14" s="650"/>
      <c r="K14" s="650"/>
      <c r="L14" s="650"/>
      <c r="M14" s="650"/>
      <c r="N14" s="650"/>
    </row>
    <row r="15" spans="1:16" x14ac:dyDescent="0.35">
      <c r="A15" s="1595" t="s">
        <v>2016</v>
      </c>
      <c r="B15" s="1595"/>
      <c r="C15" s="1595"/>
      <c r="D15" s="1595"/>
      <c r="E15" s="1595"/>
      <c r="F15" s="1595"/>
      <c r="G15" s="1595"/>
      <c r="H15" s="1595"/>
      <c r="I15" s="1595"/>
      <c r="J15" s="1595"/>
      <c r="K15" s="1595"/>
      <c r="L15" s="1595"/>
      <c r="M15" s="1595"/>
      <c r="N15" s="1595"/>
    </row>
    <row r="16" spans="1:16" x14ac:dyDescent="0.35">
      <c r="A16" s="807" t="s">
        <v>1997</v>
      </c>
      <c r="B16" s="809" t="str">
        <f>"Nåverdi av trafikantnytteelementer, mill. "&amp;KroneårIBeregninger&amp;"-kroner"</f>
        <v>Nåverdi av trafikantnytteelementer, mill. -kroner</v>
      </c>
      <c r="C16" s="807"/>
      <c r="D16" s="807"/>
      <c r="E16" s="807"/>
      <c r="F16" s="807"/>
      <c r="G16" s="807"/>
      <c r="H16" s="807"/>
      <c r="I16" s="807"/>
      <c r="J16" s="807"/>
      <c r="K16" s="807"/>
      <c r="L16" s="807"/>
      <c r="M16" s="807"/>
      <c r="N16" s="807"/>
    </row>
    <row r="17" spans="1:14" x14ac:dyDescent="0.35">
      <c r="A17" s="671" t="s">
        <v>1998</v>
      </c>
      <c r="B17" s="671" t="s">
        <v>1999</v>
      </c>
      <c r="C17" s="671" t="s">
        <v>2000</v>
      </c>
      <c r="D17" s="671" t="s">
        <v>2001</v>
      </c>
      <c r="E17" s="671" t="s">
        <v>1999</v>
      </c>
      <c r="F17" s="671" t="s">
        <v>2002</v>
      </c>
      <c r="G17" s="671" t="s">
        <v>2003</v>
      </c>
      <c r="H17" s="671" t="s">
        <v>2004</v>
      </c>
      <c r="I17" s="671" t="s">
        <v>2005</v>
      </c>
      <c r="J17" s="671" t="s">
        <v>2006</v>
      </c>
      <c r="K17" s="671" t="s">
        <v>2007</v>
      </c>
      <c r="L17" s="671" t="s">
        <v>2008</v>
      </c>
      <c r="M17" s="671" t="s">
        <v>2009</v>
      </c>
      <c r="N17" s="671" t="s">
        <v>2010</v>
      </c>
    </row>
    <row r="18" spans="1:14" x14ac:dyDescent="0.35">
      <c r="A18" s="651" t="s">
        <v>2017</v>
      </c>
      <c r="B18" s="652"/>
      <c r="C18" s="653">
        <f ca="1">RES_Trafikantnytte__referanse</f>
        <v>0</v>
      </c>
      <c r="D18" s="654">
        <f ca="1">C18</f>
        <v>0</v>
      </c>
      <c r="E18" s="642" t="e">
        <f t="shared" ref="E18:E23" si="12">IF(B18="x",D18,NA())</f>
        <v>#N/A</v>
      </c>
      <c r="F18" s="642">
        <f t="shared" ref="F18:F23" ca="1" si="13">D18+H18-H18</f>
        <v>0</v>
      </c>
      <c r="G18" s="642" t="e">
        <f t="shared" ref="G18:G23" ca="1" si="14">D18+I18-I18</f>
        <v>#N/A</v>
      </c>
      <c r="H18" s="642">
        <f t="shared" ref="H18:H23" ca="1" si="15">IF(B18="x",NA(),IF(C18&gt;=0,C18,NA()))</f>
        <v>0</v>
      </c>
      <c r="I18" s="642" t="e">
        <f t="shared" ref="I18:I23" ca="1" si="16">IF(B18="x",NA(),IF(C18&lt;0,-C18,NA()))</f>
        <v>#N/A</v>
      </c>
      <c r="J18" s="642">
        <f ca="1">IF(B18="x",NA(),IF(AND(D18&lt;0,D18-C18&lt;0),MAX(D18,D18-C18)+ABS(C18),MAX(D18,D18-C18)))</f>
        <v>0</v>
      </c>
      <c r="K18" s="642">
        <f t="shared" ref="K18:K23" ca="1" si="17">IF(B18="x",NA(),IF(C18&gt;=0,IF(D18&lt;0,-C18,C18),NA()))</f>
        <v>0</v>
      </c>
      <c r="L18" s="642" t="e">
        <f t="shared" ref="L18:L23" ca="1" si="18">IF(B18="x",NA(),IF(C18&lt;0,IF(MAX(D18,D18-C18)&lt;0,C18,-C18),NA()))</f>
        <v>#N/A</v>
      </c>
      <c r="M18" s="643">
        <f t="shared" ref="M18:M23" si="19">-(ROW()-ROW($A$23)-0.5)/ROWS($A$18:$A$23)</f>
        <v>0.91666666666666663</v>
      </c>
      <c r="N18" s="643">
        <f>1/ROWS(A18:A23)</f>
        <v>0.16666666666666666</v>
      </c>
    </row>
    <row r="19" spans="1:14" x14ac:dyDescent="0.35">
      <c r="A19" s="651" t="s">
        <v>2018</v>
      </c>
      <c r="B19" s="652"/>
      <c r="C19" s="653">
        <f ca="1">RES_Trafikantnytte__overført_og_nyskapt</f>
        <v>0</v>
      </c>
      <c r="D19" s="655">
        <f ca="1">OFFSET(D19,-1,0,1,1)+C19</f>
        <v>0</v>
      </c>
      <c r="E19" s="642" t="e">
        <f t="shared" si="12"/>
        <v>#N/A</v>
      </c>
      <c r="F19" s="642">
        <f t="shared" ca="1" si="13"/>
        <v>0</v>
      </c>
      <c r="G19" s="642" t="e">
        <f t="shared" ca="1" si="14"/>
        <v>#N/A</v>
      </c>
      <c r="H19" s="642">
        <f t="shared" ca="1" si="15"/>
        <v>0</v>
      </c>
      <c r="I19" s="642" t="e">
        <f t="shared" ca="1" si="16"/>
        <v>#N/A</v>
      </c>
      <c r="J19" s="642">
        <f ca="1">IF(B19="x",NA(),IF(AND(D19&lt;0,D19-C19&lt;0),MAX(D19,D19-C19)+ABS(C19),MAX(D19,D19-C19)))</f>
        <v>0</v>
      </c>
      <c r="K19" s="642">
        <f t="shared" ca="1" si="17"/>
        <v>0</v>
      </c>
      <c r="L19" s="642" t="e">
        <f t="shared" ca="1" si="18"/>
        <v>#N/A</v>
      </c>
      <c r="M19" s="643">
        <f t="shared" si="19"/>
        <v>0.75</v>
      </c>
      <c r="N19" s="643">
        <f ca="1">OFFSET(N19,-1,0,1,1)</f>
        <v>0.16666666666666666</v>
      </c>
    </row>
    <row r="20" spans="1:14" x14ac:dyDescent="0.35">
      <c r="A20" s="651" t="s">
        <v>2019</v>
      </c>
      <c r="B20" s="652"/>
      <c r="C20" s="653">
        <f ca="1">RES_Andre_transportmidler__bil__buss__fly</f>
        <v>0</v>
      </c>
      <c r="D20" s="655">
        <f ca="1">OFFSET(D20,-1,0,1,1)+C20</f>
        <v>0</v>
      </c>
      <c r="E20" s="642" t="e">
        <f t="shared" si="12"/>
        <v>#N/A</v>
      </c>
      <c r="F20" s="642">
        <f t="shared" ca="1" si="13"/>
        <v>0</v>
      </c>
      <c r="G20" s="642" t="e">
        <f t="shared" ca="1" si="14"/>
        <v>#N/A</v>
      </c>
      <c r="H20" s="642">
        <f t="shared" ca="1" si="15"/>
        <v>0</v>
      </c>
      <c r="I20" s="642" t="e">
        <f t="shared" ca="1" si="16"/>
        <v>#N/A</v>
      </c>
      <c r="J20" s="642">
        <f ca="1">IF(B20="x",NA(),IF(AND(D20&lt;0,D20-C20&lt;0),MAX(D20,D20-C20)+ABS(C20),MAX(D20,D20-C20)))</f>
        <v>0</v>
      </c>
      <c r="K20" s="642">
        <f t="shared" ca="1" si="17"/>
        <v>0</v>
      </c>
      <c r="L20" s="642" t="e">
        <f t="shared" ca="1" si="18"/>
        <v>#N/A</v>
      </c>
      <c r="M20" s="643">
        <f t="shared" si="19"/>
        <v>0.58333333333333337</v>
      </c>
      <c r="N20" s="643">
        <f ca="1">OFFSET(N20,-1,0,1,1)</f>
        <v>0.16666666666666666</v>
      </c>
    </row>
    <row r="21" spans="1:14" x14ac:dyDescent="0.35">
      <c r="A21" s="651" t="s">
        <v>1506</v>
      </c>
      <c r="B21" s="652"/>
      <c r="C21" s="653">
        <f ca="1">RES_Godskunder</f>
        <v>0</v>
      </c>
      <c r="D21" s="655">
        <f ca="1">OFFSET(D21,-1,0,1,1)+C21</f>
        <v>0</v>
      </c>
      <c r="E21" s="642" t="e">
        <f t="shared" si="12"/>
        <v>#N/A</v>
      </c>
      <c r="F21" s="642">
        <f t="shared" ca="1" si="13"/>
        <v>0</v>
      </c>
      <c r="G21" s="642" t="e">
        <f t="shared" ca="1" si="14"/>
        <v>#N/A</v>
      </c>
      <c r="H21" s="642">
        <f t="shared" ca="1" si="15"/>
        <v>0</v>
      </c>
      <c r="I21" s="642" t="e">
        <f t="shared" ca="1" si="16"/>
        <v>#N/A</v>
      </c>
      <c r="J21" s="642">
        <f ca="1">IF(B21="x",NA(),IF(AND(D21&lt;0,D21-C21&lt;0),MAX(D21,D21-C21)+ABS(C21),MAX(D21,D21-C21)))</f>
        <v>0</v>
      </c>
      <c r="K21" s="642">
        <f t="shared" ca="1" si="17"/>
        <v>0</v>
      </c>
      <c r="L21" s="642" t="e">
        <f t="shared" ca="1" si="18"/>
        <v>#N/A</v>
      </c>
      <c r="M21" s="643">
        <f t="shared" si="19"/>
        <v>0.41666666666666669</v>
      </c>
      <c r="N21" s="643">
        <f ca="1">OFFSET(N21,-1,0,1,1)</f>
        <v>0.16666666666666666</v>
      </c>
    </row>
    <row r="22" spans="1:14" x14ac:dyDescent="0.35">
      <c r="A22" s="651" t="s">
        <v>1657</v>
      </c>
      <c r="B22" s="652"/>
      <c r="C22" s="653">
        <f ca="1">RES_Helsevirkninger_for_gående_og_syklende__overført_fra_bil</f>
        <v>0</v>
      </c>
      <c r="D22" s="655">
        <f ca="1">OFFSET(D22,-1,0,1,1)+C22</f>
        <v>0</v>
      </c>
      <c r="E22" s="642" t="e">
        <f t="shared" si="12"/>
        <v>#N/A</v>
      </c>
      <c r="F22" s="642">
        <f t="shared" ca="1" si="13"/>
        <v>0</v>
      </c>
      <c r="G22" s="642" t="e">
        <f t="shared" ca="1" si="14"/>
        <v>#N/A</v>
      </c>
      <c r="H22" s="642">
        <f t="shared" ca="1" si="15"/>
        <v>0</v>
      </c>
      <c r="I22" s="642" t="e">
        <f t="shared" ca="1" si="16"/>
        <v>#N/A</v>
      </c>
      <c r="J22" s="642">
        <f ca="1">IF(B22="x",NA(),IF(AND(D22&lt;0,D22-C22&lt;0),MAX(D22,D22-C22)+ABS(C22),MAX(D22,D22-C22)))</f>
        <v>0</v>
      </c>
      <c r="K22" s="642">
        <f t="shared" ca="1" si="17"/>
        <v>0</v>
      </c>
      <c r="L22" s="642" t="e">
        <f t="shared" ca="1" si="18"/>
        <v>#N/A</v>
      </c>
      <c r="M22" s="643">
        <f t="shared" si="19"/>
        <v>0.25</v>
      </c>
      <c r="N22" s="643">
        <f ca="1">OFFSET(N22,-1,0,1,1)</f>
        <v>0.16666666666666666</v>
      </c>
    </row>
    <row r="23" spans="1:14" x14ac:dyDescent="0.35">
      <c r="A23" s="668" t="s">
        <v>1311</v>
      </c>
      <c r="B23" s="656" t="s">
        <v>2015</v>
      </c>
      <c r="C23" s="669">
        <f ca="1">SUM(C18:C22)-RES_Endring_for_trafikanter</f>
        <v>0</v>
      </c>
      <c r="D23" s="657">
        <f ca="1">OFFSET(D23,-1,0,1,1)+C23</f>
        <v>0</v>
      </c>
      <c r="E23" s="644">
        <f t="shared" ca="1" si="12"/>
        <v>0</v>
      </c>
      <c r="F23" s="644" t="e">
        <f t="shared" ca="1" si="13"/>
        <v>#N/A</v>
      </c>
      <c r="G23" s="644" t="e">
        <f t="shared" ca="1" si="14"/>
        <v>#N/A</v>
      </c>
      <c r="H23" s="644" t="e">
        <f t="shared" si="15"/>
        <v>#N/A</v>
      </c>
      <c r="I23" s="644" t="e">
        <f t="shared" si="16"/>
        <v>#N/A</v>
      </c>
      <c r="J23" s="644" t="e">
        <f>IF(B23="x",NA(),IF(C23&gt;=0,D23-C23,D23))</f>
        <v>#N/A</v>
      </c>
      <c r="K23" s="644" t="e">
        <f t="shared" si="17"/>
        <v>#N/A</v>
      </c>
      <c r="L23" s="644" t="e">
        <f t="shared" si="18"/>
        <v>#N/A</v>
      </c>
      <c r="M23" s="645">
        <f t="shared" si="19"/>
        <v>8.3333333333333329E-2</v>
      </c>
      <c r="N23" s="645" t="e">
        <f>NA()</f>
        <v>#N/A</v>
      </c>
    </row>
    <row r="24" spans="1:14" x14ac:dyDescent="0.35">
      <c r="A24" s="650"/>
      <c r="B24" s="650"/>
      <c r="C24" s="650"/>
      <c r="D24" s="650"/>
      <c r="E24" s="650"/>
      <c r="F24" s="650"/>
      <c r="G24" s="650"/>
      <c r="H24" s="650"/>
      <c r="I24" s="650"/>
      <c r="J24" s="650"/>
      <c r="K24" s="650"/>
      <c r="L24" s="650"/>
      <c r="M24" s="650"/>
      <c r="N24" s="650"/>
    </row>
    <row r="25" spans="1:14" x14ac:dyDescent="0.35">
      <c r="A25" s="1595" t="s">
        <v>2020</v>
      </c>
      <c r="B25" s="1595"/>
      <c r="C25" s="1595"/>
      <c r="D25" s="1595"/>
      <c r="E25" s="1595"/>
      <c r="F25" s="1595"/>
      <c r="G25" s="1595"/>
      <c r="H25" s="1595"/>
      <c r="I25" s="1595"/>
      <c r="J25" s="1595"/>
      <c r="K25" s="1595"/>
      <c r="L25" s="1595"/>
      <c r="M25" s="1595"/>
      <c r="N25" s="1595"/>
    </row>
    <row r="26" spans="1:14" x14ac:dyDescent="0.35">
      <c r="A26" s="807" t="s">
        <v>1997</v>
      </c>
      <c r="B26" s="809" t="str">
        <f>"Nåverdi av operatørnytteelementer, mill. "&amp;KroneårIBeregninger&amp;"-kroner"</f>
        <v>Nåverdi av operatørnytteelementer, mill. -kroner</v>
      </c>
      <c r="C26" s="807"/>
      <c r="D26" s="807"/>
      <c r="E26" s="807"/>
      <c r="F26" s="807"/>
      <c r="G26" s="807"/>
      <c r="H26" s="807"/>
      <c r="I26" s="807"/>
      <c r="J26" s="807"/>
      <c r="K26" s="807"/>
      <c r="L26" s="807"/>
      <c r="M26" s="807"/>
      <c r="N26" s="807"/>
    </row>
    <row r="27" spans="1:14" x14ac:dyDescent="0.35">
      <c r="A27" s="671" t="s">
        <v>1998</v>
      </c>
      <c r="B27" s="671" t="s">
        <v>1999</v>
      </c>
      <c r="C27" s="671" t="s">
        <v>2000</v>
      </c>
      <c r="D27" s="671" t="s">
        <v>2001</v>
      </c>
      <c r="E27" s="671" t="s">
        <v>1999</v>
      </c>
      <c r="F27" s="671" t="s">
        <v>2002</v>
      </c>
      <c r="G27" s="671" t="s">
        <v>2003</v>
      </c>
      <c r="H27" s="671" t="s">
        <v>2004</v>
      </c>
      <c r="I27" s="671" t="s">
        <v>2005</v>
      </c>
      <c r="J27" s="671" t="s">
        <v>2006</v>
      </c>
      <c r="K27" s="671" t="s">
        <v>2007</v>
      </c>
      <c r="L27" s="671" t="s">
        <v>2008</v>
      </c>
      <c r="M27" s="671" t="s">
        <v>2009</v>
      </c>
      <c r="N27" s="671" t="s">
        <v>2010</v>
      </c>
    </row>
    <row r="28" spans="1:14" x14ac:dyDescent="0.35">
      <c r="A28" s="651" t="s">
        <v>1659</v>
      </c>
      <c r="B28" s="652"/>
      <c r="C28" s="653">
        <f ca="1">RES_Markedsinntekter__persontog</f>
        <v>0</v>
      </c>
      <c r="D28" s="654">
        <f ca="1">C28</f>
        <v>0</v>
      </c>
      <c r="E28" s="642" t="e">
        <f t="shared" ref="E28:E33" si="20">IF(B28="x",D28,NA())</f>
        <v>#N/A</v>
      </c>
      <c r="F28" s="642">
        <f t="shared" ref="F28:F33" ca="1" si="21">D28+H28-H28</f>
        <v>0</v>
      </c>
      <c r="G28" s="642" t="e">
        <f t="shared" ref="G28:G33" ca="1" si="22">D28+I28-I28</f>
        <v>#N/A</v>
      </c>
      <c r="H28" s="642">
        <f t="shared" ref="H28:H33" ca="1" si="23">IF(B28="x",NA(),IF(C28&gt;=0,C28,NA()))</f>
        <v>0</v>
      </c>
      <c r="I28" s="642" t="e">
        <f t="shared" ref="I28:I33" ca="1" si="24">IF(B28="x",NA(),IF(C28&lt;0,-C28,NA()))</f>
        <v>#N/A</v>
      </c>
      <c r="J28" s="642">
        <f ca="1">IF(B28="x",NA(),IF(AND(D28&lt;0,D28-C28&lt;0),MAX(D28,D28-C28)+ABS(C28),MAX(D28,D28-C28)))</f>
        <v>0</v>
      </c>
      <c r="K28" s="642">
        <f t="shared" ref="K28:K33" ca="1" si="25">IF(B28="x",NA(),IF(C28&gt;=0,IF(D28&lt;0,-C28,C28),NA()))</f>
        <v>0</v>
      </c>
      <c r="L28" s="642" t="e">
        <f t="shared" ref="L28:L33" ca="1" si="26">IF(B28="x",NA(),IF(C28&lt;0,IF(MAX(D28,D28-C28)&lt;0,C28,-C28),NA()))</f>
        <v>#N/A</v>
      </c>
      <c r="M28" s="643">
        <f t="shared" ref="M28:M33" si="27">-(ROW()-ROW($A$33)-0.5)/ROWS($A$28:$A$33)</f>
        <v>0.91666666666666663</v>
      </c>
      <c r="N28" s="643">
        <f>1/ROWS(A28:A33)</f>
        <v>0.16666666666666666</v>
      </c>
    </row>
    <row r="29" spans="1:14" x14ac:dyDescent="0.35">
      <c r="A29" s="651" t="s">
        <v>2021</v>
      </c>
      <c r="B29" s="652"/>
      <c r="C29" s="653">
        <f ca="1">RES_Offentlig_kjøp_av_persontransport__persontog</f>
        <v>0</v>
      </c>
      <c r="D29" s="655">
        <f ca="1">OFFSET(D29,-1,0,1,1)+C29</f>
        <v>0</v>
      </c>
      <c r="E29" s="642" t="e">
        <f t="shared" si="20"/>
        <v>#N/A</v>
      </c>
      <c r="F29" s="642">
        <f t="shared" ca="1" si="21"/>
        <v>0</v>
      </c>
      <c r="G29" s="642" t="e">
        <f t="shared" ca="1" si="22"/>
        <v>#N/A</v>
      </c>
      <c r="H29" s="642">
        <f t="shared" ca="1" si="23"/>
        <v>0</v>
      </c>
      <c r="I29" s="642" t="e">
        <f t="shared" ca="1" si="24"/>
        <v>#N/A</v>
      </c>
      <c r="J29" s="642">
        <f ca="1">IF(B29="x",NA(),IF(AND(D29&lt;0,D29-C29&lt;0),MAX(D29,D29-C29)+ABS(C29),MAX(D29,D29-C29)))</f>
        <v>0</v>
      </c>
      <c r="K29" s="642">
        <f t="shared" ca="1" si="25"/>
        <v>0</v>
      </c>
      <c r="L29" s="642" t="e">
        <f t="shared" ca="1" si="26"/>
        <v>#N/A</v>
      </c>
      <c r="M29" s="643">
        <f t="shared" si="27"/>
        <v>0.75</v>
      </c>
      <c r="N29" s="643">
        <f ca="1">OFFSET(N29,-1,0,1,1)</f>
        <v>0.16666666666666666</v>
      </c>
    </row>
    <row r="30" spans="1:14" x14ac:dyDescent="0.35">
      <c r="A30" s="651" t="s">
        <v>1663</v>
      </c>
      <c r="B30" s="652"/>
      <c r="C30" s="653">
        <f ca="1">RES_Endring_i_drift_og_avgifter__persontog</f>
        <v>0</v>
      </c>
      <c r="D30" s="654">
        <f ca="1">OFFSET(D30,-1,0,1,1)+C30</f>
        <v>0</v>
      </c>
      <c r="E30" s="642" t="e">
        <f t="shared" si="20"/>
        <v>#N/A</v>
      </c>
      <c r="F30" s="968">
        <f t="shared" ca="1" si="21"/>
        <v>0</v>
      </c>
      <c r="G30" s="968" t="e">
        <f t="shared" ca="1" si="22"/>
        <v>#N/A</v>
      </c>
      <c r="H30" s="642">
        <f t="shared" ca="1" si="23"/>
        <v>0</v>
      </c>
      <c r="I30" s="642" t="e">
        <f t="shared" ca="1" si="24"/>
        <v>#N/A</v>
      </c>
      <c r="J30" s="642">
        <f ca="1">IF(B30="x",NA(),IF(AND(D30&lt;0,D30-C30&lt;0),MAX(D30,D30-C30)+ABS(C30),MAX(D30,D30-C30)))</f>
        <v>0</v>
      </c>
      <c r="K30" s="642">
        <f t="shared" ca="1" si="25"/>
        <v>0</v>
      </c>
      <c r="L30" s="642" t="e">
        <f t="shared" ca="1" si="26"/>
        <v>#N/A</v>
      </c>
      <c r="M30" s="643">
        <f t="shared" si="27"/>
        <v>0.58333333333333337</v>
      </c>
      <c r="N30" s="643">
        <f ca="1">OFFSET(N30,-1,0,1,1)</f>
        <v>0.16666666666666666</v>
      </c>
    </row>
    <row r="31" spans="1:14" x14ac:dyDescent="0.35">
      <c r="A31" s="651" t="s">
        <v>1664</v>
      </c>
      <c r="B31" s="652"/>
      <c r="C31" s="653">
        <f ca="1">RES_Endring_i_materiell__persontog</f>
        <v>0</v>
      </c>
      <c r="D31" s="655">
        <f ca="1">OFFSET(D31,-1,0,1,1)+C31</f>
        <v>0</v>
      </c>
      <c r="E31" s="642" t="e">
        <f t="shared" si="20"/>
        <v>#N/A</v>
      </c>
      <c r="F31" s="642">
        <f t="shared" ca="1" si="21"/>
        <v>0</v>
      </c>
      <c r="G31" s="642" t="e">
        <f t="shared" ca="1" si="22"/>
        <v>#N/A</v>
      </c>
      <c r="H31" s="642">
        <f t="shared" ca="1" si="23"/>
        <v>0</v>
      </c>
      <c r="I31" s="642" t="e">
        <f t="shared" ca="1" si="24"/>
        <v>#N/A</v>
      </c>
      <c r="J31" s="642">
        <f ca="1">IF(B31="x",NA(),IF(AND(D31&lt;0,D31-C31&lt;0),MAX(D31,D31-C31)+ABS(C31),MAX(D31,D31-C31)))</f>
        <v>0</v>
      </c>
      <c r="K31" s="642">
        <f t="shared" ca="1" si="25"/>
        <v>0</v>
      </c>
      <c r="L31" s="642" t="e">
        <f t="shared" ca="1" si="26"/>
        <v>#N/A</v>
      </c>
      <c r="M31" s="643">
        <f t="shared" si="27"/>
        <v>0.41666666666666669</v>
      </c>
      <c r="N31" s="643">
        <f ca="1">OFFSET(N31,-1,0,1,1)</f>
        <v>0.16666666666666666</v>
      </c>
    </row>
    <row r="32" spans="1:14" x14ac:dyDescent="0.35">
      <c r="A32" s="651" t="s">
        <v>1667</v>
      </c>
      <c r="B32" s="652"/>
      <c r="C32" s="653">
        <f ca="1">RES_Endring_i_avgifter_og_offentlig_kjøp__buss_og_fly</f>
        <v>0</v>
      </c>
      <c r="D32" s="655">
        <f ca="1">OFFSET(D32,-1,0,1,1)+C32</f>
        <v>0</v>
      </c>
      <c r="E32" s="642" t="e">
        <f t="shared" si="20"/>
        <v>#N/A</v>
      </c>
      <c r="F32" s="642">
        <f t="shared" ca="1" si="21"/>
        <v>0</v>
      </c>
      <c r="G32" s="642" t="e">
        <f t="shared" ca="1" si="22"/>
        <v>#N/A</v>
      </c>
      <c r="H32" s="642">
        <f t="shared" ca="1" si="23"/>
        <v>0</v>
      </c>
      <c r="I32" s="642" t="e">
        <f t="shared" ca="1" si="24"/>
        <v>#N/A</v>
      </c>
      <c r="J32" s="642">
        <f ca="1">IF(B32="x",NA(),IF(AND(D32&lt;0,D32-C32&lt;0),MAX(D32,D32-C32)+ABS(C32),MAX(D32,D32-C32)))</f>
        <v>0</v>
      </c>
      <c r="K32" s="642">
        <f t="shared" ca="1" si="25"/>
        <v>0</v>
      </c>
      <c r="L32" s="642" t="e">
        <f t="shared" ca="1" si="26"/>
        <v>#N/A</v>
      </c>
      <c r="M32" s="643">
        <f t="shared" si="27"/>
        <v>0.25</v>
      </c>
      <c r="N32" s="643">
        <f ca="1">OFFSET(N32,-1,0,1,1)</f>
        <v>0.16666666666666666</v>
      </c>
    </row>
    <row r="33" spans="1:16" x14ac:dyDescent="0.35">
      <c r="A33" s="668" t="s">
        <v>1791</v>
      </c>
      <c r="B33" s="656" t="s">
        <v>2015</v>
      </c>
      <c r="C33" s="668">
        <v>0</v>
      </c>
      <c r="D33" s="657">
        <f ca="1">OFFSET(D33,-1,0,1,1)+C33</f>
        <v>0</v>
      </c>
      <c r="E33" s="644">
        <f t="shared" ca="1" si="20"/>
        <v>0</v>
      </c>
      <c r="F33" s="644" t="e">
        <f t="shared" ca="1" si="21"/>
        <v>#N/A</v>
      </c>
      <c r="G33" s="644" t="e">
        <f t="shared" ca="1" si="22"/>
        <v>#N/A</v>
      </c>
      <c r="H33" s="644" t="e">
        <f t="shared" si="23"/>
        <v>#N/A</v>
      </c>
      <c r="I33" s="644" t="e">
        <f t="shared" si="24"/>
        <v>#N/A</v>
      </c>
      <c r="J33" s="644" t="e">
        <f>IF(B33="x",NA(),IF(C33&gt;=0,D33-C33,D33))</f>
        <v>#N/A</v>
      </c>
      <c r="K33" s="644" t="e">
        <f t="shared" si="25"/>
        <v>#N/A</v>
      </c>
      <c r="L33" s="644" t="e">
        <f t="shared" si="26"/>
        <v>#N/A</v>
      </c>
      <c r="M33" s="645">
        <f t="shared" si="27"/>
        <v>8.3333333333333329E-2</v>
      </c>
      <c r="N33" s="645" t="e">
        <f>NA()</f>
        <v>#N/A</v>
      </c>
    </row>
    <row r="34" spans="1:16" x14ac:dyDescent="0.35">
      <c r="A34" s="650"/>
      <c r="B34" s="650"/>
      <c r="C34" s="650"/>
      <c r="D34" s="650"/>
      <c r="E34" s="650"/>
      <c r="F34" s="650"/>
      <c r="G34" s="650"/>
      <c r="H34" s="650"/>
      <c r="I34" s="650"/>
      <c r="J34" s="650"/>
      <c r="K34" s="650"/>
      <c r="L34" s="650"/>
      <c r="M34" s="650"/>
      <c r="N34" s="650"/>
    </row>
    <row r="35" spans="1:16" x14ac:dyDescent="0.35">
      <c r="A35" s="1595" t="s">
        <v>2022</v>
      </c>
      <c r="B35" s="1595"/>
      <c r="C35" s="1595"/>
      <c r="D35" s="1595"/>
      <c r="E35" s="1595"/>
      <c r="F35" s="1595"/>
      <c r="G35" s="1595"/>
      <c r="H35" s="1595"/>
      <c r="I35" s="1595"/>
      <c r="J35" s="1595"/>
      <c r="K35" s="1595"/>
      <c r="L35" s="1595"/>
      <c r="M35" s="1595"/>
      <c r="N35" s="1595"/>
    </row>
    <row r="36" spans="1:16" x14ac:dyDescent="0.35">
      <c r="A36" s="807" t="s">
        <v>1997</v>
      </c>
      <c r="B36" s="809" t="str">
        <f>"Nåverdi av nyttelementer for det offentlige, mill. "&amp;KroneårIBeregninger&amp;"-kroner"</f>
        <v>Nåverdi av nyttelementer for det offentlige, mill. -kroner</v>
      </c>
      <c r="C36" s="807"/>
      <c r="D36" s="807"/>
      <c r="E36" s="807"/>
      <c r="F36" s="807"/>
      <c r="G36" s="807"/>
      <c r="H36" s="807"/>
      <c r="I36" s="807"/>
      <c r="J36" s="807"/>
      <c r="K36" s="807"/>
      <c r="L36" s="807"/>
      <c r="M36" s="807"/>
      <c r="N36" s="807"/>
    </row>
    <row r="37" spans="1:16" x14ac:dyDescent="0.35">
      <c r="A37" s="670" t="s">
        <v>1998</v>
      </c>
      <c r="B37" s="670" t="s">
        <v>1999</v>
      </c>
      <c r="C37" s="670" t="s">
        <v>2000</v>
      </c>
      <c r="D37" s="670" t="s">
        <v>2001</v>
      </c>
      <c r="E37" s="670" t="s">
        <v>1999</v>
      </c>
      <c r="F37" s="670" t="s">
        <v>2002</v>
      </c>
      <c r="G37" s="670" t="s">
        <v>2003</v>
      </c>
      <c r="H37" s="670" t="s">
        <v>2004</v>
      </c>
      <c r="I37" s="670" t="s">
        <v>2005</v>
      </c>
      <c r="J37" s="670" t="s">
        <v>2006</v>
      </c>
      <c r="K37" s="670" t="s">
        <v>2007</v>
      </c>
      <c r="L37" s="670" t="s">
        <v>2008</v>
      </c>
      <c r="M37" s="670" t="s">
        <v>2009</v>
      </c>
      <c r="N37" s="670" t="s">
        <v>2010</v>
      </c>
    </row>
    <row r="38" spans="1:16" x14ac:dyDescent="0.35">
      <c r="A38" s="646" t="s">
        <v>1673</v>
      </c>
      <c r="B38" s="647"/>
      <c r="C38" s="648">
        <f ca="1">RES_Endring_i_avgifter__herunder_bom__og_fergeavgifter</f>
        <v>0</v>
      </c>
      <c r="D38" s="638">
        <f ca="1">C38</f>
        <v>0</v>
      </c>
      <c r="E38" s="633" t="e">
        <f t="shared" ref="E38:E43" si="28">IF(B38="x",D38,NA())</f>
        <v>#N/A</v>
      </c>
      <c r="F38" s="633">
        <f t="shared" ref="F38:F43" ca="1" si="29">D38+H38-H38</f>
        <v>0</v>
      </c>
      <c r="G38" s="633" t="e">
        <f t="shared" ref="G38:G43" ca="1" si="30">D38+I38-I38</f>
        <v>#N/A</v>
      </c>
      <c r="H38" s="633">
        <f t="shared" ref="H38:H43" ca="1" si="31">IF(B38="x",NA(),IF(C38&gt;=0,C38,NA()))</f>
        <v>0</v>
      </c>
      <c r="I38" s="633" t="e">
        <f t="shared" ref="I38:I43" ca="1" si="32">IF(B38="x",NA(),IF(C38&lt;0,-C38,NA()))</f>
        <v>#N/A</v>
      </c>
      <c r="J38" s="633">
        <f ca="1">IF(B38="x",NA(),IF(AND(D38&lt;0,D38-C38&lt;0),MAX(D38,D38-C38)+ABS(C38),MAX(D38,D38-C38)))</f>
        <v>0</v>
      </c>
      <c r="K38" s="633">
        <f t="shared" ref="K38:K43" ca="1" si="33">IF(B38="x",NA(),IF(C38&gt;=0,IF(D38&lt;0,-C38,C38),NA()))</f>
        <v>0</v>
      </c>
      <c r="L38" s="633" t="e">
        <f ca="1">IF(B38="x",NA(),IF(C38&lt;0,IF(MAX(D38,D38-C38)&lt;0,C38,-C38),NA()))</f>
        <v>#N/A</v>
      </c>
      <c r="M38" s="634">
        <f t="shared" ref="M38:M43" si="34">-(ROW()-ROW($A$43)-0.5)/ROWS($A$38:$A$43)</f>
        <v>0.91666666666666663</v>
      </c>
      <c r="N38" s="634">
        <f>1/ROWS(A38:A43)</f>
        <v>0.16666666666666666</v>
      </c>
    </row>
    <row r="39" spans="1:16" x14ac:dyDescent="0.35">
      <c r="A39" s="646" t="s">
        <v>1675</v>
      </c>
      <c r="B39" s="647"/>
      <c r="C39" s="648">
        <f ca="1">RES_Endring_i_vedlikehold_av_infrastruktur</f>
        <v>0</v>
      </c>
      <c r="D39" s="632">
        <f ca="1">OFFSET(D39,-1,0,1,1)+C39</f>
        <v>0</v>
      </c>
      <c r="E39" s="633" t="e">
        <f t="shared" si="28"/>
        <v>#N/A</v>
      </c>
      <c r="F39" s="633">
        <f t="shared" ca="1" si="29"/>
        <v>0</v>
      </c>
      <c r="G39" s="633" t="e">
        <f t="shared" ca="1" si="30"/>
        <v>#N/A</v>
      </c>
      <c r="H39" s="633">
        <f t="shared" ca="1" si="31"/>
        <v>0</v>
      </c>
      <c r="I39" s="633" t="e">
        <f t="shared" ca="1" si="32"/>
        <v>#N/A</v>
      </c>
      <c r="J39" s="633">
        <f ca="1">IF(B39="x",NA(),IF(AND(D39&lt;0,D39-C39&lt;0),MAX(D39,D39-C39)+ABS(C39),MAX(D39,D39-C39)))</f>
        <v>0</v>
      </c>
      <c r="K39" s="633">
        <f t="shared" ca="1" si="33"/>
        <v>0</v>
      </c>
      <c r="L39" s="633" t="e">
        <f t="shared" ref="L39:L41" ca="1" si="35">IF(B39="x",NA(),IF(C39&lt;0,IF(MAX(D39,D39-C39)&lt;0,C39,-C39),NA()))</f>
        <v>#N/A</v>
      </c>
      <c r="M39" s="634">
        <f t="shared" si="34"/>
        <v>0.75</v>
      </c>
      <c r="N39" s="634">
        <f ca="1">OFFSET(N39,-1,0,1,1)</f>
        <v>0.16666666666666666</v>
      </c>
    </row>
    <row r="40" spans="1:16" x14ac:dyDescent="0.35">
      <c r="A40" s="646" t="s">
        <v>1677</v>
      </c>
      <c r="B40" s="647"/>
      <c r="C40" s="648">
        <f ca="1">RES_Offentlig_kjøp_av_persontransport_på_tog_og_buss</f>
        <v>0</v>
      </c>
      <c r="D40" s="632">
        <f ca="1">OFFSET(D40,-1,0,1,1)+C40</f>
        <v>0</v>
      </c>
      <c r="E40" s="633" t="e">
        <f t="shared" si="28"/>
        <v>#N/A</v>
      </c>
      <c r="F40" s="633">
        <f t="shared" ca="1" si="29"/>
        <v>0</v>
      </c>
      <c r="G40" s="633" t="e">
        <f t="shared" ca="1" si="30"/>
        <v>#N/A</v>
      </c>
      <c r="H40" s="633">
        <f t="shared" ca="1" si="31"/>
        <v>0</v>
      </c>
      <c r="I40" s="633" t="e">
        <f t="shared" ca="1" si="32"/>
        <v>#N/A</v>
      </c>
      <c r="J40" s="633">
        <f ca="1">IF(B40="x",NA(),IF(AND(D40&lt;0,D40-C40&lt;0),MAX(D40,D40-C40)+ABS(C40),MAX(D40,D40-C40)))</f>
        <v>0</v>
      </c>
      <c r="K40" s="633">
        <f t="shared" ca="1" si="33"/>
        <v>0</v>
      </c>
      <c r="L40" s="633" t="e">
        <f t="shared" ca="1" si="35"/>
        <v>#N/A</v>
      </c>
      <c r="M40" s="634">
        <f t="shared" si="34"/>
        <v>0.58333333333333337</v>
      </c>
      <c r="N40" s="634">
        <f ca="1">OFFSET(N40,-1,0,1,1)</f>
        <v>0.16666666666666666</v>
      </c>
    </row>
    <row r="41" spans="1:16" x14ac:dyDescent="0.35">
      <c r="A41" s="646" t="s">
        <v>1600</v>
      </c>
      <c r="B41" s="647"/>
      <c r="C41" s="648">
        <f ca="1">RES_Investering</f>
        <v>0</v>
      </c>
      <c r="D41" s="632">
        <f ca="1">OFFSET(D41,-1,0,1,1)+C41</f>
        <v>0</v>
      </c>
      <c r="E41" s="633" t="e">
        <f t="shared" si="28"/>
        <v>#N/A</v>
      </c>
      <c r="F41" s="633">
        <f t="shared" ca="1" si="29"/>
        <v>0</v>
      </c>
      <c r="G41" s="633" t="e">
        <f t="shared" ca="1" si="30"/>
        <v>#N/A</v>
      </c>
      <c r="H41" s="633">
        <f t="shared" ca="1" si="31"/>
        <v>0</v>
      </c>
      <c r="I41" s="633" t="e">
        <f t="shared" ca="1" si="32"/>
        <v>#N/A</v>
      </c>
      <c r="J41" s="633">
        <f ca="1">IF(B41="x",NA(),IF(AND(D41&lt;0,D41-C41&lt;0),MAX(D41,D41-C41)+ABS(C41),MAX(D41,D41-C41)))</f>
        <v>0</v>
      </c>
      <c r="K41" s="633">
        <f t="shared" ca="1" si="33"/>
        <v>0</v>
      </c>
      <c r="L41" s="633" t="e">
        <f t="shared" ca="1" si="35"/>
        <v>#N/A</v>
      </c>
      <c r="M41" s="634">
        <f t="shared" si="34"/>
        <v>0.41666666666666669</v>
      </c>
      <c r="N41" s="634">
        <f ca="1">OFFSET(N41,-1,0,1,1)</f>
        <v>0.16666666666666666</v>
      </c>
    </row>
    <row r="42" spans="1:16" x14ac:dyDescent="0.35">
      <c r="A42" s="646" t="s">
        <v>2023</v>
      </c>
      <c r="B42" s="647"/>
      <c r="C42" s="648">
        <f ca="1">RES_Reinvestering</f>
        <v>0</v>
      </c>
      <c r="D42" s="632">
        <f ca="1">OFFSET(D42,-1,0,1,1)+C42</f>
        <v>0</v>
      </c>
      <c r="E42" s="633" t="e">
        <f t="shared" si="28"/>
        <v>#N/A</v>
      </c>
      <c r="F42" s="633">
        <f t="shared" ca="1" si="29"/>
        <v>0</v>
      </c>
      <c r="G42" s="633" t="e">
        <f t="shared" ca="1" si="30"/>
        <v>#N/A</v>
      </c>
      <c r="H42" s="633">
        <f t="shared" ca="1" si="31"/>
        <v>0</v>
      </c>
      <c r="I42" s="633" t="e">
        <f t="shared" ca="1" si="32"/>
        <v>#N/A</v>
      </c>
      <c r="J42" s="633">
        <f ca="1">IF(B42="x",NA(),IF(AND(D42&lt;0,D42-C42&lt;0),MAX(D42,D42-C42)+ABS(C42),MAX(D42,D42-C42)))</f>
        <v>0</v>
      </c>
      <c r="K42" s="633">
        <f t="shared" ca="1" si="33"/>
        <v>0</v>
      </c>
      <c r="L42" s="633" t="e">
        <f t="shared" ref="L42" ca="1" si="36">IF(B42="x",NA(),IF(C42&lt;0,IF(MAX(D42,D42-C42)&lt;0,C42,-C42),NA()))</f>
        <v>#N/A</v>
      </c>
      <c r="M42" s="634">
        <f t="shared" si="34"/>
        <v>0.25</v>
      </c>
      <c r="N42" s="634">
        <f ca="1">OFFSET(N42,-1,0,1,1)</f>
        <v>0.16666666666666666</v>
      </c>
    </row>
    <row r="43" spans="1:16" x14ac:dyDescent="0.35">
      <c r="A43" s="658" t="s">
        <v>1553</v>
      </c>
      <c r="B43" s="649" t="s">
        <v>2015</v>
      </c>
      <c r="C43" s="658">
        <v>0</v>
      </c>
      <c r="D43" s="635">
        <f ca="1">OFFSET(D43,-1,0,1,1)+C43</f>
        <v>0</v>
      </c>
      <c r="E43" s="636">
        <f t="shared" ca="1" si="28"/>
        <v>0</v>
      </c>
      <c r="F43" s="636" t="e">
        <f t="shared" ca="1" si="29"/>
        <v>#N/A</v>
      </c>
      <c r="G43" s="636" t="e">
        <f t="shared" ca="1" si="30"/>
        <v>#N/A</v>
      </c>
      <c r="H43" s="636" t="e">
        <f t="shared" si="31"/>
        <v>#N/A</v>
      </c>
      <c r="I43" s="636" t="e">
        <f t="shared" si="32"/>
        <v>#N/A</v>
      </c>
      <c r="J43" s="636" t="e">
        <f>IF(B43="x",NA(),IF(C43&gt;=0,D43-C43,D43))</f>
        <v>#N/A</v>
      </c>
      <c r="K43" s="636" t="e">
        <f t="shared" si="33"/>
        <v>#N/A</v>
      </c>
      <c r="L43" s="637" t="e">
        <f>IF(B43="x",NA(),IF(C43&lt;0,IF(MAX(D43,D43-C43)&lt;0,C43,-C43),NA()))</f>
        <v>#N/A</v>
      </c>
      <c r="M43" s="637">
        <f t="shared" si="34"/>
        <v>8.3333333333333329E-2</v>
      </c>
      <c r="N43" s="637" t="e">
        <f>NA()</f>
        <v>#N/A</v>
      </c>
    </row>
    <row r="44" spans="1:16" s="1" customFormat="1" ht="15.5" x14ac:dyDescent="0.35">
      <c r="A44" s="660"/>
      <c r="B44" s="661"/>
      <c r="C44" s="662"/>
      <c r="D44" s="663"/>
      <c r="E44" s="664"/>
      <c r="F44" s="664"/>
      <c r="G44" s="664"/>
      <c r="H44" s="664"/>
      <c r="I44" s="664"/>
      <c r="J44" s="664"/>
      <c r="K44" s="664"/>
      <c r="L44" s="664"/>
      <c r="M44" s="665"/>
      <c r="N44" s="665"/>
      <c r="O44" s="666"/>
      <c r="P44" s="667"/>
    </row>
    <row r="45" spans="1:16" x14ac:dyDescent="0.35">
      <c r="A45" s="1595" t="s">
        <v>2024</v>
      </c>
      <c r="B45" s="1595"/>
      <c r="C45" s="1595"/>
      <c r="D45" s="1595"/>
      <c r="E45" s="1595"/>
      <c r="F45" s="1595"/>
      <c r="G45" s="1595"/>
      <c r="H45" s="1595"/>
      <c r="I45" s="1595"/>
      <c r="J45" s="1595"/>
      <c r="K45" s="1595"/>
      <c r="L45" s="1595"/>
      <c r="M45" s="1595"/>
      <c r="N45" s="1595"/>
    </row>
    <row r="46" spans="1:16" x14ac:dyDescent="0.35">
      <c r="A46" s="807" t="s">
        <v>1997</v>
      </c>
      <c r="B46" s="809" t="str">
        <f>"Nåverdi av nytteelementer for samfunnet for øvrig, mill. "&amp;KroneårIBeregninger&amp;"-kroner"</f>
        <v>Nåverdi av nytteelementer for samfunnet for øvrig, mill. -kroner</v>
      </c>
      <c r="C46" s="807"/>
      <c r="D46" s="807"/>
      <c r="E46" s="807"/>
      <c r="F46" s="807"/>
      <c r="G46" s="807"/>
      <c r="H46" s="807"/>
      <c r="I46" s="807"/>
      <c r="J46" s="807"/>
      <c r="K46" s="807"/>
      <c r="L46" s="807"/>
      <c r="M46" s="807"/>
      <c r="N46" s="807"/>
    </row>
    <row r="47" spans="1:16" x14ac:dyDescent="0.35">
      <c r="A47" s="670" t="s">
        <v>1998</v>
      </c>
      <c r="B47" s="670" t="s">
        <v>1999</v>
      </c>
      <c r="C47" s="670" t="s">
        <v>2000</v>
      </c>
      <c r="D47" s="670" t="s">
        <v>2001</v>
      </c>
      <c r="E47" s="670" t="s">
        <v>1999</v>
      </c>
      <c r="F47" s="670" t="s">
        <v>2002</v>
      </c>
      <c r="G47" s="670" t="s">
        <v>2003</v>
      </c>
      <c r="H47" s="670" t="s">
        <v>2004</v>
      </c>
      <c r="I47" s="670" t="s">
        <v>2005</v>
      </c>
      <c r="J47" s="670" t="s">
        <v>2006</v>
      </c>
      <c r="K47" s="670" t="s">
        <v>2007</v>
      </c>
      <c r="L47" s="670" t="s">
        <v>2008</v>
      </c>
      <c r="M47" s="670" t="s">
        <v>2009</v>
      </c>
      <c r="N47" s="670" t="s">
        <v>2010</v>
      </c>
    </row>
    <row r="48" spans="1:16" x14ac:dyDescent="0.35">
      <c r="A48" s="646" t="s">
        <v>1681</v>
      </c>
      <c r="B48" s="647"/>
      <c r="C48" s="648">
        <f ca="1">RES_Endring_i_ulykker</f>
        <v>0</v>
      </c>
      <c r="D48" s="638">
        <f ca="1">C48</f>
        <v>0</v>
      </c>
      <c r="E48" s="633" t="e">
        <f t="shared" ref="E48:E54" si="37">IF(B48="x",D48,NA())</f>
        <v>#N/A</v>
      </c>
      <c r="F48" s="633">
        <f t="shared" ref="F48:F54" ca="1" si="38">D48+H48-H48</f>
        <v>0</v>
      </c>
      <c r="G48" s="633" t="e">
        <f t="shared" ref="G48:G54" ca="1" si="39">D48+I48-I48</f>
        <v>#N/A</v>
      </c>
      <c r="H48" s="633">
        <f t="shared" ref="H48:H54" ca="1" si="40">IF(B48="x",NA(),IF(C48&gt;=0,C48,NA()))</f>
        <v>0</v>
      </c>
      <c r="I48" s="633" t="e">
        <f t="shared" ref="I48:I54" ca="1" si="41">IF(B48="x",NA(),IF(C48&lt;0,-C48,NA()))</f>
        <v>#N/A</v>
      </c>
      <c r="J48" s="633">
        <f t="shared" ref="J48:J53" ca="1" si="42">IF(B48="x",NA(),IF(AND(D48&lt;0,D48-C48&lt;0),MAX(D48,D48-C48)+ABS(C48),MAX(D48,D48-C48)))</f>
        <v>0</v>
      </c>
      <c r="K48" s="633">
        <f t="shared" ref="K48:K54" ca="1" si="43">IF(B48="x",NA(),IF(C48&gt;=0,IF(D48&lt;0,-C48,C48),NA()))</f>
        <v>0</v>
      </c>
      <c r="L48" s="633" t="e">
        <f t="shared" ref="L48:L54" ca="1" si="44">IF(B48="x",NA(),IF(C48&lt;0,IF(MAX(D48,D48-C48)&lt;0,C48,-C48),NA()))</f>
        <v>#N/A</v>
      </c>
      <c r="M48" s="634">
        <f t="shared" ref="M48:M54" si="45">-(ROW()-ROW($A$54)-0.5)/ROWS($A$48:$A$54)</f>
        <v>0.9285714285714286</v>
      </c>
      <c r="N48" s="634">
        <f>1/ROWS(A48:A54)</f>
        <v>0.14285714285714285</v>
      </c>
    </row>
    <row r="49" spans="1:14" x14ac:dyDescent="0.35">
      <c r="A49" s="646" t="s">
        <v>1684</v>
      </c>
      <c r="B49" s="647"/>
      <c r="C49" s="648">
        <f ca="1">RES_Endring_i_støy</f>
        <v>0</v>
      </c>
      <c r="D49" s="632">
        <f t="shared" ref="D49:D54" ca="1" si="46">OFFSET(D49,-1,0,1,1)+C49</f>
        <v>0</v>
      </c>
      <c r="E49" s="633" t="e">
        <f t="shared" si="37"/>
        <v>#N/A</v>
      </c>
      <c r="F49" s="633">
        <f t="shared" ca="1" si="38"/>
        <v>0</v>
      </c>
      <c r="G49" s="633" t="e">
        <f t="shared" ca="1" si="39"/>
        <v>#N/A</v>
      </c>
      <c r="H49" s="633">
        <f t="shared" ca="1" si="40"/>
        <v>0</v>
      </c>
      <c r="I49" s="633" t="e">
        <f t="shared" ca="1" si="41"/>
        <v>#N/A</v>
      </c>
      <c r="J49" s="633">
        <f t="shared" ca="1" si="42"/>
        <v>0</v>
      </c>
      <c r="K49" s="633">
        <f t="shared" ca="1" si="43"/>
        <v>0</v>
      </c>
      <c r="L49" s="633" t="e">
        <f t="shared" ca="1" si="44"/>
        <v>#N/A</v>
      </c>
      <c r="M49" s="634">
        <f t="shared" si="45"/>
        <v>0.7857142857142857</v>
      </c>
      <c r="N49" s="634">
        <f ca="1">OFFSET(N49,-1,0,1,1)</f>
        <v>0.14285714285714285</v>
      </c>
    </row>
    <row r="50" spans="1:14" x14ac:dyDescent="0.35">
      <c r="A50" s="646" t="s">
        <v>1687</v>
      </c>
      <c r="B50" s="647"/>
      <c r="C50" s="648">
        <f ca="1">RES_Endring_i_lokale_utslipp</f>
        <v>0</v>
      </c>
      <c r="D50" s="632">
        <f t="shared" ca="1" si="46"/>
        <v>0</v>
      </c>
      <c r="E50" s="633" t="e">
        <f t="shared" si="37"/>
        <v>#N/A</v>
      </c>
      <c r="F50" s="633">
        <f t="shared" ca="1" si="38"/>
        <v>0</v>
      </c>
      <c r="G50" s="633" t="e">
        <f t="shared" ca="1" si="39"/>
        <v>#N/A</v>
      </c>
      <c r="H50" s="633">
        <f t="shared" ca="1" si="40"/>
        <v>0</v>
      </c>
      <c r="I50" s="633" t="e">
        <f t="shared" ca="1" si="41"/>
        <v>#N/A</v>
      </c>
      <c r="J50" s="633">
        <f t="shared" ca="1" si="42"/>
        <v>0</v>
      </c>
      <c r="K50" s="633">
        <f t="shared" ca="1" si="43"/>
        <v>0</v>
      </c>
      <c r="L50" s="633" t="e">
        <f t="shared" ca="1" si="44"/>
        <v>#N/A</v>
      </c>
      <c r="M50" s="634">
        <f t="shared" si="45"/>
        <v>0.6428571428571429</v>
      </c>
      <c r="N50" s="634">
        <f ca="1">OFFSET(N50,-1,0,1,1)</f>
        <v>0.14285714285714285</v>
      </c>
    </row>
    <row r="51" spans="1:14" x14ac:dyDescent="0.35">
      <c r="A51" s="646" t="s">
        <v>1690</v>
      </c>
      <c r="B51" s="647"/>
      <c r="C51" s="648">
        <f ca="1">RES_Endring_i_CO2_utslipp</f>
        <v>0</v>
      </c>
      <c r="D51" s="632">
        <f t="shared" ca="1" si="46"/>
        <v>0</v>
      </c>
      <c r="E51" s="633" t="e">
        <f t="shared" si="37"/>
        <v>#N/A</v>
      </c>
      <c r="F51" s="633">
        <f t="shared" ca="1" si="38"/>
        <v>0</v>
      </c>
      <c r="G51" s="633" t="e">
        <f t="shared" ca="1" si="39"/>
        <v>#N/A</v>
      </c>
      <c r="H51" s="633">
        <f t="shared" ca="1" si="40"/>
        <v>0</v>
      </c>
      <c r="I51" s="633" t="e">
        <f t="shared" ca="1" si="41"/>
        <v>#N/A</v>
      </c>
      <c r="J51" s="633">
        <f t="shared" ca="1" si="42"/>
        <v>0</v>
      </c>
      <c r="K51" s="633">
        <f t="shared" ca="1" si="43"/>
        <v>0</v>
      </c>
      <c r="L51" s="633" t="e">
        <f t="shared" ca="1" si="44"/>
        <v>#N/A</v>
      </c>
      <c r="M51" s="634">
        <f t="shared" si="45"/>
        <v>0.5</v>
      </c>
      <c r="N51" s="634">
        <f ca="1">OFFSET(N51,-1,0,1,1)</f>
        <v>0.14285714285714285</v>
      </c>
    </row>
    <row r="52" spans="1:14" x14ac:dyDescent="0.35">
      <c r="A52" s="646" t="s">
        <v>1691</v>
      </c>
      <c r="B52" s="647"/>
      <c r="C52" s="648" t="e">
        <f ca="1">RES_Endring_i_CO2_utslipp_byggefasen</f>
        <v>#N/A</v>
      </c>
      <c r="D52" s="632" t="e">
        <f t="shared" ca="1" si="46"/>
        <v>#N/A</v>
      </c>
      <c r="E52" s="633" t="e">
        <f t="shared" si="37"/>
        <v>#N/A</v>
      </c>
      <c r="F52" s="633" t="e">
        <f t="shared" ca="1" si="38"/>
        <v>#N/A</v>
      </c>
      <c r="G52" s="633" t="e">
        <f t="shared" ca="1" si="39"/>
        <v>#N/A</v>
      </c>
      <c r="H52" s="633" t="e">
        <f t="shared" ca="1" si="40"/>
        <v>#N/A</v>
      </c>
      <c r="I52" s="633" t="e">
        <f t="shared" ca="1" si="41"/>
        <v>#N/A</v>
      </c>
      <c r="J52" s="633" t="e">
        <f t="shared" ca="1" si="42"/>
        <v>#N/A</v>
      </c>
      <c r="K52" s="633" t="e">
        <f t="shared" ca="1" si="43"/>
        <v>#N/A</v>
      </c>
      <c r="L52" s="633" t="e">
        <f t="shared" ca="1" si="44"/>
        <v>#N/A</v>
      </c>
      <c r="M52" s="634">
        <f t="shared" si="45"/>
        <v>0.35714285714285715</v>
      </c>
      <c r="N52" s="634">
        <f ca="1">OFFSET(N52,-1,0,1,1)</f>
        <v>0.14285714285714285</v>
      </c>
    </row>
    <row r="53" spans="1:14" x14ac:dyDescent="0.35">
      <c r="A53" s="646" t="s">
        <v>1694</v>
      </c>
      <c r="B53" s="647"/>
      <c r="C53" s="648" t="e">
        <f ca="1">RES_Endring_i_CO2_utslipp_areal</f>
        <v>#N/A</v>
      </c>
      <c r="D53" s="632" t="e">
        <f t="shared" ca="1" si="46"/>
        <v>#N/A</v>
      </c>
      <c r="E53" s="633" t="e">
        <f t="shared" ref="E53" si="47">IF(B53="x",D53,NA())</f>
        <v>#N/A</v>
      </c>
      <c r="F53" s="633" t="e">
        <f t="shared" ref="F53" ca="1" si="48">D53+H53-H53</f>
        <v>#N/A</v>
      </c>
      <c r="G53" s="633" t="e">
        <f t="shared" ref="G53" ca="1" si="49">D53+I53-I53</f>
        <v>#N/A</v>
      </c>
      <c r="H53" s="633" t="e">
        <f t="shared" ref="H53" ca="1" si="50">IF(B53="x",NA(),IF(C53&gt;=0,C53,NA()))</f>
        <v>#N/A</v>
      </c>
      <c r="I53" s="633" t="e">
        <f t="shared" ref="I53" ca="1" si="51">IF(B53="x",NA(),IF(C53&lt;0,-C53,NA()))</f>
        <v>#N/A</v>
      </c>
      <c r="J53" s="633" t="e">
        <f t="shared" ca="1" si="42"/>
        <v>#N/A</v>
      </c>
      <c r="K53" s="633" t="e">
        <f t="shared" ref="K53" ca="1" si="52">IF(B53="x",NA(),IF(C53&gt;=0,IF(D53&lt;0,-C53,C53),NA()))</f>
        <v>#N/A</v>
      </c>
      <c r="L53" s="633" t="e">
        <f t="shared" ref="L53" ca="1" si="53">IF(B53="x",NA(),IF(C53&lt;0,IF(MAX(D53,D53-C53)&lt;0,C53,-C53),NA()))</f>
        <v>#N/A</v>
      </c>
      <c r="M53" s="634">
        <f t="shared" si="45"/>
        <v>0.21428571428571427</v>
      </c>
      <c r="N53" s="634">
        <f ca="1">OFFSET(N53,-1,0,1,1)</f>
        <v>0.14285714285714285</v>
      </c>
    </row>
    <row r="54" spans="1:14" x14ac:dyDescent="0.35">
      <c r="A54" s="658" t="s">
        <v>1561</v>
      </c>
      <c r="B54" s="649" t="s">
        <v>2015</v>
      </c>
      <c r="C54" s="659" t="e">
        <f ca="1">SUM(C48:C53)-RES_Endring_for_samfunnet_for_øvrig</f>
        <v>#N/A</v>
      </c>
      <c r="D54" s="635" t="e">
        <f t="shared" ca="1" si="46"/>
        <v>#N/A</v>
      </c>
      <c r="E54" s="636" t="e">
        <f t="shared" ca="1" si="37"/>
        <v>#N/A</v>
      </c>
      <c r="F54" s="636" t="e">
        <f t="shared" ca="1" si="38"/>
        <v>#N/A</v>
      </c>
      <c r="G54" s="636" t="e">
        <f t="shared" ca="1" si="39"/>
        <v>#N/A</v>
      </c>
      <c r="H54" s="636" t="e">
        <f t="shared" si="40"/>
        <v>#N/A</v>
      </c>
      <c r="I54" s="636" t="e">
        <f t="shared" si="41"/>
        <v>#N/A</v>
      </c>
      <c r="J54" s="636" t="e">
        <f>IF(B54="x",NA(),IF(C54&gt;=0,D54-C54,D54))</f>
        <v>#N/A</v>
      </c>
      <c r="K54" s="636" t="e">
        <f t="shared" si="43"/>
        <v>#N/A</v>
      </c>
      <c r="L54" s="637" t="e">
        <f t="shared" si="44"/>
        <v>#N/A</v>
      </c>
      <c r="M54" s="637">
        <f t="shared" si="45"/>
        <v>7.1428571428571425E-2</v>
      </c>
      <c r="N54" s="637" t="e">
        <f>NA()</f>
        <v>#N/A</v>
      </c>
    </row>
    <row r="56" spans="1:14" ht="14.5" customHeight="1" x14ac:dyDescent="0.35">
      <c r="A56" s="1594" t="s">
        <v>2025</v>
      </c>
      <c r="B56" s="1594"/>
      <c r="C56" s="1594"/>
      <c r="D56" s="1594"/>
      <c r="E56" s="1594"/>
      <c r="F56" s="1594"/>
      <c r="G56" s="696"/>
      <c r="H56" s="696"/>
      <c r="I56" s="696"/>
      <c r="J56" s="696"/>
      <c r="K56" s="696"/>
      <c r="L56" s="696"/>
      <c r="M56" s="696"/>
      <c r="N56" s="696"/>
    </row>
    <row r="57" spans="1:14" ht="14.5" customHeight="1" x14ac:dyDescent="0.35">
      <c r="A57" s="806" t="s">
        <v>1997</v>
      </c>
      <c r="B57" s="808" t="str">
        <f>"Fordeling av trafikantnytte, mill. "&amp;KroneårIBeregninger&amp;"-kroner"</f>
        <v>Fordeling av trafikantnytte, mill. -kroner</v>
      </c>
      <c r="C57" s="806"/>
      <c r="D57" s="806"/>
      <c r="E57" s="806"/>
      <c r="F57" s="806"/>
      <c r="G57" s="696"/>
      <c r="H57" s="696"/>
      <c r="I57" s="696"/>
      <c r="J57" s="696"/>
      <c r="K57" s="696"/>
      <c r="L57" s="696"/>
      <c r="M57" s="696"/>
      <c r="N57" s="696"/>
    </row>
    <row r="58" spans="1:14" x14ac:dyDescent="0.35">
      <c r="B58" t="s">
        <v>2026</v>
      </c>
      <c r="C58" s="5" t="s">
        <v>2027</v>
      </c>
      <c r="D58" t="s">
        <v>2028</v>
      </c>
      <c r="E58" t="s">
        <v>2029</v>
      </c>
    </row>
    <row r="59" spans="1:14" x14ac:dyDescent="0.35">
      <c r="B59" t="s">
        <v>2030</v>
      </c>
      <c r="C59" s="500" t="b">
        <f t="shared" ref="C59:C69" ca="1" si="54">IF(AND(D$59&gt;=0,D$60&gt;=0,D$61&gt;=0,D$62&gt;=0,D$63&gt;=0,D$64&gt;=0,D$65&gt;=0,D$66&gt;=0,D$67&gt;=0,D$68&gt;=0,D$69&gt;=0),TRUE,FALSE)</f>
        <v>1</v>
      </c>
      <c r="D59" s="500">
        <f ca="1">'3.1 Nyttestrøm'!DS12</f>
        <v>0</v>
      </c>
      <c r="E59" s="500" t="e">
        <f ca="1">IF('3.1 Nyttestrøm'!DS12&gt;0,'3.1 Nyttestrøm'!DS12,NA())</f>
        <v>#N/A</v>
      </c>
    </row>
    <row r="60" spans="1:14" x14ac:dyDescent="0.35">
      <c r="B60" t="s">
        <v>2031</v>
      </c>
      <c r="C60" s="500" t="b">
        <f t="shared" ca="1" si="54"/>
        <v>1</v>
      </c>
      <c r="D60" s="500">
        <f ca="1">'3.1 Nyttestrøm'!DS16</f>
        <v>0</v>
      </c>
      <c r="E60" s="500" t="e">
        <f ca="1">IF('3.1 Nyttestrøm'!DS16&gt;0,'3.1 Nyttestrøm'!DS16,NA())</f>
        <v>#N/A</v>
      </c>
    </row>
    <row r="61" spans="1:14" x14ac:dyDescent="0.35">
      <c r="B61" s="697" t="s">
        <v>2032</v>
      </c>
      <c r="C61" s="500" t="b">
        <f t="shared" ca="1" si="54"/>
        <v>1</v>
      </c>
      <c r="D61" s="500">
        <f ca="1">'3.1 Nyttestrøm'!DS22</f>
        <v>0</v>
      </c>
      <c r="E61" s="500" t="e">
        <f ca="1">IF('3.1 Nyttestrøm'!DS22&gt;0,'3.1 Nyttestrøm'!DS22,NA())</f>
        <v>#N/A</v>
      </c>
    </row>
    <row r="62" spans="1:14" x14ac:dyDescent="0.35">
      <c r="B62" s="697" t="s">
        <v>2033</v>
      </c>
      <c r="C62" s="500" t="b">
        <f t="shared" ca="1" si="54"/>
        <v>1</v>
      </c>
      <c r="D62" s="500">
        <f ca="1">'3.1 Nyttestrøm'!DS23</f>
        <v>0</v>
      </c>
      <c r="E62" s="500" t="e">
        <f ca="1">IF('3.1 Nyttestrøm'!DS23&gt;0,'3.1 Nyttestrøm'!DS23,NA())</f>
        <v>#N/A</v>
      </c>
      <c r="H62" s="698"/>
    </row>
    <row r="63" spans="1:14" x14ac:dyDescent="0.35">
      <c r="B63" s="697" t="s">
        <v>2034</v>
      </c>
      <c r="C63" s="500" t="b">
        <f t="shared" ca="1" si="54"/>
        <v>1</v>
      </c>
      <c r="D63" s="500">
        <f ca="1">'3.1 Nyttestrøm'!DS24</f>
        <v>0</v>
      </c>
      <c r="E63" s="500" t="e">
        <f ca="1">IF('3.1 Nyttestrøm'!DS24&gt;0,'3.1 Nyttestrøm'!DS24,NA())</f>
        <v>#N/A</v>
      </c>
    </row>
    <row r="64" spans="1:14" x14ac:dyDescent="0.35">
      <c r="B64" t="str">
        <f>'4.1 Resultatark'!B12</f>
        <v>Godskunder</v>
      </c>
      <c r="C64" s="500" t="b">
        <f t="shared" ca="1" si="54"/>
        <v>1</v>
      </c>
      <c r="D64" s="500">
        <f ca="1">'3.1 Nyttestrøm'!DS26</f>
        <v>0</v>
      </c>
      <c r="E64" s="500" t="e">
        <f ca="1">IF('3.1 Nyttestrøm'!DS26&gt;0,'3.1 Nyttestrøm'!DS26,NA())</f>
        <v>#N/A</v>
      </c>
    </row>
    <row r="65" spans="1:8" x14ac:dyDescent="0.35">
      <c r="B65" t="s">
        <v>2035</v>
      </c>
      <c r="C65" s="500" t="b">
        <f t="shared" ca="1" si="54"/>
        <v>1</v>
      </c>
      <c r="D65" s="500">
        <f ca="1">'3.1 Nyttestrøm'!DS28</f>
        <v>0</v>
      </c>
      <c r="E65" s="500" t="e">
        <f ca="1">IF('3.1 Nyttestrøm'!DS28&gt;0,'3.1 Nyttestrøm'!DS28,NA())</f>
        <v>#N/A</v>
      </c>
    </row>
    <row r="66" spans="1:8" ht="14.5" customHeight="1" x14ac:dyDescent="0.35">
      <c r="B66" t="s">
        <v>2036</v>
      </c>
      <c r="C66" s="500" t="b">
        <f t="shared" ca="1" si="54"/>
        <v>1</v>
      </c>
      <c r="D66" s="500">
        <f ca="1">SUM('3.1 Nyttestrøm'!DS13:DS15)</f>
        <v>0</v>
      </c>
      <c r="E66" s="500">
        <f ca="1">SUM('3.1 Nyttestrøm'!DS13:DS15)</f>
        <v>0</v>
      </c>
    </row>
    <row r="67" spans="1:8" x14ac:dyDescent="0.35">
      <c r="B67" t="s">
        <v>2037</v>
      </c>
      <c r="C67" s="500" t="b">
        <f t="shared" ca="1" si="54"/>
        <v>1</v>
      </c>
      <c r="D67" s="500">
        <f ca="1">'3.1 Nyttestrøm'!DS13</f>
        <v>0</v>
      </c>
      <c r="E67" s="500" t="e">
        <f ca="1">IF('3.1 Nyttestrøm'!DS13&gt;0,'3.1 Nyttestrøm'!DS13,NA())</f>
        <v>#N/A</v>
      </c>
    </row>
    <row r="68" spans="1:8" x14ac:dyDescent="0.35">
      <c r="B68" t="s">
        <v>2038</v>
      </c>
      <c r="C68" s="500" t="b">
        <f t="shared" ca="1" si="54"/>
        <v>1</v>
      </c>
      <c r="D68" s="500">
        <f ca="1">'3.1 Nyttestrøm'!DS14</f>
        <v>0</v>
      </c>
      <c r="E68" s="500" t="e">
        <f ca="1">IF('3.1 Nyttestrøm'!DS14&gt;0,'3.1 Nyttestrøm'!DS14,NA())</f>
        <v>#N/A</v>
      </c>
    </row>
    <row r="69" spans="1:8" x14ac:dyDescent="0.35">
      <c r="B69" t="s">
        <v>2039</v>
      </c>
      <c r="C69" s="500" t="b">
        <f t="shared" ca="1" si="54"/>
        <v>1</v>
      </c>
      <c r="D69" s="500">
        <f ca="1">'3.1 Nyttestrøm'!DS15</f>
        <v>0</v>
      </c>
      <c r="E69" s="500" t="e">
        <f ca="1">IF('3.1 Nyttestrøm'!DS15&gt;0,'3.1 Nyttestrøm'!DS15,NA())</f>
        <v>#N/A</v>
      </c>
    </row>
    <row r="71" spans="1:8" ht="15" customHeight="1" x14ac:dyDescent="0.35">
      <c r="A71" s="1594" t="s">
        <v>2040</v>
      </c>
      <c r="B71" s="1594"/>
      <c r="C71" s="1594"/>
      <c r="D71" s="1594"/>
      <c r="E71" s="1594"/>
      <c r="F71" s="1594"/>
      <c r="G71" s="1594"/>
      <c r="H71" s="1594"/>
    </row>
    <row r="72" spans="1:8" ht="15" customHeight="1" x14ac:dyDescent="0.35">
      <c r="A72" s="806" t="s">
        <v>2041</v>
      </c>
      <c r="B72" s="808" t="str">
        <f>"Nåverdi av hovedstørrelser og netto nåverdi, mill. "&amp;KroneårIBeregninger&amp;"-kroner"</f>
        <v>Nåverdi av hovedstørrelser og netto nåverdi, mill. -kroner</v>
      </c>
      <c r="C72" s="806"/>
      <c r="D72" s="806"/>
      <c r="E72" s="806"/>
      <c r="F72" s="806"/>
      <c r="G72" s="806"/>
      <c r="H72" s="806"/>
    </row>
    <row r="73" spans="1:8" x14ac:dyDescent="0.35">
      <c r="B73" t="s">
        <v>2026</v>
      </c>
      <c r="C73" t="s">
        <v>2042</v>
      </c>
      <c r="D73" t="s">
        <v>2043</v>
      </c>
      <c r="E73" t="s">
        <v>2044</v>
      </c>
      <c r="F73" t="s">
        <v>2027</v>
      </c>
      <c r="G73" t="s">
        <v>2028</v>
      </c>
      <c r="H73" t="s">
        <v>2029</v>
      </c>
    </row>
    <row r="74" spans="1:8" hidden="1" x14ac:dyDescent="0.35">
      <c r="B74" t="str">
        <f>'4.1 Resultatark'!B14</f>
        <v xml:space="preserve">Endring for trafikanter </v>
      </c>
      <c r="C74" t="e">
        <f t="shared" ref="C74:C79" ca="1" si="55">IF(ROUND(F74,3)=0,FALSE,TRUE)</f>
        <v>#N/A</v>
      </c>
      <c r="E74" s="150" t="e">
        <f ca="1">Stolpediagram[[#This Row],[Kolonne2]]</f>
        <v>#N/A</v>
      </c>
      <c r="F74" s="150" t="e">
        <f ca="1">IF('4.1 Resultatark'!C14&lt;&gt;0,'4.1 Resultatark'!C14,NA())</f>
        <v>#N/A</v>
      </c>
      <c r="G74" s="150" t="e">
        <f ca="1">Stolpediagram[[#This Row],[Kolonne2]]</f>
        <v>#N/A</v>
      </c>
      <c r="H74" s="500"/>
    </row>
    <row r="75" spans="1:8" hidden="1" x14ac:dyDescent="0.35">
      <c r="B75" t="str">
        <f>'4.1 Resultatark'!B21</f>
        <v>Endring for operatører</v>
      </c>
      <c r="C75" t="e">
        <f t="shared" ca="1" si="55"/>
        <v>#N/A</v>
      </c>
      <c r="E75" s="150" t="e">
        <f ca="1">Stolpediagram[[#This Row],[Kolonne2]]</f>
        <v>#N/A</v>
      </c>
      <c r="F75" s="150" t="e">
        <f ca="1">IF('4.1 Resultatark'!C21&lt;&gt;0,'4.1 Resultatark'!C21,NA())</f>
        <v>#N/A</v>
      </c>
      <c r="G75" s="150" t="e">
        <f ca="1">Stolpediagram[[#This Row],[Kolonne2]]</f>
        <v>#N/A</v>
      </c>
      <c r="H75" s="500"/>
    </row>
    <row r="76" spans="1:8" ht="14.5" hidden="1" customHeight="1" x14ac:dyDescent="0.35">
      <c r="B76" t="str">
        <f>'4.1 Resultatark'!B28</f>
        <v>Endring for det offentlige</v>
      </c>
      <c r="C76" t="e">
        <f t="shared" ca="1" si="55"/>
        <v>#N/A</v>
      </c>
      <c r="E76" s="150" t="e">
        <f ca="1">Stolpediagram[[#This Row],[Kolonne2]]</f>
        <v>#N/A</v>
      </c>
      <c r="F76" s="150" t="e">
        <f ca="1">IF('4.1 Resultatark'!C28&lt;&gt;0,'4.1 Resultatark'!C28,NA())</f>
        <v>#N/A</v>
      </c>
      <c r="G76" s="150" t="e">
        <f ca="1">Stolpediagram[[#This Row],[Kolonne2]]</f>
        <v>#N/A</v>
      </c>
      <c r="H76" s="500"/>
    </row>
    <row r="77" spans="1:8" hidden="1" x14ac:dyDescent="0.35">
      <c r="B77" t="str">
        <f>'4.1 Resultatark'!B38</f>
        <v>Endring for samfunnet for øvrig</v>
      </c>
      <c r="C77" t="e">
        <f t="shared" ca="1" si="55"/>
        <v>#N/A</v>
      </c>
      <c r="E77" s="150" t="e">
        <f ca="1">Stolpediagram[[#This Row],[Kolonne2]]</f>
        <v>#N/A</v>
      </c>
      <c r="F77" s="150" t="e">
        <f ca="1">IF('4.1 Resultatark'!C38&lt;&gt;0,'4.1 Resultatark'!C38,NA())</f>
        <v>#N/A</v>
      </c>
      <c r="G77" s="150" t="e">
        <f ca="1">Stolpediagram[[#This Row],[Kolonne2]]</f>
        <v>#N/A</v>
      </c>
      <c r="H77" s="500"/>
    </row>
    <row r="78" spans="1:8" hidden="1" x14ac:dyDescent="0.35">
      <c r="B78" t="str">
        <f>'4.1 Resultatark'!B36</f>
        <v>Restverdi av tiltak</v>
      </c>
      <c r="C78" t="e">
        <f t="shared" ca="1" si="55"/>
        <v>#N/A</v>
      </c>
      <c r="E78" s="150" t="e">
        <f ca="1">Stolpediagram[[#This Row],[Kolonne2]]</f>
        <v>#N/A</v>
      </c>
      <c r="F78" s="150" t="e">
        <f ca="1">IF('4.1 Resultatark'!C36&lt;&gt;0,'4.1 Resultatark'!C36,NA())</f>
        <v>#N/A</v>
      </c>
      <c r="G78" s="150" t="e">
        <f ca="1">Stolpediagram[[#This Row],[Kolonne2]]</f>
        <v>#N/A</v>
      </c>
      <c r="H78" s="500"/>
    </row>
    <row r="79" spans="1:8" hidden="1" x14ac:dyDescent="0.35">
      <c r="B79" t="str">
        <f>'4.1 Resultatark'!B37</f>
        <v>Endring i skattefinansiering</v>
      </c>
      <c r="C79" t="e">
        <f t="shared" ca="1" si="55"/>
        <v>#N/A</v>
      </c>
      <c r="E79" s="150" t="e">
        <f ca="1">Stolpediagram[[#This Row],[Kolonne2]]</f>
        <v>#N/A</v>
      </c>
      <c r="F79" s="150" t="e">
        <f ca="1">IF('4.1 Resultatark'!C37&lt;&gt;0,'4.1 Resultatark'!C37,NA())</f>
        <v>#N/A</v>
      </c>
      <c r="G79" s="150" t="e">
        <f ca="1">Stolpediagram[[#This Row],[Kolonne2]]</f>
        <v>#N/A</v>
      </c>
      <c r="H79" s="500"/>
    </row>
  </sheetData>
  <mergeCells count="7">
    <mergeCell ref="A71:H71"/>
    <mergeCell ref="A56:F56"/>
    <mergeCell ref="A45:N45"/>
    <mergeCell ref="A4:N4"/>
    <mergeCell ref="A15:N15"/>
    <mergeCell ref="A25:N25"/>
    <mergeCell ref="A35:N35"/>
  </mergeCells>
  <phoneticPr fontId="64" type="noConversion"/>
  <conditionalFormatting sqref="D44:N44 D7:N13">
    <cfRule type="expression" dxfId="362" priority="13">
      <formula>ISERROR(D7)</formula>
    </cfRule>
  </conditionalFormatting>
  <conditionalFormatting sqref="K54">
    <cfRule type="expression" dxfId="361" priority="10">
      <formula>ISERROR(K54)</formula>
    </cfRule>
  </conditionalFormatting>
  <conditionalFormatting sqref="D54:J54 L54:N54 D48:N53">
    <cfRule type="expression" dxfId="360" priority="11">
      <formula>ISERROR(D48)</formula>
    </cfRule>
  </conditionalFormatting>
  <conditionalFormatting sqref="D18:J23 K18:L22 M18:N23">
    <cfRule type="expression" dxfId="359" priority="8">
      <formula>ISERROR(D18)</formula>
    </cfRule>
  </conditionalFormatting>
  <conditionalFormatting sqref="K23:L23">
    <cfRule type="expression" dxfId="358" priority="7">
      <formula>ISERROR(K23)</formula>
    </cfRule>
  </conditionalFormatting>
  <conditionalFormatting sqref="D33:J33 M32:N33 D32:L32 D28:N31">
    <cfRule type="expression" dxfId="357" priority="6">
      <formula>ISERROR(D28)</formula>
    </cfRule>
  </conditionalFormatting>
  <conditionalFormatting sqref="K33:L33">
    <cfRule type="expression" dxfId="356" priority="5">
      <formula>ISERROR(K33)</formula>
    </cfRule>
  </conditionalFormatting>
  <conditionalFormatting sqref="L54:N54 L43:N43 D38:N42 D43:J54 M44:N53">
    <cfRule type="expression" dxfId="355" priority="4">
      <formula>ISERROR(D38)</formula>
    </cfRule>
  </conditionalFormatting>
  <conditionalFormatting sqref="K54 K43 K44:L53">
    <cfRule type="expression" dxfId="354" priority="3">
      <formula>ISERROR(K43)</formula>
    </cfRule>
  </conditionalFormatting>
  <conditionalFormatting sqref="G56:J57 M56:N57">
    <cfRule type="expression" dxfId="353" priority="2">
      <formula>ISERROR(G56)</formula>
    </cfRule>
  </conditionalFormatting>
  <conditionalFormatting sqref="K56:L57">
    <cfRule type="expression" dxfId="352" priority="1">
      <formula>ISERROR(K56)</formula>
    </cfRule>
  </conditionalFormatting>
  <pageMargins left="0.7" right="0.7" top="0.75" bottom="0.75" header="0.3" footer="0.3"/>
  <pageSetup scale="94" fitToHeight="0" orientation="portrait" r:id="rId1"/>
  <headerFooter>
    <oddFooter>&amp;L&amp;"Arial,Regular"&amp;8&amp;K01+049https://www.vertex42.com/ExcelTemplates/waterfall-chart.html&amp;R&amp;"Arial,Regular"&amp;8&amp;K01+049Waterfall Chart Template by Vertex42.com</oddFooter>
  </headerFooter>
  <drawing r:id="rId2"/>
  <tableParts count="2">
    <tablePart r:id="rId3"/>
    <tablePart r:id="rId4"/>
  </tablePart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888E7F-3EC8-41AC-97B6-182474B37EAE}">
  <sheetPr codeName="Ark17">
    <tabColor theme="4" tint="-0.249977111117893"/>
  </sheetPr>
  <dimension ref="A3:FP178"/>
  <sheetViews>
    <sheetView topLeftCell="A88" zoomScale="70" zoomScaleNormal="70" workbookViewId="0">
      <selection activeCell="B120" sqref="B120"/>
    </sheetView>
  </sheetViews>
  <sheetFormatPr baseColWidth="10" defaultColWidth="11.453125" defaultRowHeight="14.5" x14ac:dyDescent="0.35"/>
  <cols>
    <col min="1" max="1" width="25.453125" customWidth="1"/>
    <col min="2" max="2" width="54.453125" customWidth="1"/>
    <col min="3" max="9" width="25.453125" customWidth="1"/>
    <col min="10" max="10" width="27.26953125" customWidth="1"/>
    <col min="11" max="19" width="28.1796875" customWidth="1"/>
    <col min="20" max="20" width="27.26953125" customWidth="1"/>
    <col min="21" max="29" width="28.1796875" customWidth="1"/>
    <col min="30" max="30" width="27.26953125" customWidth="1"/>
    <col min="31" max="39" width="28.1796875" customWidth="1"/>
    <col min="40" max="40" width="27.26953125" customWidth="1"/>
    <col min="41" max="49" width="28.1796875" customWidth="1"/>
    <col min="50" max="50" width="27.26953125" customWidth="1"/>
    <col min="51" max="59" width="28.1796875" customWidth="1"/>
    <col min="60" max="60" width="27.26953125" customWidth="1"/>
    <col min="61" max="69" width="28.1796875" customWidth="1"/>
    <col min="70" max="70" width="27.26953125" customWidth="1"/>
    <col min="71" max="79" width="28.1796875" customWidth="1"/>
    <col min="80" max="80" width="27.26953125" customWidth="1"/>
    <col min="81" max="87" width="28.1796875" customWidth="1"/>
    <col min="88" max="88" width="12" customWidth="1"/>
  </cols>
  <sheetData>
    <row r="3" spans="1:112" ht="15" thickBot="1" x14ac:dyDescent="0.4"/>
    <row r="4" spans="1:112" x14ac:dyDescent="0.35">
      <c r="A4" s="684"/>
      <c r="B4" s="690" t="s">
        <v>2045</v>
      </c>
      <c r="C4" s="690"/>
      <c r="D4" s="690"/>
      <c r="E4" s="690"/>
      <c r="F4" s="690"/>
      <c r="G4" s="690"/>
      <c r="H4" s="690"/>
      <c r="I4" s="690"/>
      <c r="J4" s="690"/>
      <c r="K4" s="690"/>
      <c r="L4" s="690"/>
      <c r="M4" s="690"/>
      <c r="N4" s="675"/>
      <c r="O4" s="675"/>
      <c r="P4" s="675"/>
      <c r="Q4" s="675"/>
      <c r="R4" s="675"/>
      <c r="S4" s="675"/>
      <c r="T4" s="675"/>
      <c r="U4" s="675"/>
      <c r="V4" s="675"/>
      <c r="W4" s="675"/>
      <c r="X4" s="675"/>
      <c r="Y4" s="675"/>
      <c r="Z4" s="675"/>
      <c r="AA4" s="675"/>
      <c r="AB4" s="675"/>
      <c r="AC4" s="675"/>
      <c r="AD4" s="675"/>
      <c r="AE4" s="675"/>
      <c r="AF4" s="675"/>
      <c r="AG4" s="675"/>
      <c r="AH4" s="675"/>
      <c r="AI4" s="675"/>
      <c r="AJ4" s="675"/>
      <c r="AK4" s="675"/>
      <c r="AL4" s="675"/>
      <c r="AM4" s="675"/>
      <c r="AN4" s="675"/>
      <c r="AO4" s="675"/>
      <c r="AP4" s="675"/>
      <c r="AQ4" s="675"/>
      <c r="AR4" s="675"/>
      <c r="AS4" s="675"/>
      <c r="AT4" s="675"/>
      <c r="AU4" s="675"/>
      <c r="AV4" s="675"/>
      <c r="AW4" s="675"/>
      <c r="AX4" s="675"/>
      <c r="AY4" s="675"/>
      <c r="AZ4" s="675"/>
      <c r="BA4" s="675"/>
      <c r="BB4" s="675"/>
      <c r="BC4" s="675"/>
      <c r="BD4" s="675"/>
      <c r="BE4" s="675"/>
      <c r="BF4" s="675"/>
      <c r="BG4" s="675"/>
      <c r="BH4" s="675"/>
      <c r="BI4" s="675"/>
      <c r="BJ4" s="675"/>
      <c r="BK4" s="675"/>
      <c r="BL4" s="675"/>
      <c r="BM4" s="675"/>
      <c r="BN4" s="675"/>
      <c r="BO4" s="675"/>
      <c r="BP4" s="675"/>
      <c r="BQ4" s="675"/>
      <c r="BR4" s="675"/>
      <c r="BS4" s="675"/>
      <c r="BT4" s="675"/>
      <c r="BU4" s="675"/>
      <c r="BV4" s="675"/>
      <c r="BW4" s="675"/>
      <c r="BX4" s="675"/>
      <c r="BY4" s="675"/>
      <c r="BZ4" s="675"/>
      <c r="CA4" s="675"/>
      <c r="CB4" s="675"/>
      <c r="CC4" s="675"/>
      <c r="CD4" s="675"/>
      <c r="CE4" s="675"/>
      <c r="CF4" s="675"/>
      <c r="CG4" s="675"/>
      <c r="CH4" s="675"/>
      <c r="CI4" s="675"/>
      <c r="CJ4" s="675"/>
      <c r="CK4" s="675"/>
      <c r="CL4" s="675"/>
      <c r="CM4" s="675"/>
      <c r="CN4" s="675"/>
      <c r="CO4" s="675"/>
      <c r="CP4" s="675"/>
      <c r="CQ4" s="675"/>
      <c r="CR4" s="675"/>
      <c r="CS4" s="675"/>
      <c r="CT4" s="675"/>
      <c r="CU4" s="675"/>
      <c r="CV4" s="675"/>
      <c r="CW4" s="675"/>
      <c r="CX4" s="675"/>
      <c r="CY4" s="675"/>
      <c r="CZ4" s="675"/>
      <c r="DA4" s="675"/>
      <c r="DB4" s="675"/>
      <c r="DC4" s="675"/>
      <c r="DD4" s="675"/>
      <c r="DE4" s="675"/>
      <c r="DF4" s="675"/>
      <c r="DG4" s="675"/>
      <c r="DH4" s="676"/>
    </row>
    <row r="5" spans="1:112" x14ac:dyDescent="0.35">
      <c r="A5" s="685"/>
      <c r="B5" s="1165" t="s">
        <v>927</v>
      </c>
      <c r="C5" s="446">
        <f>'3.1 Nyttestrøm'!M43</f>
        <v>-10</v>
      </c>
      <c r="D5" s="446">
        <f>'3.1 Nyttestrøm'!N43</f>
        <v>-9</v>
      </c>
      <c r="E5" s="446">
        <f>'3.1 Nyttestrøm'!O43</f>
        <v>-8</v>
      </c>
      <c r="F5" s="446">
        <f>'3.1 Nyttestrøm'!P43</f>
        <v>-7</v>
      </c>
      <c r="G5" s="446">
        <f>'3.1 Nyttestrøm'!Q43</f>
        <v>-6</v>
      </c>
      <c r="H5" s="446">
        <f>'3.1 Nyttestrøm'!R43</f>
        <v>-5</v>
      </c>
      <c r="I5" s="446">
        <f>'3.1 Nyttestrøm'!S43</f>
        <v>-4</v>
      </c>
      <c r="J5" s="446">
        <f>'3.1 Nyttestrøm'!T43</f>
        <v>-3</v>
      </c>
      <c r="K5" s="446">
        <f>'3.1 Nyttestrøm'!U43</f>
        <v>-2</v>
      </c>
      <c r="L5" s="446">
        <f>'3.1 Nyttestrøm'!V43</f>
        <v>-1</v>
      </c>
      <c r="M5" s="446">
        <f>'3.1 Nyttestrøm'!W43</f>
        <v>0</v>
      </c>
      <c r="N5" s="446">
        <f>'3.1 Nyttestrøm'!X43</f>
        <v>1</v>
      </c>
      <c r="O5" s="446">
        <f>'3.1 Nyttestrøm'!Y43</f>
        <v>2</v>
      </c>
      <c r="P5" s="446">
        <f>'3.1 Nyttestrøm'!Z43</f>
        <v>3</v>
      </c>
      <c r="Q5" s="446">
        <f>'3.1 Nyttestrøm'!AA43</f>
        <v>4</v>
      </c>
      <c r="R5" s="446">
        <f>'3.1 Nyttestrøm'!AB43</f>
        <v>5</v>
      </c>
      <c r="S5" s="446">
        <f>'3.1 Nyttestrøm'!AC43</f>
        <v>6</v>
      </c>
      <c r="T5" s="446">
        <f>'3.1 Nyttestrøm'!AD43</f>
        <v>7</v>
      </c>
      <c r="U5" s="446">
        <f>'3.1 Nyttestrøm'!AE43</f>
        <v>8</v>
      </c>
      <c r="V5" s="446">
        <f>'3.1 Nyttestrøm'!AF43</f>
        <v>9</v>
      </c>
      <c r="W5" s="446">
        <f>'3.1 Nyttestrøm'!AG43</f>
        <v>10</v>
      </c>
      <c r="X5" s="446">
        <f>'3.1 Nyttestrøm'!AH43</f>
        <v>11</v>
      </c>
      <c r="Y5" s="446">
        <f>'3.1 Nyttestrøm'!AI43</f>
        <v>12</v>
      </c>
      <c r="Z5" s="446">
        <f>'3.1 Nyttestrøm'!AJ43</f>
        <v>13</v>
      </c>
      <c r="AA5" s="446">
        <f>'3.1 Nyttestrøm'!AK43</f>
        <v>14</v>
      </c>
      <c r="AB5" s="446">
        <f>'3.1 Nyttestrøm'!AL43</f>
        <v>15</v>
      </c>
      <c r="AC5" s="446">
        <f>'3.1 Nyttestrøm'!AM43</f>
        <v>16</v>
      </c>
      <c r="AD5" s="446">
        <f>'3.1 Nyttestrøm'!AN43</f>
        <v>17</v>
      </c>
      <c r="AE5" s="446">
        <f>'3.1 Nyttestrøm'!AO43</f>
        <v>18</v>
      </c>
      <c r="AF5" s="446">
        <f>'3.1 Nyttestrøm'!AP43</f>
        <v>19</v>
      </c>
      <c r="AG5" s="446">
        <f>'3.1 Nyttestrøm'!AQ43</f>
        <v>20</v>
      </c>
      <c r="AH5" s="446">
        <f>'3.1 Nyttestrøm'!AR43</f>
        <v>21</v>
      </c>
      <c r="AI5" s="446">
        <f>'3.1 Nyttestrøm'!AS43</f>
        <v>22</v>
      </c>
      <c r="AJ5" s="446">
        <f>'3.1 Nyttestrøm'!AT43</f>
        <v>23</v>
      </c>
      <c r="AK5" s="446">
        <f>'3.1 Nyttestrøm'!AU43</f>
        <v>24</v>
      </c>
      <c r="AL5" s="446">
        <f>'3.1 Nyttestrøm'!AV43</f>
        <v>25</v>
      </c>
      <c r="AM5" s="446">
        <f>'3.1 Nyttestrøm'!AW43</f>
        <v>26</v>
      </c>
      <c r="AN5" s="446">
        <f>'3.1 Nyttestrøm'!AX43</f>
        <v>27</v>
      </c>
      <c r="AO5" s="446">
        <f>'3.1 Nyttestrøm'!AY43</f>
        <v>28</v>
      </c>
      <c r="AP5" s="446">
        <f>'3.1 Nyttestrøm'!AZ43</f>
        <v>29</v>
      </c>
      <c r="AQ5" s="446">
        <f>'3.1 Nyttestrøm'!BA43</f>
        <v>30</v>
      </c>
      <c r="AR5" s="446">
        <f>'3.1 Nyttestrøm'!BB43</f>
        <v>31</v>
      </c>
      <c r="AS5" s="446">
        <f>'3.1 Nyttestrøm'!BC43</f>
        <v>32</v>
      </c>
      <c r="AT5" s="446">
        <f>'3.1 Nyttestrøm'!BD43</f>
        <v>33</v>
      </c>
      <c r="AU5" s="446">
        <f>'3.1 Nyttestrøm'!BE43</f>
        <v>34</v>
      </c>
      <c r="AV5" s="446">
        <f>'3.1 Nyttestrøm'!BF43</f>
        <v>35</v>
      </c>
      <c r="AW5" s="446">
        <f>'3.1 Nyttestrøm'!BG43</f>
        <v>36</v>
      </c>
      <c r="AX5" s="446">
        <f>'3.1 Nyttestrøm'!BH43</f>
        <v>37</v>
      </c>
      <c r="AY5" s="446">
        <f>'3.1 Nyttestrøm'!BI43</f>
        <v>38</v>
      </c>
      <c r="AZ5" s="446">
        <f>'3.1 Nyttestrøm'!BJ43</f>
        <v>39</v>
      </c>
      <c r="BA5" s="446">
        <f>'3.1 Nyttestrøm'!BK43</f>
        <v>40</v>
      </c>
      <c r="BB5" s="446">
        <f>'3.1 Nyttestrøm'!BL43</f>
        <v>41</v>
      </c>
      <c r="BC5" s="446">
        <f>'3.1 Nyttestrøm'!BM43</f>
        <v>42</v>
      </c>
      <c r="BD5" s="446">
        <f>'3.1 Nyttestrøm'!BN43</f>
        <v>43</v>
      </c>
      <c r="BE5" s="446">
        <f>'3.1 Nyttestrøm'!BO43</f>
        <v>44</v>
      </c>
      <c r="BF5" s="446">
        <f>'3.1 Nyttestrøm'!BP43</f>
        <v>45</v>
      </c>
      <c r="BG5" s="446">
        <f>'3.1 Nyttestrøm'!BQ43</f>
        <v>46</v>
      </c>
      <c r="BH5" s="446">
        <f>'3.1 Nyttestrøm'!BR43</f>
        <v>47</v>
      </c>
      <c r="BI5" s="446">
        <f>'3.1 Nyttestrøm'!BS43</f>
        <v>48</v>
      </c>
      <c r="BJ5" s="446">
        <f>'3.1 Nyttestrøm'!BT43</f>
        <v>49</v>
      </c>
      <c r="BK5" s="446">
        <f>'3.1 Nyttestrøm'!BU43</f>
        <v>50</v>
      </c>
      <c r="BL5" s="446">
        <f>'3.1 Nyttestrøm'!BV43</f>
        <v>51</v>
      </c>
      <c r="BM5" s="446">
        <f>'3.1 Nyttestrøm'!BW43</f>
        <v>52</v>
      </c>
      <c r="BN5" s="446">
        <f>'3.1 Nyttestrøm'!BX43</f>
        <v>53</v>
      </c>
      <c r="BO5" s="446">
        <f>'3.1 Nyttestrøm'!BY43</f>
        <v>54</v>
      </c>
      <c r="BP5" s="446">
        <f>'3.1 Nyttestrøm'!BZ43</f>
        <v>55</v>
      </c>
      <c r="BQ5" s="446">
        <f>'3.1 Nyttestrøm'!CA43</f>
        <v>56</v>
      </c>
      <c r="BR5" s="446">
        <f>'3.1 Nyttestrøm'!CB43</f>
        <v>57</v>
      </c>
      <c r="BS5" s="446">
        <f>'3.1 Nyttestrøm'!CC43</f>
        <v>58</v>
      </c>
      <c r="BT5" s="446">
        <f>'3.1 Nyttestrøm'!CD43</f>
        <v>59</v>
      </c>
      <c r="BU5" s="446">
        <f>'3.1 Nyttestrøm'!CE43</f>
        <v>60</v>
      </c>
      <c r="BV5" s="446">
        <f>'3.1 Nyttestrøm'!CF43</f>
        <v>61</v>
      </c>
      <c r="BW5" s="446">
        <f>'3.1 Nyttestrøm'!CG43</f>
        <v>62</v>
      </c>
      <c r="BX5" s="446">
        <f>'3.1 Nyttestrøm'!CH43</f>
        <v>63</v>
      </c>
      <c r="BY5" s="446">
        <f>'3.1 Nyttestrøm'!CI43</f>
        <v>64</v>
      </c>
      <c r="BZ5" s="446">
        <f>'3.1 Nyttestrøm'!CJ43</f>
        <v>65</v>
      </c>
      <c r="CA5" s="446">
        <f>'3.1 Nyttestrøm'!CK43</f>
        <v>66</v>
      </c>
      <c r="CB5" s="446">
        <f>'3.1 Nyttestrøm'!CL43</f>
        <v>67</v>
      </c>
      <c r="CC5" s="446">
        <f>'3.1 Nyttestrøm'!CM43</f>
        <v>68</v>
      </c>
      <c r="CD5" s="446">
        <f>'3.1 Nyttestrøm'!CN43</f>
        <v>69</v>
      </c>
      <c r="CE5" s="446">
        <f>'3.1 Nyttestrøm'!CO43</f>
        <v>70</v>
      </c>
      <c r="CF5" s="446">
        <f>'3.1 Nyttestrøm'!CP43</f>
        <v>71</v>
      </c>
      <c r="CG5" s="446">
        <f>'3.1 Nyttestrøm'!CQ43</f>
        <v>72</v>
      </c>
      <c r="CH5" s="446">
        <f>'3.1 Nyttestrøm'!CR43</f>
        <v>73</v>
      </c>
      <c r="CI5" s="446">
        <f>'3.1 Nyttestrøm'!CS43</f>
        <v>74</v>
      </c>
      <c r="CJ5" s="446">
        <f>'3.1 Nyttestrøm'!CT43</f>
        <v>75</v>
      </c>
      <c r="CK5" s="446">
        <f>'3.1 Nyttestrøm'!CU43</f>
        <v>76</v>
      </c>
      <c r="CL5" s="446">
        <f>'3.1 Nyttestrøm'!CV43</f>
        <v>77</v>
      </c>
      <c r="CM5" s="446">
        <f>'3.1 Nyttestrøm'!CW43</f>
        <v>78</v>
      </c>
      <c r="CN5" s="446">
        <f>'3.1 Nyttestrøm'!CX43</f>
        <v>79</v>
      </c>
      <c r="CO5" s="446">
        <f>'3.1 Nyttestrøm'!CY43</f>
        <v>80</v>
      </c>
      <c r="CP5" s="446">
        <f>'3.1 Nyttestrøm'!CZ43</f>
        <v>81</v>
      </c>
      <c r="CQ5" s="446">
        <f>'3.1 Nyttestrøm'!DA43</f>
        <v>82</v>
      </c>
      <c r="CR5" s="446">
        <f>'3.1 Nyttestrøm'!DB43</f>
        <v>83</v>
      </c>
      <c r="CS5" s="446">
        <f>'3.1 Nyttestrøm'!DC43</f>
        <v>84</v>
      </c>
      <c r="CT5" s="446">
        <f>'3.1 Nyttestrøm'!DD43</f>
        <v>85</v>
      </c>
      <c r="CU5" s="446">
        <f>'3.1 Nyttestrøm'!DE43</f>
        <v>86</v>
      </c>
      <c r="CV5" s="446">
        <f>'3.1 Nyttestrøm'!DF43</f>
        <v>87</v>
      </c>
      <c r="CW5" s="446">
        <f>'3.1 Nyttestrøm'!DG43</f>
        <v>88</v>
      </c>
      <c r="CX5" s="446">
        <f>'3.1 Nyttestrøm'!DH43</f>
        <v>89</v>
      </c>
      <c r="CY5" s="446">
        <f>'3.1 Nyttestrøm'!DI43</f>
        <v>90</v>
      </c>
      <c r="CZ5" s="446">
        <f>'3.1 Nyttestrøm'!DJ43</f>
        <v>91</v>
      </c>
      <c r="DA5" s="446">
        <f>'3.1 Nyttestrøm'!DK43</f>
        <v>92</v>
      </c>
      <c r="DB5" s="446">
        <f>'3.1 Nyttestrøm'!DL43</f>
        <v>93</v>
      </c>
      <c r="DC5" s="446">
        <f>'3.1 Nyttestrøm'!DM43</f>
        <v>94</v>
      </c>
      <c r="DD5" s="446">
        <f>'3.1 Nyttestrøm'!DN43</f>
        <v>95</v>
      </c>
      <c r="DE5" s="446">
        <f>'3.1 Nyttestrøm'!DO43</f>
        <v>96</v>
      </c>
      <c r="DF5" s="446">
        <f>'3.1 Nyttestrøm'!DP43</f>
        <v>97</v>
      </c>
      <c r="DG5" s="446">
        <f>'3.1 Nyttestrøm'!DQ43</f>
        <v>98</v>
      </c>
      <c r="DH5" s="678">
        <f>'3.1 Nyttestrøm'!DR43</f>
        <v>99</v>
      </c>
    </row>
    <row r="6" spans="1:112" x14ac:dyDescent="0.35">
      <c r="A6" s="685"/>
      <c r="B6" s="446" t="str">
        <f>'3.1 Nyttestrøm'!C76</f>
        <v>Jernbane - Persontog</v>
      </c>
      <c r="C6" s="1156"/>
      <c r="D6" s="1156"/>
      <c r="E6" s="1156"/>
      <c r="F6" s="1156"/>
      <c r="G6" s="1156"/>
      <c r="H6" s="1156"/>
      <c r="I6" s="1156"/>
      <c r="J6" s="1156"/>
      <c r="K6" s="1156"/>
      <c r="L6" s="1156"/>
      <c r="M6" s="1156" t="str">
        <f ca="1">'3.1 Nyttestrøm'!W76</f>
        <v/>
      </c>
      <c r="N6" s="1156" t="str">
        <f ca="1">'3.1 Nyttestrøm'!X76</f>
        <v/>
      </c>
      <c r="O6" s="1156" t="str">
        <f ca="1">'3.1 Nyttestrøm'!Y76</f>
        <v/>
      </c>
      <c r="P6" s="1156" t="str">
        <f ca="1">'3.1 Nyttestrøm'!Z76</f>
        <v/>
      </c>
      <c r="Q6" s="1156" t="str">
        <f ca="1">'3.1 Nyttestrøm'!AA76</f>
        <v/>
      </c>
      <c r="R6" s="1156" t="str">
        <f ca="1">'3.1 Nyttestrøm'!AB76</f>
        <v/>
      </c>
      <c r="S6" s="1156" t="str">
        <f ca="1">'3.1 Nyttestrøm'!AC76</f>
        <v/>
      </c>
      <c r="T6" s="1156" t="str">
        <f ca="1">'3.1 Nyttestrøm'!AD76</f>
        <v/>
      </c>
      <c r="U6" s="1156" t="str">
        <f ca="1">'3.1 Nyttestrøm'!AE76</f>
        <v/>
      </c>
      <c r="V6" s="1156" t="str">
        <f ca="1">'3.1 Nyttestrøm'!AF76</f>
        <v/>
      </c>
      <c r="W6" s="1156" t="str">
        <f ca="1">'3.1 Nyttestrøm'!AG76</f>
        <v/>
      </c>
      <c r="X6" s="1156" t="str">
        <f ca="1">'3.1 Nyttestrøm'!AH76</f>
        <v/>
      </c>
      <c r="Y6" s="1156" t="str">
        <f ca="1">'3.1 Nyttestrøm'!AI76</f>
        <v/>
      </c>
      <c r="Z6" s="1156" t="str">
        <f ca="1">'3.1 Nyttestrøm'!AJ76</f>
        <v/>
      </c>
      <c r="AA6" s="1156" t="str">
        <f ca="1">'3.1 Nyttestrøm'!AK76</f>
        <v/>
      </c>
      <c r="AB6" s="1156" t="str">
        <f ca="1">'3.1 Nyttestrøm'!AL76</f>
        <v/>
      </c>
      <c r="AC6" s="1156" t="str">
        <f ca="1">'3.1 Nyttestrøm'!AM76</f>
        <v/>
      </c>
      <c r="AD6" s="1156" t="str">
        <f ca="1">'3.1 Nyttestrøm'!AN76</f>
        <v/>
      </c>
      <c r="AE6" s="1156" t="str">
        <f ca="1">'3.1 Nyttestrøm'!AO76</f>
        <v/>
      </c>
      <c r="AF6" s="1156" t="str">
        <f ca="1">'3.1 Nyttestrøm'!AP76</f>
        <v/>
      </c>
      <c r="AG6" s="1156" t="str">
        <f ca="1">'3.1 Nyttestrøm'!AQ76</f>
        <v/>
      </c>
      <c r="AH6" s="1156" t="str">
        <f ca="1">'3.1 Nyttestrøm'!AR76</f>
        <v/>
      </c>
      <c r="AI6" s="1156" t="str">
        <f ca="1">'3.1 Nyttestrøm'!AS76</f>
        <v/>
      </c>
      <c r="AJ6" s="1156" t="str">
        <f ca="1">'3.1 Nyttestrøm'!AT76</f>
        <v/>
      </c>
      <c r="AK6" s="1156" t="str">
        <f ca="1">'3.1 Nyttestrøm'!AU76</f>
        <v/>
      </c>
      <c r="AL6" s="1156" t="str">
        <f ca="1">'3.1 Nyttestrøm'!AV76</f>
        <v/>
      </c>
      <c r="AM6" s="1156" t="str">
        <f ca="1">'3.1 Nyttestrøm'!AW76</f>
        <v/>
      </c>
      <c r="AN6" s="1156" t="str">
        <f ca="1">'3.1 Nyttestrøm'!AX76</f>
        <v/>
      </c>
      <c r="AO6" s="1156" t="str">
        <f ca="1">'3.1 Nyttestrøm'!AY76</f>
        <v/>
      </c>
      <c r="AP6" s="1156" t="str">
        <f ca="1">'3.1 Nyttestrøm'!AZ76</f>
        <v/>
      </c>
      <c r="AQ6" s="1156" t="str">
        <f ca="1">'3.1 Nyttestrøm'!BA76</f>
        <v/>
      </c>
      <c r="AR6" s="1156" t="str">
        <f ca="1">'3.1 Nyttestrøm'!BB76</f>
        <v/>
      </c>
      <c r="AS6" s="1156" t="str">
        <f ca="1">'3.1 Nyttestrøm'!BC76</f>
        <v/>
      </c>
      <c r="AT6" s="1156" t="str">
        <f ca="1">'3.1 Nyttestrøm'!BD76</f>
        <v/>
      </c>
      <c r="AU6" s="1156" t="str">
        <f ca="1">'3.1 Nyttestrøm'!BE76</f>
        <v/>
      </c>
      <c r="AV6" s="1156" t="str">
        <f ca="1">'3.1 Nyttestrøm'!BF76</f>
        <v/>
      </c>
      <c r="AW6" s="1156" t="str">
        <f ca="1">'3.1 Nyttestrøm'!BG76</f>
        <v/>
      </c>
      <c r="AX6" s="1156" t="str">
        <f ca="1">'3.1 Nyttestrøm'!BH76</f>
        <v/>
      </c>
      <c r="AY6" s="1156" t="str">
        <f ca="1">'3.1 Nyttestrøm'!BI76</f>
        <v/>
      </c>
      <c r="AZ6" s="1156" t="str">
        <f ca="1">'3.1 Nyttestrøm'!BJ76</f>
        <v/>
      </c>
      <c r="BA6" s="1156" t="str">
        <f ca="1">'3.1 Nyttestrøm'!BK76</f>
        <v/>
      </c>
      <c r="BB6" s="1156" t="str">
        <f ca="1">'3.1 Nyttestrøm'!BL76</f>
        <v/>
      </c>
      <c r="BC6" s="1156" t="str">
        <f ca="1">'3.1 Nyttestrøm'!BM76</f>
        <v/>
      </c>
      <c r="BD6" s="1156" t="str">
        <f ca="1">'3.1 Nyttestrøm'!BN76</f>
        <v/>
      </c>
      <c r="BE6" s="1156" t="str">
        <f ca="1">'3.1 Nyttestrøm'!BO76</f>
        <v/>
      </c>
      <c r="BF6" s="1156" t="str">
        <f ca="1">'3.1 Nyttestrøm'!BP76</f>
        <v/>
      </c>
      <c r="BG6" s="1156" t="str">
        <f ca="1">'3.1 Nyttestrøm'!BQ76</f>
        <v/>
      </c>
      <c r="BH6" s="1156" t="str">
        <f ca="1">'3.1 Nyttestrøm'!BR76</f>
        <v/>
      </c>
      <c r="BI6" s="1156" t="str">
        <f ca="1">'3.1 Nyttestrøm'!BS76</f>
        <v/>
      </c>
      <c r="BJ6" s="1156" t="str">
        <f ca="1">'3.1 Nyttestrøm'!BT76</f>
        <v/>
      </c>
      <c r="BK6" s="1156" t="str">
        <f ca="1">'3.1 Nyttestrøm'!BU76</f>
        <v/>
      </c>
      <c r="BL6" s="1156" t="str">
        <f ca="1">'3.1 Nyttestrøm'!BV76</f>
        <v/>
      </c>
      <c r="BM6" s="1156" t="str">
        <f ca="1">'3.1 Nyttestrøm'!BW76</f>
        <v/>
      </c>
      <c r="BN6" s="1156" t="str">
        <f ca="1">'3.1 Nyttestrøm'!BX76</f>
        <v/>
      </c>
      <c r="BO6" s="1156" t="str">
        <f ca="1">'3.1 Nyttestrøm'!BY76</f>
        <v/>
      </c>
      <c r="BP6" s="1156" t="str">
        <f ca="1">'3.1 Nyttestrøm'!BZ76</f>
        <v/>
      </c>
      <c r="BQ6" s="1156" t="str">
        <f ca="1">'3.1 Nyttestrøm'!CA76</f>
        <v/>
      </c>
      <c r="BR6" s="1156" t="str">
        <f ca="1">'3.1 Nyttestrøm'!CB76</f>
        <v/>
      </c>
      <c r="BS6" s="1156" t="str">
        <f ca="1">'3.1 Nyttestrøm'!CC76</f>
        <v/>
      </c>
      <c r="BT6" s="1156" t="str">
        <f ca="1">'3.1 Nyttestrøm'!CD76</f>
        <v/>
      </c>
      <c r="BU6" s="1156" t="str">
        <f ca="1">'3.1 Nyttestrøm'!CE76</f>
        <v/>
      </c>
      <c r="BV6" s="1156" t="str">
        <f ca="1">'3.1 Nyttestrøm'!CF76</f>
        <v/>
      </c>
      <c r="BW6" s="1156" t="str">
        <f ca="1">'3.1 Nyttestrøm'!CG76</f>
        <v/>
      </c>
      <c r="BX6" s="1156" t="str">
        <f ca="1">'3.1 Nyttestrøm'!CH76</f>
        <v/>
      </c>
      <c r="BY6" s="1156" t="str">
        <f ca="1">'3.1 Nyttestrøm'!CI76</f>
        <v/>
      </c>
      <c r="BZ6" s="1156" t="str">
        <f ca="1">'3.1 Nyttestrøm'!CJ76</f>
        <v/>
      </c>
      <c r="CA6" s="1156" t="str">
        <f ca="1">'3.1 Nyttestrøm'!CK76</f>
        <v/>
      </c>
      <c r="CB6" s="1156" t="str">
        <f ca="1">'3.1 Nyttestrøm'!CL76</f>
        <v/>
      </c>
      <c r="CC6" s="1156" t="str">
        <f ca="1">'3.1 Nyttestrøm'!CM76</f>
        <v/>
      </c>
      <c r="CD6" s="1156" t="str">
        <f ca="1">'3.1 Nyttestrøm'!CN76</f>
        <v/>
      </c>
      <c r="CE6" s="1156" t="str">
        <f ca="1">'3.1 Nyttestrøm'!CO76</f>
        <v/>
      </c>
      <c r="CF6" s="1156" t="str">
        <f ca="1">'3.1 Nyttestrøm'!CP76</f>
        <v/>
      </c>
      <c r="CG6" s="1156" t="str">
        <f ca="1">'3.1 Nyttestrøm'!CQ76</f>
        <v/>
      </c>
      <c r="CH6" s="1156" t="str">
        <f ca="1">'3.1 Nyttestrøm'!CR76</f>
        <v/>
      </c>
      <c r="CI6" s="1156" t="str">
        <f ca="1">'3.1 Nyttestrøm'!CS76</f>
        <v/>
      </c>
      <c r="CJ6" s="1156" t="str">
        <f ca="1">'3.1 Nyttestrøm'!CT76</f>
        <v/>
      </c>
      <c r="CK6" s="1156" t="str">
        <f ca="1">'3.1 Nyttestrøm'!CU76</f>
        <v/>
      </c>
      <c r="CL6" s="1156" t="str">
        <f ca="1">'3.1 Nyttestrøm'!CV76</f>
        <v/>
      </c>
      <c r="CM6" s="1156" t="str">
        <f ca="1">'3.1 Nyttestrøm'!CW76</f>
        <v/>
      </c>
      <c r="CN6" s="1156" t="str">
        <f ca="1">'3.1 Nyttestrøm'!CX76</f>
        <v/>
      </c>
      <c r="CO6" s="1156" t="str">
        <f ca="1">'3.1 Nyttestrøm'!CY76</f>
        <v/>
      </c>
      <c r="CP6" s="1156" t="str">
        <f ca="1">'3.1 Nyttestrøm'!CZ76</f>
        <v/>
      </c>
      <c r="CQ6" s="1156" t="str">
        <f ca="1">'3.1 Nyttestrøm'!DA76</f>
        <v/>
      </c>
      <c r="CR6" s="1156" t="str">
        <f ca="1">'3.1 Nyttestrøm'!DB76</f>
        <v/>
      </c>
      <c r="CS6" s="1156" t="str">
        <f ca="1">'3.1 Nyttestrøm'!DC76</f>
        <v/>
      </c>
      <c r="CT6" s="1156" t="str">
        <f ca="1">'3.1 Nyttestrøm'!DD76</f>
        <v/>
      </c>
      <c r="CU6" s="1156" t="str">
        <f ca="1">'3.1 Nyttestrøm'!DE76</f>
        <v/>
      </c>
      <c r="CV6" s="1156" t="str">
        <f ca="1">'3.1 Nyttestrøm'!DF76</f>
        <v/>
      </c>
      <c r="CW6" s="1156" t="str">
        <f ca="1">'3.1 Nyttestrøm'!DG76</f>
        <v/>
      </c>
      <c r="CX6" s="1156" t="str">
        <f ca="1">'3.1 Nyttestrøm'!DH76</f>
        <v/>
      </c>
      <c r="CY6" s="1156" t="str">
        <f ca="1">'3.1 Nyttestrøm'!DI76</f>
        <v/>
      </c>
      <c r="CZ6" s="1156" t="str">
        <f ca="1">'3.1 Nyttestrøm'!DJ76</f>
        <v/>
      </c>
      <c r="DA6" s="1156" t="str">
        <f ca="1">'3.1 Nyttestrøm'!DK76</f>
        <v/>
      </c>
      <c r="DB6" s="1156" t="str">
        <f ca="1">'3.1 Nyttestrøm'!DL76</f>
        <v/>
      </c>
      <c r="DC6" s="1156" t="str">
        <f ca="1">'3.1 Nyttestrøm'!DM76</f>
        <v/>
      </c>
      <c r="DD6" s="1156" t="str">
        <f ca="1">'3.1 Nyttestrøm'!DN76</f>
        <v/>
      </c>
      <c r="DE6" s="1156" t="str">
        <f ca="1">'3.1 Nyttestrøm'!DO76</f>
        <v/>
      </c>
      <c r="DF6" s="1156" t="str">
        <f ca="1">'3.1 Nyttestrøm'!DP76</f>
        <v/>
      </c>
      <c r="DG6" s="1156" t="str">
        <f ca="1">'3.1 Nyttestrøm'!DQ76</f>
        <v/>
      </c>
      <c r="DH6" s="1166" t="str">
        <f ca="1">'3.1 Nyttestrøm'!DR76</f>
        <v/>
      </c>
    </row>
    <row r="7" spans="1:112" x14ac:dyDescent="0.35">
      <c r="A7" s="685"/>
      <c r="B7" s="446" t="str">
        <f>'3.1 Nyttestrøm'!C77</f>
        <v>Jernbane - Godstog</v>
      </c>
      <c r="C7" s="1156"/>
      <c r="D7" s="1156"/>
      <c r="E7" s="1156"/>
      <c r="F7" s="1156"/>
      <c r="G7" s="1156"/>
      <c r="H7" s="1156"/>
      <c r="I7" s="1156"/>
      <c r="J7" s="1156"/>
      <c r="K7" s="1156"/>
      <c r="L7" s="1156"/>
      <c r="M7" s="1156" t="str">
        <f ca="1">'3.1 Nyttestrøm'!W77</f>
        <v/>
      </c>
      <c r="N7" s="1156" t="str">
        <f ca="1">'3.1 Nyttestrøm'!X77</f>
        <v/>
      </c>
      <c r="O7" s="1156" t="str">
        <f ca="1">'3.1 Nyttestrøm'!Y77</f>
        <v/>
      </c>
      <c r="P7" s="1156" t="str">
        <f ca="1">'3.1 Nyttestrøm'!Z77</f>
        <v/>
      </c>
      <c r="Q7" s="1156" t="str">
        <f ca="1">'3.1 Nyttestrøm'!AA77</f>
        <v/>
      </c>
      <c r="R7" s="1156" t="str">
        <f ca="1">'3.1 Nyttestrøm'!AB77</f>
        <v/>
      </c>
      <c r="S7" s="1156" t="str">
        <f ca="1">'3.1 Nyttestrøm'!AC77</f>
        <v/>
      </c>
      <c r="T7" s="1156" t="str">
        <f ca="1">'3.1 Nyttestrøm'!AD77</f>
        <v/>
      </c>
      <c r="U7" s="1156" t="str">
        <f ca="1">'3.1 Nyttestrøm'!AE77</f>
        <v/>
      </c>
      <c r="V7" s="1156" t="str">
        <f ca="1">'3.1 Nyttestrøm'!AF77</f>
        <v/>
      </c>
      <c r="W7" s="1156" t="str">
        <f ca="1">'3.1 Nyttestrøm'!AG77</f>
        <v/>
      </c>
      <c r="X7" s="1156" t="str">
        <f ca="1">'3.1 Nyttestrøm'!AH77</f>
        <v/>
      </c>
      <c r="Y7" s="1156" t="str">
        <f ca="1">'3.1 Nyttestrøm'!AI77</f>
        <v/>
      </c>
      <c r="Z7" s="1156" t="str">
        <f ca="1">'3.1 Nyttestrøm'!AJ77</f>
        <v/>
      </c>
      <c r="AA7" s="1156" t="str">
        <f ca="1">'3.1 Nyttestrøm'!AK77</f>
        <v/>
      </c>
      <c r="AB7" s="1156" t="str">
        <f ca="1">'3.1 Nyttestrøm'!AL77</f>
        <v/>
      </c>
      <c r="AC7" s="1156" t="str">
        <f ca="1">'3.1 Nyttestrøm'!AM77</f>
        <v/>
      </c>
      <c r="AD7" s="1156" t="str">
        <f ca="1">'3.1 Nyttestrøm'!AN77</f>
        <v/>
      </c>
      <c r="AE7" s="1156" t="str">
        <f ca="1">'3.1 Nyttestrøm'!AO77</f>
        <v/>
      </c>
      <c r="AF7" s="1156" t="str">
        <f ca="1">'3.1 Nyttestrøm'!AP77</f>
        <v/>
      </c>
      <c r="AG7" s="1156" t="str">
        <f ca="1">'3.1 Nyttestrøm'!AQ77</f>
        <v/>
      </c>
      <c r="AH7" s="1156" t="str">
        <f ca="1">'3.1 Nyttestrøm'!AR77</f>
        <v/>
      </c>
      <c r="AI7" s="1156" t="str">
        <f ca="1">'3.1 Nyttestrøm'!AS77</f>
        <v/>
      </c>
      <c r="AJ7" s="1156" t="str">
        <f ca="1">'3.1 Nyttestrøm'!AT77</f>
        <v/>
      </c>
      <c r="AK7" s="1156" t="str">
        <f ca="1">'3.1 Nyttestrøm'!AU77</f>
        <v/>
      </c>
      <c r="AL7" s="1156" t="str">
        <f ca="1">'3.1 Nyttestrøm'!AV77</f>
        <v/>
      </c>
      <c r="AM7" s="1156" t="str">
        <f ca="1">'3.1 Nyttestrøm'!AW77</f>
        <v/>
      </c>
      <c r="AN7" s="1156" t="str">
        <f ca="1">'3.1 Nyttestrøm'!AX77</f>
        <v/>
      </c>
      <c r="AO7" s="1156" t="str">
        <f ca="1">'3.1 Nyttestrøm'!AY77</f>
        <v/>
      </c>
      <c r="AP7" s="1156" t="str">
        <f ca="1">'3.1 Nyttestrøm'!AZ77</f>
        <v/>
      </c>
      <c r="AQ7" s="1156" t="str">
        <f ca="1">'3.1 Nyttestrøm'!BA77</f>
        <v/>
      </c>
      <c r="AR7" s="1156" t="str">
        <f ca="1">'3.1 Nyttestrøm'!BB77</f>
        <v/>
      </c>
      <c r="AS7" s="1156" t="str">
        <f ca="1">'3.1 Nyttestrøm'!BC77</f>
        <v/>
      </c>
      <c r="AT7" s="1156" t="str">
        <f ca="1">'3.1 Nyttestrøm'!BD77</f>
        <v/>
      </c>
      <c r="AU7" s="1156" t="str">
        <f ca="1">'3.1 Nyttestrøm'!BE77</f>
        <v/>
      </c>
      <c r="AV7" s="1156" t="str">
        <f ca="1">'3.1 Nyttestrøm'!BF77</f>
        <v/>
      </c>
      <c r="AW7" s="1156" t="str">
        <f ca="1">'3.1 Nyttestrøm'!BG77</f>
        <v/>
      </c>
      <c r="AX7" s="1156" t="str">
        <f ca="1">'3.1 Nyttestrøm'!BH77</f>
        <v/>
      </c>
      <c r="AY7" s="1156" t="str">
        <f ca="1">'3.1 Nyttestrøm'!BI77</f>
        <v/>
      </c>
      <c r="AZ7" s="1156" t="str">
        <f ca="1">'3.1 Nyttestrøm'!BJ77</f>
        <v/>
      </c>
      <c r="BA7" s="1156" t="str">
        <f ca="1">'3.1 Nyttestrøm'!BK77</f>
        <v/>
      </c>
      <c r="BB7" s="1156" t="str">
        <f ca="1">'3.1 Nyttestrøm'!BL77</f>
        <v/>
      </c>
      <c r="BC7" s="1156" t="str">
        <f ca="1">'3.1 Nyttestrøm'!BM77</f>
        <v/>
      </c>
      <c r="BD7" s="1156" t="str">
        <f ca="1">'3.1 Nyttestrøm'!BN77</f>
        <v/>
      </c>
      <c r="BE7" s="1156" t="str">
        <f ca="1">'3.1 Nyttestrøm'!BO77</f>
        <v/>
      </c>
      <c r="BF7" s="1156" t="str">
        <f ca="1">'3.1 Nyttestrøm'!BP77</f>
        <v/>
      </c>
      <c r="BG7" s="1156" t="str">
        <f ca="1">'3.1 Nyttestrøm'!BQ77</f>
        <v/>
      </c>
      <c r="BH7" s="1156" t="str">
        <f ca="1">'3.1 Nyttestrøm'!BR77</f>
        <v/>
      </c>
      <c r="BI7" s="1156" t="str">
        <f ca="1">'3.1 Nyttestrøm'!BS77</f>
        <v/>
      </c>
      <c r="BJ7" s="1156" t="str">
        <f ca="1">'3.1 Nyttestrøm'!BT77</f>
        <v/>
      </c>
      <c r="BK7" s="1156" t="str">
        <f ca="1">'3.1 Nyttestrøm'!BU77</f>
        <v/>
      </c>
      <c r="BL7" s="1156" t="str">
        <f ca="1">'3.1 Nyttestrøm'!BV77</f>
        <v/>
      </c>
      <c r="BM7" s="1156" t="str">
        <f ca="1">'3.1 Nyttestrøm'!BW77</f>
        <v/>
      </c>
      <c r="BN7" s="1156" t="str">
        <f ca="1">'3.1 Nyttestrøm'!BX77</f>
        <v/>
      </c>
      <c r="BO7" s="1156" t="str">
        <f ca="1">'3.1 Nyttestrøm'!BY77</f>
        <v/>
      </c>
      <c r="BP7" s="1156" t="str">
        <f ca="1">'3.1 Nyttestrøm'!BZ77</f>
        <v/>
      </c>
      <c r="BQ7" s="1156" t="str">
        <f ca="1">'3.1 Nyttestrøm'!CA77</f>
        <v/>
      </c>
      <c r="BR7" s="1156" t="str">
        <f ca="1">'3.1 Nyttestrøm'!CB77</f>
        <v/>
      </c>
      <c r="BS7" s="1156" t="str">
        <f ca="1">'3.1 Nyttestrøm'!CC77</f>
        <v/>
      </c>
      <c r="BT7" s="1156" t="str">
        <f ca="1">'3.1 Nyttestrøm'!CD77</f>
        <v/>
      </c>
      <c r="BU7" s="1156" t="str">
        <f ca="1">'3.1 Nyttestrøm'!CE77</f>
        <v/>
      </c>
      <c r="BV7" s="1156" t="str">
        <f ca="1">'3.1 Nyttestrøm'!CF77</f>
        <v/>
      </c>
      <c r="BW7" s="1156" t="str">
        <f ca="1">'3.1 Nyttestrøm'!CG77</f>
        <v/>
      </c>
      <c r="BX7" s="1156" t="str">
        <f ca="1">'3.1 Nyttestrøm'!CH77</f>
        <v/>
      </c>
      <c r="BY7" s="1156" t="str">
        <f ca="1">'3.1 Nyttestrøm'!CI77</f>
        <v/>
      </c>
      <c r="BZ7" s="1156" t="str">
        <f ca="1">'3.1 Nyttestrøm'!CJ77</f>
        <v/>
      </c>
      <c r="CA7" s="1156" t="str">
        <f ca="1">'3.1 Nyttestrøm'!CK77</f>
        <v/>
      </c>
      <c r="CB7" s="1156" t="str">
        <f ca="1">'3.1 Nyttestrøm'!CL77</f>
        <v/>
      </c>
      <c r="CC7" s="1156" t="str">
        <f ca="1">'3.1 Nyttestrøm'!CM77</f>
        <v/>
      </c>
      <c r="CD7" s="1156" t="str">
        <f ca="1">'3.1 Nyttestrøm'!CN77</f>
        <v/>
      </c>
      <c r="CE7" s="1156" t="str">
        <f ca="1">'3.1 Nyttestrøm'!CO77</f>
        <v/>
      </c>
      <c r="CF7" s="1156" t="str">
        <f ca="1">'3.1 Nyttestrøm'!CP77</f>
        <v/>
      </c>
      <c r="CG7" s="1156" t="str">
        <f ca="1">'3.1 Nyttestrøm'!CQ77</f>
        <v/>
      </c>
      <c r="CH7" s="1156" t="str">
        <f ca="1">'3.1 Nyttestrøm'!CR77</f>
        <v/>
      </c>
      <c r="CI7" s="1156" t="str">
        <f ca="1">'3.1 Nyttestrøm'!CS77</f>
        <v/>
      </c>
      <c r="CJ7" s="1156" t="str">
        <f ca="1">'3.1 Nyttestrøm'!CT77</f>
        <v/>
      </c>
      <c r="CK7" s="1156" t="str">
        <f ca="1">'3.1 Nyttestrøm'!CU77</f>
        <v/>
      </c>
      <c r="CL7" s="1156" t="str">
        <f ca="1">'3.1 Nyttestrøm'!CV77</f>
        <v/>
      </c>
      <c r="CM7" s="1156" t="str">
        <f ca="1">'3.1 Nyttestrøm'!CW77</f>
        <v/>
      </c>
      <c r="CN7" s="1156" t="str">
        <f ca="1">'3.1 Nyttestrøm'!CX77</f>
        <v/>
      </c>
      <c r="CO7" s="1156" t="str">
        <f ca="1">'3.1 Nyttestrøm'!CY77</f>
        <v/>
      </c>
      <c r="CP7" s="1156" t="str">
        <f ca="1">'3.1 Nyttestrøm'!CZ77</f>
        <v/>
      </c>
      <c r="CQ7" s="1156" t="str">
        <f ca="1">'3.1 Nyttestrøm'!DA77</f>
        <v/>
      </c>
      <c r="CR7" s="1156" t="str">
        <f ca="1">'3.1 Nyttestrøm'!DB77</f>
        <v/>
      </c>
      <c r="CS7" s="1156" t="str">
        <f ca="1">'3.1 Nyttestrøm'!DC77</f>
        <v/>
      </c>
      <c r="CT7" s="1156" t="str">
        <f ca="1">'3.1 Nyttestrøm'!DD77</f>
        <v/>
      </c>
      <c r="CU7" s="1156" t="str">
        <f ca="1">'3.1 Nyttestrøm'!DE77</f>
        <v/>
      </c>
      <c r="CV7" s="1156" t="str">
        <f ca="1">'3.1 Nyttestrøm'!DF77</f>
        <v/>
      </c>
      <c r="CW7" s="1156" t="str">
        <f ca="1">'3.1 Nyttestrøm'!DG77</f>
        <v/>
      </c>
      <c r="CX7" s="1156" t="str">
        <f ca="1">'3.1 Nyttestrøm'!DH77</f>
        <v/>
      </c>
      <c r="CY7" s="1156" t="str">
        <f ca="1">'3.1 Nyttestrøm'!DI77</f>
        <v/>
      </c>
      <c r="CZ7" s="1156" t="str">
        <f ca="1">'3.1 Nyttestrøm'!DJ77</f>
        <v/>
      </c>
      <c r="DA7" s="1156" t="str">
        <f ca="1">'3.1 Nyttestrøm'!DK77</f>
        <v/>
      </c>
      <c r="DB7" s="1156" t="str">
        <f ca="1">'3.1 Nyttestrøm'!DL77</f>
        <v/>
      </c>
      <c r="DC7" s="1156" t="str">
        <f ca="1">'3.1 Nyttestrøm'!DM77</f>
        <v/>
      </c>
      <c r="DD7" s="1156" t="str">
        <f ca="1">'3.1 Nyttestrøm'!DN77</f>
        <v/>
      </c>
      <c r="DE7" s="1156" t="str">
        <f ca="1">'3.1 Nyttestrøm'!DO77</f>
        <v/>
      </c>
      <c r="DF7" s="1156" t="str">
        <f ca="1">'3.1 Nyttestrøm'!DP77</f>
        <v/>
      </c>
      <c r="DG7" s="1156" t="str">
        <f ca="1">'3.1 Nyttestrøm'!DQ77</f>
        <v/>
      </c>
      <c r="DH7" s="1166" t="str">
        <f ca="1">'3.1 Nyttestrøm'!DR77</f>
        <v/>
      </c>
    </row>
    <row r="8" spans="1:112" x14ac:dyDescent="0.35">
      <c r="A8" s="685"/>
      <c r="B8" s="446" t="str">
        <f>'3.1 Nyttestrøm'!C78</f>
        <v>Personbil</v>
      </c>
      <c r="C8" s="1156"/>
      <c r="D8" s="1156"/>
      <c r="E8" s="1156"/>
      <c r="F8" s="1156"/>
      <c r="G8" s="1156"/>
      <c r="H8" s="1156"/>
      <c r="I8" s="1156"/>
      <c r="J8" s="1156"/>
      <c r="K8" s="1156"/>
      <c r="L8" s="1156"/>
      <c r="M8" s="1156" t="str">
        <f ca="1">'3.1 Nyttestrøm'!W78</f>
        <v/>
      </c>
      <c r="N8" s="1156" t="str">
        <f ca="1">'3.1 Nyttestrøm'!X78</f>
        <v/>
      </c>
      <c r="O8" s="1156" t="str">
        <f ca="1">'3.1 Nyttestrøm'!Y78</f>
        <v/>
      </c>
      <c r="P8" s="1156" t="str">
        <f ca="1">'3.1 Nyttestrøm'!Z78</f>
        <v/>
      </c>
      <c r="Q8" s="1156" t="str">
        <f ca="1">'3.1 Nyttestrøm'!AA78</f>
        <v/>
      </c>
      <c r="R8" s="1156" t="str">
        <f ca="1">'3.1 Nyttestrøm'!AB78</f>
        <v/>
      </c>
      <c r="S8" s="1156" t="str">
        <f ca="1">'3.1 Nyttestrøm'!AC78</f>
        <v/>
      </c>
      <c r="T8" s="1156" t="str">
        <f ca="1">'3.1 Nyttestrøm'!AD78</f>
        <v/>
      </c>
      <c r="U8" s="1156" t="str">
        <f ca="1">'3.1 Nyttestrøm'!AE78</f>
        <v/>
      </c>
      <c r="V8" s="1156" t="str">
        <f ca="1">'3.1 Nyttestrøm'!AF78</f>
        <v/>
      </c>
      <c r="W8" s="1156" t="str">
        <f ca="1">'3.1 Nyttestrøm'!AG78</f>
        <v/>
      </c>
      <c r="X8" s="1156" t="str">
        <f ca="1">'3.1 Nyttestrøm'!AH78</f>
        <v/>
      </c>
      <c r="Y8" s="1156" t="str">
        <f ca="1">'3.1 Nyttestrøm'!AI78</f>
        <v/>
      </c>
      <c r="Z8" s="1156" t="str">
        <f ca="1">'3.1 Nyttestrøm'!AJ78</f>
        <v/>
      </c>
      <c r="AA8" s="1156" t="str">
        <f ca="1">'3.1 Nyttestrøm'!AK78</f>
        <v/>
      </c>
      <c r="AB8" s="1156" t="str">
        <f ca="1">'3.1 Nyttestrøm'!AL78</f>
        <v/>
      </c>
      <c r="AC8" s="1156" t="str">
        <f ca="1">'3.1 Nyttestrøm'!AM78</f>
        <v/>
      </c>
      <c r="AD8" s="1156" t="str">
        <f ca="1">'3.1 Nyttestrøm'!AN78</f>
        <v/>
      </c>
      <c r="AE8" s="1156" t="str">
        <f ca="1">'3.1 Nyttestrøm'!AO78</f>
        <v/>
      </c>
      <c r="AF8" s="1156" t="str">
        <f ca="1">'3.1 Nyttestrøm'!AP78</f>
        <v/>
      </c>
      <c r="AG8" s="1156" t="str">
        <f ca="1">'3.1 Nyttestrøm'!AQ78</f>
        <v/>
      </c>
      <c r="AH8" s="1156" t="str">
        <f ca="1">'3.1 Nyttestrøm'!AR78</f>
        <v/>
      </c>
      <c r="AI8" s="1156" t="str">
        <f ca="1">'3.1 Nyttestrøm'!AS78</f>
        <v/>
      </c>
      <c r="AJ8" s="1156" t="str">
        <f ca="1">'3.1 Nyttestrøm'!AT78</f>
        <v/>
      </c>
      <c r="AK8" s="1156" t="str">
        <f ca="1">'3.1 Nyttestrøm'!AU78</f>
        <v/>
      </c>
      <c r="AL8" s="1156" t="str">
        <f ca="1">'3.1 Nyttestrøm'!AV78</f>
        <v/>
      </c>
      <c r="AM8" s="1156" t="str">
        <f ca="1">'3.1 Nyttestrøm'!AW78</f>
        <v/>
      </c>
      <c r="AN8" s="1156" t="str">
        <f ca="1">'3.1 Nyttestrøm'!AX78</f>
        <v/>
      </c>
      <c r="AO8" s="1156" t="str">
        <f ca="1">'3.1 Nyttestrøm'!AY78</f>
        <v/>
      </c>
      <c r="AP8" s="1156" t="str">
        <f ca="1">'3.1 Nyttestrøm'!AZ78</f>
        <v/>
      </c>
      <c r="AQ8" s="1156" t="str">
        <f ca="1">'3.1 Nyttestrøm'!BA78</f>
        <v/>
      </c>
      <c r="AR8" s="1156" t="str">
        <f ca="1">'3.1 Nyttestrøm'!BB78</f>
        <v/>
      </c>
      <c r="AS8" s="1156" t="str">
        <f ca="1">'3.1 Nyttestrøm'!BC78</f>
        <v/>
      </c>
      <c r="AT8" s="1156" t="str">
        <f ca="1">'3.1 Nyttestrøm'!BD78</f>
        <v/>
      </c>
      <c r="AU8" s="1156" t="str">
        <f ca="1">'3.1 Nyttestrøm'!BE78</f>
        <v/>
      </c>
      <c r="AV8" s="1156" t="str">
        <f ca="1">'3.1 Nyttestrøm'!BF78</f>
        <v/>
      </c>
      <c r="AW8" s="1156" t="str">
        <f ca="1">'3.1 Nyttestrøm'!BG78</f>
        <v/>
      </c>
      <c r="AX8" s="1156" t="str">
        <f ca="1">'3.1 Nyttestrøm'!BH78</f>
        <v/>
      </c>
      <c r="AY8" s="1156" t="str">
        <f ca="1">'3.1 Nyttestrøm'!BI78</f>
        <v/>
      </c>
      <c r="AZ8" s="1156" t="str">
        <f ca="1">'3.1 Nyttestrøm'!BJ78</f>
        <v/>
      </c>
      <c r="BA8" s="1156" t="str">
        <f ca="1">'3.1 Nyttestrøm'!BK78</f>
        <v/>
      </c>
      <c r="BB8" s="1156" t="str">
        <f ca="1">'3.1 Nyttestrøm'!BL78</f>
        <v/>
      </c>
      <c r="BC8" s="1156" t="str">
        <f ca="1">'3.1 Nyttestrøm'!BM78</f>
        <v/>
      </c>
      <c r="BD8" s="1156" t="str">
        <f ca="1">'3.1 Nyttestrøm'!BN78</f>
        <v/>
      </c>
      <c r="BE8" s="1156" t="str">
        <f ca="1">'3.1 Nyttestrøm'!BO78</f>
        <v/>
      </c>
      <c r="BF8" s="1156" t="str">
        <f ca="1">'3.1 Nyttestrøm'!BP78</f>
        <v/>
      </c>
      <c r="BG8" s="1156" t="str">
        <f ca="1">'3.1 Nyttestrøm'!BQ78</f>
        <v/>
      </c>
      <c r="BH8" s="1156" t="str">
        <f ca="1">'3.1 Nyttestrøm'!BR78</f>
        <v/>
      </c>
      <c r="BI8" s="1156" t="str">
        <f ca="1">'3.1 Nyttestrøm'!BS78</f>
        <v/>
      </c>
      <c r="BJ8" s="1156" t="str">
        <f ca="1">'3.1 Nyttestrøm'!BT78</f>
        <v/>
      </c>
      <c r="BK8" s="1156" t="str">
        <f ca="1">'3.1 Nyttestrøm'!BU78</f>
        <v/>
      </c>
      <c r="BL8" s="1156" t="str">
        <f ca="1">'3.1 Nyttestrøm'!BV78</f>
        <v/>
      </c>
      <c r="BM8" s="1156" t="str">
        <f ca="1">'3.1 Nyttestrøm'!BW78</f>
        <v/>
      </c>
      <c r="BN8" s="1156" t="str">
        <f ca="1">'3.1 Nyttestrøm'!BX78</f>
        <v/>
      </c>
      <c r="BO8" s="1156" t="str">
        <f ca="1">'3.1 Nyttestrøm'!BY78</f>
        <v/>
      </c>
      <c r="BP8" s="1156" t="str">
        <f ca="1">'3.1 Nyttestrøm'!BZ78</f>
        <v/>
      </c>
      <c r="BQ8" s="1156" t="str">
        <f ca="1">'3.1 Nyttestrøm'!CA78</f>
        <v/>
      </c>
      <c r="BR8" s="1156" t="str">
        <f ca="1">'3.1 Nyttestrøm'!CB78</f>
        <v/>
      </c>
      <c r="BS8" s="1156" t="str">
        <f ca="1">'3.1 Nyttestrøm'!CC78</f>
        <v/>
      </c>
      <c r="BT8" s="1156" t="str">
        <f ca="1">'3.1 Nyttestrøm'!CD78</f>
        <v/>
      </c>
      <c r="BU8" s="1156" t="str">
        <f ca="1">'3.1 Nyttestrøm'!CE78</f>
        <v/>
      </c>
      <c r="BV8" s="1156" t="str">
        <f ca="1">'3.1 Nyttestrøm'!CF78</f>
        <v/>
      </c>
      <c r="BW8" s="1156" t="str">
        <f ca="1">'3.1 Nyttestrøm'!CG78</f>
        <v/>
      </c>
      <c r="BX8" s="1156" t="str">
        <f ca="1">'3.1 Nyttestrøm'!CH78</f>
        <v/>
      </c>
      <c r="BY8" s="1156" t="str">
        <f ca="1">'3.1 Nyttestrøm'!CI78</f>
        <v/>
      </c>
      <c r="BZ8" s="1156" t="str">
        <f ca="1">'3.1 Nyttestrøm'!CJ78</f>
        <v/>
      </c>
      <c r="CA8" s="1156" t="str">
        <f ca="1">'3.1 Nyttestrøm'!CK78</f>
        <v/>
      </c>
      <c r="CB8" s="1156" t="str">
        <f ca="1">'3.1 Nyttestrøm'!CL78</f>
        <v/>
      </c>
      <c r="CC8" s="1156" t="str">
        <f ca="1">'3.1 Nyttestrøm'!CM78</f>
        <v/>
      </c>
      <c r="CD8" s="1156" t="str">
        <f ca="1">'3.1 Nyttestrøm'!CN78</f>
        <v/>
      </c>
      <c r="CE8" s="1156" t="str">
        <f ca="1">'3.1 Nyttestrøm'!CO78</f>
        <v/>
      </c>
      <c r="CF8" s="1156" t="str">
        <f ca="1">'3.1 Nyttestrøm'!CP78</f>
        <v/>
      </c>
      <c r="CG8" s="1156" t="str">
        <f ca="1">'3.1 Nyttestrøm'!CQ78</f>
        <v/>
      </c>
      <c r="CH8" s="1156" t="str">
        <f ca="1">'3.1 Nyttestrøm'!CR78</f>
        <v/>
      </c>
      <c r="CI8" s="1156" t="str">
        <f ca="1">'3.1 Nyttestrøm'!CS78</f>
        <v/>
      </c>
      <c r="CJ8" s="1156" t="str">
        <f ca="1">'3.1 Nyttestrøm'!CT78</f>
        <v/>
      </c>
      <c r="CK8" s="1156" t="str">
        <f ca="1">'3.1 Nyttestrøm'!CU78</f>
        <v/>
      </c>
      <c r="CL8" s="1156" t="str">
        <f ca="1">'3.1 Nyttestrøm'!CV78</f>
        <v/>
      </c>
      <c r="CM8" s="1156" t="str">
        <f ca="1">'3.1 Nyttestrøm'!CW78</f>
        <v/>
      </c>
      <c r="CN8" s="1156" t="str">
        <f ca="1">'3.1 Nyttestrøm'!CX78</f>
        <v/>
      </c>
      <c r="CO8" s="1156" t="str">
        <f ca="1">'3.1 Nyttestrøm'!CY78</f>
        <v/>
      </c>
      <c r="CP8" s="1156" t="str">
        <f ca="1">'3.1 Nyttestrøm'!CZ78</f>
        <v/>
      </c>
      <c r="CQ8" s="1156" t="str">
        <f ca="1">'3.1 Nyttestrøm'!DA78</f>
        <v/>
      </c>
      <c r="CR8" s="1156" t="str">
        <f ca="1">'3.1 Nyttestrøm'!DB78</f>
        <v/>
      </c>
      <c r="CS8" s="1156" t="str">
        <f ca="1">'3.1 Nyttestrøm'!DC78</f>
        <v/>
      </c>
      <c r="CT8" s="1156" t="str">
        <f ca="1">'3.1 Nyttestrøm'!DD78</f>
        <v/>
      </c>
      <c r="CU8" s="1156" t="str">
        <f ca="1">'3.1 Nyttestrøm'!DE78</f>
        <v/>
      </c>
      <c r="CV8" s="1156" t="str">
        <f ca="1">'3.1 Nyttestrøm'!DF78</f>
        <v/>
      </c>
      <c r="CW8" s="1156" t="str">
        <f ca="1">'3.1 Nyttestrøm'!DG78</f>
        <v/>
      </c>
      <c r="CX8" s="1156" t="str">
        <f ca="1">'3.1 Nyttestrøm'!DH78</f>
        <v/>
      </c>
      <c r="CY8" s="1156" t="str">
        <f ca="1">'3.1 Nyttestrøm'!DI78</f>
        <v/>
      </c>
      <c r="CZ8" s="1156" t="str">
        <f ca="1">'3.1 Nyttestrøm'!DJ78</f>
        <v/>
      </c>
      <c r="DA8" s="1156" t="str">
        <f ca="1">'3.1 Nyttestrøm'!DK78</f>
        <v/>
      </c>
      <c r="DB8" s="1156" t="str">
        <f ca="1">'3.1 Nyttestrøm'!DL78</f>
        <v/>
      </c>
      <c r="DC8" s="1156" t="str">
        <f ca="1">'3.1 Nyttestrøm'!DM78</f>
        <v/>
      </c>
      <c r="DD8" s="1156" t="str">
        <f ca="1">'3.1 Nyttestrøm'!DN78</f>
        <v/>
      </c>
      <c r="DE8" s="1156" t="str">
        <f ca="1">'3.1 Nyttestrøm'!DO78</f>
        <v/>
      </c>
      <c r="DF8" s="1156" t="str">
        <f ca="1">'3.1 Nyttestrøm'!DP78</f>
        <v/>
      </c>
      <c r="DG8" s="1156" t="str">
        <f ca="1">'3.1 Nyttestrøm'!DQ78</f>
        <v/>
      </c>
      <c r="DH8" s="1166" t="str">
        <f ca="1">'3.1 Nyttestrøm'!DR78</f>
        <v/>
      </c>
    </row>
    <row r="9" spans="1:112" x14ac:dyDescent="0.35">
      <c r="A9" s="685"/>
      <c r="B9" s="446" t="str">
        <f>'3.1 Nyttestrøm'!C79</f>
        <v>Buss</v>
      </c>
      <c r="C9" s="1156"/>
      <c r="D9" s="1156"/>
      <c r="E9" s="1156"/>
      <c r="F9" s="1156"/>
      <c r="G9" s="1156"/>
      <c r="H9" s="1156"/>
      <c r="I9" s="1156"/>
      <c r="J9" s="1156"/>
      <c r="K9" s="1156"/>
      <c r="L9" s="1156"/>
      <c r="M9" s="1156" t="str">
        <f ca="1">'3.1 Nyttestrøm'!W79</f>
        <v/>
      </c>
      <c r="N9" s="1156" t="str">
        <f ca="1">'3.1 Nyttestrøm'!X79</f>
        <v/>
      </c>
      <c r="O9" s="1156" t="str">
        <f ca="1">'3.1 Nyttestrøm'!Y79</f>
        <v/>
      </c>
      <c r="P9" s="1156" t="str">
        <f ca="1">'3.1 Nyttestrøm'!Z79</f>
        <v/>
      </c>
      <c r="Q9" s="1156" t="str">
        <f ca="1">'3.1 Nyttestrøm'!AA79</f>
        <v/>
      </c>
      <c r="R9" s="1156" t="str">
        <f ca="1">'3.1 Nyttestrøm'!AB79</f>
        <v/>
      </c>
      <c r="S9" s="1156" t="str">
        <f ca="1">'3.1 Nyttestrøm'!AC79</f>
        <v/>
      </c>
      <c r="T9" s="1156" t="str">
        <f ca="1">'3.1 Nyttestrøm'!AD79</f>
        <v/>
      </c>
      <c r="U9" s="1156" t="str">
        <f ca="1">'3.1 Nyttestrøm'!AE79</f>
        <v/>
      </c>
      <c r="V9" s="1156" t="str">
        <f ca="1">'3.1 Nyttestrøm'!AF79</f>
        <v/>
      </c>
      <c r="W9" s="1156" t="str">
        <f ca="1">'3.1 Nyttestrøm'!AG79</f>
        <v/>
      </c>
      <c r="X9" s="1156" t="str">
        <f ca="1">'3.1 Nyttestrøm'!AH79</f>
        <v/>
      </c>
      <c r="Y9" s="1156" t="str">
        <f ca="1">'3.1 Nyttestrøm'!AI79</f>
        <v/>
      </c>
      <c r="Z9" s="1156" t="str">
        <f ca="1">'3.1 Nyttestrøm'!AJ79</f>
        <v/>
      </c>
      <c r="AA9" s="1156" t="str">
        <f ca="1">'3.1 Nyttestrøm'!AK79</f>
        <v/>
      </c>
      <c r="AB9" s="1156" t="str">
        <f ca="1">'3.1 Nyttestrøm'!AL79</f>
        <v/>
      </c>
      <c r="AC9" s="1156" t="str">
        <f ca="1">'3.1 Nyttestrøm'!AM79</f>
        <v/>
      </c>
      <c r="AD9" s="1156" t="str">
        <f ca="1">'3.1 Nyttestrøm'!AN79</f>
        <v/>
      </c>
      <c r="AE9" s="1156" t="str">
        <f ca="1">'3.1 Nyttestrøm'!AO79</f>
        <v/>
      </c>
      <c r="AF9" s="1156" t="str">
        <f ca="1">'3.1 Nyttestrøm'!AP79</f>
        <v/>
      </c>
      <c r="AG9" s="1156" t="str">
        <f ca="1">'3.1 Nyttestrøm'!AQ79</f>
        <v/>
      </c>
      <c r="AH9" s="1156" t="str">
        <f ca="1">'3.1 Nyttestrøm'!AR79</f>
        <v/>
      </c>
      <c r="AI9" s="1156" t="str">
        <f ca="1">'3.1 Nyttestrøm'!AS79</f>
        <v/>
      </c>
      <c r="AJ9" s="1156" t="str">
        <f ca="1">'3.1 Nyttestrøm'!AT79</f>
        <v/>
      </c>
      <c r="AK9" s="1156" t="str">
        <f ca="1">'3.1 Nyttestrøm'!AU79</f>
        <v/>
      </c>
      <c r="AL9" s="1156" t="str">
        <f ca="1">'3.1 Nyttestrøm'!AV79</f>
        <v/>
      </c>
      <c r="AM9" s="1156" t="str">
        <f ca="1">'3.1 Nyttestrøm'!AW79</f>
        <v/>
      </c>
      <c r="AN9" s="1156" t="str">
        <f ca="1">'3.1 Nyttestrøm'!AX79</f>
        <v/>
      </c>
      <c r="AO9" s="1156" t="str">
        <f ca="1">'3.1 Nyttestrøm'!AY79</f>
        <v/>
      </c>
      <c r="AP9" s="1156" t="str">
        <f ca="1">'3.1 Nyttestrøm'!AZ79</f>
        <v/>
      </c>
      <c r="AQ9" s="1156" t="str">
        <f ca="1">'3.1 Nyttestrøm'!BA79</f>
        <v/>
      </c>
      <c r="AR9" s="1156" t="str">
        <f ca="1">'3.1 Nyttestrøm'!BB79</f>
        <v/>
      </c>
      <c r="AS9" s="1156" t="str">
        <f ca="1">'3.1 Nyttestrøm'!BC79</f>
        <v/>
      </c>
      <c r="AT9" s="1156" t="str">
        <f ca="1">'3.1 Nyttestrøm'!BD79</f>
        <v/>
      </c>
      <c r="AU9" s="1156" t="str">
        <f ca="1">'3.1 Nyttestrøm'!BE79</f>
        <v/>
      </c>
      <c r="AV9" s="1156" t="str">
        <f ca="1">'3.1 Nyttestrøm'!BF79</f>
        <v/>
      </c>
      <c r="AW9" s="1156" t="str">
        <f ca="1">'3.1 Nyttestrøm'!BG79</f>
        <v/>
      </c>
      <c r="AX9" s="1156" t="str">
        <f ca="1">'3.1 Nyttestrøm'!BH79</f>
        <v/>
      </c>
      <c r="AY9" s="1156" t="str">
        <f ca="1">'3.1 Nyttestrøm'!BI79</f>
        <v/>
      </c>
      <c r="AZ9" s="1156" t="str">
        <f ca="1">'3.1 Nyttestrøm'!BJ79</f>
        <v/>
      </c>
      <c r="BA9" s="1156" t="str">
        <f ca="1">'3.1 Nyttestrøm'!BK79</f>
        <v/>
      </c>
      <c r="BB9" s="1156" t="str">
        <f ca="1">'3.1 Nyttestrøm'!BL79</f>
        <v/>
      </c>
      <c r="BC9" s="1156" t="str">
        <f ca="1">'3.1 Nyttestrøm'!BM79</f>
        <v/>
      </c>
      <c r="BD9" s="1156" t="str">
        <f ca="1">'3.1 Nyttestrøm'!BN79</f>
        <v/>
      </c>
      <c r="BE9" s="1156" t="str">
        <f ca="1">'3.1 Nyttestrøm'!BO79</f>
        <v/>
      </c>
      <c r="BF9" s="1156" t="str">
        <f ca="1">'3.1 Nyttestrøm'!BP79</f>
        <v/>
      </c>
      <c r="BG9" s="1156" t="str">
        <f ca="1">'3.1 Nyttestrøm'!BQ79</f>
        <v/>
      </c>
      <c r="BH9" s="1156" t="str">
        <f ca="1">'3.1 Nyttestrøm'!BR79</f>
        <v/>
      </c>
      <c r="BI9" s="1156" t="str">
        <f ca="1">'3.1 Nyttestrøm'!BS79</f>
        <v/>
      </c>
      <c r="BJ9" s="1156" t="str">
        <f ca="1">'3.1 Nyttestrøm'!BT79</f>
        <v/>
      </c>
      <c r="BK9" s="1156" t="str">
        <f ca="1">'3.1 Nyttestrøm'!BU79</f>
        <v/>
      </c>
      <c r="BL9" s="1156" t="str">
        <f ca="1">'3.1 Nyttestrøm'!BV79</f>
        <v/>
      </c>
      <c r="BM9" s="1156" t="str">
        <f ca="1">'3.1 Nyttestrøm'!BW79</f>
        <v/>
      </c>
      <c r="BN9" s="1156" t="str">
        <f ca="1">'3.1 Nyttestrøm'!BX79</f>
        <v/>
      </c>
      <c r="BO9" s="1156" t="str">
        <f ca="1">'3.1 Nyttestrøm'!BY79</f>
        <v/>
      </c>
      <c r="BP9" s="1156" t="str">
        <f ca="1">'3.1 Nyttestrøm'!BZ79</f>
        <v/>
      </c>
      <c r="BQ9" s="1156" t="str">
        <f ca="1">'3.1 Nyttestrøm'!CA79</f>
        <v/>
      </c>
      <c r="BR9" s="1156" t="str">
        <f ca="1">'3.1 Nyttestrøm'!CB79</f>
        <v/>
      </c>
      <c r="BS9" s="1156" t="str">
        <f ca="1">'3.1 Nyttestrøm'!CC79</f>
        <v/>
      </c>
      <c r="BT9" s="1156" t="str">
        <f ca="1">'3.1 Nyttestrøm'!CD79</f>
        <v/>
      </c>
      <c r="BU9" s="1156" t="str">
        <f ca="1">'3.1 Nyttestrøm'!CE79</f>
        <v/>
      </c>
      <c r="BV9" s="1156" t="str">
        <f ca="1">'3.1 Nyttestrøm'!CF79</f>
        <v/>
      </c>
      <c r="BW9" s="1156" t="str">
        <f ca="1">'3.1 Nyttestrøm'!CG79</f>
        <v/>
      </c>
      <c r="BX9" s="1156" t="str">
        <f ca="1">'3.1 Nyttestrøm'!CH79</f>
        <v/>
      </c>
      <c r="BY9" s="1156" t="str">
        <f ca="1">'3.1 Nyttestrøm'!CI79</f>
        <v/>
      </c>
      <c r="BZ9" s="1156" t="str">
        <f ca="1">'3.1 Nyttestrøm'!CJ79</f>
        <v/>
      </c>
      <c r="CA9" s="1156" t="str">
        <f ca="1">'3.1 Nyttestrøm'!CK79</f>
        <v/>
      </c>
      <c r="CB9" s="1156" t="str">
        <f ca="1">'3.1 Nyttestrøm'!CL79</f>
        <v/>
      </c>
      <c r="CC9" s="1156" t="str">
        <f ca="1">'3.1 Nyttestrøm'!CM79</f>
        <v/>
      </c>
      <c r="CD9" s="1156" t="str">
        <f ca="1">'3.1 Nyttestrøm'!CN79</f>
        <v/>
      </c>
      <c r="CE9" s="1156" t="str">
        <f ca="1">'3.1 Nyttestrøm'!CO79</f>
        <v/>
      </c>
      <c r="CF9" s="1156" t="str">
        <f ca="1">'3.1 Nyttestrøm'!CP79</f>
        <v/>
      </c>
      <c r="CG9" s="1156" t="str">
        <f ca="1">'3.1 Nyttestrøm'!CQ79</f>
        <v/>
      </c>
      <c r="CH9" s="1156" t="str">
        <f ca="1">'3.1 Nyttestrøm'!CR79</f>
        <v/>
      </c>
      <c r="CI9" s="1156" t="str">
        <f ca="1">'3.1 Nyttestrøm'!CS79</f>
        <v/>
      </c>
      <c r="CJ9" s="1156" t="str">
        <f ca="1">'3.1 Nyttestrøm'!CT79</f>
        <v/>
      </c>
      <c r="CK9" s="1156" t="str">
        <f ca="1">'3.1 Nyttestrøm'!CU79</f>
        <v/>
      </c>
      <c r="CL9" s="1156" t="str">
        <f ca="1">'3.1 Nyttestrøm'!CV79</f>
        <v/>
      </c>
      <c r="CM9" s="1156" t="str">
        <f ca="1">'3.1 Nyttestrøm'!CW79</f>
        <v/>
      </c>
      <c r="CN9" s="1156" t="str">
        <f ca="1">'3.1 Nyttestrøm'!CX79</f>
        <v/>
      </c>
      <c r="CO9" s="1156" t="str">
        <f ca="1">'3.1 Nyttestrøm'!CY79</f>
        <v/>
      </c>
      <c r="CP9" s="1156" t="str">
        <f ca="1">'3.1 Nyttestrøm'!CZ79</f>
        <v/>
      </c>
      <c r="CQ9" s="1156" t="str">
        <f ca="1">'3.1 Nyttestrøm'!DA79</f>
        <v/>
      </c>
      <c r="CR9" s="1156" t="str">
        <f ca="1">'3.1 Nyttestrøm'!DB79</f>
        <v/>
      </c>
      <c r="CS9" s="1156" t="str">
        <f ca="1">'3.1 Nyttestrøm'!DC79</f>
        <v/>
      </c>
      <c r="CT9" s="1156" t="str">
        <f ca="1">'3.1 Nyttestrøm'!DD79</f>
        <v/>
      </c>
      <c r="CU9" s="1156" t="str">
        <f ca="1">'3.1 Nyttestrøm'!DE79</f>
        <v/>
      </c>
      <c r="CV9" s="1156" t="str">
        <f ca="1">'3.1 Nyttestrøm'!DF79</f>
        <v/>
      </c>
      <c r="CW9" s="1156" t="str">
        <f ca="1">'3.1 Nyttestrøm'!DG79</f>
        <v/>
      </c>
      <c r="CX9" s="1156" t="str">
        <f ca="1">'3.1 Nyttestrøm'!DH79</f>
        <v/>
      </c>
      <c r="CY9" s="1156" t="str">
        <f ca="1">'3.1 Nyttestrøm'!DI79</f>
        <v/>
      </c>
      <c r="CZ9" s="1156" t="str">
        <f ca="1">'3.1 Nyttestrøm'!DJ79</f>
        <v/>
      </c>
      <c r="DA9" s="1156" t="str">
        <f ca="1">'3.1 Nyttestrøm'!DK79</f>
        <v/>
      </c>
      <c r="DB9" s="1156" t="str">
        <f ca="1">'3.1 Nyttestrøm'!DL79</f>
        <v/>
      </c>
      <c r="DC9" s="1156" t="str">
        <f ca="1">'3.1 Nyttestrøm'!DM79</f>
        <v/>
      </c>
      <c r="DD9" s="1156" t="str">
        <f ca="1">'3.1 Nyttestrøm'!DN79</f>
        <v/>
      </c>
      <c r="DE9" s="1156" t="str">
        <f ca="1">'3.1 Nyttestrøm'!DO79</f>
        <v/>
      </c>
      <c r="DF9" s="1156" t="str">
        <f ca="1">'3.1 Nyttestrøm'!DP79</f>
        <v/>
      </c>
      <c r="DG9" s="1156" t="str">
        <f ca="1">'3.1 Nyttestrøm'!DQ79</f>
        <v/>
      </c>
      <c r="DH9" s="1166" t="str">
        <f ca="1">'3.1 Nyttestrøm'!DR79</f>
        <v/>
      </c>
    </row>
    <row r="10" spans="1:112" x14ac:dyDescent="0.35">
      <c r="A10" s="685"/>
      <c r="B10" s="446" t="str">
        <f>'3.1 Nyttestrøm'!C80</f>
        <v>Passasjerfly</v>
      </c>
      <c r="C10" s="1156"/>
      <c r="D10" s="1156"/>
      <c r="E10" s="1156"/>
      <c r="F10" s="1156"/>
      <c r="G10" s="1156"/>
      <c r="H10" s="1156"/>
      <c r="I10" s="1156"/>
      <c r="J10" s="1156"/>
      <c r="K10" s="1156"/>
      <c r="L10" s="1156"/>
      <c r="M10" s="1156" t="str">
        <f ca="1">'3.1 Nyttestrøm'!W80</f>
        <v/>
      </c>
      <c r="N10" s="1156" t="str">
        <f ca="1">'3.1 Nyttestrøm'!X80</f>
        <v/>
      </c>
      <c r="O10" s="1156" t="str">
        <f ca="1">'3.1 Nyttestrøm'!Y80</f>
        <v/>
      </c>
      <c r="P10" s="1156" t="str">
        <f ca="1">'3.1 Nyttestrøm'!Z80</f>
        <v/>
      </c>
      <c r="Q10" s="1156" t="str">
        <f ca="1">'3.1 Nyttestrøm'!AA80</f>
        <v/>
      </c>
      <c r="R10" s="1156" t="str">
        <f ca="1">'3.1 Nyttestrøm'!AB80</f>
        <v/>
      </c>
      <c r="S10" s="1156" t="str">
        <f ca="1">'3.1 Nyttestrøm'!AC80</f>
        <v/>
      </c>
      <c r="T10" s="1156" t="str">
        <f ca="1">'3.1 Nyttestrøm'!AD80</f>
        <v/>
      </c>
      <c r="U10" s="1156" t="str">
        <f ca="1">'3.1 Nyttestrøm'!AE80</f>
        <v/>
      </c>
      <c r="V10" s="1156" t="str">
        <f ca="1">'3.1 Nyttestrøm'!AF80</f>
        <v/>
      </c>
      <c r="W10" s="1156" t="str">
        <f ca="1">'3.1 Nyttestrøm'!AG80</f>
        <v/>
      </c>
      <c r="X10" s="1156" t="str">
        <f ca="1">'3.1 Nyttestrøm'!AH80</f>
        <v/>
      </c>
      <c r="Y10" s="1156" t="str">
        <f ca="1">'3.1 Nyttestrøm'!AI80</f>
        <v/>
      </c>
      <c r="Z10" s="1156" t="str">
        <f ca="1">'3.1 Nyttestrøm'!AJ80</f>
        <v/>
      </c>
      <c r="AA10" s="1156" t="str">
        <f ca="1">'3.1 Nyttestrøm'!AK80</f>
        <v/>
      </c>
      <c r="AB10" s="1156" t="str">
        <f ca="1">'3.1 Nyttestrøm'!AL80</f>
        <v/>
      </c>
      <c r="AC10" s="1156" t="str">
        <f ca="1">'3.1 Nyttestrøm'!AM80</f>
        <v/>
      </c>
      <c r="AD10" s="1156" t="str">
        <f ca="1">'3.1 Nyttestrøm'!AN80</f>
        <v/>
      </c>
      <c r="AE10" s="1156" t="str">
        <f ca="1">'3.1 Nyttestrøm'!AO80</f>
        <v/>
      </c>
      <c r="AF10" s="1156" t="str">
        <f ca="1">'3.1 Nyttestrøm'!AP80</f>
        <v/>
      </c>
      <c r="AG10" s="1156" t="str">
        <f ca="1">'3.1 Nyttestrøm'!AQ80</f>
        <v/>
      </c>
      <c r="AH10" s="1156" t="str">
        <f ca="1">'3.1 Nyttestrøm'!AR80</f>
        <v/>
      </c>
      <c r="AI10" s="1156" t="str">
        <f ca="1">'3.1 Nyttestrøm'!AS80</f>
        <v/>
      </c>
      <c r="AJ10" s="1156" t="str">
        <f ca="1">'3.1 Nyttestrøm'!AT80</f>
        <v/>
      </c>
      <c r="AK10" s="1156" t="str">
        <f ca="1">'3.1 Nyttestrøm'!AU80</f>
        <v/>
      </c>
      <c r="AL10" s="1156" t="str">
        <f ca="1">'3.1 Nyttestrøm'!AV80</f>
        <v/>
      </c>
      <c r="AM10" s="1156" t="str">
        <f ca="1">'3.1 Nyttestrøm'!AW80</f>
        <v/>
      </c>
      <c r="AN10" s="1156" t="str">
        <f ca="1">'3.1 Nyttestrøm'!AX80</f>
        <v/>
      </c>
      <c r="AO10" s="1156" t="str">
        <f ca="1">'3.1 Nyttestrøm'!AY80</f>
        <v/>
      </c>
      <c r="AP10" s="1156" t="str">
        <f ca="1">'3.1 Nyttestrøm'!AZ80</f>
        <v/>
      </c>
      <c r="AQ10" s="1156" t="str">
        <f ca="1">'3.1 Nyttestrøm'!BA80</f>
        <v/>
      </c>
      <c r="AR10" s="1156" t="str">
        <f ca="1">'3.1 Nyttestrøm'!BB80</f>
        <v/>
      </c>
      <c r="AS10" s="1156" t="str">
        <f ca="1">'3.1 Nyttestrøm'!BC80</f>
        <v/>
      </c>
      <c r="AT10" s="1156" t="str">
        <f ca="1">'3.1 Nyttestrøm'!BD80</f>
        <v/>
      </c>
      <c r="AU10" s="1156" t="str">
        <f ca="1">'3.1 Nyttestrøm'!BE80</f>
        <v/>
      </c>
      <c r="AV10" s="1156" t="str">
        <f ca="1">'3.1 Nyttestrøm'!BF80</f>
        <v/>
      </c>
      <c r="AW10" s="1156" t="str">
        <f ca="1">'3.1 Nyttestrøm'!BG80</f>
        <v/>
      </c>
      <c r="AX10" s="1156" t="str">
        <f ca="1">'3.1 Nyttestrøm'!BH80</f>
        <v/>
      </c>
      <c r="AY10" s="1156" t="str">
        <f ca="1">'3.1 Nyttestrøm'!BI80</f>
        <v/>
      </c>
      <c r="AZ10" s="1156" t="str">
        <f ca="1">'3.1 Nyttestrøm'!BJ80</f>
        <v/>
      </c>
      <c r="BA10" s="1156" t="str">
        <f ca="1">'3.1 Nyttestrøm'!BK80</f>
        <v/>
      </c>
      <c r="BB10" s="1156" t="str">
        <f ca="1">'3.1 Nyttestrøm'!BL80</f>
        <v/>
      </c>
      <c r="BC10" s="1156" t="str">
        <f ca="1">'3.1 Nyttestrøm'!BM80</f>
        <v/>
      </c>
      <c r="BD10" s="1156" t="str">
        <f ca="1">'3.1 Nyttestrøm'!BN80</f>
        <v/>
      </c>
      <c r="BE10" s="1156" t="str">
        <f ca="1">'3.1 Nyttestrøm'!BO80</f>
        <v/>
      </c>
      <c r="BF10" s="1156" t="str">
        <f ca="1">'3.1 Nyttestrøm'!BP80</f>
        <v/>
      </c>
      <c r="BG10" s="1156" t="str">
        <f ca="1">'3.1 Nyttestrøm'!BQ80</f>
        <v/>
      </c>
      <c r="BH10" s="1156" t="str">
        <f ca="1">'3.1 Nyttestrøm'!BR80</f>
        <v/>
      </c>
      <c r="BI10" s="1156" t="str">
        <f ca="1">'3.1 Nyttestrøm'!BS80</f>
        <v/>
      </c>
      <c r="BJ10" s="1156" t="str">
        <f ca="1">'3.1 Nyttestrøm'!BT80</f>
        <v/>
      </c>
      <c r="BK10" s="1156" t="str">
        <f ca="1">'3.1 Nyttestrøm'!BU80</f>
        <v/>
      </c>
      <c r="BL10" s="1156" t="str">
        <f ca="1">'3.1 Nyttestrøm'!BV80</f>
        <v/>
      </c>
      <c r="BM10" s="1156" t="str">
        <f ca="1">'3.1 Nyttestrøm'!BW80</f>
        <v/>
      </c>
      <c r="BN10" s="1156" t="str">
        <f ca="1">'3.1 Nyttestrøm'!BX80</f>
        <v/>
      </c>
      <c r="BO10" s="1156" t="str">
        <f ca="1">'3.1 Nyttestrøm'!BY80</f>
        <v/>
      </c>
      <c r="BP10" s="1156" t="str">
        <f ca="1">'3.1 Nyttestrøm'!BZ80</f>
        <v/>
      </c>
      <c r="BQ10" s="1156" t="str">
        <f ca="1">'3.1 Nyttestrøm'!CA80</f>
        <v/>
      </c>
      <c r="BR10" s="1156" t="str">
        <f ca="1">'3.1 Nyttestrøm'!CB80</f>
        <v/>
      </c>
      <c r="BS10" s="1156" t="str">
        <f ca="1">'3.1 Nyttestrøm'!CC80</f>
        <v/>
      </c>
      <c r="BT10" s="1156" t="str">
        <f ca="1">'3.1 Nyttestrøm'!CD80</f>
        <v/>
      </c>
      <c r="BU10" s="1156" t="str">
        <f ca="1">'3.1 Nyttestrøm'!CE80</f>
        <v/>
      </c>
      <c r="BV10" s="1156" t="str">
        <f ca="1">'3.1 Nyttestrøm'!CF80</f>
        <v/>
      </c>
      <c r="BW10" s="1156" t="str">
        <f ca="1">'3.1 Nyttestrøm'!CG80</f>
        <v/>
      </c>
      <c r="BX10" s="1156" t="str">
        <f ca="1">'3.1 Nyttestrøm'!CH80</f>
        <v/>
      </c>
      <c r="BY10" s="1156" t="str">
        <f ca="1">'3.1 Nyttestrøm'!CI80</f>
        <v/>
      </c>
      <c r="BZ10" s="1156" t="str">
        <f ca="1">'3.1 Nyttestrøm'!CJ80</f>
        <v/>
      </c>
      <c r="CA10" s="1156" t="str">
        <f ca="1">'3.1 Nyttestrøm'!CK80</f>
        <v/>
      </c>
      <c r="CB10" s="1156" t="str">
        <f ca="1">'3.1 Nyttestrøm'!CL80</f>
        <v/>
      </c>
      <c r="CC10" s="1156" t="str">
        <f ca="1">'3.1 Nyttestrøm'!CM80</f>
        <v/>
      </c>
      <c r="CD10" s="1156" t="str">
        <f ca="1">'3.1 Nyttestrøm'!CN80</f>
        <v/>
      </c>
      <c r="CE10" s="1156" t="str">
        <f ca="1">'3.1 Nyttestrøm'!CO80</f>
        <v/>
      </c>
      <c r="CF10" s="1156" t="str">
        <f ca="1">'3.1 Nyttestrøm'!CP80</f>
        <v/>
      </c>
      <c r="CG10" s="1156" t="str">
        <f ca="1">'3.1 Nyttestrøm'!CQ80</f>
        <v/>
      </c>
      <c r="CH10" s="1156" t="str">
        <f ca="1">'3.1 Nyttestrøm'!CR80</f>
        <v/>
      </c>
      <c r="CI10" s="1156" t="str">
        <f ca="1">'3.1 Nyttestrøm'!CS80</f>
        <v/>
      </c>
      <c r="CJ10" s="1156" t="str">
        <f ca="1">'3.1 Nyttestrøm'!CT80</f>
        <v/>
      </c>
      <c r="CK10" s="1156" t="str">
        <f ca="1">'3.1 Nyttestrøm'!CU80</f>
        <v/>
      </c>
      <c r="CL10" s="1156" t="str">
        <f ca="1">'3.1 Nyttestrøm'!CV80</f>
        <v/>
      </c>
      <c r="CM10" s="1156" t="str">
        <f ca="1">'3.1 Nyttestrøm'!CW80</f>
        <v/>
      </c>
      <c r="CN10" s="1156" t="str">
        <f ca="1">'3.1 Nyttestrøm'!CX80</f>
        <v/>
      </c>
      <c r="CO10" s="1156" t="str">
        <f ca="1">'3.1 Nyttestrøm'!CY80</f>
        <v/>
      </c>
      <c r="CP10" s="1156" t="str">
        <f ca="1">'3.1 Nyttestrøm'!CZ80</f>
        <v/>
      </c>
      <c r="CQ10" s="1156" t="str">
        <f ca="1">'3.1 Nyttestrøm'!DA80</f>
        <v/>
      </c>
      <c r="CR10" s="1156" t="str">
        <f ca="1">'3.1 Nyttestrøm'!DB80</f>
        <v/>
      </c>
      <c r="CS10" s="1156" t="str">
        <f ca="1">'3.1 Nyttestrøm'!DC80</f>
        <v/>
      </c>
      <c r="CT10" s="1156" t="str">
        <f ca="1">'3.1 Nyttestrøm'!DD80</f>
        <v/>
      </c>
      <c r="CU10" s="1156" t="str">
        <f ca="1">'3.1 Nyttestrøm'!DE80</f>
        <v/>
      </c>
      <c r="CV10" s="1156" t="str">
        <f ca="1">'3.1 Nyttestrøm'!DF80</f>
        <v/>
      </c>
      <c r="CW10" s="1156" t="str">
        <f ca="1">'3.1 Nyttestrøm'!DG80</f>
        <v/>
      </c>
      <c r="CX10" s="1156" t="str">
        <f ca="1">'3.1 Nyttestrøm'!DH80</f>
        <v/>
      </c>
      <c r="CY10" s="1156" t="str">
        <f ca="1">'3.1 Nyttestrøm'!DI80</f>
        <v/>
      </c>
      <c r="CZ10" s="1156" t="str">
        <f ca="1">'3.1 Nyttestrøm'!DJ80</f>
        <v/>
      </c>
      <c r="DA10" s="1156" t="str">
        <f ca="1">'3.1 Nyttestrøm'!DK80</f>
        <v/>
      </c>
      <c r="DB10" s="1156" t="str">
        <f ca="1">'3.1 Nyttestrøm'!DL80</f>
        <v/>
      </c>
      <c r="DC10" s="1156" t="str">
        <f ca="1">'3.1 Nyttestrøm'!DM80</f>
        <v/>
      </c>
      <c r="DD10" s="1156" t="str">
        <f ca="1">'3.1 Nyttestrøm'!DN80</f>
        <v/>
      </c>
      <c r="DE10" s="1156" t="str">
        <f ca="1">'3.1 Nyttestrøm'!DO80</f>
        <v/>
      </c>
      <c r="DF10" s="1156" t="str">
        <f ca="1">'3.1 Nyttestrøm'!DP80</f>
        <v/>
      </c>
      <c r="DG10" s="1156" t="str">
        <f ca="1">'3.1 Nyttestrøm'!DQ80</f>
        <v/>
      </c>
      <c r="DH10" s="1166" t="str">
        <f ca="1">'3.1 Nyttestrøm'!DR80</f>
        <v/>
      </c>
    </row>
    <row r="11" spans="1:112" x14ac:dyDescent="0.35">
      <c r="A11" s="685"/>
      <c r="B11" s="446" t="str">
        <f>'3.1 Nyttestrøm'!C81</f>
        <v>Lastebil</v>
      </c>
      <c r="C11" s="1156"/>
      <c r="D11" s="1156"/>
      <c r="E11" s="1156"/>
      <c r="F11" s="1156"/>
      <c r="G11" s="1156"/>
      <c r="H11" s="1156"/>
      <c r="I11" s="1156"/>
      <c r="J11" s="1156"/>
      <c r="K11" s="1156"/>
      <c r="L11" s="1156"/>
      <c r="M11" s="1156" t="str">
        <f ca="1">'3.1 Nyttestrøm'!W81</f>
        <v/>
      </c>
      <c r="N11" s="1156" t="str">
        <f ca="1">'3.1 Nyttestrøm'!X81</f>
        <v/>
      </c>
      <c r="O11" s="1156" t="str">
        <f ca="1">'3.1 Nyttestrøm'!Y81</f>
        <v/>
      </c>
      <c r="P11" s="1156" t="str">
        <f ca="1">'3.1 Nyttestrøm'!Z81</f>
        <v/>
      </c>
      <c r="Q11" s="1156" t="str">
        <f ca="1">'3.1 Nyttestrøm'!AA81</f>
        <v/>
      </c>
      <c r="R11" s="1156" t="str">
        <f ca="1">'3.1 Nyttestrøm'!AB81</f>
        <v/>
      </c>
      <c r="S11" s="1156" t="str">
        <f ca="1">'3.1 Nyttestrøm'!AC81</f>
        <v/>
      </c>
      <c r="T11" s="1156" t="str">
        <f ca="1">'3.1 Nyttestrøm'!AD81</f>
        <v/>
      </c>
      <c r="U11" s="1156" t="str">
        <f ca="1">'3.1 Nyttestrøm'!AE81</f>
        <v/>
      </c>
      <c r="V11" s="1156" t="str">
        <f ca="1">'3.1 Nyttestrøm'!AF81</f>
        <v/>
      </c>
      <c r="W11" s="1156" t="str">
        <f ca="1">'3.1 Nyttestrøm'!AG81</f>
        <v/>
      </c>
      <c r="X11" s="1156" t="str">
        <f ca="1">'3.1 Nyttestrøm'!AH81</f>
        <v/>
      </c>
      <c r="Y11" s="1156" t="str">
        <f ca="1">'3.1 Nyttestrøm'!AI81</f>
        <v/>
      </c>
      <c r="Z11" s="1156" t="str">
        <f ca="1">'3.1 Nyttestrøm'!AJ81</f>
        <v/>
      </c>
      <c r="AA11" s="1156" t="str">
        <f ca="1">'3.1 Nyttestrøm'!AK81</f>
        <v/>
      </c>
      <c r="AB11" s="1156" t="str">
        <f ca="1">'3.1 Nyttestrøm'!AL81</f>
        <v/>
      </c>
      <c r="AC11" s="1156" t="str">
        <f ca="1">'3.1 Nyttestrøm'!AM81</f>
        <v/>
      </c>
      <c r="AD11" s="1156" t="str">
        <f ca="1">'3.1 Nyttestrøm'!AN81</f>
        <v/>
      </c>
      <c r="AE11" s="1156" t="str">
        <f ca="1">'3.1 Nyttestrøm'!AO81</f>
        <v/>
      </c>
      <c r="AF11" s="1156" t="str">
        <f ca="1">'3.1 Nyttestrøm'!AP81</f>
        <v/>
      </c>
      <c r="AG11" s="1156" t="str">
        <f ca="1">'3.1 Nyttestrøm'!AQ81</f>
        <v/>
      </c>
      <c r="AH11" s="1156" t="str">
        <f ca="1">'3.1 Nyttestrøm'!AR81</f>
        <v/>
      </c>
      <c r="AI11" s="1156" t="str">
        <f ca="1">'3.1 Nyttestrøm'!AS81</f>
        <v/>
      </c>
      <c r="AJ11" s="1156" t="str">
        <f ca="1">'3.1 Nyttestrøm'!AT81</f>
        <v/>
      </c>
      <c r="AK11" s="1156" t="str">
        <f ca="1">'3.1 Nyttestrøm'!AU81</f>
        <v/>
      </c>
      <c r="AL11" s="1156" t="str">
        <f ca="1">'3.1 Nyttestrøm'!AV81</f>
        <v/>
      </c>
      <c r="AM11" s="1156" t="str">
        <f ca="1">'3.1 Nyttestrøm'!AW81</f>
        <v/>
      </c>
      <c r="AN11" s="1156" t="str">
        <f ca="1">'3.1 Nyttestrøm'!AX81</f>
        <v/>
      </c>
      <c r="AO11" s="1156" t="str">
        <f ca="1">'3.1 Nyttestrøm'!AY81</f>
        <v/>
      </c>
      <c r="AP11" s="1156" t="str">
        <f ca="1">'3.1 Nyttestrøm'!AZ81</f>
        <v/>
      </c>
      <c r="AQ11" s="1156" t="str">
        <f ca="1">'3.1 Nyttestrøm'!BA81</f>
        <v/>
      </c>
      <c r="AR11" s="1156" t="str">
        <f ca="1">'3.1 Nyttestrøm'!BB81</f>
        <v/>
      </c>
      <c r="AS11" s="1156" t="str">
        <f ca="1">'3.1 Nyttestrøm'!BC81</f>
        <v/>
      </c>
      <c r="AT11" s="1156" t="str">
        <f ca="1">'3.1 Nyttestrøm'!BD81</f>
        <v/>
      </c>
      <c r="AU11" s="1156" t="str">
        <f ca="1">'3.1 Nyttestrøm'!BE81</f>
        <v/>
      </c>
      <c r="AV11" s="1156" t="str">
        <f ca="1">'3.1 Nyttestrøm'!BF81</f>
        <v/>
      </c>
      <c r="AW11" s="1156" t="str">
        <f ca="1">'3.1 Nyttestrøm'!BG81</f>
        <v/>
      </c>
      <c r="AX11" s="1156" t="str">
        <f ca="1">'3.1 Nyttestrøm'!BH81</f>
        <v/>
      </c>
      <c r="AY11" s="1156" t="str">
        <f ca="1">'3.1 Nyttestrøm'!BI81</f>
        <v/>
      </c>
      <c r="AZ11" s="1156" t="str">
        <f ca="1">'3.1 Nyttestrøm'!BJ81</f>
        <v/>
      </c>
      <c r="BA11" s="1156" t="str">
        <f ca="1">'3.1 Nyttestrøm'!BK81</f>
        <v/>
      </c>
      <c r="BB11" s="1156" t="str">
        <f ca="1">'3.1 Nyttestrøm'!BL81</f>
        <v/>
      </c>
      <c r="BC11" s="1156" t="str">
        <f ca="1">'3.1 Nyttestrøm'!BM81</f>
        <v/>
      </c>
      <c r="BD11" s="1156" t="str">
        <f ca="1">'3.1 Nyttestrøm'!BN81</f>
        <v/>
      </c>
      <c r="BE11" s="1156" t="str">
        <f ca="1">'3.1 Nyttestrøm'!BO81</f>
        <v/>
      </c>
      <c r="BF11" s="1156" t="str">
        <f ca="1">'3.1 Nyttestrøm'!BP81</f>
        <v/>
      </c>
      <c r="BG11" s="1156" t="str">
        <f ca="1">'3.1 Nyttestrøm'!BQ81</f>
        <v/>
      </c>
      <c r="BH11" s="1156" t="str">
        <f ca="1">'3.1 Nyttestrøm'!BR81</f>
        <v/>
      </c>
      <c r="BI11" s="1156" t="str">
        <f ca="1">'3.1 Nyttestrøm'!BS81</f>
        <v/>
      </c>
      <c r="BJ11" s="1156" t="str">
        <f ca="1">'3.1 Nyttestrøm'!BT81</f>
        <v/>
      </c>
      <c r="BK11" s="1156" t="str">
        <f ca="1">'3.1 Nyttestrøm'!BU81</f>
        <v/>
      </c>
      <c r="BL11" s="1156" t="str">
        <f ca="1">'3.1 Nyttestrøm'!BV81</f>
        <v/>
      </c>
      <c r="BM11" s="1156" t="str">
        <f ca="1">'3.1 Nyttestrøm'!BW81</f>
        <v/>
      </c>
      <c r="BN11" s="1156" t="str">
        <f ca="1">'3.1 Nyttestrøm'!BX81</f>
        <v/>
      </c>
      <c r="BO11" s="1156" t="str">
        <f ca="1">'3.1 Nyttestrøm'!BY81</f>
        <v/>
      </c>
      <c r="BP11" s="1156" t="str">
        <f ca="1">'3.1 Nyttestrøm'!BZ81</f>
        <v/>
      </c>
      <c r="BQ11" s="1156" t="str">
        <f ca="1">'3.1 Nyttestrøm'!CA81</f>
        <v/>
      </c>
      <c r="BR11" s="1156" t="str">
        <f ca="1">'3.1 Nyttestrøm'!CB81</f>
        <v/>
      </c>
      <c r="BS11" s="1156" t="str">
        <f ca="1">'3.1 Nyttestrøm'!CC81</f>
        <v/>
      </c>
      <c r="BT11" s="1156" t="str">
        <f ca="1">'3.1 Nyttestrøm'!CD81</f>
        <v/>
      </c>
      <c r="BU11" s="1156" t="str">
        <f ca="1">'3.1 Nyttestrøm'!CE81</f>
        <v/>
      </c>
      <c r="BV11" s="1156" t="str">
        <f ca="1">'3.1 Nyttestrøm'!CF81</f>
        <v/>
      </c>
      <c r="BW11" s="1156" t="str">
        <f ca="1">'3.1 Nyttestrøm'!CG81</f>
        <v/>
      </c>
      <c r="BX11" s="1156" t="str">
        <f ca="1">'3.1 Nyttestrøm'!CH81</f>
        <v/>
      </c>
      <c r="BY11" s="1156" t="str">
        <f ca="1">'3.1 Nyttestrøm'!CI81</f>
        <v/>
      </c>
      <c r="BZ11" s="1156" t="str">
        <f ca="1">'3.1 Nyttestrøm'!CJ81</f>
        <v/>
      </c>
      <c r="CA11" s="1156" t="str">
        <f ca="1">'3.1 Nyttestrøm'!CK81</f>
        <v/>
      </c>
      <c r="CB11" s="1156" t="str">
        <f ca="1">'3.1 Nyttestrøm'!CL81</f>
        <v/>
      </c>
      <c r="CC11" s="1156" t="str">
        <f ca="1">'3.1 Nyttestrøm'!CM81</f>
        <v/>
      </c>
      <c r="CD11" s="1156" t="str">
        <f ca="1">'3.1 Nyttestrøm'!CN81</f>
        <v/>
      </c>
      <c r="CE11" s="1156" t="str">
        <f ca="1">'3.1 Nyttestrøm'!CO81</f>
        <v/>
      </c>
      <c r="CF11" s="1156" t="str">
        <f ca="1">'3.1 Nyttestrøm'!CP81</f>
        <v/>
      </c>
      <c r="CG11" s="1156" t="str">
        <f ca="1">'3.1 Nyttestrøm'!CQ81</f>
        <v/>
      </c>
      <c r="CH11" s="1156" t="str">
        <f ca="1">'3.1 Nyttestrøm'!CR81</f>
        <v/>
      </c>
      <c r="CI11" s="1156" t="str">
        <f ca="1">'3.1 Nyttestrøm'!CS81</f>
        <v/>
      </c>
      <c r="CJ11" s="1156" t="str">
        <f ca="1">'3.1 Nyttestrøm'!CT81</f>
        <v/>
      </c>
      <c r="CK11" s="1156" t="str">
        <f ca="1">'3.1 Nyttestrøm'!CU81</f>
        <v/>
      </c>
      <c r="CL11" s="1156" t="str">
        <f ca="1">'3.1 Nyttestrøm'!CV81</f>
        <v/>
      </c>
      <c r="CM11" s="1156" t="str">
        <f ca="1">'3.1 Nyttestrøm'!CW81</f>
        <v/>
      </c>
      <c r="CN11" s="1156" t="str">
        <f ca="1">'3.1 Nyttestrøm'!CX81</f>
        <v/>
      </c>
      <c r="CO11" s="1156" t="str">
        <f ca="1">'3.1 Nyttestrøm'!CY81</f>
        <v/>
      </c>
      <c r="CP11" s="1156" t="str">
        <f ca="1">'3.1 Nyttestrøm'!CZ81</f>
        <v/>
      </c>
      <c r="CQ11" s="1156" t="str">
        <f ca="1">'3.1 Nyttestrøm'!DA81</f>
        <v/>
      </c>
      <c r="CR11" s="1156" t="str">
        <f ca="1">'3.1 Nyttestrøm'!DB81</f>
        <v/>
      </c>
      <c r="CS11" s="1156" t="str">
        <f ca="1">'3.1 Nyttestrøm'!DC81</f>
        <v/>
      </c>
      <c r="CT11" s="1156" t="str">
        <f ca="1">'3.1 Nyttestrøm'!DD81</f>
        <v/>
      </c>
      <c r="CU11" s="1156" t="str">
        <f ca="1">'3.1 Nyttestrøm'!DE81</f>
        <v/>
      </c>
      <c r="CV11" s="1156" t="str">
        <f ca="1">'3.1 Nyttestrøm'!DF81</f>
        <v/>
      </c>
      <c r="CW11" s="1156" t="str">
        <f ca="1">'3.1 Nyttestrøm'!DG81</f>
        <v/>
      </c>
      <c r="CX11" s="1156" t="str">
        <f ca="1">'3.1 Nyttestrøm'!DH81</f>
        <v/>
      </c>
      <c r="CY11" s="1156" t="str">
        <f ca="1">'3.1 Nyttestrøm'!DI81</f>
        <v/>
      </c>
      <c r="CZ11" s="1156" t="str">
        <f ca="1">'3.1 Nyttestrøm'!DJ81</f>
        <v/>
      </c>
      <c r="DA11" s="1156" t="str">
        <f ca="1">'3.1 Nyttestrøm'!DK81</f>
        <v/>
      </c>
      <c r="DB11" s="1156" t="str">
        <f ca="1">'3.1 Nyttestrøm'!DL81</f>
        <v/>
      </c>
      <c r="DC11" s="1156" t="str">
        <f ca="1">'3.1 Nyttestrøm'!DM81</f>
        <v/>
      </c>
      <c r="DD11" s="1156" t="str">
        <f ca="1">'3.1 Nyttestrøm'!DN81</f>
        <v/>
      </c>
      <c r="DE11" s="1156" t="str">
        <f ca="1">'3.1 Nyttestrøm'!DO81</f>
        <v/>
      </c>
      <c r="DF11" s="1156" t="str">
        <f ca="1">'3.1 Nyttestrøm'!DP81</f>
        <v/>
      </c>
      <c r="DG11" s="1156" t="str">
        <f ca="1">'3.1 Nyttestrøm'!DQ81</f>
        <v/>
      </c>
      <c r="DH11" s="1166" t="str">
        <f ca="1">'3.1 Nyttestrøm'!DR81</f>
        <v/>
      </c>
    </row>
    <row r="12" spans="1:112" x14ac:dyDescent="0.35">
      <c r="A12" s="685"/>
      <c r="B12" s="446" t="str">
        <f>'3.1 Nyttestrøm'!C82</f>
        <v>Lett Lastebil</v>
      </c>
      <c r="C12" s="1156"/>
      <c r="D12" s="1156"/>
      <c r="E12" s="1156"/>
      <c r="F12" s="1156"/>
      <c r="G12" s="1156"/>
      <c r="H12" s="1156"/>
      <c r="I12" s="1156"/>
      <c r="J12" s="1156"/>
      <c r="K12" s="1156"/>
      <c r="L12" s="1156"/>
      <c r="M12" s="1156" t="str">
        <f ca="1">'3.1 Nyttestrøm'!W82</f>
        <v/>
      </c>
      <c r="N12" s="1156" t="str">
        <f ca="1">'3.1 Nyttestrøm'!X82</f>
        <v/>
      </c>
      <c r="O12" s="1156" t="str">
        <f ca="1">'3.1 Nyttestrøm'!Y82</f>
        <v/>
      </c>
      <c r="P12" s="1156" t="str">
        <f ca="1">'3.1 Nyttestrøm'!Z82</f>
        <v/>
      </c>
      <c r="Q12" s="1156" t="str">
        <f ca="1">'3.1 Nyttestrøm'!AA82</f>
        <v/>
      </c>
      <c r="R12" s="1156" t="str">
        <f ca="1">'3.1 Nyttestrøm'!AB82</f>
        <v/>
      </c>
      <c r="S12" s="1156" t="str">
        <f ca="1">'3.1 Nyttestrøm'!AC82</f>
        <v/>
      </c>
      <c r="T12" s="1156" t="str">
        <f ca="1">'3.1 Nyttestrøm'!AD82</f>
        <v/>
      </c>
      <c r="U12" s="1156" t="str">
        <f ca="1">'3.1 Nyttestrøm'!AE82</f>
        <v/>
      </c>
      <c r="V12" s="1156" t="str">
        <f ca="1">'3.1 Nyttestrøm'!AF82</f>
        <v/>
      </c>
      <c r="W12" s="1156" t="str">
        <f ca="1">'3.1 Nyttestrøm'!AG82</f>
        <v/>
      </c>
      <c r="X12" s="1156" t="str">
        <f ca="1">'3.1 Nyttestrøm'!AH82</f>
        <v/>
      </c>
      <c r="Y12" s="1156" t="str">
        <f ca="1">'3.1 Nyttestrøm'!AI82</f>
        <v/>
      </c>
      <c r="Z12" s="1156" t="str">
        <f ca="1">'3.1 Nyttestrøm'!AJ82</f>
        <v/>
      </c>
      <c r="AA12" s="1156" t="str">
        <f ca="1">'3.1 Nyttestrøm'!AK82</f>
        <v/>
      </c>
      <c r="AB12" s="1156" t="str">
        <f ca="1">'3.1 Nyttestrøm'!AL82</f>
        <v/>
      </c>
      <c r="AC12" s="1156" t="str">
        <f ca="1">'3.1 Nyttestrøm'!AM82</f>
        <v/>
      </c>
      <c r="AD12" s="1156" t="str">
        <f ca="1">'3.1 Nyttestrøm'!AN82</f>
        <v/>
      </c>
      <c r="AE12" s="1156" t="str">
        <f ca="1">'3.1 Nyttestrøm'!AO82</f>
        <v/>
      </c>
      <c r="AF12" s="1156" t="str">
        <f ca="1">'3.1 Nyttestrøm'!AP82</f>
        <v/>
      </c>
      <c r="AG12" s="1156" t="str">
        <f ca="1">'3.1 Nyttestrøm'!AQ82</f>
        <v/>
      </c>
      <c r="AH12" s="1156" t="str">
        <f ca="1">'3.1 Nyttestrøm'!AR82</f>
        <v/>
      </c>
      <c r="AI12" s="1156" t="str">
        <f ca="1">'3.1 Nyttestrøm'!AS82</f>
        <v/>
      </c>
      <c r="AJ12" s="1156" t="str">
        <f ca="1">'3.1 Nyttestrøm'!AT82</f>
        <v/>
      </c>
      <c r="AK12" s="1156" t="str">
        <f ca="1">'3.1 Nyttestrøm'!AU82</f>
        <v/>
      </c>
      <c r="AL12" s="1156" t="str">
        <f ca="1">'3.1 Nyttestrøm'!AV82</f>
        <v/>
      </c>
      <c r="AM12" s="1156" t="str">
        <f ca="1">'3.1 Nyttestrøm'!AW82</f>
        <v/>
      </c>
      <c r="AN12" s="1156" t="str">
        <f ca="1">'3.1 Nyttestrøm'!AX82</f>
        <v/>
      </c>
      <c r="AO12" s="1156" t="str">
        <f ca="1">'3.1 Nyttestrøm'!AY82</f>
        <v/>
      </c>
      <c r="AP12" s="1156" t="str">
        <f ca="1">'3.1 Nyttestrøm'!AZ82</f>
        <v/>
      </c>
      <c r="AQ12" s="1156" t="str">
        <f ca="1">'3.1 Nyttestrøm'!BA82</f>
        <v/>
      </c>
      <c r="AR12" s="1156" t="str">
        <f ca="1">'3.1 Nyttestrøm'!BB82</f>
        <v/>
      </c>
      <c r="AS12" s="1156" t="str">
        <f ca="1">'3.1 Nyttestrøm'!BC82</f>
        <v/>
      </c>
      <c r="AT12" s="1156" t="str">
        <f ca="1">'3.1 Nyttestrøm'!BD82</f>
        <v/>
      </c>
      <c r="AU12" s="1156" t="str">
        <f ca="1">'3.1 Nyttestrøm'!BE82</f>
        <v/>
      </c>
      <c r="AV12" s="1156" t="str">
        <f ca="1">'3.1 Nyttestrøm'!BF82</f>
        <v/>
      </c>
      <c r="AW12" s="1156" t="str">
        <f ca="1">'3.1 Nyttestrøm'!BG82</f>
        <v/>
      </c>
      <c r="AX12" s="1156" t="str">
        <f ca="1">'3.1 Nyttestrøm'!BH82</f>
        <v/>
      </c>
      <c r="AY12" s="1156" t="str">
        <f ca="1">'3.1 Nyttestrøm'!BI82</f>
        <v/>
      </c>
      <c r="AZ12" s="1156" t="str">
        <f ca="1">'3.1 Nyttestrøm'!BJ82</f>
        <v/>
      </c>
      <c r="BA12" s="1156" t="str">
        <f ca="1">'3.1 Nyttestrøm'!BK82</f>
        <v/>
      </c>
      <c r="BB12" s="1156" t="str">
        <f ca="1">'3.1 Nyttestrøm'!BL82</f>
        <v/>
      </c>
      <c r="BC12" s="1156" t="str">
        <f ca="1">'3.1 Nyttestrøm'!BM82</f>
        <v/>
      </c>
      <c r="BD12" s="1156" t="str">
        <f ca="1">'3.1 Nyttestrøm'!BN82</f>
        <v/>
      </c>
      <c r="BE12" s="1156" t="str">
        <f ca="1">'3.1 Nyttestrøm'!BO82</f>
        <v/>
      </c>
      <c r="BF12" s="1156" t="str">
        <f ca="1">'3.1 Nyttestrøm'!BP82</f>
        <v/>
      </c>
      <c r="BG12" s="1156" t="str">
        <f ca="1">'3.1 Nyttestrøm'!BQ82</f>
        <v/>
      </c>
      <c r="BH12" s="1156" t="str">
        <f ca="1">'3.1 Nyttestrøm'!BR82</f>
        <v/>
      </c>
      <c r="BI12" s="1156" t="str">
        <f ca="1">'3.1 Nyttestrøm'!BS82</f>
        <v/>
      </c>
      <c r="BJ12" s="1156" t="str">
        <f ca="1">'3.1 Nyttestrøm'!BT82</f>
        <v/>
      </c>
      <c r="BK12" s="1156" t="str">
        <f ca="1">'3.1 Nyttestrøm'!BU82</f>
        <v/>
      </c>
      <c r="BL12" s="1156" t="str">
        <f ca="1">'3.1 Nyttestrøm'!BV82</f>
        <v/>
      </c>
      <c r="BM12" s="1156" t="str">
        <f ca="1">'3.1 Nyttestrøm'!BW82</f>
        <v/>
      </c>
      <c r="BN12" s="1156" t="str">
        <f ca="1">'3.1 Nyttestrøm'!BX82</f>
        <v/>
      </c>
      <c r="BO12" s="1156" t="str">
        <f ca="1">'3.1 Nyttestrøm'!BY82</f>
        <v/>
      </c>
      <c r="BP12" s="1156" t="str">
        <f ca="1">'3.1 Nyttestrøm'!BZ82</f>
        <v/>
      </c>
      <c r="BQ12" s="1156" t="str">
        <f ca="1">'3.1 Nyttestrøm'!CA82</f>
        <v/>
      </c>
      <c r="BR12" s="1156" t="str">
        <f ca="1">'3.1 Nyttestrøm'!CB82</f>
        <v/>
      </c>
      <c r="BS12" s="1156" t="str">
        <f ca="1">'3.1 Nyttestrøm'!CC82</f>
        <v/>
      </c>
      <c r="BT12" s="1156" t="str">
        <f ca="1">'3.1 Nyttestrøm'!CD82</f>
        <v/>
      </c>
      <c r="BU12" s="1156" t="str">
        <f ca="1">'3.1 Nyttestrøm'!CE82</f>
        <v/>
      </c>
      <c r="BV12" s="1156" t="str">
        <f ca="1">'3.1 Nyttestrøm'!CF82</f>
        <v/>
      </c>
      <c r="BW12" s="1156" t="str">
        <f ca="1">'3.1 Nyttestrøm'!CG82</f>
        <v/>
      </c>
      <c r="BX12" s="1156" t="str">
        <f ca="1">'3.1 Nyttestrøm'!CH82</f>
        <v/>
      </c>
      <c r="BY12" s="1156" t="str">
        <f ca="1">'3.1 Nyttestrøm'!CI82</f>
        <v/>
      </c>
      <c r="BZ12" s="1156" t="str">
        <f ca="1">'3.1 Nyttestrøm'!CJ82</f>
        <v/>
      </c>
      <c r="CA12" s="1156" t="str">
        <f ca="1">'3.1 Nyttestrøm'!CK82</f>
        <v/>
      </c>
      <c r="CB12" s="1156" t="str">
        <f ca="1">'3.1 Nyttestrøm'!CL82</f>
        <v/>
      </c>
      <c r="CC12" s="1156" t="str">
        <f ca="1">'3.1 Nyttestrøm'!CM82</f>
        <v/>
      </c>
      <c r="CD12" s="1156" t="str">
        <f ca="1">'3.1 Nyttestrøm'!CN82</f>
        <v/>
      </c>
      <c r="CE12" s="1156" t="str">
        <f ca="1">'3.1 Nyttestrøm'!CO82</f>
        <v/>
      </c>
      <c r="CF12" s="1156" t="str">
        <f ca="1">'3.1 Nyttestrøm'!CP82</f>
        <v/>
      </c>
      <c r="CG12" s="1156" t="str">
        <f ca="1">'3.1 Nyttestrøm'!CQ82</f>
        <v/>
      </c>
      <c r="CH12" s="1156" t="str">
        <f ca="1">'3.1 Nyttestrøm'!CR82</f>
        <v/>
      </c>
      <c r="CI12" s="1156" t="str">
        <f ca="1">'3.1 Nyttestrøm'!CS82</f>
        <v/>
      </c>
      <c r="CJ12" s="1156" t="str">
        <f ca="1">'3.1 Nyttestrøm'!CT82</f>
        <v/>
      </c>
      <c r="CK12" s="1156" t="str">
        <f ca="1">'3.1 Nyttestrøm'!CU82</f>
        <v/>
      </c>
      <c r="CL12" s="1156" t="str">
        <f ca="1">'3.1 Nyttestrøm'!CV82</f>
        <v/>
      </c>
      <c r="CM12" s="1156" t="str">
        <f ca="1">'3.1 Nyttestrøm'!CW82</f>
        <v/>
      </c>
      <c r="CN12" s="1156" t="str">
        <f ca="1">'3.1 Nyttestrøm'!CX82</f>
        <v/>
      </c>
      <c r="CO12" s="1156" t="str">
        <f ca="1">'3.1 Nyttestrøm'!CY82</f>
        <v/>
      </c>
      <c r="CP12" s="1156" t="str">
        <f ca="1">'3.1 Nyttestrøm'!CZ82</f>
        <v/>
      </c>
      <c r="CQ12" s="1156" t="str">
        <f ca="1">'3.1 Nyttestrøm'!DA82</f>
        <v/>
      </c>
      <c r="CR12" s="1156" t="str">
        <f ca="1">'3.1 Nyttestrøm'!DB82</f>
        <v/>
      </c>
      <c r="CS12" s="1156" t="str">
        <f ca="1">'3.1 Nyttestrøm'!DC82</f>
        <v/>
      </c>
      <c r="CT12" s="1156" t="str">
        <f ca="1">'3.1 Nyttestrøm'!DD82</f>
        <v/>
      </c>
      <c r="CU12" s="1156" t="str">
        <f ca="1">'3.1 Nyttestrøm'!DE82</f>
        <v/>
      </c>
      <c r="CV12" s="1156" t="str">
        <f ca="1">'3.1 Nyttestrøm'!DF82</f>
        <v/>
      </c>
      <c r="CW12" s="1156" t="str">
        <f ca="1">'3.1 Nyttestrøm'!DG82</f>
        <v/>
      </c>
      <c r="CX12" s="1156" t="str">
        <f ca="1">'3.1 Nyttestrøm'!DH82</f>
        <v/>
      </c>
      <c r="CY12" s="1156" t="str">
        <f ca="1">'3.1 Nyttestrøm'!DI82</f>
        <v/>
      </c>
      <c r="CZ12" s="1156" t="str">
        <f ca="1">'3.1 Nyttestrøm'!DJ82</f>
        <v/>
      </c>
      <c r="DA12" s="1156" t="str">
        <f ca="1">'3.1 Nyttestrøm'!DK82</f>
        <v/>
      </c>
      <c r="DB12" s="1156" t="str">
        <f ca="1">'3.1 Nyttestrøm'!DL82</f>
        <v/>
      </c>
      <c r="DC12" s="1156" t="str">
        <f ca="1">'3.1 Nyttestrøm'!DM82</f>
        <v/>
      </c>
      <c r="DD12" s="1156" t="str">
        <f ca="1">'3.1 Nyttestrøm'!DN82</f>
        <v/>
      </c>
      <c r="DE12" s="1156" t="str">
        <f ca="1">'3.1 Nyttestrøm'!DO82</f>
        <v/>
      </c>
      <c r="DF12" s="1156" t="str">
        <f ca="1">'3.1 Nyttestrøm'!DP82</f>
        <v/>
      </c>
      <c r="DG12" s="1156" t="str">
        <f ca="1">'3.1 Nyttestrøm'!DQ82</f>
        <v/>
      </c>
      <c r="DH12" s="1166" t="str">
        <f ca="1">'3.1 Nyttestrøm'!DR82</f>
        <v/>
      </c>
    </row>
    <row r="13" spans="1:112" x14ac:dyDescent="0.35">
      <c r="A13" s="685"/>
      <c r="B13" s="446" t="str">
        <f>'3.1 Nyttestrøm'!C83</f>
        <v>Skip</v>
      </c>
      <c r="C13" s="1156"/>
      <c r="D13" s="1156"/>
      <c r="E13" s="1156"/>
      <c r="F13" s="1156"/>
      <c r="G13" s="1156"/>
      <c r="H13" s="1156"/>
      <c r="I13" s="1156"/>
      <c r="J13" s="1156"/>
      <c r="K13" s="1156"/>
      <c r="L13" s="1156"/>
      <c r="M13" s="1156" t="str">
        <f ca="1">'3.1 Nyttestrøm'!W83</f>
        <v/>
      </c>
      <c r="N13" s="1156" t="str">
        <f ca="1">'3.1 Nyttestrøm'!X83</f>
        <v/>
      </c>
      <c r="O13" s="1156" t="str">
        <f ca="1">'3.1 Nyttestrøm'!Y83</f>
        <v/>
      </c>
      <c r="P13" s="1156" t="str">
        <f ca="1">'3.1 Nyttestrøm'!Z83</f>
        <v/>
      </c>
      <c r="Q13" s="1156" t="str">
        <f ca="1">'3.1 Nyttestrøm'!AA83</f>
        <v/>
      </c>
      <c r="R13" s="1156" t="str">
        <f ca="1">'3.1 Nyttestrøm'!AB83</f>
        <v/>
      </c>
      <c r="S13" s="1156" t="str">
        <f ca="1">'3.1 Nyttestrøm'!AC83</f>
        <v/>
      </c>
      <c r="T13" s="1156" t="str">
        <f ca="1">'3.1 Nyttestrøm'!AD83</f>
        <v/>
      </c>
      <c r="U13" s="1156" t="str">
        <f ca="1">'3.1 Nyttestrøm'!AE83</f>
        <v/>
      </c>
      <c r="V13" s="1156" t="str">
        <f ca="1">'3.1 Nyttestrøm'!AF83</f>
        <v/>
      </c>
      <c r="W13" s="1156" t="str">
        <f ca="1">'3.1 Nyttestrøm'!AG83</f>
        <v/>
      </c>
      <c r="X13" s="1156" t="str">
        <f ca="1">'3.1 Nyttestrøm'!AH83</f>
        <v/>
      </c>
      <c r="Y13" s="1156" t="str">
        <f ca="1">'3.1 Nyttestrøm'!AI83</f>
        <v/>
      </c>
      <c r="Z13" s="1156" t="str">
        <f ca="1">'3.1 Nyttestrøm'!AJ83</f>
        <v/>
      </c>
      <c r="AA13" s="1156" t="str">
        <f ca="1">'3.1 Nyttestrøm'!AK83</f>
        <v/>
      </c>
      <c r="AB13" s="1156" t="str">
        <f ca="1">'3.1 Nyttestrøm'!AL83</f>
        <v/>
      </c>
      <c r="AC13" s="1156" t="str">
        <f ca="1">'3.1 Nyttestrøm'!AM83</f>
        <v/>
      </c>
      <c r="AD13" s="1156" t="str">
        <f ca="1">'3.1 Nyttestrøm'!AN83</f>
        <v/>
      </c>
      <c r="AE13" s="1156" t="str">
        <f ca="1">'3.1 Nyttestrøm'!AO83</f>
        <v/>
      </c>
      <c r="AF13" s="1156" t="str">
        <f ca="1">'3.1 Nyttestrøm'!AP83</f>
        <v/>
      </c>
      <c r="AG13" s="1156" t="str">
        <f ca="1">'3.1 Nyttestrøm'!AQ83</f>
        <v/>
      </c>
      <c r="AH13" s="1156" t="str">
        <f ca="1">'3.1 Nyttestrøm'!AR83</f>
        <v/>
      </c>
      <c r="AI13" s="1156" t="str">
        <f ca="1">'3.1 Nyttestrøm'!AS83</f>
        <v/>
      </c>
      <c r="AJ13" s="1156" t="str">
        <f ca="1">'3.1 Nyttestrøm'!AT83</f>
        <v/>
      </c>
      <c r="AK13" s="1156" t="str">
        <f ca="1">'3.1 Nyttestrøm'!AU83</f>
        <v/>
      </c>
      <c r="AL13" s="1156" t="str">
        <f ca="1">'3.1 Nyttestrøm'!AV83</f>
        <v/>
      </c>
      <c r="AM13" s="1156" t="str">
        <f ca="1">'3.1 Nyttestrøm'!AW83</f>
        <v/>
      </c>
      <c r="AN13" s="1156" t="str">
        <f ca="1">'3.1 Nyttestrøm'!AX83</f>
        <v/>
      </c>
      <c r="AO13" s="1156" t="str">
        <f ca="1">'3.1 Nyttestrøm'!AY83</f>
        <v/>
      </c>
      <c r="AP13" s="1156" t="str">
        <f ca="1">'3.1 Nyttestrøm'!AZ83</f>
        <v/>
      </c>
      <c r="AQ13" s="1156" t="str">
        <f ca="1">'3.1 Nyttestrøm'!BA83</f>
        <v/>
      </c>
      <c r="AR13" s="1156" t="str">
        <f ca="1">'3.1 Nyttestrøm'!BB83</f>
        <v/>
      </c>
      <c r="AS13" s="1156" t="str">
        <f ca="1">'3.1 Nyttestrøm'!BC83</f>
        <v/>
      </c>
      <c r="AT13" s="1156" t="str">
        <f ca="1">'3.1 Nyttestrøm'!BD83</f>
        <v/>
      </c>
      <c r="AU13" s="1156" t="str">
        <f ca="1">'3.1 Nyttestrøm'!BE83</f>
        <v/>
      </c>
      <c r="AV13" s="1156" t="str">
        <f ca="1">'3.1 Nyttestrøm'!BF83</f>
        <v/>
      </c>
      <c r="AW13" s="1156" t="str">
        <f ca="1">'3.1 Nyttestrøm'!BG83</f>
        <v/>
      </c>
      <c r="AX13" s="1156" t="str">
        <f ca="1">'3.1 Nyttestrøm'!BH83</f>
        <v/>
      </c>
      <c r="AY13" s="1156" t="str">
        <f ca="1">'3.1 Nyttestrøm'!BI83</f>
        <v/>
      </c>
      <c r="AZ13" s="1156" t="str">
        <f ca="1">'3.1 Nyttestrøm'!BJ83</f>
        <v/>
      </c>
      <c r="BA13" s="1156" t="str">
        <f ca="1">'3.1 Nyttestrøm'!BK83</f>
        <v/>
      </c>
      <c r="BB13" s="1156" t="str">
        <f ca="1">'3.1 Nyttestrøm'!BL83</f>
        <v/>
      </c>
      <c r="BC13" s="1156" t="str">
        <f ca="1">'3.1 Nyttestrøm'!BM83</f>
        <v/>
      </c>
      <c r="BD13" s="1156" t="str">
        <f ca="1">'3.1 Nyttestrøm'!BN83</f>
        <v/>
      </c>
      <c r="BE13" s="1156" t="str">
        <f ca="1">'3.1 Nyttestrøm'!BO83</f>
        <v/>
      </c>
      <c r="BF13" s="1156" t="str">
        <f ca="1">'3.1 Nyttestrøm'!BP83</f>
        <v/>
      </c>
      <c r="BG13" s="1156" t="str">
        <f ca="1">'3.1 Nyttestrøm'!BQ83</f>
        <v/>
      </c>
      <c r="BH13" s="1156" t="str">
        <f ca="1">'3.1 Nyttestrøm'!BR83</f>
        <v/>
      </c>
      <c r="BI13" s="1156" t="str">
        <f ca="1">'3.1 Nyttestrøm'!BS83</f>
        <v/>
      </c>
      <c r="BJ13" s="1156" t="str">
        <f ca="1">'3.1 Nyttestrøm'!BT83</f>
        <v/>
      </c>
      <c r="BK13" s="1156" t="str">
        <f ca="1">'3.1 Nyttestrøm'!BU83</f>
        <v/>
      </c>
      <c r="BL13" s="1156" t="str">
        <f ca="1">'3.1 Nyttestrøm'!BV83</f>
        <v/>
      </c>
      <c r="BM13" s="1156" t="str">
        <f ca="1">'3.1 Nyttestrøm'!BW83</f>
        <v/>
      </c>
      <c r="BN13" s="1156" t="str">
        <f ca="1">'3.1 Nyttestrøm'!BX83</f>
        <v/>
      </c>
      <c r="BO13" s="1156" t="str">
        <f ca="1">'3.1 Nyttestrøm'!BY83</f>
        <v/>
      </c>
      <c r="BP13" s="1156" t="str">
        <f ca="1">'3.1 Nyttestrøm'!BZ83</f>
        <v/>
      </c>
      <c r="BQ13" s="1156" t="str">
        <f ca="1">'3.1 Nyttestrøm'!CA83</f>
        <v/>
      </c>
      <c r="BR13" s="1156" t="str">
        <f ca="1">'3.1 Nyttestrøm'!CB83</f>
        <v/>
      </c>
      <c r="BS13" s="1156" t="str">
        <f ca="1">'3.1 Nyttestrøm'!CC83</f>
        <v/>
      </c>
      <c r="BT13" s="1156" t="str">
        <f ca="1">'3.1 Nyttestrøm'!CD83</f>
        <v/>
      </c>
      <c r="BU13" s="1156" t="str">
        <f ca="1">'3.1 Nyttestrøm'!CE83</f>
        <v/>
      </c>
      <c r="BV13" s="1156" t="str">
        <f ca="1">'3.1 Nyttestrøm'!CF83</f>
        <v/>
      </c>
      <c r="BW13" s="1156" t="str">
        <f ca="1">'3.1 Nyttestrøm'!CG83</f>
        <v/>
      </c>
      <c r="BX13" s="1156" t="str">
        <f ca="1">'3.1 Nyttestrøm'!CH83</f>
        <v/>
      </c>
      <c r="BY13" s="1156" t="str">
        <f ca="1">'3.1 Nyttestrøm'!CI83</f>
        <v/>
      </c>
      <c r="BZ13" s="1156" t="str">
        <f ca="1">'3.1 Nyttestrøm'!CJ83</f>
        <v/>
      </c>
      <c r="CA13" s="1156" t="str">
        <f ca="1">'3.1 Nyttestrøm'!CK83</f>
        <v/>
      </c>
      <c r="CB13" s="1156" t="str">
        <f ca="1">'3.1 Nyttestrøm'!CL83</f>
        <v/>
      </c>
      <c r="CC13" s="1156" t="str">
        <f ca="1">'3.1 Nyttestrøm'!CM83</f>
        <v/>
      </c>
      <c r="CD13" s="1156" t="str">
        <f ca="1">'3.1 Nyttestrøm'!CN83</f>
        <v/>
      </c>
      <c r="CE13" s="1156" t="str">
        <f ca="1">'3.1 Nyttestrøm'!CO83</f>
        <v/>
      </c>
      <c r="CF13" s="1156" t="str">
        <f ca="1">'3.1 Nyttestrøm'!CP83</f>
        <v/>
      </c>
      <c r="CG13" s="1156" t="str">
        <f ca="1">'3.1 Nyttestrøm'!CQ83</f>
        <v/>
      </c>
      <c r="CH13" s="1156" t="str">
        <f ca="1">'3.1 Nyttestrøm'!CR83</f>
        <v/>
      </c>
      <c r="CI13" s="1156" t="str">
        <f ca="1">'3.1 Nyttestrøm'!CS83</f>
        <v/>
      </c>
      <c r="CJ13" s="1156" t="str">
        <f ca="1">'3.1 Nyttestrøm'!CT83</f>
        <v/>
      </c>
      <c r="CK13" s="1156" t="str">
        <f ca="1">'3.1 Nyttestrøm'!CU83</f>
        <v/>
      </c>
      <c r="CL13" s="1156" t="str">
        <f ca="1">'3.1 Nyttestrøm'!CV83</f>
        <v/>
      </c>
      <c r="CM13" s="1156" t="str">
        <f ca="1">'3.1 Nyttestrøm'!CW83</f>
        <v/>
      </c>
      <c r="CN13" s="1156" t="str">
        <f ca="1">'3.1 Nyttestrøm'!CX83</f>
        <v/>
      </c>
      <c r="CO13" s="1156" t="str">
        <f ca="1">'3.1 Nyttestrøm'!CY83</f>
        <v/>
      </c>
      <c r="CP13" s="1156" t="str">
        <f ca="1">'3.1 Nyttestrøm'!CZ83</f>
        <v/>
      </c>
      <c r="CQ13" s="1156" t="str">
        <f ca="1">'3.1 Nyttestrøm'!DA83</f>
        <v/>
      </c>
      <c r="CR13" s="1156" t="str">
        <f ca="1">'3.1 Nyttestrøm'!DB83</f>
        <v/>
      </c>
      <c r="CS13" s="1156" t="str">
        <f ca="1">'3.1 Nyttestrøm'!DC83</f>
        <v/>
      </c>
      <c r="CT13" s="1156" t="str">
        <f ca="1">'3.1 Nyttestrøm'!DD83</f>
        <v/>
      </c>
      <c r="CU13" s="1156" t="str">
        <f ca="1">'3.1 Nyttestrøm'!DE83</f>
        <v/>
      </c>
      <c r="CV13" s="1156" t="str">
        <f ca="1">'3.1 Nyttestrøm'!DF83</f>
        <v/>
      </c>
      <c r="CW13" s="1156" t="str">
        <f ca="1">'3.1 Nyttestrøm'!DG83</f>
        <v/>
      </c>
      <c r="CX13" s="1156" t="str">
        <f ca="1">'3.1 Nyttestrøm'!DH83</f>
        <v/>
      </c>
      <c r="CY13" s="1156" t="str">
        <f ca="1">'3.1 Nyttestrøm'!DI83</f>
        <v/>
      </c>
      <c r="CZ13" s="1156" t="str">
        <f ca="1">'3.1 Nyttestrøm'!DJ83</f>
        <v/>
      </c>
      <c r="DA13" s="1156" t="str">
        <f ca="1">'3.1 Nyttestrøm'!DK83</f>
        <v/>
      </c>
      <c r="DB13" s="1156" t="str">
        <f ca="1">'3.1 Nyttestrøm'!DL83</f>
        <v/>
      </c>
      <c r="DC13" s="1156" t="str">
        <f ca="1">'3.1 Nyttestrøm'!DM83</f>
        <v/>
      </c>
      <c r="DD13" s="1156" t="str">
        <f ca="1">'3.1 Nyttestrøm'!DN83</f>
        <v/>
      </c>
      <c r="DE13" s="1156" t="str">
        <f ca="1">'3.1 Nyttestrøm'!DO83</f>
        <v/>
      </c>
      <c r="DF13" s="1156" t="str">
        <f ca="1">'3.1 Nyttestrøm'!DP83</f>
        <v/>
      </c>
      <c r="DG13" s="1156" t="str">
        <f ca="1">'3.1 Nyttestrøm'!DQ83</f>
        <v/>
      </c>
      <c r="DH13" s="1166" t="str">
        <f ca="1">'3.1 Nyttestrøm'!DR83</f>
        <v/>
      </c>
    </row>
    <row r="14" spans="1:112" x14ac:dyDescent="0.35">
      <c r="A14" s="685"/>
      <c r="B14" s="446" t="str">
        <f>'3.1 Nyttestrøm'!C84</f>
        <v>Godsfly</v>
      </c>
      <c r="C14" s="1156"/>
      <c r="D14" s="1156"/>
      <c r="E14" s="1156"/>
      <c r="F14" s="1156"/>
      <c r="G14" s="1156"/>
      <c r="H14" s="1156"/>
      <c r="I14" s="1156"/>
      <c r="J14" s="1156"/>
      <c r="K14" s="1156"/>
      <c r="L14" s="1156"/>
      <c r="M14" s="1156" t="str">
        <f ca="1">'3.1 Nyttestrøm'!W84</f>
        <v/>
      </c>
      <c r="N14" s="1156" t="str">
        <f ca="1">'3.1 Nyttestrøm'!X84</f>
        <v/>
      </c>
      <c r="O14" s="1156" t="str">
        <f ca="1">'3.1 Nyttestrøm'!Y84</f>
        <v/>
      </c>
      <c r="P14" s="1156" t="str">
        <f ca="1">'3.1 Nyttestrøm'!Z84</f>
        <v/>
      </c>
      <c r="Q14" s="1156" t="str">
        <f ca="1">'3.1 Nyttestrøm'!AA84</f>
        <v/>
      </c>
      <c r="R14" s="1156" t="str">
        <f ca="1">'3.1 Nyttestrøm'!AB84</f>
        <v/>
      </c>
      <c r="S14" s="1156" t="str">
        <f ca="1">'3.1 Nyttestrøm'!AC84</f>
        <v/>
      </c>
      <c r="T14" s="1156" t="str">
        <f ca="1">'3.1 Nyttestrøm'!AD84</f>
        <v/>
      </c>
      <c r="U14" s="1156" t="str">
        <f ca="1">'3.1 Nyttestrøm'!AE84</f>
        <v/>
      </c>
      <c r="V14" s="1156" t="str">
        <f ca="1">'3.1 Nyttestrøm'!AF84</f>
        <v/>
      </c>
      <c r="W14" s="1156" t="str">
        <f ca="1">'3.1 Nyttestrøm'!AG84</f>
        <v/>
      </c>
      <c r="X14" s="1156" t="str">
        <f ca="1">'3.1 Nyttestrøm'!AH84</f>
        <v/>
      </c>
      <c r="Y14" s="1156" t="str">
        <f ca="1">'3.1 Nyttestrøm'!AI84</f>
        <v/>
      </c>
      <c r="Z14" s="1156" t="str">
        <f ca="1">'3.1 Nyttestrøm'!AJ84</f>
        <v/>
      </c>
      <c r="AA14" s="1156" t="str">
        <f ca="1">'3.1 Nyttestrøm'!AK84</f>
        <v/>
      </c>
      <c r="AB14" s="1156" t="str">
        <f ca="1">'3.1 Nyttestrøm'!AL84</f>
        <v/>
      </c>
      <c r="AC14" s="1156" t="str">
        <f ca="1">'3.1 Nyttestrøm'!AM84</f>
        <v/>
      </c>
      <c r="AD14" s="1156" t="str">
        <f ca="1">'3.1 Nyttestrøm'!AN84</f>
        <v/>
      </c>
      <c r="AE14" s="1156" t="str">
        <f ca="1">'3.1 Nyttestrøm'!AO84</f>
        <v/>
      </c>
      <c r="AF14" s="1156" t="str">
        <f ca="1">'3.1 Nyttestrøm'!AP84</f>
        <v/>
      </c>
      <c r="AG14" s="1156" t="str">
        <f ca="1">'3.1 Nyttestrøm'!AQ84</f>
        <v/>
      </c>
      <c r="AH14" s="1156" t="str">
        <f ca="1">'3.1 Nyttestrøm'!AR84</f>
        <v/>
      </c>
      <c r="AI14" s="1156" t="str">
        <f ca="1">'3.1 Nyttestrøm'!AS84</f>
        <v/>
      </c>
      <c r="AJ14" s="1156" t="str">
        <f ca="1">'3.1 Nyttestrøm'!AT84</f>
        <v/>
      </c>
      <c r="AK14" s="1156" t="str">
        <f ca="1">'3.1 Nyttestrøm'!AU84</f>
        <v/>
      </c>
      <c r="AL14" s="1156" t="str">
        <f ca="1">'3.1 Nyttestrøm'!AV84</f>
        <v/>
      </c>
      <c r="AM14" s="1156" t="str">
        <f ca="1">'3.1 Nyttestrøm'!AW84</f>
        <v/>
      </c>
      <c r="AN14" s="1156" t="str">
        <f ca="1">'3.1 Nyttestrøm'!AX84</f>
        <v/>
      </c>
      <c r="AO14" s="1156" t="str">
        <f ca="1">'3.1 Nyttestrøm'!AY84</f>
        <v/>
      </c>
      <c r="AP14" s="1156" t="str">
        <f ca="1">'3.1 Nyttestrøm'!AZ84</f>
        <v/>
      </c>
      <c r="AQ14" s="1156" t="str">
        <f ca="1">'3.1 Nyttestrøm'!BA84</f>
        <v/>
      </c>
      <c r="AR14" s="1156" t="str">
        <f ca="1">'3.1 Nyttestrøm'!BB84</f>
        <v/>
      </c>
      <c r="AS14" s="1156" t="str">
        <f ca="1">'3.1 Nyttestrøm'!BC84</f>
        <v/>
      </c>
      <c r="AT14" s="1156" t="str">
        <f ca="1">'3.1 Nyttestrøm'!BD84</f>
        <v/>
      </c>
      <c r="AU14" s="1156" t="str">
        <f ca="1">'3.1 Nyttestrøm'!BE84</f>
        <v/>
      </c>
      <c r="AV14" s="1156" t="str">
        <f ca="1">'3.1 Nyttestrøm'!BF84</f>
        <v/>
      </c>
      <c r="AW14" s="1156" t="str">
        <f ca="1">'3.1 Nyttestrøm'!BG84</f>
        <v/>
      </c>
      <c r="AX14" s="1156" t="str">
        <f ca="1">'3.1 Nyttestrøm'!BH84</f>
        <v/>
      </c>
      <c r="AY14" s="1156" t="str">
        <f ca="1">'3.1 Nyttestrøm'!BI84</f>
        <v/>
      </c>
      <c r="AZ14" s="1156" t="str">
        <f ca="1">'3.1 Nyttestrøm'!BJ84</f>
        <v/>
      </c>
      <c r="BA14" s="1156" t="str">
        <f ca="1">'3.1 Nyttestrøm'!BK84</f>
        <v/>
      </c>
      <c r="BB14" s="1156" t="str">
        <f ca="1">'3.1 Nyttestrøm'!BL84</f>
        <v/>
      </c>
      <c r="BC14" s="1156" t="str">
        <f ca="1">'3.1 Nyttestrøm'!BM84</f>
        <v/>
      </c>
      <c r="BD14" s="1156" t="str">
        <f ca="1">'3.1 Nyttestrøm'!BN84</f>
        <v/>
      </c>
      <c r="BE14" s="1156" t="str">
        <f ca="1">'3.1 Nyttestrøm'!BO84</f>
        <v/>
      </c>
      <c r="BF14" s="1156" t="str">
        <f ca="1">'3.1 Nyttestrøm'!BP84</f>
        <v/>
      </c>
      <c r="BG14" s="1156" t="str">
        <f ca="1">'3.1 Nyttestrøm'!BQ84</f>
        <v/>
      </c>
      <c r="BH14" s="1156" t="str">
        <f ca="1">'3.1 Nyttestrøm'!BR84</f>
        <v/>
      </c>
      <c r="BI14" s="1156" t="str">
        <f ca="1">'3.1 Nyttestrøm'!BS84</f>
        <v/>
      </c>
      <c r="BJ14" s="1156" t="str">
        <f ca="1">'3.1 Nyttestrøm'!BT84</f>
        <v/>
      </c>
      <c r="BK14" s="1156" t="str">
        <f ca="1">'3.1 Nyttestrøm'!BU84</f>
        <v/>
      </c>
      <c r="BL14" s="1156" t="str">
        <f ca="1">'3.1 Nyttestrøm'!BV84</f>
        <v/>
      </c>
      <c r="BM14" s="1156" t="str">
        <f ca="1">'3.1 Nyttestrøm'!BW84</f>
        <v/>
      </c>
      <c r="BN14" s="1156" t="str">
        <f ca="1">'3.1 Nyttestrøm'!BX84</f>
        <v/>
      </c>
      <c r="BO14" s="1156" t="str">
        <f ca="1">'3.1 Nyttestrøm'!BY84</f>
        <v/>
      </c>
      <c r="BP14" s="1156" t="str">
        <f ca="1">'3.1 Nyttestrøm'!BZ84</f>
        <v/>
      </c>
      <c r="BQ14" s="1156" t="str">
        <f ca="1">'3.1 Nyttestrøm'!CA84</f>
        <v/>
      </c>
      <c r="BR14" s="1156" t="str">
        <f ca="1">'3.1 Nyttestrøm'!CB84</f>
        <v/>
      </c>
      <c r="BS14" s="1156" t="str">
        <f ca="1">'3.1 Nyttestrøm'!CC84</f>
        <v/>
      </c>
      <c r="BT14" s="1156" t="str">
        <f ca="1">'3.1 Nyttestrøm'!CD84</f>
        <v/>
      </c>
      <c r="BU14" s="1156" t="str">
        <f ca="1">'3.1 Nyttestrøm'!CE84</f>
        <v/>
      </c>
      <c r="BV14" s="1156" t="str">
        <f ca="1">'3.1 Nyttestrøm'!CF84</f>
        <v/>
      </c>
      <c r="BW14" s="1156" t="str">
        <f ca="1">'3.1 Nyttestrøm'!CG84</f>
        <v/>
      </c>
      <c r="BX14" s="1156" t="str">
        <f ca="1">'3.1 Nyttestrøm'!CH84</f>
        <v/>
      </c>
      <c r="BY14" s="1156" t="str">
        <f ca="1">'3.1 Nyttestrøm'!CI84</f>
        <v/>
      </c>
      <c r="BZ14" s="1156" t="str">
        <f ca="1">'3.1 Nyttestrøm'!CJ84</f>
        <v/>
      </c>
      <c r="CA14" s="1156" t="str">
        <f ca="1">'3.1 Nyttestrøm'!CK84</f>
        <v/>
      </c>
      <c r="CB14" s="1156" t="str">
        <f ca="1">'3.1 Nyttestrøm'!CL84</f>
        <v/>
      </c>
      <c r="CC14" s="1156" t="str">
        <f ca="1">'3.1 Nyttestrøm'!CM84</f>
        <v/>
      </c>
      <c r="CD14" s="1156" t="str">
        <f ca="1">'3.1 Nyttestrøm'!CN84</f>
        <v/>
      </c>
      <c r="CE14" s="1156" t="str">
        <f ca="1">'3.1 Nyttestrøm'!CO84</f>
        <v/>
      </c>
      <c r="CF14" s="1156" t="str">
        <f ca="1">'3.1 Nyttestrøm'!CP84</f>
        <v/>
      </c>
      <c r="CG14" s="1156" t="str">
        <f ca="1">'3.1 Nyttestrøm'!CQ84</f>
        <v/>
      </c>
      <c r="CH14" s="1156" t="str">
        <f ca="1">'3.1 Nyttestrøm'!CR84</f>
        <v/>
      </c>
      <c r="CI14" s="1156" t="str">
        <f ca="1">'3.1 Nyttestrøm'!CS84</f>
        <v/>
      </c>
      <c r="CJ14" s="1156" t="str">
        <f ca="1">'3.1 Nyttestrøm'!CT84</f>
        <v/>
      </c>
      <c r="CK14" s="1156" t="str">
        <f ca="1">'3.1 Nyttestrøm'!CU84</f>
        <v/>
      </c>
      <c r="CL14" s="1156" t="str">
        <f ca="1">'3.1 Nyttestrøm'!CV84</f>
        <v/>
      </c>
      <c r="CM14" s="1156" t="str">
        <f ca="1">'3.1 Nyttestrøm'!CW84</f>
        <v/>
      </c>
      <c r="CN14" s="1156" t="str">
        <f ca="1">'3.1 Nyttestrøm'!CX84</f>
        <v/>
      </c>
      <c r="CO14" s="1156" t="str">
        <f ca="1">'3.1 Nyttestrøm'!CY84</f>
        <v/>
      </c>
      <c r="CP14" s="1156" t="str">
        <f ca="1">'3.1 Nyttestrøm'!CZ84</f>
        <v/>
      </c>
      <c r="CQ14" s="1156" t="str">
        <f ca="1">'3.1 Nyttestrøm'!DA84</f>
        <v/>
      </c>
      <c r="CR14" s="1156" t="str">
        <f ca="1">'3.1 Nyttestrøm'!DB84</f>
        <v/>
      </c>
      <c r="CS14" s="1156" t="str">
        <f ca="1">'3.1 Nyttestrøm'!DC84</f>
        <v/>
      </c>
      <c r="CT14" s="1156" t="str">
        <f ca="1">'3.1 Nyttestrøm'!DD84</f>
        <v/>
      </c>
      <c r="CU14" s="1156" t="str">
        <f ca="1">'3.1 Nyttestrøm'!DE84</f>
        <v/>
      </c>
      <c r="CV14" s="1156" t="str">
        <f ca="1">'3.1 Nyttestrøm'!DF84</f>
        <v/>
      </c>
      <c r="CW14" s="1156" t="str">
        <f ca="1">'3.1 Nyttestrøm'!DG84</f>
        <v/>
      </c>
      <c r="CX14" s="1156" t="str">
        <f ca="1">'3.1 Nyttestrøm'!DH84</f>
        <v/>
      </c>
      <c r="CY14" s="1156" t="str">
        <f ca="1">'3.1 Nyttestrøm'!DI84</f>
        <v/>
      </c>
      <c r="CZ14" s="1156" t="str">
        <f ca="1">'3.1 Nyttestrøm'!DJ84</f>
        <v/>
      </c>
      <c r="DA14" s="1156" t="str">
        <f ca="1">'3.1 Nyttestrøm'!DK84</f>
        <v/>
      </c>
      <c r="DB14" s="1156" t="str">
        <f ca="1">'3.1 Nyttestrøm'!DL84</f>
        <v/>
      </c>
      <c r="DC14" s="1156" t="str">
        <f ca="1">'3.1 Nyttestrøm'!DM84</f>
        <v/>
      </c>
      <c r="DD14" s="1156" t="str">
        <f ca="1">'3.1 Nyttestrøm'!DN84</f>
        <v/>
      </c>
      <c r="DE14" s="1156" t="str">
        <f ca="1">'3.1 Nyttestrøm'!DO84</f>
        <v/>
      </c>
      <c r="DF14" s="1156" t="str">
        <f ca="1">'3.1 Nyttestrøm'!DP84</f>
        <v/>
      </c>
      <c r="DG14" s="1156" t="str">
        <f ca="1">'3.1 Nyttestrøm'!DQ84</f>
        <v/>
      </c>
      <c r="DH14" s="1166" t="str">
        <f ca="1">'3.1 Nyttestrøm'!DR84</f>
        <v/>
      </c>
    </row>
    <row r="15" spans="1:112" x14ac:dyDescent="0.35">
      <c r="A15" s="685"/>
      <c r="B15" s="446" t="str">
        <f>'3.1 Nyttestrøm'!C85</f>
        <v>Utslipp i byggefasen</v>
      </c>
      <c r="C15" s="1156" t="e">
        <f>'3.1 Nyttestrøm'!M85</f>
        <v>#N/A</v>
      </c>
      <c r="D15" s="1156" t="e">
        <f>'3.1 Nyttestrøm'!N85</f>
        <v>#N/A</v>
      </c>
      <c r="E15" s="1156" t="e">
        <f>'3.1 Nyttestrøm'!O85</f>
        <v>#N/A</v>
      </c>
      <c r="F15" s="1156" t="e">
        <f>'3.1 Nyttestrøm'!P85</f>
        <v>#N/A</v>
      </c>
      <c r="G15" s="1156" t="e">
        <f>'3.1 Nyttestrøm'!Q85</f>
        <v>#N/A</v>
      </c>
      <c r="H15" s="1156" t="e">
        <f>'3.1 Nyttestrøm'!R85</f>
        <v>#N/A</v>
      </c>
      <c r="I15" s="1156" t="e">
        <f>'3.1 Nyttestrøm'!S85</f>
        <v>#N/A</v>
      </c>
      <c r="J15" s="1156" t="e">
        <f>'3.1 Nyttestrøm'!T85</f>
        <v>#N/A</v>
      </c>
      <c r="K15" s="1156" t="e">
        <f>'3.1 Nyttestrøm'!U85</f>
        <v>#N/A</v>
      </c>
      <c r="L15" s="1156" t="e">
        <f>'3.1 Nyttestrøm'!V85</f>
        <v>#N/A</v>
      </c>
      <c r="M15" s="1156" t="e">
        <f>'3.1 Nyttestrøm'!W85</f>
        <v>#N/A</v>
      </c>
      <c r="N15" s="1156" t="e">
        <f>'3.1 Nyttestrøm'!X85</f>
        <v>#N/A</v>
      </c>
      <c r="O15" s="1156" t="e">
        <f>'3.1 Nyttestrøm'!Y85</f>
        <v>#N/A</v>
      </c>
      <c r="P15" s="1156" t="e">
        <f>'3.1 Nyttestrøm'!Z85</f>
        <v>#N/A</v>
      </c>
      <c r="Q15" s="1156" t="e">
        <f>'3.1 Nyttestrøm'!AA85</f>
        <v>#N/A</v>
      </c>
      <c r="R15" s="1156" t="e">
        <f>'3.1 Nyttestrøm'!AB85</f>
        <v>#N/A</v>
      </c>
      <c r="S15" s="1156" t="e">
        <f>'3.1 Nyttestrøm'!AC85</f>
        <v>#N/A</v>
      </c>
      <c r="T15" s="1156" t="e">
        <f>'3.1 Nyttestrøm'!AD85</f>
        <v>#N/A</v>
      </c>
      <c r="U15" s="1156" t="e">
        <f>'3.1 Nyttestrøm'!AE85</f>
        <v>#N/A</v>
      </c>
      <c r="V15" s="1156" t="e">
        <f>'3.1 Nyttestrøm'!AF85</f>
        <v>#N/A</v>
      </c>
      <c r="W15" s="1156" t="e">
        <f>'3.1 Nyttestrøm'!AG85</f>
        <v>#N/A</v>
      </c>
      <c r="X15" s="1156" t="e">
        <f>'3.1 Nyttestrøm'!AH85</f>
        <v>#N/A</v>
      </c>
      <c r="Y15" s="1156" t="e">
        <f>'3.1 Nyttestrøm'!AI85</f>
        <v>#N/A</v>
      </c>
      <c r="Z15" s="1156" t="e">
        <f>'3.1 Nyttestrøm'!AJ85</f>
        <v>#N/A</v>
      </c>
      <c r="AA15" s="1156" t="e">
        <f>'3.1 Nyttestrøm'!AK85</f>
        <v>#N/A</v>
      </c>
      <c r="AB15" s="1156" t="e">
        <f>'3.1 Nyttestrøm'!AL85</f>
        <v>#N/A</v>
      </c>
      <c r="AC15" s="1156" t="e">
        <f>'3.1 Nyttestrøm'!AM85</f>
        <v>#N/A</v>
      </c>
      <c r="AD15" s="1156" t="e">
        <f>'3.1 Nyttestrøm'!AN85</f>
        <v>#N/A</v>
      </c>
      <c r="AE15" s="1156" t="e">
        <f>'3.1 Nyttestrøm'!AO85</f>
        <v>#N/A</v>
      </c>
      <c r="AF15" s="1156" t="e">
        <f>'3.1 Nyttestrøm'!AP85</f>
        <v>#N/A</v>
      </c>
      <c r="AG15" s="1156" t="e">
        <f>'3.1 Nyttestrøm'!AQ85</f>
        <v>#N/A</v>
      </c>
      <c r="AH15" s="1156" t="e">
        <f>'3.1 Nyttestrøm'!AR85</f>
        <v>#N/A</v>
      </c>
      <c r="AI15" s="1156" t="e">
        <f>'3.1 Nyttestrøm'!AS85</f>
        <v>#N/A</v>
      </c>
      <c r="AJ15" s="1156" t="e">
        <f>'3.1 Nyttestrøm'!AT85</f>
        <v>#N/A</v>
      </c>
      <c r="AK15" s="1156" t="e">
        <f>'3.1 Nyttestrøm'!AU85</f>
        <v>#N/A</v>
      </c>
      <c r="AL15" s="1156" t="e">
        <f>'3.1 Nyttestrøm'!AV85</f>
        <v>#N/A</v>
      </c>
      <c r="AM15" s="1156" t="e">
        <f>'3.1 Nyttestrøm'!AW85</f>
        <v>#N/A</v>
      </c>
      <c r="AN15" s="1156" t="e">
        <f>'3.1 Nyttestrøm'!AX85</f>
        <v>#N/A</v>
      </c>
      <c r="AO15" s="1156" t="e">
        <f>'3.1 Nyttestrøm'!AY85</f>
        <v>#N/A</v>
      </c>
      <c r="AP15" s="1156" t="e">
        <f>'3.1 Nyttestrøm'!AZ85</f>
        <v>#N/A</v>
      </c>
      <c r="AQ15" s="1156" t="e">
        <f>'3.1 Nyttestrøm'!BA85</f>
        <v>#N/A</v>
      </c>
      <c r="AR15" s="1156" t="e">
        <f>'3.1 Nyttestrøm'!BB85</f>
        <v>#N/A</v>
      </c>
      <c r="AS15" s="1156" t="e">
        <f>'3.1 Nyttestrøm'!BC85</f>
        <v>#N/A</v>
      </c>
      <c r="AT15" s="1156" t="e">
        <f>'3.1 Nyttestrøm'!BD85</f>
        <v>#N/A</v>
      </c>
      <c r="AU15" s="1156" t="e">
        <f>'3.1 Nyttestrøm'!BE85</f>
        <v>#N/A</v>
      </c>
      <c r="AV15" s="1156" t="e">
        <f>'3.1 Nyttestrøm'!BF85</f>
        <v>#N/A</v>
      </c>
      <c r="AW15" s="1156" t="e">
        <f>'3.1 Nyttestrøm'!BG85</f>
        <v>#N/A</v>
      </c>
      <c r="AX15" s="1156" t="e">
        <f>'3.1 Nyttestrøm'!BH85</f>
        <v>#N/A</v>
      </c>
      <c r="AY15" s="1156" t="e">
        <f>'3.1 Nyttestrøm'!BI85</f>
        <v>#N/A</v>
      </c>
      <c r="AZ15" s="1156" t="e">
        <f>'3.1 Nyttestrøm'!BJ85</f>
        <v>#N/A</v>
      </c>
      <c r="BA15" s="1156" t="e">
        <f>'3.1 Nyttestrøm'!BK85</f>
        <v>#N/A</v>
      </c>
      <c r="BB15" s="1156" t="e">
        <f>'3.1 Nyttestrøm'!BL85</f>
        <v>#N/A</v>
      </c>
      <c r="BC15" s="1156" t="e">
        <f>'3.1 Nyttestrøm'!BM85</f>
        <v>#N/A</v>
      </c>
      <c r="BD15" s="1156" t="e">
        <f>'3.1 Nyttestrøm'!BN85</f>
        <v>#N/A</v>
      </c>
      <c r="BE15" s="1156" t="e">
        <f>'3.1 Nyttestrøm'!BO85</f>
        <v>#N/A</v>
      </c>
      <c r="BF15" s="1156" t="e">
        <f>'3.1 Nyttestrøm'!BP85</f>
        <v>#N/A</v>
      </c>
      <c r="BG15" s="1156" t="e">
        <f>'3.1 Nyttestrøm'!BQ85</f>
        <v>#N/A</v>
      </c>
      <c r="BH15" s="1156" t="e">
        <f>'3.1 Nyttestrøm'!BR85</f>
        <v>#N/A</v>
      </c>
      <c r="BI15" s="1156" t="e">
        <f>'3.1 Nyttestrøm'!BS85</f>
        <v>#N/A</v>
      </c>
      <c r="BJ15" s="1156" t="e">
        <f>'3.1 Nyttestrøm'!BT85</f>
        <v>#N/A</v>
      </c>
      <c r="BK15" s="1156" t="e">
        <f>'3.1 Nyttestrøm'!BU85</f>
        <v>#N/A</v>
      </c>
      <c r="BL15" s="1156" t="e">
        <f>'3.1 Nyttestrøm'!BV85</f>
        <v>#N/A</v>
      </c>
      <c r="BM15" s="1156" t="e">
        <f>'3.1 Nyttestrøm'!BW85</f>
        <v>#N/A</v>
      </c>
      <c r="BN15" s="1156" t="e">
        <f>'3.1 Nyttestrøm'!BX85</f>
        <v>#N/A</v>
      </c>
      <c r="BO15" s="1156" t="e">
        <f>'3.1 Nyttestrøm'!BY85</f>
        <v>#N/A</v>
      </c>
      <c r="BP15" s="1156" t="e">
        <f>'3.1 Nyttestrøm'!BZ85</f>
        <v>#N/A</v>
      </c>
      <c r="BQ15" s="1156" t="e">
        <f>'3.1 Nyttestrøm'!CA85</f>
        <v>#N/A</v>
      </c>
      <c r="BR15" s="1156" t="e">
        <f>'3.1 Nyttestrøm'!CB85</f>
        <v>#N/A</v>
      </c>
      <c r="BS15" s="1156" t="e">
        <f>'3.1 Nyttestrøm'!CC85</f>
        <v>#N/A</v>
      </c>
      <c r="BT15" s="1156" t="e">
        <f>'3.1 Nyttestrøm'!CD85</f>
        <v>#N/A</v>
      </c>
      <c r="BU15" s="1156" t="e">
        <f>'3.1 Nyttestrøm'!CE85</f>
        <v>#N/A</v>
      </c>
      <c r="BV15" s="1156" t="e">
        <f>'3.1 Nyttestrøm'!CF85</f>
        <v>#N/A</v>
      </c>
      <c r="BW15" s="1156" t="e">
        <f>'3.1 Nyttestrøm'!CG85</f>
        <v>#N/A</v>
      </c>
      <c r="BX15" s="1156" t="e">
        <f>'3.1 Nyttestrøm'!CH85</f>
        <v>#N/A</v>
      </c>
      <c r="BY15" s="1156" t="e">
        <f>'3.1 Nyttestrøm'!CI85</f>
        <v>#N/A</v>
      </c>
      <c r="BZ15" s="1156" t="e">
        <f>'3.1 Nyttestrøm'!CJ85</f>
        <v>#N/A</v>
      </c>
      <c r="CA15" s="1156" t="e">
        <f>'3.1 Nyttestrøm'!CK85</f>
        <v>#N/A</v>
      </c>
      <c r="CB15" s="1156" t="e">
        <f>'3.1 Nyttestrøm'!CL85</f>
        <v>#N/A</v>
      </c>
      <c r="CC15" s="1156" t="e">
        <f>'3.1 Nyttestrøm'!CM85</f>
        <v>#N/A</v>
      </c>
      <c r="CD15" s="1156" t="e">
        <f>'3.1 Nyttestrøm'!CN85</f>
        <v>#N/A</v>
      </c>
      <c r="CE15" s="1156" t="e">
        <f>'3.1 Nyttestrøm'!CO85</f>
        <v>#N/A</v>
      </c>
      <c r="CF15" s="1156" t="e">
        <f>'3.1 Nyttestrøm'!CP85</f>
        <v>#N/A</v>
      </c>
      <c r="CG15" s="1156" t="e">
        <f>'3.1 Nyttestrøm'!CQ85</f>
        <v>#N/A</v>
      </c>
      <c r="CH15" s="1156" t="e">
        <f>'3.1 Nyttestrøm'!CR85</f>
        <v>#N/A</v>
      </c>
      <c r="CI15" s="1156" t="e">
        <f>'3.1 Nyttestrøm'!CS85</f>
        <v>#N/A</v>
      </c>
      <c r="CJ15" s="1156" t="e">
        <f>'3.1 Nyttestrøm'!CT85</f>
        <v>#N/A</v>
      </c>
      <c r="CK15" s="1156" t="e">
        <f>'3.1 Nyttestrøm'!CU85</f>
        <v>#N/A</v>
      </c>
      <c r="CL15" s="1156" t="e">
        <f>'3.1 Nyttestrøm'!CV85</f>
        <v>#N/A</v>
      </c>
      <c r="CM15" s="1156" t="e">
        <f>'3.1 Nyttestrøm'!CW85</f>
        <v>#N/A</v>
      </c>
      <c r="CN15" s="1156" t="e">
        <f>'3.1 Nyttestrøm'!CX85</f>
        <v>#N/A</v>
      </c>
      <c r="CO15" s="1156" t="e">
        <f>'3.1 Nyttestrøm'!CY85</f>
        <v>#N/A</v>
      </c>
      <c r="CP15" s="1156" t="e">
        <f>'3.1 Nyttestrøm'!CZ85</f>
        <v>#N/A</v>
      </c>
      <c r="CQ15" s="1156" t="e">
        <f>'3.1 Nyttestrøm'!DA85</f>
        <v>#N/A</v>
      </c>
      <c r="CR15" s="1156" t="e">
        <f>'3.1 Nyttestrøm'!DB85</f>
        <v>#N/A</v>
      </c>
      <c r="CS15" s="1156" t="e">
        <f>'3.1 Nyttestrøm'!DC85</f>
        <v>#N/A</v>
      </c>
      <c r="CT15" s="1156" t="e">
        <f>'3.1 Nyttestrøm'!DD85</f>
        <v>#N/A</v>
      </c>
      <c r="CU15" s="1156" t="e">
        <f>'3.1 Nyttestrøm'!DE85</f>
        <v>#N/A</v>
      </c>
      <c r="CV15" s="1156" t="e">
        <f>'3.1 Nyttestrøm'!DF85</f>
        <v>#N/A</v>
      </c>
      <c r="CW15" s="1156" t="e">
        <f>'3.1 Nyttestrøm'!DG85</f>
        <v>#N/A</v>
      </c>
      <c r="CX15" s="1156" t="e">
        <f>'3.1 Nyttestrøm'!DH85</f>
        <v>#N/A</v>
      </c>
      <c r="CY15" s="1156" t="e">
        <f>'3.1 Nyttestrøm'!DI85</f>
        <v>#N/A</v>
      </c>
      <c r="CZ15" s="1156" t="e">
        <f>'3.1 Nyttestrøm'!DJ85</f>
        <v>#N/A</v>
      </c>
      <c r="DA15" s="1156" t="e">
        <f>'3.1 Nyttestrøm'!DK85</f>
        <v>#N/A</v>
      </c>
      <c r="DB15" s="1156" t="e">
        <f>'3.1 Nyttestrøm'!DL85</f>
        <v>#N/A</v>
      </c>
      <c r="DC15" s="1156" t="e">
        <f>'3.1 Nyttestrøm'!DM85</f>
        <v>#N/A</v>
      </c>
      <c r="DD15" s="1156" t="e">
        <f>'3.1 Nyttestrøm'!DN85</f>
        <v>#N/A</v>
      </c>
      <c r="DE15" s="1156" t="e">
        <f>'3.1 Nyttestrøm'!DO85</f>
        <v>#N/A</v>
      </c>
      <c r="DF15" s="1156" t="e">
        <f>'3.1 Nyttestrøm'!DP85</f>
        <v>#N/A</v>
      </c>
      <c r="DG15" s="1156" t="e">
        <f>'3.1 Nyttestrøm'!DQ85</f>
        <v>#N/A</v>
      </c>
      <c r="DH15" s="1166" t="e">
        <f>'3.1 Nyttestrøm'!DR85</f>
        <v>#N/A</v>
      </c>
    </row>
    <row r="16" spans="1:112" x14ac:dyDescent="0.35">
      <c r="A16" s="685"/>
      <c r="B16" s="446" t="str">
        <f>'3.1 Nyttestrøm'!C86</f>
        <v>Utslipp arealbeslag</v>
      </c>
      <c r="C16" s="1156" t="e">
        <f>'3.1 Nyttestrøm'!M86</f>
        <v>#N/A</v>
      </c>
      <c r="D16" s="1156" t="e">
        <f>'3.1 Nyttestrøm'!N86</f>
        <v>#N/A</v>
      </c>
      <c r="E16" s="1156" t="e">
        <f>'3.1 Nyttestrøm'!O86</f>
        <v>#N/A</v>
      </c>
      <c r="F16" s="1156" t="e">
        <f>'3.1 Nyttestrøm'!P86</f>
        <v>#N/A</v>
      </c>
      <c r="G16" s="1156" t="e">
        <f>'3.1 Nyttestrøm'!Q86</f>
        <v>#N/A</v>
      </c>
      <c r="H16" s="1156" t="e">
        <f>'3.1 Nyttestrøm'!R86</f>
        <v>#N/A</v>
      </c>
      <c r="I16" s="1156" t="e">
        <f>'3.1 Nyttestrøm'!S86</f>
        <v>#N/A</v>
      </c>
      <c r="J16" s="1156" t="e">
        <f>'3.1 Nyttestrøm'!T86</f>
        <v>#N/A</v>
      </c>
      <c r="K16" s="1156" t="e">
        <f>'3.1 Nyttestrøm'!U86</f>
        <v>#N/A</v>
      </c>
      <c r="L16" s="1156" t="e">
        <f>'3.1 Nyttestrøm'!V86</f>
        <v>#N/A</v>
      </c>
      <c r="M16" s="1156" t="e">
        <f>'3.1 Nyttestrøm'!W86</f>
        <v>#N/A</v>
      </c>
      <c r="N16" s="1156" t="e">
        <f>'3.1 Nyttestrøm'!X86</f>
        <v>#N/A</v>
      </c>
      <c r="O16" s="1156" t="e">
        <f>'3.1 Nyttestrøm'!Y86</f>
        <v>#N/A</v>
      </c>
      <c r="P16" s="1156" t="e">
        <f>'3.1 Nyttestrøm'!Z86</f>
        <v>#N/A</v>
      </c>
      <c r="Q16" s="1156" t="e">
        <f>'3.1 Nyttestrøm'!AA86</f>
        <v>#N/A</v>
      </c>
      <c r="R16" s="1156" t="e">
        <f>'3.1 Nyttestrøm'!AB86</f>
        <v>#N/A</v>
      </c>
      <c r="S16" s="1156" t="e">
        <f>'3.1 Nyttestrøm'!AC86</f>
        <v>#N/A</v>
      </c>
      <c r="T16" s="1156" t="e">
        <f>'3.1 Nyttestrøm'!AD86</f>
        <v>#N/A</v>
      </c>
      <c r="U16" s="1156" t="e">
        <f>'3.1 Nyttestrøm'!AE86</f>
        <v>#N/A</v>
      </c>
      <c r="V16" s="1156" t="e">
        <f>'3.1 Nyttestrøm'!AF86</f>
        <v>#N/A</v>
      </c>
      <c r="W16" s="1156" t="e">
        <f>'3.1 Nyttestrøm'!AG86</f>
        <v>#N/A</v>
      </c>
      <c r="X16" s="1156" t="e">
        <f>'3.1 Nyttestrøm'!AH86</f>
        <v>#N/A</v>
      </c>
      <c r="Y16" s="1156" t="e">
        <f>'3.1 Nyttestrøm'!AI86</f>
        <v>#N/A</v>
      </c>
      <c r="Z16" s="1156" t="e">
        <f>'3.1 Nyttestrøm'!AJ86</f>
        <v>#N/A</v>
      </c>
      <c r="AA16" s="1156" t="e">
        <f>'3.1 Nyttestrøm'!AK86</f>
        <v>#N/A</v>
      </c>
      <c r="AB16" s="1156" t="e">
        <f>'3.1 Nyttestrøm'!AL86</f>
        <v>#N/A</v>
      </c>
      <c r="AC16" s="1156" t="e">
        <f>'3.1 Nyttestrøm'!AM86</f>
        <v>#N/A</v>
      </c>
      <c r="AD16" s="1156" t="e">
        <f>'3.1 Nyttestrøm'!AN86</f>
        <v>#N/A</v>
      </c>
      <c r="AE16" s="1156" t="e">
        <f>'3.1 Nyttestrøm'!AO86</f>
        <v>#N/A</v>
      </c>
      <c r="AF16" s="1156" t="e">
        <f>'3.1 Nyttestrøm'!AP86</f>
        <v>#N/A</v>
      </c>
      <c r="AG16" s="1156" t="e">
        <f>'3.1 Nyttestrøm'!AQ86</f>
        <v>#N/A</v>
      </c>
      <c r="AH16" s="1156" t="e">
        <f>'3.1 Nyttestrøm'!AR86</f>
        <v>#N/A</v>
      </c>
      <c r="AI16" s="1156" t="e">
        <f>'3.1 Nyttestrøm'!AS86</f>
        <v>#N/A</v>
      </c>
      <c r="AJ16" s="1156" t="e">
        <f>'3.1 Nyttestrøm'!AT86</f>
        <v>#N/A</v>
      </c>
      <c r="AK16" s="1156" t="e">
        <f>'3.1 Nyttestrøm'!AU86</f>
        <v>#N/A</v>
      </c>
      <c r="AL16" s="1156" t="e">
        <f>'3.1 Nyttestrøm'!AV86</f>
        <v>#N/A</v>
      </c>
      <c r="AM16" s="1156" t="e">
        <f>'3.1 Nyttestrøm'!AW86</f>
        <v>#N/A</v>
      </c>
      <c r="AN16" s="1156" t="e">
        <f>'3.1 Nyttestrøm'!AX86</f>
        <v>#N/A</v>
      </c>
      <c r="AO16" s="1156" t="e">
        <f>'3.1 Nyttestrøm'!AY86</f>
        <v>#N/A</v>
      </c>
      <c r="AP16" s="1156" t="e">
        <f>'3.1 Nyttestrøm'!AZ86</f>
        <v>#N/A</v>
      </c>
      <c r="AQ16" s="1156" t="e">
        <f>'3.1 Nyttestrøm'!BA86</f>
        <v>#N/A</v>
      </c>
      <c r="AR16" s="1156" t="e">
        <f>'3.1 Nyttestrøm'!BB86</f>
        <v>#N/A</v>
      </c>
      <c r="AS16" s="1156" t="e">
        <f>'3.1 Nyttestrøm'!BC86</f>
        <v>#N/A</v>
      </c>
      <c r="AT16" s="1156" t="e">
        <f>'3.1 Nyttestrøm'!BD86</f>
        <v>#N/A</v>
      </c>
      <c r="AU16" s="1156" t="e">
        <f>'3.1 Nyttestrøm'!BE86</f>
        <v>#N/A</v>
      </c>
      <c r="AV16" s="1156" t="e">
        <f>'3.1 Nyttestrøm'!BF86</f>
        <v>#N/A</v>
      </c>
      <c r="AW16" s="1156" t="e">
        <f>'3.1 Nyttestrøm'!BG86</f>
        <v>#N/A</v>
      </c>
      <c r="AX16" s="1156" t="e">
        <f>'3.1 Nyttestrøm'!BH86</f>
        <v>#N/A</v>
      </c>
      <c r="AY16" s="1156" t="e">
        <f>'3.1 Nyttestrøm'!BI86</f>
        <v>#N/A</v>
      </c>
      <c r="AZ16" s="1156" t="e">
        <f>'3.1 Nyttestrøm'!BJ86</f>
        <v>#N/A</v>
      </c>
      <c r="BA16" s="1156" t="e">
        <f>'3.1 Nyttestrøm'!BK86</f>
        <v>#N/A</v>
      </c>
      <c r="BB16" s="1156" t="e">
        <f>'3.1 Nyttestrøm'!BL86</f>
        <v>#N/A</v>
      </c>
      <c r="BC16" s="1156" t="e">
        <f>'3.1 Nyttestrøm'!BM86</f>
        <v>#N/A</v>
      </c>
      <c r="BD16" s="1156" t="e">
        <f>'3.1 Nyttestrøm'!BN86</f>
        <v>#N/A</v>
      </c>
      <c r="BE16" s="1156" t="e">
        <f>'3.1 Nyttestrøm'!BO86</f>
        <v>#N/A</v>
      </c>
      <c r="BF16" s="1156" t="e">
        <f>'3.1 Nyttestrøm'!BP86</f>
        <v>#N/A</v>
      </c>
      <c r="BG16" s="1156" t="e">
        <f>'3.1 Nyttestrøm'!BQ86</f>
        <v>#N/A</v>
      </c>
      <c r="BH16" s="1156" t="e">
        <f>'3.1 Nyttestrøm'!BR86</f>
        <v>#N/A</v>
      </c>
      <c r="BI16" s="1156" t="e">
        <f>'3.1 Nyttestrøm'!BS86</f>
        <v>#N/A</v>
      </c>
      <c r="BJ16" s="1156" t="e">
        <f>'3.1 Nyttestrøm'!BT86</f>
        <v>#N/A</v>
      </c>
      <c r="BK16" s="1156" t="e">
        <f>'3.1 Nyttestrøm'!BU86</f>
        <v>#N/A</v>
      </c>
      <c r="BL16" s="1156" t="e">
        <f>'3.1 Nyttestrøm'!BV86</f>
        <v>#N/A</v>
      </c>
      <c r="BM16" s="1156" t="e">
        <f>'3.1 Nyttestrøm'!BW86</f>
        <v>#N/A</v>
      </c>
      <c r="BN16" s="1156" t="e">
        <f>'3.1 Nyttestrøm'!BX86</f>
        <v>#N/A</v>
      </c>
      <c r="BO16" s="1156" t="e">
        <f>'3.1 Nyttestrøm'!BY86</f>
        <v>#N/A</v>
      </c>
      <c r="BP16" s="1156" t="e">
        <f>'3.1 Nyttestrøm'!BZ86</f>
        <v>#N/A</v>
      </c>
      <c r="BQ16" s="1156" t="e">
        <f>'3.1 Nyttestrøm'!CA86</f>
        <v>#N/A</v>
      </c>
      <c r="BR16" s="1156" t="e">
        <f>'3.1 Nyttestrøm'!CB86</f>
        <v>#N/A</v>
      </c>
      <c r="BS16" s="1156" t="e">
        <f>'3.1 Nyttestrøm'!CC86</f>
        <v>#N/A</v>
      </c>
      <c r="BT16" s="1156" t="e">
        <f>'3.1 Nyttestrøm'!CD86</f>
        <v>#N/A</v>
      </c>
      <c r="BU16" s="1156" t="e">
        <f>'3.1 Nyttestrøm'!CE86</f>
        <v>#N/A</v>
      </c>
      <c r="BV16" s="1156" t="e">
        <f>'3.1 Nyttestrøm'!CF86</f>
        <v>#N/A</v>
      </c>
      <c r="BW16" s="1156" t="e">
        <f>'3.1 Nyttestrøm'!CG86</f>
        <v>#N/A</v>
      </c>
      <c r="BX16" s="1156" t="e">
        <f>'3.1 Nyttestrøm'!CH86</f>
        <v>#N/A</v>
      </c>
      <c r="BY16" s="1156" t="e">
        <f>'3.1 Nyttestrøm'!CI86</f>
        <v>#N/A</v>
      </c>
      <c r="BZ16" s="1156" t="e">
        <f>'3.1 Nyttestrøm'!CJ86</f>
        <v>#N/A</v>
      </c>
      <c r="CA16" s="1156" t="e">
        <f>'3.1 Nyttestrøm'!CK86</f>
        <v>#N/A</v>
      </c>
      <c r="CB16" s="1156" t="e">
        <f>'3.1 Nyttestrøm'!CL86</f>
        <v>#N/A</v>
      </c>
      <c r="CC16" s="1156" t="e">
        <f>'3.1 Nyttestrøm'!CM86</f>
        <v>#N/A</v>
      </c>
      <c r="CD16" s="1156" t="e">
        <f>'3.1 Nyttestrøm'!CN86</f>
        <v>#N/A</v>
      </c>
      <c r="CE16" s="1156" t="e">
        <f>'3.1 Nyttestrøm'!CO86</f>
        <v>#N/A</v>
      </c>
      <c r="CF16" s="1156" t="e">
        <f>'3.1 Nyttestrøm'!CP86</f>
        <v>#N/A</v>
      </c>
      <c r="CG16" s="1156" t="e">
        <f>'3.1 Nyttestrøm'!CQ86</f>
        <v>#N/A</v>
      </c>
      <c r="CH16" s="1156" t="e">
        <f>'3.1 Nyttestrøm'!CR86</f>
        <v>#N/A</v>
      </c>
      <c r="CI16" s="1156" t="e">
        <f>'3.1 Nyttestrøm'!CS86</f>
        <v>#N/A</v>
      </c>
      <c r="CJ16" s="1156" t="e">
        <f>'3.1 Nyttestrøm'!CT86</f>
        <v>#N/A</v>
      </c>
      <c r="CK16" s="1156" t="e">
        <f>'3.1 Nyttestrøm'!CU86</f>
        <v>#N/A</v>
      </c>
      <c r="CL16" s="1156" t="e">
        <f>'3.1 Nyttestrøm'!CV86</f>
        <v>#N/A</v>
      </c>
      <c r="CM16" s="1156" t="e">
        <f>'3.1 Nyttestrøm'!CW86</f>
        <v>#N/A</v>
      </c>
      <c r="CN16" s="1156" t="e">
        <f>'3.1 Nyttestrøm'!CX86</f>
        <v>#N/A</v>
      </c>
      <c r="CO16" s="1156" t="e">
        <f>'3.1 Nyttestrøm'!CY86</f>
        <v>#N/A</v>
      </c>
      <c r="CP16" s="1156" t="e">
        <f>'3.1 Nyttestrøm'!CZ86</f>
        <v>#N/A</v>
      </c>
      <c r="CQ16" s="1156" t="e">
        <f>'3.1 Nyttestrøm'!DA86</f>
        <v>#N/A</v>
      </c>
      <c r="CR16" s="1156" t="e">
        <f>'3.1 Nyttestrøm'!DB86</f>
        <v>#N/A</v>
      </c>
      <c r="CS16" s="1156" t="e">
        <f>'3.1 Nyttestrøm'!DC86</f>
        <v>#N/A</v>
      </c>
      <c r="CT16" s="1156" t="e">
        <f>'3.1 Nyttestrøm'!DD86</f>
        <v>#N/A</v>
      </c>
      <c r="CU16" s="1156" t="e">
        <f>'3.1 Nyttestrøm'!DE86</f>
        <v>#N/A</v>
      </c>
      <c r="CV16" s="1156" t="e">
        <f>'3.1 Nyttestrøm'!DF86</f>
        <v>#N/A</v>
      </c>
      <c r="CW16" s="1156" t="e">
        <f>'3.1 Nyttestrøm'!DG86</f>
        <v>#N/A</v>
      </c>
      <c r="CX16" s="1156" t="e">
        <f>'3.1 Nyttestrøm'!DH86</f>
        <v>#N/A</v>
      </c>
      <c r="CY16" s="1156" t="e">
        <f>'3.1 Nyttestrøm'!DI86</f>
        <v>#N/A</v>
      </c>
      <c r="CZ16" s="1156" t="e">
        <f>'3.1 Nyttestrøm'!DJ86</f>
        <v>#N/A</v>
      </c>
      <c r="DA16" s="1156" t="e">
        <f>'3.1 Nyttestrøm'!DK86</f>
        <v>#N/A</v>
      </c>
      <c r="DB16" s="1156" t="e">
        <f>'3.1 Nyttestrøm'!DL86</f>
        <v>#N/A</v>
      </c>
      <c r="DC16" s="1156" t="e">
        <f>'3.1 Nyttestrøm'!DM86</f>
        <v>#N/A</v>
      </c>
      <c r="DD16" s="1156" t="e">
        <f>'3.1 Nyttestrøm'!DN86</f>
        <v>#N/A</v>
      </c>
      <c r="DE16" s="1156" t="e">
        <f>'3.1 Nyttestrøm'!DO86</f>
        <v>#N/A</v>
      </c>
      <c r="DF16" s="1156" t="e">
        <f>'3.1 Nyttestrøm'!DP86</f>
        <v>#N/A</v>
      </c>
      <c r="DG16" s="1156" t="e">
        <f>'3.1 Nyttestrøm'!DQ86</f>
        <v>#N/A</v>
      </c>
      <c r="DH16" s="1166" t="e">
        <f>'3.1 Nyttestrøm'!DR86</f>
        <v>#N/A</v>
      </c>
    </row>
    <row r="17" spans="1:172" s="5" customFormat="1" x14ac:dyDescent="0.35">
      <c r="A17" s="805"/>
      <c r="B17" s="1167" t="s">
        <v>2046</v>
      </c>
      <c r="C17" s="1156" t="e">
        <f t="shared" ref="C17:AH17" si="0">LOOKUP(C5,SerieÅR,SerieKarbonpris)*KPIJustering</f>
        <v>#N/A</v>
      </c>
      <c r="D17" s="1156" t="e">
        <f t="shared" si="0"/>
        <v>#N/A</v>
      </c>
      <c r="E17" s="1156" t="e">
        <f t="shared" si="0"/>
        <v>#N/A</v>
      </c>
      <c r="F17" s="1156" t="e">
        <f t="shared" si="0"/>
        <v>#N/A</v>
      </c>
      <c r="G17" s="1156" t="e">
        <f t="shared" si="0"/>
        <v>#N/A</v>
      </c>
      <c r="H17" s="1156" t="e">
        <f t="shared" si="0"/>
        <v>#N/A</v>
      </c>
      <c r="I17" s="1156" t="e">
        <f t="shared" si="0"/>
        <v>#N/A</v>
      </c>
      <c r="J17" s="1156" t="e">
        <f t="shared" si="0"/>
        <v>#N/A</v>
      </c>
      <c r="K17" s="1156" t="e">
        <f t="shared" si="0"/>
        <v>#N/A</v>
      </c>
      <c r="L17" s="1156" t="e">
        <f t="shared" si="0"/>
        <v>#N/A</v>
      </c>
      <c r="M17" s="1156" t="e">
        <f t="shared" si="0"/>
        <v>#N/A</v>
      </c>
      <c r="N17" s="1156" t="e">
        <f t="shared" si="0"/>
        <v>#N/A</v>
      </c>
      <c r="O17" s="1156" t="e">
        <f t="shared" si="0"/>
        <v>#N/A</v>
      </c>
      <c r="P17" s="1156" t="e">
        <f t="shared" si="0"/>
        <v>#N/A</v>
      </c>
      <c r="Q17" s="1156" t="e">
        <f t="shared" si="0"/>
        <v>#N/A</v>
      </c>
      <c r="R17" s="1156" t="e">
        <f t="shared" si="0"/>
        <v>#N/A</v>
      </c>
      <c r="S17" s="1156" t="e">
        <f t="shared" si="0"/>
        <v>#N/A</v>
      </c>
      <c r="T17" s="1156" t="e">
        <f t="shared" si="0"/>
        <v>#N/A</v>
      </c>
      <c r="U17" s="1156" t="e">
        <f t="shared" si="0"/>
        <v>#N/A</v>
      </c>
      <c r="V17" s="1156" t="e">
        <f t="shared" si="0"/>
        <v>#N/A</v>
      </c>
      <c r="W17" s="1156" t="e">
        <f t="shared" si="0"/>
        <v>#N/A</v>
      </c>
      <c r="X17" s="1156" t="e">
        <f t="shared" si="0"/>
        <v>#N/A</v>
      </c>
      <c r="Y17" s="1156" t="e">
        <f t="shared" si="0"/>
        <v>#N/A</v>
      </c>
      <c r="Z17" s="1156" t="e">
        <f t="shared" si="0"/>
        <v>#N/A</v>
      </c>
      <c r="AA17" s="1156" t="e">
        <f t="shared" si="0"/>
        <v>#N/A</v>
      </c>
      <c r="AB17" s="1156" t="e">
        <f t="shared" si="0"/>
        <v>#N/A</v>
      </c>
      <c r="AC17" s="1156" t="e">
        <f t="shared" si="0"/>
        <v>#N/A</v>
      </c>
      <c r="AD17" s="1156" t="e">
        <f t="shared" si="0"/>
        <v>#N/A</v>
      </c>
      <c r="AE17" s="1156" t="e">
        <f t="shared" si="0"/>
        <v>#N/A</v>
      </c>
      <c r="AF17" s="1156" t="e">
        <f t="shared" si="0"/>
        <v>#N/A</v>
      </c>
      <c r="AG17" s="1156" t="e">
        <f t="shared" si="0"/>
        <v>#N/A</v>
      </c>
      <c r="AH17" s="1156" t="e">
        <f t="shared" si="0"/>
        <v>#N/A</v>
      </c>
      <c r="AI17" s="1156" t="e">
        <f t="shared" ref="AI17:BN17" si="1">LOOKUP(AI5,SerieÅR,SerieKarbonpris)*KPIJustering</f>
        <v>#N/A</v>
      </c>
      <c r="AJ17" s="1156" t="e">
        <f t="shared" si="1"/>
        <v>#N/A</v>
      </c>
      <c r="AK17" s="1156" t="e">
        <f t="shared" si="1"/>
        <v>#N/A</v>
      </c>
      <c r="AL17" s="1156" t="e">
        <f t="shared" si="1"/>
        <v>#N/A</v>
      </c>
      <c r="AM17" s="1156" t="e">
        <f t="shared" si="1"/>
        <v>#N/A</v>
      </c>
      <c r="AN17" s="1156" t="e">
        <f t="shared" si="1"/>
        <v>#N/A</v>
      </c>
      <c r="AO17" s="1156" t="e">
        <f t="shared" si="1"/>
        <v>#N/A</v>
      </c>
      <c r="AP17" s="1156" t="e">
        <f t="shared" si="1"/>
        <v>#N/A</v>
      </c>
      <c r="AQ17" s="1156" t="e">
        <f t="shared" si="1"/>
        <v>#N/A</v>
      </c>
      <c r="AR17" s="1156" t="e">
        <f t="shared" si="1"/>
        <v>#N/A</v>
      </c>
      <c r="AS17" s="1156" t="e">
        <f t="shared" si="1"/>
        <v>#N/A</v>
      </c>
      <c r="AT17" s="1156" t="e">
        <f t="shared" si="1"/>
        <v>#N/A</v>
      </c>
      <c r="AU17" s="1156" t="e">
        <f t="shared" si="1"/>
        <v>#N/A</v>
      </c>
      <c r="AV17" s="1156" t="e">
        <f t="shared" si="1"/>
        <v>#N/A</v>
      </c>
      <c r="AW17" s="1156" t="e">
        <f t="shared" si="1"/>
        <v>#N/A</v>
      </c>
      <c r="AX17" s="1156" t="e">
        <f t="shared" si="1"/>
        <v>#N/A</v>
      </c>
      <c r="AY17" s="1156" t="e">
        <f t="shared" si="1"/>
        <v>#N/A</v>
      </c>
      <c r="AZ17" s="1156" t="e">
        <f t="shared" si="1"/>
        <v>#N/A</v>
      </c>
      <c r="BA17" s="1156" t="e">
        <f t="shared" si="1"/>
        <v>#N/A</v>
      </c>
      <c r="BB17" s="1156" t="e">
        <f t="shared" si="1"/>
        <v>#N/A</v>
      </c>
      <c r="BC17" s="1156" t="e">
        <f t="shared" si="1"/>
        <v>#N/A</v>
      </c>
      <c r="BD17" s="1156" t="e">
        <f t="shared" si="1"/>
        <v>#N/A</v>
      </c>
      <c r="BE17" s="1156" t="e">
        <f t="shared" si="1"/>
        <v>#N/A</v>
      </c>
      <c r="BF17" s="1156" t="e">
        <f t="shared" si="1"/>
        <v>#N/A</v>
      </c>
      <c r="BG17" s="1156" t="e">
        <f t="shared" si="1"/>
        <v>#N/A</v>
      </c>
      <c r="BH17" s="1156" t="e">
        <f t="shared" si="1"/>
        <v>#N/A</v>
      </c>
      <c r="BI17" s="1156" t="e">
        <f t="shared" si="1"/>
        <v>#N/A</v>
      </c>
      <c r="BJ17" s="1156" t="e">
        <f t="shared" si="1"/>
        <v>#N/A</v>
      </c>
      <c r="BK17" s="1156" t="e">
        <f t="shared" si="1"/>
        <v>#N/A</v>
      </c>
      <c r="BL17" s="1156" t="e">
        <f t="shared" si="1"/>
        <v>#N/A</v>
      </c>
      <c r="BM17" s="1156" t="e">
        <f t="shared" si="1"/>
        <v>#N/A</v>
      </c>
      <c r="BN17" s="1156" t="e">
        <f t="shared" si="1"/>
        <v>#N/A</v>
      </c>
      <c r="BO17" s="1156" t="e">
        <f t="shared" ref="BO17:CI17" si="2">LOOKUP(BO5,SerieÅR,SerieKarbonpris)*KPIJustering</f>
        <v>#N/A</v>
      </c>
      <c r="BP17" s="1156" t="e">
        <f t="shared" si="2"/>
        <v>#N/A</v>
      </c>
      <c r="BQ17" s="1156" t="e">
        <f t="shared" si="2"/>
        <v>#N/A</v>
      </c>
      <c r="BR17" s="1156" t="e">
        <f t="shared" si="2"/>
        <v>#N/A</v>
      </c>
      <c r="BS17" s="1156" t="e">
        <f t="shared" si="2"/>
        <v>#N/A</v>
      </c>
      <c r="BT17" s="1156" t="e">
        <f t="shared" si="2"/>
        <v>#N/A</v>
      </c>
      <c r="BU17" s="1156" t="e">
        <f t="shared" si="2"/>
        <v>#N/A</v>
      </c>
      <c r="BV17" s="1156" t="e">
        <f t="shared" si="2"/>
        <v>#N/A</v>
      </c>
      <c r="BW17" s="1156" t="e">
        <f t="shared" si="2"/>
        <v>#N/A</v>
      </c>
      <c r="BX17" s="1156" t="e">
        <f t="shared" si="2"/>
        <v>#N/A</v>
      </c>
      <c r="BY17" s="1156" t="e">
        <f t="shared" si="2"/>
        <v>#N/A</v>
      </c>
      <c r="BZ17" s="1156" t="e">
        <f t="shared" si="2"/>
        <v>#N/A</v>
      </c>
      <c r="CA17" s="1156" t="e">
        <f t="shared" si="2"/>
        <v>#N/A</v>
      </c>
      <c r="CB17" s="1156" t="e">
        <f t="shared" si="2"/>
        <v>#N/A</v>
      </c>
      <c r="CC17" s="1156" t="e">
        <f t="shared" si="2"/>
        <v>#N/A</v>
      </c>
      <c r="CD17" s="1156" t="e">
        <f t="shared" si="2"/>
        <v>#N/A</v>
      </c>
      <c r="CE17" s="1156" t="e">
        <f t="shared" si="2"/>
        <v>#N/A</v>
      </c>
      <c r="CF17" s="1156" t="e">
        <f t="shared" si="2"/>
        <v>#N/A</v>
      </c>
      <c r="CG17" s="1156" t="e">
        <f t="shared" si="2"/>
        <v>#N/A</v>
      </c>
      <c r="CH17" s="1156" t="e">
        <f t="shared" si="2"/>
        <v>#N/A</v>
      </c>
      <c r="CI17" s="1156" t="e">
        <f t="shared" si="2"/>
        <v>#N/A</v>
      </c>
      <c r="CJ17" s="1156" t="e">
        <f t="shared" ref="CJ17:DH17" si="3">LOOKUP(CJ5,SerieÅR,SerieKarbonpris)*KPIJustering</f>
        <v>#N/A</v>
      </c>
      <c r="CK17" s="1156" t="e">
        <f t="shared" si="3"/>
        <v>#N/A</v>
      </c>
      <c r="CL17" s="1156" t="e">
        <f t="shared" si="3"/>
        <v>#N/A</v>
      </c>
      <c r="CM17" s="1156" t="e">
        <f t="shared" si="3"/>
        <v>#N/A</v>
      </c>
      <c r="CN17" s="1156" t="e">
        <f t="shared" si="3"/>
        <v>#N/A</v>
      </c>
      <c r="CO17" s="1156" t="e">
        <f t="shared" si="3"/>
        <v>#N/A</v>
      </c>
      <c r="CP17" s="1156" t="e">
        <f t="shared" si="3"/>
        <v>#N/A</v>
      </c>
      <c r="CQ17" s="1156" t="e">
        <f t="shared" si="3"/>
        <v>#N/A</v>
      </c>
      <c r="CR17" s="1156" t="e">
        <f t="shared" si="3"/>
        <v>#N/A</v>
      </c>
      <c r="CS17" s="1156" t="e">
        <f t="shared" si="3"/>
        <v>#N/A</v>
      </c>
      <c r="CT17" s="1156" t="e">
        <f t="shared" si="3"/>
        <v>#N/A</v>
      </c>
      <c r="CU17" s="1156" t="e">
        <f t="shared" si="3"/>
        <v>#N/A</v>
      </c>
      <c r="CV17" s="1156" t="e">
        <f t="shared" si="3"/>
        <v>#N/A</v>
      </c>
      <c r="CW17" s="1156" t="e">
        <f t="shared" si="3"/>
        <v>#N/A</v>
      </c>
      <c r="CX17" s="1156" t="e">
        <f t="shared" si="3"/>
        <v>#N/A</v>
      </c>
      <c r="CY17" s="1156" t="e">
        <f t="shared" si="3"/>
        <v>#N/A</v>
      </c>
      <c r="CZ17" s="1156" t="e">
        <f t="shared" si="3"/>
        <v>#N/A</v>
      </c>
      <c r="DA17" s="1156" t="e">
        <f t="shared" si="3"/>
        <v>#N/A</v>
      </c>
      <c r="DB17" s="1156" t="e">
        <f t="shared" si="3"/>
        <v>#N/A</v>
      </c>
      <c r="DC17" s="1156" t="e">
        <f t="shared" si="3"/>
        <v>#N/A</v>
      </c>
      <c r="DD17" s="1156" t="e">
        <f t="shared" si="3"/>
        <v>#N/A</v>
      </c>
      <c r="DE17" s="1156" t="e">
        <f t="shared" si="3"/>
        <v>#N/A</v>
      </c>
      <c r="DF17" s="1156" t="e">
        <f t="shared" si="3"/>
        <v>#N/A</v>
      </c>
      <c r="DG17" s="1156" t="e">
        <f t="shared" si="3"/>
        <v>#N/A</v>
      </c>
      <c r="DH17" s="1166" t="e">
        <f t="shared" si="3"/>
        <v>#N/A</v>
      </c>
      <c r="DI17"/>
      <c r="DJ17"/>
    </row>
    <row r="18" spans="1:172" s="5" customFormat="1" x14ac:dyDescent="0.35">
      <c r="A18" s="805"/>
      <c r="B18" s="1167" t="s">
        <v>2047</v>
      </c>
      <c r="C18" s="1156" t="e">
        <f t="shared" ref="C18:AH18" si="4">LOOKUP(C5,SerieÅR,SerieCO2avgiftsbane)*KPIJustering</f>
        <v>#N/A</v>
      </c>
      <c r="D18" s="1156" t="e">
        <f t="shared" si="4"/>
        <v>#N/A</v>
      </c>
      <c r="E18" s="1156" t="e">
        <f t="shared" si="4"/>
        <v>#N/A</v>
      </c>
      <c r="F18" s="1156" t="e">
        <f t="shared" si="4"/>
        <v>#N/A</v>
      </c>
      <c r="G18" s="1156" t="e">
        <f t="shared" si="4"/>
        <v>#N/A</v>
      </c>
      <c r="H18" s="1156" t="e">
        <f t="shared" si="4"/>
        <v>#N/A</v>
      </c>
      <c r="I18" s="1156" t="e">
        <f t="shared" si="4"/>
        <v>#N/A</v>
      </c>
      <c r="J18" s="1156" t="e">
        <f t="shared" si="4"/>
        <v>#N/A</v>
      </c>
      <c r="K18" s="1156" t="e">
        <f t="shared" si="4"/>
        <v>#N/A</v>
      </c>
      <c r="L18" s="1156" t="e">
        <f t="shared" si="4"/>
        <v>#N/A</v>
      </c>
      <c r="M18" s="1156" t="e">
        <f t="shared" si="4"/>
        <v>#N/A</v>
      </c>
      <c r="N18" s="1156" t="e">
        <f t="shared" si="4"/>
        <v>#N/A</v>
      </c>
      <c r="O18" s="1156" t="e">
        <f t="shared" si="4"/>
        <v>#N/A</v>
      </c>
      <c r="P18" s="1156" t="e">
        <f t="shared" si="4"/>
        <v>#N/A</v>
      </c>
      <c r="Q18" s="1156" t="e">
        <f t="shared" si="4"/>
        <v>#N/A</v>
      </c>
      <c r="R18" s="1156" t="e">
        <f t="shared" si="4"/>
        <v>#N/A</v>
      </c>
      <c r="S18" s="1156" t="e">
        <f t="shared" si="4"/>
        <v>#N/A</v>
      </c>
      <c r="T18" s="1156" t="e">
        <f t="shared" si="4"/>
        <v>#N/A</v>
      </c>
      <c r="U18" s="1156" t="e">
        <f t="shared" si="4"/>
        <v>#N/A</v>
      </c>
      <c r="V18" s="1156" t="e">
        <f t="shared" si="4"/>
        <v>#N/A</v>
      </c>
      <c r="W18" s="1156" t="e">
        <f t="shared" si="4"/>
        <v>#N/A</v>
      </c>
      <c r="X18" s="1156" t="e">
        <f t="shared" si="4"/>
        <v>#N/A</v>
      </c>
      <c r="Y18" s="1156" t="e">
        <f t="shared" si="4"/>
        <v>#N/A</v>
      </c>
      <c r="Z18" s="1156" t="e">
        <f t="shared" si="4"/>
        <v>#N/A</v>
      </c>
      <c r="AA18" s="1156" t="e">
        <f t="shared" si="4"/>
        <v>#N/A</v>
      </c>
      <c r="AB18" s="1156" t="e">
        <f t="shared" si="4"/>
        <v>#N/A</v>
      </c>
      <c r="AC18" s="1156" t="e">
        <f t="shared" si="4"/>
        <v>#N/A</v>
      </c>
      <c r="AD18" s="1156" t="e">
        <f t="shared" si="4"/>
        <v>#N/A</v>
      </c>
      <c r="AE18" s="1156" t="e">
        <f t="shared" si="4"/>
        <v>#N/A</v>
      </c>
      <c r="AF18" s="1156" t="e">
        <f t="shared" si="4"/>
        <v>#N/A</v>
      </c>
      <c r="AG18" s="1156" t="e">
        <f t="shared" si="4"/>
        <v>#N/A</v>
      </c>
      <c r="AH18" s="1156" t="e">
        <f t="shared" si="4"/>
        <v>#N/A</v>
      </c>
      <c r="AI18" s="1156" t="e">
        <f t="shared" ref="AI18:BN18" si="5">LOOKUP(AI5,SerieÅR,SerieCO2avgiftsbane)*KPIJustering</f>
        <v>#N/A</v>
      </c>
      <c r="AJ18" s="1156" t="e">
        <f t="shared" si="5"/>
        <v>#N/A</v>
      </c>
      <c r="AK18" s="1156" t="e">
        <f t="shared" si="5"/>
        <v>#N/A</v>
      </c>
      <c r="AL18" s="1156" t="e">
        <f t="shared" si="5"/>
        <v>#N/A</v>
      </c>
      <c r="AM18" s="1156" t="e">
        <f t="shared" si="5"/>
        <v>#N/A</v>
      </c>
      <c r="AN18" s="1156" t="e">
        <f t="shared" si="5"/>
        <v>#N/A</v>
      </c>
      <c r="AO18" s="1156" t="e">
        <f t="shared" si="5"/>
        <v>#N/A</v>
      </c>
      <c r="AP18" s="1156" t="e">
        <f t="shared" si="5"/>
        <v>#N/A</v>
      </c>
      <c r="AQ18" s="1156" t="e">
        <f t="shared" si="5"/>
        <v>#N/A</v>
      </c>
      <c r="AR18" s="1156" t="e">
        <f t="shared" si="5"/>
        <v>#N/A</v>
      </c>
      <c r="AS18" s="1156" t="e">
        <f t="shared" si="5"/>
        <v>#N/A</v>
      </c>
      <c r="AT18" s="1156" t="e">
        <f t="shared" si="5"/>
        <v>#N/A</v>
      </c>
      <c r="AU18" s="1156" t="e">
        <f t="shared" si="5"/>
        <v>#N/A</v>
      </c>
      <c r="AV18" s="1156" t="e">
        <f t="shared" si="5"/>
        <v>#N/A</v>
      </c>
      <c r="AW18" s="1156" t="e">
        <f t="shared" si="5"/>
        <v>#N/A</v>
      </c>
      <c r="AX18" s="1156" t="e">
        <f t="shared" si="5"/>
        <v>#N/A</v>
      </c>
      <c r="AY18" s="1156" t="e">
        <f t="shared" si="5"/>
        <v>#N/A</v>
      </c>
      <c r="AZ18" s="1156" t="e">
        <f t="shared" si="5"/>
        <v>#N/A</v>
      </c>
      <c r="BA18" s="1156" t="e">
        <f t="shared" si="5"/>
        <v>#N/A</v>
      </c>
      <c r="BB18" s="1156" t="e">
        <f t="shared" si="5"/>
        <v>#N/A</v>
      </c>
      <c r="BC18" s="1156" t="e">
        <f t="shared" si="5"/>
        <v>#N/A</v>
      </c>
      <c r="BD18" s="1156" t="e">
        <f t="shared" si="5"/>
        <v>#N/A</v>
      </c>
      <c r="BE18" s="1156" t="e">
        <f t="shared" si="5"/>
        <v>#N/A</v>
      </c>
      <c r="BF18" s="1156" t="e">
        <f t="shared" si="5"/>
        <v>#N/A</v>
      </c>
      <c r="BG18" s="1156" t="e">
        <f t="shared" si="5"/>
        <v>#N/A</v>
      </c>
      <c r="BH18" s="1156" t="e">
        <f t="shared" si="5"/>
        <v>#N/A</v>
      </c>
      <c r="BI18" s="1156" t="e">
        <f t="shared" si="5"/>
        <v>#N/A</v>
      </c>
      <c r="BJ18" s="1156" t="e">
        <f t="shared" si="5"/>
        <v>#N/A</v>
      </c>
      <c r="BK18" s="1156" t="e">
        <f t="shared" si="5"/>
        <v>#N/A</v>
      </c>
      <c r="BL18" s="1156" t="e">
        <f t="shared" si="5"/>
        <v>#N/A</v>
      </c>
      <c r="BM18" s="1156" t="e">
        <f t="shared" si="5"/>
        <v>#N/A</v>
      </c>
      <c r="BN18" s="1156" t="e">
        <f t="shared" si="5"/>
        <v>#N/A</v>
      </c>
      <c r="BO18" s="1156" t="e">
        <f t="shared" ref="BO18:CI18" si="6">LOOKUP(BO5,SerieÅR,SerieCO2avgiftsbane)*KPIJustering</f>
        <v>#N/A</v>
      </c>
      <c r="BP18" s="1156" t="e">
        <f t="shared" si="6"/>
        <v>#N/A</v>
      </c>
      <c r="BQ18" s="1156" t="e">
        <f t="shared" si="6"/>
        <v>#N/A</v>
      </c>
      <c r="BR18" s="1156" t="e">
        <f t="shared" si="6"/>
        <v>#N/A</v>
      </c>
      <c r="BS18" s="1156" t="e">
        <f t="shared" si="6"/>
        <v>#N/A</v>
      </c>
      <c r="BT18" s="1156" t="e">
        <f t="shared" si="6"/>
        <v>#N/A</v>
      </c>
      <c r="BU18" s="1156" t="e">
        <f t="shared" si="6"/>
        <v>#N/A</v>
      </c>
      <c r="BV18" s="1156" t="e">
        <f t="shared" si="6"/>
        <v>#N/A</v>
      </c>
      <c r="BW18" s="1156" t="e">
        <f t="shared" si="6"/>
        <v>#N/A</v>
      </c>
      <c r="BX18" s="1156" t="e">
        <f t="shared" si="6"/>
        <v>#N/A</v>
      </c>
      <c r="BY18" s="1156" t="e">
        <f t="shared" si="6"/>
        <v>#N/A</v>
      </c>
      <c r="BZ18" s="1156" t="e">
        <f t="shared" si="6"/>
        <v>#N/A</v>
      </c>
      <c r="CA18" s="1156" t="e">
        <f t="shared" si="6"/>
        <v>#N/A</v>
      </c>
      <c r="CB18" s="1156" t="e">
        <f t="shared" si="6"/>
        <v>#N/A</v>
      </c>
      <c r="CC18" s="1156" t="e">
        <f t="shared" si="6"/>
        <v>#N/A</v>
      </c>
      <c r="CD18" s="1156" t="e">
        <f t="shared" si="6"/>
        <v>#N/A</v>
      </c>
      <c r="CE18" s="1156" t="e">
        <f t="shared" si="6"/>
        <v>#N/A</v>
      </c>
      <c r="CF18" s="1156" t="e">
        <f t="shared" si="6"/>
        <v>#N/A</v>
      </c>
      <c r="CG18" s="1156" t="e">
        <f t="shared" si="6"/>
        <v>#N/A</v>
      </c>
      <c r="CH18" s="1156" t="e">
        <f t="shared" si="6"/>
        <v>#N/A</v>
      </c>
      <c r="CI18" s="1156" t="e">
        <f t="shared" si="6"/>
        <v>#N/A</v>
      </c>
      <c r="CJ18" s="1156" t="e">
        <f t="shared" ref="CJ18:DH18" si="7">LOOKUP(CJ5,SerieÅR,SerieCO2avgiftsbane)*KPIJustering</f>
        <v>#N/A</v>
      </c>
      <c r="CK18" s="1156" t="e">
        <f t="shared" si="7"/>
        <v>#N/A</v>
      </c>
      <c r="CL18" s="1156" t="e">
        <f t="shared" si="7"/>
        <v>#N/A</v>
      </c>
      <c r="CM18" s="1156" t="e">
        <f t="shared" si="7"/>
        <v>#N/A</v>
      </c>
      <c r="CN18" s="1156" t="e">
        <f t="shared" si="7"/>
        <v>#N/A</v>
      </c>
      <c r="CO18" s="1156" t="e">
        <f t="shared" si="7"/>
        <v>#N/A</v>
      </c>
      <c r="CP18" s="1156" t="e">
        <f t="shared" si="7"/>
        <v>#N/A</v>
      </c>
      <c r="CQ18" s="1156" t="e">
        <f t="shared" si="7"/>
        <v>#N/A</v>
      </c>
      <c r="CR18" s="1156" t="e">
        <f t="shared" si="7"/>
        <v>#N/A</v>
      </c>
      <c r="CS18" s="1156" t="e">
        <f t="shared" si="7"/>
        <v>#N/A</v>
      </c>
      <c r="CT18" s="1156" t="e">
        <f t="shared" si="7"/>
        <v>#N/A</v>
      </c>
      <c r="CU18" s="1156" t="e">
        <f t="shared" si="7"/>
        <v>#N/A</v>
      </c>
      <c r="CV18" s="1156" t="e">
        <f t="shared" si="7"/>
        <v>#N/A</v>
      </c>
      <c r="CW18" s="1156" t="e">
        <f t="shared" si="7"/>
        <v>#N/A</v>
      </c>
      <c r="CX18" s="1156" t="e">
        <f t="shared" si="7"/>
        <v>#N/A</v>
      </c>
      <c r="CY18" s="1156" t="e">
        <f t="shared" si="7"/>
        <v>#N/A</v>
      </c>
      <c r="CZ18" s="1156" t="e">
        <f t="shared" si="7"/>
        <v>#N/A</v>
      </c>
      <c r="DA18" s="1156" t="e">
        <f t="shared" si="7"/>
        <v>#N/A</v>
      </c>
      <c r="DB18" s="1156" t="e">
        <f t="shared" si="7"/>
        <v>#N/A</v>
      </c>
      <c r="DC18" s="1156" t="e">
        <f t="shared" si="7"/>
        <v>#N/A</v>
      </c>
      <c r="DD18" s="1156" t="e">
        <f t="shared" si="7"/>
        <v>#N/A</v>
      </c>
      <c r="DE18" s="1156" t="e">
        <f t="shared" si="7"/>
        <v>#N/A</v>
      </c>
      <c r="DF18" s="1156" t="e">
        <f t="shared" si="7"/>
        <v>#N/A</v>
      </c>
      <c r="DG18" s="1156" t="e">
        <f t="shared" si="7"/>
        <v>#N/A</v>
      </c>
      <c r="DH18" s="1166" t="e">
        <f t="shared" si="7"/>
        <v>#N/A</v>
      </c>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row>
    <row r="19" spans="1:172" x14ac:dyDescent="0.35">
      <c r="A19" s="685"/>
      <c r="B19" s="446" t="s">
        <v>2048</v>
      </c>
      <c r="C19" s="1156" t="e">
        <f t="shared" ref="C19:AH19" si="8">LOOKUP(C5,SerieÅR,Seriekarbonprislav)*KPIJustering</f>
        <v>#N/A</v>
      </c>
      <c r="D19" s="1156" t="e">
        <f t="shared" si="8"/>
        <v>#N/A</v>
      </c>
      <c r="E19" s="1156" t="e">
        <f t="shared" si="8"/>
        <v>#N/A</v>
      </c>
      <c r="F19" s="1156" t="e">
        <f t="shared" si="8"/>
        <v>#N/A</v>
      </c>
      <c r="G19" s="1156" t="e">
        <f t="shared" si="8"/>
        <v>#N/A</v>
      </c>
      <c r="H19" s="1156" t="e">
        <f t="shared" si="8"/>
        <v>#N/A</v>
      </c>
      <c r="I19" s="1156" t="e">
        <f t="shared" si="8"/>
        <v>#N/A</v>
      </c>
      <c r="J19" s="1156" t="e">
        <f t="shared" si="8"/>
        <v>#N/A</v>
      </c>
      <c r="K19" s="1156" t="e">
        <f t="shared" si="8"/>
        <v>#N/A</v>
      </c>
      <c r="L19" s="1156" t="e">
        <f t="shared" si="8"/>
        <v>#N/A</v>
      </c>
      <c r="M19" s="1156" t="e">
        <f t="shared" si="8"/>
        <v>#N/A</v>
      </c>
      <c r="N19" s="1156" t="e">
        <f t="shared" si="8"/>
        <v>#N/A</v>
      </c>
      <c r="O19" s="1156" t="e">
        <f t="shared" si="8"/>
        <v>#N/A</v>
      </c>
      <c r="P19" s="1156" t="e">
        <f t="shared" si="8"/>
        <v>#N/A</v>
      </c>
      <c r="Q19" s="1156" t="e">
        <f t="shared" si="8"/>
        <v>#N/A</v>
      </c>
      <c r="R19" s="1156" t="e">
        <f t="shared" si="8"/>
        <v>#N/A</v>
      </c>
      <c r="S19" s="1156" t="e">
        <f t="shared" si="8"/>
        <v>#N/A</v>
      </c>
      <c r="T19" s="1156" t="e">
        <f t="shared" si="8"/>
        <v>#N/A</v>
      </c>
      <c r="U19" s="1156" t="e">
        <f t="shared" si="8"/>
        <v>#N/A</v>
      </c>
      <c r="V19" s="1156" t="e">
        <f t="shared" si="8"/>
        <v>#N/A</v>
      </c>
      <c r="W19" s="1156" t="e">
        <f t="shared" si="8"/>
        <v>#N/A</v>
      </c>
      <c r="X19" s="1156" t="e">
        <f t="shared" si="8"/>
        <v>#N/A</v>
      </c>
      <c r="Y19" s="1156" t="e">
        <f t="shared" si="8"/>
        <v>#N/A</v>
      </c>
      <c r="Z19" s="1156" t="e">
        <f t="shared" si="8"/>
        <v>#N/A</v>
      </c>
      <c r="AA19" s="1156" t="e">
        <f t="shared" si="8"/>
        <v>#N/A</v>
      </c>
      <c r="AB19" s="1156" t="e">
        <f t="shared" si="8"/>
        <v>#N/A</v>
      </c>
      <c r="AC19" s="1156" t="e">
        <f t="shared" si="8"/>
        <v>#N/A</v>
      </c>
      <c r="AD19" s="1156" t="e">
        <f t="shared" si="8"/>
        <v>#N/A</v>
      </c>
      <c r="AE19" s="1156" t="e">
        <f t="shared" si="8"/>
        <v>#N/A</v>
      </c>
      <c r="AF19" s="1156" t="e">
        <f t="shared" si="8"/>
        <v>#N/A</v>
      </c>
      <c r="AG19" s="1156" t="e">
        <f t="shared" si="8"/>
        <v>#N/A</v>
      </c>
      <c r="AH19" s="1156" t="e">
        <f t="shared" si="8"/>
        <v>#N/A</v>
      </c>
      <c r="AI19" s="1156" t="e">
        <f t="shared" ref="AI19:BN19" si="9">LOOKUP(AI5,SerieÅR,Seriekarbonprislav)*KPIJustering</f>
        <v>#N/A</v>
      </c>
      <c r="AJ19" s="1156" t="e">
        <f t="shared" si="9"/>
        <v>#N/A</v>
      </c>
      <c r="AK19" s="1156" t="e">
        <f t="shared" si="9"/>
        <v>#N/A</v>
      </c>
      <c r="AL19" s="1156" t="e">
        <f t="shared" si="9"/>
        <v>#N/A</v>
      </c>
      <c r="AM19" s="1156" t="e">
        <f t="shared" si="9"/>
        <v>#N/A</v>
      </c>
      <c r="AN19" s="1156" t="e">
        <f t="shared" si="9"/>
        <v>#N/A</v>
      </c>
      <c r="AO19" s="1156" t="e">
        <f t="shared" si="9"/>
        <v>#N/A</v>
      </c>
      <c r="AP19" s="1156" t="e">
        <f t="shared" si="9"/>
        <v>#N/A</v>
      </c>
      <c r="AQ19" s="1156" t="e">
        <f t="shared" si="9"/>
        <v>#N/A</v>
      </c>
      <c r="AR19" s="1156" t="e">
        <f t="shared" si="9"/>
        <v>#N/A</v>
      </c>
      <c r="AS19" s="1156" t="e">
        <f t="shared" si="9"/>
        <v>#N/A</v>
      </c>
      <c r="AT19" s="1156" t="e">
        <f t="shared" si="9"/>
        <v>#N/A</v>
      </c>
      <c r="AU19" s="1156" t="e">
        <f t="shared" si="9"/>
        <v>#N/A</v>
      </c>
      <c r="AV19" s="1156" t="e">
        <f t="shared" si="9"/>
        <v>#N/A</v>
      </c>
      <c r="AW19" s="1156" t="e">
        <f t="shared" si="9"/>
        <v>#N/A</v>
      </c>
      <c r="AX19" s="1156" t="e">
        <f t="shared" si="9"/>
        <v>#N/A</v>
      </c>
      <c r="AY19" s="1156" t="e">
        <f t="shared" si="9"/>
        <v>#N/A</v>
      </c>
      <c r="AZ19" s="1156" t="e">
        <f t="shared" si="9"/>
        <v>#N/A</v>
      </c>
      <c r="BA19" s="1156" t="e">
        <f t="shared" si="9"/>
        <v>#N/A</v>
      </c>
      <c r="BB19" s="1156" t="e">
        <f t="shared" si="9"/>
        <v>#N/A</v>
      </c>
      <c r="BC19" s="1156" t="e">
        <f t="shared" si="9"/>
        <v>#N/A</v>
      </c>
      <c r="BD19" s="1156" t="e">
        <f t="shared" si="9"/>
        <v>#N/A</v>
      </c>
      <c r="BE19" s="1156" t="e">
        <f t="shared" si="9"/>
        <v>#N/A</v>
      </c>
      <c r="BF19" s="1156" t="e">
        <f t="shared" si="9"/>
        <v>#N/A</v>
      </c>
      <c r="BG19" s="1156" t="e">
        <f t="shared" si="9"/>
        <v>#N/A</v>
      </c>
      <c r="BH19" s="1156" t="e">
        <f t="shared" si="9"/>
        <v>#N/A</v>
      </c>
      <c r="BI19" s="1156" t="e">
        <f t="shared" si="9"/>
        <v>#N/A</v>
      </c>
      <c r="BJ19" s="1156" t="e">
        <f t="shared" si="9"/>
        <v>#N/A</v>
      </c>
      <c r="BK19" s="1156" t="e">
        <f t="shared" si="9"/>
        <v>#N/A</v>
      </c>
      <c r="BL19" s="1156" t="e">
        <f t="shared" si="9"/>
        <v>#N/A</v>
      </c>
      <c r="BM19" s="1156" t="e">
        <f t="shared" si="9"/>
        <v>#N/A</v>
      </c>
      <c r="BN19" s="1156" t="e">
        <f t="shared" si="9"/>
        <v>#N/A</v>
      </c>
      <c r="BO19" s="1156" t="e">
        <f t="shared" ref="BO19:CI19" si="10">LOOKUP(BO5,SerieÅR,Seriekarbonprislav)*KPIJustering</f>
        <v>#N/A</v>
      </c>
      <c r="BP19" s="1156" t="e">
        <f t="shared" si="10"/>
        <v>#N/A</v>
      </c>
      <c r="BQ19" s="1156" t="e">
        <f t="shared" si="10"/>
        <v>#N/A</v>
      </c>
      <c r="BR19" s="1156" t="e">
        <f t="shared" si="10"/>
        <v>#N/A</v>
      </c>
      <c r="BS19" s="1156" t="e">
        <f t="shared" si="10"/>
        <v>#N/A</v>
      </c>
      <c r="BT19" s="1156" t="e">
        <f t="shared" si="10"/>
        <v>#N/A</v>
      </c>
      <c r="BU19" s="1156" t="e">
        <f t="shared" si="10"/>
        <v>#N/A</v>
      </c>
      <c r="BV19" s="1156" t="e">
        <f t="shared" si="10"/>
        <v>#N/A</v>
      </c>
      <c r="BW19" s="1156" t="e">
        <f t="shared" si="10"/>
        <v>#N/A</v>
      </c>
      <c r="BX19" s="1156" t="e">
        <f t="shared" si="10"/>
        <v>#N/A</v>
      </c>
      <c r="BY19" s="1156" t="e">
        <f t="shared" si="10"/>
        <v>#N/A</v>
      </c>
      <c r="BZ19" s="1156" t="e">
        <f t="shared" si="10"/>
        <v>#N/A</v>
      </c>
      <c r="CA19" s="1156" t="e">
        <f t="shared" si="10"/>
        <v>#N/A</v>
      </c>
      <c r="CB19" s="1156" t="e">
        <f t="shared" si="10"/>
        <v>#N/A</v>
      </c>
      <c r="CC19" s="1156" t="e">
        <f t="shared" si="10"/>
        <v>#N/A</v>
      </c>
      <c r="CD19" s="1156" t="e">
        <f t="shared" si="10"/>
        <v>#N/A</v>
      </c>
      <c r="CE19" s="1156" t="e">
        <f t="shared" si="10"/>
        <v>#N/A</v>
      </c>
      <c r="CF19" s="1156" t="e">
        <f t="shared" si="10"/>
        <v>#N/A</v>
      </c>
      <c r="CG19" s="1156" t="e">
        <f t="shared" si="10"/>
        <v>#N/A</v>
      </c>
      <c r="CH19" s="1156" t="e">
        <f t="shared" si="10"/>
        <v>#N/A</v>
      </c>
      <c r="CI19" s="1156" t="e">
        <f t="shared" si="10"/>
        <v>#N/A</v>
      </c>
      <c r="CJ19" s="1156" t="e">
        <f t="shared" ref="CJ19:DH19" si="11">LOOKUP(CJ5,SerieÅR,Seriekarbonprislav)*KPIJustering</f>
        <v>#N/A</v>
      </c>
      <c r="CK19" s="1156" t="e">
        <f t="shared" si="11"/>
        <v>#N/A</v>
      </c>
      <c r="CL19" s="1156" t="e">
        <f t="shared" si="11"/>
        <v>#N/A</v>
      </c>
      <c r="CM19" s="1156" t="e">
        <f t="shared" si="11"/>
        <v>#N/A</v>
      </c>
      <c r="CN19" s="1156" t="e">
        <f t="shared" si="11"/>
        <v>#N/A</v>
      </c>
      <c r="CO19" s="1156" t="e">
        <f t="shared" si="11"/>
        <v>#N/A</v>
      </c>
      <c r="CP19" s="1156" t="e">
        <f t="shared" si="11"/>
        <v>#N/A</v>
      </c>
      <c r="CQ19" s="1156" t="e">
        <f t="shared" si="11"/>
        <v>#N/A</v>
      </c>
      <c r="CR19" s="1156" t="e">
        <f t="shared" si="11"/>
        <v>#N/A</v>
      </c>
      <c r="CS19" s="1156" t="e">
        <f t="shared" si="11"/>
        <v>#N/A</v>
      </c>
      <c r="CT19" s="1156" t="e">
        <f t="shared" si="11"/>
        <v>#N/A</v>
      </c>
      <c r="CU19" s="1156" t="e">
        <f t="shared" si="11"/>
        <v>#N/A</v>
      </c>
      <c r="CV19" s="1156" t="e">
        <f t="shared" si="11"/>
        <v>#N/A</v>
      </c>
      <c r="CW19" s="1156" t="e">
        <f t="shared" si="11"/>
        <v>#N/A</v>
      </c>
      <c r="CX19" s="1156" t="e">
        <f t="shared" si="11"/>
        <v>#N/A</v>
      </c>
      <c r="CY19" s="1156" t="e">
        <f t="shared" si="11"/>
        <v>#N/A</v>
      </c>
      <c r="CZ19" s="1156" t="e">
        <f t="shared" si="11"/>
        <v>#N/A</v>
      </c>
      <c r="DA19" s="1156" t="e">
        <f t="shared" si="11"/>
        <v>#N/A</v>
      </c>
      <c r="DB19" s="1156" t="e">
        <f t="shared" si="11"/>
        <v>#N/A</v>
      </c>
      <c r="DC19" s="1156" t="e">
        <f t="shared" si="11"/>
        <v>#N/A</v>
      </c>
      <c r="DD19" s="1156" t="e">
        <f t="shared" si="11"/>
        <v>#N/A</v>
      </c>
      <c r="DE19" s="1156" t="e">
        <f t="shared" si="11"/>
        <v>#N/A</v>
      </c>
      <c r="DF19" s="1156" t="e">
        <f t="shared" si="11"/>
        <v>#N/A</v>
      </c>
      <c r="DG19" s="1156" t="e">
        <f t="shared" si="11"/>
        <v>#N/A</v>
      </c>
      <c r="DH19" s="1166" t="e">
        <f t="shared" si="11"/>
        <v>#N/A</v>
      </c>
    </row>
    <row r="20" spans="1:172" x14ac:dyDescent="0.35">
      <c r="A20" s="685"/>
      <c r="B20" s="446" t="s">
        <v>2049</v>
      </c>
      <c r="C20" s="1156" t="e">
        <f t="shared" ref="C20:AH20" si="12">LOOKUP(C5,SerieÅR,Seriekarbonprishøy)*KPIJustering</f>
        <v>#N/A</v>
      </c>
      <c r="D20" s="1156" t="e">
        <f t="shared" si="12"/>
        <v>#N/A</v>
      </c>
      <c r="E20" s="1156" t="e">
        <f t="shared" si="12"/>
        <v>#N/A</v>
      </c>
      <c r="F20" s="1156" t="e">
        <f t="shared" si="12"/>
        <v>#N/A</v>
      </c>
      <c r="G20" s="1156" t="e">
        <f t="shared" si="12"/>
        <v>#N/A</v>
      </c>
      <c r="H20" s="1156" t="e">
        <f t="shared" si="12"/>
        <v>#N/A</v>
      </c>
      <c r="I20" s="1156" t="e">
        <f t="shared" si="12"/>
        <v>#N/A</v>
      </c>
      <c r="J20" s="1156" t="e">
        <f t="shared" si="12"/>
        <v>#N/A</v>
      </c>
      <c r="K20" s="1156" t="e">
        <f t="shared" si="12"/>
        <v>#N/A</v>
      </c>
      <c r="L20" s="1156" t="e">
        <f t="shared" si="12"/>
        <v>#N/A</v>
      </c>
      <c r="M20" s="1156" t="e">
        <f t="shared" si="12"/>
        <v>#N/A</v>
      </c>
      <c r="N20" s="1156" t="e">
        <f t="shared" si="12"/>
        <v>#N/A</v>
      </c>
      <c r="O20" s="1156" t="e">
        <f t="shared" si="12"/>
        <v>#N/A</v>
      </c>
      <c r="P20" s="1156" t="e">
        <f t="shared" si="12"/>
        <v>#N/A</v>
      </c>
      <c r="Q20" s="1156" t="e">
        <f t="shared" si="12"/>
        <v>#N/A</v>
      </c>
      <c r="R20" s="1156" t="e">
        <f t="shared" si="12"/>
        <v>#N/A</v>
      </c>
      <c r="S20" s="1156" t="e">
        <f t="shared" si="12"/>
        <v>#N/A</v>
      </c>
      <c r="T20" s="1156" t="e">
        <f t="shared" si="12"/>
        <v>#N/A</v>
      </c>
      <c r="U20" s="1156" t="e">
        <f t="shared" si="12"/>
        <v>#N/A</v>
      </c>
      <c r="V20" s="1156" t="e">
        <f t="shared" si="12"/>
        <v>#N/A</v>
      </c>
      <c r="W20" s="1156" t="e">
        <f t="shared" si="12"/>
        <v>#N/A</v>
      </c>
      <c r="X20" s="1156" t="e">
        <f t="shared" si="12"/>
        <v>#N/A</v>
      </c>
      <c r="Y20" s="1156" t="e">
        <f t="shared" si="12"/>
        <v>#N/A</v>
      </c>
      <c r="Z20" s="1156" t="e">
        <f t="shared" si="12"/>
        <v>#N/A</v>
      </c>
      <c r="AA20" s="1156" t="e">
        <f t="shared" si="12"/>
        <v>#N/A</v>
      </c>
      <c r="AB20" s="1156" t="e">
        <f t="shared" si="12"/>
        <v>#N/A</v>
      </c>
      <c r="AC20" s="1156" t="e">
        <f t="shared" si="12"/>
        <v>#N/A</v>
      </c>
      <c r="AD20" s="1156" t="e">
        <f t="shared" si="12"/>
        <v>#N/A</v>
      </c>
      <c r="AE20" s="1156" t="e">
        <f t="shared" si="12"/>
        <v>#N/A</v>
      </c>
      <c r="AF20" s="1156" t="e">
        <f t="shared" si="12"/>
        <v>#N/A</v>
      </c>
      <c r="AG20" s="1156" t="e">
        <f t="shared" si="12"/>
        <v>#N/A</v>
      </c>
      <c r="AH20" s="1156" t="e">
        <f t="shared" si="12"/>
        <v>#N/A</v>
      </c>
      <c r="AI20" s="1156" t="e">
        <f t="shared" ref="AI20:BN20" si="13">LOOKUP(AI5,SerieÅR,Seriekarbonprishøy)*KPIJustering</f>
        <v>#N/A</v>
      </c>
      <c r="AJ20" s="1156" t="e">
        <f t="shared" si="13"/>
        <v>#N/A</v>
      </c>
      <c r="AK20" s="1156" t="e">
        <f t="shared" si="13"/>
        <v>#N/A</v>
      </c>
      <c r="AL20" s="1156" t="e">
        <f t="shared" si="13"/>
        <v>#N/A</v>
      </c>
      <c r="AM20" s="1156" t="e">
        <f t="shared" si="13"/>
        <v>#N/A</v>
      </c>
      <c r="AN20" s="1156" t="e">
        <f t="shared" si="13"/>
        <v>#N/A</v>
      </c>
      <c r="AO20" s="1156" t="e">
        <f t="shared" si="13"/>
        <v>#N/A</v>
      </c>
      <c r="AP20" s="1156" t="e">
        <f t="shared" si="13"/>
        <v>#N/A</v>
      </c>
      <c r="AQ20" s="1156" t="e">
        <f t="shared" si="13"/>
        <v>#N/A</v>
      </c>
      <c r="AR20" s="1156" t="e">
        <f t="shared" si="13"/>
        <v>#N/A</v>
      </c>
      <c r="AS20" s="1156" t="e">
        <f t="shared" si="13"/>
        <v>#N/A</v>
      </c>
      <c r="AT20" s="1156" t="e">
        <f t="shared" si="13"/>
        <v>#N/A</v>
      </c>
      <c r="AU20" s="1156" t="e">
        <f t="shared" si="13"/>
        <v>#N/A</v>
      </c>
      <c r="AV20" s="1156" t="e">
        <f t="shared" si="13"/>
        <v>#N/A</v>
      </c>
      <c r="AW20" s="1156" t="e">
        <f t="shared" si="13"/>
        <v>#N/A</v>
      </c>
      <c r="AX20" s="1156" t="e">
        <f t="shared" si="13"/>
        <v>#N/A</v>
      </c>
      <c r="AY20" s="1156" t="e">
        <f t="shared" si="13"/>
        <v>#N/A</v>
      </c>
      <c r="AZ20" s="1156" t="e">
        <f t="shared" si="13"/>
        <v>#N/A</v>
      </c>
      <c r="BA20" s="1156" t="e">
        <f t="shared" si="13"/>
        <v>#N/A</v>
      </c>
      <c r="BB20" s="1156" t="e">
        <f t="shared" si="13"/>
        <v>#N/A</v>
      </c>
      <c r="BC20" s="1156" t="e">
        <f t="shared" si="13"/>
        <v>#N/A</v>
      </c>
      <c r="BD20" s="1156" t="e">
        <f t="shared" si="13"/>
        <v>#N/A</v>
      </c>
      <c r="BE20" s="1156" t="e">
        <f t="shared" si="13"/>
        <v>#N/A</v>
      </c>
      <c r="BF20" s="1156" t="e">
        <f t="shared" si="13"/>
        <v>#N/A</v>
      </c>
      <c r="BG20" s="1156" t="e">
        <f t="shared" si="13"/>
        <v>#N/A</v>
      </c>
      <c r="BH20" s="1156" t="e">
        <f t="shared" si="13"/>
        <v>#N/A</v>
      </c>
      <c r="BI20" s="1156" t="e">
        <f t="shared" si="13"/>
        <v>#N/A</v>
      </c>
      <c r="BJ20" s="1156" t="e">
        <f t="shared" si="13"/>
        <v>#N/A</v>
      </c>
      <c r="BK20" s="1156" t="e">
        <f t="shared" si="13"/>
        <v>#N/A</v>
      </c>
      <c r="BL20" s="1156" t="e">
        <f t="shared" si="13"/>
        <v>#N/A</v>
      </c>
      <c r="BM20" s="1156" t="e">
        <f t="shared" si="13"/>
        <v>#N/A</v>
      </c>
      <c r="BN20" s="1156" t="e">
        <f t="shared" si="13"/>
        <v>#N/A</v>
      </c>
      <c r="BO20" s="1156" t="e">
        <f t="shared" ref="BO20:CI20" si="14">LOOKUP(BO5,SerieÅR,Seriekarbonprishøy)*KPIJustering</f>
        <v>#N/A</v>
      </c>
      <c r="BP20" s="1156" t="e">
        <f t="shared" si="14"/>
        <v>#N/A</v>
      </c>
      <c r="BQ20" s="1156" t="e">
        <f t="shared" si="14"/>
        <v>#N/A</v>
      </c>
      <c r="BR20" s="1156" t="e">
        <f t="shared" si="14"/>
        <v>#N/A</v>
      </c>
      <c r="BS20" s="1156" t="e">
        <f t="shared" si="14"/>
        <v>#N/A</v>
      </c>
      <c r="BT20" s="1156" t="e">
        <f t="shared" si="14"/>
        <v>#N/A</v>
      </c>
      <c r="BU20" s="1156" t="e">
        <f t="shared" si="14"/>
        <v>#N/A</v>
      </c>
      <c r="BV20" s="1156" t="e">
        <f t="shared" si="14"/>
        <v>#N/A</v>
      </c>
      <c r="BW20" s="1156" t="e">
        <f t="shared" si="14"/>
        <v>#N/A</v>
      </c>
      <c r="BX20" s="1156" t="e">
        <f t="shared" si="14"/>
        <v>#N/A</v>
      </c>
      <c r="BY20" s="1156" t="e">
        <f t="shared" si="14"/>
        <v>#N/A</v>
      </c>
      <c r="BZ20" s="1156" t="e">
        <f t="shared" si="14"/>
        <v>#N/A</v>
      </c>
      <c r="CA20" s="1156" t="e">
        <f t="shared" si="14"/>
        <v>#N/A</v>
      </c>
      <c r="CB20" s="1156" t="e">
        <f t="shared" si="14"/>
        <v>#N/A</v>
      </c>
      <c r="CC20" s="1156" t="e">
        <f t="shared" si="14"/>
        <v>#N/A</v>
      </c>
      <c r="CD20" s="1156" t="e">
        <f t="shared" si="14"/>
        <v>#N/A</v>
      </c>
      <c r="CE20" s="1156" t="e">
        <f t="shared" si="14"/>
        <v>#N/A</v>
      </c>
      <c r="CF20" s="1156" t="e">
        <f t="shared" si="14"/>
        <v>#N/A</v>
      </c>
      <c r="CG20" s="1156" t="e">
        <f t="shared" si="14"/>
        <v>#N/A</v>
      </c>
      <c r="CH20" s="1156" t="e">
        <f t="shared" si="14"/>
        <v>#N/A</v>
      </c>
      <c r="CI20" s="1156" t="e">
        <f t="shared" si="14"/>
        <v>#N/A</v>
      </c>
      <c r="CJ20" s="1156" t="e">
        <f t="shared" ref="CJ20:DH20" si="15">LOOKUP(CJ5,SerieÅR,Seriekarbonprishøy)*KPIJustering</f>
        <v>#N/A</v>
      </c>
      <c r="CK20" s="1156" t="e">
        <f t="shared" si="15"/>
        <v>#N/A</v>
      </c>
      <c r="CL20" s="1156" t="e">
        <f t="shared" si="15"/>
        <v>#N/A</v>
      </c>
      <c r="CM20" s="1156" t="e">
        <f t="shared" si="15"/>
        <v>#N/A</v>
      </c>
      <c r="CN20" s="1156" t="e">
        <f t="shared" si="15"/>
        <v>#N/A</v>
      </c>
      <c r="CO20" s="1156" t="e">
        <f t="shared" si="15"/>
        <v>#N/A</v>
      </c>
      <c r="CP20" s="1156" t="e">
        <f t="shared" si="15"/>
        <v>#N/A</v>
      </c>
      <c r="CQ20" s="1156" t="e">
        <f t="shared" si="15"/>
        <v>#N/A</v>
      </c>
      <c r="CR20" s="1156" t="e">
        <f t="shared" si="15"/>
        <v>#N/A</v>
      </c>
      <c r="CS20" s="1156" t="e">
        <f t="shared" si="15"/>
        <v>#N/A</v>
      </c>
      <c r="CT20" s="1156" t="e">
        <f t="shared" si="15"/>
        <v>#N/A</v>
      </c>
      <c r="CU20" s="1156" t="e">
        <f t="shared" si="15"/>
        <v>#N/A</v>
      </c>
      <c r="CV20" s="1156" t="e">
        <f t="shared" si="15"/>
        <v>#N/A</v>
      </c>
      <c r="CW20" s="1156" t="e">
        <f t="shared" si="15"/>
        <v>#N/A</v>
      </c>
      <c r="CX20" s="1156" t="e">
        <f t="shared" si="15"/>
        <v>#N/A</v>
      </c>
      <c r="CY20" s="1156" t="e">
        <f t="shared" si="15"/>
        <v>#N/A</v>
      </c>
      <c r="CZ20" s="1156" t="e">
        <f t="shared" si="15"/>
        <v>#N/A</v>
      </c>
      <c r="DA20" s="1156" t="e">
        <f t="shared" si="15"/>
        <v>#N/A</v>
      </c>
      <c r="DB20" s="1156" t="e">
        <f t="shared" si="15"/>
        <v>#N/A</v>
      </c>
      <c r="DC20" s="1156" t="e">
        <f t="shared" si="15"/>
        <v>#N/A</v>
      </c>
      <c r="DD20" s="1156" t="e">
        <f t="shared" si="15"/>
        <v>#N/A</v>
      </c>
      <c r="DE20" s="1156" t="e">
        <f t="shared" si="15"/>
        <v>#N/A</v>
      </c>
      <c r="DF20" s="1156" t="e">
        <f t="shared" si="15"/>
        <v>#N/A</v>
      </c>
      <c r="DG20" s="1156" t="e">
        <f t="shared" si="15"/>
        <v>#N/A</v>
      </c>
      <c r="DH20" s="1166" t="e">
        <f t="shared" si="15"/>
        <v>#N/A</v>
      </c>
    </row>
    <row r="21" spans="1:172" x14ac:dyDescent="0.35">
      <c r="A21" s="685"/>
      <c r="B21" s="446" t="s">
        <v>2050</v>
      </c>
      <c r="C21" s="1156" t="e">
        <f t="shared" ref="C21:AH21" si="16">LOOKUP(C5,SerieÅR,Seriekarbonprisbaneskogogarealbruk)*KPIJustering</f>
        <v>#N/A</v>
      </c>
      <c r="D21" s="1156" t="e">
        <f t="shared" si="16"/>
        <v>#N/A</v>
      </c>
      <c r="E21" s="1156" t="e">
        <f t="shared" si="16"/>
        <v>#N/A</v>
      </c>
      <c r="F21" s="1156" t="e">
        <f t="shared" si="16"/>
        <v>#N/A</v>
      </c>
      <c r="G21" s="1156" t="e">
        <f t="shared" si="16"/>
        <v>#N/A</v>
      </c>
      <c r="H21" s="1156" t="e">
        <f t="shared" si="16"/>
        <v>#N/A</v>
      </c>
      <c r="I21" s="1156" t="e">
        <f t="shared" si="16"/>
        <v>#N/A</v>
      </c>
      <c r="J21" s="1156" t="e">
        <f t="shared" si="16"/>
        <v>#N/A</v>
      </c>
      <c r="K21" s="1156" t="e">
        <f t="shared" si="16"/>
        <v>#N/A</v>
      </c>
      <c r="L21" s="1156" t="e">
        <f t="shared" si="16"/>
        <v>#N/A</v>
      </c>
      <c r="M21" s="1156" t="e">
        <f t="shared" si="16"/>
        <v>#N/A</v>
      </c>
      <c r="N21" s="1156" t="e">
        <f t="shared" si="16"/>
        <v>#N/A</v>
      </c>
      <c r="O21" s="1156" t="e">
        <f t="shared" si="16"/>
        <v>#N/A</v>
      </c>
      <c r="P21" s="1156" t="e">
        <f t="shared" si="16"/>
        <v>#N/A</v>
      </c>
      <c r="Q21" s="1156" t="e">
        <f t="shared" si="16"/>
        <v>#N/A</v>
      </c>
      <c r="R21" s="1156" t="e">
        <f t="shared" si="16"/>
        <v>#N/A</v>
      </c>
      <c r="S21" s="1156" t="e">
        <f t="shared" si="16"/>
        <v>#N/A</v>
      </c>
      <c r="T21" s="1156" t="e">
        <f t="shared" si="16"/>
        <v>#N/A</v>
      </c>
      <c r="U21" s="1156" t="e">
        <f t="shared" si="16"/>
        <v>#N/A</v>
      </c>
      <c r="V21" s="1156" t="e">
        <f t="shared" si="16"/>
        <v>#N/A</v>
      </c>
      <c r="W21" s="1156" t="e">
        <f t="shared" si="16"/>
        <v>#N/A</v>
      </c>
      <c r="X21" s="1156" t="e">
        <f t="shared" si="16"/>
        <v>#N/A</v>
      </c>
      <c r="Y21" s="1156" t="e">
        <f t="shared" si="16"/>
        <v>#N/A</v>
      </c>
      <c r="Z21" s="1156" t="e">
        <f t="shared" si="16"/>
        <v>#N/A</v>
      </c>
      <c r="AA21" s="1156" t="e">
        <f t="shared" si="16"/>
        <v>#N/A</v>
      </c>
      <c r="AB21" s="1156" t="e">
        <f t="shared" si="16"/>
        <v>#N/A</v>
      </c>
      <c r="AC21" s="1156" t="e">
        <f t="shared" si="16"/>
        <v>#N/A</v>
      </c>
      <c r="AD21" s="1156" t="e">
        <f t="shared" si="16"/>
        <v>#N/A</v>
      </c>
      <c r="AE21" s="1156" t="e">
        <f t="shared" si="16"/>
        <v>#N/A</v>
      </c>
      <c r="AF21" s="1156" t="e">
        <f t="shared" si="16"/>
        <v>#N/A</v>
      </c>
      <c r="AG21" s="1156" t="e">
        <f t="shared" si="16"/>
        <v>#N/A</v>
      </c>
      <c r="AH21" s="1156" t="e">
        <f t="shared" si="16"/>
        <v>#N/A</v>
      </c>
      <c r="AI21" s="1156" t="e">
        <f t="shared" ref="AI21:BN21" si="17">LOOKUP(AI5,SerieÅR,Seriekarbonprisbaneskogogarealbruk)*KPIJustering</f>
        <v>#N/A</v>
      </c>
      <c r="AJ21" s="1156" t="e">
        <f t="shared" si="17"/>
        <v>#N/A</v>
      </c>
      <c r="AK21" s="1156" t="e">
        <f t="shared" si="17"/>
        <v>#N/A</v>
      </c>
      <c r="AL21" s="1156" t="e">
        <f t="shared" si="17"/>
        <v>#N/A</v>
      </c>
      <c r="AM21" s="1156" t="e">
        <f t="shared" si="17"/>
        <v>#N/A</v>
      </c>
      <c r="AN21" s="1156" t="e">
        <f t="shared" si="17"/>
        <v>#N/A</v>
      </c>
      <c r="AO21" s="1156" t="e">
        <f t="shared" si="17"/>
        <v>#N/A</v>
      </c>
      <c r="AP21" s="1156" t="e">
        <f t="shared" si="17"/>
        <v>#N/A</v>
      </c>
      <c r="AQ21" s="1156" t="e">
        <f t="shared" si="17"/>
        <v>#N/A</v>
      </c>
      <c r="AR21" s="1156" t="e">
        <f t="shared" si="17"/>
        <v>#N/A</v>
      </c>
      <c r="AS21" s="1156" t="e">
        <f t="shared" si="17"/>
        <v>#N/A</v>
      </c>
      <c r="AT21" s="1156" t="e">
        <f t="shared" si="17"/>
        <v>#N/A</v>
      </c>
      <c r="AU21" s="1156" t="e">
        <f t="shared" si="17"/>
        <v>#N/A</v>
      </c>
      <c r="AV21" s="1156" t="e">
        <f t="shared" si="17"/>
        <v>#N/A</v>
      </c>
      <c r="AW21" s="1156" t="e">
        <f t="shared" si="17"/>
        <v>#N/A</v>
      </c>
      <c r="AX21" s="1156" t="e">
        <f t="shared" si="17"/>
        <v>#N/A</v>
      </c>
      <c r="AY21" s="1156" t="e">
        <f t="shared" si="17"/>
        <v>#N/A</v>
      </c>
      <c r="AZ21" s="1156" t="e">
        <f t="shared" si="17"/>
        <v>#N/A</v>
      </c>
      <c r="BA21" s="1156" t="e">
        <f t="shared" si="17"/>
        <v>#N/A</v>
      </c>
      <c r="BB21" s="1156" t="e">
        <f t="shared" si="17"/>
        <v>#N/A</v>
      </c>
      <c r="BC21" s="1156" t="e">
        <f t="shared" si="17"/>
        <v>#N/A</v>
      </c>
      <c r="BD21" s="1156" t="e">
        <f t="shared" si="17"/>
        <v>#N/A</v>
      </c>
      <c r="BE21" s="1156" t="e">
        <f t="shared" si="17"/>
        <v>#N/A</v>
      </c>
      <c r="BF21" s="1156" t="e">
        <f t="shared" si="17"/>
        <v>#N/A</v>
      </c>
      <c r="BG21" s="1156" t="e">
        <f t="shared" si="17"/>
        <v>#N/A</v>
      </c>
      <c r="BH21" s="1156" t="e">
        <f t="shared" si="17"/>
        <v>#N/A</v>
      </c>
      <c r="BI21" s="1156" t="e">
        <f t="shared" si="17"/>
        <v>#N/A</v>
      </c>
      <c r="BJ21" s="1156" t="e">
        <f t="shared" si="17"/>
        <v>#N/A</v>
      </c>
      <c r="BK21" s="1156" t="e">
        <f t="shared" si="17"/>
        <v>#N/A</v>
      </c>
      <c r="BL21" s="1156" t="e">
        <f t="shared" si="17"/>
        <v>#N/A</v>
      </c>
      <c r="BM21" s="1156" t="e">
        <f t="shared" si="17"/>
        <v>#N/A</v>
      </c>
      <c r="BN21" s="1156" t="e">
        <f t="shared" si="17"/>
        <v>#N/A</v>
      </c>
      <c r="BO21" s="1156" t="e">
        <f t="shared" ref="BO21:CI21" si="18">LOOKUP(BO5,SerieÅR,Seriekarbonprisbaneskogogarealbruk)*KPIJustering</f>
        <v>#N/A</v>
      </c>
      <c r="BP21" s="1156" t="e">
        <f t="shared" si="18"/>
        <v>#N/A</v>
      </c>
      <c r="BQ21" s="1156" t="e">
        <f t="shared" si="18"/>
        <v>#N/A</v>
      </c>
      <c r="BR21" s="1156" t="e">
        <f t="shared" si="18"/>
        <v>#N/A</v>
      </c>
      <c r="BS21" s="1156" t="e">
        <f t="shared" si="18"/>
        <v>#N/A</v>
      </c>
      <c r="BT21" s="1156" t="e">
        <f t="shared" si="18"/>
        <v>#N/A</v>
      </c>
      <c r="BU21" s="1156" t="e">
        <f t="shared" si="18"/>
        <v>#N/A</v>
      </c>
      <c r="BV21" s="1156" t="e">
        <f t="shared" si="18"/>
        <v>#N/A</v>
      </c>
      <c r="BW21" s="1156" t="e">
        <f t="shared" si="18"/>
        <v>#N/A</v>
      </c>
      <c r="BX21" s="1156" t="e">
        <f t="shared" si="18"/>
        <v>#N/A</v>
      </c>
      <c r="BY21" s="1156" t="e">
        <f t="shared" si="18"/>
        <v>#N/A</v>
      </c>
      <c r="BZ21" s="1156" t="e">
        <f t="shared" si="18"/>
        <v>#N/A</v>
      </c>
      <c r="CA21" s="1156" t="e">
        <f t="shared" si="18"/>
        <v>#N/A</v>
      </c>
      <c r="CB21" s="1156" t="e">
        <f t="shared" si="18"/>
        <v>#N/A</v>
      </c>
      <c r="CC21" s="1156" t="e">
        <f t="shared" si="18"/>
        <v>#N/A</v>
      </c>
      <c r="CD21" s="1156" t="e">
        <f t="shared" si="18"/>
        <v>#N/A</v>
      </c>
      <c r="CE21" s="1156" t="e">
        <f t="shared" si="18"/>
        <v>#N/A</v>
      </c>
      <c r="CF21" s="1156" t="e">
        <f t="shared" si="18"/>
        <v>#N/A</v>
      </c>
      <c r="CG21" s="1156" t="e">
        <f t="shared" si="18"/>
        <v>#N/A</v>
      </c>
      <c r="CH21" s="1156" t="e">
        <f t="shared" si="18"/>
        <v>#N/A</v>
      </c>
      <c r="CI21" s="1156" t="e">
        <f t="shared" si="18"/>
        <v>#N/A</v>
      </c>
      <c r="CJ21" s="1156" t="e">
        <f t="shared" ref="CJ21:DH21" si="19">LOOKUP(CJ5,SerieÅR,Seriekarbonprisbaneskogogarealbruk)*KPIJustering</f>
        <v>#N/A</v>
      </c>
      <c r="CK21" s="1156" t="e">
        <f t="shared" si="19"/>
        <v>#N/A</v>
      </c>
      <c r="CL21" s="1156" t="e">
        <f t="shared" si="19"/>
        <v>#N/A</v>
      </c>
      <c r="CM21" s="1156" t="e">
        <f t="shared" si="19"/>
        <v>#N/A</v>
      </c>
      <c r="CN21" s="1156" t="e">
        <f t="shared" si="19"/>
        <v>#N/A</v>
      </c>
      <c r="CO21" s="1156" t="e">
        <f t="shared" si="19"/>
        <v>#N/A</v>
      </c>
      <c r="CP21" s="1156" t="e">
        <f t="shared" si="19"/>
        <v>#N/A</v>
      </c>
      <c r="CQ21" s="1156" t="e">
        <f t="shared" si="19"/>
        <v>#N/A</v>
      </c>
      <c r="CR21" s="1156" t="e">
        <f t="shared" si="19"/>
        <v>#N/A</v>
      </c>
      <c r="CS21" s="1156" t="e">
        <f t="shared" si="19"/>
        <v>#N/A</v>
      </c>
      <c r="CT21" s="1156" t="e">
        <f t="shared" si="19"/>
        <v>#N/A</v>
      </c>
      <c r="CU21" s="1156" t="e">
        <f t="shared" si="19"/>
        <v>#N/A</v>
      </c>
      <c r="CV21" s="1156" t="e">
        <f t="shared" si="19"/>
        <v>#N/A</v>
      </c>
      <c r="CW21" s="1156" t="e">
        <f t="shared" si="19"/>
        <v>#N/A</v>
      </c>
      <c r="CX21" s="1156" t="e">
        <f t="shared" si="19"/>
        <v>#N/A</v>
      </c>
      <c r="CY21" s="1156" t="e">
        <f t="shared" si="19"/>
        <v>#N/A</v>
      </c>
      <c r="CZ21" s="1156" t="e">
        <f t="shared" si="19"/>
        <v>#N/A</v>
      </c>
      <c r="DA21" s="1156" t="e">
        <f t="shared" si="19"/>
        <v>#N/A</v>
      </c>
      <c r="DB21" s="1156" t="e">
        <f t="shared" si="19"/>
        <v>#N/A</v>
      </c>
      <c r="DC21" s="1156" t="e">
        <f t="shared" si="19"/>
        <v>#N/A</v>
      </c>
      <c r="DD21" s="1156" t="e">
        <f t="shared" si="19"/>
        <v>#N/A</v>
      </c>
      <c r="DE21" s="1156" t="e">
        <f t="shared" si="19"/>
        <v>#N/A</v>
      </c>
      <c r="DF21" s="1156" t="e">
        <f t="shared" si="19"/>
        <v>#N/A</v>
      </c>
      <c r="DG21" s="1156" t="e">
        <f t="shared" si="19"/>
        <v>#N/A</v>
      </c>
      <c r="DH21" s="1166" t="e">
        <f t="shared" si="19"/>
        <v>#N/A</v>
      </c>
    </row>
    <row r="22" spans="1:172" x14ac:dyDescent="0.35">
      <c r="A22" s="685"/>
      <c r="B22" s="1" t="s">
        <v>2051</v>
      </c>
      <c r="M22" s="1168"/>
      <c r="N22" s="1168"/>
      <c r="O22" s="1168"/>
      <c r="P22" s="1168"/>
      <c r="Q22" s="1168"/>
      <c r="R22" s="1168"/>
      <c r="DH22" s="686"/>
    </row>
    <row r="23" spans="1:172" x14ac:dyDescent="0.35">
      <c r="A23" s="685"/>
      <c r="M23" s="1168"/>
      <c r="N23" s="1168"/>
      <c r="O23" s="1168"/>
      <c r="P23" s="1168"/>
      <c r="Q23" s="1168"/>
      <c r="R23" s="1168"/>
      <c r="S23" s="1168"/>
      <c r="DH23" s="686"/>
    </row>
    <row r="24" spans="1:172" x14ac:dyDescent="0.35">
      <c r="A24" s="685"/>
      <c r="B24" s="485" t="s">
        <v>2052</v>
      </c>
      <c r="C24" s="485"/>
      <c r="D24" s="485"/>
      <c r="E24" s="485"/>
      <c r="F24" s="485"/>
      <c r="G24" s="485"/>
      <c r="H24" s="485"/>
      <c r="I24" s="485"/>
      <c r="J24" s="485"/>
      <c r="K24" s="485"/>
      <c r="L24" s="485" t="str">
        <f>IF(OR(A28,A29,A30,A31,A32,A33,A36),"SANN","USANN")</f>
        <v>SANN</v>
      </c>
      <c r="M24" s="485" t="str">
        <f>IF(OR(A40,A41),"SANN","USANN")</f>
        <v>SANN</v>
      </c>
      <c r="N24" s="485"/>
      <c r="O24" s="485"/>
      <c r="P24" s="485"/>
      <c r="DH24" s="686"/>
    </row>
    <row r="25" spans="1:172" x14ac:dyDescent="0.35">
      <c r="A25" s="685"/>
      <c r="B25" s="485" t="s">
        <v>2053</v>
      </c>
      <c r="C25" s="485"/>
      <c r="D25" s="485"/>
      <c r="E25" s="485"/>
      <c r="F25" s="485"/>
      <c r="G25" s="485"/>
      <c r="H25" s="485"/>
      <c r="I25" s="485"/>
      <c r="J25" s="485"/>
      <c r="K25" s="485"/>
      <c r="L25" s="1169" t="str">
        <f>"Nyttebidraget fra endret CO2-utslipp, mill. kr. (venstre akse) og CO2-prisbane (høyre akse) ("&amp;KroneårIBeregninger&amp;"-kr)"</f>
        <v>Nyttebidraget fra endret CO2-utslipp, mill. kr. (venstre akse) og CO2-prisbane (høyre akse) (-kr)</v>
      </c>
      <c r="M25" s="485"/>
      <c r="N25" s="485" t="s">
        <v>2054</v>
      </c>
      <c r="O25" s="485" t="str">
        <f>IF(L24,"Nyttebidraget fra endret CO2-utslipp","")&amp;IF(AND(L24="SANN",M24="SANN")," og ","")&amp;IF(M24,"CO2-prisbane","")</f>
        <v>Nyttebidraget fra endret CO2-utslipp og CO2-prisbane</v>
      </c>
      <c r="P25" s="485"/>
      <c r="DH25" s="686"/>
    </row>
    <row r="26" spans="1:172" x14ac:dyDescent="0.35">
      <c r="A26" s="685" t="s">
        <v>2026</v>
      </c>
      <c r="B26" s="4" t="s">
        <v>2053</v>
      </c>
      <c r="C26" s="4" t="s">
        <v>2027</v>
      </c>
      <c r="D26" s="4" t="s">
        <v>2028</v>
      </c>
      <c r="E26" s="4" t="s">
        <v>2029</v>
      </c>
      <c r="F26" s="4" t="s">
        <v>2055</v>
      </c>
      <c r="G26" s="4" t="s">
        <v>2056</v>
      </c>
      <c r="H26" s="4" t="s">
        <v>2057</v>
      </c>
      <c r="I26" s="4" t="s">
        <v>2058</v>
      </c>
      <c r="J26" s="4" t="s">
        <v>2059</v>
      </c>
      <c r="K26" s="4" t="s">
        <v>2060</v>
      </c>
      <c r="L26" t="s">
        <v>2061</v>
      </c>
      <c r="M26" t="s">
        <v>2062</v>
      </c>
      <c r="N26" t="s">
        <v>2043</v>
      </c>
      <c r="O26" t="s">
        <v>2044</v>
      </c>
      <c r="P26" t="s">
        <v>2042</v>
      </c>
      <c r="Q26" t="s">
        <v>2063</v>
      </c>
      <c r="R26" t="s">
        <v>2064</v>
      </c>
      <c r="S26" t="s">
        <v>2065</v>
      </c>
      <c r="T26" t="s">
        <v>2066</v>
      </c>
      <c r="U26" t="s">
        <v>2067</v>
      </c>
      <c r="V26" t="s">
        <v>2068</v>
      </c>
      <c r="W26" t="s">
        <v>2069</v>
      </c>
      <c r="X26" t="s">
        <v>2070</v>
      </c>
      <c r="Y26" t="s">
        <v>2071</v>
      </c>
      <c r="Z26" t="s">
        <v>2072</v>
      </c>
      <c r="AA26" t="s">
        <v>2073</v>
      </c>
      <c r="AB26" t="s">
        <v>2074</v>
      </c>
      <c r="AC26" t="s">
        <v>2075</v>
      </c>
      <c r="AD26" t="s">
        <v>2076</v>
      </c>
      <c r="AE26" t="s">
        <v>2077</v>
      </c>
      <c r="AF26" t="s">
        <v>2078</v>
      </c>
      <c r="AG26" t="s">
        <v>2079</v>
      </c>
      <c r="AH26" t="s">
        <v>2080</v>
      </c>
      <c r="AI26" t="s">
        <v>2081</v>
      </c>
      <c r="AJ26" t="s">
        <v>2082</v>
      </c>
      <c r="AK26" t="s">
        <v>2083</v>
      </c>
      <c r="AL26" t="s">
        <v>2084</v>
      </c>
      <c r="AM26" t="s">
        <v>2085</v>
      </c>
      <c r="AN26" t="s">
        <v>2086</v>
      </c>
      <c r="AO26" t="s">
        <v>2087</v>
      </c>
      <c r="AP26" t="s">
        <v>2088</v>
      </c>
      <c r="AQ26" t="s">
        <v>2089</v>
      </c>
      <c r="AR26" t="s">
        <v>2090</v>
      </c>
      <c r="AS26" t="s">
        <v>2091</v>
      </c>
      <c r="AT26" t="s">
        <v>2092</v>
      </c>
      <c r="AU26" t="s">
        <v>2093</v>
      </c>
      <c r="AV26" t="s">
        <v>2094</v>
      </c>
      <c r="AW26" t="s">
        <v>2095</v>
      </c>
      <c r="AX26" t="s">
        <v>2096</v>
      </c>
      <c r="AY26" t="s">
        <v>2097</v>
      </c>
      <c r="AZ26" t="s">
        <v>2098</v>
      </c>
      <c r="BA26" t="s">
        <v>2099</v>
      </c>
      <c r="BB26" t="s">
        <v>2100</v>
      </c>
      <c r="BC26" t="s">
        <v>2101</v>
      </c>
      <c r="BD26" t="s">
        <v>2102</v>
      </c>
      <c r="BE26" t="s">
        <v>2103</v>
      </c>
      <c r="BF26" t="s">
        <v>2104</v>
      </c>
      <c r="BG26" t="s">
        <v>2105</v>
      </c>
      <c r="BH26" t="s">
        <v>2106</v>
      </c>
      <c r="BI26" t="s">
        <v>2107</v>
      </c>
      <c r="BJ26" t="s">
        <v>2108</v>
      </c>
      <c r="BK26" t="s">
        <v>2109</v>
      </c>
      <c r="BL26" t="s">
        <v>2110</v>
      </c>
      <c r="BM26" t="s">
        <v>2111</v>
      </c>
      <c r="BN26" t="s">
        <v>2112</v>
      </c>
      <c r="BO26" t="s">
        <v>2113</v>
      </c>
      <c r="BP26" t="s">
        <v>2114</v>
      </c>
      <c r="BQ26" t="s">
        <v>2115</v>
      </c>
      <c r="BR26" t="s">
        <v>2116</v>
      </c>
      <c r="BS26" t="s">
        <v>2117</v>
      </c>
      <c r="BT26" t="s">
        <v>2118</v>
      </c>
      <c r="BU26" t="s">
        <v>2119</v>
      </c>
      <c r="BV26" t="s">
        <v>2120</v>
      </c>
      <c r="BW26" t="s">
        <v>2121</v>
      </c>
      <c r="BX26" t="s">
        <v>2122</v>
      </c>
      <c r="BY26" t="s">
        <v>2123</v>
      </c>
      <c r="BZ26" t="s">
        <v>2124</v>
      </c>
      <c r="CA26" t="s">
        <v>2125</v>
      </c>
      <c r="CB26" t="s">
        <v>2126</v>
      </c>
      <c r="CC26" t="s">
        <v>2127</v>
      </c>
      <c r="CD26" t="s">
        <v>2128</v>
      </c>
      <c r="CE26" t="s">
        <v>2129</v>
      </c>
      <c r="CF26" t="s">
        <v>2130</v>
      </c>
      <c r="CG26" t="s">
        <v>2131</v>
      </c>
      <c r="CH26" t="s">
        <v>2132</v>
      </c>
      <c r="CI26" s="686" t="s">
        <v>2133</v>
      </c>
      <c r="CJ26" t="s">
        <v>2134</v>
      </c>
      <c r="CK26" t="s">
        <v>2135</v>
      </c>
      <c r="CL26" t="s">
        <v>2136</v>
      </c>
      <c r="CM26" t="s">
        <v>2137</v>
      </c>
      <c r="CN26" t="s">
        <v>2138</v>
      </c>
      <c r="CO26" t="s">
        <v>2139</v>
      </c>
      <c r="CP26" t="s">
        <v>2140</v>
      </c>
      <c r="CQ26" t="s">
        <v>2141</v>
      </c>
      <c r="CR26" t="s">
        <v>2142</v>
      </c>
      <c r="CS26" t="s">
        <v>2143</v>
      </c>
      <c r="CT26" t="s">
        <v>2144</v>
      </c>
      <c r="CU26" t="s">
        <v>2145</v>
      </c>
      <c r="CV26" t="s">
        <v>2146</v>
      </c>
      <c r="CW26" t="s">
        <v>2147</v>
      </c>
      <c r="CX26" t="s">
        <v>2148</v>
      </c>
      <c r="CY26" t="s">
        <v>2149</v>
      </c>
      <c r="CZ26" t="s">
        <v>2150</v>
      </c>
      <c r="DA26" t="s">
        <v>2151</v>
      </c>
      <c r="DB26" t="s">
        <v>2152</v>
      </c>
      <c r="DC26" t="s">
        <v>2153</v>
      </c>
      <c r="DD26" t="s">
        <v>2154</v>
      </c>
      <c r="DE26" t="s">
        <v>2155</v>
      </c>
      <c r="DF26" t="s">
        <v>2156</v>
      </c>
      <c r="DG26" t="s">
        <v>2157</v>
      </c>
      <c r="DH26" s="686" t="s">
        <v>2158</v>
      </c>
    </row>
    <row r="27" spans="1:172" x14ac:dyDescent="0.35">
      <c r="A27" s="685" t="s">
        <v>2159</v>
      </c>
      <c r="B27" s="4" t="s">
        <v>927</v>
      </c>
      <c r="C27">
        <f t="shared" ref="C27:AH27" si="20">C5</f>
        <v>-10</v>
      </c>
      <c r="D27">
        <f t="shared" si="20"/>
        <v>-9</v>
      </c>
      <c r="E27">
        <f t="shared" si="20"/>
        <v>-8</v>
      </c>
      <c r="F27">
        <f t="shared" si="20"/>
        <v>-7</v>
      </c>
      <c r="G27">
        <f t="shared" si="20"/>
        <v>-6</v>
      </c>
      <c r="H27">
        <f t="shared" si="20"/>
        <v>-5</v>
      </c>
      <c r="I27">
        <f t="shared" si="20"/>
        <v>-4</v>
      </c>
      <c r="J27">
        <f t="shared" si="20"/>
        <v>-3</v>
      </c>
      <c r="K27">
        <f t="shared" si="20"/>
        <v>-2</v>
      </c>
      <c r="L27">
        <f t="shared" si="20"/>
        <v>-1</v>
      </c>
      <c r="M27">
        <f t="shared" si="20"/>
        <v>0</v>
      </c>
      <c r="N27">
        <f t="shared" si="20"/>
        <v>1</v>
      </c>
      <c r="O27">
        <f t="shared" si="20"/>
        <v>2</v>
      </c>
      <c r="P27">
        <f t="shared" si="20"/>
        <v>3</v>
      </c>
      <c r="Q27">
        <f t="shared" si="20"/>
        <v>4</v>
      </c>
      <c r="R27">
        <f t="shared" si="20"/>
        <v>5</v>
      </c>
      <c r="S27">
        <f t="shared" si="20"/>
        <v>6</v>
      </c>
      <c r="T27">
        <f t="shared" si="20"/>
        <v>7</v>
      </c>
      <c r="U27">
        <f t="shared" si="20"/>
        <v>8</v>
      </c>
      <c r="V27">
        <f t="shared" si="20"/>
        <v>9</v>
      </c>
      <c r="W27">
        <f t="shared" si="20"/>
        <v>10</v>
      </c>
      <c r="X27">
        <f t="shared" si="20"/>
        <v>11</v>
      </c>
      <c r="Y27">
        <f t="shared" si="20"/>
        <v>12</v>
      </c>
      <c r="Z27">
        <f t="shared" si="20"/>
        <v>13</v>
      </c>
      <c r="AA27">
        <f t="shared" si="20"/>
        <v>14</v>
      </c>
      <c r="AB27">
        <f t="shared" si="20"/>
        <v>15</v>
      </c>
      <c r="AC27">
        <f t="shared" si="20"/>
        <v>16</v>
      </c>
      <c r="AD27">
        <f t="shared" si="20"/>
        <v>17</v>
      </c>
      <c r="AE27">
        <f t="shared" si="20"/>
        <v>18</v>
      </c>
      <c r="AF27">
        <f t="shared" si="20"/>
        <v>19</v>
      </c>
      <c r="AG27">
        <f t="shared" si="20"/>
        <v>20</v>
      </c>
      <c r="AH27">
        <f t="shared" si="20"/>
        <v>21</v>
      </c>
      <c r="AI27">
        <f t="shared" ref="AI27:BN27" si="21">AI5</f>
        <v>22</v>
      </c>
      <c r="AJ27">
        <f t="shared" si="21"/>
        <v>23</v>
      </c>
      <c r="AK27">
        <f t="shared" si="21"/>
        <v>24</v>
      </c>
      <c r="AL27">
        <f t="shared" si="21"/>
        <v>25</v>
      </c>
      <c r="AM27">
        <f t="shared" si="21"/>
        <v>26</v>
      </c>
      <c r="AN27">
        <f t="shared" si="21"/>
        <v>27</v>
      </c>
      <c r="AO27">
        <f t="shared" si="21"/>
        <v>28</v>
      </c>
      <c r="AP27">
        <f t="shared" si="21"/>
        <v>29</v>
      </c>
      <c r="AQ27">
        <f t="shared" si="21"/>
        <v>30</v>
      </c>
      <c r="AR27">
        <f t="shared" si="21"/>
        <v>31</v>
      </c>
      <c r="AS27">
        <f t="shared" si="21"/>
        <v>32</v>
      </c>
      <c r="AT27">
        <f t="shared" si="21"/>
        <v>33</v>
      </c>
      <c r="AU27">
        <f t="shared" si="21"/>
        <v>34</v>
      </c>
      <c r="AV27">
        <f t="shared" si="21"/>
        <v>35</v>
      </c>
      <c r="AW27">
        <f t="shared" si="21"/>
        <v>36</v>
      </c>
      <c r="AX27">
        <f t="shared" si="21"/>
        <v>37</v>
      </c>
      <c r="AY27">
        <f t="shared" si="21"/>
        <v>38</v>
      </c>
      <c r="AZ27">
        <f t="shared" si="21"/>
        <v>39</v>
      </c>
      <c r="BA27">
        <f t="shared" si="21"/>
        <v>40</v>
      </c>
      <c r="BB27">
        <f t="shared" si="21"/>
        <v>41</v>
      </c>
      <c r="BC27">
        <f t="shared" si="21"/>
        <v>42</v>
      </c>
      <c r="BD27">
        <f t="shared" si="21"/>
        <v>43</v>
      </c>
      <c r="BE27">
        <f t="shared" si="21"/>
        <v>44</v>
      </c>
      <c r="BF27">
        <f t="shared" si="21"/>
        <v>45</v>
      </c>
      <c r="BG27">
        <f t="shared" si="21"/>
        <v>46</v>
      </c>
      <c r="BH27">
        <f t="shared" si="21"/>
        <v>47</v>
      </c>
      <c r="BI27">
        <f t="shared" si="21"/>
        <v>48</v>
      </c>
      <c r="BJ27">
        <f t="shared" si="21"/>
        <v>49</v>
      </c>
      <c r="BK27">
        <f t="shared" si="21"/>
        <v>50</v>
      </c>
      <c r="BL27">
        <f t="shared" si="21"/>
        <v>51</v>
      </c>
      <c r="BM27">
        <f t="shared" si="21"/>
        <v>52</v>
      </c>
      <c r="BN27">
        <f t="shared" si="21"/>
        <v>53</v>
      </c>
      <c r="BO27">
        <f t="shared" ref="BO27:CI27" si="22">BO5</f>
        <v>54</v>
      </c>
      <c r="BP27">
        <f t="shared" si="22"/>
        <v>55</v>
      </c>
      <c r="BQ27">
        <f t="shared" si="22"/>
        <v>56</v>
      </c>
      <c r="BR27">
        <f t="shared" si="22"/>
        <v>57</v>
      </c>
      <c r="BS27">
        <f t="shared" si="22"/>
        <v>58</v>
      </c>
      <c r="BT27">
        <f t="shared" si="22"/>
        <v>59</v>
      </c>
      <c r="BU27">
        <f t="shared" si="22"/>
        <v>60</v>
      </c>
      <c r="BV27">
        <f t="shared" si="22"/>
        <v>61</v>
      </c>
      <c r="BW27">
        <f t="shared" si="22"/>
        <v>62</v>
      </c>
      <c r="BX27">
        <f t="shared" si="22"/>
        <v>63</v>
      </c>
      <c r="BY27">
        <f t="shared" si="22"/>
        <v>64</v>
      </c>
      <c r="BZ27">
        <f t="shared" si="22"/>
        <v>65</v>
      </c>
      <c r="CA27">
        <f t="shared" si="22"/>
        <v>66</v>
      </c>
      <c r="CB27">
        <f t="shared" si="22"/>
        <v>67</v>
      </c>
      <c r="CC27">
        <f t="shared" si="22"/>
        <v>68</v>
      </c>
      <c r="CD27">
        <f t="shared" si="22"/>
        <v>69</v>
      </c>
      <c r="CE27">
        <f t="shared" si="22"/>
        <v>70</v>
      </c>
      <c r="CF27">
        <f t="shared" si="22"/>
        <v>71</v>
      </c>
      <c r="CG27">
        <f t="shared" si="22"/>
        <v>72</v>
      </c>
      <c r="CH27">
        <f t="shared" si="22"/>
        <v>73</v>
      </c>
      <c r="CI27">
        <f t="shared" si="22"/>
        <v>74</v>
      </c>
      <c r="CJ27">
        <f t="shared" ref="CJ27:DH27" si="23">CJ5</f>
        <v>75</v>
      </c>
      <c r="CK27">
        <f t="shared" si="23"/>
        <v>76</v>
      </c>
      <c r="CL27">
        <f t="shared" si="23"/>
        <v>77</v>
      </c>
      <c r="CM27">
        <f t="shared" si="23"/>
        <v>78</v>
      </c>
      <c r="CN27">
        <f t="shared" si="23"/>
        <v>79</v>
      </c>
      <c r="CO27">
        <f t="shared" si="23"/>
        <v>80</v>
      </c>
      <c r="CP27">
        <f t="shared" si="23"/>
        <v>81</v>
      </c>
      <c r="CQ27">
        <f t="shared" si="23"/>
        <v>82</v>
      </c>
      <c r="CR27">
        <f t="shared" si="23"/>
        <v>83</v>
      </c>
      <c r="CS27">
        <f t="shared" si="23"/>
        <v>84</v>
      </c>
      <c r="CT27">
        <f t="shared" si="23"/>
        <v>85</v>
      </c>
      <c r="CU27">
        <f t="shared" si="23"/>
        <v>86</v>
      </c>
      <c r="CV27">
        <f t="shared" si="23"/>
        <v>87</v>
      </c>
      <c r="CW27">
        <f t="shared" si="23"/>
        <v>88</v>
      </c>
      <c r="CX27">
        <f t="shared" si="23"/>
        <v>89</v>
      </c>
      <c r="CY27">
        <f t="shared" si="23"/>
        <v>90</v>
      </c>
      <c r="CZ27">
        <f t="shared" si="23"/>
        <v>91</v>
      </c>
      <c r="DA27">
        <f t="shared" si="23"/>
        <v>92</v>
      </c>
      <c r="DB27">
        <f t="shared" si="23"/>
        <v>93</v>
      </c>
      <c r="DC27">
        <f t="shared" si="23"/>
        <v>94</v>
      </c>
      <c r="DD27">
        <f t="shared" si="23"/>
        <v>95</v>
      </c>
      <c r="DE27">
        <f t="shared" si="23"/>
        <v>96</v>
      </c>
      <c r="DF27">
        <f t="shared" si="23"/>
        <v>97</v>
      </c>
      <c r="DG27">
        <f t="shared" si="23"/>
        <v>98</v>
      </c>
      <c r="DH27" s="686">
        <f t="shared" si="23"/>
        <v>99</v>
      </c>
    </row>
    <row r="28" spans="1:172" x14ac:dyDescent="0.35">
      <c r="A28" s="685" t="b">
        <v>1</v>
      </c>
      <c r="B28" t="str">
        <f t="shared" ref="B28:B36" si="24">B6</f>
        <v>Jernbane - Persontog</v>
      </c>
      <c r="C28" t="e">
        <f t="shared" ref="C28:AH28" si="25">IF(C6="",NA(),IF($A28,C6,NA()))</f>
        <v>#N/A</v>
      </c>
      <c r="D28" t="e">
        <f t="shared" si="25"/>
        <v>#N/A</v>
      </c>
      <c r="E28" t="e">
        <f t="shared" si="25"/>
        <v>#N/A</v>
      </c>
      <c r="F28" t="e">
        <f t="shared" si="25"/>
        <v>#N/A</v>
      </c>
      <c r="G28" t="e">
        <f t="shared" si="25"/>
        <v>#N/A</v>
      </c>
      <c r="H28" t="e">
        <f t="shared" si="25"/>
        <v>#N/A</v>
      </c>
      <c r="I28" t="e">
        <f t="shared" si="25"/>
        <v>#N/A</v>
      </c>
      <c r="J28" t="e">
        <f t="shared" si="25"/>
        <v>#N/A</v>
      </c>
      <c r="K28" t="e">
        <f t="shared" si="25"/>
        <v>#N/A</v>
      </c>
      <c r="L28" t="e">
        <f t="shared" si="25"/>
        <v>#N/A</v>
      </c>
      <c r="M28" t="e">
        <f t="shared" ca="1" si="25"/>
        <v>#N/A</v>
      </c>
      <c r="N28" t="e">
        <f t="shared" ca="1" si="25"/>
        <v>#N/A</v>
      </c>
      <c r="O28" t="e">
        <f t="shared" ca="1" si="25"/>
        <v>#N/A</v>
      </c>
      <c r="P28" t="e">
        <f t="shared" ca="1" si="25"/>
        <v>#N/A</v>
      </c>
      <c r="Q28" t="e">
        <f t="shared" ca="1" si="25"/>
        <v>#N/A</v>
      </c>
      <c r="R28" t="e">
        <f t="shared" ca="1" si="25"/>
        <v>#N/A</v>
      </c>
      <c r="S28" t="e">
        <f t="shared" ca="1" si="25"/>
        <v>#N/A</v>
      </c>
      <c r="T28" t="e">
        <f t="shared" ca="1" si="25"/>
        <v>#N/A</v>
      </c>
      <c r="U28" t="e">
        <f t="shared" ca="1" si="25"/>
        <v>#N/A</v>
      </c>
      <c r="V28" t="e">
        <f t="shared" ca="1" si="25"/>
        <v>#N/A</v>
      </c>
      <c r="W28" t="e">
        <f t="shared" ca="1" si="25"/>
        <v>#N/A</v>
      </c>
      <c r="X28" t="e">
        <f t="shared" ca="1" si="25"/>
        <v>#N/A</v>
      </c>
      <c r="Y28" t="e">
        <f t="shared" ca="1" si="25"/>
        <v>#N/A</v>
      </c>
      <c r="Z28" t="e">
        <f t="shared" ca="1" si="25"/>
        <v>#N/A</v>
      </c>
      <c r="AA28" t="e">
        <f t="shared" ca="1" si="25"/>
        <v>#N/A</v>
      </c>
      <c r="AB28" t="e">
        <f t="shared" ca="1" si="25"/>
        <v>#N/A</v>
      </c>
      <c r="AC28" t="e">
        <f t="shared" ca="1" si="25"/>
        <v>#N/A</v>
      </c>
      <c r="AD28" t="e">
        <f t="shared" ca="1" si="25"/>
        <v>#N/A</v>
      </c>
      <c r="AE28" t="e">
        <f t="shared" ca="1" si="25"/>
        <v>#N/A</v>
      </c>
      <c r="AF28" t="e">
        <f t="shared" ca="1" si="25"/>
        <v>#N/A</v>
      </c>
      <c r="AG28" t="e">
        <f t="shared" ca="1" si="25"/>
        <v>#N/A</v>
      </c>
      <c r="AH28" t="e">
        <f t="shared" ca="1" si="25"/>
        <v>#N/A</v>
      </c>
      <c r="AI28" t="e">
        <f t="shared" ref="AI28:BN28" ca="1" si="26">IF(AI6="",NA(),IF($A28,AI6,NA()))</f>
        <v>#N/A</v>
      </c>
      <c r="AJ28" t="e">
        <f t="shared" ca="1" si="26"/>
        <v>#N/A</v>
      </c>
      <c r="AK28" t="e">
        <f t="shared" ca="1" si="26"/>
        <v>#N/A</v>
      </c>
      <c r="AL28" t="e">
        <f t="shared" ca="1" si="26"/>
        <v>#N/A</v>
      </c>
      <c r="AM28" t="e">
        <f t="shared" ca="1" si="26"/>
        <v>#N/A</v>
      </c>
      <c r="AN28" t="e">
        <f t="shared" ca="1" si="26"/>
        <v>#N/A</v>
      </c>
      <c r="AO28" t="e">
        <f t="shared" ca="1" si="26"/>
        <v>#N/A</v>
      </c>
      <c r="AP28" t="e">
        <f t="shared" ca="1" si="26"/>
        <v>#N/A</v>
      </c>
      <c r="AQ28" t="e">
        <f t="shared" ca="1" si="26"/>
        <v>#N/A</v>
      </c>
      <c r="AR28" t="e">
        <f t="shared" ca="1" si="26"/>
        <v>#N/A</v>
      </c>
      <c r="AS28" t="e">
        <f t="shared" ca="1" si="26"/>
        <v>#N/A</v>
      </c>
      <c r="AT28" t="e">
        <f t="shared" ca="1" si="26"/>
        <v>#N/A</v>
      </c>
      <c r="AU28" t="e">
        <f t="shared" ca="1" si="26"/>
        <v>#N/A</v>
      </c>
      <c r="AV28" t="e">
        <f t="shared" ca="1" si="26"/>
        <v>#N/A</v>
      </c>
      <c r="AW28" t="e">
        <f t="shared" ca="1" si="26"/>
        <v>#N/A</v>
      </c>
      <c r="AX28" t="e">
        <f t="shared" ca="1" si="26"/>
        <v>#N/A</v>
      </c>
      <c r="AY28" t="e">
        <f t="shared" ca="1" si="26"/>
        <v>#N/A</v>
      </c>
      <c r="AZ28" t="e">
        <f t="shared" ca="1" si="26"/>
        <v>#N/A</v>
      </c>
      <c r="BA28" t="e">
        <f t="shared" ca="1" si="26"/>
        <v>#N/A</v>
      </c>
      <c r="BB28" t="e">
        <f t="shared" ca="1" si="26"/>
        <v>#N/A</v>
      </c>
      <c r="BC28" t="e">
        <f t="shared" ca="1" si="26"/>
        <v>#N/A</v>
      </c>
      <c r="BD28" t="e">
        <f t="shared" ca="1" si="26"/>
        <v>#N/A</v>
      </c>
      <c r="BE28" t="e">
        <f t="shared" ca="1" si="26"/>
        <v>#N/A</v>
      </c>
      <c r="BF28" t="e">
        <f t="shared" ca="1" si="26"/>
        <v>#N/A</v>
      </c>
      <c r="BG28" t="e">
        <f t="shared" ca="1" si="26"/>
        <v>#N/A</v>
      </c>
      <c r="BH28" t="e">
        <f t="shared" ca="1" si="26"/>
        <v>#N/A</v>
      </c>
      <c r="BI28" t="e">
        <f t="shared" ca="1" si="26"/>
        <v>#N/A</v>
      </c>
      <c r="BJ28" t="e">
        <f t="shared" ca="1" si="26"/>
        <v>#N/A</v>
      </c>
      <c r="BK28" t="e">
        <f t="shared" ca="1" si="26"/>
        <v>#N/A</v>
      </c>
      <c r="BL28" t="e">
        <f t="shared" ca="1" si="26"/>
        <v>#N/A</v>
      </c>
      <c r="BM28" t="e">
        <f t="shared" ca="1" si="26"/>
        <v>#N/A</v>
      </c>
      <c r="BN28" t="e">
        <f t="shared" ca="1" si="26"/>
        <v>#N/A</v>
      </c>
      <c r="BO28" t="e">
        <f t="shared" ref="BO28:CI28" ca="1" si="27">IF(BO6="",NA(),IF($A28,BO6,NA()))</f>
        <v>#N/A</v>
      </c>
      <c r="BP28" t="e">
        <f t="shared" ca="1" si="27"/>
        <v>#N/A</v>
      </c>
      <c r="BQ28" t="e">
        <f t="shared" ca="1" si="27"/>
        <v>#N/A</v>
      </c>
      <c r="BR28" t="e">
        <f t="shared" ca="1" si="27"/>
        <v>#N/A</v>
      </c>
      <c r="BS28" t="e">
        <f t="shared" ca="1" si="27"/>
        <v>#N/A</v>
      </c>
      <c r="BT28" t="e">
        <f t="shared" ca="1" si="27"/>
        <v>#N/A</v>
      </c>
      <c r="BU28" t="e">
        <f t="shared" ca="1" si="27"/>
        <v>#N/A</v>
      </c>
      <c r="BV28" t="e">
        <f t="shared" ca="1" si="27"/>
        <v>#N/A</v>
      </c>
      <c r="BW28" t="e">
        <f t="shared" ca="1" si="27"/>
        <v>#N/A</v>
      </c>
      <c r="BX28" t="e">
        <f t="shared" ca="1" si="27"/>
        <v>#N/A</v>
      </c>
      <c r="BY28" t="e">
        <f t="shared" ca="1" si="27"/>
        <v>#N/A</v>
      </c>
      <c r="BZ28" t="e">
        <f t="shared" ca="1" si="27"/>
        <v>#N/A</v>
      </c>
      <c r="CA28" t="e">
        <f t="shared" ca="1" si="27"/>
        <v>#N/A</v>
      </c>
      <c r="CB28" t="e">
        <f t="shared" ca="1" si="27"/>
        <v>#N/A</v>
      </c>
      <c r="CC28" t="e">
        <f t="shared" ca="1" si="27"/>
        <v>#N/A</v>
      </c>
      <c r="CD28" t="e">
        <f t="shared" ca="1" si="27"/>
        <v>#N/A</v>
      </c>
      <c r="CE28" t="e">
        <f t="shared" ca="1" si="27"/>
        <v>#N/A</v>
      </c>
      <c r="CF28" t="e">
        <f t="shared" ca="1" si="27"/>
        <v>#N/A</v>
      </c>
      <c r="CG28" t="e">
        <f t="shared" ca="1" si="27"/>
        <v>#N/A</v>
      </c>
      <c r="CH28" t="e">
        <f t="shared" ca="1" si="27"/>
        <v>#N/A</v>
      </c>
      <c r="CI28" t="e">
        <f t="shared" ca="1" si="27"/>
        <v>#N/A</v>
      </c>
      <c r="CJ28" t="e">
        <f t="shared" ref="CJ28:DH28" ca="1" si="28">IF(CJ6="",NA(),IF($A28,CJ6,NA()))</f>
        <v>#N/A</v>
      </c>
      <c r="CK28" t="e">
        <f t="shared" ca="1" si="28"/>
        <v>#N/A</v>
      </c>
      <c r="CL28" t="e">
        <f t="shared" ca="1" si="28"/>
        <v>#N/A</v>
      </c>
      <c r="CM28" t="e">
        <f t="shared" ca="1" si="28"/>
        <v>#N/A</v>
      </c>
      <c r="CN28" t="e">
        <f t="shared" ca="1" si="28"/>
        <v>#N/A</v>
      </c>
      <c r="CO28" t="e">
        <f t="shared" ca="1" si="28"/>
        <v>#N/A</v>
      </c>
      <c r="CP28" t="e">
        <f t="shared" ca="1" si="28"/>
        <v>#N/A</v>
      </c>
      <c r="CQ28" t="e">
        <f t="shared" ca="1" si="28"/>
        <v>#N/A</v>
      </c>
      <c r="CR28" t="e">
        <f t="shared" ca="1" si="28"/>
        <v>#N/A</v>
      </c>
      <c r="CS28" t="e">
        <f t="shared" ca="1" si="28"/>
        <v>#N/A</v>
      </c>
      <c r="CT28" t="e">
        <f t="shared" ca="1" si="28"/>
        <v>#N/A</v>
      </c>
      <c r="CU28" t="e">
        <f t="shared" ca="1" si="28"/>
        <v>#N/A</v>
      </c>
      <c r="CV28" t="e">
        <f t="shared" ca="1" si="28"/>
        <v>#N/A</v>
      </c>
      <c r="CW28" t="e">
        <f t="shared" ca="1" si="28"/>
        <v>#N/A</v>
      </c>
      <c r="CX28" t="e">
        <f t="shared" ca="1" si="28"/>
        <v>#N/A</v>
      </c>
      <c r="CY28" t="e">
        <f t="shared" ca="1" si="28"/>
        <v>#N/A</v>
      </c>
      <c r="CZ28" t="e">
        <f t="shared" ca="1" si="28"/>
        <v>#N/A</v>
      </c>
      <c r="DA28" t="e">
        <f t="shared" ca="1" si="28"/>
        <v>#N/A</v>
      </c>
      <c r="DB28" t="e">
        <f t="shared" ca="1" si="28"/>
        <v>#N/A</v>
      </c>
      <c r="DC28" t="e">
        <f t="shared" ca="1" si="28"/>
        <v>#N/A</v>
      </c>
      <c r="DD28" t="e">
        <f t="shared" ca="1" si="28"/>
        <v>#N/A</v>
      </c>
      <c r="DE28" t="e">
        <f t="shared" ca="1" si="28"/>
        <v>#N/A</v>
      </c>
      <c r="DF28" t="e">
        <f t="shared" ca="1" si="28"/>
        <v>#N/A</v>
      </c>
      <c r="DG28" t="e">
        <f t="shared" ca="1" si="28"/>
        <v>#N/A</v>
      </c>
      <c r="DH28" s="686" t="e">
        <f t="shared" ca="1" si="28"/>
        <v>#N/A</v>
      </c>
    </row>
    <row r="29" spans="1:172" x14ac:dyDescent="0.35">
      <c r="A29" s="685" t="b">
        <v>1</v>
      </c>
      <c r="B29" t="str">
        <f t="shared" si="24"/>
        <v>Jernbane - Godstog</v>
      </c>
      <c r="C29" t="e">
        <f t="shared" ref="C29:AH29" si="29">IF(C7="",NA(),IF($A29,C7,NA()))</f>
        <v>#N/A</v>
      </c>
      <c r="D29" t="e">
        <f t="shared" si="29"/>
        <v>#N/A</v>
      </c>
      <c r="E29" t="e">
        <f t="shared" si="29"/>
        <v>#N/A</v>
      </c>
      <c r="F29" t="e">
        <f t="shared" si="29"/>
        <v>#N/A</v>
      </c>
      <c r="G29" t="e">
        <f t="shared" si="29"/>
        <v>#N/A</v>
      </c>
      <c r="H29" t="e">
        <f t="shared" si="29"/>
        <v>#N/A</v>
      </c>
      <c r="I29" t="e">
        <f t="shared" si="29"/>
        <v>#N/A</v>
      </c>
      <c r="J29" t="e">
        <f t="shared" si="29"/>
        <v>#N/A</v>
      </c>
      <c r="K29" t="e">
        <f t="shared" si="29"/>
        <v>#N/A</v>
      </c>
      <c r="L29" t="e">
        <f t="shared" si="29"/>
        <v>#N/A</v>
      </c>
      <c r="M29" t="e">
        <f t="shared" ca="1" si="29"/>
        <v>#N/A</v>
      </c>
      <c r="N29" t="e">
        <f t="shared" ca="1" si="29"/>
        <v>#N/A</v>
      </c>
      <c r="O29" t="e">
        <f t="shared" ca="1" si="29"/>
        <v>#N/A</v>
      </c>
      <c r="P29" t="e">
        <f t="shared" ca="1" si="29"/>
        <v>#N/A</v>
      </c>
      <c r="Q29" t="e">
        <f t="shared" ca="1" si="29"/>
        <v>#N/A</v>
      </c>
      <c r="R29" t="e">
        <f t="shared" ca="1" si="29"/>
        <v>#N/A</v>
      </c>
      <c r="S29" t="e">
        <f t="shared" ca="1" si="29"/>
        <v>#N/A</v>
      </c>
      <c r="T29" t="e">
        <f t="shared" ca="1" si="29"/>
        <v>#N/A</v>
      </c>
      <c r="U29" t="e">
        <f t="shared" ca="1" si="29"/>
        <v>#N/A</v>
      </c>
      <c r="V29" t="e">
        <f t="shared" ca="1" si="29"/>
        <v>#N/A</v>
      </c>
      <c r="W29" t="e">
        <f t="shared" ca="1" si="29"/>
        <v>#N/A</v>
      </c>
      <c r="X29" t="e">
        <f t="shared" ca="1" si="29"/>
        <v>#N/A</v>
      </c>
      <c r="Y29" t="e">
        <f t="shared" ca="1" si="29"/>
        <v>#N/A</v>
      </c>
      <c r="Z29" t="e">
        <f t="shared" ca="1" si="29"/>
        <v>#N/A</v>
      </c>
      <c r="AA29" t="e">
        <f t="shared" ca="1" si="29"/>
        <v>#N/A</v>
      </c>
      <c r="AB29" t="e">
        <f t="shared" ca="1" si="29"/>
        <v>#N/A</v>
      </c>
      <c r="AC29" t="e">
        <f t="shared" ca="1" si="29"/>
        <v>#N/A</v>
      </c>
      <c r="AD29" t="e">
        <f t="shared" ca="1" si="29"/>
        <v>#N/A</v>
      </c>
      <c r="AE29" t="e">
        <f t="shared" ca="1" si="29"/>
        <v>#N/A</v>
      </c>
      <c r="AF29" t="e">
        <f t="shared" ca="1" si="29"/>
        <v>#N/A</v>
      </c>
      <c r="AG29" t="e">
        <f t="shared" ca="1" si="29"/>
        <v>#N/A</v>
      </c>
      <c r="AH29" t="e">
        <f t="shared" ca="1" si="29"/>
        <v>#N/A</v>
      </c>
      <c r="AI29" t="e">
        <f t="shared" ref="AI29:BN29" ca="1" si="30">IF(AI7="",NA(),IF($A29,AI7,NA()))</f>
        <v>#N/A</v>
      </c>
      <c r="AJ29" t="e">
        <f t="shared" ca="1" si="30"/>
        <v>#N/A</v>
      </c>
      <c r="AK29" t="e">
        <f t="shared" ca="1" si="30"/>
        <v>#N/A</v>
      </c>
      <c r="AL29" t="e">
        <f t="shared" ca="1" si="30"/>
        <v>#N/A</v>
      </c>
      <c r="AM29" t="e">
        <f t="shared" ca="1" si="30"/>
        <v>#N/A</v>
      </c>
      <c r="AN29" t="e">
        <f t="shared" ca="1" si="30"/>
        <v>#N/A</v>
      </c>
      <c r="AO29" t="e">
        <f t="shared" ca="1" si="30"/>
        <v>#N/A</v>
      </c>
      <c r="AP29" t="e">
        <f t="shared" ca="1" si="30"/>
        <v>#N/A</v>
      </c>
      <c r="AQ29" t="e">
        <f t="shared" ca="1" si="30"/>
        <v>#N/A</v>
      </c>
      <c r="AR29" t="e">
        <f t="shared" ca="1" si="30"/>
        <v>#N/A</v>
      </c>
      <c r="AS29" t="e">
        <f t="shared" ca="1" si="30"/>
        <v>#N/A</v>
      </c>
      <c r="AT29" t="e">
        <f t="shared" ca="1" si="30"/>
        <v>#N/A</v>
      </c>
      <c r="AU29" t="e">
        <f t="shared" ca="1" si="30"/>
        <v>#N/A</v>
      </c>
      <c r="AV29" t="e">
        <f t="shared" ca="1" si="30"/>
        <v>#N/A</v>
      </c>
      <c r="AW29" t="e">
        <f t="shared" ca="1" si="30"/>
        <v>#N/A</v>
      </c>
      <c r="AX29" t="e">
        <f t="shared" ca="1" si="30"/>
        <v>#N/A</v>
      </c>
      <c r="AY29" t="e">
        <f t="shared" ca="1" si="30"/>
        <v>#N/A</v>
      </c>
      <c r="AZ29" t="e">
        <f t="shared" ca="1" si="30"/>
        <v>#N/A</v>
      </c>
      <c r="BA29" t="e">
        <f t="shared" ca="1" si="30"/>
        <v>#N/A</v>
      </c>
      <c r="BB29" t="e">
        <f t="shared" ca="1" si="30"/>
        <v>#N/A</v>
      </c>
      <c r="BC29" t="e">
        <f t="shared" ca="1" si="30"/>
        <v>#N/A</v>
      </c>
      <c r="BD29" t="e">
        <f t="shared" ca="1" si="30"/>
        <v>#N/A</v>
      </c>
      <c r="BE29" t="e">
        <f t="shared" ca="1" si="30"/>
        <v>#N/A</v>
      </c>
      <c r="BF29" t="e">
        <f t="shared" ca="1" si="30"/>
        <v>#N/A</v>
      </c>
      <c r="BG29" t="e">
        <f t="shared" ca="1" si="30"/>
        <v>#N/A</v>
      </c>
      <c r="BH29" t="e">
        <f t="shared" ca="1" si="30"/>
        <v>#N/A</v>
      </c>
      <c r="BI29" t="e">
        <f t="shared" ca="1" si="30"/>
        <v>#N/A</v>
      </c>
      <c r="BJ29" t="e">
        <f t="shared" ca="1" si="30"/>
        <v>#N/A</v>
      </c>
      <c r="BK29" t="e">
        <f t="shared" ca="1" si="30"/>
        <v>#N/A</v>
      </c>
      <c r="BL29" t="e">
        <f t="shared" ca="1" si="30"/>
        <v>#N/A</v>
      </c>
      <c r="BM29" t="e">
        <f t="shared" ca="1" si="30"/>
        <v>#N/A</v>
      </c>
      <c r="BN29" t="e">
        <f t="shared" ca="1" si="30"/>
        <v>#N/A</v>
      </c>
      <c r="BO29" t="e">
        <f t="shared" ref="BO29:CI29" ca="1" si="31">IF(BO7="",NA(),IF($A29,BO7,NA()))</f>
        <v>#N/A</v>
      </c>
      <c r="BP29" t="e">
        <f t="shared" ca="1" si="31"/>
        <v>#N/A</v>
      </c>
      <c r="BQ29" t="e">
        <f t="shared" ca="1" si="31"/>
        <v>#N/A</v>
      </c>
      <c r="BR29" t="e">
        <f t="shared" ca="1" si="31"/>
        <v>#N/A</v>
      </c>
      <c r="BS29" t="e">
        <f t="shared" ca="1" si="31"/>
        <v>#N/A</v>
      </c>
      <c r="BT29" t="e">
        <f t="shared" ca="1" si="31"/>
        <v>#N/A</v>
      </c>
      <c r="BU29" t="e">
        <f t="shared" ca="1" si="31"/>
        <v>#N/A</v>
      </c>
      <c r="BV29" t="e">
        <f t="shared" ca="1" si="31"/>
        <v>#N/A</v>
      </c>
      <c r="BW29" t="e">
        <f t="shared" ca="1" si="31"/>
        <v>#N/A</v>
      </c>
      <c r="BX29" t="e">
        <f t="shared" ca="1" si="31"/>
        <v>#N/A</v>
      </c>
      <c r="BY29" t="e">
        <f t="shared" ca="1" si="31"/>
        <v>#N/A</v>
      </c>
      <c r="BZ29" t="e">
        <f t="shared" ca="1" si="31"/>
        <v>#N/A</v>
      </c>
      <c r="CA29" t="e">
        <f t="shared" ca="1" si="31"/>
        <v>#N/A</v>
      </c>
      <c r="CB29" t="e">
        <f t="shared" ca="1" si="31"/>
        <v>#N/A</v>
      </c>
      <c r="CC29" t="e">
        <f t="shared" ca="1" si="31"/>
        <v>#N/A</v>
      </c>
      <c r="CD29" t="e">
        <f t="shared" ca="1" si="31"/>
        <v>#N/A</v>
      </c>
      <c r="CE29" t="e">
        <f t="shared" ca="1" si="31"/>
        <v>#N/A</v>
      </c>
      <c r="CF29" t="e">
        <f t="shared" ca="1" si="31"/>
        <v>#N/A</v>
      </c>
      <c r="CG29" t="e">
        <f t="shared" ca="1" si="31"/>
        <v>#N/A</v>
      </c>
      <c r="CH29" t="e">
        <f t="shared" ca="1" si="31"/>
        <v>#N/A</v>
      </c>
      <c r="CI29" t="e">
        <f t="shared" ca="1" si="31"/>
        <v>#N/A</v>
      </c>
      <c r="CJ29" t="e">
        <f t="shared" ref="CJ29:DH29" ca="1" si="32">IF(CJ7="",NA(),IF($A29,CJ7,NA()))</f>
        <v>#N/A</v>
      </c>
      <c r="CK29" t="e">
        <f t="shared" ca="1" si="32"/>
        <v>#N/A</v>
      </c>
      <c r="CL29" t="e">
        <f t="shared" ca="1" si="32"/>
        <v>#N/A</v>
      </c>
      <c r="CM29" t="e">
        <f t="shared" ca="1" si="32"/>
        <v>#N/A</v>
      </c>
      <c r="CN29" t="e">
        <f t="shared" ca="1" si="32"/>
        <v>#N/A</v>
      </c>
      <c r="CO29" t="e">
        <f t="shared" ca="1" si="32"/>
        <v>#N/A</v>
      </c>
      <c r="CP29" t="e">
        <f t="shared" ca="1" si="32"/>
        <v>#N/A</v>
      </c>
      <c r="CQ29" t="e">
        <f t="shared" ca="1" si="32"/>
        <v>#N/A</v>
      </c>
      <c r="CR29" t="e">
        <f t="shared" ca="1" si="32"/>
        <v>#N/A</v>
      </c>
      <c r="CS29" t="e">
        <f t="shared" ca="1" si="32"/>
        <v>#N/A</v>
      </c>
      <c r="CT29" t="e">
        <f t="shared" ca="1" si="32"/>
        <v>#N/A</v>
      </c>
      <c r="CU29" t="e">
        <f t="shared" ca="1" si="32"/>
        <v>#N/A</v>
      </c>
      <c r="CV29" t="e">
        <f t="shared" ca="1" si="32"/>
        <v>#N/A</v>
      </c>
      <c r="CW29" t="e">
        <f t="shared" ca="1" si="32"/>
        <v>#N/A</v>
      </c>
      <c r="CX29" t="e">
        <f t="shared" ca="1" si="32"/>
        <v>#N/A</v>
      </c>
      <c r="CY29" t="e">
        <f t="shared" ca="1" si="32"/>
        <v>#N/A</v>
      </c>
      <c r="CZ29" t="e">
        <f t="shared" ca="1" si="32"/>
        <v>#N/A</v>
      </c>
      <c r="DA29" t="e">
        <f t="shared" ca="1" si="32"/>
        <v>#N/A</v>
      </c>
      <c r="DB29" t="e">
        <f t="shared" ca="1" si="32"/>
        <v>#N/A</v>
      </c>
      <c r="DC29" t="e">
        <f t="shared" ca="1" si="32"/>
        <v>#N/A</v>
      </c>
      <c r="DD29" t="e">
        <f t="shared" ca="1" si="32"/>
        <v>#N/A</v>
      </c>
      <c r="DE29" t="e">
        <f t="shared" ca="1" si="32"/>
        <v>#N/A</v>
      </c>
      <c r="DF29" t="e">
        <f t="shared" ca="1" si="32"/>
        <v>#N/A</v>
      </c>
      <c r="DG29" t="e">
        <f t="shared" ca="1" si="32"/>
        <v>#N/A</v>
      </c>
      <c r="DH29" s="686" t="e">
        <f t="shared" ca="1" si="32"/>
        <v>#N/A</v>
      </c>
    </row>
    <row r="30" spans="1:172" x14ac:dyDescent="0.35">
      <c r="A30" s="685" t="b">
        <v>1</v>
      </c>
      <c r="B30" t="str">
        <f t="shared" si="24"/>
        <v>Personbil</v>
      </c>
      <c r="C30" t="e">
        <f t="shared" ref="C30:AH30" si="33">IF(C8="",NA(),IF($A30,C8,NA()))</f>
        <v>#N/A</v>
      </c>
      <c r="D30" t="e">
        <f t="shared" si="33"/>
        <v>#N/A</v>
      </c>
      <c r="E30" t="e">
        <f t="shared" si="33"/>
        <v>#N/A</v>
      </c>
      <c r="F30" t="e">
        <f t="shared" si="33"/>
        <v>#N/A</v>
      </c>
      <c r="G30" t="e">
        <f t="shared" si="33"/>
        <v>#N/A</v>
      </c>
      <c r="H30" t="e">
        <f t="shared" si="33"/>
        <v>#N/A</v>
      </c>
      <c r="I30" t="e">
        <f t="shared" si="33"/>
        <v>#N/A</v>
      </c>
      <c r="J30" t="e">
        <f t="shared" si="33"/>
        <v>#N/A</v>
      </c>
      <c r="K30" t="e">
        <f t="shared" si="33"/>
        <v>#N/A</v>
      </c>
      <c r="L30" t="e">
        <f t="shared" si="33"/>
        <v>#N/A</v>
      </c>
      <c r="M30" t="e">
        <f t="shared" ca="1" si="33"/>
        <v>#N/A</v>
      </c>
      <c r="N30" t="e">
        <f t="shared" ca="1" si="33"/>
        <v>#N/A</v>
      </c>
      <c r="O30" t="e">
        <f t="shared" ca="1" si="33"/>
        <v>#N/A</v>
      </c>
      <c r="P30" t="e">
        <f t="shared" ca="1" si="33"/>
        <v>#N/A</v>
      </c>
      <c r="Q30" t="e">
        <f t="shared" ca="1" si="33"/>
        <v>#N/A</v>
      </c>
      <c r="R30" t="e">
        <f t="shared" ca="1" si="33"/>
        <v>#N/A</v>
      </c>
      <c r="S30" t="e">
        <f t="shared" ca="1" si="33"/>
        <v>#N/A</v>
      </c>
      <c r="T30" t="e">
        <f t="shared" ca="1" si="33"/>
        <v>#N/A</v>
      </c>
      <c r="U30" t="e">
        <f t="shared" ca="1" si="33"/>
        <v>#N/A</v>
      </c>
      <c r="V30" t="e">
        <f t="shared" ca="1" si="33"/>
        <v>#N/A</v>
      </c>
      <c r="W30" t="e">
        <f t="shared" ca="1" si="33"/>
        <v>#N/A</v>
      </c>
      <c r="X30" t="e">
        <f t="shared" ca="1" si="33"/>
        <v>#N/A</v>
      </c>
      <c r="Y30" t="e">
        <f t="shared" ca="1" si="33"/>
        <v>#N/A</v>
      </c>
      <c r="Z30" t="e">
        <f t="shared" ca="1" si="33"/>
        <v>#N/A</v>
      </c>
      <c r="AA30" t="e">
        <f t="shared" ca="1" si="33"/>
        <v>#N/A</v>
      </c>
      <c r="AB30" t="e">
        <f t="shared" ca="1" si="33"/>
        <v>#N/A</v>
      </c>
      <c r="AC30" t="e">
        <f t="shared" ca="1" si="33"/>
        <v>#N/A</v>
      </c>
      <c r="AD30" t="e">
        <f t="shared" ca="1" si="33"/>
        <v>#N/A</v>
      </c>
      <c r="AE30" t="e">
        <f t="shared" ca="1" si="33"/>
        <v>#N/A</v>
      </c>
      <c r="AF30" t="e">
        <f t="shared" ca="1" si="33"/>
        <v>#N/A</v>
      </c>
      <c r="AG30" t="e">
        <f t="shared" ca="1" si="33"/>
        <v>#N/A</v>
      </c>
      <c r="AH30" t="e">
        <f t="shared" ca="1" si="33"/>
        <v>#N/A</v>
      </c>
      <c r="AI30" t="e">
        <f t="shared" ref="AI30:BN30" ca="1" si="34">IF(AI8="",NA(),IF($A30,AI8,NA()))</f>
        <v>#N/A</v>
      </c>
      <c r="AJ30" t="e">
        <f t="shared" ca="1" si="34"/>
        <v>#N/A</v>
      </c>
      <c r="AK30" t="e">
        <f t="shared" ca="1" si="34"/>
        <v>#N/A</v>
      </c>
      <c r="AL30" t="e">
        <f t="shared" ca="1" si="34"/>
        <v>#N/A</v>
      </c>
      <c r="AM30" t="e">
        <f t="shared" ca="1" si="34"/>
        <v>#N/A</v>
      </c>
      <c r="AN30" t="e">
        <f t="shared" ca="1" si="34"/>
        <v>#N/A</v>
      </c>
      <c r="AO30" t="e">
        <f t="shared" ca="1" si="34"/>
        <v>#N/A</v>
      </c>
      <c r="AP30" t="e">
        <f t="shared" ca="1" si="34"/>
        <v>#N/A</v>
      </c>
      <c r="AQ30" t="e">
        <f t="shared" ca="1" si="34"/>
        <v>#N/A</v>
      </c>
      <c r="AR30" t="e">
        <f t="shared" ca="1" si="34"/>
        <v>#N/A</v>
      </c>
      <c r="AS30" t="e">
        <f t="shared" ca="1" si="34"/>
        <v>#N/A</v>
      </c>
      <c r="AT30" t="e">
        <f t="shared" ca="1" si="34"/>
        <v>#N/A</v>
      </c>
      <c r="AU30" t="e">
        <f t="shared" ca="1" si="34"/>
        <v>#N/A</v>
      </c>
      <c r="AV30" t="e">
        <f t="shared" ca="1" si="34"/>
        <v>#N/A</v>
      </c>
      <c r="AW30" t="e">
        <f t="shared" ca="1" si="34"/>
        <v>#N/A</v>
      </c>
      <c r="AX30" t="e">
        <f t="shared" ca="1" si="34"/>
        <v>#N/A</v>
      </c>
      <c r="AY30" t="e">
        <f t="shared" ca="1" si="34"/>
        <v>#N/A</v>
      </c>
      <c r="AZ30" t="e">
        <f t="shared" ca="1" si="34"/>
        <v>#N/A</v>
      </c>
      <c r="BA30" t="e">
        <f t="shared" ca="1" si="34"/>
        <v>#N/A</v>
      </c>
      <c r="BB30" t="e">
        <f t="shared" ca="1" si="34"/>
        <v>#N/A</v>
      </c>
      <c r="BC30" t="e">
        <f t="shared" ca="1" si="34"/>
        <v>#N/A</v>
      </c>
      <c r="BD30" t="e">
        <f t="shared" ca="1" si="34"/>
        <v>#N/A</v>
      </c>
      <c r="BE30" t="e">
        <f t="shared" ca="1" si="34"/>
        <v>#N/A</v>
      </c>
      <c r="BF30" t="e">
        <f t="shared" ca="1" si="34"/>
        <v>#N/A</v>
      </c>
      <c r="BG30" t="e">
        <f t="shared" ca="1" si="34"/>
        <v>#N/A</v>
      </c>
      <c r="BH30" t="e">
        <f t="shared" ca="1" si="34"/>
        <v>#N/A</v>
      </c>
      <c r="BI30" t="e">
        <f t="shared" ca="1" si="34"/>
        <v>#N/A</v>
      </c>
      <c r="BJ30" t="e">
        <f t="shared" ca="1" si="34"/>
        <v>#N/A</v>
      </c>
      <c r="BK30" t="e">
        <f t="shared" ca="1" si="34"/>
        <v>#N/A</v>
      </c>
      <c r="BL30" t="e">
        <f t="shared" ca="1" si="34"/>
        <v>#N/A</v>
      </c>
      <c r="BM30" t="e">
        <f t="shared" ca="1" si="34"/>
        <v>#N/A</v>
      </c>
      <c r="BN30" t="e">
        <f t="shared" ca="1" si="34"/>
        <v>#N/A</v>
      </c>
      <c r="BO30" t="e">
        <f t="shared" ref="BO30:CI30" ca="1" si="35">IF(BO8="",NA(),IF($A30,BO8,NA()))</f>
        <v>#N/A</v>
      </c>
      <c r="BP30" t="e">
        <f t="shared" ca="1" si="35"/>
        <v>#N/A</v>
      </c>
      <c r="BQ30" t="e">
        <f t="shared" ca="1" si="35"/>
        <v>#N/A</v>
      </c>
      <c r="BR30" t="e">
        <f t="shared" ca="1" si="35"/>
        <v>#N/A</v>
      </c>
      <c r="BS30" t="e">
        <f t="shared" ca="1" si="35"/>
        <v>#N/A</v>
      </c>
      <c r="BT30" t="e">
        <f t="shared" ca="1" si="35"/>
        <v>#N/A</v>
      </c>
      <c r="BU30" t="e">
        <f t="shared" ca="1" si="35"/>
        <v>#N/A</v>
      </c>
      <c r="BV30" t="e">
        <f t="shared" ca="1" si="35"/>
        <v>#N/A</v>
      </c>
      <c r="BW30" t="e">
        <f t="shared" ca="1" si="35"/>
        <v>#N/A</v>
      </c>
      <c r="BX30" t="e">
        <f t="shared" ca="1" si="35"/>
        <v>#N/A</v>
      </c>
      <c r="BY30" t="e">
        <f t="shared" ca="1" si="35"/>
        <v>#N/A</v>
      </c>
      <c r="BZ30" t="e">
        <f t="shared" ca="1" si="35"/>
        <v>#N/A</v>
      </c>
      <c r="CA30" t="e">
        <f t="shared" ca="1" si="35"/>
        <v>#N/A</v>
      </c>
      <c r="CB30" t="e">
        <f t="shared" ca="1" si="35"/>
        <v>#N/A</v>
      </c>
      <c r="CC30" t="e">
        <f t="shared" ca="1" si="35"/>
        <v>#N/A</v>
      </c>
      <c r="CD30" t="e">
        <f t="shared" ca="1" si="35"/>
        <v>#N/A</v>
      </c>
      <c r="CE30" t="e">
        <f t="shared" ca="1" si="35"/>
        <v>#N/A</v>
      </c>
      <c r="CF30" t="e">
        <f t="shared" ca="1" si="35"/>
        <v>#N/A</v>
      </c>
      <c r="CG30" t="e">
        <f t="shared" ca="1" si="35"/>
        <v>#N/A</v>
      </c>
      <c r="CH30" t="e">
        <f t="shared" ca="1" si="35"/>
        <v>#N/A</v>
      </c>
      <c r="CI30" t="e">
        <f t="shared" ca="1" si="35"/>
        <v>#N/A</v>
      </c>
      <c r="CJ30" t="e">
        <f t="shared" ref="CJ30:DH30" ca="1" si="36">IF(CJ8="",NA(),IF($A30,CJ8,NA()))</f>
        <v>#N/A</v>
      </c>
      <c r="CK30" t="e">
        <f t="shared" ca="1" si="36"/>
        <v>#N/A</v>
      </c>
      <c r="CL30" t="e">
        <f t="shared" ca="1" si="36"/>
        <v>#N/A</v>
      </c>
      <c r="CM30" t="e">
        <f t="shared" ca="1" si="36"/>
        <v>#N/A</v>
      </c>
      <c r="CN30" t="e">
        <f t="shared" ca="1" si="36"/>
        <v>#N/A</v>
      </c>
      <c r="CO30" t="e">
        <f t="shared" ca="1" si="36"/>
        <v>#N/A</v>
      </c>
      <c r="CP30" t="e">
        <f t="shared" ca="1" si="36"/>
        <v>#N/A</v>
      </c>
      <c r="CQ30" t="e">
        <f t="shared" ca="1" si="36"/>
        <v>#N/A</v>
      </c>
      <c r="CR30" t="e">
        <f t="shared" ca="1" si="36"/>
        <v>#N/A</v>
      </c>
      <c r="CS30" t="e">
        <f t="shared" ca="1" si="36"/>
        <v>#N/A</v>
      </c>
      <c r="CT30" t="e">
        <f t="shared" ca="1" si="36"/>
        <v>#N/A</v>
      </c>
      <c r="CU30" t="e">
        <f t="shared" ca="1" si="36"/>
        <v>#N/A</v>
      </c>
      <c r="CV30" t="e">
        <f t="shared" ca="1" si="36"/>
        <v>#N/A</v>
      </c>
      <c r="CW30" t="e">
        <f t="shared" ca="1" si="36"/>
        <v>#N/A</v>
      </c>
      <c r="CX30" t="e">
        <f t="shared" ca="1" si="36"/>
        <v>#N/A</v>
      </c>
      <c r="CY30" t="e">
        <f t="shared" ca="1" si="36"/>
        <v>#N/A</v>
      </c>
      <c r="CZ30" t="e">
        <f t="shared" ca="1" si="36"/>
        <v>#N/A</v>
      </c>
      <c r="DA30" t="e">
        <f t="shared" ca="1" si="36"/>
        <v>#N/A</v>
      </c>
      <c r="DB30" t="e">
        <f t="shared" ca="1" si="36"/>
        <v>#N/A</v>
      </c>
      <c r="DC30" t="e">
        <f t="shared" ca="1" si="36"/>
        <v>#N/A</v>
      </c>
      <c r="DD30" t="e">
        <f t="shared" ca="1" si="36"/>
        <v>#N/A</v>
      </c>
      <c r="DE30" t="e">
        <f t="shared" ca="1" si="36"/>
        <v>#N/A</v>
      </c>
      <c r="DF30" t="e">
        <f t="shared" ca="1" si="36"/>
        <v>#N/A</v>
      </c>
      <c r="DG30" t="e">
        <f t="shared" ca="1" si="36"/>
        <v>#N/A</v>
      </c>
      <c r="DH30" s="686" t="e">
        <f t="shared" ca="1" si="36"/>
        <v>#N/A</v>
      </c>
    </row>
    <row r="31" spans="1:172" x14ac:dyDescent="0.35">
      <c r="A31" s="685" t="b">
        <v>1</v>
      </c>
      <c r="B31" t="str">
        <f t="shared" si="24"/>
        <v>Buss</v>
      </c>
      <c r="C31" t="e">
        <f t="shared" ref="C31:AH31" si="37">IF(C9="",NA(),IF($A31,C9,NA()))</f>
        <v>#N/A</v>
      </c>
      <c r="D31" t="e">
        <f t="shared" si="37"/>
        <v>#N/A</v>
      </c>
      <c r="E31" t="e">
        <f t="shared" si="37"/>
        <v>#N/A</v>
      </c>
      <c r="F31" t="e">
        <f t="shared" si="37"/>
        <v>#N/A</v>
      </c>
      <c r="G31" t="e">
        <f t="shared" si="37"/>
        <v>#N/A</v>
      </c>
      <c r="H31" t="e">
        <f t="shared" si="37"/>
        <v>#N/A</v>
      </c>
      <c r="I31" t="e">
        <f t="shared" si="37"/>
        <v>#N/A</v>
      </c>
      <c r="J31" t="e">
        <f t="shared" si="37"/>
        <v>#N/A</v>
      </c>
      <c r="K31" t="e">
        <f t="shared" si="37"/>
        <v>#N/A</v>
      </c>
      <c r="L31" t="e">
        <f t="shared" si="37"/>
        <v>#N/A</v>
      </c>
      <c r="M31" t="e">
        <f t="shared" ca="1" si="37"/>
        <v>#N/A</v>
      </c>
      <c r="N31" t="e">
        <f t="shared" ca="1" si="37"/>
        <v>#N/A</v>
      </c>
      <c r="O31" t="e">
        <f t="shared" ca="1" si="37"/>
        <v>#N/A</v>
      </c>
      <c r="P31" t="e">
        <f t="shared" ca="1" si="37"/>
        <v>#N/A</v>
      </c>
      <c r="Q31" t="e">
        <f t="shared" ca="1" si="37"/>
        <v>#N/A</v>
      </c>
      <c r="R31" t="e">
        <f t="shared" ca="1" si="37"/>
        <v>#N/A</v>
      </c>
      <c r="S31" t="e">
        <f t="shared" ca="1" si="37"/>
        <v>#N/A</v>
      </c>
      <c r="T31" t="e">
        <f t="shared" ca="1" si="37"/>
        <v>#N/A</v>
      </c>
      <c r="U31" t="e">
        <f t="shared" ca="1" si="37"/>
        <v>#N/A</v>
      </c>
      <c r="V31" t="e">
        <f t="shared" ca="1" si="37"/>
        <v>#N/A</v>
      </c>
      <c r="W31" t="e">
        <f t="shared" ca="1" si="37"/>
        <v>#N/A</v>
      </c>
      <c r="X31" t="e">
        <f t="shared" ca="1" si="37"/>
        <v>#N/A</v>
      </c>
      <c r="Y31" t="e">
        <f t="shared" ca="1" si="37"/>
        <v>#N/A</v>
      </c>
      <c r="Z31" t="e">
        <f t="shared" ca="1" si="37"/>
        <v>#N/A</v>
      </c>
      <c r="AA31" t="e">
        <f t="shared" ca="1" si="37"/>
        <v>#N/A</v>
      </c>
      <c r="AB31" t="e">
        <f t="shared" ca="1" si="37"/>
        <v>#N/A</v>
      </c>
      <c r="AC31" t="e">
        <f t="shared" ca="1" si="37"/>
        <v>#N/A</v>
      </c>
      <c r="AD31" t="e">
        <f t="shared" ca="1" si="37"/>
        <v>#N/A</v>
      </c>
      <c r="AE31" t="e">
        <f t="shared" ca="1" si="37"/>
        <v>#N/A</v>
      </c>
      <c r="AF31" t="e">
        <f t="shared" ca="1" si="37"/>
        <v>#N/A</v>
      </c>
      <c r="AG31" t="e">
        <f t="shared" ca="1" si="37"/>
        <v>#N/A</v>
      </c>
      <c r="AH31" t="e">
        <f t="shared" ca="1" si="37"/>
        <v>#N/A</v>
      </c>
      <c r="AI31" t="e">
        <f t="shared" ref="AI31:BN31" ca="1" si="38">IF(AI9="",NA(),IF($A31,AI9,NA()))</f>
        <v>#N/A</v>
      </c>
      <c r="AJ31" t="e">
        <f t="shared" ca="1" si="38"/>
        <v>#N/A</v>
      </c>
      <c r="AK31" t="e">
        <f t="shared" ca="1" si="38"/>
        <v>#N/A</v>
      </c>
      <c r="AL31" t="e">
        <f t="shared" ca="1" si="38"/>
        <v>#N/A</v>
      </c>
      <c r="AM31" t="e">
        <f t="shared" ca="1" si="38"/>
        <v>#N/A</v>
      </c>
      <c r="AN31" t="e">
        <f t="shared" ca="1" si="38"/>
        <v>#N/A</v>
      </c>
      <c r="AO31" t="e">
        <f t="shared" ca="1" si="38"/>
        <v>#N/A</v>
      </c>
      <c r="AP31" t="e">
        <f t="shared" ca="1" si="38"/>
        <v>#N/A</v>
      </c>
      <c r="AQ31" t="e">
        <f t="shared" ca="1" si="38"/>
        <v>#N/A</v>
      </c>
      <c r="AR31" t="e">
        <f t="shared" ca="1" si="38"/>
        <v>#N/A</v>
      </c>
      <c r="AS31" t="e">
        <f t="shared" ca="1" si="38"/>
        <v>#N/A</v>
      </c>
      <c r="AT31" t="e">
        <f t="shared" ca="1" si="38"/>
        <v>#N/A</v>
      </c>
      <c r="AU31" t="e">
        <f t="shared" ca="1" si="38"/>
        <v>#N/A</v>
      </c>
      <c r="AV31" t="e">
        <f t="shared" ca="1" si="38"/>
        <v>#N/A</v>
      </c>
      <c r="AW31" t="e">
        <f t="shared" ca="1" si="38"/>
        <v>#N/A</v>
      </c>
      <c r="AX31" t="e">
        <f t="shared" ca="1" si="38"/>
        <v>#N/A</v>
      </c>
      <c r="AY31" t="e">
        <f t="shared" ca="1" si="38"/>
        <v>#N/A</v>
      </c>
      <c r="AZ31" t="e">
        <f t="shared" ca="1" si="38"/>
        <v>#N/A</v>
      </c>
      <c r="BA31" t="e">
        <f t="shared" ca="1" si="38"/>
        <v>#N/A</v>
      </c>
      <c r="BB31" t="e">
        <f t="shared" ca="1" si="38"/>
        <v>#N/A</v>
      </c>
      <c r="BC31" t="e">
        <f t="shared" ca="1" si="38"/>
        <v>#N/A</v>
      </c>
      <c r="BD31" t="e">
        <f t="shared" ca="1" si="38"/>
        <v>#N/A</v>
      </c>
      <c r="BE31" t="e">
        <f t="shared" ca="1" si="38"/>
        <v>#N/A</v>
      </c>
      <c r="BF31" t="e">
        <f t="shared" ca="1" si="38"/>
        <v>#N/A</v>
      </c>
      <c r="BG31" t="e">
        <f t="shared" ca="1" si="38"/>
        <v>#N/A</v>
      </c>
      <c r="BH31" t="e">
        <f t="shared" ca="1" si="38"/>
        <v>#N/A</v>
      </c>
      <c r="BI31" t="e">
        <f t="shared" ca="1" si="38"/>
        <v>#N/A</v>
      </c>
      <c r="BJ31" t="e">
        <f t="shared" ca="1" si="38"/>
        <v>#N/A</v>
      </c>
      <c r="BK31" t="e">
        <f t="shared" ca="1" si="38"/>
        <v>#N/A</v>
      </c>
      <c r="BL31" t="e">
        <f t="shared" ca="1" si="38"/>
        <v>#N/A</v>
      </c>
      <c r="BM31" t="e">
        <f t="shared" ca="1" si="38"/>
        <v>#N/A</v>
      </c>
      <c r="BN31" t="e">
        <f t="shared" ca="1" si="38"/>
        <v>#N/A</v>
      </c>
      <c r="BO31" t="e">
        <f t="shared" ref="BO31:CI31" ca="1" si="39">IF(BO9="",NA(),IF($A31,BO9,NA()))</f>
        <v>#N/A</v>
      </c>
      <c r="BP31" t="e">
        <f t="shared" ca="1" si="39"/>
        <v>#N/A</v>
      </c>
      <c r="BQ31" t="e">
        <f t="shared" ca="1" si="39"/>
        <v>#N/A</v>
      </c>
      <c r="BR31" t="e">
        <f t="shared" ca="1" si="39"/>
        <v>#N/A</v>
      </c>
      <c r="BS31" t="e">
        <f t="shared" ca="1" si="39"/>
        <v>#N/A</v>
      </c>
      <c r="BT31" t="e">
        <f t="shared" ca="1" si="39"/>
        <v>#N/A</v>
      </c>
      <c r="BU31" t="e">
        <f t="shared" ca="1" si="39"/>
        <v>#N/A</v>
      </c>
      <c r="BV31" t="e">
        <f t="shared" ca="1" si="39"/>
        <v>#N/A</v>
      </c>
      <c r="BW31" t="e">
        <f t="shared" ca="1" si="39"/>
        <v>#N/A</v>
      </c>
      <c r="BX31" t="e">
        <f t="shared" ca="1" si="39"/>
        <v>#N/A</v>
      </c>
      <c r="BY31" t="e">
        <f t="shared" ca="1" si="39"/>
        <v>#N/A</v>
      </c>
      <c r="BZ31" t="e">
        <f t="shared" ca="1" si="39"/>
        <v>#N/A</v>
      </c>
      <c r="CA31" t="e">
        <f t="shared" ca="1" si="39"/>
        <v>#N/A</v>
      </c>
      <c r="CB31" t="e">
        <f t="shared" ca="1" si="39"/>
        <v>#N/A</v>
      </c>
      <c r="CC31" t="e">
        <f t="shared" ca="1" si="39"/>
        <v>#N/A</v>
      </c>
      <c r="CD31" t="e">
        <f t="shared" ca="1" si="39"/>
        <v>#N/A</v>
      </c>
      <c r="CE31" t="e">
        <f t="shared" ca="1" si="39"/>
        <v>#N/A</v>
      </c>
      <c r="CF31" t="e">
        <f t="shared" ca="1" si="39"/>
        <v>#N/A</v>
      </c>
      <c r="CG31" t="e">
        <f t="shared" ca="1" si="39"/>
        <v>#N/A</v>
      </c>
      <c r="CH31" t="e">
        <f t="shared" ca="1" si="39"/>
        <v>#N/A</v>
      </c>
      <c r="CI31" t="e">
        <f t="shared" ca="1" si="39"/>
        <v>#N/A</v>
      </c>
      <c r="CJ31" t="e">
        <f t="shared" ref="CJ31:DH31" ca="1" si="40">IF(CJ9="",NA(),IF($A31,CJ9,NA()))</f>
        <v>#N/A</v>
      </c>
      <c r="CK31" t="e">
        <f t="shared" ca="1" si="40"/>
        <v>#N/A</v>
      </c>
      <c r="CL31" t="e">
        <f t="shared" ca="1" si="40"/>
        <v>#N/A</v>
      </c>
      <c r="CM31" t="e">
        <f t="shared" ca="1" si="40"/>
        <v>#N/A</v>
      </c>
      <c r="CN31" t="e">
        <f t="shared" ca="1" si="40"/>
        <v>#N/A</v>
      </c>
      <c r="CO31" t="e">
        <f t="shared" ca="1" si="40"/>
        <v>#N/A</v>
      </c>
      <c r="CP31" t="e">
        <f t="shared" ca="1" si="40"/>
        <v>#N/A</v>
      </c>
      <c r="CQ31" t="e">
        <f t="shared" ca="1" si="40"/>
        <v>#N/A</v>
      </c>
      <c r="CR31" t="e">
        <f t="shared" ca="1" si="40"/>
        <v>#N/A</v>
      </c>
      <c r="CS31" t="e">
        <f t="shared" ca="1" si="40"/>
        <v>#N/A</v>
      </c>
      <c r="CT31" t="e">
        <f t="shared" ca="1" si="40"/>
        <v>#N/A</v>
      </c>
      <c r="CU31" t="e">
        <f t="shared" ca="1" si="40"/>
        <v>#N/A</v>
      </c>
      <c r="CV31" t="e">
        <f t="shared" ca="1" si="40"/>
        <v>#N/A</v>
      </c>
      <c r="CW31" t="e">
        <f t="shared" ca="1" si="40"/>
        <v>#N/A</v>
      </c>
      <c r="CX31" t="e">
        <f t="shared" ca="1" si="40"/>
        <v>#N/A</v>
      </c>
      <c r="CY31" t="e">
        <f t="shared" ca="1" si="40"/>
        <v>#N/A</v>
      </c>
      <c r="CZ31" t="e">
        <f t="shared" ca="1" si="40"/>
        <v>#N/A</v>
      </c>
      <c r="DA31" t="e">
        <f t="shared" ca="1" si="40"/>
        <v>#N/A</v>
      </c>
      <c r="DB31" t="e">
        <f t="shared" ca="1" si="40"/>
        <v>#N/A</v>
      </c>
      <c r="DC31" t="e">
        <f t="shared" ca="1" si="40"/>
        <v>#N/A</v>
      </c>
      <c r="DD31" t="e">
        <f t="shared" ca="1" si="40"/>
        <v>#N/A</v>
      </c>
      <c r="DE31" t="e">
        <f t="shared" ca="1" si="40"/>
        <v>#N/A</v>
      </c>
      <c r="DF31" t="e">
        <f t="shared" ca="1" si="40"/>
        <v>#N/A</v>
      </c>
      <c r="DG31" t="e">
        <f t="shared" ca="1" si="40"/>
        <v>#N/A</v>
      </c>
      <c r="DH31" s="686" t="e">
        <f t="shared" ca="1" si="40"/>
        <v>#N/A</v>
      </c>
    </row>
    <row r="32" spans="1:172" x14ac:dyDescent="0.35">
      <c r="A32" s="685" t="b">
        <v>1</v>
      </c>
      <c r="B32" t="str">
        <f t="shared" si="24"/>
        <v>Passasjerfly</v>
      </c>
      <c r="C32" t="e">
        <f t="shared" ref="C32:AH32" si="41">IF(C10="",NA(),IF($A32,C10,NA()))</f>
        <v>#N/A</v>
      </c>
      <c r="D32" t="e">
        <f t="shared" si="41"/>
        <v>#N/A</v>
      </c>
      <c r="E32" t="e">
        <f t="shared" si="41"/>
        <v>#N/A</v>
      </c>
      <c r="F32" t="e">
        <f t="shared" si="41"/>
        <v>#N/A</v>
      </c>
      <c r="G32" t="e">
        <f t="shared" si="41"/>
        <v>#N/A</v>
      </c>
      <c r="H32" t="e">
        <f t="shared" si="41"/>
        <v>#N/A</v>
      </c>
      <c r="I32" t="e">
        <f t="shared" si="41"/>
        <v>#N/A</v>
      </c>
      <c r="J32" t="e">
        <f t="shared" si="41"/>
        <v>#N/A</v>
      </c>
      <c r="K32" t="e">
        <f t="shared" si="41"/>
        <v>#N/A</v>
      </c>
      <c r="L32" t="e">
        <f t="shared" si="41"/>
        <v>#N/A</v>
      </c>
      <c r="M32" t="e">
        <f t="shared" ca="1" si="41"/>
        <v>#N/A</v>
      </c>
      <c r="N32" t="e">
        <f t="shared" ca="1" si="41"/>
        <v>#N/A</v>
      </c>
      <c r="O32" t="e">
        <f t="shared" ca="1" si="41"/>
        <v>#N/A</v>
      </c>
      <c r="P32" t="e">
        <f t="shared" ca="1" si="41"/>
        <v>#N/A</v>
      </c>
      <c r="Q32" t="e">
        <f t="shared" ca="1" si="41"/>
        <v>#N/A</v>
      </c>
      <c r="R32" t="e">
        <f t="shared" ca="1" si="41"/>
        <v>#N/A</v>
      </c>
      <c r="S32" t="e">
        <f t="shared" ca="1" si="41"/>
        <v>#N/A</v>
      </c>
      <c r="T32" t="e">
        <f t="shared" ca="1" si="41"/>
        <v>#N/A</v>
      </c>
      <c r="U32" t="e">
        <f t="shared" ca="1" si="41"/>
        <v>#N/A</v>
      </c>
      <c r="V32" t="e">
        <f t="shared" ca="1" si="41"/>
        <v>#N/A</v>
      </c>
      <c r="W32" t="e">
        <f t="shared" ca="1" si="41"/>
        <v>#N/A</v>
      </c>
      <c r="X32" t="e">
        <f t="shared" ca="1" si="41"/>
        <v>#N/A</v>
      </c>
      <c r="Y32" t="e">
        <f t="shared" ca="1" si="41"/>
        <v>#N/A</v>
      </c>
      <c r="Z32" t="e">
        <f t="shared" ca="1" si="41"/>
        <v>#N/A</v>
      </c>
      <c r="AA32" t="e">
        <f t="shared" ca="1" si="41"/>
        <v>#N/A</v>
      </c>
      <c r="AB32" t="e">
        <f t="shared" ca="1" si="41"/>
        <v>#N/A</v>
      </c>
      <c r="AC32" t="e">
        <f t="shared" ca="1" si="41"/>
        <v>#N/A</v>
      </c>
      <c r="AD32" t="e">
        <f t="shared" ca="1" si="41"/>
        <v>#N/A</v>
      </c>
      <c r="AE32" t="e">
        <f t="shared" ca="1" si="41"/>
        <v>#N/A</v>
      </c>
      <c r="AF32" t="e">
        <f t="shared" ca="1" si="41"/>
        <v>#N/A</v>
      </c>
      <c r="AG32" t="e">
        <f t="shared" ca="1" si="41"/>
        <v>#N/A</v>
      </c>
      <c r="AH32" t="e">
        <f t="shared" ca="1" si="41"/>
        <v>#N/A</v>
      </c>
      <c r="AI32" t="e">
        <f t="shared" ref="AI32:BN32" ca="1" si="42">IF(AI10="",NA(),IF($A32,AI10,NA()))</f>
        <v>#N/A</v>
      </c>
      <c r="AJ32" t="e">
        <f t="shared" ca="1" si="42"/>
        <v>#N/A</v>
      </c>
      <c r="AK32" t="e">
        <f t="shared" ca="1" si="42"/>
        <v>#N/A</v>
      </c>
      <c r="AL32" t="e">
        <f t="shared" ca="1" si="42"/>
        <v>#N/A</v>
      </c>
      <c r="AM32" t="e">
        <f t="shared" ca="1" si="42"/>
        <v>#N/A</v>
      </c>
      <c r="AN32" t="e">
        <f t="shared" ca="1" si="42"/>
        <v>#N/A</v>
      </c>
      <c r="AO32" t="e">
        <f t="shared" ca="1" si="42"/>
        <v>#N/A</v>
      </c>
      <c r="AP32" t="e">
        <f t="shared" ca="1" si="42"/>
        <v>#N/A</v>
      </c>
      <c r="AQ32" t="e">
        <f t="shared" ca="1" si="42"/>
        <v>#N/A</v>
      </c>
      <c r="AR32" t="e">
        <f t="shared" ca="1" si="42"/>
        <v>#N/A</v>
      </c>
      <c r="AS32" t="e">
        <f t="shared" ca="1" si="42"/>
        <v>#N/A</v>
      </c>
      <c r="AT32" t="e">
        <f t="shared" ca="1" si="42"/>
        <v>#N/A</v>
      </c>
      <c r="AU32" t="e">
        <f t="shared" ca="1" si="42"/>
        <v>#N/A</v>
      </c>
      <c r="AV32" t="e">
        <f t="shared" ca="1" si="42"/>
        <v>#N/A</v>
      </c>
      <c r="AW32" t="e">
        <f t="shared" ca="1" si="42"/>
        <v>#N/A</v>
      </c>
      <c r="AX32" t="e">
        <f t="shared" ca="1" si="42"/>
        <v>#N/A</v>
      </c>
      <c r="AY32" t="e">
        <f t="shared" ca="1" si="42"/>
        <v>#N/A</v>
      </c>
      <c r="AZ32" t="e">
        <f t="shared" ca="1" si="42"/>
        <v>#N/A</v>
      </c>
      <c r="BA32" t="e">
        <f t="shared" ca="1" si="42"/>
        <v>#N/A</v>
      </c>
      <c r="BB32" t="e">
        <f t="shared" ca="1" si="42"/>
        <v>#N/A</v>
      </c>
      <c r="BC32" t="e">
        <f t="shared" ca="1" si="42"/>
        <v>#N/A</v>
      </c>
      <c r="BD32" t="e">
        <f t="shared" ca="1" si="42"/>
        <v>#N/A</v>
      </c>
      <c r="BE32" t="e">
        <f t="shared" ca="1" si="42"/>
        <v>#N/A</v>
      </c>
      <c r="BF32" t="e">
        <f t="shared" ca="1" si="42"/>
        <v>#N/A</v>
      </c>
      <c r="BG32" t="e">
        <f t="shared" ca="1" si="42"/>
        <v>#N/A</v>
      </c>
      <c r="BH32" t="e">
        <f t="shared" ca="1" si="42"/>
        <v>#N/A</v>
      </c>
      <c r="BI32" t="e">
        <f t="shared" ca="1" si="42"/>
        <v>#N/A</v>
      </c>
      <c r="BJ32" t="e">
        <f t="shared" ca="1" si="42"/>
        <v>#N/A</v>
      </c>
      <c r="BK32" t="e">
        <f t="shared" ca="1" si="42"/>
        <v>#N/A</v>
      </c>
      <c r="BL32" t="e">
        <f t="shared" ca="1" si="42"/>
        <v>#N/A</v>
      </c>
      <c r="BM32" t="e">
        <f t="shared" ca="1" si="42"/>
        <v>#N/A</v>
      </c>
      <c r="BN32" t="e">
        <f t="shared" ca="1" si="42"/>
        <v>#N/A</v>
      </c>
      <c r="BO32" t="e">
        <f t="shared" ref="BO32:CI32" ca="1" si="43">IF(BO10="",NA(),IF($A32,BO10,NA()))</f>
        <v>#N/A</v>
      </c>
      <c r="BP32" t="e">
        <f t="shared" ca="1" si="43"/>
        <v>#N/A</v>
      </c>
      <c r="BQ32" t="e">
        <f t="shared" ca="1" si="43"/>
        <v>#N/A</v>
      </c>
      <c r="BR32" t="e">
        <f t="shared" ca="1" si="43"/>
        <v>#N/A</v>
      </c>
      <c r="BS32" t="e">
        <f t="shared" ca="1" si="43"/>
        <v>#N/A</v>
      </c>
      <c r="BT32" t="e">
        <f t="shared" ca="1" si="43"/>
        <v>#N/A</v>
      </c>
      <c r="BU32" t="e">
        <f t="shared" ca="1" si="43"/>
        <v>#N/A</v>
      </c>
      <c r="BV32" t="e">
        <f t="shared" ca="1" si="43"/>
        <v>#N/A</v>
      </c>
      <c r="BW32" t="e">
        <f t="shared" ca="1" si="43"/>
        <v>#N/A</v>
      </c>
      <c r="BX32" t="e">
        <f t="shared" ca="1" si="43"/>
        <v>#N/A</v>
      </c>
      <c r="BY32" t="e">
        <f t="shared" ca="1" si="43"/>
        <v>#N/A</v>
      </c>
      <c r="BZ32" t="e">
        <f t="shared" ca="1" si="43"/>
        <v>#N/A</v>
      </c>
      <c r="CA32" t="e">
        <f t="shared" ca="1" si="43"/>
        <v>#N/A</v>
      </c>
      <c r="CB32" t="e">
        <f t="shared" ca="1" si="43"/>
        <v>#N/A</v>
      </c>
      <c r="CC32" t="e">
        <f t="shared" ca="1" si="43"/>
        <v>#N/A</v>
      </c>
      <c r="CD32" t="e">
        <f t="shared" ca="1" si="43"/>
        <v>#N/A</v>
      </c>
      <c r="CE32" t="e">
        <f t="shared" ca="1" si="43"/>
        <v>#N/A</v>
      </c>
      <c r="CF32" t="e">
        <f t="shared" ca="1" si="43"/>
        <v>#N/A</v>
      </c>
      <c r="CG32" t="e">
        <f t="shared" ca="1" si="43"/>
        <v>#N/A</v>
      </c>
      <c r="CH32" t="e">
        <f t="shared" ca="1" si="43"/>
        <v>#N/A</v>
      </c>
      <c r="CI32" t="e">
        <f t="shared" ca="1" si="43"/>
        <v>#N/A</v>
      </c>
      <c r="CJ32" t="e">
        <f t="shared" ref="CJ32:DH32" ca="1" si="44">IF(CJ10="",NA(),IF($A32,CJ10,NA()))</f>
        <v>#N/A</v>
      </c>
      <c r="CK32" t="e">
        <f t="shared" ca="1" si="44"/>
        <v>#N/A</v>
      </c>
      <c r="CL32" t="e">
        <f t="shared" ca="1" si="44"/>
        <v>#N/A</v>
      </c>
      <c r="CM32" t="e">
        <f t="shared" ca="1" si="44"/>
        <v>#N/A</v>
      </c>
      <c r="CN32" t="e">
        <f t="shared" ca="1" si="44"/>
        <v>#N/A</v>
      </c>
      <c r="CO32" t="e">
        <f t="shared" ca="1" si="44"/>
        <v>#N/A</v>
      </c>
      <c r="CP32" t="e">
        <f t="shared" ca="1" si="44"/>
        <v>#N/A</v>
      </c>
      <c r="CQ32" t="e">
        <f t="shared" ca="1" si="44"/>
        <v>#N/A</v>
      </c>
      <c r="CR32" t="e">
        <f t="shared" ca="1" si="44"/>
        <v>#N/A</v>
      </c>
      <c r="CS32" t="e">
        <f t="shared" ca="1" si="44"/>
        <v>#N/A</v>
      </c>
      <c r="CT32" t="e">
        <f t="shared" ca="1" si="44"/>
        <v>#N/A</v>
      </c>
      <c r="CU32" t="e">
        <f t="shared" ca="1" si="44"/>
        <v>#N/A</v>
      </c>
      <c r="CV32" t="e">
        <f t="shared" ca="1" si="44"/>
        <v>#N/A</v>
      </c>
      <c r="CW32" t="e">
        <f t="shared" ca="1" si="44"/>
        <v>#N/A</v>
      </c>
      <c r="CX32" t="e">
        <f t="shared" ca="1" si="44"/>
        <v>#N/A</v>
      </c>
      <c r="CY32" t="e">
        <f t="shared" ca="1" si="44"/>
        <v>#N/A</v>
      </c>
      <c r="CZ32" t="e">
        <f t="shared" ca="1" si="44"/>
        <v>#N/A</v>
      </c>
      <c r="DA32" t="e">
        <f t="shared" ca="1" si="44"/>
        <v>#N/A</v>
      </c>
      <c r="DB32" t="e">
        <f t="shared" ca="1" si="44"/>
        <v>#N/A</v>
      </c>
      <c r="DC32" t="e">
        <f t="shared" ca="1" si="44"/>
        <v>#N/A</v>
      </c>
      <c r="DD32" t="e">
        <f t="shared" ca="1" si="44"/>
        <v>#N/A</v>
      </c>
      <c r="DE32" t="e">
        <f t="shared" ca="1" si="44"/>
        <v>#N/A</v>
      </c>
      <c r="DF32" t="e">
        <f t="shared" ca="1" si="44"/>
        <v>#N/A</v>
      </c>
      <c r="DG32" t="e">
        <f t="shared" ca="1" si="44"/>
        <v>#N/A</v>
      </c>
      <c r="DH32" s="686" t="e">
        <f t="shared" ca="1" si="44"/>
        <v>#N/A</v>
      </c>
    </row>
    <row r="33" spans="1:112" x14ac:dyDescent="0.35">
      <c r="A33" s="685" t="b">
        <v>1</v>
      </c>
      <c r="B33" t="str">
        <f t="shared" si="24"/>
        <v>Lastebil</v>
      </c>
      <c r="C33" t="e">
        <f t="shared" ref="C33:AH33" si="45">IF(C11="",NA(),IF($A33,C11,NA()))</f>
        <v>#N/A</v>
      </c>
      <c r="D33" t="e">
        <f t="shared" si="45"/>
        <v>#N/A</v>
      </c>
      <c r="E33" t="e">
        <f t="shared" si="45"/>
        <v>#N/A</v>
      </c>
      <c r="F33" t="e">
        <f t="shared" si="45"/>
        <v>#N/A</v>
      </c>
      <c r="G33" t="e">
        <f t="shared" si="45"/>
        <v>#N/A</v>
      </c>
      <c r="H33" t="e">
        <f t="shared" si="45"/>
        <v>#N/A</v>
      </c>
      <c r="I33" t="e">
        <f t="shared" si="45"/>
        <v>#N/A</v>
      </c>
      <c r="J33" t="e">
        <f t="shared" si="45"/>
        <v>#N/A</v>
      </c>
      <c r="K33" t="e">
        <f t="shared" si="45"/>
        <v>#N/A</v>
      </c>
      <c r="L33" t="e">
        <f t="shared" si="45"/>
        <v>#N/A</v>
      </c>
      <c r="M33" t="e">
        <f t="shared" ca="1" si="45"/>
        <v>#N/A</v>
      </c>
      <c r="N33" t="e">
        <f t="shared" ca="1" si="45"/>
        <v>#N/A</v>
      </c>
      <c r="O33" t="e">
        <f t="shared" ca="1" si="45"/>
        <v>#N/A</v>
      </c>
      <c r="P33" t="e">
        <f t="shared" ca="1" si="45"/>
        <v>#N/A</v>
      </c>
      <c r="Q33" t="e">
        <f t="shared" ca="1" si="45"/>
        <v>#N/A</v>
      </c>
      <c r="R33" t="e">
        <f t="shared" ca="1" si="45"/>
        <v>#N/A</v>
      </c>
      <c r="S33" t="e">
        <f t="shared" ca="1" si="45"/>
        <v>#N/A</v>
      </c>
      <c r="T33" t="e">
        <f t="shared" ca="1" si="45"/>
        <v>#N/A</v>
      </c>
      <c r="U33" t="e">
        <f t="shared" ca="1" si="45"/>
        <v>#N/A</v>
      </c>
      <c r="V33" t="e">
        <f t="shared" ca="1" si="45"/>
        <v>#N/A</v>
      </c>
      <c r="W33" t="e">
        <f t="shared" ca="1" si="45"/>
        <v>#N/A</v>
      </c>
      <c r="X33" t="e">
        <f t="shared" ca="1" si="45"/>
        <v>#N/A</v>
      </c>
      <c r="Y33" t="e">
        <f t="shared" ca="1" si="45"/>
        <v>#N/A</v>
      </c>
      <c r="Z33" t="e">
        <f t="shared" ca="1" si="45"/>
        <v>#N/A</v>
      </c>
      <c r="AA33" t="e">
        <f t="shared" ca="1" si="45"/>
        <v>#N/A</v>
      </c>
      <c r="AB33" t="e">
        <f t="shared" ca="1" si="45"/>
        <v>#N/A</v>
      </c>
      <c r="AC33" t="e">
        <f t="shared" ca="1" si="45"/>
        <v>#N/A</v>
      </c>
      <c r="AD33" t="e">
        <f t="shared" ca="1" si="45"/>
        <v>#N/A</v>
      </c>
      <c r="AE33" t="e">
        <f t="shared" ca="1" si="45"/>
        <v>#N/A</v>
      </c>
      <c r="AF33" t="e">
        <f t="shared" ca="1" si="45"/>
        <v>#N/A</v>
      </c>
      <c r="AG33" t="e">
        <f t="shared" ca="1" si="45"/>
        <v>#N/A</v>
      </c>
      <c r="AH33" t="e">
        <f t="shared" ca="1" si="45"/>
        <v>#N/A</v>
      </c>
      <c r="AI33" t="e">
        <f t="shared" ref="AI33:BN33" ca="1" si="46">IF(AI11="",NA(),IF($A33,AI11,NA()))</f>
        <v>#N/A</v>
      </c>
      <c r="AJ33" t="e">
        <f t="shared" ca="1" si="46"/>
        <v>#N/A</v>
      </c>
      <c r="AK33" t="e">
        <f t="shared" ca="1" si="46"/>
        <v>#N/A</v>
      </c>
      <c r="AL33" t="e">
        <f t="shared" ca="1" si="46"/>
        <v>#N/A</v>
      </c>
      <c r="AM33" t="e">
        <f t="shared" ca="1" si="46"/>
        <v>#N/A</v>
      </c>
      <c r="AN33" t="e">
        <f t="shared" ca="1" si="46"/>
        <v>#N/A</v>
      </c>
      <c r="AO33" t="e">
        <f t="shared" ca="1" si="46"/>
        <v>#N/A</v>
      </c>
      <c r="AP33" t="e">
        <f t="shared" ca="1" si="46"/>
        <v>#N/A</v>
      </c>
      <c r="AQ33" t="e">
        <f t="shared" ca="1" si="46"/>
        <v>#N/A</v>
      </c>
      <c r="AR33" t="e">
        <f t="shared" ca="1" si="46"/>
        <v>#N/A</v>
      </c>
      <c r="AS33" t="e">
        <f t="shared" ca="1" si="46"/>
        <v>#N/A</v>
      </c>
      <c r="AT33" t="e">
        <f t="shared" ca="1" si="46"/>
        <v>#N/A</v>
      </c>
      <c r="AU33" t="e">
        <f t="shared" ca="1" si="46"/>
        <v>#N/A</v>
      </c>
      <c r="AV33" t="e">
        <f t="shared" ca="1" si="46"/>
        <v>#N/A</v>
      </c>
      <c r="AW33" t="e">
        <f t="shared" ca="1" si="46"/>
        <v>#N/A</v>
      </c>
      <c r="AX33" t="e">
        <f t="shared" ca="1" si="46"/>
        <v>#N/A</v>
      </c>
      <c r="AY33" t="e">
        <f t="shared" ca="1" si="46"/>
        <v>#N/A</v>
      </c>
      <c r="AZ33" t="e">
        <f t="shared" ca="1" si="46"/>
        <v>#N/A</v>
      </c>
      <c r="BA33" t="e">
        <f t="shared" ca="1" si="46"/>
        <v>#N/A</v>
      </c>
      <c r="BB33" t="e">
        <f t="shared" ca="1" si="46"/>
        <v>#N/A</v>
      </c>
      <c r="BC33" t="e">
        <f t="shared" ca="1" si="46"/>
        <v>#N/A</v>
      </c>
      <c r="BD33" t="e">
        <f t="shared" ca="1" si="46"/>
        <v>#N/A</v>
      </c>
      <c r="BE33" t="e">
        <f t="shared" ca="1" si="46"/>
        <v>#N/A</v>
      </c>
      <c r="BF33" t="e">
        <f t="shared" ca="1" si="46"/>
        <v>#N/A</v>
      </c>
      <c r="BG33" t="e">
        <f t="shared" ca="1" si="46"/>
        <v>#N/A</v>
      </c>
      <c r="BH33" t="e">
        <f t="shared" ca="1" si="46"/>
        <v>#N/A</v>
      </c>
      <c r="BI33" t="e">
        <f t="shared" ca="1" si="46"/>
        <v>#N/A</v>
      </c>
      <c r="BJ33" t="e">
        <f t="shared" ca="1" si="46"/>
        <v>#N/A</v>
      </c>
      <c r="BK33" t="e">
        <f t="shared" ca="1" si="46"/>
        <v>#N/A</v>
      </c>
      <c r="BL33" t="e">
        <f t="shared" ca="1" si="46"/>
        <v>#N/A</v>
      </c>
      <c r="BM33" t="e">
        <f t="shared" ca="1" si="46"/>
        <v>#N/A</v>
      </c>
      <c r="BN33" t="e">
        <f t="shared" ca="1" si="46"/>
        <v>#N/A</v>
      </c>
      <c r="BO33" t="e">
        <f t="shared" ref="BO33:CI33" ca="1" si="47">IF(BO11="",NA(),IF($A33,BO11,NA()))</f>
        <v>#N/A</v>
      </c>
      <c r="BP33" t="e">
        <f t="shared" ca="1" si="47"/>
        <v>#N/A</v>
      </c>
      <c r="BQ33" t="e">
        <f t="shared" ca="1" si="47"/>
        <v>#N/A</v>
      </c>
      <c r="BR33" t="e">
        <f t="shared" ca="1" si="47"/>
        <v>#N/A</v>
      </c>
      <c r="BS33" t="e">
        <f t="shared" ca="1" si="47"/>
        <v>#N/A</v>
      </c>
      <c r="BT33" t="e">
        <f t="shared" ca="1" si="47"/>
        <v>#N/A</v>
      </c>
      <c r="BU33" t="e">
        <f t="shared" ca="1" si="47"/>
        <v>#N/A</v>
      </c>
      <c r="BV33" t="e">
        <f t="shared" ca="1" si="47"/>
        <v>#N/A</v>
      </c>
      <c r="BW33" t="e">
        <f t="shared" ca="1" si="47"/>
        <v>#N/A</v>
      </c>
      <c r="BX33" t="e">
        <f t="shared" ca="1" si="47"/>
        <v>#N/A</v>
      </c>
      <c r="BY33" t="e">
        <f t="shared" ca="1" si="47"/>
        <v>#N/A</v>
      </c>
      <c r="BZ33" t="e">
        <f t="shared" ca="1" si="47"/>
        <v>#N/A</v>
      </c>
      <c r="CA33" t="e">
        <f t="shared" ca="1" si="47"/>
        <v>#N/A</v>
      </c>
      <c r="CB33" t="e">
        <f t="shared" ca="1" si="47"/>
        <v>#N/A</v>
      </c>
      <c r="CC33" t="e">
        <f t="shared" ca="1" si="47"/>
        <v>#N/A</v>
      </c>
      <c r="CD33" t="e">
        <f t="shared" ca="1" si="47"/>
        <v>#N/A</v>
      </c>
      <c r="CE33" t="e">
        <f t="shared" ca="1" si="47"/>
        <v>#N/A</v>
      </c>
      <c r="CF33" t="e">
        <f t="shared" ca="1" si="47"/>
        <v>#N/A</v>
      </c>
      <c r="CG33" t="e">
        <f t="shared" ca="1" si="47"/>
        <v>#N/A</v>
      </c>
      <c r="CH33" t="e">
        <f t="shared" ca="1" si="47"/>
        <v>#N/A</v>
      </c>
      <c r="CI33" t="e">
        <f t="shared" ca="1" si="47"/>
        <v>#N/A</v>
      </c>
      <c r="CJ33" t="e">
        <f t="shared" ref="CJ33:DH33" ca="1" si="48">IF(CJ11="",NA(),IF($A33,CJ11,NA()))</f>
        <v>#N/A</v>
      </c>
      <c r="CK33" t="e">
        <f t="shared" ca="1" si="48"/>
        <v>#N/A</v>
      </c>
      <c r="CL33" t="e">
        <f t="shared" ca="1" si="48"/>
        <v>#N/A</v>
      </c>
      <c r="CM33" t="e">
        <f t="shared" ca="1" si="48"/>
        <v>#N/A</v>
      </c>
      <c r="CN33" t="e">
        <f t="shared" ca="1" si="48"/>
        <v>#N/A</v>
      </c>
      <c r="CO33" t="e">
        <f t="shared" ca="1" si="48"/>
        <v>#N/A</v>
      </c>
      <c r="CP33" t="e">
        <f t="shared" ca="1" si="48"/>
        <v>#N/A</v>
      </c>
      <c r="CQ33" t="e">
        <f t="shared" ca="1" si="48"/>
        <v>#N/A</v>
      </c>
      <c r="CR33" t="e">
        <f t="shared" ca="1" si="48"/>
        <v>#N/A</v>
      </c>
      <c r="CS33" t="e">
        <f t="shared" ca="1" si="48"/>
        <v>#N/A</v>
      </c>
      <c r="CT33" t="e">
        <f t="shared" ca="1" si="48"/>
        <v>#N/A</v>
      </c>
      <c r="CU33" t="e">
        <f t="shared" ca="1" si="48"/>
        <v>#N/A</v>
      </c>
      <c r="CV33" t="e">
        <f t="shared" ca="1" si="48"/>
        <v>#N/A</v>
      </c>
      <c r="CW33" t="e">
        <f t="shared" ca="1" si="48"/>
        <v>#N/A</v>
      </c>
      <c r="CX33" t="e">
        <f t="shared" ca="1" si="48"/>
        <v>#N/A</v>
      </c>
      <c r="CY33" t="e">
        <f t="shared" ca="1" si="48"/>
        <v>#N/A</v>
      </c>
      <c r="CZ33" t="e">
        <f t="shared" ca="1" si="48"/>
        <v>#N/A</v>
      </c>
      <c r="DA33" t="e">
        <f t="shared" ca="1" si="48"/>
        <v>#N/A</v>
      </c>
      <c r="DB33" t="e">
        <f t="shared" ca="1" si="48"/>
        <v>#N/A</v>
      </c>
      <c r="DC33" t="e">
        <f t="shared" ca="1" si="48"/>
        <v>#N/A</v>
      </c>
      <c r="DD33" t="e">
        <f t="shared" ca="1" si="48"/>
        <v>#N/A</v>
      </c>
      <c r="DE33" t="e">
        <f t="shared" ca="1" si="48"/>
        <v>#N/A</v>
      </c>
      <c r="DF33" t="e">
        <f t="shared" ca="1" si="48"/>
        <v>#N/A</v>
      </c>
      <c r="DG33" t="e">
        <f t="shared" ca="1" si="48"/>
        <v>#N/A</v>
      </c>
      <c r="DH33" s="686" t="e">
        <f t="shared" ca="1" si="48"/>
        <v>#N/A</v>
      </c>
    </row>
    <row r="34" spans="1:112" x14ac:dyDescent="0.35">
      <c r="A34" s="685" t="b">
        <v>1</v>
      </c>
      <c r="B34" t="str">
        <f t="shared" si="24"/>
        <v>Lett Lastebil</v>
      </c>
      <c r="C34" t="e">
        <f t="shared" ref="C34:AH34" si="49">IF(C12="",NA(),IF($A34,C12,NA()))</f>
        <v>#N/A</v>
      </c>
      <c r="D34" t="e">
        <f t="shared" si="49"/>
        <v>#N/A</v>
      </c>
      <c r="E34" t="e">
        <f t="shared" si="49"/>
        <v>#N/A</v>
      </c>
      <c r="F34" t="e">
        <f t="shared" si="49"/>
        <v>#N/A</v>
      </c>
      <c r="G34" t="e">
        <f t="shared" si="49"/>
        <v>#N/A</v>
      </c>
      <c r="H34" t="e">
        <f t="shared" si="49"/>
        <v>#N/A</v>
      </c>
      <c r="I34" t="e">
        <f t="shared" si="49"/>
        <v>#N/A</v>
      </c>
      <c r="J34" t="e">
        <f t="shared" si="49"/>
        <v>#N/A</v>
      </c>
      <c r="K34" t="e">
        <f t="shared" si="49"/>
        <v>#N/A</v>
      </c>
      <c r="L34" t="e">
        <f t="shared" si="49"/>
        <v>#N/A</v>
      </c>
      <c r="M34" t="e">
        <f t="shared" ca="1" si="49"/>
        <v>#N/A</v>
      </c>
      <c r="N34" t="e">
        <f t="shared" ca="1" si="49"/>
        <v>#N/A</v>
      </c>
      <c r="O34" t="e">
        <f t="shared" ca="1" si="49"/>
        <v>#N/A</v>
      </c>
      <c r="P34" t="e">
        <f t="shared" ca="1" si="49"/>
        <v>#N/A</v>
      </c>
      <c r="Q34" t="e">
        <f t="shared" ca="1" si="49"/>
        <v>#N/A</v>
      </c>
      <c r="R34" t="e">
        <f t="shared" ca="1" si="49"/>
        <v>#N/A</v>
      </c>
      <c r="S34" t="e">
        <f t="shared" ca="1" si="49"/>
        <v>#N/A</v>
      </c>
      <c r="T34" t="e">
        <f t="shared" ca="1" si="49"/>
        <v>#N/A</v>
      </c>
      <c r="U34" t="e">
        <f t="shared" ca="1" si="49"/>
        <v>#N/A</v>
      </c>
      <c r="V34" t="e">
        <f t="shared" ca="1" si="49"/>
        <v>#N/A</v>
      </c>
      <c r="W34" t="e">
        <f t="shared" ca="1" si="49"/>
        <v>#N/A</v>
      </c>
      <c r="X34" t="e">
        <f t="shared" ca="1" si="49"/>
        <v>#N/A</v>
      </c>
      <c r="Y34" t="e">
        <f t="shared" ca="1" si="49"/>
        <v>#N/A</v>
      </c>
      <c r="Z34" t="e">
        <f t="shared" ca="1" si="49"/>
        <v>#N/A</v>
      </c>
      <c r="AA34" t="e">
        <f t="shared" ca="1" si="49"/>
        <v>#N/A</v>
      </c>
      <c r="AB34" t="e">
        <f t="shared" ca="1" si="49"/>
        <v>#N/A</v>
      </c>
      <c r="AC34" t="e">
        <f t="shared" ca="1" si="49"/>
        <v>#N/A</v>
      </c>
      <c r="AD34" t="e">
        <f t="shared" ca="1" si="49"/>
        <v>#N/A</v>
      </c>
      <c r="AE34" t="e">
        <f t="shared" ca="1" si="49"/>
        <v>#N/A</v>
      </c>
      <c r="AF34" t="e">
        <f t="shared" ca="1" si="49"/>
        <v>#N/A</v>
      </c>
      <c r="AG34" t="e">
        <f t="shared" ca="1" si="49"/>
        <v>#N/A</v>
      </c>
      <c r="AH34" t="e">
        <f t="shared" ca="1" si="49"/>
        <v>#N/A</v>
      </c>
      <c r="AI34" t="e">
        <f t="shared" ref="AI34:BN34" ca="1" si="50">IF(AI12="",NA(),IF($A34,AI12,NA()))</f>
        <v>#N/A</v>
      </c>
      <c r="AJ34" t="e">
        <f t="shared" ca="1" si="50"/>
        <v>#N/A</v>
      </c>
      <c r="AK34" t="e">
        <f t="shared" ca="1" si="50"/>
        <v>#N/A</v>
      </c>
      <c r="AL34" t="e">
        <f t="shared" ca="1" si="50"/>
        <v>#N/A</v>
      </c>
      <c r="AM34" t="e">
        <f t="shared" ca="1" si="50"/>
        <v>#N/A</v>
      </c>
      <c r="AN34" t="e">
        <f t="shared" ca="1" si="50"/>
        <v>#N/A</v>
      </c>
      <c r="AO34" t="e">
        <f t="shared" ca="1" si="50"/>
        <v>#N/A</v>
      </c>
      <c r="AP34" t="e">
        <f t="shared" ca="1" si="50"/>
        <v>#N/A</v>
      </c>
      <c r="AQ34" t="e">
        <f t="shared" ca="1" si="50"/>
        <v>#N/A</v>
      </c>
      <c r="AR34" t="e">
        <f t="shared" ca="1" si="50"/>
        <v>#N/A</v>
      </c>
      <c r="AS34" t="e">
        <f t="shared" ca="1" si="50"/>
        <v>#N/A</v>
      </c>
      <c r="AT34" t="e">
        <f t="shared" ca="1" si="50"/>
        <v>#N/A</v>
      </c>
      <c r="AU34" t="e">
        <f t="shared" ca="1" si="50"/>
        <v>#N/A</v>
      </c>
      <c r="AV34" t="e">
        <f t="shared" ca="1" si="50"/>
        <v>#N/A</v>
      </c>
      <c r="AW34" t="e">
        <f t="shared" ca="1" si="50"/>
        <v>#N/A</v>
      </c>
      <c r="AX34" t="e">
        <f t="shared" ca="1" si="50"/>
        <v>#N/A</v>
      </c>
      <c r="AY34" t="e">
        <f t="shared" ca="1" si="50"/>
        <v>#N/A</v>
      </c>
      <c r="AZ34" t="e">
        <f t="shared" ca="1" si="50"/>
        <v>#N/A</v>
      </c>
      <c r="BA34" t="e">
        <f t="shared" ca="1" si="50"/>
        <v>#N/A</v>
      </c>
      <c r="BB34" t="e">
        <f t="shared" ca="1" si="50"/>
        <v>#N/A</v>
      </c>
      <c r="BC34" t="e">
        <f t="shared" ca="1" si="50"/>
        <v>#N/A</v>
      </c>
      <c r="BD34" t="e">
        <f t="shared" ca="1" si="50"/>
        <v>#N/A</v>
      </c>
      <c r="BE34" t="e">
        <f t="shared" ca="1" si="50"/>
        <v>#N/A</v>
      </c>
      <c r="BF34" t="e">
        <f t="shared" ca="1" si="50"/>
        <v>#N/A</v>
      </c>
      <c r="BG34" t="e">
        <f t="shared" ca="1" si="50"/>
        <v>#N/A</v>
      </c>
      <c r="BH34" t="e">
        <f t="shared" ca="1" si="50"/>
        <v>#N/A</v>
      </c>
      <c r="BI34" t="e">
        <f t="shared" ca="1" si="50"/>
        <v>#N/A</v>
      </c>
      <c r="BJ34" t="e">
        <f t="shared" ca="1" si="50"/>
        <v>#N/A</v>
      </c>
      <c r="BK34" t="e">
        <f t="shared" ca="1" si="50"/>
        <v>#N/A</v>
      </c>
      <c r="BL34" t="e">
        <f t="shared" ca="1" si="50"/>
        <v>#N/A</v>
      </c>
      <c r="BM34" t="e">
        <f t="shared" ca="1" si="50"/>
        <v>#N/A</v>
      </c>
      <c r="BN34" t="e">
        <f t="shared" ca="1" si="50"/>
        <v>#N/A</v>
      </c>
      <c r="BO34" t="e">
        <f t="shared" ref="BO34:CI34" ca="1" si="51">IF(BO12="",NA(),IF($A34,BO12,NA()))</f>
        <v>#N/A</v>
      </c>
      <c r="BP34" t="e">
        <f t="shared" ca="1" si="51"/>
        <v>#N/A</v>
      </c>
      <c r="BQ34" t="e">
        <f t="shared" ca="1" si="51"/>
        <v>#N/A</v>
      </c>
      <c r="BR34" t="e">
        <f t="shared" ca="1" si="51"/>
        <v>#N/A</v>
      </c>
      <c r="BS34" t="e">
        <f t="shared" ca="1" si="51"/>
        <v>#N/A</v>
      </c>
      <c r="BT34" t="e">
        <f t="shared" ca="1" si="51"/>
        <v>#N/A</v>
      </c>
      <c r="BU34" t="e">
        <f t="shared" ca="1" si="51"/>
        <v>#N/A</v>
      </c>
      <c r="BV34" t="e">
        <f t="shared" ca="1" si="51"/>
        <v>#N/A</v>
      </c>
      <c r="BW34" t="e">
        <f t="shared" ca="1" si="51"/>
        <v>#N/A</v>
      </c>
      <c r="BX34" t="e">
        <f t="shared" ca="1" si="51"/>
        <v>#N/A</v>
      </c>
      <c r="BY34" t="e">
        <f t="shared" ca="1" si="51"/>
        <v>#N/A</v>
      </c>
      <c r="BZ34" t="e">
        <f t="shared" ca="1" si="51"/>
        <v>#N/A</v>
      </c>
      <c r="CA34" t="e">
        <f t="shared" ca="1" si="51"/>
        <v>#N/A</v>
      </c>
      <c r="CB34" t="e">
        <f t="shared" ca="1" si="51"/>
        <v>#N/A</v>
      </c>
      <c r="CC34" t="e">
        <f t="shared" ca="1" si="51"/>
        <v>#N/A</v>
      </c>
      <c r="CD34" t="e">
        <f t="shared" ca="1" si="51"/>
        <v>#N/A</v>
      </c>
      <c r="CE34" t="e">
        <f t="shared" ca="1" si="51"/>
        <v>#N/A</v>
      </c>
      <c r="CF34" t="e">
        <f t="shared" ca="1" si="51"/>
        <v>#N/A</v>
      </c>
      <c r="CG34" t="e">
        <f t="shared" ca="1" si="51"/>
        <v>#N/A</v>
      </c>
      <c r="CH34" t="e">
        <f t="shared" ca="1" si="51"/>
        <v>#N/A</v>
      </c>
      <c r="CI34" t="e">
        <f t="shared" ca="1" si="51"/>
        <v>#N/A</v>
      </c>
      <c r="CJ34" t="e">
        <f t="shared" ref="CJ34:DH34" ca="1" si="52">IF(CJ12="",NA(),IF($A34,CJ12,NA()))</f>
        <v>#N/A</v>
      </c>
      <c r="CK34" t="e">
        <f t="shared" ca="1" si="52"/>
        <v>#N/A</v>
      </c>
      <c r="CL34" t="e">
        <f t="shared" ca="1" si="52"/>
        <v>#N/A</v>
      </c>
      <c r="CM34" t="e">
        <f t="shared" ca="1" si="52"/>
        <v>#N/A</v>
      </c>
      <c r="CN34" t="e">
        <f t="shared" ca="1" si="52"/>
        <v>#N/A</v>
      </c>
      <c r="CO34" t="e">
        <f t="shared" ca="1" si="52"/>
        <v>#N/A</v>
      </c>
      <c r="CP34" t="e">
        <f t="shared" ca="1" si="52"/>
        <v>#N/A</v>
      </c>
      <c r="CQ34" t="e">
        <f t="shared" ca="1" si="52"/>
        <v>#N/A</v>
      </c>
      <c r="CR34" t="e">
        <f t="shared" ca="1" si="52"/>
        <v>#N/A</v>
      </c>
      <c r="CS34" t="e">
        <f t="shared" ca="1" si="52"/>
        <v>#N/A</v>
      </c>
      <c r="CT34" t="e">
        <f t="shared" ca="1" si="52"/>
        <v>#N/A</v>
      </c>
      <c r="CU34" t="e">
        <f t="shared" ca="1" si="52"/>
        <v>#N/A</v>
      </c>
      <c r="CV34" t="e">
        <f t="shared" ca="1" si="52"/>
        <v>#N/A</v>
      </c>
      <c r="CW34" t="e">
        <f t="shared" ca="1" si="52"/>
        <v>#N/A</v>
      </c>
      <c r="CX34" t="e">
        <f t="shared" ca="1" si="52"/>
        <v>#N/A</v>
      </c>
      <c r="CY34" t="e">
        <f t="shared" ca="1" si="52"/>
        <v>#N/A</v>
      </c>
      <c r="CZ34" t="e">
        <f t="shared" ca="1" si="52"/>
        <v>#N/A</v>
      </c>
      <c r="DA34" t="e">
        <f t="shared" ca="1" si="52"/>
        <v>#N/A</v>
      </c>
      <c r="DB34" t="e">
        <f t="shared" ca="1" si="52"/>
        <v>#N/A</v>
      </c>
      <c r="DC34" t="e">
        <f t="shared" ca="1" si="52"/>
        <v>#N/A</v>
      </c>
      <c r="DD34" t="e">
        <f t="shared" ca="1" si="52"/>
        <v>#N/A</v>
      </c>
      <c r="DE34" t="e">
        <f t="shared" ca="1" si="52"/>
        <v>#N/A</v>
      </c>
      <c r="DF34" t="e">
        <f t="shared" ca="1" si="52"/>
        <v>#N/A</v>
      </c>
      <c r="DG34" t="e">
        <f t="shared" ca="1" si="52"/>
        <v>#N/A</v>
      </c>
      <c r="DH34" s="686" t="e">
        <f t="shared" ca="1" si="52"/>
        <v>#N/A</v>
      </c>
    </row>
    <row r="35" spans="1:112" x14ac:dyDescent="0.35">
      <c r="A35" s="685" t="b">
        <v>1</v>
      </c>
      <c r="B35" t="str">
        <f t="shared" si="24"/>
        <v>Skip</v>
      </c>
      <c r="C35" t="e">
        <f t="shared" ref="C35:AH35" si="53">IF(C13="",NA(),IF($A35,C13,NA()))</f>
        <v>#N/A</v>
      </c>
      <c r="D35" t="e">
        <f t="shared" si="53"/>
        <v>#N/A</v>
      </c>
      <c r="E35" t="e">
        <f t="shared" si="53"/>
        <v>#N/A</v>
      </c>
      <c r="F35" t="e">
        <f t="shared" si="53"/>
        <v>#N/A</v>
      </c>
      <c r="G35" t="e">
        <f t="shared" si="53"/>
        <v>#N/A</v>
      </c>
      <c r="H35" t="e">
        <f t="shared" si="53"/>
        <v>#N/A</v>
      </c>
      <c r="I35" t="e">
        <f t="shared" si="53"/>
        <v>#N/A</v>
      </c>
      <c r="J35" t="e">
        <f t="shared" si="53"/>
        <v>#N/A</v>
      </c>
      <c r="K35" t="e">
        <f t="shared" si="53"/>
        <v>#N/A</v>
      </c>
      <c r="L35" t="e">
        <f t="shared" si="53"/>
        <v>#N/A</v>
      </c>
      <c r="M35" t="e">
        <f t="shared" ca="1" si="53"/>
        <v>#N/A</v>
      </c>
      <c r="N35" t="e">
        <f t="shared" ca="1" si="53"/>
        <v>#N/A</v>
      </c>
      <c r="O35" t="e">
        <f t="shared" ca="1" si="53"/>
        <v>#N/A</v>
      </c>
      <c r="P35" t="e">
        <f t="shared" ca="1" si="53"/>
        <v>#N/A</v>
      </c>
      <c r="Q35" t="e">
        <f t="shared" ca="1" si="53"/>
        <v>#N/A</v>
      </c>
      <c r="R35" t="e">
        <f t="shared" ca="1" si="53"/>
        <v>#N/A</v>
      </c>
      <c r="S35" t="e">
        <f t="shared" ca="1" si="53"/>
        <v>#N/A</v>
      </c>
      <c r="T35" t="e">
        <f t="shared" ca="1" si="53"/>
        <v>#N/A</v>
      </c>
      <c r="U35" t="e">
        <f t="shared" ca="1" si="53"/>
        <v>#N/A</v>
      </c>
      <c r="V35" t="e">
        <f t="shared" ca="1" si="53"/>
        <v>#N/A</v>
      </c>
      <c r="W35" t="e">
        <f t="shared" ca="1" si="53"/>
        <v>#N/A</v>
      </c>
      <c r="X35" t="e">
        <f t="shared" ca="1" si="53"/>
        <v>#N/A</v>
      </c>
      <c r="Y35" t="e">
        <f t="shared" ca="1" si="53"/>
        <v>#N/A</v>
      </c>
      <c r="Z35" t="e">
        <f t="shared" ca="1" si="53"/>
        <v>#N/A</v>
      </c>
      <c r="AA35" t="e">
        <f t="shared" ca="1" si="53"/>
        <v>#N/A</v>
      </c>
      <c r="AB35" t="e">
        <f t="shared" ca="1" si="53"/>
        <v>#N/A</v>
      </c>
      <c r="AC35" t="e">
        <f t="shared" ca="1" si="53"/>
        <v>#N/A</v>
      </c>
      <c r="AD35" t="e">
        <f t="shared" ca="1" si="53"/>
        <v>#N/A</v>
      </c>
      <c r="AE35" t="e">
        <f t="shared" ca="1" si="53"/>
        <v>#N/A</v>
      </c>
      <c r="AF35" t="e">
        <f t="shared" ca="1" si="53"/>
        <v>#N/A</v>
      </c>
      <c r="AG35" t="e">
        <f t="shared" ca="1" si="53"/>
        <v>#N/A</v>
      </c>
      <c r="AH35" t="e">
        <f t="shared" ca="1" si="53"/>
        <v>#N/A</v>
      </c>
      <c r="AI35" t="e">
        <f t="shared" ref="AI35:BN35" ca="1" si="54">IF(AI13="",NA(),IF($A35,AI13,NA()))</f>
        <v>#N/A</v>
      </c>
      <c r="AJ35" t="e">
        <f t="shared" ca="1" si="54"/>
        <v>#N/A</v>
      </c>
      <c r="AK35" t="e">
        <f t="shared" ca="1" si="54"/>
        <v>#N/A</v>
      </c>
      <c r="AL35" t="e">
        <f t="shared" ca="1" si="54"/>
        <v>#N/A</v>
      </c>
      <c r="AM35" t="e">
        <f t="shared" ca="1" si="54"/>
        <v>#N/A</v>
      </c>
      <c r="AN35" t="e">
        <f t="shared" ca="1" si="54"/>
        <v>#N/A</v>
      </c>
      <c r="AO35" t="e">
        <f t="shared" ca="1" si="54"/>
        <v>#N/A</v>
      </c>
      <c r="AP35" t="e">
        <f t="shared" ca="1" si="54"/>
        <v>#N/A</v>
      </c>
      <c r="AQ35" t="e">
        <f t="shared" ca="1" si="54"/>
        <v>#N/A</v>
      </c>
      <c r="AR35" t="e">
        <f t="shared" ca="1" si="54"/>
        <v>#N/A</v>
      </c>
      <c r="AS35" t="e">
        <f t="shared" ca="1" si="54"/>
        <v>#N/A</v>
      </c>
      <c r="AT35" t="e">
        <f t="shared" ca="1" si="54"/>
        <v>#N/A</v>
      </c>
      <c r="AU35" t="e">
        <f t="shared" ca="1" si="54"/>
        <v>#N/A</v>
      </c>
      <c r="AV35" t="e">
        <f t="shared" ca="1" si="54"/>
        <v>#N/A</v>
      </c>
      <c r="AW35" t="e">
        <f t="shared" ca="1" si="54"/>
        <v>#N/A</v>
      </c>
      <c r="AX35" t="e">
        <f t="shared" ca="1" si="54"/>
        <v>#N/A</v>
      </c>
      <c r="AY35" t="e">
        <f t="shared" ca="1" si="54"/>
        <v>#N/A</v>
      </c>
      <c r="AZ35" t="e">
        <f t="shared" ca="1" si="54"/>
        <v>#N/A</v>
      </c>
      <c r="BA35" t="e">
        <f t="shared" ca="1" si="54"/>
        <v>#N/A</v>
      </c>
      <c r="BB35" t="e">
        <f t="shared" ca="1" si="54"/>
        <v>#N/A</v>
      </c>
      <c r="BC35" t="e">
        <f t="shared" ca="1" si="54"/>
        <v>#N/A</v>
      </c>
      <c r="BD35" t="e">
        <f t="shared" ca="1" si="54"/>
        <v>#N/A</v>
      </c>
      <c r="BE35" t="e">
        <f t="shared" ca="1" si="54"/>
        <v>#N/A</v>
      </c>
      <c r="BF35" t="e">
        <f t="shared" ca="1" si="54"/>
        <v>#N/A</v>
      </c>
      <c r="BG35" t="e">
        <f t="shared" ca="1" si="54"/>
        <v>#N/A</v>
      </c>
      <c r="BH35" t="e">
        <f t="shared" ca="1" si="54"/>
        <v>#N/A</v>
      </c>
      <c r="BI35" t="e">
        <f t="shared" ca="1" si="54"/>
        <v>#N/A</v>
      </c>
      <c r="BJ35" t="e">
        <f t="shared" ca="1" si="54"/>
        <v>#N/A</v>
      </c>
      <c r="BK35" t="e">
        <f t="shared" ca="1" si="54"/>
        <v>#N/A</v>
      </c>
      <c r="BL35" t="e">
        <f t="shared" ca="1" si="54"/>
        <v>#N/A</v>
      </c>
      <c r="BM35" t="e">
        <f t="shared" ca="1" si="54"/>
        <v>#N/A</v>
      </c>
      <c r="BN35" t="e">
        <f t="shared" ca="1" si="54"/>
        <v>#N/A</v>
      </c>
      <c r="BO35" t="e">
        <f t="shared" ref="BO35:CI35" ca="1" si="55">IF(BO13="",NA(),IF($A35,BO13,NA()))</f>
        <v>#N/A</v>
      </c>
      <c r="BP35" t="e">
        <f t="shared" ca="1" si="55"/>
        <v>#N/A</v>
      </c>
      <c r="BQ35" t="e">
        <f t="shared" ca="1" si="55"/>
        <v>#N/A</v>
      </c>
      <c r="BR35" t="e">
        <f t="shared" ca="1" si="55"/>
        <v>#N/A</v>
      </c>
      <c r="BS35" t="e">
        <f t="shared" ca="1" si="55"/>
        <v>#N/A</v>
      </c>
      <c r="BT35" t="e">
        <f t="shared" ca="1" si="55"/>
        <v>#N/A</v>
      </c>
      <c r="BU35" t="e">
        <f t="shared" ca="1" si="55"/>
        <v>#N/A</v>
      </c>
      <c r="BV35" t="e">
        <f t="shared" ca="1" si="55"/>
        <v>#N/A</v>
      </c>
      <c r="BW35" t="e">
        <f t="shared" ca="1" si="55"/>
        <v>#N/A</v>
      </c>
      <c r="BX35" t="e">
        <f t="shared" ca="1" si="55"/>
        <v>#N/A</v>
      </c>
      <c r="BY35" t="e">
        <f t="shared" ca="1" si="55"/>
        <v>#N/A</v>
      </c>
      <c r="BZ35" t="e">
        <f t="shared" ca="1" si="55"/>
        <v>#N/A</v>
      </c>
      <c r="CA35" t="e">
        <f t="shared" ca="1" si="55"/>
        <v>#N/A</v>
      </c>
      <c r="CB35" t="e">
        <f t="shared" ca="1" si="55"/>
        <v>#N/A</v>
      </c>
      <c r="CC35" t="e">
        <f t="shared" ca="1" si="55"/>
        <v>#N/A</v>
      </c>
      <c r="CD35" t="e">
        <f t="shared" ca="1" si="55"/>
        <v>#N/A</v>
      </c>
      <c r="CE35" t="e">
        <f t="shared" ca="1" si="55"/>
        <v>#N/A</v>
      </c>
      <c r="CF35" t="e">
        <f t="shared" ca="1" si="55"/>
        <v>#N/A</v>
      </c>
      <c r="CG35" t="e">
        <f t="shared" ca="1" si="55"/>
        <v>#N/A</v>
      </c>
      <c r="CH35" t="e">
        <f t="shared" ca="1" si="55"/>
        <v>#N/A</v>
      </c>
      <c r="CI35" t="e">
        <f t="shared" ca="1" si="55"/>
        <v>#N/A</v>
      </c>
      <c r="CJ35" t="e">
        <f t="shared" ref="CJ35:DH35" ca="1" si="56">IF(CJ13="",NA(),IF($A35,CJ13,NA()))</f>
        <v>#N/A</v>
      </c>
      <c r="CK35" t="e">
        <f t="shared" ca="1" si="56"/>
        <v>#N/A</v>
      </c>
      <c r="CL35" t="e">
        <f t="shared" ca="1" si="56"/>
        <v>#N/A</v>
      </c>
      <c r="CM35" t="e">
        <f t="shared" ca="1" si="56"/>
        <v>#N/A</v>
      </c>
      <c r="CN35" t="e">
        <f t="shared" ca="1" si="56"/>
        <v>#N/A</v>
      </c>
      <c r="CO35" t="e">
        <f t="shared" ca="1" si="56"/>
        <v>#N/A</v>
      </c>
      <c r="CP35" t="e">
        <f t="shared" ca="1" si="56"/>
        <v>#N/A</v>
      </c>
      <c r="CQ35" t="e">
        <f t="shared" ca="1" si="56"/>
        <v>#N/A</v>
      </c>
      <c r="CR35" t="e">
        <f t="shared" ca="1" si="56"/>
        <v>#N/A</v>
      </c>
      <c r="CS35" t="e">
        <f t="shared" ca="1" si="56"/>
        <v>#N/A</v>
      </c>
      <c r="CT35" t="e">
        <f t="shared" ca="1" si="56"/>
        <v>#N/A</v>
      </c>
      <c r="CU35" t="e">
        <f t="shared" ca="1" si="56"/>
        <v>#N/A</v>
      </c>
      <c r="CV35" t="e">
        <f t="shared" ca="1" si="56"/>
        <v>#N/A</v>
      </c>
      <c r="CW35" t="e">
        <f t="shared" ca="1" si="56"/>
        <v>#N/A</v>
      </c>
      <c r="CX35" t="e">
        <f t="shared" ca="1" si="56"/>
        <v>#N/A</v>
      </c>
      <c r="CY35" t="e">
        <f t="shared" ca="1" si="56"/>
        <v>#N/A</v>
      </c>
      <c r="CZ35" t="e">
        <f t="shared" ca="1" si="56"/>
        <v>#N/A</v>
      </c>
      <c r="DA35" t="e">
        <f t="shared" ca="1" si="56"/>
        <v>#N/A</v>
      </c>
      <c r="DB35" t="e">
        <f t="shared" ca="1" si="56"/>
        <v>#N/A</v>
      </c>
      <c r="DC35" t="e">
        <f t="shared" ca="1" si="56"/>
        <v>#N/A</v>
      </c>
      <c r="DD35" t="e">
        <f t="shared" ca="1" si="56"/>
        <v>#N/A</v>
      </c>
      <c r="DE35" t="e">
        <f t="shared" ca="1" si="56"/>
        <v>#N/A</v>
      </c>
      <c r="DF35" t="e">
        <f t="shared" ca="1" si="56"/>
        <v>#N/A</v>
      </c>
      <c r="DG35" t="e">
        <f t="shared" ca="1" si="56"/>
        <v>#N/A</v>
      </c>
      <c r="DH35" s="686" t="e">
        <f t="shared" ca="1" si="56"/>
        <v>#N/A</v>
      </c>
    </row>
    <row r="36" spans="1:112" x14ac:dyDescent="0.35">
      <c r="A36" s="685" t="b">
        <v>1</v>
      </c>
      <c r="B36" t="str">
        <f t="shared" si="24"/>
        <v>Godsfly</v>
      </c>
      <c r="C36" t="e">
        <f t="shared" ref="C36:AH36" si="57">IF(C14="",NA(),IF($A36,C14,NA()))</f>
        <v>#N/A</v>
      </c>
      <c r="D36" t="e">
        <f t="shared" si="57"/>
        <v>#N/A</v>
      </c>
      <c r="E36" t="e">
        <f t="shared" si="57"/>
        <v>#N/A</v>
      </c>
      <c r="F36" t="e">
        <f t="shared" si="57"/>
        <v>#N/A</v>
      </c>
      <c r="G36" t="e">
        <f t="shared" si="57"/>
        <v>#N/A</v>
      </c>
      <c r="H36" t="e">
        <f t="shared" si="57"/>
        <v>#N/A</v>
      </c>
      <c r="I36" t="e">
        <f t="shared" si="57"/>
        <v>#N/A</v>
      </c>
      <c r="J36" t="e">
        <f t="shared" si="57"/>
        <v>#N/A</v>
      </c>
      <c r="K36" t="e">
        <f t="shared" si="57"/>
        <v>#N/A</v>
      </c>
      <c r="L36" t="e">
        <f t="shared" si="57"/>
        <v>#N/A</v>
      </c>
      <c r="M36" t="e">
        <f t="shared" ca="1" si="57"/>
        <v>#N/A</v>
      </c>
      <c r="N36" t="e">
        <f t="shared" ca="1" si="57"/>
        <v>#N/A</v>
      </c>
      <c r="O36" t="e">
        <f t="shared" ca="1" si="57"/>
        <v>#N/A</v>
      </c>
      <c r="P36" t="e">
        <f t="shared" ca="1" si="57"/>
        <v>#N/A</v>
      </c>
      <c r="Q36" t="e">
        <f t="shared" ca="1" si="57"/>
        <v>#N/A</v>
      </c>
      <c r="R36" t="e">
        <f t="shared" ca="1" si="57"/>
        <v>#N/A</v>
      </c>
      <c r="S36" t="e">
        <f t="shared" ca="1" si="57"/>
        <v>#N/A</v>
      </c>
      <c r="T36" t="e">
        <f t="shared" ca="1" si="57"/>
        <v>#N/A</v>
      </c>
      <c r="U36" t="e">
        <f t="shared" ca="1" si="57"/>
        <v>#N/A</v>
      </c>
      <c r="V36" t="e">
        <f t="shared" ca="1" si="57"/>
        <v>#N/A</v>
      </c>
      <c r="W36" t="e">
        <f t="shared" ca="1" si="57"/>
        <v>#N/A</v>
      </c>
      <c r="X36" t="e">
        <f t="shared" ca="1" si="57"/>
        <v>#N/A</v>
      </c>
      <c r="Y36" t="e">
        <f t="shared" ca="1" si="57"/>
        <v>#N/A</v>
      </c>
      <c r="Z36" t="e">
        <f t="shared" ca="1" si="57"/>
        <v>#N/A</v>
      </c>
      <c r="AA36" t="e">
        <f t="shared" ca="1" si="57"/>
        <v>#N/A</v>
      </c>
      <c r="AB36" t="e">
        <f t="shared" ca="1" si="57"/>
        <v>#N/A</v>
      </c>
      <c r="AC36" t="e">
        <f t="shared" ca="1" si="57"/>
        <v>#N/A</v>
      </c>
      <c r="AD36" t="e">
        <f t="shared" ca="1" si="57"/>
        <v>#N/A</v>
      </c>
      <c r="AE36" t="e">
        <f t="shared" ca="1" si="57"/>
        <v>#N/A</v>
      </c>
      <c r="AF36" t="e">
        <f t="shared" ca="1" si="57"/>
        <v>#N/A</v>
      </c>
      <c r="AG36" t="e">
        <f t="shared" ca="1" si="57"/>
        <v>#N/A</v>
      </c>
      <c r="AH36" t="e">
        <f t="shared" ca="1" si="57"/>
        <v>#N/A</v>
      </c>
      <c r="AI36" t="e">
        <f t="shared" ref="AI36:BN36" ca="1" si="58">IF(AI14="",NA(),IF($A36,AI14,NA()))</f>
        <v>#N/A</v>
      </c>
      <c r="AJ36" t="e">
        <f t="shared" ca="1" si="58"/>
        <v>#N/A</v>
      </c>
      <c r="AK36" t="e">
        <f t="shared" ca="1" si="58"/>
        <v>#N/A</v>
      </c>
      <c r="AL36" t="e">
        <f t="shared" ca="1" si="58"/>
        <v>#N/A</v>
      </c>
      <c r="AM36" t="e">
        <f t="shared" ca="1" si="58"/>
        <v>#N/A</v>
      </c>
      <c r="AN36" t="e">
        <f t="shared" ca="1" si="58"/>
        <v>#N/A</v>
      </c>
      <c r="AO36" t="e">
        <f t="shared" ca="1" si="58"/>
        <v>#N/A</v>
      </c>
      <c r="AP36" t="e">
        <f t="shared" ca="1" si="58"/>
        <v>#N/A</v>
      </c>
      <c r="AQ36" t="e">
        <f t="shared" ca="1" si="58"/>
        <v>#N/A</v>
      </c>
      <c r="AR36" t="e">
        <f t="shared" ca="1" si="58"/>
        <v>#N/A</v>
      </c>
      <c r="AS36" t="e">
        <f t="shared" ca="1" si="58"/>
        <v>#N/A</v>
      </c>
      <c r="AT36" t="e">
        <f t="shared" ca="1" si="58"/>
        <v>#N/A</v>
      </c>
      <c r="AU36" t="e">
        <f t="shared" ca="1" si="58"/>
        <v>#N/A</v>
      </c>
      <c r="AV36" t="e">
        <f t="shared" ca="1" si="58"/>
        <v>#N/A</v>
      </c>
      <c r="AW36" t="e">
        <f t="shared" ca="1" si="58"/>
        <v>#N/A</v>
      </c>
      <c r="AX36" t="e">
        <f t="shared" ca="1" si="58"/>
        <v>#N/A</v>
      </c>
      <c r="AY36" t="e">
        <f t="shared" ca="1" si="58"/>
        <v>#N/A</v>
      </c>
      <c r="AZ36" t="e">
        <f t="shared" ca="1" si="58"/>
        <v>#N/A</v>
      </c>
      <c r="BA36" t="e">
        <f t="shared" ca="1" si="58"/>
        <v>#N/A</v>
      </c>
      <c r="BB36" t="e">
        <f t="shared" ca="1" si="58"/>
        <v>#N/A</v>
      </c>
      <c r="BC36" t="e">
        <f t="shared" ca="1" si="58"/>
        <v>#N/A</v>
      </c>
      <c r="BD36" t="e">
        <f t="shared" ca="1" si="58"/>
        <v>#N/A</v>
      </c>
      <c r="BE36" t="e">
        <f t="shared" ca="1" si="58"/>
        <v>#N/A</v>
      </c>
      <c r="BF36" t="e">
        <f t="shared" ca="1" si="58"/>
        <v>#N/A</v>
      </c>
      <c r="BG36" t="e">
        <f t="shared" ca="1" si="58"/>
        <v>#N/A</v>
      </c>
      <c r="BH36" t="e">
        <f t="shared" ca="1" si="58"/>
        <v>#N/A</v>
      </c>
      <c r="BI36" t="e">
        <f t="shared" ca="1" si="58"/>
        <v>#N/A</v>
      </c>
      <c r="BJ36" t="e">
        <f t="shared" ca="1" si="58"/>
        <v>#N/A</v>
      </c>
      <c r="BK36" t="e">
        <f t="shared" ca="1" si="58"/>
        <v>#N/A</v>
      </c>
      <c r="BL36" t="e">
        <f t="shared" ca="1" si="58"/>
        <v>#N/A</v>
      </c>
      <c r="BM36" t="e">
        <f t="shared" ca="1" si="58"/>
        <v>#N/A</v>
      </c>
      <c r="BN36" t="e">
        <f t="shared" ca="1" si="58"/>
        <v>#N/A</v>
      </c>
      <c r="BO36" t="e">
        <f t="shared" ref="BO36:CI36" ca="1" si="59">IF(BO14="",NA(),IF($A36,BO14,NA()))</f>
        <v>#N/A</v>
      </c>
      <c r="BP36" t="e">
        <f t="shared" ca="1" si="59"/>
        <v>#N/A</v>
      </c>
      <c r="BQ36" t="e">
        <f t="shared" ca="1" si="59"/>
        <v>#N/A</v>
      </c>
      <c r="BR36" t="e">
        <f t="shared" ca="1" si="59"/>
        <v>#N/A</v>
      </c>
      <c r="BS36" t="e">
        <f t="shared" ca="1" si="59"/>
        <v>#N/A</v>
      </c>
      <c r="BT36" t="e">
        <f t="shared" ca="1" si="59"/>
        <v>#N/A</v>
      </c>
      <c r="BU36" t="e">
        <f t="shared" ca="1" si="59"/>
        <v>#N/A</v>
      </c>
      <c r="BV36" t="e">
        <f t="shared" ca="1" si="59"/>
        <v>#N/A</v>
      </c>
      <c r="BW36" t="e">
        <f t="shared" ca="1" si="59"/>
        <v>#N/A</v>
      </c>
      <c r="BX36" t="e">
        <f t="shared" ca="1" si="59"/>
        <v>#N/A</v>
      </c>
      <c r="BY36" t="e">
        <f t="shared" ca="1" si="59"/>
        <v>#N/A</v>
      </c>
      <c r="BZ36" t="e">
        <f t="shared" ca="1" si="59"/>
        <v>#N/A</v>
      </c>
      <c r="CA36" t="e">
        <f t="shared" ca="1" si="59"/>
        <v>#N/A</v>
      </c>
      <c r="CB36" t="e">
        <f t="shared" ca="1" si="59"/>
        <v>#N/A</v>
      </c>
      <c r="CC36" t="e">
        <f t="shared" ca="1" si="59"/>
        <v>#N/A</v>
      </c>
      <c r="CD36" t="e">
        <f t="shared" ca="1" si="59"/>
        <v>#N/A</v>
      </c>
      <c r="CE36" t="e">
        <f t="shared" ca="1" si="59"/>
        <v>#N/A</v>
      </c>
      <c r="CF36" t="e">
        <f t="shared" ca="1" si="59"/>
        <v>#N/A</v>
      </c>
      <c r="CG36" t="e">
        <f t="shared" ca="1" si="59"/>
        <v>#N/A</v>
      </c>
      <c r="CH36" t="e">
        <f t="shared" ca="1" si="59"/>
        <v>#N/A</v>
      </c>
      <c r="CI36" t="e">
        <f t="shared" ca="1" si="59"/>
        <v>#N/A</v>
      </c>
      <c r="CJ36" t="e">
        <f t="shared" ref="CJ36:DH36" ca="1" si="60">IF(CJ14="",NA(),IF($A36,CJ14,NA()))</f>
        <v>#N/A</v>
      </c>
      <c r="CK36" t="e">
        <f t="shared" ca="1" si="60"/>
        <v>#N/A</v>
      </c>
      <c r="CL36" t="e">
        <f t="shared" ca="1" si="60"/>
        <v>#N/A</v>
      </c>
      <c r="CM36" t="e">
        <f t="shared" ca="1" si="60"/>
        <v>#N/A</v>
      </c>
      <c r="CN36" t="e">
        <f t="shared" ca="1" si="60"/>
        <v>#N/A</v>
      </c>
      <c r="CO36" t="e">
        <f t="shared" ca="1" si="60"/>
        <v>#N/A</v>
      </c>
      <c r="CP36" t="e">
        <f t="shared" ca="1" si="60"/>
        <v>#N/A</v>
      </c>
      <c r="CQ36" t="e">
        <f t="shared" ca="1" si="60"/>
        <v>#N/A</v>
      </c>
      <c r="CR36" t="e">
        <f t="shared" ca="1" si="60"/>
        <v>#N/A</v>
      </c>
      <c r="CS36" t="e">
        <f t="shared" ca="1" si="60"/>
        <v>#N/A</v>
      </c>
      <c r="CT36" t="e">
        <f t="shared" ca="1" si="60"/>
        <v>#N/A</v>
      </c>
      <c r="CU36" t="e">
        <f t="shared" ca="1" si="60"/>
        <v>#N/A</v>
      </c>
      <c r="CV36" t="e">
        <f t="shared" ca="1" si="60"/>
        <v>#N/A</v>
      </c>
      <c r="CW36" t="e">
        <f t="shared" ca="1" si="60"/>
        <v>#N/A</v>
      </c>
      <c r="CX36" t="e">
        <f t="shared" ca="1" si="60"/>
        <v>#N/A</v>
      </c>
      <c r="CY36" t="e">
        <f t="shared" ca="1" si="60"/>
        <v>#N/A</v>
      </c>
      <c r="CZ36" t="e">
        <f t="shared" ca="1" si="60"/>
        <v>#N/A</v>
      </c>
      <c r="DA36" t="e">
        <f t="shared" ca="1" si="60"/>
        <v>#N/A</v>
      </c>
      <c r="DB36" t="e">
        <f t="shared" ca="1" si="60"/>
        <v>#N/A</v>
      </c>
      <c r="DC36" t="e">
        <f t="shared" ca="1" si="60"/>
        <v>#N/A</v>
      </c>
      <c r="DD36" t="e">
        <f t="shared" ca="1" si="60"/>
        <v>#N/A</v>
      </c>
      <c r="DE36" t="e">
        <f t="shared" ca="1" si="60"/>
        <v>#N/A</v>
      </c>
      <c r="DF36" t="e">
        <f t="shared" ca="1" si="60"/>
        <v>#N/A</v>
      </c>
      <c r="DG36" t="e">
        <f t="shared" ca="1" si="60"/>
        <v>#N/A</v>
      </c>
      <c r="DH36" s="686" t="e">
        <f t="shared" ca="1" si="60"/>
        <v>#N/A</v>
      </c>
    </row>
    <row r="37" spans="1:112" x14ac:dyDescent="0.35">
      <c r="A37" s="685" t="b">
        <v>1</v>
      </c>
      <c r="B37" t="str">
        <f t="shared" ref="B37" si="61">B15</f>
        <v>Utslipp i byggefasen</v>
      </c>
      <c r="C37" t="e">
        <f t="shared" ref="C37:AH38" si="62">IF(OR(C15=0,C15=""),NA(),IF($A37,C15,NA()))</f>
        <v>#N/A</v>
      </c>
      <c r="D37" t="e">
        <f t="shared" si="62"/>
        <v>#N/A</v>
      </c>
      <c r="E37" t="e">
        <f t="shared" si="62"/>
        <v>#N/A</v>
      </c>
      <c r="F37" t="e">
        <f t="shared" si="62"/>
        <v>#N/A</v>
      </c>
      <c r="G37" t="e">
        <f t="shared" si="62"/>
        <v>#N/A</v>
      </c>
      <c r="H37" t="e">
        <f t="shared" si="62"/>
        <v>#N/A</v>
      </c>
      <c r="I37" t="e">
        <f t="shared" si="62"/>
        <v>#N/A</v>
      </c>
      <c r="J37" t="e">
        <f t="shared" si="62"/>
        <v>#N/A</v>
      </c>
      <c r="K37" t="e">
        <f t="shared" si="62"/>
        <v>#N/A</v>
      </c>
      <c r="L37" t="e">
        <f t="shared" si="62"/>
        <v>#N/A</v>
      </c>
      <c r="M37" t="e">
        <f t="shared" si="62"/>
        <v>#N/A</v>
      </c>
      <c r="N37" t="e">
        <f t="shared" si="62"/>
        <v>#N/A</v>
      </c>
      <c r="O37" t="e">
        <f t="shared" si="62"/>
        <v>#N/A</v>
      </c>
      <c r="P37" t="e">
        <f t="shared" si="62"/>
        <v>#N/A</v>
      </c>
      <c r="Q37" t="e">
        <f t="shared" si="62"/>
        <v>#N/A</v>
      </c>
      <c r="R37" t="e">
        <f t="shared" si="62"/>
        <v>#N/A</v>
      </c>
      <c r="S37" t="e">
        <f t="shared" si="62"/>
        <v>#N/A</v>
      </c>
      <c r="T37" t="e">
        <f t="shared" si="62"/>
        <v>#N/A</v>
      </c>
      <c r="U37" t="e">
        <f t="shared" si="62"/>
        <v>#N/A</v>
      </c>
      <c r="V37" t="e">
        <f t="shared" si="62"/>
        <v>#N/A</v>
      </c>
      <c r="W37" t="e">
        <f t="shared" si="62"/>
        <v>#N/A</v>
      </c>
      <c r="X37" t="e">
        <f t="shared" si="62"/>
        <v>#N/A</v>
      </c>
      <c r="Y37" t="e">
        <f t="shared" si="62"/>
        <v>#N/A</v>
      </c>
      <c r="Z37" t="e">
        <f t="shared" si="62"/>
        <v>#N/A</v>
      </c>
      <c r="AA37" t="e">
        <f t="shared" si="62"/>
        <v>#N/A</v>
      </c>
      <c r="AB37" t="e">
        <f t="shared" si="62"/>
        <v>#N/A</v>
      </c>
      <c r="AC37" t="e">
        <f t="shared" si="62"/>
        <v>#N/A</v>
      </c>
      <c r="AD37" t="e">
        <f t="shared" si="62"/>
        <v>#N/A</v>
      </c>
      <c r="AE37" t="e">
        <f t="shared" si="62"/>
        <v>#N/A</v>
      </c>
      <c r="AF37" t="e">
        <f t="shared" si="62"/>
        <v>#N/A</v>
      </c>
      <c r="AG37" t="e">
        <f t="shared" si="62"/>
        <v>#N/A</v>
      </c>
      <c r="AH37" t="e">
        <f t="shared" si="62"/>
        <v>#N/A</v>
      </c>
      <c r="AI37" t="e">
        <f t="shared" ref="AI37:BN38" si="63">IF(OR(AI15=0,AI15=""),NA(),IF($A37,AI15,NA()))</f>
        <v>#N/A</v>
      </c>
      <c r="AJ37" t="e">
        <f t="shared" si="63"/>
        <v>#N/A</v>
      </c>
      <c r="AK37" t="e">
        <f t="shared" si="63"/>
        <v>#N/A</v>
      </c>
      <c r="AL37" t="e">
        <f t="shared" si="63"/>
        <v>#N/A</v>
      </c>
      <c r="AM37" t="e">
        <f t="shared" si="63"/>
        <v>#N/A</v>
      </c>
      <c r="AN37" t="e">
        <f t="shared" si="63"/>
        <v>#N/A</v>
      </c>
      <c r="AO37" t="e">
        <f t="shared" si="63"/>
        <v>#N/A</v>
      </c>
      <c r="AP37" t="e">
        <f t="shared" si="63"/>
        <v>#N/A</v>
      </c>
      <c r="AQ37" t="e">
        <f t="shared" si="63"/>
        <v>#N/A</v>
      </c>
      <c r="AR37" t="e">
        <f t="shared" si="63"/>
        <v>#N/A</v>
      </c>
      <c r="AS37" t="e">
        <f t="shared" si="63"/>
        <v>#N/A</v>
      </c>
      <c r="AT37" t="e">
        <f t="shared" si="63"/>
        <v>#N/A</v>
      </c>
      <c r="AU37" t="e">
        <f t="shared" si="63"/>
        <v>#N/A</v>
      </c>
      <c r="AV37" t="e">
        <f t="shared" si="63"/>
        <v>#N/A</v>
      </c>
      <c r="AW37" t="e">
        <f t="shared" si="63"/>
        <v>#N/A</v>
      </c>
      <c r="AX37" t="e">
        <f t="shared" si="63"/>
        <v>#N/A</v>
      </c>
      <c r="AY37" t="e">
        <f t="shared" si="63"/>
        <v>#N/A</v>
      </c>
      <c r="AZ37" t="e">
        <f t="shared" si="63"/>
        <v>#N/A</v>
      </c>
      <c r="BA37" t="e">
        <f t="shared" si="63"/>
        <v>#N/A</v>
      </c>
      <c r="BB37" t="e">
        <f t="shared" si="63"/>
        <v>#N/A</v>
      </c>
      <c r="BC37" t="e">
        <f t="shared" si="63"/>
        <v>#N/A</v>
      </c>
      <c r="BD37" t="e">
        <f t="shared" si="63"/>
        <v>#N/A</v>
      </c>
      <c r="BE37" t="e">
        <f t="shared" si="63"/>
        <v>#N/A</v>
      </c>
      <c r="BF37" t="e">
        <f t="shared" si="63"/>
        <v>#N/A</v>
      </c>
      <c r="BG37" t="e">
        <f t="shared" si="63"/>
        <v>#N/A</v>
      </c>
      <c r="BH37" t="e">
        <f t="shared" si="63"/>
        <v>#N/A</v>
      </c>
      <c r="BI37" t="e">
        <f t="shared" si="63"/>
        <v>#N/A</v>
      </c>
      <c r="BJ37" t="e">
        <f t="shared" si="63"/>
        <v>#N/A</v>
      </c>
      <c r="BK37" t="e">
        <f t="shared" si="63"/>
        <v>#N/A</v>
      </c>
      <c r="BL37" t="e">
        <f t="shared" si="63"/>
        <v>#N/A</v>
      </c>
      <c r="BM37" t="e">
        <f t="shared" si="63"/>
        <v>#N/A</v>
      </c>
      <c r="BN37" t="e">
        <f t="shared" si="63"/>
        <v>#N/A</v>
      </c>
      <c r="BO37" t="e">
        <f t="shared" ref="BO37:CI38" si="64">IF(OR(BO15=0,BO15=""),NA(),IF($A37,BO15,NA()))</f>
        <v>#N/A</v>
      </c>
      <c r="BP37" t="e">
        <f t="shared" si="64"/>
        <v>#N/A</v>
      </c>
      <c r="BQ37" t="e">
        <f t="shared" si="64"/>
        <v>#N/A</v>
      </c>
      <c r="BR37" t="e">
        <f t="shared" si="64"/>
        <v>#N/A</v>
      </c>
      <c r="BS37" t="e">
        <f t="shared" si="64"/>
        <v>#N/A</v>
      </c>
      <c r="BT37" t="e">
        <f t="shared" si="64"/>
        <v>#N/A</v>
      </c>
      <c r="BU37" t="e">
        <f t="shared" si="64"/>
        <v>#N/A</v>
      </c>
      <c r="BV37" t="e">
        <f t="shared" si="64"/>
        <v>#N/A</v>
      </c>
      <c r="BW37" t="e">
        <f t="shared" si="64"/>
        <v>#N/A</v>
      </c>
      <c r="BX37" t="e">
        <f t="shared" si="64"/>
        <v>#N/A</v>
      </c>
      <c r="BY37" t="e">
        <f t="shared" si="64"/>
        <v>#N/A</v>
      </c>
      <c r="BZ37" t="e">
        <f t="shared" si="64"/>
        <v>#N/A</v>
      </c>
      <c r="CA37" t="e">
        <f t="shared" si="64"/>
        <v>#N/A</v>
      </c>
      <c r="CB37" t="e">
        <f t="shared" si="64"/>
        <v>#N/A</v>
      </c>
      <c r="CC37" t="e">
        <f t="shared" si="64"/>
        <v>#N/A</v>
      </c>
      <c r="CD37" t="e">
        <f t="shared" si="64"/>
        <v>#N/A</v>
      </c>
      <c r="CE37" t="e">
        <f t="shared" si="64"/>
        <v>#N/A</v>
      </c>
      <c r="CF37" t="e">
        <f t="shared" si="64"/>
        <v>#N/A</v>
      </c>
      <c r="CG37" t="e">
        <f t="shared" si="64"/>
        <v>#N/A</v>
      </c>
      <c r="CH37" t="e">
        <f t="shared" si="64"/>
        <v>#N/A</v>
      </c>
      <c r="CI37" t="e">
        <f t="shared" si="64"/>
        <v>#N/A</v>
      </c>
      <c r="CJ37" t="e">
        <f t="shared" ref="CJ37:DH37" si="65">IF(OR(CJ15=0,CJ15=""),NA(),IF($A37,CJ15,NA()))</f>
        <v>#N/A</v>
      </c>
      <c r="CK37" t="e">
        <f t="shared" si="65"/>
        <v>#N/A</v>
      </c>
      <c r="CL37" t="e">
        <f t="shared" si="65"/>
        <v>#N/A</v>
      </c>
      <c r="CM37" t="e">
        <f t="shared" si="65"/>
        <v>#N/A</v>
      </c>
      <c r="CN37" t="e">
        <f t="shared" si="65"/>
        <v>#N/A</v>
      </c>
      <c r="CO37" t="e">
        <f t="shared" si="65"/>
        <v>#N/A</v>
      </c>
      <c r="CP37" t="e">
        <f t="shared" si="65"/>
        <v>#N/A</v>
      </c>
      <c r="CQ37" t="e">
        <f t="shared" si="65"/>
        <v>#N/A</v>
      </c>
      <c r="CR37" t="e">
        <f t="shared" si="65"/>
        <v>#N/A</v>
      </c>
      <c r="CS37" t="e">
        <f t="shared" si="65"/>
        <v>#N/A</v>
      </c>
      <c r="CT37" t="e">
        <f t="shared" si="65"/>
        <v>#N/A</v>
      </c>
      <c r="CU37" t="e">
        <f t="shared" si="65"/>
        <v>#N/A</v>
      </c>
      <c r="CV37" t="e">
        <f t="shared" si="65"/>
        <v>#N/A</v>
      </c>
      <c r="CW37" t="e">
        <f t="shared" si="65"/>
        <v>#N/A</v>
      </c>
      <c r="CX37" t="e">
        <f t="shared" si="65"/>
        <v>#N/A</v>
      </c>
      <c r="CY37" t="e">
        <f t="shared" si="65"/>
        <v>#N/A</v>
      </c>
      <c r="CZ37" t="e">
        <f t="shared" si="65"/>
        <v>#N/A</v>
      </c>
      <c r="DA37" t="e">
        <f t="shared" si="65"/>
        <v>#N/A</v>
      </c>
      <c r="DB37" t="e">
        <f t="shared" si="65"/>
        <v>#N/A</v>
      </c>
      <c r="DC37" t="e">
        <f t="shared" si="65"/>
        <v>#N/A</v>
      </c>
      <c r="DD37" t="e">
        <f t="shared" si="65"/>
        <v>#N/A</v>
      </c>
      <c r="DE37" t="e">
        <f t="shared" si="65"/>
        <v>#N/A</v>
      </c>
      <c r="DF37" t="e">
        <f t="shared" si="65"/>
        <v>#N/A</v>
      </c>
      <c r="DG37" t="e">
        <f t="shared" si="65"/>
        <v>#N/A</v>
      </c>
      <c r="DH37" s="686" t="e">
        <f t="shared" si="65"/>
        <v>#N/A</v>
      </c>
    </row>
    <row r="38" spans="1:112" x14ac:dyDescent="0.35">
      <c r="A38" s="685" t="b">
        <v>1</v>
      </c>
      <c r="B38" t="str">
        <f>B16</f>
        <v>Utslipp arealbeslag</v>
      </c>
      <c r="C38" t="e">
        <f t="shared" si="62"/>
        <v>#N/A</v>
      </c>
      <c r="D38" t="e">
        <f t="shared" si="62"/>
        <v>#N/A</v>
      </c>
      <c r="E38" t="e">
        <f t="shared" si="62"/>
        <v>#N/A</v>
      </c>
      <c r="F38" t="e">
        <f t="shared" si="62"/>
        <v>#N/A</v>
      </c>
      <c r="G38" t="e">
        <f t="shared" si="62"/>
        <v>#N/A</v>
      </c>
      <c r="H38" t="e">
        <f t="shared" si="62"/>
        <v>#N/A</v>
      </c>
      <c r="I38" t="e">
        <f t="shared" si="62"/>
        <v>#N/A</v>
      </c>
      <c r="J38" t="e">
        <f t="shared" si="62"/>
        <v>#N/A</v>
      </c>
      <c r="K38" t="e">
        <f t="shared" si="62"/>
        <v>#N/A</v>
      </c>
      <c r="L38" t="e">
        <f t="shared" si="62"/>
        <v>#N/A</v>
      </c>
      <c r="M38" t="e">
        <f t="shared" si="62"/>
        <v>#N/A</v>
      </c>
      <c r="N38" t="e">
        <f t="shared" si="62"/>
        <v>#N/A</v>
      </c>
      <c r="O38" t="e">
        <f t="shared" si="62"/>
        <v>#N/A</v>
      </c>
      <c r="P38" t="e">
        <f t="shared" si="62"/>
        <v>#N/A</v>
      </c>
      <c r="Q38" t="e">
        <f t="shared" si="62"/>
        <v>#N/A</v>
      </c>
      <c r="R38" t="e">
        <f t="shared" si="62"/>
        <v>#N/A</v>
      </c>
      <c r="S38" t="e">
        <f t="shared" si="62"/>
        <v>#N/A</v>
      </c>
      <c r="T38" t="e">
        <f t="shared" si="62"/>
        <v>#N/A</v>
      </c>
      <c r="U38" t="e">
        <f t="shared" si="62"/>
        <v>#N/A</v>
      </c>
      <c r="V38" t="e">
        <f t="shared" si="62"/>
        <v>#N/A</v>
      </c>
      <c r="W38" t="e">
        <f t="shared" si="62"/>
        <v>#N/A</v>
      </c>
      <c r="X38" t="e">
        <f t="shared" si="62"/>
        <v>#N/A</v>
      </c>
      <c r="Y38" t="e">
        <f t="shared" si="62"/>
        <v>#N/A</v>
      </c>
      <c r="Z38" t="e">
        <f t="shared" si="62"/>
        <v>#N/A</v>
      </c>
      <c r="AA38" t="e">
        <f t="shared" si="62"/>
        <v>#N/A</v>
      </c>
      <c r="AB38" t="e">
        <f t="shared" si="62"/>
        <v>#N/A</v>
      </c>
      <c r="AC38" t="e">
        <f t="shared" si="62"/>
        <v>#N/A</v>
      </c>
      <c r="AD38" t="e">
        <f t="shared" si="62"/>
        <v>#N/A</v>
      </c>
      <c r="AE38" t="e">
        <f t="shared" si="62"/>
        <v>#N/A</v>
      </c>
      <c r="AF38" t="e">
        <f t="shared" si="62"/>
        <v>#N/A</v>
      </c>
      <c r="AG38" t="e">
        <f t="shared" si="62"/>
        <v>#N/A</v>
      </c>
      <c r="AH38" t="e">
        <f t="shared" si="62"/>
        <v>#N/A</v>
      </c>
      <c r="AI38" t="e">
        <f t="shared" si="63"/>
        <v>#N/A</v>
      </c>
      <c r="AJ38" t="e">
        <f t="shared" si="63"/>
        <v>#N/A</v>
      </c>
      <c r="AK38" t="e">
        <f t="shared" si="63"/>
        <v>#N/A</v>
      </c>
      <c r="AL38" t="e">
        <f t="shared" si="63"/>
        <v>#N/A</v>
      </c>
      <c r="AM38" t="e">
        <f t="shared" si="63"/>
        <v>#N/A</v>
      </c>
      <c r="AN38" t="e">
        <f t="shared" si="63"/>
        <v>#N/A</v>
      </c>
      <c r="AO38" t="e">
        <f t="shared" si="63"/>
        <v>#N/A</v>
      </c>
      <c r="AP38" t="e">
        <f t="shared" si="63"/>
        <v>#N/A</v>
      </c>
      <c r="AQ38" t="e">
        <f t="shared" si="63"/>
        <v>#N/A</v>
      </c>
      <c r="AR38" t="e">
        <f t="shared" si="63"/>
        <v>#N/A</v>
      </c>
      <c r="AS38" t="e">
        <f t="shared" si="63"/>
        <v>#N/A</v>
      </c>
      <c r="AT38" t="e">
        <f t="shared" si="63"/>
        <v>#N/A</v>
      </c>
      <c r="AU38" t="e">
        <f t="shared" si="63"/>
        <v>#N/A</v>
      </c>
      <c r="AV38" t="e">
        <f t="shared" si="63"/>
        <v>#N/A</v>
      </c>
      <c r="AW38" t="e">
        <f t="shared" si="63"/>
        <v>#N/A</v>
      </c>
      <c r="AX38" t="e">
        <f t="shared" si="63"/>
        <v>#N/A</v>
      </c>
      <c r="AY38" t="e">
        <f t="shared" si="63"/>
        <v>#N/A</v>
      </c>
      <c r="AZ38" t="e">
        <f t="shared" si="63"/>
        <v>#N/A</v>
      </c>
      <c r="BA38" t="e">
        <f t="shared" si="63"/>
        <v>#N/A</v>
      </c>
      <c r="BB38" t="e">
        <f t="shared" si="63"/>
        <v>#N/A</v>
      </c>
      <c r="BC38" t="e">
        <f t="shared" si="63"/>
        <v>#N/A</v>
      </c>
      <c r="BD38" t="e">
        <f t="shared" si="63"/>
        <v>#N/A</v>
      </c>
      <c r="BE38" t="e">
        <f t="shared" si="63"/>
        <v>#N/A</v>
      </c>
      <c r="BF38" t="e">
        <f t="shared" si="63"/>
        <v>#N/A</v>
      </c>
      <c r="BG38" t="e">
        <f t="shared" si="63"/>
        <v>#N/A</v>
      </c>
      <c r="BH38" t="e">
        <f t="shared" si="63"/>
        <v>#N/A</v>
      </c>
      <c r="BI38" t="e">
        <f t="shared" si="63"/>
        <v>#N/A</v>
      </c>
      <c r="BJ38" t="e">
        <f t="shared" si="63"/>
        <v>#N/A</v>
      </c>
      <c r="BK38" t="e">
        <f t="shared" si="63"/>
        <v>#N/A</v>
      </c>
      <c r="BL38" t="e">
        <f t="shared" si="63"/>
        <v>#N/A</v>
      </c>
      <c r="BM38" t="e">
        <f t="shared" si="63"/>
        <v>#N/A</v>
      </c>
      <c r="BN38" t="e">
        <f t="shared" si="63"/>
        <v>#N/A</v>
      </c>
      <c r="BO38" t="e">
        <f t="shared" si="64"/>
        <v>#N/A</v>
      </c>
      <c r="BP38" t="e">
        <f t="shared" si="64"/>
        <v>#N/A</v>
      </c>
      <c r="BQ38" t="e">
        <f t="shared" si="64"/>
        <v>#N/A</v>
      </c>
      <c r="BR38" t="e">
        <f t="shared" si="64"/>
        <v>#N/A</v>
      </c>
      <c r="BS38" t="e">
        <f t="shared" si="64"/>
        <v>#N/A</v>
      </c>
      <c r="BT38" t="e">
        <f t="shared" si="64"/>
        <v>#N/A</v>
      </c>
      <c r="BU38" t="e">
        <f t="shared" si="64"/>
        <v>#N/A</v>
      </c>
      <c r="BV38" t="e">
        <f t="shared" si="64"/>
        <v>#N/A</v>
      </c>
      <c r="BW38" t="e">
        <f t="shared" si="64"/>
        <v>#N/A</v>
      </c>
      <c r="BX38" t="e">
        <f t="shared" si="64"/>
        <v>#N/A</v>
      </c>
      <c r="BY38" t="e">
        <f t="shared" si="64"/>
        <v>#N/A</v>
      </c>
      <c r="BZ38" t="e">
        <f t="shared" si="64"/>
        <v>#N/A</v>
      </c>
      <c r="CA38" t="e">
        <f t="shared" si="64"/>
        <v>#N/A</v>
      </c>
      <c r="CB38" t="e">
        <f t="shared" si="64"/>
        <v>#N/A</v>
      </c>
      <c r="CC38" t="e">
        <f t="shared" si="64"/>
        <v>#N/A</v>
      </c>
      <c r="CD38" t="e">
        <f t="shared" si="64"/>
        <v>#N/A</v>
      </c>
      <c r="CE38" t="e">
        <f t="shared" si="64"/>
        <v>#N/A</v>
      </c>
      <c r="CF38" t="e">
        <f t="shared" si="64"/>
        <v>#N/A</v>
      </c>
      <c r="CG38" t="e">
        <f t="shared" si="64"/>
        <v>#N/A</v>
      </c>
      <c r="CH38" t="e">
        <f t="shared" si="64"/>
        <v>#N/A</v>
      </c>
      <c r="CI38" t="e">
        <f t="shared" si="64"/>
        <v>#N/A</v>
      </c>
      <c r="CJ38" t="e">
        <f t="shared" ref="CJ38:DH38" si="66">IF(OR(CJ16=0,CJ16=""),NA(),IF($A38,CJ16,NA()))</f>
        <v>#N/A</v>
      </c>
      <c r="CK38" t="e">
        <f t="shared" si="66"/>
        <v>#N/A</v>
      </c>
      <c r="CL38" t="e">
        <f t="shared" si="66"/>
        <v>#N/A</v>
      </c>
      <c r="CM38" t="e">
        <f t="shared" si="66"/>
        <v>#N/A</v>
      </c>
      <c r="CN38" t="e">
        <f t="shared" si="66"/>
        <v>#N/A</v>
      </c>
      <c r="CO38" t="e">
        <f t="shared" si="66"/>
        <v>#N/A</v>
      </c>
      <c r="CP38" t="e">
        <f t="shared" si="66"/>
        <v>#N/A</v>
      </c>
      <c r="CQ38" t="e">
        <f t="shared" si="66"/>
        <v>#N/A</v>
      </c>
      <c r="CR38" t="e">
        <f t="shared" si="66"/>
        <v>#N/A</v>
      </c>
      <c r="CS38" t="e">
        <f t="shared" si="66"/>
        <v>#N/A</v>
      </c>
      <c r="CT38" t="e">
        <f t="shared" si="66"/>
        <v>#N/A</v>
      </c>
      <c r="CU38" t="e">
        <f t="shared" si="66"/>
        <v>#N/A</v>
      </c>
      <c r="CV38" t="e">
        <f t="shared" si="66"/>
        <v>#N/A</v>
      </c>
      <c r="CW38" t="e">
        <f t="shared" si="66"/>
        <v>#N/A</v>
      </c>
      <c r="CX38" t="e">
        <f t="shared" si="66"/>
        <v>#N/A</v>
      </c>
      <c r="CY38" t="e">
        <f t="shared" si="66"/>
        <v>#N/A</v>
      </c>
      <c r="CZ38" t="e">
        <f t="shared" si="66"/>
        <v>#N/A</v>
      </c>
      <c r="DA38" t="e">
        <f t="shared" si="66"/>
        <v>#N/A</v>
      </c>
      <c r="DB38" t="e">
        <f t="shared" si="66"/>
        <v>#N/A</v>
      </c>
      <c r="DC38" t="e">
        <f t="shared" si="66"/>
        <v>#N/A</v>
      </c>
      <c r="DD38" t="e">
        <f t="shared" si="66"/>
        <v>#N/A</v>
      </c>
      <c r="DE38" t="e">
        <f t="shared" si="66"/>
        <v>#N/A</v>
      </c>
      <c r="DF38" t="e">
        <f t="shared" si="66"/>
        <v>#N/A</v>
      </c>
      <c r="DG38" t="e">
        <f t="shared" si="66"/>
        <v>#N/A</v>
      </c>
      <c r="DH38" s="686" t="e">
        <f t="shared" si="66"/>
        <v>#N/A</v>
      </c>
    </row>
    <row r="39" spans="1:112" x14ac:dyDescent="0.35">
      <c r="A39" s="685" t="b">
        <v>1</v>
      </c>
      <c r="B39" t="s">
        <v>2160</v>
      </c>
      <c r="C39" t="e">
        <f>IF(SUMIF(C28:C38,"&lt;&gt;#I/T",C28:C38)=0,NA(),SUMIF(C28:C38,"&lt;&gt;#I/T",C28:C38))</f>
        <v>#N/A</v>
      </c>
      <c r="D39" t="e">
        <f t="shared" ref="D39:BO39" si="67">IF(SUMIF(D28:D38,"&lt;&gt;#I/T",D28:D38)=0,NA(),SUMIF(D28:D38,"&lt;&gt;#I/T",D28:D38))</f>
        <v>#N/A</v>
      </c>
      <c r="E39" t="e">
        <f t="shared" si="67"/>
        <v>#N/A</v>
      </c>
      <c r="F39" t="e">
        <f t="shared" si="67"/>
        <v>#N/A</v>
      </c>
      <c r="G39" t="e">
        <f t="shared" si="67"/>
        <v>#N/A</v>
      </c>
      <c r="H39" t="e">
        <f t="shared" si="67"/>
        <v>#N/A</v>
      </c>
      <c r="I39" t="e">
        <f t="shared" si="67"/>
        <v>#N/A</v>
      </c>
      <c r="J39" t="e">
        <f t="shared" si="67"/>
        <v>#N/A</v>
      </c>
      <c r="K39" t="e">
        <f t="shared" si="67"/>
        <v>#N/A</v>
      </c>
      <c r="L39" t="e">
        <f t="shared" si="67"/>
        <v>#N/A</v>
      </c>
      <c r="M39" t="e">
        <f t="shared" ca="1" si="67"/>
        <v>#N/A</v>
      </c>
      <c r="N39" t="e">
        <f t="shared" ca="1" si="67"/>
        <v>#N/A</v>
      </c>
      <c r="O39" t="e">
        <f t="shared" ca="1" si="67"/>
        <v>#N/A</v>
      </c>
      <c r="P39" t="e">
        <f t="shared" ca="1" si="67"/>
        <v>#N/A</v>
      </c>
      <c r="Q39" t="e">
        <f t="shared" ca="1" si="67"/>
        <v>#N/A</v>
      </c>
      <c r="R39" t="e">
        <f t="shared" ca="1" si="67"/>
        <v>#N/A</v>
      </c>
      <c r="S39" t="e">
        <f t="shared" ca="1" si="67"/>
        <v>#N/A</v>
      </c>
      <c r="T39" t="e">
        <f t="shared" ca="1" si="67"/>
        <v>#N/A</v>
      </c>
      <c r="U39" t="e">
        <f t="shared" ca="1" si="67"/>
        <v>#N/A</v>
      </c>
      <c r="V39" t="e">
        <f t="shared" ca="1" si="67"/>
        <v>#N/A</v>
      </c>
      <c r="W39" t="e">
        <f t="shared" ca="1" si="67"/>
        <v>#N/A</v>
      </c>
      <c r="X39" t="e">
        <f t="shared" ca="1" si="67"/>
        <v>#N/A</v>
      </c>
      <c r="Y39" t="e">
        <f t="shared" ca="1" si="67"/>
        <v>#N/A</v>
      </c>
      <c r="Z39" t="e">
        <f t="shared" ca="1" si="67"/>
        <v>#N/A</v>
      </c>
      <c r="AA39" t="e">
        <f t="shared" ca="1" si="67"/>
        <v>#N/A</v>
      </c>
      <c r="AB39" t="e">
        <f t="shared" ca="1" si="67"/>
        <v>#N/A</v>
      </c>
      <c r="AC39" t="e">
        <f t="shared" ca="1" si="67"/>
        <v>#N/A</v>
      </c>
      <c r="AD39" t="e">
        <f t="shared" ca="1" si="67"/>
        <v>#N/A</v>
      </c>
      <c r="AE39" t="e">
        <f t="shared" ca="1" si="67"/>
        <v>#N/A</v>
      </c>
      <c r="AF39" t="e">
        <f t="shared" ca="1" si="67"/>
        <v>#N/A</v>
      </c>
      <c r="AG39" t="e">
        <f t="shared" ca="1" si="67"/>
        <v>#N/A</v>
      </c>
      <c r="AH39" t="e">
        <f t="shared" ca="1" si="67"/>
        <v>#N/A</v>
      </c>
      <c r="AI39" t="e">
        <f t="shared" ca="1" si="67"/>
        <v>#N/A</v>
      </c>
      <c r="AJ39" t="e">
        <f t="shared" ca="1" si="67"/>
        <v>#N/A</v>
      </c>
      <c r="AK39" t="e">
        <f t="shared" ca="1" si="67"/>
        <v>#N/A</v>
      </c>
      <c r="AL39" t="e">
        <f t="shared" ca="1" si="67"/>
        <v>#N/A</v>
      </c>
      <c r="AM39" t="e">
        <f t="shared" ca="1" si="67"/>
        <v>#N/A</v>
      </c>
      <c r="AN39" t="e">
        <f t="shared" ca="1" si="67"/>
        <v>#N/A</v>
      </c>
      <c r="AO39" t="e">
        <f t="shared" ca="1" si="67"/>
        <v>#N/A</v>
      </c>
      <c r="AP39" t="e">
        <f t="shared" ca="1" si="67"/>
        <v>#N/A</v>
      </c>
      <c r="AQ39" t="e">
        <f t="shared" ca="1" si="67"/>
        <v>#N/A</v>
      </c>
      <c r="AR39" t="e">
        <f t="shared" ca="1" si="67"/>
        <v>#N/A</v>
      </c>
      <c r="AS39" t="e">
        <f t="shared" ca="1" si="67"/>
        <v>#N/A</v>
      </c>
      <c r="AT39" t="e">
        <f t="shared" ca="1" si="67"/>
        <v>#N/A</v>
      </c>
      <c r="AU39" t="e">
        <f t="shared" ca="1" si="67"/>
        <v>#N/A</v>
      </c>
      <c r="AV39" t="e">
        <f t="shared" ca="1" si="67"/>
        <v>#N/A</v>
      </c>
      <c r="AW39" t="e">
        <f t="shared" ca="1" si="67"/>
        <v>#N/A</v>
      </c>
      <c r="AX39" t="e">
        <f t="shared" ca="1" si="67"/>
        <v>#N/A</v>
      </c>
      <c r="AY39" t="e">
        <f t="shared" ca="1" si="67"/>
        <v>#N/A</v>
      </c>
      <c r="AZ39" t="e">
        <f t="shared" ca="1" si="67"/>
        <v>#N/A</v>
      </c>
      <c r="BA39" t="e">
        <f t="shared" ca="1" si="67"/>
        <v>#N/A</v>
      </c>
      <c r="BB39" t="e">
        <f t="shared" ca="1" si="67"/>
        <v>#N/A</v>
      </c>
      <c r="BC39" t="e">
        <f t="shared" ca="1" si="67"/>
        <v>#N/A</v>
      </c>
      <c r="BD39" t="e">
        <f t="shared" ca="1" si="67"/>
        <v>#N/A</v>
      </c>
      <c r="BE39" t="e">
        <f t="shared" ca="1" si="67"/>
        <v>#N/A</v>
      </c>
      <c r="BF39" t="e">
        <f t="shared" ca="1" si="67"/>
        <v>#N/A</v>
      </c>
      <c r="BG39" t="e">
        <f t="shared" ca="1" si="67"/>
        <v>#N/A</v>
      </c>
      <c r="BH39" t="e">
        <f t="shared" ca="1" si="67"/>
        <v>#N/A</v>
      </c>
      <c r="BI39" t="e">
        <f t="shared" ca="1" si="67"/>
        <v>#N/A</v>
      </c>
      <c r="BJ39" t="e">
        <f t="shared" ca="1" si="67"/>
        <v>#N/A</v>
      </c>
      <c r="BK39" t="e">
        <f t="shared" ca="1" si="67"/>
        <v>#N/A</v>
      </c>
      <c r="BL39" t="e">
        <f t="shared" ca="1" si="67"/>
        <v>#N/A</v>
      </c>
      <c r="BM39" t="e">
        <f t="shared" ca="1" si="67"/>
        <v>#N/A</v>
      </c>
      <c r="BN39" t="e">
        <f t="shared" ca="1" si="67"/>
        <v>#N/A</v>
      </c>
      <c r="BO39" t="e">
        <f t="shared" ca="1" si="67"/>
        <v>#N/A</v>
      </c>
      <c r="BP39" t="e">
        <f t="shared" ref="BP39:CI39" ca="1" si="68">IF(SUMIF(BP28:BP38,"&lt;&gt;#I/T",BP28:BP38)=0,NA(),SUMIF(BP28:BP38,"&lt;&gt;#I/T",BP28:BP38))</f>
        <v>#N/A</v>
      </c>
      <c r="BQ39" t="e">
        <f t="shared" ca="1" si="68"/>
        <v>#N/A</v>
      </c>
      <c r="BR39" t="e">
        <f t="shared" ca="1" si="68"/>
        <v>#N/A</v>
      </c>
      <c r="BS39" t="e">
        <f t="shared" ca="1" si="68"/>
        <v>#N/A</v>
      </c>
      <c r="BT39" t="e">
        <f t="shared" ca="1" si="68"/>
        <v>#N/A</v>
      </c>
      <c r="BU39" t="e">
        <f t="shared" ca="1" si="68"/>
        <v>#N/A</v>
      </c>
      <c r="BV39" t="e">
        <f t="shared" ca="1" si="68"/>
        <v>#N/A</v>
      </c>
      <c r="BW39" t="e">
        <f t="shared" ca="1" si="68"/>
        <v>#N/A</v>
      </c>
      <c r="BX39" t="e">
        <f t="shared" ca="1" si="68"/>
        <v>#N/A</v>
      </c>
      <c r="BY39" t="e">
        <f t="shared" ca="1" si="68"/>
        <v>#N/A</v>
      </c>
      <c r="BZ39" t="e">
        <f t="shared" ca="1" si="68"/>
        <v>#N/A</v>
      </c>
      <c r="CA39" t="e">
        <f t="shared" ca="1" si="68"/>
        <v>#N/A</v>
      </c>
      <c r="CB39" t="e">
        <f t="shared" ca="1" si="68"/>
        <v>#N/A</v>
      </c>
      <c r="CC39" t="e">
        <f t="shared" ca="1" si="68"/>
        <v>#N/A</v>
      </c>
      <c r="CD39" t="e">
        <f t="shared" ca="1" si="68"/>
        <v>#N/A</v>
      </c>
      <c r="CE39" t="e">
        <f t="shared" ca="1" si="68"/>
        <v>#N/A</v>
      </c>
      <c r="CF39" t="e">
        <f t="shared" ca="1" si="68"/>
        <v>#N/A</v>
      </c>
      <c r="CG39" t="e">
        <f t="shared" ca="1" si="68"/>
        <v>#N/A</v>
      </c>
      <c r="CH39" t="e">
        <f t="shared" ca="1" si="68"/>
        <v>#N/A</v>
      </c>
      <c r="CI39" t="e">
        <f t="shared" ca="1" si="68"/>
        <v>#N/A</v>
      </c>
      <c r="CJ39" t="e">
        <f t="shared" ref="CJ39:DH39" ca="1" si="69">IF(SUMIF(CJ28:CJ38,"&lt;&gt;#I/T",CJ28:CJ38)=0,NA(),SUMIF(CJ28:CJ38,"&lt;&gt;#I/T",CJ28:CJ38))</f>
        <v>#N/A</v>
      </c>
      <c r="CK39" t="e">
        <f t="shared" ca="1" si="69"/>
        <v>#N/A</v>
      </c>
      <c r="CL39" t="e">
        <f t="shared" ca="1" si="69"/>
        <v>#N/A</v>
      </c>
      <c r="CM39" t="e">
        <f t="shared" ca="1" si="69"/>
        <v>#N/A</v>
      </c>
      <c r="CN39" t="e">
        <f t="shared" ca="1" si="69"/>
        <v>#N/A</v>
      </c>
      <c r="CO39" t="e">
        <f t="shared" ca="1" si="69"/>
        <v>#N/A</v>
      </c>
      <c r="CP39" t="e">
        <f t="shared" ca="1" si="69"/>
        <v>#N/A</v>
      </c>
      <c r="CQ39" t="e">
        <f t="shared" ca="1" si="69"/>
        <v>#N/A</v>
      </c>
      <c r="CR39" t="e">
        <f t="shared" ca="1" si="69"/>
        <v>#N/A</v>
      </c>
      <c r="CS39" t="e">
        <f t="shared" ca="1" si="69"/>
        <v>#N/A</v>
      </c>
      <c r="CT39" t="e">
        <f t="shared" ca="1" si="69"/>
        <v>#N/A</v>
      </c>
      <c r="CU39" t="e">
        <f t="shared" ca="1" si="69"/>
        <v>#N/A</v>
      </c>
      <c r="CV39" t="e">
        <f t="shared" ca="1" si="69"/>
        <v>#N/A</v>
      </c>
      <c r="CW39" t="e">
        <f t="shared" ca="1" si="69"/>
        <v>#N/A</v>
      </c>
      <c r="CX39" t="e">
        <f t="shared" ca="1" si="69"/>
        <v>#N/A</v>
      </c>
      <c r="CY39" t="e">
        <f t="shared" ca="1" si="69"/>
        <v>#N/A</v>
      </c>
      <c r="CZ39" t="e">
        <f t="shared" ca="1" si="69"/>
        <v>#N/A</v>
      </c>
      <c r="DA39" t="e">
        <f t="shared" ca="1" si="69"/>
        <v>#N/A</v>
      </c>
      <c r="DB39" t="e">
        <f t="shared" ca="1" si="69"/>
        <v>#N/A</v>
      </c>
      <c r="DC39" t="e">
        <f t="shared" ca="1" si="69"/>
        <v>#N/A</v>
      </c>
      <c r="DD39" t="e">
        <f t="shared" ca="1" si="69"/>
        <v>#N/A</v>
      </c>
      <c r="DE39" t="e">
        <f t="shared" ca="1" si="69"/>
        <v>#N/A</v>
      </c>
      <c r="DF39" t="e">
        <f t="shared" ca="1" si="69"/>
        <v>#N/A</v>
      </c>
      <c r="DG39" t="e">
        <f t="shared" ca="1" si="69"/>
        <v>#N/A</v>
      </c>
      <c r="DH39" s="686" t="e">
        <f t="shared" ca="1" si="69"/>
        <v>#N/A</v>
      </c>
    </row>
    <row r="40" spans="1:112" x14ac:dyDescent="0.35">
      <c r="A40" s="685" t="b">
        <v>1</v>
      </c>
      <c r="B40" t="s">
        <v>2046</v>
      </c>
      <c r="C40" t="e">
        <f t="shared" ref="C40:AH40" si="70">IF(C17="",NA(),IF($A40,C17,NA()))</f>
        <v>#N/A</v>
      </c>
      <c r="D40" t="e">
        <f t="shared" si="70"/>
        <v>#N/A</v>
      </c>
      <c r="E40" t="e">
        <f t="shared" si="70"/>
        <v>#N/A</v>
      </c>
      <c r="F40" t="e">
        <f t="shared" si="70"/>
        <v>#N/A</v>
      </c>
      <c r="G40" t="e">
        <f t="shared" si="70"/>
        <v>#N/A</v>
      </c>
      <c r="H40" t="e">
        <f t="shared" si="70"/>
        <v>#N/A</v>
      </c>
      <c r="I40" t="e">
        <f t="shared" si="70"/>
        <v>#N/A</v>
      </c>
      <c r="J40" t="e">
        <f t="shared" si="70"/>
        <v>#N/A</v>
      </c>
      <c r="K40" t="e">
        <f t="shared" si="70"/>
        <v>#N/A</v>
      </c>
      <c r="L40" t="e">
        <f t="shared" si="70"/>
        <v>#N/A</v>
      </c>
      <c r="M40" t="e">
        <f t="shared" si="70"/>
        <v>#N/A</v>
      </c>
      <c r="N40" t="e">
        <f t="shared" si="70"/>
        <v>#N/A</v>
      </c>
      <c r="O40" t="e">
        <f t="shared" si="70"/>
        <v>#N/A</v>
      </c>
      <c r="P40" t="e">
        <f t="shared" si="70"/>
        <v>#N/A</v>
      </c>
      <c r="Q40" t="e">
        <f t="shared" si="70"/>
        <v>#N/A</v>
      </c>
      <c r="R40" t="e">
        <f t="shared" si="70"/>
        <v>#N/A</v>
      </c>
      <c r="S40" t="e">
        <f t="shared" si="70"/>
        <v>#N/A</v>
      </c>
      <c r="T40" t="e">
        <f t="shared" si="70"/>
        <v>#N/A</v>
      </c>
      <c r="U40" t="e">
        <f t="shared" si="70"/>
        <v>#N/A</v>
      </c>
      <c r="V40" t="e">
        <f t="shared" si="70"/>
        <v>#N/A</v>
      </c>
      <c r="W40" t="e">
        <f t="shared" si="70"/>
        <v>#N/A</v>
      </c>
      <c r="X40" t="e">
        <f t="shared" si="70"/>
        <v>#N/A</v>
      </c>
      <c r="Y40" t="e">
        <f t="shared" si="70"/>
        <v>#N/A</v>
      </c>
      <c r="Z40" t="e">
        <f t="shared" si="70"/>
        <v>#N/A</v>
      </c>
      <c r="AA40" t="e">
        <f t="shared" si="70"/>
        <v>#N/A</v>
      </c>
      <c r="AB40" t="e">
        <f t="shared" si="70"/>
        <v>#N/A</v>
      </c>
      <c r="AC40" t="e">
        <f t="shared" si="70"/>
        <v>#N/A</v>
      </c>
      <c r="AD40" t="e">
        <f t="shared" si="70"/>
        <v>#N/A</v>
      </c>
      <c r="AE40" t="e">
        <f t="shared" si="70"/>
        <v>#N/A</v>
      </c>
      <c r="AF40" t="e">
        <f t="shared" si="70"/>
        <v>#N/A</v>
      </c>
      <c r="AG40" t="e">
        <f t="shared" si="70"/>
        <v>#N/A</v>
      </c>
      <c r="AH40" t="e">
        <f t="shared" si="70"/>
        <v>#N/A</v>
      </c>
      <c r="AI40" t="e">
        <f t="shared" ref="AI40:BN40" si="71">IF(AI17="",NA(),IF($A40,AI17,NA()))</f>
        <v>#N/A</v>
      </c>
      <c r="AJ40" t="e">
        <f t="shared" si="71"/>
        <v>#N/A</v>
      </c>
      <c r="AK40" t="e">
        <f t="shared" si="71"/>
        <v>#N/A</v>
      </c>
      <c r="AL40" t="e">
        <f t="shared" si="71"/>
        <v>#N/A</v>
      </c>
      <c r="AM40" t="e">
        <f t="shared" si="71"/>
        <v>#N/A</v>
      </c>
      <c r="AN40" t="e">
        <f t="shared" si="71"/>
        <v>#N/A</v>
      </c>
      <c r="AO40" t="e">
        <f t="shared" si="71"/>
        <v>#N/A</v>
      </c>
      <c r="AP40" t="e">
        <f t="shared" si="71"/>
        <v>#N/A</v>
      </c>
      <c r="AQ40" t="e">
        <f t="shared" si="71"/>
        <v>#N/A</v>
      </c>
      <c r="AR40" t="e">
        <f t="shared" si="71"/>
        <v>#N/A</v>
      </c>
      <c r="AS40" t="e">
        <f t="shared" si="71"/>
        <v>#N/A</v>
      </c>
      <c r="AT40" t="e">
        <f t="shared" si="71"/>
        <v>#N/A</v>
      </c>
      <c r="AU40" t="e">
        <f t="shared" si="71"/>
        <v>#N/A</v>
      </c>
      <c r="AV40" t="e">
        <f t="shared" si="71"/>
        <v>#N/A</v>
      </c>
      <c r="AW40" t="e">
        <f t="shared" si="71"/>
        <v>#N/A</v>
      </c>
      <c r="AX40" t="e">
        <f t="shared" si="71"/>
        <v>#N/A</v>
      </c>
      <c r="AY40" t="e">
        <f t="shared" si="71"/>
        <v>#N/A</v>
      </c>
      <c r="AZ40" t="e">
        <f t="shared" si="71"/>
        <v>#N/A</v>
      </c>
      <c r="BA40" t="e">
        <f t="shared" si="71"/>
        <v>#N/A</v>
      </c>
      <c r="BB40" t="e">
        <f t="shared" si="71"/>
        <v>#N/A</v>
      </c>
      <c r="BC40" t="e">
        <f t="shared" si="71"/>
        <v>#N/A</v>
      </c>
      <c r="BD40" t="e">
        <f t="shared" si="71"/>
        <v>#N/A</v>
      </c>
      <c r="BE40" t="e">
        <f t="shared" si="71"/>
        <v>#N/A</v>
      </c>
      <c r="BF40" t="e">
        <f t="shared" si="71"/>
        <v>#N/A</v>
      </c>
      <c r="BG40" t="e">
        <f t="shared" si="71"/>
        <v>#N/A</v>
      </c>
      <c r="BH40" t="e">
        <f t="shared" si="71"/>
        <v>#N/A</v>
      </c>
      <c r="BI40" t="e">
        <f t="shared" si="71"/>
        <v>#N/A</v>
      </c>
      <c r="BJ40" t="e">
        <f t="shared" si="71"/>
        <v>#N/A</v>
      </c>
      <c r="BK40" t="e">
        <f t="shared" si="71"/>
        <v>#N/A</v>
      </c>
      <c r="BL40" t="e">
        <f t="shared" si="71"/>
        <v>#N/A</v>
      </c>
      <c r="BM40" t="e">
        <f t="shared" si="71"/>
        <v>#N/A</v>
      </c>
      <c r="BN40" t="e">
        <f t="shared" si="71"/>
        <v>#N/A</v>
      </c>
      <c r="BO40" t="e">
        <f t="shared" ref="BO40:CI40" si="72">IF(BO17="",NA(),IF($A40,BO17,NA()))</f>
        <v>#N/A</v>
      </c>
      <c r="BP40" t="e">
        <f t="shared" si="72"/>
        <v>#N/A</v>
      </c>
      <c r="BQ40" t="e">
        <f t="shared" si="72"/>
        <v>#N/A</v>
      </c>
      <c r="BR40" t="e">
        <f t="shared" si="72"/>
        <v>#N/A</v>
      </c>
      <c r="BS40" t="e">
        <f t="shared" si="72"/>
        <v>#N/A</v>
      </c>
      <c r="BT40" t="e">
        <f t="shared" si="72"/>
        <v>#N/A</v>
      </c>
      <c r="BU40" t="e">
        <f t="shared" si="72"/>
        <v>#N/A</v>
      </c>
      <c r="BV40" t="e">
        <f t="shared" si="72"/>
        <v>#N/A</v>
      </c>
      <c r="BW40" t="e">
        <f t="shared" si="72"/>
        <v>#N/A</v>
      </c>
      <c r="BX40" t="e">
        <f t="shared" si="72"/>
        <v>#N/A</v>
      </c>
      <c r="BY40" t="e">
        <f t="shared" si="72"/>
        <v>#N/A</v>
      </c>
      <c r="BZ40" t="e">
        <f t="shared" si="72"/>
        <v>#N/A</v>
      </c>
      <c r="CA40" t="e">
        <f t="shared" si="72"/>
        <v>#N/A</v>
      </c>
      <c r="CB40" t="e">
        <f t="shared" si="72"/>
        <v>#N/A</v>
      </c>
      <c r="CC40" t="e">
        <f t="shared" si="72"/>
        <v>#N/A</v>
      </c>
      <c r="CD40" t="e">
        <f t="shared" si="72"/>
        <v>#N/A</v>
      </c>
      <c r="CE40" t="e">
        <f t="shared" si="72"/>
        <v>#N/A</v>
      </c>
      <c r="CF40" t="e">
        <f t="shared" si="72"/>
        <v>#N/A</v>
      </c>
      <c r="CG40" t="e">
        <f t="shared" si="72"/>
        <v>#N/A</v>
      </c>
      <c r="CH40" t="e">
        <f t="shared" si="72"/>
        <v>#N/A</v>
      </c>
      <c r="CI40" t="e">
        <f t="shared" si="72"/>
        <v>#N/A</v>
      </c>
      <c r="CJ40" t="e">
        <f t="shared" ref="CJ40:DH40" si="73">IF(CJ17="",NA(),IF($A40,CJ17,NA()))</f>
        <v>#N/A</v>
      </c>
      <c r="CK40" t="e">
        <f t="shared" si="73"/>
        <v>#N/A</v>
      </c>
      <c r="CL40" t="e">
        <f t="shared" si="73"/>
        <v>#N/A</v>
      </c>
      <c r="CM40" t="e">
        <f t="shared" si="73"/>
        <v>#N/A</v>
      </c>
      <c r="CN40" t="e">
        <f t="shared" si="73"/>
        <v>#N/A</v>
      </c>
      <c r="CO40" t="e">
        <f t="shared" si="73"/>
        <v>#N/A</v>
      </c>
      <c r="CP40" t="e">
        <f t="shared" si="73"/>
        <v>#N/A</v>
      </c>
      <c r="CQ40" t="e">
        <f t="shared" si="73"/>
        <v>#N/A</v>
      </c>
      <c r="CR40" t="e">
        <f t="shared" si="73"/>
        <v>#N/A</v>
      </c>
      <c r="CS40" t="e">
        <f t="shared" si="73"/>
        <v>#N/A</v>
      </c>
      <c r="CT40" t="e">
        <f t="shared" si="73"/>
        <v>#N/A</v>
      </c>
      <c r="CU40" t="e">
        <f t="shared" si="73"/>
        <v>#N/A</v>
      </c>
      <c r="CV40" t="e">
        <f t="shared" si="73"/>
        <v>#N/A</v>
      </c>
      <c r="CW40" t="e">
        <f t="shared" si="73"/>
        <v>#N/A</v>
      </c>
      <c r="CX40" t="e">
        <f t="shared" si="73"/>
        <v>#N/A</v>
      </c>
      <c r="CY40" t="e">
        <f t="shared" si="73"/>
        <v>#N/A</v>
      </c>
      <c r="CZ40" t="e">
        <f t="shared" si="73"/>
        <v>#N/A</v>
      </c>
      <c r="DA40" t="e">
        <f t="shared" si="73"/>
        <v>#N/A</v>
      </c>
      <c r="DB40" t="e">
        <f t="shared" si="73"/>
        <v>#N/A</v>
      </c>
      <c r="DC40" t="e">
        <f t="shared" si="73"/>
        <v>#N/A</v>
      </c>
      <c r="DD40" t="e">
        <f t="shared" si="73"/>
        <v>#N/A</v>
      </c>
      <c r="DE40" t="e">
        <f t="shared" si="73"/>
        <v>#N/A</v>
      </c>
      <c r="DF40" t="e">
        <f t="shared" si="73"/>
        <v>#N/A</v>
      </c>
      <c r="DG40" t="e">
        <f t="shared" si="73"/>
        <v>#N/A</v>
      </c>
      <c r="DH40" s="686" t="e">
        <f t="shared" si="73"/>
        <v>#N/A</v>
      </c>
    </row>
    <row r="41" spans="1:112" ht="15" thickBot="1" x14ac:dyDescent="0.4">
      <c r="A41" s="687" t="b">
        <v>1</v>
      </c>
      <c r="B41" s="688" t="s">
        <v>2047</v>
      </c>
      <c r="C41" s="688" t="e">
        <f t="shared" ref="C41:AH41" si="74">IF(C18="",NA(),IF($A41,C18,NA()))</f>
        <v>#N/A</v>
      </c>
      <c r="D41" s="688" t="e">
        <f t="shared" si="74"/>
        <v>#N/A</v>
      </c>
      <c r="E41" s="688" t="e">
        <f t="shared" si="74"/>
        <v>#N/A</v>
      </c>
      <c r="F41" s="688" t="e">
        <f t="shared" si="74"/>
        <v>#N/A</v>
      </c>
      <c r="G41" s="688" t="e">
        <f t="shared" si="74"/>
        <v>#N/A</v>
      </c>
      <c r="H41" s="688" t="e">
        <f t="shared" si="74"/>
        <v>#N/A</v>
      </c>
      <c r="I41" s="688" t="e">
        <f t="shared" si="74"/>
        <v>#N/A</v>
      </c>
      <c r="J41" s="688" t="e">
        <f t="shared" si="74"/>
        <v>#N/A</v>
      </c>
      <c r="K41" s="688" t="e">
        <f t="shared" si="74"/>
        <v>#N/A</v>
      </c>
      <c r="L41" s="688" t="e">
        <f t="shared" si="74"/>
        <v>#N/A</v>
      </c>
      <c r="M41" s="688" t="e">
        <f t="shared" si="74"/>
        <v>#N/A</v>
      </c>
      <c r="N41" s="688" t="e">
        <f t="shared" si="74"/>
        <v>#N/A</v>
      </c>
      <c r="O41" s="688" t="e">
        <f t="shared" si="74"/>
        <v>#N/A</v>
      </c>
      <c r="P41" s="688" t="e">
        <f t="shared" si="74"/>
        <v>#N/A</v>
      </c>
      <c r="Q41" s="688" t="e">
        <f t="shared" si="74"/>
        <v>#N/A</v>
      </c>
      <c r="R41" s="688" t="e">
        <f t="shared" si="74"/>
        <v>#N/A</v>
      </c>
      <c r="S41" s="688" t="e">
        <f t="shared" si="74"/>
        <v>#N/A</v>
      </c>
      <c r="T41" s="688" t="e">
        <f t="shared" si="74"/>
        <v>#N/A</v>
      </c>
      <c r="U41" s="688" t="e">
        <f t="shared" si="74"/>
        <v>#N/A</v>
      </c>
      <c r="V41" s="688" t="e">
        <f t="shared" si="74"/>
        <v>#N/A</v>
      </c>
      <c r="W41" s="688" t="e">
        <f t="shared" si="74"/>
        <v>#N/A</v>
      </c>
      <c r="X41" s="688" t="e">
        <f t="shared" si="74"/>
        <v>#N/A</v>
      </c>
      <c r="Y41" s="688" t="e">
        <f t="shared" si="74"/>
        <v>#N/A</v>
      </c>
      <c r="Z41" s="688" t="e">
        <f t="shared" si="74"/>
        <v>#N/A</v>
      </c>
      <c r="AA41" s="688" t="e">
        <f t="shared" si="74"/>
        <v>#N/A</v>
      </c>
      <c r="AB41" s="688" t="e">
        <f t="shared" si="74"/>
        <v>#N/A</v>
      </c>
      <c r="AC41" s="688" t="e">
        <f t="shared" si="74"/>
        <v>#N/A</v>
      </c>
      <c r="AD41" s="688" t="e">
        <f t="shared" si="74"/>
        <v>#N/A</v>
      </c>
      <c r="AE41" s="688" t="e">
        <f t="shared" si="74"/>
        <v>#N/A</v>
      </c>
      <c r="AF41" s="688" t="e">
        <f t="shared" si="74"/>
        <v>#N/A</v>
      </c>
      <c r="AG41" s="688" t="e">
        <f t="shared" si="74"/>
        <v>#N/A</v>
      </c>
      <c r="AH41" s="688" t="e">
        <f t="shared" si="74"/>
        <v>#N/A</v>
      </c>
      <c r="AI41" s="688" t="e">
        <f t="shared" ref="AI41:BN41" si="75">IF(AI18="",NA(),IF($A41,AI18,NA()))</f>
        <v>#N/A</v>
      </c>
      <c r="AJ41" s="688" t="e">
        <f t="shared" si="75"/>
        <v>#N/A</v>
      </c>
      <c r="AK41" s="688" t="e">
        <f t="shared" si="75"/>
        <v>#N/A</v>
      </c>
      <c r="AL41" s="688" t="e">
        <f t="shared" si="75"/>
        <v>#N/A</v>
      </c>
      <c r="AM41" s="688" t="e">
        <f t="shared" si="75"/>
        <v>#N/A</v>
      </c>
      <c r="AN41" s="688" t="e">
        <f t="shared" si="75"/>
        <v>#N/A</v>
      </c>
      <c r="AO41" s="688" t="e">
        <f t="shared" si="75"/>
        <v>#N/A</v>
      </c>
      <c r="AP41" s="688" t="e">
        <f t="shared" si="75"/>
        <v>#N/A</v>
      </c>
      <c r="AQ41" s="688" t="e">
        <f t="shared" si="75"/>
        <v>#N/A</v>
      </c>
      <c r="AR41" s="688" t="e">
        <f t="shared" si="75"/>
        <v>#N/A</v>
      </c>
      <c r="AS41" s="688" t="e">
        <f t="shared" si="75"/>
        <v>#N/A</v>
      </c>
      <c r="AT41" s="688" t="e">
        <f t="shared" si="75"/>
        <v>#N/A</v>
      </c>
      <c r="AU41" s="688" t="e">
        <f t="shared" si="75"/>
        <v>#N/A</v>
      </c>
      <c r="AV41" s="688" t="e">
        <f t="shared" si="75"/>
        <v>#N/A</v>
      </c>
      <c r="AW41" s="688" t="e">
        <f t="shared" si="75"/>
        <v>#N/A</v>
      </c>
      <c r="AX41" s="688" t="e">
        <f t="shared" si="75"/>
        <v>#N/A</v>
      </c>
      <c r="AY41" s="688" t="e">
        <f t="shared" si="75"/>
        <v>#N/A</v>
      </c>
      <c r="AZ41" s="688" t="e">
        <f t="shared" si="75"/>
        <v>#N/A</v>
      </c>
      <c r="BA41" s="688" t="e">
        <f t="shared" si="75"/>
        <v>#N/A</v>
      </c>
      <c r="BB41" s="688" t="e">
        <f t="shared" si="75"/>
        <v>#N/A</v>
      </c>
      <c r="BC41" s="688" t="e">
        <f t="shared" si="75"/>
        <v>#N/A</v>
      </c>
      <c r="BD41" s="688" t="e">
        <f t="shared" si="75"/>
        <v>#N/A</v>
      </c>
      <c r="BE41" s="688" t="e">
        <f t="shared" si="75"/>
        <v>#N/A</v>
      </c>
      <c r="BF41" s="688" t="e">
        <f t="shared" si="75"/>
        <v>#N/A</v>
      </c>
      <c r="BG41" s="688" t="e">
        <f t="shared" si="75"/>
        <v>#N/A</v>
      </c>
      <c r="BH41" s="688" t="e">
        <f t="shared" si="75"/>
        <v>#N/A</v>
      </c>
      <c r="BI41" s="688" t="e">
        <f t="shared" si="75"/>
        <v>#N/A</v>
      </c>
      <c r="BJ41" s="688" t="e">
        <f t="shared" si="75"/>
        <v>#N/A</v>
      </c>
      <c r="BK41" s="688" t="e">
        <f t="shared" si="75"/>
        <v>#N/A</v>
      </c>
      <c r="BL41" s="688" t="e">
        <f t="shared" si="75"/>
        <v>#N/A</v>
      </c>
      <c r="BM41" s="688" t="e">
        <f t="shared" si="75"/>
        <v>#N/A</v>
      </c>
      <c r="BN41" s="688" t="e">
        <f t="shared" si="75"/>
        <v>#N/A</v>
      </c>
      <c r="BO41" s="688" t="e">
        <f t="shared" ref="BO41:CI41" si="76">IF(BO18="",NA(),IF($A41,BO18,NA()))</f>
        <v>#N/A</v>
      </c>
      <c r="BP41" s="688" t="e">
        <f t="shared" si="76"/>
        <v>#N/A</v>
      </c>
      <c r="BQ41" s="688" t="e">
        <f t="shared" si="76"/>
        <v>#N/A</v>
      </c>
      <c r="BR41" s="688" t="e">
        <f t="shared" si="76"/>
        <v>#N/A</v>
      </c>
      <c r="BS41" s="688" t="e">
        <f t="shared" si="76"/>
        <v>#N/A</v>
      </c>
      <c r="BT41" s="688" t="e">
        <f t="shared" si="76"/>
        <v>#N/A</v>
      </c>
      <c r="BU41" s="688" t="e">
        <f t="shared" si="76"/>
        <v>#N/A</v>
      </c>
      <c r="BV41" s="688" t="e">
        <f t="shared" si="76"/>
        <v>#N/A</v>
      </c>
      <c r="BW41" s="688" t="e">
        <f t="shared" si="76"/>
        <v>#N/A</v>
      </c>
      <c r="BX41" s="688" t="e">
        <f t="shared" si="76"/>
        <v>#N/A</v>
      </c>
      <c r="BY41" s="688" t="e">
        <f t="shared" si="76"/>
        <v>#N/A</v>
      </c>
      <c r="BZ41" s="688" t="e">
        <f t="shared" si="76"/>
        <v>#N/A</v>
      </c>
      <c r="CA41" s="688" t="e">
        <f t="shared" si="76"/>
        <v>#N/A</v>
      </c>
      <c r="CB41" s="688" t="e">
        <f t="shared" si="76"/>
        <v>#N/A</v>
      </c>
      <c r="CC41" s="688" t="e">
        <f t="shared" si="76"/>
        <v>#N/A</v>
      </c>
      <c r="CD41" s="688" t="e">
        <f t="shared" si="76"/>
        <v>#N/A</v>
      </c>
      <c r="CE41" s="688" t="e">
        <f t="shared" si="76"/>
        <v>#N/A</v>
      </c>
      <c r="CF41" s="688" t="e">
        <f t="shared" si="76"/>
        <v>#N/A</v>
      </c>
      <c r="CG41" s="688" t="e">
        <f t="shared" si="76"/>
        <v>#N/A</v>
      </c>
      <c r="CH41" s="688" t="e">
        <f t="shared" si="76"/>
        <v>#N/A</v>
      </c>
      <c r="CI41" s="688" t="e">
        <f t="shared" si="76"/>
        <v>#N/A</v>
      </c>
      <c r="CJ41" s="688" t="e">
        <f t="shared" ref="CJ41:DH41" si="77">IF(CJ18="",NA(),IF($A41,CJ18,NA()))</f>
        <v>#N/A</v>
      </c>
      <c r="CK41" s="688" t="e">
        <f t="shared" si="77"/>
        <v>#N/A</v>
      </c>
      <c r="CL41" s="688" t="e">
        <f t="shared" si="77"/>
        <v>#N/A</v>
      </c>
      <c r="CM41" s="688" t="e">
        <f t="shared" si="77"/>
        <v>#N/A</v>
      </c>
      <c r="CN41" s="688" t="e">
        <f t="shared" si="77"/>
        <v>#N/A</v>
      </c>
      <c r="CO41" s="688" t="e">
        <f t="shared" si="77"/>
        <v>#N/A</v>
      </c>
      <c r="CP41" s="688" t="e">
        <f t="shared" si="77"/>
        <v>#N/A</v>
      </c>
      <c r="CQ41" s="688" t="e">
        <f t="shared" si="77"/>
        <v>#N/A</v>
      </c>
      <c r="CR41" s="688" t="e">
        <f t="shared" si="77"/>
        <v>#N/A</v>
      </c>
      <c r="CS41" s="688" t="e">
        <f t="shared" si="77"/>
        <v>#N/A</v>
      </c>
      <c r="CT41" s="688" t="e">
        <f t="shared" si="77"/>
        <v>#N/A</v>
      </c>
      <c r="CU41" s="688" t="e">
        <f t="shared" si="77"/>
        <v>#N/A</v>
      </c>
      <c r="CV41" s="688" t="e">
        <f t="shared" si="77"/>
        <v>#N/A</v>
      </c>
      <c r="CW41" s="688" t="e">
        <f t="shared" si="77"/>
        <v>#N/A</v>
      </c>
      <c r="CX41" s="688" t="e">
        <f t="shared" si="77"/>
        <v>#N/A</v>
      </c>
      <c r="CY41" s="688" t="e">
        <f t="shared" si="77"/>
        <v>#N/A</v>
      </c>
      <c r="CZ41" s="688" t="e">
        <f t="shared" si="77"/>
        <v>#N/A</v>
      </c>
      <c r="DA41" s="688" t="e">
        <f t="shared" si="77"/>
        <v>#N/A</v>
      </c>
      <c r="DB41" s="688" t="e">
        <f t="shared" si="77"/>
        <v>#N/A</v>
      </c>
      <c r="DC41" s="688" t="e">
        <f t="shared" si="77"/>
        <v>#N/A</v>
      </c>
      <c r="DD41" s="688" t="e">
        <f t="shared" si="77"/>
        <v>#N/A</v>
      </c>
      <c r="DE41" s="688" t="e">
        <f t="shared" si="77"/>
        <v>#N/A</v>
      </c>
      <c r="DF41" s="688" t="e">
        <f t="shared" si="77"/>
        <v>#N/A</v>
      </c>
      <c r="DG41" s="688" t="e">
        <f t="shared" si="77"/>
        <v>#N/A</v>
      </c>
      <c r="DH41" s="689" t="e">
        <f t="shared" si="77"/>
        <v>#N/A</v>
      </c>
    </row>
    <row r="43" spans="1:112" x14ac:dyDescent="0.35">
      <c r="B43" t="s">
        <v>2161</v>
      </c>
    </row>
    <row r="48" spans="1:112" ht="15" thickBot="1" x14ac:dyDescent="0.4"/>
    <row r="49" spans="1:112" x14ac:dyDescent="0.35">
      <c r="A49" s="684"/>
      <c r="B49" s="690" t="s">
        <v>2162</v>
      </c>
      <c r="C49" s="690"/>
      <c r="D49" s="690"/>
      <c r="E49" s="675"/>
      <c r="F49" s="675"/>
      <c r="G49" s="675"/>
      <c r="H49" s="675"/>
      <c r="I49" s="675"/>
      <c r="J49" s="675"/>
      <c r="K49" s="675"/>
      <c r="L49" s="675"/>
      <c r="M49" s="675"/>
      <c r="N49" s="675"/>
      <c r="O49" s="675"/>
      <c r="P49" s="675"/>
      <c r="Q49" s="675"/>
      <c r="R49" s="675"/>
      <c r="S49" s="675"/>
      <c r="T49" s="675"/>
      <c r="U49" s="675"/>
      <c r="V49" s="675"/>
      <c r="W49" s="675"/>
      <c r="X49" s="675"/>
      <c r="Y49" s="675"/>
      <c r="Z49" s="675"/>
      <c r="AA49" s="675"/>
      <c r="AB49" s="675"/>
      <c r="AC49" s="675"/>
      <c r="AD49" s="675"/>
      <c r="AE49" s="675"/>
      <c r="AF49" s="675"/>
      <c r="AG49" s="675"/>
      <c r="AH49" s="675"/>
      <c r="AI49" s="675"/>
      <c r="AJ49" s="675"/>
      <c r="AK49" s="675"/>
      <c r="AL49" s="675"/>
      <c r="AM49" s="675"/>
      <c r="AN49" s="675"/>
      <c r="AO49" s="675"/>
      <c r="AP49" s="675"/>
      <c r="AQ49" s="675"/>
      <c r="AR49" s="675"/>
      <c r="AS49" s="675"/>
      <c r="AT49" s="675"/>
      <c r="AU49" s="675"/>
      <c r="AV49" s="675"/>
      <c r="AW49" s="675"/>
      <c r="AX49" s="675"/>
      <c r="AY49" s="675"/>
      <c r="AZ49" s="675"/>
      <c r="BA49" s="675"/>
      <c r="BB49" s="675"/>
      <c r="BC49" s="675"/>
      <c r="BD49" s="675"/>
      <c r="BE49" s="675"/>
      <c r="BF49" s="675"/>
      <c r="BG49" s="675"/>
      <c r="BH49" s="675"/>
      <c r="BI49" s="675"/>
      <c r="BJ49" s="675"/>
      <c r="BK49" s="675"/>
      <c r="BL49" s="675"/>
      <c r="BM49" s="675"/>
      <c r="BN49" s="675"/>
      <c r="BO49" s="675"/>
      <c r="BP49" s="675"/>
      <c r="BQ49" s="675"/>
      <c r="BR49" s="675"/>
      <c r="BS49" s="675"/>
      <c r="BT49" s="675"/>
      <c r="BU49" s="675"/>
      <c r="BV49" s="675"/>
      <c r="BW49" s="675"/>
      <c r="BX49" s="675"/>
      <c r="BY49" s="675"/>
      <c r="BZ49" s="675"/>
      <c r="CA49" s="675"/>
      <c r="CB49" s="675"/>
      <c r="CC49" s="675"/>
      <c r="CD49" s="675"/>
      <c r="CE49" s="675"/>
      <c r="CF49" s="675"/>
      <c r="CG49" s="675"/>
      <c r="CH49" s="675"/>
      <c r="CI49" s="675"/>
      <c r="CJ49" s="675"/>
      <c r="CK49" s="675"/>
      <c r="CL49" s="675"/>
      <c r="CM49" s="675"/>
      <c r="CN49" s="675"/>
      <c r="CO49" s="675"/>
      <c r="CP49" s="675"/>
      <c r="CQ49" s="675"/>
      <c r="CR49" s="675"/>
      <c r="CS49" s="675"/>
      <c r="CT49" s="675"/>
      <c r="CU49" s="675"/>
      <c r="CV49" s="675"/>
      <c r="CW49" s="675"/>
      <c r="CX49" s="675"/>
      <c r="CY49" s="675"/>
      <c r="CZ49" s="675"/>
      <c r="DA49" s="675"/>
      <c r="DB49" s="675"/>
      <c r="DC49" s="675"/>
      <c r="DD49" s="675"/>
      <c r="DE49" s="675"/>
      <c r="DF49" s="675"/>
      <c r="DG49" s="675"/>
      <c r="DH49" s="676"/>
    </row>
    <row r="50" spans="1:112" x14ac:dyDescent="0.35">
      <c r="A50" s="685"/>
      <c r="B50" s="1165" t="s">
        <v>927</v>
      </c>
      <c r="C50" s="446">
        <f>'3.1 Nyttestrøm'!M87</f>
        <v>-10</v>
      </c>
      <c r="D50" s="446">
        <f>'3.1 Nyttestrøm'!N87</f>
        <v>-9</v>
      </c>
      <c r="E50" s="446">
        <f>'3.1 Nyttestrøm'!O87</f>
        <v>-8</v>
      </c>
      <c r="F50" s="446">
        <f>'3.1 Nyttestrøm'!P87</f>
        <v>-7</v>
      </c>
      <c r="G50" s="446">
        <f>'3.1 Nyttestrøm'!Q87</f>
        <v>-6</v>
      </c>
      <c r="H50" s="446">
        <f>'3.1 Nyttestrøm'!R87</f>
        <v>-5</v>
      </c>
      <c r="I50" s="446">
        <f>'3.1 Nyttestrøm'!S87</f>
        <v>-4</v>
      </c>
      <c r="J50" s="446">
        <f>'3.1 Nyttestrøm'!T87</f>
        <v>-3</v>
      </c>
      <c r="K50" s="446">
        <f>'3.1 Nyttestrøm'!U87</f>
        <v>-2</v>
      </c>
      <c r="L50" s="446">
        <f>'3.1 Nyttestrøm'!V87</f>
        <v>-1</v>
      </c>
      <c r="M50" s="446">
        <f>'3.1 Nyttestrøm'!W87</f>
        <v>0</v>
      </c>
      <c r="N50" s="446">
        <f>'3.1 Nyttestrøm'!X87</f>
        <v>1</v>
      </c>
      <c r="O50" s="446">
        <f>'3.1 Nyttestrøm'!Y87</f>
        <v>2</v>
      </c>
      <c r="P50" s="446">
        <f>'3.1 Nyttestrøm'!Z87</f>
        <v>3</v>
      </c>
      <c r="Q50" s="446">
        <f>'3.1 Nyttestrøm'!AA87</f>
        <v>4</v>
      </c>
      <c r="R50" s="446">
        <f>'3.1 Nyttestrøm'!AB87</f>
        <v>5</v>
      </c>
      <c r="S50" s="446">
        <f>'3.1 Nyttestrøm'!AC87</f>
        <v>6</v>
      </c>
      <c r="T50" s="446">
        <f>'3.1 Nyttestrøm'!AD87</f>
        <v>7</v>
      </c>
      <c r="U50" s="446">
        <f>'3.1 Nyttestrøm'!AE87</f>
        <v>8</v>
      </c>
      <c r="V50" s="446">
        <f>'3.1 Nyttestrøm'!AF87</f>
        <v>9</v>
      </c>
      <c r="W50" s="446">
        <f>'3.1 Nyttestrøm'!AG87</f>
        <v>10</v>
      </c>
      <c r="X50" s="446">
        <f>'3.1 Nyttestrøm'!AH87</f>
        <v>11</v>
      </c>
      <c r="Y50" s="446">
        <f>'3.1 Nyttestrøm'!AI87</f>
        <v>12</v>
      </c>
      <c r="Z50" s="446">
        <f>'3.1 Nyttestrøm'!AJ87</f>
        <v>13</v>
      </c>
      <c r="AA50" s="446">
        <f>'3.1 Nyttestrøm'!AK87</f>
        <v>14</v>
      </c>
      <c r="AB50" s="446">
        <f>'3.1 Nyttestrøm'!AL87</f>
        <v>15</v>
      </c>
      <c r="AC50" s="446">
        <f>'3.1 Nyttestrøm'!AM87</f>
        <v>16</v>
      </c>
      <c r="AD50" s="446">
        <f>'3.1 Nyttestrøm'!AN87</f>
        <v>17</v>
      </c>
      <c r="AE50" s="446">
        <f>'3.1 Nyttestrøm'!AO87</f>
        <v>18</v>
      </c>
      <c r="AF50" s="446">
        <f>'3.1 Nyttestrøm'!AP87</f>
        <v>19</v>
      </c>
      <c r="AG50" s="446">
        <f>'3.1 Nyttestrøm'!AQ87</f>
        <v>20</v>
      </c>
      <c r="AH50" s="446">
        <f>'3.1 Nyttestrøm'!AR87</f>
        <v>21</v>
      </c>
      <c r="AI50" s="446">
        <f>'3.1 Nyttestrøm'!AS87</f>
        <v>22</v>
      </c>
      <c r="AJ50" s="446">
        <f>'3.1 Nyttestrøm'!AT87</f>
        <v>23</v>
      </c>
      <c r="AK50" s="446">
        <f>'3.1 Nyttestrøm'!AU87</f>
        <v>24</v>
      </c>
      <c r="AL50" s="446">
        <f>'3.1 Nyttestrøm'!AV87</f>
        <v>25</v>
      </c>
      <c r="AM50" s="446">
        <f>'3.1 Nyttestrøm'!AW87</f>
        <v>26</v>
      </c>
      <c r="AN50" s="446">
        <f>'3.1 Nyttestrøm'!AX87</f>
        <v>27</v>
      </c>
      <c r="AO50" s="446">
        <f>'3.1 Nyttestrøm'!AY87</f>
        <v>28</v>
      </c>
      <c r="AP50" s="446">
        <f>'3.1 Nyttestrøm'!AZ87</f>
        <v>29</v>
      </c>
      <c r="AQ50" s="446">
        <f>'3.1 Nyttestrøm'!BA87</f>
        <v>30</v>
      </c>
      <c r="AR50" s="446">
        <f>'3.1 Nyttestrøm'!BB87</f>
        <v>31</v>
      </c>
      <c r="AS50" s="446">
        <f>'3.1 Nyttestrøm'!BC87</f>
        <v>32</v>
      </c>
      <c r="AT50" s="446">
        <f>'3.1 Nyttestrøm'!BD87</f>
        <v>33</v>
      </c>
      <c r="AU50" s="446">
        <f>'3.1 Nyttestrøm'!BE87</f>
        <v>34</v>
      </c>
      <c r="AV50" s="446">
        <f>'3.1 Nyttestrøm'!BF87</f>
        <v>35</v>
      </c>
      <c r="AW50" s="446">
        <f>'3.1 Nyttestrøm'!BG87</f>
        <v>36</v>
      </c>
      <c r="AX50" s="446">
        <f>'3.1 Nyttestrøm'!BH87</f>
        <v>37</v>
      </c>
      <c r="AY50" s="446">
        <f>'3.1 Nyttestrøm'!BI87</f>
        <v>38</v>
      </c>
      <c r="AZ50" s="446">
        <f>'3.1 Nyttestrøm'!BJ87</f>
        <v>39</v>
      </c>
      <c r="BA50" s="446">
        <f>'3.1 Nyttestrøm'!BK87</f>
        <v>40</v>
      </c>
      <c r="BB50" s="446">
        <f>'3.1 Nyttestrøm'!BL87</f>
        <v>41</v>
      </c>
      <c r="BC50" s="446">
        <f>'3.1 Nyttestrøm'!BM87</f>
        <v>42</v>
      </c>
      <c r="BD50" s="446">
        <f>'3.1 Nyttestrøm'!BN87</f>
        <v>43</v>
      </c>
      <c r="BE50" s="446">
        <f>'3.1 Nyttestrøm'!BO87</f>
        <v>44</v>
      </c>
      <c r="BF50" s="446">
        <f>'3.1 Nyttestrøm'!BP87</f>
        <v>45</v>
      </c>
      <c r="BG50" s="446">
        <f>'3.1 Nyttestrøm'!BQ87</f>
        <v>46</v>
      </c>
      <c r="BH50" s="446">
        <f>'3.1 Nyttestrøm'!BR87</f>
        <v>47</v>
      </c>
      <c r="BI50" s="446">
        <f>'3.1 Nyttestrøm'!BS87</f>
        <v>48</v>
      </c>
      <c r="BJ50" s="446">
        <f>'3.1 Nyttestrøm'!BT87</f>
        <v>49</v>
      </c>
      <c r="BK50" s="446">
        <f>'3.1 Nyttestrøm'!BU87</f>
        <v>50</v>
      </c>
      <c r="BL50" s="446">
        <f>'3.1 Nyttestrøm'!BV87</f>
        <v>51</v>
      </c>
      <c r="BM50" s="446">
        <f>'3.1 Nyttestrøm'!BW87</f>
        <v>52</v>
      </c>
      <c r="BN50" s="446">
        <f>'3.1 Nyttestrøm'!BX87</f>
        <v>53</v>
      </c>
      <c r="BO50" s="446">
        <f>'3.1 Nyttestrøm'!BY87</f>
        <v>54</v>
      </c>
      <c r="BP50" s="446">
        <f>'3.1 Nyttestrøm'!BZ87</f>
        <v>55</v>
      </c>
      <c r="BQ50" s="446">
        <f>'3.1 Nyttestrøm'!CA87</f>
        <v>56</v>
      </c>
      <c r="BR50" s="446">
        <f>'3.1 Nyttestrøm'!CB87</f>
        <v>57</v>
      </c>
      <c r="BS50" s="446">
        <f>'3.1 Nyttestrøm'!CC87</f>
        <v>58</v>
      </c>
      <c r="BT50" s="446">
        <f>'3.1 Nyttestrøm'!CD87</f>
        <v>59</v>
      </c>
      <c r="BU50" s="446">
        <f>'3.1 Nyttestrøm'!CE87</f>
        <v>60</v>
      </c>
      <c r="BV50" s="446">
        <f>'3.1 Nyttestrøm'!CF87</f>
        <v>61</v>
      </c>
      <c r="BW50" s="446">
        <f>'3.1 Nyttestrøm'!CG87</f>
        <v>62</v>
      </c>
      <c r="BX50" s="446">
        <f>'3.1 Nyttestrøm'!CH87</f>
        <v>63</v>
      </c>
      <c r="BY50" s="446">
        <f>'3.1 Nyttestrøm'!CI87</f>
        <v>64</v>
      </c>
      <c r="BZ50" s="446">
        <f>'3.1 Nyttestrøm'!CJ87</f>
        <v>65</v>
      </c>
      <c r="CA50" s="446">
        <f>'3.1 Nyttestrøm'!CK87</f>
        <v>66</v>
      </c>
      <c r="CB50" s="446">
        <f>'3.1 Nyttestrøm'!CL87</f>
        <v>67</v>
      </c>
      <c r="CC50" s="446">
        <f>'3.1 Nyttestrøm'!CM87</f>
        <v>68</v>
      </c>
      <c r="CD50" s="446">
        <f>'3.1 Nyttestrøm'!CN87</f>
        <v>69</v>
      </c>
      <c r="CE50" s="446">
        <f>'3.1 Nyttestrøm'!CO87</f>
        <v>70</v>
      </c>
      <c r="CF50" s="446">
        <f>'3.1 Nyttestrøm'!CP87</f>
        <v>71</v>
      </c>
      <c r="CG50" s="446">
        <f>'3.1 Nyttestrøm'!CQ87</f>
        <v>72</v>
      </c>
      <c r="CH50" s="446">
        <f>'3.1 Nyttestrøm'!CR87</f>
        <v>73</v>
      </c>
      <c r="CI50" s="446">
        <f>'3.1 Nyttestrøm'!CS87</f>
        <v>74</v>
      </c>
      <c r="CJ50" s="446">
        <f>'3.1 Nyttestrøm'!CT87</f>
        <v>75</v>
      </c>
      <c r="CK50" s="446">
        <f>'3.1 Nyttestrøm'!CU87</f>
        <v>76</v>
      </c>
      <c r="CL50" s="446">
        <f>'3.1 Nyttestrøm'!CV87</f>
        <v>77</v>
      </c>
      <c r="CM50" s="446">
        <f>'3.1 Nyttestrøm'!CW87</f>
        <v>78</v>
      </c>
      <c r="CN50" s="446">
        <f>'3.1 Nyttestrøm'!CX87</f>
        <v>79</v>
      </c>
      <c r="CO50" s="446">
        <f>'3.1 Nyttestrøm'!CY87</f>
        <v>80</v>
      </c>
      <c r="CP50" s="446">
        <f>'3.1 Nyttestrøm'!CZ87</f>
        <v>81</v>
      </c>
      <c r="CQ50" s="446">
        <f>'3.1 Nyttestrøm'!DA87</f>
        <v>82</v>
      </c>
      <c r="CR50" s="446">
        <f>'3.1 Nyttestrøm'!DB87</f>
        <v>83</v>
      </c>
      <c r="CS50" s="446">
        <f>'3.1 Nyttestrøm'!DC87</f>
        <v>84</v>
      </c>
      <c r="CT50" s="446">
        <f>'3.1 Nyttestrøm'!DD87</f>
        <v>85</v>
      </c>
      <c r="CU50" s="446">
        <f>'3.1 Nyttestrøm'!DE87</f>
        <v>86</v>
      </c>
      <c r="CV50" s="446">
        <f>'3.1 Nyttestrøm'!DF87</f>
        <v>87</v>
      </c>
      <c r="CW50" s="446">
        <f>'3.1 Nyttestrøm'!DG87</f>
        <v>88</v>
      </c>
      <c r="CX50" s="446">
        <f>'3.1 Nyttestrøm'!DH87</f>
        <v>89</v>
      </c>
      <c r="CY50" s="446">
        <f>'3.1 Nyttestrøm'!DI87</f>
        <v>90</v>
      </c>
      <c r="CZ50" s="446">
        <f>'3.1 Nyttestrøm'!DJ87</f>
        <v>91</v>
      </c>
      <c r="DA50" s="446">
        <f>'3.1 Nyttestrøm'!DK87</f>
        <v>92</v>
      </c>
      <c r="DB50" s="446">
        <f>'3.1 Nyttestrøm'!DL87</f>
        <v>93</v>
      </c>
      <c r="DC50" s="446">
        <f>'3.1 Nyttestrøm'!DM87</f>
        <v>94</v>
      </c>
      <c r="DD50" s="446">
        <f>'3.1 Nyttestrøm'!DN87</f>
        <v>95</v>
      </c>
      <c r="DE50" s="446">
        <f>'3.1 Nyttestrøm'!DO87</f>
        <v>96</v>
      </c>
      <c r="DF50" s="446">
        <f>'3.1 Nyttestrøm'!DP87</f>
        <v>97</v>
      </c>
      <c r="DG50" s="446">
        <f>'3.1 Nyttestrøm'!DQ87</f>
        <v>98</v>
      </c>
      <c r="DH50" s="678">
        <f>'3.1 Nyttestrøm'!DR87</f>
        <v>99</v>
      </c>
    </row>
    <row r="51" spans="1:112" x14ac:dyDescent="0.35">
      <c r="A51" s="685"/>
      <c r="B51" s="446" t="str">
        <f>'3.1 Nyttestrøm'!C44</f>
        <v>Avgifter (ekskl. CO2-avgift)</v>
      </c>
      <c r="C51" s="1157">
        <f>SUM('3.1 Nyttestrøm'!M45:M48)</f>
        <v>0</v>
      </c>
      <c r="D51" s="1157">
        <f>SUM('3.1 Nyttestrøm'!N45:N48)</f>
        <v>0</v>
      </c>
      <c r="E51" s="1157">
        <f>SUM('3.1 Nyttestrøm'!O45:O48)</f>
        <v>0</v>
      </c>
      <c r="F51" s="1157">
        <f>SUM('3.1 Nyttestrøm'!P45:P48)</f>
        <v>0</v>
      </c>
      <c r="G51" s="1157">
        <f>SUM('3.1 Nyttestrøm'!Q45:Q48)</f>
        <v>0</v>
      </c>
      <c r="H51" s="1157">
        <f>SUM('3.1 Nyttestrøm'!R45:R48)</f>
        <v>0</v>
      </c>
      <c r="I51" s="1157">
        <f>SUM('3.1 Nyttestrøm'!S45:S48)</f>
        <v>0</v>
      </c>
      <c r="J51" s="1157">
        <f>SUM('3.1 Nyttestrøm'!T45:T48)</f>
        <v>0</v>
      </c>
      <c r="K51" s="1157">
        <f>SUM('3.1 Nyttestrøm'!U45:U48)</f>
        <v>0</v>
      </c>
      <c r="L51" s="1157">
        <f>SUM('3.1 Nyttestrøm'!V45:V48)</f>
        <v>0</v>
      </c>
      <c r="M51" s="1157">
        <f ca="1">SUM('3.1 Nyttestrøm'!W45:W48)</f>
        <v>0</v>
      </c>
      <c r="N51" s="1157">
        <f ca="1">SUM('3.1 Nyttestrøm'!X45:X48)</f>
        <v>0</v>
      </c>
      <c r="O51" s="1157">
        <f ca="1">SUM('3.1 Nyttestrøm'!Y45:Y48)</f>
        <v>0</v>
      </c>
      <c r="P51" s="1157">
        <f ca="1">SUM('3.1 Nyttestrøm'!Z45:Z48)</f>
        <v>0</v>
      </c>
      <c r="Q51" s="1157">
        <f ca="1">SUM('3.1 Nyttestrøm'!AA45:AA48)</f>
        <v>0</v>
      </c>
      <c r="R51" s="1157">
        <f ca="1">SUM('3.1 Nyttestrøm'!AB45:AB48)</f>
        <v>0</v>
      </c>
      <c r="S51" s="1157">
        <f ca="1">SUM('3.1 Nyttestrøm'!AC45:AC48)</f>
        <v>0</v>
      </c>
      <c r="T51" s="1157">
        <f ca="1">SUM('3.1 Nyttestrøm'!AD45:AD48)</f>
        <v>0</v>
      </c>
      <c r="U51" s="1157">
        <f ca="1">SUM('3.1 Nyttestrøm'!AE45:AE48)</f>
        <v>0</v>
      </c>
      <c r="V51" s="1157">
        <f ca="1">SUM('3.1 Nyttestrøm'!AF45:AF48)</f>
        <v>0</v>
      </c>
      <c r="W51" s="1157">
        <f ca="1">SUM('3.1 Nyttestrøm'!AG45:AG48)</f>
        <v>0</v>
      </c>
      <c r="X51" s="1157">
        <f ca="1">SUM('3.1 Nyttestrøm'!AH45:AH48)</f>
        <v>0</v>
      </c>
      <c r="Y51" s="1157">
        <f ca="1">SUM('3.1 Nyttestrøm'!AI45:AI48)</f>
        <v>0</v>
      </c>
      <c r="Z51" s="1157">
        <f ca="1">SUM('3.1 Nyttestrøm'!AJ45:AJ48)</f>
        <v>0</v>
      </c>
      <c r="AA51" s="1157">
        <f ca="1">SUM('3.1 Nyttestrøm'!AK45:AK48)</f>
        <v>0</v>
      </c>
      <c r="AB51" s="1157">
        <f ca="1">SUM('3.1 Nyttestrøm'!AL45:AL48)</f>
        <v>0</v>
      </c>
      <c r="AC51" s="1157">
        <f ca="1">SUM('3.1 Nyttestrøm'!AM45:AM48)</f>
        <v>0</v>
      </c>
      <c r="AD51" s="1157">
        <f ca="1">SUM('3.1 Nyttestrøm'!AN45:AN48)</f>
        <v>0</v>
      </c>
      <c r="AE51" s="1157">
        <f ca="1">SUM('3.1 Nyttestrøm'!AO45:AO48)</f>
        <v>0</v>
      </c>
      <c r="AF51" s="1157">
        <f ca="1">SUM('3.1 Nyttestrøm'!AP45:AP48)</f>
        <v>0</v>
      </c>
      <c r="AG51" s="1157">
        <f ca="1">SUM('3.1 Nyttestrøm'!AQ45:AQ48)</f>
        <v>0</v>
      </c>
      <c r="AH51" s="1157">
        <f ca="1">SUM('3.1 Nyttestrøm'!AR45:AR48)</f>
        <v>0</v>
      </c>
      <c r="AI51" s="1157">
        <f ca="1">SUM('3.1 Nyttestrøm'!AS45:AS48)</f>
        <v>0</v>
      </c>
      <c r="AJ51" s="1157">
        <f ca="1">SUM('3.1 Nyttestrøm'!AT45:AT48)</f>
        <v>0</v>
      </c>
      <c r="AK51" s="1157">
        <f ca="1">SUM('3.1 Nyttestrøm'!AU45:AU48)</f>
        <v>0</v>
      </c>
      <c r="AL51" s="1157">
        <f ca="1">SUM('3.1 Nyttestrøm'!AV45:AV48)</f>
        <v>0</v>
      </c>
      <c r="AM51" s="1157">
        <f ca="1">SUM('3.1 Nyttestrøm'!AW45:AW48)</f>
        <v>0</v>
      </c>
      <c r="AN51" s="1157">
        <f ca="1">SUM('3.1 Nyttestrøm'!AX45:AX48)</f>
        <v>0</v>
      </c>
      <c r="AO51" s="1157">
        <f ca="1">SUM('3.1 Nyttestrøm'!AY45:AY48)</f>
        <v>0</v>
      </c>
      <c r="AP51" s="1157">
        <f ca="1">SUM('3.1 Nyttestrøm'!AZ45:AZ48)</f>
        <v>0</v>
      </c>
      <c r="AQ51" s="1157">
        <f ca="1">SUM('3.1 Nyttestrøm'!BA45:BA48)</f>
        <v>0</v>
      </c>
      <c r="AR51" s="1157">
        <f ca="1">SUM('3.1 Nyttestrøm'!BB45:BB48)</f>
        <v>0</v>
      </c>
      <c r="AS51" s="1157">
        <f ca="1">SUM('3.1 Nyttestrøm'!BC45:BC48)</f>
        <v>0</v>
      </c>
      <c r="AT51" s="1157">
        <f ca="1">SUM('3.1 Nyttestrøm'!BD45:BD48)</f>
        <v>0</v>
      </c>
      <c r="AU51" s="1157">
        <f ca="1">SUM('3.1 Nyttestrøm'!BE45:BE48)</f>
        <v>0</v>
      </c>
      <c r="AV51" s="1157">
        <f ca="1">SUM('3.1 Nyttestrøm'!BF45:BF48)</f>
        <v>0</v>
      </c>
      <c r="AW51" s="1157">
        <f ca="1">SUM('3.1 Nyttestrøm'!BG45:BG48)</f>
        <v>0</v>
      </c>
      <c r="AX51" s="1157">
        <f ca="1">SUM('3.1 Nyttestrøm'!BH45:BH48)</f>
        <v>0</v>
      </c>
      <c r="AY51" s="1157">
        <f ca="1">SUM('3.1 Nyttestrøm'!BI45:BI48)</f>
        <v>0</v>
      </c>
      <c r="AZ51" s="1157">
        <f ca="1">SUM('3.1 Nyttestrøm'!BJ45:BJ48)</f>
        <v>0</v>
      </c>
      <c r="BA51" s="1157">
        <f ca="1">SUM('3.1 Nyttestrøm'!BK45:BK48)</f>
        <v>0</v>
      </c>
      <c r="BB51" s="1157">
        <f ca="1">SUM('3.1 Nyttestrøm'!BL45:BL48)</f>
        <v>0</v>
      </c>
      <c r="BC51" s="1157">
        <f ca="1">SUM('3.1 Nyttestrøm'!BM45:BM48)</f>
        <v>0</v>
      </c>
      <c r="BD51" s="1157">
        <f ca="1">SUM('3.1 Nyttestrøm'!BN45:BN48)</f>
        <v>0</v>
      </c>
      <c r="BE51" s="1157">
        <f ca="1">SUM('3.1 Nyttestrøm'!BO45:BO48)</f>
        <v>0</v>
      </c>
      <c r="BF51" s="1157">
        <f ca="1">SUM('3.1 Nyttestrøm'!BP45:BP48)</f>
        <v>0</v>
      </c>
      <c r="BG51" s="1157">
        <f ca="1">SUM('3.1 Nyttestrøm'!BQ45:BQ48)</f>
        <v>0</v>
      </c>
      <c r="BH51" s="1157">
        <f ca="1">SUM('3.1 Nyttestrøm'!BR45:BR48)</f>
        <v>0</v>
      </c>
      <c r="BI51" s="1157">
        <f ca="1">SUM('3.1 Nyttestrøm'!BS45:BS48)</f>
        <v>0</v>
      </c>
      <c r="BJ51" s="1157">
        <f ca="1">SUM('3.1 Nyttestrøm'!BT45:BT48)</f>
        <v>0</v>
      </c>
      <c r="BK51" s="1157">
        <f ca="1">SUM('3.1 Nyttestrøm'!BU45:BU48)</f>
        <v>0</v>
      </c>
      <c r="BL51" s="1157">
        <f ca="1">SUM('3.1 Nyttestrøm'!BV45:BV48)</f>
        <v>0</v>
      </c>
      <c r="BM51" s="1157">
        <f ca="1">SUM('3.1 Nyttestrøm'!BW45:BW48)</f>
        <v>0</v>
      </c>
      <c r="BN51" s="1157">
        <f ca="1">SUM('3.1 Nyttestrøm'!BX45:BX48)</f>
        <v>0</v>
      </c>
      <c r="BO51" s="1157">
        <f ca="1">SUM('3.1 Nyttestrøm'!BY45:BY48)</f>
        <v>0</v>
      </c>
      <c r="BP51" s="1157">
        <f ca="1">SUM('3.1 Nyttestrøm'!BZ45:BZ48)</f>
        <v>0</v>
      </c>
      <c r="BQ51" s="1157">
        <f ca="1">SUM('3.1 Nyttestrøm'!CA45:CA48)</f>
        <v>0</v>
      </c>
      <c r="BR51" s="1157">
        <f ca="1">SUM('3.1 Nyttestrøm'!CB45:CB48)</f>
        <v>0</v>
      </c>
      <c r="BS51" s="1157">
        <f ca="1">SUM('3.1 Nyttestrøm'!CC45:CC48)</f>
        <v>0</v>
      </c>
      <c r="BT51" s="1157">
        <f ca="1">SUM('3.1 Nyttestrøm'!CD45:CD48)</f>
        <v>0</v>
      </c>
      <c r="BU51" s="1157">
        <f ca="1">SUM('3.1 Nyttestrøm'!CE45:CE48)</f>
        <v>0</v>
      </c>
      <c r="BV51" s="1157">
        <f ca="1">SUM('3.1 Nyttestrøm'!CF45:CF48)</f>
        <v>0</v>
      </c>
      <c r="BW51" s="1157">
        <f ca="1">SUM('3.1 Nyttestrøm'!CG45:CG48)</f>
        <v>0</v>
      </c>
      <c r="BX51" s="1157">
        <f ca="1">SUM('3.1 Nyttestrøm'!CH45:CH48)</f>
        <v>0</v>
      </c>
      <c r="BY51" s="1157">
        <f ca="1">SUM('3.1 Nyttestrøm'!CI45:CI48)</f>
        <v>0</v>
      </c>
      <c r="BZ51" s="1157">
        <f ca="1">SUM('3.1 Nyttestrøm'!CJ45:CJ48)</f>
        <v>0</v>
      </c>
      <c r="CA51" s="1157">
        <f ca="1">SUM('3.1 Nyttestrøm'!CK45:CK48)</f>
        <v>0</v>
      </c>
      <c r="CB51" s="1157">
        <f ca="1">SUM('3.1 Nyttestrøm'!CL45:CL48)</f>
        <v>0</v>
      </c>
      <c r="CC51" s="1157">
        <f ca="1">SUM('3.1 Nyttestrøm'!CM45:CM48)</f>
        <v>0</v>
      </c>
      <c r="CD51" s="1157">
        <f ca="1">SUM('3.1 Nyttestrøm'!CN45:CN48)</f>
        <v>0</v>
      </c>
      <c r="CE51" s="1157">
        <f ca="1">SUM('3.1 Nyttestrøm'!CO45:CO48)</f>
        <v>0</v>
      </c>
      <c r="CF51" s="1157">
        <f ca="1">SUM('3.1 Nyttestrøm'!CP45:CP48)</f>
        <v>0</v>
      </c>
      <c r="CG51" s="1157">
        <f ca="1">SUM('3.1 Nyttestrøm'!CQ45:CQ48)</f>
        <v>0</v>
      </c>
      <c r="CH51" s="1157">
        <f ca="1">SUM('3.1 Nyttestrøm'!CR45:CR48)</f>
        <v>0</v>
      </c>
      <c r="CI51" s="1157">
        <f ca="1">SUM('3.1 Nyttestrøm'!CS45:CS48)</f>
        <v>0</v>
      </c>
      <c r="CJ51" s="1157">
        <f ca="1">SUM('3.1 Nyttestrøm'!CT45:CT48)</f>
        <v>0</v>
      </c>
      <c r="CK51" s="1157">
        <f ca="1">SUM('3.1 Nyttestrøm'!CU45:CU48)</f>
        <v>0</v>
      </c>
      <c r="CL51" s="1157">
        <f ca="1">SUM('3.1 Nyttestrøm'!CV45:CV48)</f>
        <v>0</v>
      </c>
      <c r="CM51" s="1157">
        <f ca="1">SUM('3.1 Nyttestrøm'!CW45:CW48)</f>
        <v>0</v>
      </c>
      <c r="CN51" s="1157">
        <f ca="1">SUM('3.1 Nyttestrøm'!CX45:CX48)</f>
        <v>0</v>
      </c>
      <c r="CO51" s="1157">
        <f ca="1">SUM('3.1 Nyttestrøm'!CY45:CY48)</f>
        <v>0</v>
      </c>
      <c r="CP51" s="1157">
        <f ca="1">SUM('3.1 Nyttestrøm'!CZ45:CZ48)</f>
        <v>0</v>
      </c>
      <c r="CQ51" s="1157">
        <f ca="1">SUM('3.1 Nyttestrøm'!DA45:DA48)</f>
        <v>0</v>
      </c>
      <c r="CR51" s="1157">
        <f ca="1">SUM('3.1 Nyttestrøm'!DB45:DB48)</f>
        <v>0</v>
      </c>
      <c r="CS51" s="1157">
        <f ca="1">SUM('3.1 Nyttestrøm'!DC45:DC48)</f>
        <v>0</v>
      </c>
      <c r="CT51" s="1157">
        <f ca="1">SUM('3.1 Nyttestrøm'!DD45:DD48)</f>
        <v>0</v>
      </c>
      <c r="CU51" s="1157">
        <f ca="1">SUM('3.1 Nyttestrøm'!DE45:DE48)</f>
        <v>0</v>
      </c>
      <c r="CV51" s="1157">
        <f ca="1">SUM('3.1 Nyttestrøm'!DF45:DF48)</f>
        <v>0</v>
      </c>
      <c r="CW51" s="1157">
        <f ca="1">SUM('3.1 Nyttestrøm'!DG45:DG48)</f>
        <v>0</v>
      </c>
      <c r="CX51" s="1157">
        <f ca="1">SUM('3.1 Nyttestrøm'!DH45:DH48)</f>
        <v>0</v>
      </c>
      <c r="CY51" s="1157">
        <f ca="1">SUM('3.1 Nyttestrøm'!DI45:DI48)</f>
        <v>0</v>
      </c>
      <c r="CZ51" s="1157">
        <f ca="1">SUM('3.1 Nyttestrøm'!DJ45:DJ48)</f>
        <v>0</v>
      </c>
      <c r="DA51" s="1157">
        <f ca="1">SUM('3.1 Nyttestrøm'!DK45:DK48)</f>
        <v>0</v>
      </c>
      <c r="DB51" s="1157">
        <f ca="1">SUM('3.1 Nyttestrøm'!DL45:DL48)</f>
        <v>0</v>
      </c>
      <c r="DC51" s="1157">
        <f ca="1">SUM('3.1 Nyttestrøm'!DM45:DM48)</f>
        <v>0</v>
      </c>
      <c r="DD51" s="1157">
        <f ca="1">SUM('3.1 Nyttestrøm'!DN45:DN48)</f>
        <v>0</v>
      </c>
      <c r="DE51" s="1157">
        <f ca="1">SUM('3.1 Nyttestrøm'!DO45:DO48)</f>
        <v>0</v>
      </c>
      <c r="DF51" s="1157">
        <f ca="1">SUM('3.1 Nyttestrøm'!DP45:DP48)</f>
        <v>0</v>
      </c>
      <c r="DG51" s="1157">
        <f ca="1">SUM('3.1 Nyttestrøm'!DQ45:DQ48)</f>
        <v>0</v>
      </c>
      <c r="DH51" s="1170">
        <f ca="1">SUM('3.1 Nyttestrøm'!DR45:DR48)</f>
        <v>0</v>
      </c>
    </row>
    <row r="52" spans="1:112" x14ac:dyDescent="0.35">
      <c r="A52" s="685"/>
      <c r="B52" s="446" t="s">
        <v>1539</v>
      </c>
      <c r="C52" s="1157">
        <f>SUM('3.1 Nyttestrøm'!M51:M58)</f>
        <v>0</v>
      </c>
      <c r="D52" s="1157">
        <f>SUM('3.1 Nyttestrøm'!N51:N58)</f>
        <v>0</v>
      </c>
      <c r="E52" s="1157">
        <f>SUM('3.1 Nyttestrøm'!O51:O58)</f>
        <v>0</v>
      </c>
      <c r="F52" s="1157">
        <f>SUM('3.1 Nyttestrøm'!P51:P58)</f>
        <v>0</v>
      </c>
      <c r="G52" s="1157">
        <f>SUM('3.1 Nyttestrøm'!Q51:Q58)</f>
        <v>0</v>
      </c>
      <c r="H52" s="1157">
        <f>SUM('3.1 Nyttestrøm'!R51:R58)</f>
        <v>0</v>
      </c>
      <c r="I52" s="1157">
        <f>SUM('3.1 Nyttestrøm'!S51:S58)</f>
        <v>0</v>
      </c>
      <c r="J52" s="1157">
        <f>SUM('3.1 Nyttestrøm'!T51:T58)</f>
        <v>0</v>
      </c>
      <c r="K52" s="1157">
        <f>SUM('3.1 Nyttestrøm'!U51:U58)</f>
        <v>0</v>
      </c>
      <c r="L52" s="1157">
        <f>SUM('3.1 Nyttestrøm'!V51:V58)</f>
        <v>0</v>
      </c>
      <c r="M52" s="1157">
        <f ca="1">SUM('3.1 Nyttestrøm'!W51:W58)</f>
        <v>0</v>
      </c>
      <c r="N52" s="1157">
        <f ca="1">SUM('3.1 Nyttestrøm'!X51:X58)</f>
        <v>0</v>
      </c>
      <c r="O52" s="1157">
        <f ca="1">SUM('3.1 Nyttestrøm'!Y51:Y58)</f>
        <v>0</v>
      </c>
      <c r="P52" s="1157">
        <f ca="1">SUM('3.1 Nyttestrøm'!Z51:Z58)</f>
        <v>0</v>
      </c>
      <c r="Q52" s="1157">
        <f ca="1">SUM('3.1 Nyttestrøm'!AA51:AA58)</f>
        <v>0</v>
      </c>
      <c r="R52" s="1157">
        <f ca="1">SUM('3.1 Nyttestrøm'!AB51:AB58)</f>
        <v>0</v>
      </c>
      <c r="S52" s="1157">
        <f ca="1">SUM('3.1 Nyttestrøm'!AC51:AC58)</f>
        <v>0</v>
      </c>
      <c r="T52" s="1157">
        <f ca="1">SUM('3.1 Nyttestrøm'!AD51:AD58)</f>
        <v>0</v>
      </c>
      <c r="U52" s="1157">
        <f ca="1">SUM('3.1 Nyttestrøm'!AE51:AE58)</f>
        <v>0</v>
      </c>
      <c r="V52" s="1157">
        <f ca="1">SUM('3.1 Nyttestrøm'!AF51:AF58)</f>
        <v>0</v>
      </c>
      <c r="W52" s="1157">
        <f ca="1">SUM('3.1 Nyttestrøm'!AG51:AG58)</f>
        <v>0</v>
      </c>
      <c r="X52" s="1157">
        <f ca="1">SUM('3.1 Nyttestrøm'!AH51:AH58)</f>
        <v>0</v>
      </c>
      <c r="Y52" s="1157">
        <f ca="1">SUM('3.1 Nyttestrøm'!AI51:AI58)</f>
        <v>0</v>
      </c>
      <c r="Z52" s="1157">
        <f ca="1">SUM('3.1 Nyttestrøm'!AJ51:AJ58)</f>
        <v>0</v>
      </c>
      <c r="AA52" s="1157">
        <f ca="1">SUM('3.1 Nyttestrøm'!AK51:AK58)</f>
        <v>0</v>
      </c>
      <c r="AB52" s="1157">
        <f ca="1">SUM('3.1 Nyttestrøm'!AL51:AL58)</f>
        <v>0</v>
      </c>
      <c r="AC52" s="1157">
        <f ca="1">SUM('3.1 Nyttestrøm'!AM51:AM58)</f>
        <v>0</v>
      </c>
      <c r="AD52" s="1157">
        <f ca="1">SUM('3.1 Nyttestrøm'!AN51:AN58)</f>
        <v>0</v>
      </c>
      <c r="AE52" s="1157">
        <f ca="1">SUM('3.1 Nyttestrøm'!AO51:AO58)</f>
        <v>0</v>
      </c>
      <c r="AF52" s="1157">
        <f ca="1">SUM('3.1 Nyttestrøm'!AP51:AP58)</f>
        <v>0</v>
      </c>
      <c r="AG52" s="1157">
        <f ca="1">SUM('3.1 Nyttestrøm'!AQ51:AQ58)</f>
        <v>0</v>
      </c>
      <c r="AH52" s="1157">
        <f ca="1">SUM('3.1 Nyttestrøm'!AR51:AR58)</f>
        <v>0</v>
      </c>
      <c r="AI52" s="1157">
        <f ca="1">SUM('3.1 Nyttestrøm'!AS51:AS58)</f>
        <v>0</v>
      </c>
      <c r="AJ52" s="1157">
        <f ca="1">SUM('3.1 Nyttestrøm'!AT51:AT58)</f>
        <v>0</v>
      </c>
      <c r="AK52" s="1157">
        <f ca="1">SUM('3.1 Nyttestrøm'!AU51:AU58)</f>
        <v>0</v>
      </c>
      <c r="AL52" s="1157">
        <f ca="1">SUM('3.1 Nyttestrøm'!AV51:AV58)</f>
        <v>0</v>
      </c>
      <c r="AM52" s="1157">
        <f ca="1">SUM('3.1 Nyttestrøm'!AW51:AW58)</f>
        <v>0</v>
      </c>
      <c r="AN52" s="1157">
        <f ca="1">SUM('3.1 Nyttestrøm'!AX51:AX58)</f>
        <v>0</v>
      </c>
      <c r="AO52" s="1157">
        <f ca="1">SUM('3.1 Nyttestrøm'!AY51:AY58)</f>
        <v>0</v>
      </c>
      <c r="AP52" s="1157">
        <f ca="1">SUM('3.1 Nyttestrøm'!AZ51:AZ58)</f>
        <v>0</v>
      </c>
      <c r="AQ52" s="1157">
        <f ca="1">SUM('3.1 Nyttestrøm'!BA51:BA58)</f>
        <v>0</v>
      </c>
      <c r="AR52" s="1157">
        <f ca="1">SUM('3.1 Nyttestrøm'!BB51:BB58)</f>
        <v>0</v>
      </c>
      <c r="AS52" s="1157">
        <f ca="1">SUM('3.1 Nyttestrøm'!BC51:BC58)</f>
        <v>0</v>
      </c>
      <c r="AT52" s="1157">
        <f ca="1">SUM('3.1 Nyttestrøm'!BD51:BD58)</f>
        <v>0</v>
      </c>
      <c r="AU52" s="1157">
        <f ca="1">SUM('3.1 Nyttestrøm'!BE51:BE58)</f>
        <v>0</v>
      </c>
      <c r="AV52" s="1157">
        <f ca="1">SUM('3.1 Nyttestrøm'!BF51:BF58)</f>
        <v>0</v>
      </c>
      <c r="AW52" s="1157">
        <f ca="1">SUM('3.1 Nyttestrøm'!BG51:BG58)</f>
        <v>0</v>
      </c>
      <c r="AX52" s="1157">
        <f ca="1">SUM('3.1 Nyttestrøm'!BH51:BH58)</f>
        <v>0</v>
      </c>
      <c r="AY52" s="1157">
        <f ca="1">SUM('3.1 Nyttestrøm'!BI51:BI58)</f>
        <v>0</v>
      </c>
      <c r="AZ52" s="1157">
        <f ca="1">SUM('3.1 Nyttestrøm'!BJ51:BJ58)</f>
        <v>0</v>
      </c>
      <c r="BA52" s="1157">
        <f ca="1">SUM('3.1 Nyttestrøm'!BK51:BK58)</f>
        <v>0</v>
      </c>
      <c r="BB52" s="1157">
        <f ca="1">SUM('3.1 Nyttestrøm'!BL51:BL58)</f>
        <v>0</v>
      </c>
      <c r="BC52" s="1157">
        <f ca="1">SUM('3.1 Nyttestrøm'!BM51:BM58)</f>
        <v>0</v>
      </c>
      <c r="BD52" s="1157">
        <f ca="1">SUM('3.1 Nyttestrøm'!BN51:BN58)</f>
        <v>0</v>
      </c>
      <c r="BE52" s="1157">
        <f ca="1">SUM('3.1 Nyttestrøm'!BO51:BO58)</f>
        <v>0</v>
      </c>
      <c r="BF52" s="1157">
        <f ca="1">SUM('3.1 Nyttestrøm'!BP51:BP58)</f>
        <v>0</v>
      </c>
      <c r="BG52" s="1157">
        <f ca="1">SUM('3.1 Nyttestrøm'!BQ51:BQ58)</f>
        <v>0</v>
      </c>
      <c r="BH52" s="1157">
        <f ca="1">SUM('3.1 Nyttestrøm'!BR51:BR58)</f>
        <v>0</v>
      </c>
      <c r="BI52" s="1157">
        <f ca="1">SUM('3.1 Nyttestrøm'!BS51:BS58)</f>
        <v>0</v>
      </c>
      <c r="BJ52" s="1157">
        <f ca="1">SUM('3.1 Nyttestrøm'!BT51:BT58)</f>
        <v>0</v>
      </c>
      <c r="BK52" s="1157">
        <f ca="1">SUM('3.1 Nyttestrøm'!BU51:BU58)</f>
        <v>0</v>
      </c>
      <c r="BL52" s="1157">
        <f ca="1">SUM('3.1 Nyttestrøm'!BV51:BV58)</f>
        <v>0</v>
      </c>
      <c r="BM52" s="1157">
        <f ca="1">SUM('3.1 Nyttestrøm'!BW51:BW58)</f>
        <v>0</v>
      </c>
      <c r="BN52" s="1157">
        <f ca="1">SUM('3.1 Nyttestrøm'!BX51:BX58)</f>
        <v>0</v>
      </c>
      <c r="BO52" s="1157">
        <f ca="1">SUM('3.1 Nyttestrøm'!BY51:BY58)</f>
        <v>0</v>
      </c>
      <c r="BP52" s="1157">
        <f ca="1">SUM('3.1 Nyttestrøm'!BZ51:BZ58)</f>
        <v>0</v>
      </c>
      <c r="BQ52" s="1157">
        <f ca="1">SUM('3.1 Nyttestrøm'!CA51:CA58)</f>
        <v>0</v>
      </c>
      <c r="BR52" s="1157">
        <f ca="1">SUM('3.1 Nyttestrøm'!CB51:CB58)</f>
        <v>0</v>
      </c>
      <c r="BS52" s="1157">
        <f ca="1">SUM('3.1 Nyttestrøm'!CC51:CC58)</f>
        <v>0</v>
      </c>
      <c r="BT52" s="1157">
        <f ca="1">SUM('3.1 Nyttestrøm'!CD51:CD58)</f>
        <v>0</v>
      </c>
      <c r="BU52" s="1157">
        <f ca="1">SUM('3.1 Nyttestrøm'!CE51:CE58)</f>
        <v>0</v>
      </c>
      <c r="BV52" s="1157">
        <f ca="1">SUM('3.1 Nyttestrøm'!CF51:CF58)</f>
        <v>0</v>
      </c>
      <c r="BW52" s="1157">
        <f ca="1">SUM('3.1 Nyttestrøm'!CG51:CG58)</f>
        <v>0</v>
      </c>
      <c r="BX52" s="1157">
        <f ca="1">SUM('3.1 Nyttestrøm'!CH51:CH58)</f>
        <v>0</v>
      </c>
      <c r="BY52" s="1157">
        <f ca="1">SUM('3.1 Nyttestrøm'!CI51:CI58)</f>
        <v>0</v>
      </c>
      <c r="BZ52" s="1157">
        <f ca="1">SUM('3.1 Nyttestrøm'!CJ51:CJ58)</f>
        <v>0</v>
      </c>
      <c r="CA52" s="1157">
        <f ca="1">SUM('3.1 Nyttestrøm'!CK51:CK58)</f>
        <v>0</v>
      </c>
      <c r="CB52" s="1157">
        <f ca="1">SUM('3.1 Nyttestrøm'!CL51:CL58)</f>
        <v>0</v>
      </c>
      <c r="CC52" s="1157">
        <f ca="1">SUM('3.1 Nyttestrøm'!CM51:CM58)</f>
        <v>0</v>
      </c>
      <c r="CD52" s="1157">
        <f ca="1">SUM('3.1 Nyttestrøm'!CN51:CN58)</f>
        <v>0</v>
      </c>
      <c r="CE52" s="1157">
        <f ca="1">SUM('3.1 Nyttestrøm'!CO51:CO58)</f>
        <v>0</v>
      </c>
      <c r="CF52" s="1157">
        <f ca="1">SUM('3.1 Nyttestrøm'!CP51:CP58)</f>
        <v>0</v>
      </c>
      <c r="CG52" s="1157">
        <f ca="1">SUM('3.1 Nyttestrøm'!CQ51:CQ58)</f>
        <v>0</v>
      </c>
      <c r="CH52" s="1157">
        <f ca="1">SUM('3.1 Nyttestrøm'!CR51:CR58)</f>
        <v>0</v>
      </c>
      <c r="CI52" s="1157">
        <f ca="1">SUM('3.1 Nyttestrøm'!CS51:CS58)</f>
        <v>0</v>
      </c>
      <c r="CJ52" s="1157">
        <f ca="1">SUM('3.1 Nyttestrøm'!CT51:CT58)</f>
        <v>0</v>
      </c>
      <c r="CK52" s="1157">
        <f ca="1">SUM('3.1 Nyttestrøm'!CU51:CU58)</f>
        <v>0</v>
      </c>
      <c r="CL52" s="1157">
        <f ca="1">SUM('3.1 Nyttestrøm'!CV51:CV58)</f>
        <v>0</v>
      </c>
      <c r="CM52" s="1157">
        <f ca="1">SUM('3.1 Nyttestrøm'!CW51:CW58)</f>
        <v>0</v>
      </c>
      <c r="CN52" s="1157">
        <f ca="1">SUM('3.1 Nyttestrøm'!CX51:CX58)</f>
        <v>0</v>
      </c>
      <c r="CO52" s="1157">
        <f ca="1">SUM('3.1 Nyttestrøm'!CY51:CY58)</f>
        <v>0</v>
      </c>
      <c r="CP52" s="1157">
        <f ca="1">SUM('3.1 Nyttestrøm'!CZ51:CZ58)</f>
        <v>0</v>
      </c>
      <c r="CQ52" s="1157">
        <f ca="1">SUM('3.1 Nyttestrøm'!DA51:DA58)</f>
        <v>0</v>
      </c>
      <c r="CR52" s="1157">
        <f ca="1">SUM('3.1 Nyttestrøm'!DB51:DB58)</f>
        <v>0</v>
      </c>
      <c r="CS52" s="1157">
        <f ca="1">SUM('3.1 Nyttestrøm'!DC51:DC58)</f>
        <v>0</v>
      </c>
      <c r="CT52" s="1157">
        <f ca="1">SUM('3.1 Nyttestrøm'!DD51:DD58)</f>
        <v>0</v>
      </c>
      <c r="CU52" s="1157">
        <f ca="1">SUM('3.1 Nyttestrøm'!DE51:DE58)</f>
        <v>0</v>
      </c>
      <c r="CV52" s="1157">
        <f ca="1">SUM('3.1 Nyttestrøm'!DF51:DF58)</f>
        <v>0</v>
      </c>
      <c r="CW52" s="1157">
        <f ca="1">SUM('3.1 Nyttestrøm'!DG51:DG58)</f>
        <v>0</v>
      </c>
      <c r="CX52" s="1157">
        <f ca="1">SUM('3.1 Nyttestrøm'!DH51:DH58)</f>
        <v>0</v>
      </c>
      <c r="CY52" s="1157">
        <f ca="1">SUM('3.1 Nyttestrøm'!DI51:DI58)</f>
        <v>0</v>
      </c>
      <c r="CZ52" s="1157">
        <f ca="1">SUM('3.1 Nyttestrøm'!DJ51:DJ58)</f>
        <v>0</v>
      </c>
      <c r="DA52" s="1157">
        <f ca="1">SUM('3.1 Nyttestrøm'!DK51:DK58)</f>
        <v>0</v>
      </c>
      <c r="DB52" s="1157">
        <f ca="1">SUM('3.1 Nyttestrøm'!DL51:DL58)</f>
        <v>0</v>
      </c>
      <c r="DC52" s="1157">
        <f ca="1">SUM('3.1 Nyttestrøm'!DM51:DM58)</f>
        <v>0</v>
      </c>
      <c r="DD52" s="1157">
        <f ca="1">SUM('3.1 Nyttestrøm'!DN51:DN58)</f>
        <v>0</v>
      </c>
      <c r="DE52" s="1157">
        <f ca="1">SUM('3.1 Nyttestrøm'!DO51:DO58)</f>
        <v>0</v>
      </c>
      <c r="DF52" s="1157">
        <f ca="1">SUM('3.1 Nyttestrøm'!DP51:DP58)</f>
        <v>0</v>
      </c>
      <c r="DG52" s="1157">
        <f ca="1">SUM('3.1 Nyttestrøm'!DQ51:DQ58)</f>
        <v>0</v>
      </c>
      <c r="DH52" s="1170">
        <f ca="1">SUM('3.1 Nyttestrøm'!DR51:DR58)</f>
        <v>0</v>
      </c>
    </row>
    <row r="53" spans="1:112" x14ac:dyDescent="0.35">
      <c r="A53" s="685"/>
      <c r="B53" s="446" t="str">
        <f>'3.1 Nyttestrøm'!C60</f>
        <v>Vedlikeholdskostnader Infrastruktur</v>
      </c>
      <c r="C53" s="1157">
        <f>SUM('3.1 Nyttestrøm'!M61:M63)</f>
        <v>0</v>
      </c>
      <c r="D53" s="1157">
        <f>SUM('3.1 Nyttestrøm'!N61:N63)</f>
        <v>0</v>
      </c>
      <c r="E53" s="1157">
        <f>SUM('3.1 Nyttestrøm'!O61:O63)</f>
        <v>0</v>
      </c>
      <c r="F53" s="1157">
        <f>SUM('3.1 Nyttestrøm'!P61:P63)</f>
        <v>0</v>
      </c>
      <c r="G53" s="1157">
        <f>SUM('3.1 Nyttestrøm'!Q61:Q63)</f>
        <v>0</v>
      </c>
      <c r="H53" s="1157">
        <f>SUM('3.1 Nyttestrøm'!R61:R63)</f>
        <v>0</v>
      </c>
      <c r="I53" s="1157">
        <f>SUM('3.1 Nyttestrøm'!S61:S63)</f>
        <v>0</v>
      </c>
      <c r="J53" s="1157">
        <f>SUM('3.1 Nyttestrøm'!T61:T63)</f>
        <v>0</v>
      </c>
      <c r="K53" s="1157">
        <f>SUM('3.1 Nyttestrøm'!U61:U63)</f>
        <v>0</v>
      </c>
      <c r="L53" s="1157">
        <f>SUM('3.1 Nyttestrøm'!V61:V63)</f>
        <v>0</v>
      </c>
      <c r="M53" s="1157">
        <f ca="1">SUM('3.1 Nyttestrøm'!W61:W63)</f>
        <v>0</v>
      </c>
      <c r="N53" s="1157">
        <f ca="1">SUM('3.1 Nyttestrøm'!X61:X63)</f>
        <v>0</v>
      </c>
      <c r="O53" s="1157">
        <f ca="1">SUM('3.1 Nyttestrøm'!Y61:Y63)</f>
        <v>0</v>
      </c>
      <c r="P53" s="1157">
        <f ca="1">SUM('3.1 Nyttestrøm'!Z61:Z63)</f>
        <v>0</v>
      </c>
      <c r="Q53" s="1157">
        <f ca="1">SUM('3.1 Nyttestrøm'!AA61:AA63)</f>
        <v>0</v>
      </c>
      <c r="R53" s="1157">
        <f ca="1">SUM('3.1 Nyttestrøm'!AB61:AB63)</f>
        <v>0</v>
      </c>
      <c r="S53" s="1157">
        <f ca="1">SUM('3.1 Nyttestrøm'!AC61:AC63)</f>
        <v>0</v>
      </c>
      <c r="T53" s="1157">
        <f ca="1">SUM('3.1 Nyttestrøm'!AD61:AD63)</f>
        <v>0</v>
      </c>
      <c r="U53" s="1157">
        <f ca="1">SUM('3.1 Nyttestrøm'!AE61:AE63)</f>
        <v>0</v>
      </c>
      <c r="V53" s="1157">
        <f ca="1">SUM('3.1 Nyttestrøm'!AF61:AF63)</f>
        <v>0</v>
      </c>
      <c r="W53" s="1157">
        <f ca="1">SUM('3.1 Nyttestrøm'!AG61:AG63)</f>
        <v>0</v>
      </c>
      <c r="X53" s="1157">
        <f ca="1">SUM('3.1 Nyttestrøm'!AH61:AH63)</f>
        <v>0</v>
      </c>
      <c r="Y53" s="1157">
        <f ca="1">SUM('3.1 Nyttestrøm'!AI61:AI63)</f>
        <v>0</v>
      </c>
      <c r="Z53" s="1157">
        <f ca="1">SUM('3.1 Nyttestrøm'!AJ61:AJ63)</f>
        <v>0</v>
      </c>
      <c r="AA53" s="1157">
        <f ca="1">SUM('3.1 Nyttestrøm'!AK61:AK63)</f>
        <v>0</v>
      </c>
      <c r="AB53" s="1157">
        <f ca="1">SUM('3.1 Nyttestrøm'!AL61:AL63)</f>
        <v>0</v>
      </c>
      <c r="AC53" s="1157">
        <f ca="1">SUM('3.1 Nyttestrøm'!AM61:AM63)</f>
        <v>0</v>
      </c>
      <c r="AD53" s="1157">
        <f ca="1">SUM('3.1 Nyttestrøm'!AN61:AN63)</f>
        <v>0</v>
      </c>
      <c r="AE53" s="1157">
        <f ca="1">SUM('3.1 Nyttestrøm'!AO61:AO63)</f>
        <v>0</v>
      </c>
      <c r="AF53" s="1157">
        <f ca="1">SUM('3.1 Nyttestrøm'!AP61:AP63)</f>
        <v>0</v>
      </c>
      <c r="AG53" s="1157">
        <f ca="1">SUM('3.1 Nyttestrøm'!AQ61:AQ63)</f>
        <v>0</v>
      </c>
      <c r="AH53" s="1157">
        <f ca="1">SUM('3.1 Nyttestrøm'!AR61:AR63)</f>
        <v>0</v>
      </c>
      <c r="AI53" s="1157">
        <f ca="1">SUM('3.1 Nyttestrøm'!AS61:AS63)</f>
        <v>0</v>
      </c>
      <c r="AJ53" s="1157">
        <f ca="1">SUM('3.1 Nyttestrøm'!AT61:AT63)</f>
        <v>0</v>
      </c>
      <c r="AK53" s="1157">
        <f ca="1">SUM('3.1 Nyttestrøm'!AU61:AU63)</f>
        <v>0</v>
      </c>
      <c r="AL53" s="1157">
        <f ca="1">SUM('3.1 Nyttestrøm'!AV61:AV63)</f>
        <v>0</v>
      </c>
      <c r="AM53" s="1157">
        <f ca="1">SUM('3.1 Nyttestrøm'!AW61:AW63)</f>
        <v>0</v>
      </c>
      <c r="AN53" s="1157">
        <f ca="1">SUM('3.1 Nyttestrøm'!AX61:AX63)</f>
        <v>0</v>
      </c>
      <c r="AO53" s="1157">
        <f ca="1">SUM('3.1 Nyttestrøm'!AY61:AY63)</f>
        <v>0</v>
      </c>
      <c r="AP53" s="1157">
        <f ca="1">SUM('3.1 Nyttestrøm'!AZ61:AZ63)</f>
        <v>0</v>
      </c>
      <c r="AQ53" s="1157">
        <f ca="1">SUM('3.1 Nyttestrøm'!BA61:BA63)</f>
        <v>0</v>
      </c>
      <c r="AR53" s="1157">
        <f ca="1">SUM('3.1 Nyttestrøm'!BB61:BB63)</f>
        <v>0</v>
      </c>
      <c r="AS53" s="1157">
        <f ca="1">SUM('3.1 Nyttestrøm'!BC61:BC63)</f>
        <v>0</v>
      </c>
      <c r="AT53" s="1157">
        <f ca="1">SUM('3.1 Nyttestrøm'!BD61:BD63)</f>
        <v>0</v>
      </c>
      <c r="AU53" s="1157">
        <f ca="1">SUM('3.1 Nyttestrøm'!BE61:BE63)</f>
        <v>0</v>
      </c>
      <c r="AV53" s="1157">
        <f ca="1">SUM('3.1 Nyttestrøm'!BF61:BF63)</f>
        <v>0</v>
      </c>
      <c r="AW53" s="1157">
        <f ca="1">SUM('3.1 Nyttestrøm'!BG61:BG63)</f>
        <v>0</v>
      </c>
      <c r="AX53" s="1157">
        <f ca="1">SUM('3.1 Nyttestrøm'!BH61:BH63)</f>
        <v>0</v>
      </c>
      <c r="AY53" s="1157">
        <f ca="1">SUM('3.1 Nyttestrøm'!BI61:BI63)</f>
        <v>0</v>
      </c>
      <c r="AZ53" s="1157">
        <f ca="1">SUM('3.1 Nyttestrøm'!BJ61:BJ63)</f>
        <v>0</v>
      </c>
      <c r="BA53" s="1157">
        <f ca="1">SUM('3.1 Nyttestrøm'!BK61:BK63)</f>
        <v>0</v>
      </c>
      <c r="BB53" s="1157">
        <f ca="1">SUM('3.1 Nyttestrøm'!BL61:BL63)</f>
        <v>0</v>
      </c>
      <c r="BC53" s="1157">
        <f ca="1">SUM('3.1 Nyttestrøm'!BM61:BM63)</f>
        <v>0</v>
      </c>
      <c r="BD53" s="1157">
        <f ca="1">SUM('3.1 Nyttestrøm'!BN61:BN63)</f>
        <v>0</v>
      </c>
      <c r="BE53" s="1157">
        <f ca="1">SUM('3.1 Nyttestrøm'!BO61:BO63)</f>
        <v>0</v>
      </c>
      <c r="BF53" s="1157">
        <f ca="1">SUM('3.1 Nyttestrøm'!BP61:BP63)</f>
        <v>0</v>
      </c>
      <c r="BG53" s="1157">
        <f ca="1">SUM('3.1 Nyttestrøm'!BQ61:BQ63)</f>
        <v>0</v>
      </c>
      <c r="BH53" s="1157">
        <f ca="1">SUM('3.1 Nyttestrøm'!BR61:BR63)</f>
        <v>0</v>
      </c>
      <c r="BI53" s="1157">
        <f ca="1">SUM('3.1 Nyttestrøm'!BS61:BS63)</f>
        <v>0</v>
      </c>
      <c r="BJ53" s="1157">
        <f ca="1">SUM('3.1 Nyttestrøm'!BT61:BT63)</f>
        <v>0</v>
      </c>
      <c r="BK53" s="1157">
        <f ca="1">SUM('3.1 Nyttestrøm'!BU61:BU63)</f>
        <v>0</v>
      </c>
      <c r="BL53" s="1157">
        <f ca="1">SUM('3.1 Nyttestrøm'!BV61:BV63)</f>
        <v>0</v>
      </c>
      <c r="BM53" s="1157">
        <f ca="1">SUM('3.1 Nyttestrøm'!BW61:BW63)</f>
        <v>0</v>
      </c>
      <c r="BN53" s="1157">
        <f ca="1">SUM('3.1 Nyttestrøm'!BX61:BX63)</f>
        <v>0</v>
      </c>
      <c r="BO53" s="1157">
        <f ca="1">SUM('3.1 Nyttestrøm'!BY61:BY63)</f>
        <v>0</v>
      </c>
      <c r="BP53" s="1157">
        <f ca="1">SUM('3.1 Nyttestrøm'!BZ61:BZ63)</f>
        <v>0</v>
      </c>
      <c r="BQ53" s="1157">
        <f ca="1">SUM('3.1 Nyttestrøm'!CA61:CA63)</f>
        <v>0</v>
      </c>
      <c r="BR53" s="1157">
        <f ca="1">SUM('3.1 Nyttestrøm'!CB61:CB63)</f>
        <v>0</v>
      </c>
      <c r="BS53" s="1157">
        <f ca="1">SUM('3.1 Nyttestrøm'!CC61:CC63)</f>
        <v>0</v>
      </c>
      <c r="BT53" s="1157">
        <f ca="1">SUM('3.1 Nyttestrøm'!CD61:CD63)</f>
        <v>0</v>
      </c>
      <c r="BU53" s="1157">
        <f ca="1">SUM('3.1 Nyttestrøm'!CE61:CE63)</f>
        <v>0</v>
      </c>
      <c r="BV53" s="1157">
        <f ca="1">SUM('3.1 Nyttestrøm'!CF61:CF63)</f>
        <v>0</v>
      </c>
      <c r="BW53" s="1157">
        <f ca="1">SUM('3.1 Nyttestrøm'!CG61:CG63)</f>
        <v>0</v>
      </c>
      <c r="BX53" s="1157">
        <f ca="1">SUM('3.1 Nyttestrøm'!CH61:CH63)</f>
        <v>0</v>
      </c>
      <c r="BY53" s="1157">
        <f ca="1">SUM('3.1 Nyttestrøm'!CI61:CI63)</f>
        <v>0</v>
      </c>
      <c r="BZ53" s="1157">
        <f ca="1">SUM('3.1 Nyttestrøm'!CJ61:CJ63)</f>
        <v>0</v>
      </c>
      <c r="CA53" s="1157">
        <f ca="1">SUM('3.1 Nyttestrøm'!CK61:CK63)</f>
        <v>0</v>
      </c>
      <c r="CB53" s="1157">
        <f ca="1">SUM('3.1 Nyttestrøm'!CL61:CL63)</f>
        <v>0</v>
      </c>
      <c r="CC53" s="1157">
        <f ca="1">SUM('3.1 Nyttestrøm'!CM61:CM63)</f>
        <v>0</v>
      </c>
      <c r="CD53" s="1157">
        <f ca="1">SUM('3.1 Nyttestrøm'!CN61:CN63)</f>
        <v>0</v>
      </c>
      <c r="CE53" s="1157">
        <f ca="1">SUM('3.1 Nyttestrøm'!CO61:CO63)</f>
        <v>0</v>
      </c>
      <c r="CF53" s="1157">
        <f ca="1">SUM('3.1 Nyttestrøm'!CP61:CP63)</f>
        <v>0</v>
      </c>
      <c r="CG53" s="1157">
        <f ca="1">SUM('3.1 Nyttestrøm'!CQ61:CQ63)</f>
        <v>0</v>
      </c>
      <c r="CH53" s="1157">
        <f ca="1">SUM('3.1 Nyttestrøm'!CR61:CR63)</f>
        <v>0</v>
      </c>
      <c r="CI53" s="1157">
        <f ca="1">SUM('3.1 Nyttestrøm'!CS61:CS63)</f>
        <v>0</v>
      </c>
      <c r="CJ53" s="1157">
        <f ca="1">SUM('3.1 Nyttestrøm'!CT61:CT63)</f>
        <v>0</v>
      </c>
      <c r="CK53" s="1157">
        <f ca="1">SUM('3.1 Nyttestrøm'!CU61:CU63)</f>
        <v>0</v>
      </c>
      <c r="CL53" s="1157">
        <f ca="1">SUM('3.1 Nyttestrøm'!CV61:CV63)</f>
        <v>0</v>
      </c>
      <c r="CM53" s="1157">
        <f ca="1">SUM('3.1 Nyttestrøm'!CW61:CW63)</f>
        <v>0</v>
      </c>
      <c r="CN53" s="1157">
        <f ca="1">SUM('3.1 Nyttestrøm'!CX61:CX63)</f>
        <v>0</v>
      </c>
      <c r="CO53" s="1157">
        <f ca="1">SUM('3.1 Nyttestrøm'!CY61:CY63)</f>
        <v>0</v>
      </c>
      <c r="CP53" s="1157">
        <f ca="1">SUM('3.1 Nyttestrøm'!CZ61:CZ63)</f>
        <v>0</v>
      </c>
      <c r="CQ53" s="1157">
        <f ca="1">SUM('3.1 Nyttestrøm'!DA61:DA63)</f>
        <v>0</v>
      </c>
      <c r="CR53" s="1157">
        <f ca="1">SUM('3.1 Nyttestrøm'!DB61:DB63)</f>
        <v>0</v>
      </c>
      <c r="CS53" s="1157">
        <f ca="1">SUM('3.1 Nyttestrøm'!DC61:DC63)</f>
        <v>0</v>
      </c>
      <c r="CT53" s="1157">
        <f ca="1">SUM('3.1 Nyttestrøm'!DD61:DD63)</f>
        <v>0</v>
      </c>
      <c r="CU53" s="1157">
        <f ca="1">SUM('3.1 Nyttestrøm'!DE61:DE63)</f>
        <v>0</v>
      </c>
      <c r="CV53" s="1157">
        <f ca="1">SUM('3.1 Nyttestrøm'!DF61:DF63)</f>
        <v>0</v>
      </c>
      <c r="CW53" s="1157">
        <f ca="1">SUM('3.1 Nyttestrøm'!DG61:DG63)</f>
        <v>0</v>
      </c>
      <c r="CX53" s="1157">
        <f ca="1">SUM('3.1 Nyttestrøm'!DH61:DH63)</f>
        <v>0</v>
      </c>
      <c r="CY53" s="1157">
        <f ca="1">SUM('3.1 Nyttestrøm'!DI61:DI63)</f>
        <v>0</v>
      </c>
      <c r="CZ53" s="1157">
        <f ca="1">SUM('3.1 Nyttestrøm'!DJ61:DJ63)</f>
        <v>0</v>
      </c>
      <c r="DA53" s="1157">
        <f ca="1">SUM('3.1 Nyttestrøm'!DK61:DK63)</f>
        <v>0</v>
      </c>
      <c r="DB53" s="1157">
        <f ca="1">SUM('3.1 Nyttestrøm'!DL61:DL63)</f>
        <v>0</v>
      </c>
      <c r="DC53" s="1157">
        <f ca="1">SUM('3.1 Nyttestrøm'!DM61:DM63)</f>
        <v>0</v>
      </c>
      <c r="DD53" s="1157">
        <f ca="1">SUM('3.1 Nyttestrøm'!DN61:DN63)</f>
        <v>0</v>
      </c>
      <c r="DE53" s="1157">
        <f ca="1">SUM('3.1 Nyttestrøm'!DO61:DO63)</f>
        <v>0</v>
      </c>
      <c r="DF53" s="1157">
        <f ca="1">SUM('3.1 Nyttestrøm'!DP61:DP63)</f>
        <v>0</v>
      </c>
      <c r="DG53" s="1157">
        <f ca="1">SUM('3.1 Nyttestrøm'!DQ61:DQ63)</f>
        <v>0</v>
      </c>
      <c r="DH53" s="1170">
        <f ca="1">SUM('3.1 Nyttestrøm'!DR61:DR63)</f>
        <v>0</v>
      </c>
    </row>
    <row r="54" spans="1:112" x14ac:dyDescent="0.35">
      <c r="A54" s="685"/>
      <c r="B54" s="446" t="str">
        <f>'3.1 Nyttestrøm'!C64</f>
        <v>Offentlig kjøp</v>
      </c>
      <c r="C54" s="1157">
        <f>SUM('3.1 Nyttestrøm'!M65:M66)</f>
        <v>0</v>
      </c>
      <c r="D54" s="1157">
        <f>SUM('3.1 Nyttestrøm'!N65:N66)</f>
        <v>0</v>
      </c>
      <c r="E54" s="1157">
        <f>SUM('3.1 Nyttestrøm'!O65:O66)</f>
        <v>0</v>
      </c>
      <c r="F54" s="1157">
        <f>SUM('3.1 Nyttestrøm'!P65:P66)</f>
        <v>0</v>
      </c>
      <c r="G54" s="1157">
        <f>SUM('3.1 Nyttestrøm'!Q65:Q66)</f>
        <v>0</v>
      </c>
      <c r="H54" s="1157">
        <f>SUM('3.1 Nyttestrøm'!R65:R66)</f>
        <v>0</v>
      </c>
      <c r="I54" s="1157">
        <f>SUM('3.1 Nyttestrøm'!S65:S66)</f>
        <v>0</v>
      </c>
      <c r="J54" s="1157">
        <f>SUM('3.1 Nyttestrøm'!T65:T66)</f>
        <v>0</v>
      </c>
      <c r="K54" s="1157">
        <f>SUM('3.1 Nyttestrøm'!U65:U66)</f>
        <v>0</v>
      </c>
      <c r="L54" s="1157">
        <f>SUM('3.1 Nyttestrøm'!V65:V66)</f>
        <v>0</v>
      </c>
      <c r="M54" s="1157">
        <f>SUM('3.1 Nyttestrøm'!W65:W66)</f>
        <v>0</v>
      </c>
      <c r="N54" s="1157">
        <f>SUM('3.1 Nyttestrøm'!X65:X66)</f>
        <v>0</v>
      </c>
      <c r="O54" s="1157">
        <f>SUM('3.1 Nyttestrøm'!Y65:Y66)</f>
        <v>0</v>
      </c>
      <c r="P54" s="1157">
        <f>SUM('3.1 Nyttestrøm'!Z65:Z66)</f>
        <v>0</v>
      </c>
      <c r="Q54" s="1157">
        <f>SUM('3.1 Nyttestrøm'!AA65:AA66)</f>
        <v>0</v>
      </c>
      <c r="R54" s="1157">
        <f>SUM('3.1 Nyttestrøm'!AB65:AB66)</f>
        <v>0</v>
      </c>
      <c r="S54" s="1157">
        <f>SUM('3.1 Nyttestrøm'!AC65:AC66)</f>
        <v>0</v>
      </c>
      <c r="T54" s="1157">
        <f>SUM('3.1 Nyttestrøm'!AD65:AD66)</f>
        <v>0</v>
      </c>
      <c r="U54" s="1157">
        <f>SUM('3.1 Nyttestrøm'!AE65:AE66)</f>
        <v>0</v>
      </c>
      <c r="V54" s="1157">
        <f>SUM('3.1 Nyttestrøm'!AF65:AF66)</f>
        <v>0</v>
      </c>
      <c r="W54" s="1157">
        <f>SUM('3.1 Nyttestrøm'!AG65:AG66)</f>
        <v>0</v>
      </c>
      <c r="X54" s="1157">
        <f>SUM('3.1 Nyttestrøm'!AH65:AH66)</f>
        <v>0</v>
      </c>
      <c r="Y54" s="1157">
        <f>SUM('3.1 Nyttestrøm'!AI65:AI66)</f>
        <v>0</v>
      </c>
      <c r="Z54" s="1157">
        <f>SUM('3.1 Nyttestrøm'!AJ65:AJ66)</f>
        <v>0</v>
      </c>
      <c r="AA54" s="1157">
        <f>SUM('3.1 Nyttestrøm'!AK65:AK66)</f>
        <v>0</v>
      </c>
      <c r="AB54" s="1157">
        <f>SUM('3.1 Nyttestrøm'!AL65:AL66)</f>
        <v>0</v>
      </c>
      <c r="AC54" s="1157">
        <f>SUM('3.1 Nyttestrøm'!AM65:AM66)</f>
        <v>0</v>
      </c>
      <c r="AD54" s="1157">
        <f>SUM('3.1 Nyttestrøm'!AN65:AN66)</f>
        <v>0</v>
      </c>
      <c r="AE54" s="1157">
        <f>SUM('3.1 Nyttestrøm'!AO65:AO66)</f>
        <v>0</v>
      </c>
      <c r="AF54" s="1157">
        <f>SUM('3.1 Nyttestrøm'!AP65:AP66)</f>
        <v>0</v>
      </c>
      <c r="AG54" s="1157">
        <f>SUM('3.1 Nyttestrøm'!AQ65:AQ66)</f>
        <v>0</v>
      </c>
      <c r="AH54" s="1157">
        <f>SUM('3.1 Nyttestrøm'!AR65:AR66)</f>
        <v>0</v>
      </c>
      <c r="AI54" s="1157">
        <f>SUM('3.1 Nyttestrøm'!AS65:AS66)</f>
        <v>0</v>
      </c>
      <c r="AJ54" s="1157">
        <f>SUM('3.1 Nyttestrøm'!AT65:AT66)</f>
        <v>0</v>
      </c>
      <c r="AK54" s="1157">
        <f>SUM('3.1 Nyttestrøm'!AU65:AU66)</f>
        <v>0</v>
      </c>
      <c r="AL54" s="1157">
        <f>SUM('3.1 Nyttestrøm'!AV65:AV66)</f>
        <v>0</v>
      </c>
      <c r="AM54" s="1157">
        <f>SUM('3.1 Nyttestrøm'!AW65:AW66)</f>
        <v>0</v>
      </c>
      <c r="AN54" s="1157">
        <f>SUM('3.1 Nyttestrøm'!AX65:AX66)</f>
        <v>0</v>
      </c>
      <c r="AO54" s="1157">
        <f>SUM('3.1 Nyttestrøm'!AY65:AY66)</f>
        <v>0</v>
      </c>
      <c r="AP54" s="1157">
        <f>SUM('3.1 Nyttestrøm'!AZ65:AZ66)</f>
        <v>0</v>
      </c>
      <c r="AQ54" s="1157">
        <f>SUM('3.1 Nyttestrøm'!BA65:BA66)</f>
        <v>0</v>
      </c>
      <c r="AR54" s="1157">
        <f>SUM('3.1 Nyttestrøm'!BB65:BB66)</f>
        <v>0</v>
      </c>
      <c r="AS54" s="1157">
        <f>SUM('3.1 Nyttestrøm'!BC65:BC66)</f>
        <v>0</v>
      </c>
      <c r="AT54" s="1157">
        <f>SUM('3.1 Nyttestrøm'!BD65:BD66)</f>
        <v>0</v>
      </c>
      <c r="AU54" s="1157">
        <f>SUM('3.1 Nyttestrøm'!BE65:BE66)</f>
        <v>0</v>
      </c>
      <c r="AV54" s="1157">
        <f>SUM('3.1 Nyttestrøm'!BF65:BF66)</f>
        <v>0</v>
      </c>
      <c r="AW54" s="1157">
        <f>SUM('3.1 Nyttestrøm'!BG65:BG66)</f>
        <v>0</v>
      </c>
      <c r="AX54" s="1157">
        <f>SUM('3.1 Nyttestrøm'!BH65:BH66)</f>
        <v>0</v>
      </c>
      <c r="AY54" s="1157">
        <f>SUM('3.1 Nyttestrøm'!BI65:BI66)</f>
        <v>0</v>
      </c>
      <c r="AZ54" s="1157">
        <f>SUM('3.1 Nyttestrøm'!BJ65:BJ66)</f>
        <v>0</v>
      </c>
      <c r="BA54" s="1157">
        <f>SUM('3.1 Nyttestrøm'!BK65:BK66)</f>
        <v>0</v>
      </c>
      <c r="BB54" s="1157">
        <f>SUM('3.1 Nyttestrøm'!BL65:BL66)</f>
        <v>0</v>
      </c>
      <c r="BC54" s="1157">
        <f>SUM('3.1 Nyttestrøm'!BM65:BM66)</f>
        <v>0</v>
      </c>
      <c r="BD54" s="1157">
        <f>SUM('3.1 Nyttestrøm'!BN65:BN66)</f>
        <v>0</v>
      </c>
      <c r="BE54" s="1157">
        <f>SUM('3.1 Nyttestrøm'!BO65:BO66)</f>
        <v>0</v>
      </c>
      <c r="BF54" s="1157">
        <f>SUM('3.1 Nyttestrøm'!BP65:BP66)</f>
        <v>0</v>
      </c>
      <c r="BG54" s="1157">
        <f>SUM('3.1 Nyttestrøm'!BQ65:BQ66)</f>
        <v>0</v>
      </c>
      <c r="BH54" s="1157">
        <f>SUM('3.1 Nyttestrøm'!BR65:BR66)</f>
        <v>0</v>
      </c>
      <c r="BI54" s="1157">
        <f>SUM('3.1 Nyttestrøm'!BS65:BS66)</f>
        <v>0</v>
      </c>
      <c r="BJ54" s="1157">
        <f>SUM('3.1 Nyttestrøm'!BT65:BT66)</f>
        <v>0</v>
      </c>
      <c r="BK54" s="1157">
        <f>SUM('3.1 Nyttestrøm'!BU65:BU66)</f>
        <v>0</v>
      </c>
      <c r="BL54" s="1157">
        <f>SUM('3.1 Nyttestrøm'!BV65:BV66)</f>
        <v>0</v>
      </c>
      <c r="BM54" s="1157">
        <f>SUM('3.1 Nyttestrøm'!BW65:BW66)</f>
        <v>0</v>
      </c>
      <c r="BN54" s="1157">
        <f>SUM('3.1 Nyttestrøm'!BX65:BX66)</f>
        <v>0</v>
      </c>
      <c r="BO54" s="1157">
        <f>SUM('3.1 Nyttestrøm'!BY65:BY66)</f>
        <v>0</v>
      </c>
      <c r="BP54" s="1157">
        <f>SUM('3.1 Nyttestrøm'!BZ65:BZ66)</f>
        <v>0</v>
      </c>
      <c r="BQ54" s="1157">
        <f>SUM('3.1 Nyttestrøm'!CA65:CA66)</f>
        <v>0</v>
      </c>
      <c r="BR54" s="1157">
        <f>SUM('3.1 Nyttestrøm'!CB65:CB66)</f>
        <v>0</v>
      </c>
      <c r="BS54" s="1157">
        <f>SUM('3.1 Nyttestrøm'!CC65:CC66)</f>
        <v>0</v>
      </c>
      <c r="BT54" s="1157">
        <f>SUM('3.1 Nyttestrøm'!CD65:CD66)</f>
        <v>0</v>
      </c>
      <c r="BU54" s="1157">
        <f>SUM('3.1 Nyttestrøm'!CE65:CE66)</f>
        <v>0</v>
      </c>
      <c r="BV54" s="1157">
        <f>SUM('3.1 Nyttestrøm'!CF65:CF66)</f>
        <v>0</v>
      </c>
      <c r="BW54" s="1157">
        <f>SUM('3.1 Nyttestrøm'!CG65:CG66)</f>
        <v>0</v>
      </c>
      <c r="BX54" s="1157">
        <f>SUM('3.1 Nyttestrøm'!CH65:CH66)</f>
        <v>0</v>
      </c>
      <c r="BY54" s="1157">
        <f>SUM('3.1 Nyttestrøm'!CI65:CI66)</f>
        <v>0</v>
      </c>
      <c r="BZ54" s="1157">
        <f>SUM('3.1 Nyttestrøm'!CJ65:CJ66)</f>
        <v>0</v>
      </c>
      <c r="CA54" s="1157">
        <f>SUM('3.1 Nyttestrøm'!CK65:CK66)</f>
        <v>0</v>
      </c>
      <c r="CB54" s="1157">
        <f>SUM('3.1 Nyttestrøm'!CL65:CL66)</f>
        <v>0</v>
      </c>
      <c r="CC54" s="1157">
        <f>SUM('3.1 Nyttestrøm'!CM65:CM66)</f>
        <v>0</v>
      </c>
      <c r="CD54" s="1157">
        <f>SUM('3.1 Nyttestrøm'!CN65:CN66)</f>
        <v>0</v>
      </c>
      <c r="CE54" s="1157">
        <f>SUM('3.1 Nyttestrøm'!CO65:CO66)</f>
        <v>0</v>
      </c>
      <c r="CF54" s="1157">
        <f>SUM('3.1 Nyttestrøm'!CP65:CP66)</f>
        <v>0</v>
      </c>
      <c r="CG54" s="1157">
        <f>SUM('3.1 Nyttestrøm'!CQ65:CQ66)</f>
        <v>0</v>
      </c>
      <c r="CH54" s="1157">
        <f>SUM('3.1 Nyttestrøm'!CR65:CR66)</f>
        <v>0</v>
      </c>
      <c r="CI54" s="1157">
        <f>SUM('3.1 Nyttestrøm'!CS65:CS66)</f>
        <v>0</v>
      </c>
      <c r="CJ54" s="1157">
        <f>SUM('3.1 Nyttestrøm'!CT65:CT66)</f>
        <v>0</v>
      </c>
      <c r="CK54" s="1157">
        <f>SUM('3.1 Nyttestrøm'!CU65:CU66)</f>
        <v>0</v>
      </c>
      <c r="CL54" s="1157">
        <f>SUM('3.1 Nyttestrøm'!CV65:CV66)</f>
        <v>0</v>
      </c>
      <c r="CM54" s="1157">
        <f>SUM('3.1 Nyttestrøm'!CW65:CW66)</f>
        <v>0</v>
      </c>
      <c r="CN54" s="1157">
        <f>SUM('3.1 Nyttestrøm'!CX65:CX66)</f>
        <v>0</v>
      </c>
      <c r="CO54" s="1157">
        <f>SUM('3.1 Nyttestrøm'!CY65:CY66)</f>
        <v>0</v>
      </c>
      <c r="CP54" s="1157">
        <f>SUM('3.1 Nyttestrøm'!CZ65:CZ66)</f>
        <v>0</v>
      </c>
      <c r="CQ54" s="1157">
        <f>SUM('3.1 Nyttestrøm'!DA65:DA66)</f>
        <v>0</v>
      </c>
      <c r="CR54" s="1157">
        <f>SUM('3.1 Nyttestrøm'!DB65:DB66)</f>
        <v>0</v>
      </c>
      <c r="CS54" s="1157">
        <f>SUM('3.1 Nyttestrøm'!DC65:DC66)</f>
        <v>0</v>
      </c>
      <c r="CT54" s="1157">
        <f>SUM('3.1 Nyttestrøm'!DD65:DD66)</f>
        <v>0</v>
      </c>
      <c r="CU54" s="1157">
        <f>SUM('3.1 Nyttestrøm'!DE65:DE66)</f>
        <v>0</v>
      </c>
      <c r="CV54" s="1157">
        <f>SUM('3.1 Nyttestrøm'!DF65:DF66)</f>
        <v>0</v>
      </c>
      <c r="CW54" s="1157">
        <f>SUM('3.1 Nyttestrøm'!DG65:DG66)</f>
        <v>0</v>
      </c>
      <c r="CX54" s="1157">
        <f>SUM('3.1 Nyttestrøm'!DH65:DH66)</f>
        <v>0</v>
      </c>
      <c r="CY54" s="1157">
        <f>SUM('3.1 Nyttestrøm'!DI65:DI66)</f>
        <v>0</v>
      </c>
      <c r="CZ54" s="1157">
        <f>SUM('3.1 Nyttestrøm'!DJ65:DJ66)</f>
        <v>0</v>
      </c>
      <c r="DA54" s="1157">
        <f>SUM('3.1 Nyttestrøm'!DK65:DK66)</f>
        <v>0</v>
      </c>
      <c r="DB54" s="1157">
        <f>SUM('3.1 Nyttestrøm'!DL65:DL66)</f>
        <v>0</v>
      </c>
      <c r="DC54" s="1157">
        <f>SUM('3.1 Nyttestrøm'!DM65:DM66)</f>
        <v>0</v>
      </c>
      <c r="DD54" s="1157">
        <f>SUM('3.1 Nyttestrøm'!DN65:DN66)</f>
        <v>0</v>
      </c>
      <c r="DE54" s="1157">
        <f>SUM('3.1 Nyttestrøm'!DO65:DO66)</f>
        <v>0</v>
      </c>
      <c r="DF54" s="1157">
        <f>SUM('3.1 Nyttestrøm'!DP65:DP66)</f>
        <v>0</v>
      </c>
      <c r="DG54" s="1157">
        <f>SUM('3.1 Nyttestrøm'!DQ65:DQ66)</f>
        <v>0</v>
      </c>
      <c r="DH54" s="1170">
        <f>SUM('3.1 Nyttestrøm'!DR65:DR66)</f>
        <v>0</v>
      </c>
    </row>
    <row r="55" spans="1:112" x14ac:dyDescent="0.35">
      <c r="A55" s="685"/>
      <c r="B55" s="446" t="str">
        <f>'3.1 Nyttestrøm'!C89</f>
        <v xml:space="preserve">Investeringer  </v>
      </c>
      <c r="C55" s="1156">
        <f>'3.1 Nyttestrøm'!M89</f>
        <v>0</v>
      </c>
      <c r="D55" s="1156">
        <f>'3.1 Nyttestrøm'!N89</f>
        <v>0</v>
      </c>
      <c r="E55" s="1156">
        <f>'3.1 Nyttestrøm'!O89</f>
        <v>0</v>
      </c>
      <c r="F55" s="1156">
        <f>'3.1 Nyttestrøm'!P89</f>
        <v>0</v>
      </c>
      <c r="G55" s="1156">
        <f>'3.1 Nyttestrøm'!Q89</f>
        <v>0</v>
      </c>
      <c r="H55" s="1156">
        <f>'3.1 Nyttestrøm'!R89</f>
        <v>0</v>
      </c>
      <c r="I55" s="1156">
        <f>'3.1 Nyttestrøm'!S89</f>
        <v>0</v>
      </c>
      <c r="J55" s="1156">
        <f>'3.1 Nyttestrøm'!T89</f>
        <v>0</v>
      </c>
      <c r="K55" s="1156">
        <f>'3.1 Nyttestrøm'!U89</f>
        <v>0</v>
      </c>
      <c r="L55" s="1156">
        <f>'3.1 Nyttestrøm'!V89</f>
        <v>0</v>
      </c>
      <c r="M55" s="1156">
        <f>'3.1 Nyttestrøm'!W89</f>
        <v>0</v>
      </c>
      <c r="N55" s="1156">
        <f>'3.1 Nyttestrøm'!X89</f>
        <v>0</v>
      </c>
      <c r="O55" s="1156">
        <f>'3.1 Nyttestrøm'!Y89</f>
        <v>0</v>
      </c>
      <c r="P55" s="1156">
        <f>'3.1 Nyttestrøm'!Z89</f>
        <v>0</v>
      </c>
      <c r="Q55" s="1156">
        <f>'3.1 Nyttestrøm'!AA89</f>
        <v>0</v>
      </c>
      <c r="R55" s="1156">
        <f>'3.1 Nyttestrøm'!AB89</f>
        <v>0</v>
      </c>
      <c r="S55" s="1156">
        <f>'3.1 Nyttestrøm'!AC89</f>
        <v>0</v>
      </c>
      <c r="T55" s="1156">
        <f>'3.1 Nyttestrøm'!AD89</f>
        <v>0</v>
      </c>
      <c r="U55" s="1156">
        <f>'3.1 Nyttestrøm'!AE89</f>
        <v>0</v>
      </c>
      <c r="V55" s="1156">
        <f>'3.1 Nyttestrøm'!AF89</f>
        <v>0</v>
      </c>
      <c r="W55" s="1156">
        <f>'3.1 Nyttestrøm'!AG89</f>
        <v>0</v>
      </c>
      <c r="X55" s="1156">
        <f>'3.1 Nyttestrøm'!AH89</f>
        <v>0</v>
      </c>
      <c r="Y55" s="1156">
        <f>'3.1 Nyttestrøm'!AI89</f>
        <v>0</v>
      </c>
      <c r="Z55" s="1156">
        <f>'3.1 Nyttestrøm'!AJ89</f>
        <v>0</v>
      </c>
      <c r="AA55" s="1156">
        <f>'3.1 Nyttestrøm'!AK89</f>
        <v>0</v>
      </c>
      <c r="AB55" s="1156">
        <f>'3.1 Nyttestrøm'!AL89</f>
        <v>0</v>
      </c>
      <c r="AC55" s="1156">
        <f>'3.1 Nyttestrøm'!AM89</f>
        <v>0</v>
      </c>
      <c r="AD55" s="1156">
        <f>'3.1 Nyttestrøm'!AN89</f>
        <v>0</v>
      </c>
      <c r="AE55" s="1156">
        <f>'3.1 Nyttestrøm'!AO89</f>
        <v>0</v>
      </c>
      <c r="AF55" s="1156">
        <f>'3.1 Nyttestrøm'!AP89</f>
        <v>0</v>
      </c>
      <c r="AG55" s="1156">
        <f>'3.1 Nyttestrøm'!AQ89</f>
        <v>0</v>
      </c>
      <c r="AH55" s="1156">
        <f>'3.1 Nyttestrøm'!AR89</f>
        <v>0</v>
      </c>
      <c r="AI55" s="1156">
        <f>'3.1 Nyttestrøm'!AS89</f>
        <v>0</v>
      </c>
      <c r="AJ55" s="1156">
        <f>'3.1 Nyttestrøm'!AT89</f>
        <v>0</v>
      </c>
      <c r="AK55" s="1156">
        <f>'3.1 Nyttestrøm'!AU89</f>
        <v>0</v>
      </c>
      <c r="AL55" s="1156">
        <f>'3.1 Nyttestrøm'!AV89</f>
        <v>0</v>
      </c>
      <c r="AM55" s="1156">
        <f>'3.1 Nyttestrøm'!AW89</f>
        <v>0</v>
      </c>
      <c r="AN55" s="1156">
        <f>'3.1 Nyttestrøm'!AX89</f>
        <v>0</v>
      </c>
      <c r="AO55" s="1156">
        <f>'3.1 Nyttestrøm'!AY89</f>
        <v>0</v>
      </c>
      <c r="AP55" s="1156">
        <f>'3.1 Nyttestrøm'!AZ89</f>
        <v>0</v>
      </c>
      <c r="AQ55" s="1156">
        <f>'3.1 Nyttestrøm'!BA89</f>
        <v>0</v>
      </c>
      <c r="AR55" s="1156">
        <f>'3.1 Nyttestrøm'!BB89</f>
        <v>0</v>
      </c>
      <c r="AS55" s="1156">
        <f>'3.1 Nyttestrøm'!BC89</f>
        <v>0</v>
      </c>
      <c r="AT55" s="1156">
        <f>'3.1 Nyttestrøm'!BD89</f>
        <v>0</v>
      </c>
      <c r="AU55" s="1156">
        <f>'3.1 Nyttestrøm'!BE89</f>
        <v>0</v>
      </c>
      <c r="AV55" s="1156">
        <f>'3.1 Nyttestrøm'!BF89</f>
        <v>0</v>
      </c>
      <c r="AW55" s="1156">
        <f>'3.1 Nyttestrøm'!BG89</f>
        <v>0</v>
      </c>
      <c r="AX55" s="1156">
        <f>'3.1 Nyttestrøm'!BH89</f>
        <v>0</v>
      </c>
      <c r="AY55" s="1156">
        <f>'3.1 Nyttestrøm'!BI89</f>
        <v>0</v>
      </c>
      <c r="AZ55" s="1156">
        <f>'3.1 Nyttestrøm'!BJ89</f>
        <v>0</v>
      </c>
      <c r="BA55" s="1156">
        <f>'3.1 Nyttestrøm'!BK89</f>
        <v>0</v>
      </c>
      <c r="BB55" s="1156">
        <f>'3.1 Nyttestrøm'!BL89</f>
        <v>0</v>
      </c>
      <c r="BC55" s="1156">
        <f>'3.1 Nyttestrøm'!BM89</f>
        <v>0</v>
      </c>
      <c r="BD55" s="1156">
        <f>'3.1 Nyttestrøm'!BN89</f>
        <v>0</v>
      </c>
      <c r="BE55" s="1156">
        <f>'3.1 Nyttestrøm'!BO89</f>
        <v>0</v>
      </c>
      <c r="BF55" s="1156">
        <f>'3.1 Nyttestrøm'!BP89</f>
        <v>0</v>
      </c>
      <c r="BG55" s="1156">
        <f>'3.1 Nyttestrøm'!BQ89</f>
        <v>0</v>
      </c>
      <c r="BH55" s="1156">
        <f>'3.1 Nyttestrøm'!BR89</f>
        <v>0</v>
      </c>
      <c r="BI55" s="1156">
        <f>'3.1 Nyttestrøm'!BS89</f>
        <v>0</v>
      </c>
      <c r="BJ55" s="1156">
        <f>'3.1 Nyttestrøm'!BT89</f>
        <v>0</v>
      </c>
      <c r="BK55" s="1156">
        <f>'3.1 Nyttestrøm'!BU89</f>
        <v>0</v>
      </c>
      <c r="BL55" s="1156">
        <f>'3.1 Nyttestrøm'!BV89</f>
        <v>0</v>
      </c>
      <c r="BM55" s="1156">
        <f>'3.1 Nyttestrøm'!BW89</f>
        <v>0</v>
      </c>
      <c r="BN55" s="1156">
        <f>'3.1 Nyttestrøm'!BX89</f>
        <v>0</v>
      </c>
      <c r="BO55" s="1156">
        <f>'3.1 Nyttestrøm'!BY89</f>
        <v>0</v>
      </c>
      <c r="BP55" s="1156">
        <f>'3.1 Nyttestrøm'!BZ89</f>
        <v>0</v>
      </c>
      <c r="BQ55" s="1156">
        <f>'3.1 Nyttestrøm'!CA89</f>
        <v>0</v>
      </c>
      <c r="BR55" s="1156">
        <f>'3.1 Nyttestrøm'!CB89</f>
        <v>0</v>
      </c>
      <c r="BS55" s="1156">
        <f>'3.1 Nyttestrøm'!CC89</f>
        <v>0</v>
      </c>
      <c r="BT55" s="1156">
        <f>'3.1 Nyttestrøm'!CD89</f>
        <v>0</v>
      </c>
      <c r="BU55" s="1156">
        <f>'3.1 Nyttestrøm'!CE89</f>
        <v>0</v>
      </c>
      <c r="BV55" s="1156">
        <f>'3.1 Nyttestrøm'!CF89</f>
        <v>0</v>
      </c>
      <c r="BW55" s="1156">
        <f>'3.1 Nyttestrøm'!CG89</f>
        <v>0</v>
      </c>
      <c r="BX55" s="1156">
        <f>'3.1 Nyttestrøm'!CH89</f>
        <v>0</v>
      </c>
      <c r="BY55" s="1156">
        <f>'3.1 Nyttestrøm'!CI89</f>
        <v>0</v>
      </c>
      <c r="BZ55" s="1156">
        <f>'3.1 Nyttestrøm'!CJ89</f>
        <v>0</v>
      </c>
      <c r="CA55" s="1156">
        <f>'3.1 Nyttestrøm'!CK89</f>
        <v>0</v>
      </c>
      <c r="CB55" s="1156">
        <f>'3.1 Nyttestrøm'!CL89</f>
        <v>0</v>
      </c>
      <c r="CC55" s="1156">
        <f>'3.1 Nyttestrøm'!CM89</f>
        <v>0</v>
      </c>
      <c r="CD55" s="1156">
        <f>'3.1 Nyttestrøm'!CN89</f>
        <v>0</v>
      </c>
      <c r="CE55" s="1156">
        <f>'3.1 Nyttestrøm'!CO89</f>
        <v>0</v>
      </c>
      <c r="CF55" s="1156">
        <f>'3.1 Nyttestrøm'!CP89</f>
        <v>0</v>
      </c>
      <c r="CG55" s="1156">
        <f>'3.1 Nyttestrøm'!CQ89</f>
        <v>0</v>
      </c>
      <c r="CH55" s="1156">
        <f>'3.1 Nyttestrøm'!CR89</f>
        <v>0</v>
      </c>
      <c r="CI55" s="1156">
        <f>'3.1 Nyttestrøm'!CS89</f>
        <v>0</v>
      </c>
      <c r="CJ55" s="1156">
        <f>'3.1 Nyttestrøm'!CT89</f>
        <v>0</v>
      </c>
      <c r="CK55" s="1156">
        <f>'3.1 Nyttestrøm'!CU89</f>
        <v>0</v>
      </c>
      <c r="CL55" s="1156">
        <f>'3.1 Nyttestrøm'!CV89</f>
        <v>0</v>
      </c>
      <c r="CM55" s="1156">
        <f>'3.1 Nyttestrøm'!CW89</f>
        <v>0</v>
      </c>
      <c r="CN55" s="1156">
        <f>'3.1 Nyttestrøm'!CX89</f>
        <v>0</v>
      </c>
      <c r="CO55" s="1156">
        <f>'3.1 Nyttestrøm'!CY89</f>
        <v>0</v>
      </c>
      <c r="CP55" s="1156">
        <f>'3.1 Nyttestrøm'!CZ89</f>
        <v>0</v>
      </c>
      <c r="CQ55" s="1156">
        <f>'3.1 Nyttestrøm'!DA89</f>
        <v>0</v>
      </c>
      <c r="CR55" s="1156">
        <f>'3.1 Nyttestrøm'!DB89</f>
        <v>0</v>
      </c>
      <c r="CS55" s="1156">
        <f>'3.1 Nyttestrøm'!DC89</f>
        <v>0</v>
      </c>
      <c r="CT55" s="1156">
        <f>'3.1 Nyttestrøm'!DD89</f>
        <v>0</v>
      </c>
      <c r="CU55" s="1156">
        <f>'3.1 Nyttestrøm'!DE89</f>
        <v>0</v>
      </c>
      <c r="CV55" s="1156">
        <f>'3.1 Nyttestrøm'!DF89</f>
        <v>0</v>
      </c>
      <c r="CW55" s="1156">
        <f>'3.1 Nyttestrøm'!DG89</f>
        <v>0</v>
      </c>
      <c r="CX55" s="1156">
        <f>'3.1 Nyttestrøm'!DH89</f>
        <v>0</v>
      </c>
      <c r="CY55" s="1156">
        <f>'3.1 Nyttestrøm'!DI89</f>
        <v>0</v>
      </c>
      <c r="CZ55" s="1156">
        <f>'3.1 Nyttestrøm'!DJ89</f>
        <v>0</v>
      </c>
      <c r="DA55" s="1156">
        <f>'3.1 Nyttestrøm'!DK89</f>
        <v>0</v>
      </c>
      <c r="DB55" s="1156">
        <f>'3.1 Nyttestrøm'!DL89</f>
        <v>0</v>
      </c>
      <c r="DC55" s="1156">
        <f>'3.1 Nyttestrøm'!DM89</f>
        <v>0</v>
      </c>
      <c r="DD55" s="1156">
        <f>'3.1 Nyttestrøm'!DN89</f>
        <v>0</v>
      </c>
      <c r="DE55" s="1156">
        <f>'3.1 Nyttestrøm'!DO89</f>
        <v>0</v>
      </c>
      <c r="DF55" s="1156">
        <f>'3.1 Nyttestrøm'!DP89</f>
        <v>0</v>
      </c>
      <c r="DG55" s="1156">
        <f>'3.1 Nyttestrøm'!DQ89</f>
        <v>0</v>
      </c>
      <c r="DH55" s="1166">
        <f>'3.1 Nyttestrøm'!DR89</f>
        <v>0</v>
      </c>
    </row>
    <row r="56" spans="1:112" x14ac:dyDescent="0.35">
      <c r="A56" s="685"/>
      <c r="B56" s="446" t="str">
        <f>'3.1 Nyttestrøm'!C90</f>
        <v>Reinvesteringer</v>
      </c>
      <c r="C56" s="1156">
        <f>'3.1 Nyttestrøm'!M90</f>
        <v>0</v>
      </c>
      <c r="D56" s="1156">
        <f>'3.1 Nyttestrøm'!N90</f>
        <v>0</v>
      </c>
      <c r="E56" s="1156">
        <f>'3.1 Nyttestrøm'!O90</f>
        <v>0</v>
      </c>
      <c r="F56" s="1156">
        <f>'3.1 Nyttestrøm'!P90</f>
        <v>0</v>
      </c>
      <c r="G56" s="1156">
        <f>'3.1 Nyttestrøm'!Q90</f>
        <v>0</v>
      </c>
      <c r="H56" s="1156">
        <f>'3.1 Nyttestrøm'!R90</f>
        <v>0</v>
      </c>
      <c r="I56" s="1156">
        <f>'3.1 Nyttestrøm'!S90</f>
        <v>0</v>
      </c>
      <c r="J56" s="1156">
        <f>'3.1 Nyttestrøm'!T90</f>
        <v>0</v>
      </c>
      <c r="K56" s="1156">
        <f>'3.1 Nyttestrøm'!U90</f>
        <v>0</v>
      </c>
      <c r="L56" s="1156">
        <f>'3.1 Nyttestrøm'!V90</f>
        <v>0</v>
      </c>
      <c r="M56" s="1156">
        <f>'3.1 Nyttestrøm'!W90</f>
        <v>0</v>
      </c>
      <c r="N56" s="1156">
        <f>'3.1 Nyttestrøm'!X90</f>
        <v>0</v>
      </c>
      <c r="O56" s="1156">
        <f>'3.1 Nyttestrøm'!Y90</f>
        <v>0</v>
      </c>
      <c r="P56" s="1156">
        <f>'3.1 Nyttestrøm'!Z90</f>
        <v>0</v>
      </c>
      <c r="Q56" s="1156">
        <f>'3.1 Nyttestrøm'!AA90</f>
        <v>0</v>
      </c>
      <c r="R56" s="1156">
        <f>'3.1 Nyttestrøm'!AB90</f>
        <v>0</v>
      </c>
      <c r="S56" s="1156">
        <f>'3.1 Nyttestrøm'!AC90</f>
        <v>0</v>
      </c>
      <c r="T56" s="1156">
        <f>'3.1 Nyttestrøm'!AD90</f>
        <v>0</v>
      </c>
      <c r="U56" s="1156">
        <f>'3.1 Nyttestrøm'!AE90</f>
        <v>0</v>
      </c>
      <c r="V56" s="1156">
        <f>'3.1 Nyttestrøm'!AF90</f>
        <v>0</v>
      </c>
      <c r="W56" s="1156">
        <f>'3.1 Nyttestrøm'!AG90</f>
        <v>0</v>
      </c>
      <c r="X56" s="1156">
        <f>'3.1 Nyttestrøm'!AH90</f>
        <v>0</v>
      </c>
      <c r="Y56" s="1156">
        <f>'3.1 Nyttestrøm'!AI90</f>
        <v>0</v>
      </c>
      <c r="Z56" s="1156">
        <f>'3.1 Nyttestrøm'!AJ90</f>
        <v>0</v>
      </c>
      <c r="AA56" s="1156">
        <f>'3.1 Nyttestrøm'!AK90</f>
        <v>0</v>
      </c>
      <c r="AB56" s="1156">
        <f>'3.1 Nyttestrøm'!AL90</f>
        <v>0</v>
      </c>
      <c r="AC56" s="1156">
        <f>'3.1 Nyttestrøm'!AM90</f>
        <v>0</v>
      </c>
      <c r="AD56" s="1156">
        <f>'3.1 Nyttestrøm'!AN90</f>
        <v>0</v>
      </c>
      <c r="AE56" s="1156">
        <f>'3.1 Nyttestrøm'!AO90</f>
        <v>0</v>
      </c>
      <c r="AF56" s="1156">
        <f>'3.1 Nyttestrøm'!AP90</f>
        <v>0</v>
      </c>
      <c r="AG56" s="1156">
        <f>'3.1 Nyttestrøm'!AQ90</f>
        <v>0</v>
      </c>
      <c r="AH56" s="1156">
        <f>'3.1 Nyttestrøm'!AR90</f>
        <v>0</v>
      </c>
      <c r="AI56" s="1156">
        <f>'3.1 Nyttestrøm'!AS90</f>
        <v>0</v>
      </c>
      <c r="AJ56" s="1156">
        <f>'3.1 Nyttestrøm'!AT90</f>
        <v>0</v>
      </c>
      <c r="AK56" s="1156">
        <f>'3.1 Nyttestrøm'!AU90</f>
        <v>0</v>
      </c>
      <c r="AL56" s="1156">
        <f>'3.1 Nyttestrøm'!AV90</f>
        <v>0</v>
      </c>
      <c r="AM56" s="1156">
        <f>'3.1 Nyttestrøm'!AW90</f>
        <v>0</v>
      </c>
      <c r="AN56" s="1156">
        <f>'3.1 Nyttestrøm'!AX90</f>
        <v>0</v>
      </c>
      <c r="AO56" s="1156">
        <f>'3.1 Nyttestrøm'!AY90</f>
        <v>0</v>
      </c>
      <c r="AP56" s="1156">
        <f>'3.1 Nyttestrøm'!AZ90</f>
        <v>0</v>
      </c>
      <c r="AQ56" s="1156">
        <f>'3.1 Nyttestrøm'!BA90</f>
        <v>0</v>
      </c>
      <c r="AR56" s="1156">
        <f>'3.1 Nyttestrøm'!BB90</f>
        <v>0</v>
      </c>
      <c r="AS56" s="1156">
        <f>'3.1 Nyttestrøm'!BC90</f>
        <v>0</v>
      </c>
      <c r="AT56" s="1156">
        <f>'3.1 Nyttestrøm'!BD90</f>
        <v>0</v>
      </c>
      <c r="AU56" s="1156">
        <f>'3.1 Nyttestrøm'!BE90</f>
        <v>0</v>
      </c>
      <c r="AV56" s="1156">
        <f>'3.1 Nyttestrøm'!BF90</f>
        <v>0</v>
      </c>
      <c r="AW56" s="1156">
        <f>'3.1 Nyttestrøm'!BG90</f>
        <v>0</v>
      </c>
      <c r="AX56" s="1156">
        <f>'3.1 Nyttestrøm'!BH90</f>
        <v>0</v>
      </c>
      <c r="AY56" s="1156">
        <f>'3.1 Nyttestrøm'!BI90</f>
        <v>0</v>
      </c>
      <c r="AZ56" s="1156">
        <f>'3.1 Nyttestrøm'!BJ90</f>
        <v>0</v>
      </c>
      <c r="BA56" s="1156">
        <f>'3.1 Nyttestrøm'!BK90</f>
        <v>0</v>
      </c>
      <c r="BB56" s="1156">
        <f>'3.1 Nyttestrøm'!BL90</f>
        <v>0</v>
      </c>
      <c r="BC56" s="1156">
        <f>'3.1 Nyttestrøm'!BM90</f>
        <v>0</v>
      </c>
      <c r="BD56" s="1156">
        <f>'3.1 Nyttestrøm'!BN90</f>
        <v>0</v>
      </c>
      <c r="BE56" s="1156">
        <f>'3.1 Nyttestrøm'!BO90</f>
        <v>0</v>
      </c>
      <c r="BF56" s="1156">
        <f>'3.1 Nyttestrøm'!BP90</f>
        <v>0</v>
      </c>
      <c r="BG56" s="1156">
        <f>'3.1 Nyttestrøm'!BQ90</f>
        <v>0</v>
      </c>
      <c r="BH56" s="1156">
        <f>'3.1 Nyttestrøm'!BR90</f>
        <v>0</v>
      </c>
      <c r="BI56" s="1156">
        <f>'3.1 Nyttestrøm'!BS90</f>
        <v>0</v>
      </c>
      <c r="BJ56" s="1156">
        <f>'3.1 Nyttestrøm'!BT90</f>
        <v>0</v>
      </c>
      <c r="BK56" s="1156">
        <f>'3.1 Nyttestrøm'!BU90</f>
        <v>0</v>
      </c>
      <c r="BL56" s="1156">
        <f>'3.1 Nyttestrøm'!BV90</f>
        <v>0</v>
      </c>
      <c r="BM56" s="1156">
        <f>'3.1 Nyttestrøm'!BW90</f>
        <v>0</v>
      </c>
      <c r="BN56" s="1156">
        <f>'3.1 Nyttestrøm'!BX90</f>
        <v>0</v>
      </c>
      <c r="BO56" s="1156">
        <f>'3.1 Nyttestrøm'!BY90</f>
        <v>0</v>
      </c>
      <c r="BP56" s="1156">
        <f>'3.1 Nyttestrøm'!BZ90</f>
        <v>0</v>
      </c>
      <c r="BQ56" s="1156">
        <f>'3.1 Nyttestrøm'!CA90</f>
        <v>0</v>
      </c>
      <c r="BR56" s="1156">
        <f>'3.1 Nyttestrøm'!CB90</f>
        <v>0</v>
      </c>
      <c r="BS56" s="1156">
        <f>'3.1 Nyttestrøm'!CC90</f>
        <v>0</v>
      </c>
      <c r="BT56" s="1156">
        <f>'3.1 Nyttestrøm'!CD90</f>
        <v>0</v>
      </c>
      <c r="BU56" s="1156">
        <f>'3.1 Nyttestrøm'!CE90</f>
        <v>0</v>
      </c>
      <c r="BV56" s="1156">
        <f>'3.1 Nyttestrøm'!CF90</f>
        <v>0</v>
      </c>
      <c r="BW56" s="1156">
        <f>'3.1 Nyttestrøm'!CG90</f>
        <v>0</v>
      </c>
      <c r="BX56" s="1156">
        <f>'3.1 Nyttestrøm'!CH90</f>
        <v>0</v>
      </c>
      <c r="BY56" s="1156">
        <f>'3.1 Nyttestrøm'!CI90</f>
        <v>0</v>
      </c>
      <c r="BZ56" s="1156">
        <f>'3.1 Nyttestrøm'!CJ90</f>
        <v>0</v>
      </c>
      <c r="CA56" s="1156">
        <f>'3.1 Nyttestrøm'!CK90</f>
        <v>0</v>
      </c>
      <c r="CB56" s="1156">
        <f>'3.1 Nyttestrøm'!CL90</f>
        <v>0</v>
      </c>
      <c r="CC56" s="1156">
        <f>'3.1 Nyttestrøm'!CM90</f>
        <v>0</v>
      </c>
      <c r="CD56" s="1156">
        <f>'3.1 Nyttestrøm'!CN90</f>
        <v>0</v>
      </c>
      <c r="CE56" s="1156">
        <f>'3.1 Nyttestrøm'!CO90</f>
        <v>0</v>
      </c>
      <c r="CF56" s="1156">
        <f>'3.1 Nyttestrøm'!CP90</f>
        <v>0</v>
      </c>
      <c r="CG56" s="1156">
        <f>'3.1 Nyttestrøm'!CQ90</f>
        <v>0</v>
      </c>
      <c r="CH56" s="1156">
        <f>'3.1 Nyttestrøm'!CR90</f>
        <v>0</v>
      </c>
      <c r="CI56" s="1156">
        <f>'3.1 Nyttestrøm'!CS90</f>
        <v>0</v>
      </c>
      <c r="CJ56" s="1156">
        <f>'3.1 Nyttestrøm'!CT90</f>
        <v>0</v>
      </c>
      <c r="CK56" s="1156">
        <f>'3.1 Nyttestrøm'!CU90</f>
        <v>0</v>
      </c>
      <c r="CL56" s="1156">
        <f>'3.1 Nyttestrøm'!CV90</f>
        <v>0</v>
      </c>
      <c r="CM56" s="1156">
        <f>'3.1 Nyttestrøm'!CW90</f>
        <v>0</v>
      </c>
      <c r="CN56" s="1156">
        <f>'3.1 Nyttestrøm'!CX90</f>
        <v>0</v>
      </c>
      <c r="CO56" s="1156">
        <f>'3.1 Nyttestrøm'!CY90</f>
        <v>0</v>
      </c>
      <c r="CP56" s="1156">
        <f>'3.1 Nyttestrøm'!CZ90</f>
        <v>0</v>
      </c>
      <c r="CQ56" s="1156">
        <f>'3.1 Nyttestrøm'!DA90</f>
        <v>0</v>
      </c>
      <c r="CR56" s="1156">
        <f>'3.1 Nyttestrøm'!DB90</f>
        <v>0</v>
      </c>
      <c r="CS56" s="1156">
        <f>'3.1 Nyttestrøm'!DC90</f>
        <v>0</v>
      </c>
      <c r="CT56" s="1156">
        <f>'3.1 Nyttestrøm'!DD90</f>
        <v>0</v>
      </c>
      <c r="CU56" s="1156">
        <f>'3.1 Nyttestrøm'!DE90</f>
        <v>0</v>
      </c>
      <c r="CV56" s="1156">
        <f>'3.1 Nyttestrøm'!DF90</f>
        <v>0</v>
      </c>
      <c r="CW56" s="1156">
        <f>'3.1 Nyttestrøm'!DG90</f>
        <v>0</v>
      </c>
      <c r="CX56" s="1156">
        <f>'3.1 Nyttestrøm'!DH90</f>
        <v>0</v>
      </c>
      <c r="CY56" s="1156">
        <f>'3.1 Nyttestrøm'!DI90</f>
        <v>0</v>
      </c>
      <c r="CZ56" s="1156">
        <f>'3.1 Nyttestrøm'!DJ90</f>
        <v>0</v>
      </c>
      <c r="DA56" s="1156">
        <f>'3.1 Nyttestrøm'!DK90</f>
        <v>0</v>
      </c>
      <c r="DB56" s="1156">
        <f>'3.1 Nyttestrøm'!DL90</f>
        <v>0</v>
      </c>
      <c r="DC56" s="1156">
        <f>'3.1 Nyttestrøm'!DM90</f>
        <v>0</v>
      </c>
      <c r="DD56" s="1156">
        <f>'3.1 Nyttestrøm'!DN90</f>
        <v>0</v>
      </c>
      <c r="DE56" s="1156">
        <f>'3.1 Nyttestrøm'!DO90</f>
        <v>0</v>
      </c>
      <c r="DF56" s="1156">
        <f>'3.1 Nyttestrøm'!DP90</f>
        <v>0</v>
      </c>
      <c r="DG56" s="1156">
        <f>'3.1 Nyttestrøm'!DQ90</f>
        <v>0</v>
      </c>
      <c r="DH56" s="1166">
        <f>'3.1 Nyttestrøm'!DR90</f>
        <v>0</v>
      </c>
    </row>
    <row r="57" spans="1:112" x14ac:dyDescent="0.35">
      <c r="A57" s="685"/>
      <c r="B57" s="446" t="s">
        <v>2163</v>
      </c>
      <c r="C57" s="1157">
        <f>SUM(C51:C54)</f>
        <v>0</v>
      </c>
      <c r="D57" s="1157">
        <f t="shared" ref="D57:K57" si="78">SUM(D51:D54)</f>
        <v>0</v>
      </c>
      <c r="E57" s="1157">
        <f t="shared" si="78"/>
        <v>0</v>
      </c>
      <c r="F57" s="1157">
        <f t="shared" si="78"/>
        <v>0</v>
      </c>
      <c r="G57" s="1157">
        <f t="shared" si="78"/>
        <v>0</v>
      </c>
      <c r="H57" s="1157">
        <f t="shared" si="78"/>
        <v>0</v>
      </c>
      <c r="I57" s="1157">
        <f t="shared" si="78"/>
        <v>0</v>
      </c>
      <c r="J57" s="1157">
        <f t="shared" si="78"/>
        <v>0</v>
      </c>
      <c r="K57" s="1157">
        <f t="shared" si="78"/>
        <v>0</v>
      </c>
      <c r="L57" s="1157">
        <f t="shared" ref="L57:BO57" si="79">SUM(L51:L54)</f>
        <v>0</v>
      </c>
      <c r="M57" s="1157">
        <f ca="1">SUM(M51:M54)</f>
        <v>0</v>
      </c>
      <c r="N57" s="1157">
        <f t="shared" ca="1" si="79"/>
        <v>0</v>
      </c>
      <c r="O57" s="1157">
        <f t="shared" ca="1" si="79"/>
        <v>0</v>
      </c>
      <c r="P57" s="1157">
        <f t="shared" ca="1" si="79"/>
        <v>0</v>
      </c>
      <c r="Q57" s="1157">
        <f t="shared" ca="1" si="79"/>
        <v>0</v>
      </c>
      <c r="R57" s="1157">
        <f t="shared" ca="1" si="79"/>
        <v>0</v>
      </c>
      <c r="S57" s="1157">
        <f t="shared" ca="1" si="79"/>
        <v>0</v>
      </c>
      <c r="T57" s="1157">
        <f t="shared" ca="1" si="79"/>
        <v>0</v>
      </c>
      <c r="U57" s="1157">
        <f t="shared" ca="1" si="79"/>
        <v>0</v>
      </c>
      <c r="V57" s="1157">
        <f t="shared" ca="1" si="79"/>
        <v>0</v>
      </c>
      <c r="W57" s="1157">
        <f t="shared" ca="1" si="79"/>
        <v>0</v>
      </c>
      <c r="X57" s="1157">
        <f t="shared" ca="1" si="79"/>
        <v>0</v>
      </c>
      <c r="Y57" s="1157">
        <f t="shared" ca="1" si="79"/>
        <v>0</v>
      </c>
      <c r="Z57" s="1157">
        <f t="shared" ca="1" si="79"/>
        <v>0</v>
      </c>
      <c r="AA57" s="1157">
        <f t="shared" ca="1" si="79"/>
        <v>0</v>
      </c>
      <c r="AB57" s="1157">
        <f t="shared" ca="1" si="79"/>
        <v>0</v>
      </c>
      <c r="AC57" s="1157">
        <f t="shared" ca="1" si="79"/>
        <v>0</v>
      </c>
      <c r="AD57" s="1157">
        <f t="shared" ca="1" si="79"/>
        <v>0</v>
      </c>
      <c r="AE57" s="1157">
        <f t="shared" ca="1" si="79"/>
        <v>0</v>
      </c>
      <c r="AF57" s="1157">
        <f t="shared" ca="1" si="79"/>
        <v>0</v>
      </c>
      <c r="AG57" s="1157">
        <f t="shared" ca="1" si="79"/>
        <v>0</v>
      </c>
      <c r="AH57" s="1157">
        <f t="shared" ca="1" si="79"/>
        <v>0</v>
      </c>
      <c r="AI57" s="1157">
        <f t="shared" ca="1" si="79"/>
        <v>0</v>
      </c>
      <c r="AJ57" s="1157">
        <f t="shared" ca="1" si="79"/>
        <v>0</v>
      </c>
      <c r="AK57" s="1157">
        <f t="shared" ca="1" si="79"/>
        <v>0</v>
      </c>
      <c r="AL57" s="1157">
        <f t="shared" ca="1" si="79"/>
        <v>0</v>
      </c>
      <c r="AM57" s="1157">
        <f t="shared" ca="1" si="79"/>
        <v>0</v>
      </c>
      <c r="AN57" s="1157">
        <f t="shared" ca="1" si="79"/>
        <v>0</v>
      </c>
      <c r="AO57" s="1157">
        <f t="shared" ca="1" si="79"/>
        <v>0</v>
      </c>
      <c r="AP57" s="1157">
        <f t="shared" ca="1" si="79"/>
        <v>0</v>
      </c>
      <c r="AQ57" s="1157">
        <f t="shared" ca="1" si="79"/>
        <v>0</v>
      </c>
      <c r="AR57" s="1157">
        <f t="shared" ca="1" si="79"/>
        <v>0</v>
      </c>
      <c r="AS57" s="1157">
        <f t="shared" ca="1" si="79"/>
        <v>0</v>
      </c>
      <c r="AT57" s="1157">
        <f t="shared" ca="1" si="79"/>
        <v>0</v>
      </c>
      <c r="AU57" s="1157">
        <f t="shared" ca="1" si="79"/>
        <v>0</v>
      </c>
      <c r="AV57" s="1157">
        <f t="shared" ca="1" si="79"/>
        <v>0</v>
      </c>
      <c r="AW57" s="1157">
        <f t="shared" ca="1" si="79"/>
        <v>0</v>
      </c>
      <c r="AX57" s="1157">
        <f t="shared" ca="1" si="79"/>
        <v>0</v>
      </c>
      <c r="AY57" s="1157">
        <f t="shared" ca="1" si="79"/>
        <v>0</v>
      </c>
      <c r="AZ57" s="1157">
        <f t="shared" ca="1" si="79"/>
        <v>0</v>
      </c>
      <c r="BA57" s="1157">
        <f t="shared" ca="1" si="79"/>
        <v>0</v>
      </c>
      <c r="BB57" s="1157">
        <f t="shared" ca="1" si="79"/>
        <v>0</v>
      </c>
      <c r="BC57" s="1157">
        <f t="shared" ca="1" si="79"/>
        <v>0</v>
      </c>
      <c r="BD57" s="1157">
        <f t="shared" ca="1" si="79"/>
        <v>0</v>
      </c>
      <c r="BE57" s="1157">
        <f t="shared" ca="1" si="79"/>
        <v>0</v>
      </c>
      <c r="BF57" s="1157">
        <f t="shared" ca="1" si="79"/>
        <v>0</v>
      </c>
      <c r="BG57" s="1157">
        <f t="shared" ca="1" si="79"/>
        <v>0</v>
      </c>
      <c r="BH57" s="1157">
        <f t="shared" ca="1" si="79"/>
        <v>0</v>
      </c>
      <c r="BI57" s="1157">
        <f t="shared" ca="1" si="79"/>
        <v>0</v>
      </c>
      <c r="BJ57" s="1157">
        <f t="shared" ca="1" si="79"/>
        <v>0</v>
      </c>
      <c r="BK57" s="1157">
        <f t="shared" ca="1" si="79"/>
        <v>0</v>
      </c>
      <c r="BL57" s="1157">
        <f t="shared" ca="1" si="79"/>
        <v>0</v>
      </c>
      <c r="BM57" s="1157">
        <f t="shared" ca="1" si="79"/>
        <v>0</v>
      </c>
      <c r="BN57" s="1157">
        <f t="shared" ca="1" si="79"/>
        <v>0</v>
      </c>
      <c r="BO57" s="1157">
        <f t="shared" ca="1" si="79"/>
        <v>0</v>
      </c>
      <c r="BP57" s="1157">
        <f t="shared" ref="BP57:CI57" ca="1" si="80">SUM(BP51:BP54)</f>
        <v>0</v>
      </c>
      <c r="BQ57" s="1157">
        <f t="shared" ca="1" si="80"/>
        <v>0</v>
      </c>
      <c r="BR57" s="1157">
        <f t="shared" ca="1" si="80"/>
        <v>0</v>
      </c>
      <c r="BS57" s="1157">
        <f t="shared" ca="1" si="80"/>
        <v>0</v>
      </c>
      <c r="BT57" s="1157">
        <f t="shared" ca="1" si="80"/>
        <v>0</v>
      </c>
      <c r="BU57" s="1157">
        <f t="shared" ca="1" si="80"/>
        <v>0</v>
      </c>
      <c r="BV57" s="1157">
        <f t="shared" ca="1" si="80"/>
        <v>0</v>
      </c>
      <c r="BW57" s="1157">
        <f t="shared" ca="1" si="80"/>
        <v>0</v>
      </c>
      <c r="BX57" s="1157">
        <f t="shared" ca="1" si="80"/>
        <v>0</v>
      </c>
      <c r="BY57" s="1157">
        <f t="shared" ca="1" si="80"/>
        <v>0</v>
      </c>
      <c r="BZ57" s="1157">
        <f t="shared" ca="1" si="80"/>
        <v>0</v>
      </c>
      <c r="CA57" s="1157">
        <f t="shared" ca="1" si="80"/>
        <v>0</v>
      </c>
      <c r="CB57" s="1157">
        <f t="shared" ca="1" si="80"/>
        <v>0</v>
      </c>
      <c r="CC57" s="1157">
        <f t="shared" ca="1" si="80"/>
        <v>0</v>
      </c>
      <c r="CD57" s="1157">
        <f t="shared" ca="1" si="80"/>
        <v>0</v>
      </c>
      <c r="CE57" s="1157">
        <f t="shared" ca="1" si="80"/>
        <v>0</v>
      </c>
      <c r="CF57" s="1157">
        <f t="shared" ca="1" si="80"/>
        <v>0</v>
      </c>
      <c r="CG57" s="1157">
        <f t="shared" ca="1" si="80"/>
        <v>0</v>
      </c>
      <c r="CH57" s="1157">
        <f t="shared" ca="1" si="80"/>
        <v>0</v>
      </c>
      <c r="CI57" s="1157">
        <f t="shared" ca="1" si="80"/>
        <v>0</v>
      </c>
      <c r="CJ57" s="1157">
        <f t="shared" ref="CJ57:CK57" ca="1" si="81">SUM(CJ51:CJ54)</f>
        <v>0</v>
      </c>
      <c r="CK57" s="1157">
        <f t="shared" ca="1" si="81"/>
        <v>0</v>
      </c>
      <c r="CL57" s="1157">
        <f t="shared" ref="CL57:DH57" ca="1" si="82">SUM(CL51:CL54)</f>
        <v>0</v>
      </c>
      <c r="CM57" s="1157">
        <f t="shared" ca="1" si="82"/>
        <v>0</v>
      </c>
      <c r="CN57" s="1157">
        <f t="shared" ca="1" si="82"/>
        <v>0</v>
      </c>
      <c r="CO57" s="1157">
        <f t="shared" ca="1" si="82"/>
        <v>0</v>
      </c>
      <c r="CP57" s="1157">
        <f t="shared" ca="1" si="82"/>
        <v>0</v>
      </c>
      <c r="CQ57" s="1157">
        <f t="shared" ca="1" si="82"/>
        <v>0</v>
      </c>
      <c r="CR57" s="1157">
        <f t="shared" ca="1" si="82"/>
        <v>0</v>
      </c>
      <c r="CS57" s="1157">
        <f t="shared" ca="1" si="82"/>
        <v>0</v>
      </c>
      <c r="CT57" s="1157">
        <f t="shared" ca="1" si="82"/>
        <v>0</v>
      </c>
      <c r="CU57" s="1157">
        <f t="shared" ca="1" si="82"/>
        <v>0</v>
      </c>
      <c r="CV57" s="1157">
        <f t="shared" ca="1" si="82"/>
        <v>0</v>
      </c>
      <c r="CW57" s="1157">
        <f t="shared" ca="1" si="82"/>
        <v>0</v>
      </c>
      <c r="CX57" s="1157">
        <f t="shared" ca="1" si="82"/>
        <v>0</v>
      </c>
      <c r="CY57" s="1157">
        <f t="shared" ca="1" si="82"/>
        <v>0</v>
      </c>
      <c r="CZ57" s="1157">
        <f t="shared" ca="1" si="82"/>
        <v>0</v>
      </c>
      <c r="DA57" s="1157">
        <f t="shared" ca="1" si="82"/>
        <v>0</v>
      </c>
      <c r="DB57" s="1157">
        <f t="shared" ca="1" si="82"/>
        <v>0</v>
      </c>
      <c r="DC57" s="1157">
        <f t="shared" ca="1" si="82"/>
        <v>0</v>
      </c>
      <c r="DD57" s="1157">
        <f t="shared" ca="1" si="82"/>
        <v>0</v>
      </c>
      <c r="DE57" s="1157">
        <f t="shared" ca="1" si="82"/>
        <v>0</v>
      </c>
      <c r="DF57" s="1157">
        <f t="shared" ca="1" si="82"/>
        <v>0</v>
      </c>
      <c r="DG57" s="1157">
        <f t="shared" ca="1" si="82"/>
        <v>0</v>
      </c>
      <c r="DH57" s="1170">
        <f t="shared" ca="1" si="82"/>
        <v>0</v>
      </c>
    </row>
    <row r="58" spans="1:112" x14ac:dyDescent="0.35">
      <c r="A58" s="685"/>
      <c r="B58" t="s">
        <v>2164</v>
      </c>
      <c r="DH58" s="686"/>
    </row>
    <row r="59" spans="1:112" x14ac:dyDescent="0.35">
      <c r="A59" s="685"/>
      <c r="C59" t="s">
        <v>2165</v>
      </c>
      <c r="DH59" s="686"/>
    </row>
    <row r="60" spans="1:112" x14ac:dyDescent="0.35">
      <c r="A60" s="685"/>
      <c r="DH60" s="686"/>
    </row>
    <row r="61" spans="1:112" x14ac:dyDescent="0.35">
      <c r="A61" s="685"/>
      <c r="B61" s="485" t="s">
        <v>2052</v>
      </c>
      <c r="C61" s="485"/>
      <c r="D61" s="485"/>
      <c r="E61" s="485"/>
      <c r="F61" s="485"/>
      <c r="G61" s="485"/>
      <c r="DH61" s="686"/>
    </row>
    <row r="62" spans="1:112" x14ac:dyDescent="0.35">
      <c r="A62" s="685"/>
      <c r="B62" s="485" t="s">
        <v>2053</v>
      </c>
      <c r="C62" s="1169" t="str">
        <f>"Budsjettvirkninger for det offentlige, mill. "&amp;KroneårIBeregninger&amp;"-kr"</f>
        <v>Budsjettvirkninger for det offentlige, mill. -kr</v>
      </c>
      <c r="D62" s="485"/>
      <c r="E62" s="485"/>
      <c r="F62" s="485"/>
      <c r="G62" s="485"/>
      <c r="DH62" s="686"/>
    </row>
    <row r="63" spans="1:112" ht="15" thickBot="1" x14ac:dyDescent="0.4">
      <c r="A63" s="687" t="s">
        <v>2026</v>
      </c>
      <c r="B63" s="688" t="s">
        <v>2027</v>
      </c>
      <c r="C63" s="688" t="s">
        <v>2028</v>
      </c>
      <c r="D63" s="688" t="s">
        <v>2029</v>
      </c>
      <c r="E63" s="688" t="s">
        <v>2055</v>
      </c>
      <c r="F63" s="688" t="s">
        <v>2056</v>
      </c>
      <c r="G63" s="688" t="s">
        <v>2057</v>
      </c>
      <c r="H63" s="688" t="s">
        <v>2058</v>
      </c>
      <c r="I63" s="688" t="s">
        <v>2059</v>
      </c>
      <c r="J63" s="688" t="s">
        <v>2061</v>
      </c>
      <c r="K63" s="688" t="s">
        <v>2062</v>
      </c>
      <c r="L63" s="688" t="s">
        <v>2043</v>
      </c>
      <c r="M63" s="688" t="s">
        <v>2044</v>
      </c>
      <c r="N63" s="688" t="s">
        <v>2042</v>
      </c>
      <c r="O63" s="688" t="s">
        <v>2063</v>
      </c>
      <c r="P63" s="688" t="s">
        <v>2064</v>
      </c>
      <c r="Q63" s="688" t="s">
        <v>2065</v>
      </c>
      <c r="R63" s="688" t="s">
        <v>2066</v>
      </c>
      <c r="S63" s="688" t="s">
        <v>2067</v>
      </c>
      <c r="T63" s="688" t="s">
        <v>2068</v>
      </c>
      <c r="U63" s="688" t="s">
        <v>2069</v>
      </c>
      <c r="V63" s="688" t="s">
        <v>2070</v>
      </c>
      <c r="W63" s="688" t="s">
        <v>2071</v>
      </c>
      <c r="X63" s="688" t="s">
        <v>2072</v>
      </c>
      <c r="Y63" s="688" t="s">
        <v>2073</v>
      </c>
      <c r="Z63" s="688" t="s">
        <v>2074</v>
      </c>
      <c r="AA63" s="688" t="s">
        <v>2075</v>
      </c>
      <c r="AB63" s="688" t="s">
        <v>2076</v>
      </c>
      <c r="AC63" s="688" t="s">
        <v>2077</v>
      </c>
      <c r="AD63" s="688" t="s">
        <v>2078</v>
      </c>
      <c r="AE63" s="688" t="s">
        <v>2079</v>
      </c>
      <c r="AF63" s="688" t="s">
        <v>2080</v>
      </c>
      <c r="AG63" s="688" t="s">
        <v>2081</v>
      </c>
      <c r="AH63" s="688" t="s">
        <v>2082</v>
      </c>
      <c r="AI63" s="688" t="s">
        <v>2083</v>
      </c>
      <c r="AJ63" s="688" t="s">
        <v>2084</v>
      </c>
      <c r="AK63" s="688" t="s">
        <v>2085</v>
      </c>
      <c r="AL63" s="688" t="s">
        <v>2086</v>
      </c>
      <c r="AM63" s="688" t="s">
        <v>2087</v>
      </c>
      <c r="AN63" s="688" t="s">
        <v>2088</v>
      </c>
      <c r="AO63" s="688" t="s">
        <v>2089</v>
      </c>
      <c r="AP63" s="688" t="s">
        <v>2090</v>
      </c>
      <c r="AQ63" s="688" t="s">
        <v>2091</v>
      </c>
      <c r="AR63" s="688" t="s">
        <v>2092</v>
      </c>
      <c r="AS63" s="688" t="s">
        <v>2093</v>
      </c>
      <c r="AT63" s="688" t="s">
        <v>2094</v>
      </c>
      <c r="AU63" s="688" t="s">
        <v>2095</v>
      </c>
      <c r="AV63" s="688" t="s">
        <v>2096</v>
      </c>
      <c r="AW63" s="688" t="s">
        <v>2097</v>
      </c>
      <c r="AX63" s="688" t="s">
        <v>2098</v>
      </c>
      <c r="AY63" s="688" t="s">
        <v>2099</v>
      </c>
      <c r="AZ63" s="688" t="s">
        <v>2100</v>
      </c>
      <c r="BA63" s="688" t="s">
        <v>2101</v>
      </c>
      <c r="BB63" s="688" t="s">
        <v>2102</v>
      </c>
      <c r="BC63" s="688" t="s">
        <v>2103</v>
      </c>
      <c r="BD63" s="688" t="s">
        <v>2104</v>
      </c>
      <c r="BE63" s="688" t="s">
        <v>2105</v>
      </c>
      <c r="BF63" s="688" t="s">
        <v>2106</v>
      </c>
      <c r="BG63" s="688" t="s">
        <v>2107</v>
      </c>
      <c r="BH63" s="688" t="s">
        <v>2108</v>
      </c>
      <c r="BI63" s="688" t="s">
        <v>2109</v>
      </c>
      <c r="BJ63" s="688" t="s">
        <v>2110</v>
      </c>
      <c r="BK63" s="688" t="s">
        <v>2111</v>
      </c>
      <c r="BL63" s="688" t="s">
        <v>2112</v>
      </c>
      <c r="BM63" s="688" t="s">
        <v>2113</v>
      </c>
      <c r="BN63" s="688" t="s">
        <v>2114</v>
      </c>
      <c r="BO63" s="688" t="s">
        <v>2115</v>
      </c>
      <c r="BP63" s="688" t="s">
        <v>2116</v>
      </c>
      <c r="BQ63" s="688" t="s">
        <v>2117</v>
      </c>
      <c r="BR63" s="688" t="s">
        <v>2118</v>
      </c>
      <c r="BS63" s="688" t="s">
        <v>2119</v>
      </c>
      <c r="BT63" s="688" t="s">
        <v>2120</v>
      </c>
      <c r="BU63" s="688" t="s">
        <v>2121</v>
      </c>
      <c r="BV63" s="688" t="s">
        <v>2122</v>
      </c>
      <c r="BW63" s="688" t="s">
        <v>2123</v>
      </c>
      <c r="BX63" s="688" t="s">
        <v>2124</v>
      </c>
      <c r="BY63" s="688" t="s">
        <v>2125</v>
      </c>
      <c r="BZ63" s="688" t="s">
        <v>2126</v>
      </c>
      <c r="CA63" s="688" t="s">
        <v>2127</v>
      </c>
      <c r="CB63" s="688" t="s">
        <v>2128</v>
      </c>
      <c r="CC63" s="688" t="s">
        <v>2129</v>
      </c>
      <c r="CD63" s="688" t="s">
        <v>2130</v>
      </c>
      <c r="CE63" s="688" t="s">
        <v>2131</v>
      </c>
      <c r="CF63" s="688" t="s">
        <v>2132</v>
      </c>
      <c r="CG63" s="688" t="s">
        <v>2133</v>
      </c>
      <c r="CH63" s="688" t="s">
        <v>2134</v>
      </c>
      <c r="CI63" s="688" t="s">
        <v>2135</v>
      </c>
      <c r="CJ63" s="688" t="s">
        <v>2166</v>
      </c>
      <c r="CK63" s="688" t="s">
        <v>2167</v>
      </c>
      <c r="CL63" s="688" t="s">
        <v>2168</v>
      </c>
      <c r="CM63" s="688" t="s">
        <v>2169</v>
      </c>
      <c r="CN63" s="688" t="s">
        <v>2170</v>
      </c>
      <c r="CO63" s="688" t="s">
        <v>2171</v>
      </c>
      <c r="CP63" s="688" t="s">
        <v>2172</v>
      </c>
      <c r="CQ63" s="688" t="s">
        <v>2173</v>
      </c>
      <c r="CR63" s="688" t="s">
        <v>2174</v>
      </c>
      <c r="CS63" s="688" t="s">
        <v>2175</v>
      </c>
      <c r="CT63" s="688" t="s">
        <v>2176</v>
      </c>
      <c r="CU63" s="688" t="s">
        <v>2177</v>
      </c>
      <c r="CV63" s="688" t="s">
        <v>2178</v>
      </c>
      <c r="CW63" s="688" t="s">
        <v>2179</v>
      </c>
      <c r="CX63" s="688" t="s">
        <v>2180</v>
      </c>
      <c r="CY63" s="688" t="s">
        <v>2181</v>
      </c>
      <c r="CZ63" s="688" t="s">
        <v>2182</v>
      </c>
      <c r="DA63" s="688" t="s">
        <v>2183</v>
      </c>
      <c r="DB63" s="688" t="s">
        <v>2184</v>
      </c>
      <c r="DC63" s="688" t="s">
        <v>2185</v>
      </c>
      <c r="DD63" s="688" t="s">
        <v>2186</v>
      </c>
      <c r="DE63" s="688" t="s">
        <v>2187</v>
      </c>
      <c r="DF63" s="688" t="s">
        <v>2188</v>
      </c>
      <c r="DG63" s="688" t="s">
        <v>2189</v>
      </c>
      <c r="DH63" s="689" t="s">
        <v>2190</v>
      </c>
    </row>
    <row r="64" spans="1:112" ht="15" hidden="1" thickBot="1" x14ac:dyDescent="0.4">
      <c r="A64" s="685"/>
      <c r="C64" t="s">
        <v>2159</v>
      </c>
      <c r="D64" t="s">
        <v>2159</v>
      </c>
      <c r="E64" t="s">
        <v>2159</v>
      </c>
      <c r="F64" t="s">
        <v>2159</v>
      </c>
      <c r="G64" t="s">
        <v>2159</v>
      </c>
      <c r="H64" t="s">
        <v>2159</v>
      </c>
      <c r="I64" t="s">
        <v>2159</v>
      </c>
      <c r="J64" t="s">
        <v>2159</v>
      </c>
      <c r="K64" t="s">
        <v>2159</v>
      </c>
      <c r="L64" t="s">
        <v>2159</v>
      </c>
      <c r="M64" t="s">
        <v>2159</v>
      </c>
      <c r="N64" t="s">
        <v>2159</v>
      </c>
      <c r="O64" t="s">
        <v>2159</v>
      </c>
      <c r="P64" t="s">
        <v>2159</v>
      </c>
      <c r="Q64" t="s">
        <v>2159</v>
      </c>
      <c r="R64" t="s">
        <v>2159</v>
      </c>
      <c r="S64" t="s">
        <v>2159</v>
      </c>
      <c r="T64" t="s">
        <v>2159</v>
      </c>
      <c r="U64" t="s">
        <v>2159</v>
      </c>
      <c r="V64" t="s">
        <v>2159</v>
      </c>
      <c r="W64" t="s">
        <v>2159</v>
      </c>
      <c r="X64" t="s">
        <v>2159</v>
      </c>
      <c r="Y64" t="s">
        <v>2159</v>
      </c>
      <c r="Z64" t="s">
        <v>2159</v>
      </c>
      <c r="AA64" t="s">
        <v>2159</v>
      </c>
      <c r="AB64" t="s">
        <v>2159</v>
      </c>
      <c r="AC64" t="s">
        <v>2159</v>
      </c>
      <c r="AD64" t="s">
        <v>2159</v>
      </c>
      <c r="AE64" t="s">
        <v>2159</v>
      </c>
      <c r="AF64" t="s">
        <v>2159</v>
      </c>
      <c r="AG64" t="s">
        <v>2159</v>
      </c>
      <c r="AH64" t="s">
        <v>2159</v>
      </c>
      <c r="AI64" t="s">
        <v>2159</v>
      </c>
      <c r="AJ64" t="s">
        <v>2159</v>
      </c>
      <c r="AK64" t="s">
        <v>2159</v>
      </c>
      <c r="AL64" t="s">
        <v>2159</v>
      </c>
      <c r="AM64" t="s">
        <v>2159</v>
      </c>
      <c r="AN64" t="s">
        <v>2159</v>
      </c>
      <c r="AO64" t="s">
        <v>2159</v>
      </c>
      <c r="AP64" t="s">
        <v>2159</v>
      </c>
      <c r="AQ64" t="s">
        <v>2159</v>
      </c>
      <c r="AR64" t="s">
        <v>2159</v>
      </c>
      <c r="AS64" t="s">
        <v>2159</v>
      </c>
      <c r="AT64" t="s">
        <v>2159</v>
      </c>
      <c r="AU64" t="s">
        <v>2159</v>
      </c>
      <c r="AV64" t="s">
        <v>2159</v>
      </c>
      <c r="AW64" t="s">
        <v>2159</v>
      </c>
      <c r="AX64" t="s">
        <v>2159</v>
      </c>
      <c r="AY64" t="s">
        <v>2159</v>
      </c>
      <c r="AZ64" t="s">
        <v>2159</v>
      </c>
      <c r="BA64" t="s">
        <v>2159</v>
      </c>
      <c r="BB64" t="s">
        <v>2159</v>
      </c>
      <c r="BC64" t="s">
        <v>2159</v>
      </c>
      <c r="BD64" t="s">
        <v>2159</v>
      </c>
      <c r="BE64" t="s">
        <v>2159</v>
      </c>
      <c r="BF64" t="s">
        <v>2159</v>
      </c>
      <c r="BG64" t="s">
        <v>2159</v>
      </c>
      <c r="BH64" t="s">
        <v>2159</v>
      </c>
      <c r="BI64" t="s">
        <v>2159</v>
      </c>
      <c r="BJ64" t="s">
        <v>2159</v>
      </c>
      <c r="BK64" t="s">
        <v>2159</v>
      </c>
      <c r="BL64" t="s">
        <v>2159</v>
      </c>
      <c r="BM64" t="s">
        <v>2159</v>
      </c>
      <c r="BN64" t="s">
        <v>2159</v>
      </c>
      <c r="BO64" t="s">
        <v>2159</v>
      </c>
      <c r="BP64" t="s">
        <v>2159</v>
      </c>
      <c r="BQ64" t="s">
        <v>2159</v>
      </c>
      <c r="BR64" t="s">
        <v>2159</v>
      </c>
      <c r="BS64" t="s">
        <v>2159</v>
      </c>
      <c r="BT64" t="s">
        <v>2159</v>
      </c>
      <c r="BU64" t="s">
        <v>2159</v>
      </c>
      <c r="BV64" t="s">
        <v>2159</v>
      </c>
      <c r="BW64" t="s">
        <v>2159</v>
      </c>
      <c r="BX64" t="s">
        <v>2159</v>
      </c>
      <c r="BY64" t="s">
        <v>2159</v>
      </c>
      <c r="BZ64" t="s">
        <v>2159</v>
      </c>
      <c r="CA64" t="s">
        <v>2159</v>
      </c>
      <c r="CB64" t="s">
        <v>2159</v>
      </c>
      <c r="CC64" t="s">
        <v>2159</v>
      </c>
      <c r="CD64" t="s">
        <v>2159</v>
      </c>
      <c r="CE64" t="s">
        <v>2159</v>
      </c>
      <c r="CF64" t="s">
        <v>2159</v>
      </c>
      <c r="CG64" t="s">
        <v>2159</v>
      </c>
      <c r="CH64" t="s">
        <v>2159</v>
      </c>
      <c r="CI64" t="s">
        <v>2159</v>
      </c>
      <c r="DH64" s="686"/>
    </row>
    <row r="65" spans="1:113" x14ac:dyDescent="0.35">
      <c r="A65" s="684" t="s">
        <v>2159</v>
      </c>
      <c r="B65" s="622" t="str">
        <f>B50</f>
        <v>År</v>
      </c>
      <c r="C65" s="622">
        <f>C50</f>
        <v>-10</v>
      </c>
      <c r="D65" s="622">
        <f t="shared" ref="D65:BO65" si="83">D50</f>
        <v>-9</v>
      </c>
      <c r="E65" s="622">
        <f t="shared" si="83"/>
        <v>-8</v>
      </c>
      <c r="F65" s="622">
        <f t="shared" si="83"/>
        <v>-7</v>
      </c>
      <c r="G65" s="622">
        <f t="shared" si="83"/>
        <v>-6</v>
      </c>
      <c r="H65" s="622">
        <f t="shared" si="83"/>
        <v>-5</v>
      </c>
      <c r="I65" s="622">
        <f t="shared" si="83"/>
        <v>-4</v>
      </c>
      <c r="J65" s="622">
        <f t="shared" si="83"/>
        <v>-3</v>
      </c>
      <c r="K65" s="622">
        <f t="shared" si="83"/>
        <v>-2</v>
      </c>
      <c r="L65" s="622">
        <f t="shared" si="83"/>
        <v>-1</v>
      </c>
      <c r="M65" s="622">
        <f t="shared" si="83"/>
        <v>0</v>
      </c>
      <c r="N65" s="622">
        <f t="shared" si="83"/>
        <v>1</v>
      </c>
      <c r="O65" s="622">
        <f t="shared" si="83"/>
        <v>2</v>
      </c>
      <c r="P65" s="622">
        <f t="shared" si="83"/>
        <v>3</v>
      </c>
      <c r="Q65" s="622">
        <f t="shared" si="83"/>
        <v>4</v>
      </c>
      <c r="R65" s="622">
        <f t="shared" si="83"/>
        <v>5</v>
      </c>
      <c r="S65" s="622">
        <f t="shared" si="83"/>
        <v>6</v>
      </c>
      <c r="T65" s="622">
        <f t="shared" si="83"/>
        <v>7</v>
      </c>
      <c r="U65" s="622">
        <f t="shared" si="83"/>
        <v>8</v>
      </c>
      <c r="V65" s="622">
        <f t="shared" si="83"/>
        <v>9</v>
      </c>
      <c r="W65" s="622">
        <f t="shared" si="83"/>
        <v>10</v>
      </c>
      <c r="X65" s="622">
        <f t="shared" si="83"/>
        <v>11</v>
      </c>
      <c r="Y65" s="622">
        <f t="shared" si="83"/>
        <v>12</v>
      </c>
      <c r="Z65" s="622">
        <f t="shared" si="83"/>
        <v>13</v>
      </c>
      <c r="AA65" s="622">
        <f t="shared" si="83"/>
        <v>14</v>
      </c>
      <c r="AB65" s="622">
        <f t="shared" si="83"/>
        <v>15</v>
      </c>
      <c r="AC65" s="622">
        <f t="shared" si="83"/>
        <v>16</v>
      </c>
      <c r="AD65" s="622">
        <f t="shared" si="83"/>
        <v>17</v>
      </c>
      <c r="AE65" s="622">
        <f t="shared" si="83"/>
        <v>18</v>
      </c>
      <c r="AF65" s="622">
        <f t="shared" si="83"/>
        <v>19</v>
      </c>
      <c r="AG65" s="622">
        <f t="shared" si="83"/>
        <v>20</v>
      </c>
      <c r="AH65" s="622">
        <f t="shared" si="83"/>
        <v>21</v>
      </c>
      <c r="AI65" s="622">
        <f t="shared" si="83"/>
        <v>22</v>
      </c>
      <c r="AJ65" s="622">
        <f t="shared" si="83"/>
        <v>23</v>
      </c>
      <c r="AK65" s="622">
        <f t="shared" si="83"/>
        <v>24</v>
      </c>
      <c r="AL65" s="622">
        <f t="shared" si="83"/>
        <v>25</v>
      </c>
      <c r="AM65" s="622">
        <f t="shared" si="83"/>
        <v>26</v>
      </c>
      <c r="AN65" s="622">
        <f t="shared" si="83"/>
        <v>27</v>
      </c>
      <c r="AO65" s="622">
        <f t="shared" si="83"/>
        <v>28</v>
      </c>
      <c r="AP65" s="622">
        <f t="shared" si="83"/>
        <v>29</v>
      </c>
      <c r="AQ65" s="622">
        <f t="shared" si="83"/>
        <v>30</v>
      </c>
      <c r="AR65" s="622">
        <f t="shared" si="83"/>
        <v>31</v>
      </c>
      <c r="AS65" s="622">
        <f t="shared" si="83"/>
        <v>32</v>
      </c>
      <c r="AT65" s="622">
        <f t="shared" si="83"/>
        <v>33</v>
      </c>
      <c r="AU65" s="622">
        <f t="shared" si="83"/>
        <v>34</v>
      </c>
      <c r="AV65" s="622">
        <f t="shared" si="83"/>
        <v>35</v>
      </c>
      <c r="AW65" s="622">
        <f t="shared" si="83"/>
        <v>36</v>
      </c>
      <c r="AX65" s="622">
        <f t="shared" si="83"/>
        <v>37</v>
      </c>
      <c r="AY65" s="622">
        <f t="shared" si="83"/>
        <v>38</v>
      </c>
      <c r="AZ65" s="622">
        <f t="shared" si="83"/>
        <v>39</v>
      </c>
      <c r="BA65" s="622">
        <f t="shared" si="83"/>
        <v>40</v>
      </c>
      <c r="BB65" s="622">
        <f t="shared" si="83"/>
        <v>41</v>
      </c>
      <c r="BC65" s="622">
        <f t="shared" si="83"/>
        <v>42</v>
      </c>
      <c r="BD65" s="622">
        <f t="shared" si="83"/>
        <v>43</v>
      </c>
      <c r="BE65" s="622">
        <f t="shared" si="83"/>
        <v>44</v>
      </c>
      <c r="BF65" s="622">
        <f t="shared" si="83"/>
        <v>45</v>
      </c>
      <c r="BG65" s="622">
        <f t="shared" si="83"/>
        <v>46</v>
      </c>
      <c r="BH65" s="622">
        <f t="shared" si="83"/>
        <v>47</v>
      </c>
      <c r="BI65" s="622">
        <f t="shared" si="83"/>
        <v>48</v>
      </c>
      <c r="BJ65" s="622">
        <f t="shared" si="83"/>
        <v>49</v>
      </c>
      <c r="BK65" s="622">
        <f t="shared" si="83"/>
        <v>50</v>
      </c>
      <c r="BL65" s="622">
        <f t="shared" si="83"/>
        <v>51</v>
      </c>
      <c r="BM65" s="622">
        <f t="shared" si="83"/>
        <v>52</v>
      </c>
      <c r="BN65" s="622">
        <f t="shared" si="83"/>
        <v>53</v>
      </c>
      <c r="BO65" s="622">
        <f t="shared" si="83"/>
        <v>54</v>
      </c>
      <c r="BP65" s="622">
        <f t="shared" ref="BP65:CI65" si="84">BP50</f>
        <v>55</v>
      </c>
      <c r="BQ65" s="622">
        <f t="shared" si="84"/>
        <v>56</v>
      </c>
      <c r="BR65" s="622">
        <f t="shared" si="84"/>
        <v>57</v>
      </c>
      <c r="BS65" s="622">
        <f t="shared" si="84"/>
        <v>58</v>
      </c>
      <c r="BT65" s="622">
        <f t="shared" si="84"/>
        <v>59</v>
      </c>
      <c r="BU65" s="622">
        <f t="shared" si="84"/>
        <v>60</v>
      </c>
      <c r="BV65" s="622">
        <f t="shared" si="84"/>
        <v>61</v>
      </c>
      <c r="BW65" s="622">
        <f t="shared" si="84"/>
        <v>62</v>
      </c>
      <c r="BX65" s="622">
        <f t="shared" si="84"/>
        <v>63</v>
      </c>
      <c r="BY65" s="622">
        <f t="shared" si="84"/>
        <v>64</v>
      </c>
      <c r="BZ65" s="622">
        <f t="shared" si="84"/>
        <v>65</v>
      </c>
      <c r="CA65" s="622">
        <f t="shared" si="84"/>
        <v>66</v>
      </c>
      <c r="CB65" s="622">
        <f t="shared" si="84"/>
        <v>67</v>
      </c>
      <c r="CC65" s="622">
        <f t="shared" si="84"/>
        <v>68</v>
      </c>
      <c r="CD65" s="622">
        <f t="shared" si="84"/>
        <v>69</v>
      </c>
      <c r="CE65" s="622">
        <f t="shared" si="84"/>
        <v>70</v>
      </c>
      <c r="CF65" s="622">
        <f t="shared" si="84"/>
        <v>71</v>
      </c>
      <c r="CG65" s="622">
        <f t="shared" si="84"/>
        <v>72</v>
      </c>
      <c r="CH65" s="622">
        <f t="shared" si="84"/>
        <v>73</v>
      </c>
      <c r="CI65" s="622">
        <f t="shared" si="84"/>
        <v>74</v>
      </c>
      <c r="CJ65" s="622">
        <f t="shared" ref="CJ65:DH65" si="85">CJ50</f>
        <v>75</v>
      </c>
      <c r="CK65" s="622">
        <f t="shared" si="85"/>
        <v>76</v>
      </c>
      <c r="CL65" s="622">
        <f t="shared" si="85"/>
        <v>77</v>
      </c>
      <c r="CM65" s="622">
        <f t="shared" si="85"/>
        <v>78</v>
      </c>
      <c r="CN65" s="622">
        <f t="shared" si="85"/>
        <v>79</v>
      </c>
      <c r="CO65" s="622">
        <f t="shared" si="85"/>
        <v>80</v>
      </c>
      <c r="CP65" s="622">
        <f t="shared" si="85"/>
        <v>81</v>
      </c>
      <c r="CQ65" s="622">
        <f t="shared" si="85"/>
        <v>82</v>
      </c>
      <c r="CR65" s="622">
        <f t="shared" si="85"/>
        <v>83</v>
      </c>
      <c r="CS65" s="622">
        <f t="shared" si="85"/>
        <v>84</v>
      </c>
      <c r="CT65" s="622">
        <f t="shared" si="85"/>
        <v>85</v>
      </c>
      <c r="CU65" s="622">
        <f t="shared" si="85"/>
        <v>86</v>
      </c>
      <c r="CV65" s="622">
        <f t="shared" si="85"/>
        <v>87</v>
      </c>
      <c r="CW65" s="622">
        <f t="shared" si="85"/>
        <v>88</v>
      </c>
      <c r="CX65" s="622">
        <f t="shared" si="85"/>
        <v>89</v>
      </c>
      <c r="CY65" s="622">
        <f t="shared" si="85"/>
        <v>90</v>
      </c>
      <c r="CZ65" s="622">
        <f t="shared" si="85"/>
        <v>91</v>
      </c>
      <c r="DA65" s="622">
        <f t="shared" si="85"/>
        <v>92</v>
      </c>
      <c r="DB65" s="622">
        <f t="shared" si="85"/>
        <v>93</v>
      </c>
      <c r="DC65" s="622">
        <f t="shared" si="85"/>
        <v>94</v>
      </c>
      <c r="DD65" s="622">
        <f t="shared" si="85"/>
        <v>95</v>
      </c>
      <c r="DE65" s="622">
        <f t="shared" si="85"/>
        <v>96</v>
      </c>
      <c r="DF65" s="622">
        <f t="shared" si="85"/>
        <v>97</v>
      </c>
      <c r="DG65" s="622">
        <f t="shared" si="85"/>
        <v>98</v>
      </c>
      <c r="DH65" s="1171">
        <f t="shared" si="85"/>
        <v>99</v>
      </c>
    </row>
    <row r="66" spans="1:113" x14ac:dyDescent="0.35">
      <c r="A66" s="685" t="b">
        <v>1</v>
      </c>
      <c r="B66" t="str">
        <f>B55</f>
        <v xml:space="preserve">Investeringer  </v>
      </c>
      <c r="C66">
        <f t="shared" ref="C66:R67" si="86">IF($A66,C55,NA())</f>
        <v>0</v>
      </c>
      <c r="D66">
        <f t="shared" ref="D66:BO67" si="87">IF($A66,D55,NA())</f>
        <v>0</v>
      </c>
      <c r="E66">
        <f t="shared" si="87"/>
        <v>0</v>
      </c>
      <c r="F66">
        <f t="shared" si="87"/>
        <v>0</v>
      </c>
      <c r="G66">
        <f t="shared" si="87"/>
        <v>0</v>
      </c>
      <c r="H66">
        <f t="shared" si="87"/>
        <v>0</v>
      </c>
      <c r="I66">
        <f t="shared" si="87"/>
        <v>0</v>
      </c>
      <c r="J66">
        <f t="shared" si="87"/>
        <v>0</v>
      </c>
      <c r="K66">
        <f t="shared" si="87"/>
        <v>0</v>
      </c>
      <c r="L66">
        <f t="shared" si="87"/>
        <v>0</v>
      </c>
      <c r="M66">
        <f t="shared" si="87"/>
        <v>0</v>
      </c>
      <c r="N66">
        <f t="shared" si="87"/>
        <v>0</v>
      </c>
      <c r="O66">
        <f t="shared" si="87"/>
        <v>0</v>
      </c>
      <c r="P66">
        <f t="shared" si="87"/>
        <v>0</v>
      </c>
      <c r="Q66">
        <f t="shared" si="87"/>
        <v>0</v>
      </c>
      <c r="R66">
        <f t="shared" si="87"/>
        <v>0</v>
      </c>
      <c r="S66">
        <f t="shared" si="87"/>
        <v>0</v>
      </c>
      <c r="T66">
        <f t="shared" si="87"/>
        <v>0</v>
      </c>
      <c r="U66">
        <f t="shared" si="87"/>
        <v>0</v>
      </c>
      <c r="V66">
        <f t="shared" si="87"/>
        <v>0</v>
      </c>
      <c r="W66">
        <f t="shared" si="87"/>
        <v>0</v>
      </c>
      <c r="X66">
        <f t="shared" si="87"/>
        <v>0</v>
      </c>
      <c r="Y66">
        <f t="shared" si="87"/>
        <v>0</v>
      </c>
      <c r="Z66">
        <f t="shared" si="87"/>
        <v>0</v>
      </c>
      <c r="AA66">
        <f t="shared" si="87"/>
        <v>0</v>
      </c>
      <c r="AB66">
        <f t="shared" si="87"/>
        <v>0</v>
      </c>
      <c r="AC66">
        <f t="shared" si="87"/>
        <v>0</v>
      </c>
      <c r="AD66">
        <f t="shared" si="87"/>
        <v>0</v>
      </c>
      <c r="AE66">
        <f t="shared" si="87"/>
        <v>0</v>
      </c>
      <c r="AF66">
        <f t="shared" si="87"/>
        <v>0</v>
      </c>
      <c r="AG66">
        <f t="shared" si="87"/>
        <v>0</v>
      </c>
      <c r="AH66">
        <f t="shared" si="87"/>
        <v>0</v>
      </c>
      <c r="AI66">
        <f t="shared" si="87"/>
        <v>0</v>
      </c>
      <c r="AJ66">
        <f t="shared" si="87"/>
        <v>0</v>
      </c>
      <c r="AK66">
        <f t="shared" si="87"/>
        <v>0</v>
      </c>
      <c r="AL66">
        <f t="shared" si="87"/>
        <v>0</v>
      </c>
      <c r="AM66">
        <f t="shared" si="87"/>
        <v>0</v>
      </c>
      <c r="AN66">
        <f t="shared" si="87"/>
        <v>0</v>
      </c>
      <c r="AO66">
        <f t="shared" si="87"/>
        <v>0</v>
      </c>
      <c r="AP66">
        <f t="shared" si="87"/>
        <v>0</v>
      </c>
      <c r="AQ66">
        <f t="shared" si="87"/>
        <v>0</v>
      </c>
      <c r="AR66">
        <f t="shared" si="87"/>
        <v>0</v>
      </c>
      <c r="AS66">
        <f t="shared" si="87"/>
        <v>0</v>
      </c>
      <c r="AT66">
        <f t="shared" si="87"/>
        <v>0</v>
      </c>
      <c r="AU66">
        <f t="shared" si="87"/>
        <v>0</v>
      </c>
      <c r="AV66">
        <f t="shared" si="87"/>
        <v>0</v>
      </c>
      <c r="AW66">
        <f t="shared" si="87"/>
        <v>0</v>
      </c>
      <c r="AX66">
        <f t="shared" si="87"/>
        <v>0</v>
      </c>
      <c r="AY66">
        <f t="shared" si="87"/>
        <v>0</v>
      </c>
      <c r="AZ66">
        <f t="shared" si="87"/>
        <v>0</v>
      </c>
      <c r="BA66">
        <f t="shared" si="87"/>
        <v>0</v>
      </c>
      <c r="BB66">
        <f t="shared" si="87"/>
        <v>0</v>
      </c>
      <c r="BC66">
        <f t="shared" si="87"/>
        <v>0</v>
      </c>
      <c r="BD66">
        <f t="shared" si="87"/>
        <v>0</v>
      </c>
      <c r="BE66">
        <f t="shared" si="87"/>
        <v>0</v>
      </c>
      <c r="BF66">
        <f t="shared" si="87"/>
        <v>0</v>
      </c>
      <c r="BG66">
        <f t="shared" si="87"/>
        <v>0</v>
      </c>
      <c r="BH66">
        <f t="shared" si="87"/>
        <v>0</v>
      </c>
      <c r="BI66">
        <f t="shared" si="87"/>
        <v>0</v>
      </c>
      <c r="BJ66">
        <f t="shared" si="87"/>
        <v>0</v>
      </c>
      <c r="BK66">
        <f t="shared" si="87"/>
        <v>0</v>
      </c>
      <c r="BL66">
        <f t="shared" si="87"/>
        <v>0</v>
      </c>
      <c r="BM66">
        <f t="shared" si="87"/>
        <v>0</v>
      </c>
      <c r="BN66">
        <f t="shared" si="87"/>
        <v>0</v>
      </c>
      <c r="BO66">
        <f t="shared" si="87"/>
        <v>0</v>
      </c>
      <c r="BP66">
        <f t="shared" ref="BP66:CI67" si="88">IF($A66,BP55,NA())</f>
        <v>0</v>
      </c>
      <c r="BQ66">
        <f t="shared" si="88"/>
        <v>0</v>
      </c>
      <c r="BR66">
        <f t="shared" si="88"/>
        <v>0</v>
      </c>
      <c r="BS66">
        <f t="shared" si="88"/>
        <v>0</v>
      </c>
      <c r="BT66">
        <f t="shared" si="88"/>
        <v>0</v>
      </c>
      <c r="BU66">
        <f t="shared" si="88"/>
        <v>0</v>
      </c>
      <c r="BV66">
        <f t="shared" si="88"/>
        <v>0</v>
      </c>
      <c r="BW66">
        <f t="shared" si="88"/>
        <v>0</v>
      </c>
      <c r="BX66">
        <f t="shared" si="88"/>
        <v>0</v>
      </c>
      <c r="BY66">
        <f t="shared" si="88"/>
        <v>0</v>
      </c>
      <c r="BZ66">
        <f t="shared" si="88"/>
        <v>0</v>
      </c>
      <c r="CA66">
        <f t="shared" si="88"/>
        <v>0</v>
      </c>
      <c r="CB66">
        <f t="shared" si="88"/>
        <v>0</v>
      </c>
      <c r="CC66">
        <f t="shared" si="88"/>
        <v>0</v>
      </c>
      <c r="CD66">
        <f t="shared" si="88"/>
        <v>0</v>
      </c>
      <c r="CE66">
        <f t="shared" si="88"/>
        <v>0</v>
      </c>
      <c r="CF66">
        <f t="shared" si="88"/>
        <v>0</v>
      </c>
      <c r="CG66">
        <f t="shared" si="88"/>
        <v>0</v>
      </c>
      <c r="CH66">
        <f t="shared" si="88"/>
        <v>0</v>
      </c>
      <c r="CI66">
        <f t="shared" si="88"/>
        <v>0</v>
      </c>
      <c r="CJ66">
        <f t="shared" ref="CJ66:DH66" si="89">IF($A66,CJ55,NA())</f>
        <v>0</v>
      </c>
      <c r="CK66">
        <f t="shared" si="89"/>
        <v>0</v>
      </c>
      <c r="CL66">
        <f t="shared" si="89"/>
        <v>0</v>
      </c>
      <c r="CM66">
        <f t="shared" si="89"/>
        <v>0</v>
      </c>
      <c r="CN66">
        <f t="shared" si="89"/>
        <v>0</v>
      </c>
      <c r="CO66">
        <f t="shared" si="89"/>
        <v>0</v>
      </c>
      <c r="CP66">
        <f t="shared" si="89"/>
        <v>0</v>
      </c>
      <c r="CQ66">
        <f t="shared" si="89"/>
        <v>0</v>
      </c>
      <c r="CR66">
        <f t="shared" si="89"/>
        <v>0</v>
      </c>
      <c r="CS66">
        <f t="shared" si="89"/>
        <v>0</v>
      </c>
      <c r="CT66">
        <f t="shared" si="89"/>
        <v>0</v>
      </c>
      <c r="CU66">
        <f t="shared" si="89"/>
        <v>0</v>
      </c>
      <c r="CV66">
        <f t="shared" si="89"/>
        <v>0</v>
      </c>
      <c r="CW66">
        <f t="shared" si="89"/>
        <v>0</v>
      </c>
      <c r="CX66">
        <f t="shared" si="89"/>
        <v>0</v>
      </c>
      <c r="CY66">
        <f t="shared" si="89"/>
        <v>0</v>
      </c>
      <c r="CZ66">
        <f t="shared" si="89"/>
        <v>0</v>
      </c>
      <c r="DA66">
        <f t="shared" si="89"/>
        <v>0</v>
      </c>
      <c r="DB66">
        <f t="shared" si="89"/>
        <v>0</v>
      </c>
      <c r="DC66">
        <f t="shared" si="89"/>
        <v>0</v>
      </c>
      <c r="DD66">
        <f t="shared" si="89"/>
        <v>0</v>
      </c>
      <c r="DE66">
        <f t="shared" si="89"/>
        <v>0</v>
      </c>
      <c r="DF66">
        <f t="shared" si="89"/>
        <v>0</v>
      </c>
      <c r="DG66">
        <f t="shared" si="89"/>
        <v>0</v>
      </c>
      <c r="DH66" s="686">
        <f t="shared" si="89"/>
        <v>0</v>
      </c>
    </row>
    <row r="67" spans="1:113" x14ac:dyDescent="0.35">
      <c r="A67" s="685" t="b">
        <v>1</v>
      </c>
      <c r="B67" t="str">
        <f>B56</f>
        <v>Reinvesteringer</v>
      </c>
      <c r="C67">
        <f t="shared" si="86"/>
        <v>0</v>
      </c>
      <c r="D67">
        <f t="shared" si="86"/>
        <v>0</v>
      </c>
      <c r="E67">
        <f t="shared" si="86"/>
        <v>0</v>
      </c>
      <c r="F67">
        <f t="shared" si="86"/>
        <v>0</v>
      </c>
      <c r="G67">
        <f t="shared" si="86"/>
        <v>0</v>
      </c>
      <c r="H67">
        <f t="shared" si="86"/>
        <v>0</v>
      </c>
      <c r="I67">
        <f t="shared" si="86"/>
        <v>0</v>
      </c>
      <c r="J67">
        <f t="shared" si="86"/>
        <v>0</v>
      </c>
      <c r="K67">
        <f t="shared" si="86"/>
        <v>0</v>
      </c>
      <c r="L67">
        <f t="shared" si="86"/>
        <v>0</v>
      </c>
      <c r="M67">
        <f t="shared" si="86"/>
        <v>0</v>
      </c>
      <c r="N67">
        <f t="shared" si="86"/>
        <v>0</v>
      </c>
      <c r="O67">
        <f t="shared" si="86"/>
        <v>0</v>
      </c>
      <c r="P67">
        <f t="shared" si="86"/>
        <v>0</v>
      </c>
      <c r="Q67">
        <f t="shared" si="86"/>
        <v>0</v>
      </c>
      <c r="R67">
        <f t="shared" si="86"/>
        <v>0</v>
      </c>
      <c r="S67">
        <f t="shared" si="87"/>
        <v>0</v>
      </c>
      <c r="T67">
        <f t="shared" si="87"/>
        <v>0</v>
      </c>
      <c r="U67">
        <f t="shared" si="87"/>
        <v>0</v>
      </c>
      <c r="V67">
        <f t="shared" si="87"/>
        <v>0</v>
      </c>
      <c r="W67">
        <f t="shared" si="87"/>
        <v>0</v>
      </c>
      <c r="X67">
        <f t="shared" si="87"/>
        <v>0</v>
      </c>
      <c r="Y67">
        <f t="shared" si="87"/>
        <v>0</v>
      </c>
      <c r="Z67">
        <f t="shared" si="87"/>
        <v>0</v>
      </c>
      <c r="AA67">
        <f t="shared" si="87"/>
        <v>0</v>
      </c>
      <c r="AB67">
        <f t="shared" si="87"/>
        <v>0</v>
      </c>
      <c r="AC67">
        <f t="shared" si="87"/>
        <v>0</v>
      </c>
      <c r="AD67">
        <f t="shared" si="87"/>
        <v>0</v>
      </c>
      <c r="AE67">
        <f t="shared" si="87"/>
        <v>0</v>
      </c>
      <c r="AF67">
        <f t="shared" si="87"/>
        <v>0</v>
      </c>
      <c r="AG67">
        <f t="shared" si="87"/>
        <v>0</v>
      </c>
      <c r="AH67">
        <f t="shared" si="87"/>
        <v>0</v>
      </c>
      <c r="AI67">
        <f t="shared" si="87"/>
        <v>0</v>
      </c>
      <c r="AJ67">
        <f t="shared" si="87"/>
        <v>0</v>
      </c>
      <c r="AK67">
        <f t="shared" si="87"/>
        <v>0</v>
      </c>
      <c r="AL67">
        <f t="shared" si="87"/>
        <v>0</v>
      </c>
      <c r="AM67">
        <f t="shared" si="87"/>
        <v>0</v>
      </c>
      <c r="AN67">
        <f t="shared" si="87"/>
        <v>0</v>
      </c>
      <c r="AO67">
        <f t="shared" si="87"/>
        <v>0</v>
      </c>
      <c r="AP67">
        <f t="shared" si="87"/>
        <v>0</v>
      </c>
      <c r="AQ67">
        <f t="shared" si="87"/>
        <v>0</v>
      </c>
      <c r="AR67">
        <f t="shared" si="87"/>
        <v>0</v>
      </c>
      <c r="AS67">
        <f t="shared" si="87"/>
        <v>0</v>
      </c>
      <c r="AT67">
        <f t="shared" si="87"/>
        <v>0</v>
      </c>
      <c r="AU67">
        <f t="shared" si="87"/>
        <v>0</v>
      </c>
      <c r="AV67">
        <f t="shared" si="87"/>
        <v>0</v>
      </c>
      <c r="AW67">
        <f t="shared" si="87"/>
        <v>0</v>
      </c>
      <c r="AX67">
        <f t="shared" si="87"/>
        <v>0</v>
      </c>
      <c r="AY67">
        <f t="shared" si="87"/>
        <v>0</v>
      </c>
      <c r="AZ67">
        <f t="shared" si="87"/>
        <v>0</v>
      </c>
      <c r="BA67">
        <f t="shared" si="87"/>
        <v>0</v>
      </c>
      <c r="BB67">
        <f t="shared" si="87"/>
        <v>0</v>
      </c>
      <c r="BC67">
        <f t="shared" si="87"/>
        <v>0</v>
      </c>
      <c r="BD67">
        <f t="shared" si="87"/>
        <v>0</v>
      </c>
      <c r="BE67">
        <f t="shared" si="87"/>
        <v>0</v>
      </c>
      <c r="BF67">
        <f t="shared" si="87"/>
        <v>0</v>
      </c>
      <c r="BG67">
        <f t="shared" si="87"/>
        <v>0</v>
      </c>
      <c r="BH67">
        <f t="shared" si="87"/>
        <v>0</v>
      </c>
      <c r="BI67">
        <f t="shared" si="87"/>
        <v>0</v>
      </c>
      <c r="BJ67">
        <f t="shared" si="87"/>
        <v>0</v>
      </c>
      <c r="BK67">
        <f t="shared" si="87"/>
        <v>0</v>
      </c>
      <c r="BL67">
        <f t="shared" si="87"/>
        <v>0</v>
      </c>
      <c r="BM67">
        <f t="shared" si="87"/>
        <v>0</v>
      </c>
      <c r="BN67">
        <f t="shared" si="87"/>
        <v>0</v>
      </c>
      <c r="BO67">
        <f t="shared" si="87"/>
        <v>0</v>
      </c>
      <c r="BP67">
        <f t="shared" si="88"/>
        <v>0</v>
      </c>
      <c r="BQ67">
        <f t="shared" si="88"/>
        <v>0</v>
      </c>
      <c r="BR67">
        <f t="shared" si="88"/>
        <v>0</v>
      </c>
      <c r="BS67">
        <f t="shared" si="88"/>
        <v>0</v>
      </c>
      <c r="BT67">
        <f t="shared" si="88"/>
        <v>0</v>
      </c>
      <c r="BU67">
        <f t="shared" si="88"/>
        <v>0</v>
      </c>
      <c r="BV67">
        <f t="shared" si="88"/>
        <v>0</v>
      </c>
      <c r="BW67">
        <f t="shared" si="88"/>
        <v>0</v>
      </c>
      <c r="BX67">
        <f t="shared" si="88"/>
        <v>0</v>
      </c>
      <c r="BY67">
        <f t="shared" si="88"/>
        <v>0</v>
      </c>
      <c r="BZ67">
        <f t="shared" si="88"/>
        <v>0</v>
      </c>
      <c r="CA67">
        <f t="shared" si="88"/>
        <v>0</v>
      </c>
      <c r="CB67">
        <f t="shared" si="88"/>
        <v>0</v>
      </c>
      <c r="CC67">
        <f t="shared" si="88"/>
        <v>0</v>
      </c>
      <c r="CD67">
        <f t="shared" si="88"/>
        <v>0</v>
      </c>
      <c r="CE67">
        <f t="shared" si="88"/>
        <v>0</v>
      </c>
      <c r="CF67">
        <f t="shared" si="88"/>
        <v>0</v>
      </c>
      <c r="CG67">
        <f t="shared" si="88"/>
        <v>0</v>
      </c>
      <c r="CH67">
        <f t="shared" si="88"/>
        <v>0</v>
      </c>
      <c r="CI67">
        <f t="shared" si="88"/>
        <v>0</v>
      </c>
      <c r="CJ67">
        <f t="shared" ref="CJ67:DH67" si="90">IF($A67,CJ56,NA())</f>
        <v>0</v>
      </c>
      <c r="CK67">
        <f t="shared" si="90"/>
        <v>0</v>
      </c>
      <c r="CL67">
        <f t="shared" si="90"/>
        <v>0</v>
      </c>
      <c r="CM67">
        <f t="shared" si="90"/>
        <v>0</v>
      </c>
      <c r="CN67">
        <f t="shared" si="90"/>
        <v>0</v>
      </c>
      <c r="CO67">
        <f t="shared" si="90"/>
        <v>0</v>
      </c>
      <c r="CP67">
        <f t="shared" si="90"/>
        <v>0</v>
      </c>
      <c r="CQ67">
        <f t="shared" si="90"/>
        <v>0</v>
      </c>
      <c r="CR67">
        <f t="shared" si="90"/>
        <v>0</v>
      </c>
      <c r="CS67">
        <f t="shared" si="90"/>
        <v>0</v>
      </c>
      <c r="CT67">
        <f t="shared" si="90"/>
        <v>0</v>
      </c>
      <c r="CU67">
        <f t="shared" si="90"/>
        <v>0</v>
      </c>
      <c r="CV67">
        <f t="shared" si="90"/>
        <v>0</v>
      </c>
      <c r="CW67">
        <f t="shared" si="90"/>
        <v>0</v>
      </c>
      <c r="CX67">
        <f t="shared" si="90"/>
        <v>0</v>
      </c>
      <c r="CY67">
        <f t="shared" si="90"/>
        <v>0</v>
      </c>
      <c r="CZ67">
        <f t="shared" si="90"/>
        <v>0</v>
      </c>
      <c r="DA67">
        <f t="shared" si="90"/>
        <v>0</v>
      </c>
      <c r="DB67">
        <f t="shared" si="90"/>
        <v>0</v>
      </c>
      <c r="DC67">
        <f t="shared" si="90"/>
        <v>0</v>
      </c>
      <c r="DD67">
        <f t="shared" si="90"/>
        <v>0</v>
      </c>
      <c r="DE67">
        <f t="shared" si="90"/>
        <v>0</v>
      </c>
      <c r="DF67">
        <f t="shared" si="90"/>
        <v>0</v>
      </c>
      <c r="DG67">
        <f t="shared" si="90"/>
        <v>0</v>
      </c>
      <c r="DH67" s="686">
        <f t="shared" si="90"/>
        <v>0</v>
      </c>
    </row>
    <row r="68" spans="1:113" ht="15" thickBot="1" x14ac:dyDescent="0.4">
      <c r="A68" s="687" t="b">
        <v>1</v>
      </c>
      <c r="B68" s="688" t="str">
        <f>B57</f>
        <v>Budsjettvirkninger ekskl. investering og reinvestering</v>
      </c>
      <c r="C68" s="688">
        <f>IF($A68,C57,NA())</f>
        <v>0</v>
      </c>
      <c r="D68" s="688">
        <f t="shared" ref="D68:BO68" si="91">IF($A68,D57,NA())</f>
        <v>0</v>
      </c>
      <c r="E68" s="688">
        <f t="shared" si="91"/>
        <v>0</v>
      </c>
      <c r="F68" s="688">
        <f t="shared" si="91"/>
        <v>0</v>
      </c>
      <c r="G68" s="688">
        <f t="shared" si="91"/>
        <v>0</v>
      </c>
      <c r="H68" s="688">
        <f t="shared" si="91"/>
        <v>0</v>
      </c>
      <c r="I68" s="688">
        <f t="shared" si="91"/>
        <v>0</v>
      </c>
      <c r="J68" s="688">
        <f t="shared" si="91"/>
        <v>0</v>
      </c>
      <c r="K68" s="688">
        <f t="shared" si="91"/>
        <v>0</v>
      </c>
      <c r="L68" s="688">
        <f t="shared" si="91"/>
        <v>0</v>
      </c>
      <c r="M68" s="688">
        <f t="shared" ca="1" si="91"/>
        <v>0</v>
      </c>
      <c r="N68" s="688">
        <f t="shared" ca="1" si="91"/>
        <v>0</v>
      </c>
      <c r="O68" s="688">
        <f t="shared" ca="1" si="91"/>
        <v>0</v>
      </c>
      <c r="P68" s="688">
        <f t="shared" ca="1" si="91"/>
        <v>0</v>
      </c>
      <c r="Q68" s="688">
        <f t="shared" ca="1" si="91"/>
        <v>0</v>
      </c>
      <c r="R68" s="688">
        <f t="shared" ca="1" si="91"/>
        <v>0</v>
      </c>
      <c r="S68" s="688">
        <f t="shared" ca="1" si="91"/>
        <v>0</v>
      </c>
      <c r="T68" s="688">
        <f t="shared" ca="1" si="91"/>
        <v>0</v>
      </c>
      <c r="U68" s="688">
        <f t="shared" ca="1" si="91"/>
        <v>0</v>
      </c>
      <c r="V68" s="688">
        <f t="shared" ca="1" si="91"/>
        <v>0</v>
      </c>
      <c r="W68" s="688">
        <f t="shared" ca="1" si="91"/>
        <v>0</v>
      </c>
      <c r="X68" s="688">
        <f t="shared" ca="1" si="91"/>
        <v>0</v>
      </c>
      <c r="Y68" s="688">
        <f t="shared" ca="1" si="91"/>
        <v>0</v>
      </c>
      <c r="Z68" s="688">
        <f t="shared" ca="1" si="91"/>
        <v>0</v>
      </c>
      <c r="AA68" s="688">
        <f t="shared" ca="1" si="91"/>
        <v>0</v>
      </c>
      <c r="AB68" s="688">
        <f t="shared" ca="1" si="91"/>
        <v>0</v>
      </c>
      <c r="AC68" s="688">
        <f t="shared" ca="1" si="91"/>
        <v>0</v>
      </c>
      <c r="AD68" s="688">
        <f t="shared" ca="1" si="91"/>
        <v>0</v>
      </c>
      <c r="AE68" s="688">
        <f t="shared" ca="1" si="91"/>
        <v>0</v>
      </c>
      <c r="AF68" s="688">
        <f t="shared" ca="1" si="91"/>
        <v>0</v>
      </c>
      <c r="AG68" s="688">
        <f t="shared" ca="1" si="91"/>
        <v>0</v>
      </c>
      <c r="AH68" s="688">
        <f t="shared" ca="1" si="91"/>
        <v>0</v>
      </c>
      <c r="AI68" s="688">
        <f t="shared" ca="1" si="91"/>
        <v>0</v>
      </c>
      <c r="AJ68" s="688">
        <f t="shared" ca="1" si="91"/>
        <v>0</v>
      </c>
      <c r="AK68" s="688">
        <f t="shared" ca="1" si="91"/>
        <v>0</v>
      </c>
      <c r="AL68" s="688">
        <f t="shared" ca="1" si="91"/>
        <v>0</v>
      </c>
      <c r="AM68" s="688">
        <f t="shared" ca="1" si="91"/>
        <v>0</v>
      </c>
      <c r="AN68" s="688">
        <f t="shared" ca="1" si="91"/>
        <v>0</v>
      </c>
      <c r="AO68" s="688">
        <f t="shared" ca="1" si="91"/>
        <v>0</v>
      </c>
      <c r="AP68" s="688">
        <f t="shared" ca="1" si="91"/>
        <v>0</v>
      </c>
      <c r="AQ68" s="688">
        <f t="shared" ca="1" si="91"/>
        <v>0</v>
      </c>
      <c r="AR68" s="688">
        <f t="shared" ca="1" si="91"/>
        <v>0</v>
      </c>
      <c r="AS68" s="688">
        <f t="shared" ca="1" si="91"/>
        <v>0</v>
      </c>
      <c r="AT68" s="688">
        <f t="shared" ca="1" si="91"/>
        <v>0</v>
      </c>
      <c r="AU68" s="688">
        <f t="shared" ca="1" si="91"/>
        <v>0</v>
      </c>
      <c r="AV68" s="688">
        <f t="shared" ca="1" si="91"/>
        <v>0</v>
      </c>
      <c r="AW68" s="688">
        <f t="shared" ca="1" si="91"/>
        <v>0</v>
      </c>
      <c r="AX68" s="688">
        <f t="shared" ca="1" si="91"/>
        <v>0</v>
      </c>
      <c r="AY68" s="688">
        <f t="shared" ca="1" si="91"/>
        <v>0</v>
      </c>
      <c r="AZ68" s="688">
        <f t="shared" ca="1" si="91"/>
        <v>0</v>
      </c>
      <c r="BA68" s="688">
        <f t="shared" ca="1" si="91"/>
        <v>0</v>
      </c>
      <c r="BB68" s="688">
        <f t="shared" ca="1" si="91"/>
        <v>0</v>
      </c>
      <c r="BC68" s="688">
        <f t="shared" ca="1" si="91"/>
        <v>0</v>
      </c>
      <c r="BD68" s="688">
        <f t="shared" ca="1" si="91"/>
        <v>0</v>
      </c>
      <c r="BE68" s="688">
        <f t="shared" ca="1" si="91"/>
        <v>0</v>
      </c>
      <c r="BF68" s="688">
        <f t="shared" ca="1" si="91"/>
        <v>0</v>
      </c>
      <c r="BG68" s="688">
        <f t="shared" ca="1" si="91"/>
        <v>0</v>
      </c>
      <c r="BH68" s="688">
        <f t="shared" ca="1" si="91"/>
        <v>0</v>
      </c>
      <c r="BI68" s="688">
        <f t="shared" ca="1" si="91"/>
        <v>0</v>
      </c>
      <c r="BJ68" s="688">
        <f t="shared" ca="1" si="91"/>
        <v>0</v>
      </c>
      <c r="BK68" s="688">
        <f t="shared" ca="1" si="91"/>
        <v>0</v>
      </c>
      <c r="BL68" s="688">
        <f t="shared" ca="1" si="91"/>
        <v>0</v>
      </c>
      <c r="BM68" s="688">
        <f t="shared" ca="1" si="91"/>
        <v>0</v>
      </c>
      <c r="BN68" s="688">
        <f t="shared" ca="1" si="91"/>
        <v>0</v>
      </c>
      <c r="BO68" s="688">
        <f t="shared" ca="1" si="91"/>
        <v>0</v>
      </c>
      <c r="BP68" s="688">
        <f t="shared" ref="BP68:CI68" ca="1" si="92">IF($A68,BP57,NA())</f>
        <v>0</v>
      </c>
      <c r="BQ68" s="688">
        <f t="shared" ca="1" si="92"/>
        <v>0</v>
      </c>
      <c r="BR68" s="688">
        <f t="shared" ca="1" si="92"/>
        <v>0</v>
      </c>
      <c r="BS68" s="688">
        <f t="shared" ca="1" si="92"/>
        <v>0</v>
      </c>
      <c r="BT68" s="688">
        <f t="shared" ca="1" si="92"/>
        <v>0</v>
      </c>
      <c r="BU68" s="688">
        <f t="shared" ca="1" si="92"/>
        <v>0</v>
      </c>
      <c r="BV68" s="688">
        <f t="shared" ca="1" si="92"/>
        <v>0</v>
      </c>
      <c r="BW68" s="688">
        <f t="shared" ca="1" si="92"/>
        <v>0</v>
      </c>
      <c r="BX68" s="688">
        <f t="shared" ca="1" si="92"/>
        <v>0</v>
      </c>
      <c r="BY68" s="688">
        <f t="shared" ca="1" si="92"/>
        <v>0</v>
      </c>
      <c r="BZ68" s="688">
        <f t="shared" ca="1" si="92"/>
        <v>0</v>
      </c>
      <c r="CA68" s="688">
        <f t="shared" ca="1" si="92"/>
        <v>0</v>
      </c>
      <c r="CB68" s="688">
        <f t="shared" ca="1" si="92"/>
        <v>0</v>
      </c>
      <c r="CC68" s="688">
        <f t="shared" ca="1" si="92"/>
        <v>0</v>
      </c>
      <c r="CD68" s="688">
        <f t="shared" ca="1" si="92"/>
        <v>0</v>
      </c>
      <c r="CE68" s="688">
        <f t="shared" ca="1" si="92"/>
        <v>0</v>
      </c>
      <c r="CF68" s="688">
        <f t="shared" ca="1" si="92"/>
        <v>0</v>
      </c>
      <c r="CG68" s="688">
        <f t="shared" ca="1" si="92"/>
        <v>0</v>
      </c>
      <c r="CH68" s="688">
        <f t="shared" ca="1" si="92"/>
        <v>0</v>
      </c>
      <c r="CI68" s="688">
        <f t="shared" ca="1" si="92"/>
        <v>0</v>
      </c>
      <c r="CJ68" s="688">
        <f t="shared" ref="CJ68:DH68" ca="1" si="93">IF($A68,CJ57,NA())</f>
        <v>0</v>
      </c>
      <c r="CK68" s="688">
        <f t="shared" ca="1" si="93"/>
        <v>0</v>
      </c>
      <c r="CL68" s="688">
        <f t="shared" ca="1" si="93"/>
        <v>0</v>
      </c>
      <c r="CM68" s="688">
        <f t="shared" ca="1" si="93"/>
        <v>0</v>
      </c>
      <c r="CN68" s="688">
        <f t="shared" ca="1" si="93"/>
        <v>0</v>
      </c>
      <c r="CO68" s="688">
        <f t="shared" ca="1" si="93"/>
        <v>0</v>
      </c>
      <c r="CP68" s="688">
        <f t="shared" ca="1" si="93"/>
        <v>0</v>
      </c>
      <c r="CQ68" s="688">
        <f t="shared" ca="1" si="93"/>
        <v>0</v>
      </c>
      <c r="CR68" s="688">
        <f t="shared" ca="1" si="93"/>
        <v>0</v>
      </c>
      <c r="CS68" s="688">
        <f t="shared" ca="1" si="93"/>
        <v>0</v>
      </c>
      <c r="CT68" s="688">
        <f t="shared" ca="1" si="93"/>
        <v>0</v>
      </c>
      <c r="CU68" s="688">
        <f t="shared" ca="1" si="93"/>
        <v>0</v>
      </c>
      <c r="CV68" s="688">
        <f t="shared" ca="1" si="93"/>
        <v>0</v>
      </c>
      <c r="CW68" s="688">
        <f t="shared" ca="1" si="93"/>
        <v>0</v>
      </c>
      <c r="CX68" s="688">
        <f t="shared" ca="1" si="93"/>
        <v>0</v>
      </c>
      <c r="CY68" s="688">
        <f t="shared" ca="1" si="93"/>
        <v>0</v>
      </c>
      <c r="CZ68" s="688">
        <f t="shared" ca="1" si="93"/>
        <v>0</v>
      </c>
      <c r="DA68" s="688">
        <f t="shared" ca="1" si="93"/>
        <v>0</v>
      </c>
      <c r="DB68" s="688">
        <f t="shared" ca="1" si="93"/>
        <v>0</v>
      </c>
      <c r="DC68" s="688">
        <f t="shared" ca="1" si="93"/>
        <v>0</v>
      </c>
      <c r="DD68" s="688">
        <f t="shared" ca="1" si="93"/>
        <v>0</v>
      </c>
      <c r="DE68" s="688">
        <f t="shared" ca="1" si="93"/>
        <v>0</v>
      </c>
      <c r="DF68" s="688">
        <f t="shared" ca="1" si="93"/>
        <v>0</v>
      </c>
      <c r="DG68" s="688">
        <f t="shared" ca="1" si="93"/>
        <v>0</v>
      </c>
      <c r="DH68" s="689">
        <f t="shared" ca="1" si="93"/>
        <v>0</v>
      </c>
    </row>
    <row r="70" spans="1:113" x14ac:dyDescent="0.35">
      <c r="B70" t="s">
        <v>2191</v>
      </c>
    </row>
    <row r="75" spans="1:113" ht="15" thickBot="1" x14ac:dyDescent="0.4"/>
    <row r="76" spans="1:113" x14ac:dyDescent="0.35">
      <c r="A76" s="684"/>
      <c r="B76" s="690" t="s">
        <v>2192</v>
      </c>
      <c r="C76" s="675"/>
      <c r="D76" s="675"/>
      <c r="E76" s="675"/>
      <c r="F76" s="675"/>
      <c r="G76" s="675"/>
      <c r="H76" s="675"/>
      <c r="I76" s="675"/>
      <c r="J76" s="675"/>
      <c r="K76" s="675"/>
      <c r="L76" s="675"/>
      <c r="M76" s="675"/>
      <c r="N76" s="675"/>
      <c r="O76" s="675"/>
      <c r="P76" s="675"/>
      <c r="Q76" s="675"/>
      <c r="R76" s="675"/>
      <c r="S76" s="675"/>
      <c r="T76" s="675"/>
      <c r="U76" s="675"/>
      <c r="V76" s="675"/>
      <c r="W76" s="675"/>
      <c r="X76" s="675"/>
      <c r="Y76" s="675"/>
      <c r="Z76" s="675"/>
      <c r="AA76" s="675"/>
      <c r="AB76" s="675"/>
      <c r="AC76" s="675"/>
      <c r="AD76" s="675"/>
      <c r="AE76" s="675"/>
      <c r="AF76" s="675"/>
      <c r="AG76" s="675"/>
      <c r="AH76" s="675"/>
      <c r="AI76" s="675"/>
      <c r="AJ76" s="675"/>
      <c r="AK76" s="675"/>
      <c r="AL76" s="675"/>
      <c r="AM76" s="675"/>
      <c r="AN76" s="675"/>
      <c r="AO76" s="675"/>
      <c r="AP76" s="675"/>
      <c r="AQ76" s="675"/>
      <c r="AR76" s="675"/>
      <c r="AS76" s="675"/>
      <c r="AT76" s="675"/>
      <c r="AU76" s="675"/>
      <c r="AV76" s="675"/>
      <c r="AW76" s="675"/>
      <c r="AX76" s="675"/>
      <c r="AY76" s="675"/>
      <c r="AZ76" s="675"/>
      <c r="BA76" s="675"/>
      <c r="BB76" s="675"/>
      <c r="BC76" s="675"/>
      <c r="BD76" s="675"/>
      <c r="BE76" s="675"/>
      <c r="BF76" s="675"/>
      <c r="BG76" s="675"/>
      <c r="BH76" s="675"/>
      <c r="BI76" s="675"/>
      <c r="BJ76" s="675"/>
      <c r="BK76" s="675"/>
      <c r="BL76" s="675"/>
      <c r="BM76" s="675"/>
      <c r="BN76" s="675"/>
      <c r="BO76" s="675"/>
      <c r="BP76" s="675"/>
      <c r="BQ76" s="675"/>
      <c r="BR76" s="675"/>
      <c r="BS76" s="675"/>
      <c r="BT76" s="675"/>
      <c r="BU76" s="675"/>
      <c r="BV76" s="675"/>
      <c r="BW76" s="675"/>
      <c r="BX76" s="675"/>
      <c r="BY76" s="675"/>
      <c r="BZ76" s="675"/>
      <c r="CA76" s="675"/>
      <c r="CB76" s="675"/>
      <c r="CC76" s="675"/>
      <c r="CD76" s="675"/>
      <c r="CE76" s="675"/>
      <c r="CF76" s="675"/>
      <c r="CG76" s="675"/>
      <c r="CH76" s="675"/>
      <c r="CI76" s="675"/>
      <c r="CJ76" s="675"/>
      <c r="CK76" s="675"/>
      <c r="CL76" s="675"/>
      <c r="CM76" s="675"/>
      <c r="CN76" s="675"/>
      <c r="CO76" s="675"/>
      <c r="CP76" s="675"/>
      <c r="CQ76" s="675"/>
      <c r="CR76" s="675"/>
      <c r="CS76" s="675"/>
      <c r="CT76" s="675"/>
      <c r="CU76" s="675"/>
      <c r="CV76" s="675"/>
      <c r="CW76" s="675"/>
      <c r="CX76" s="675"/>
      <c r="CY76" s="675"/>
      <c r="CZ76" s="675"/>
      <c r="DA76" s="675"/>
      <c r="DB76" s="675"/>
      <c r="DC76" s="675"/>
      <c r="DD76" s="675"/>
      <c r="DE76" s="675"/>
      <c r="DF76" s="675"/>
      <c r="DG76" s="675"/>
      <c r="DH76" s="675"/>
      <c r="DI76" s="676"/>
    </row>
    <row r="77" spans="1:113" x14ac:dyDescent="0.35">
      <c r="A77" s="685"/>
      <c r="B77" s="446" t="s">
        <v>927</v>
      </c>
      <c r="C77" s="446"/>
      <c r="D77" s="446">
        <f>'3.1 Nyttestrøm'!M10</f>
        <v>-10</v>
      </c>
      <c r="E77" s="446">
        <f>'3.1 Nyttestrøm'!N10</f>
        <v>-9</v>
      </c>
      <c r="F77" s="446">
        <f>'3.1 Nyttestrøm'!O10</f>
        <v>-8</v>
      </c>
      <c r="G77" s="446">
        <f>'3.1 Nyttestrøm'!P10</f>
        <v>-7</v>
      </c>
      <c r="H77" s="446">
        <f>'3.1 Nyttestrøm'!Q10</f>
        <v>-6</v>
      </c>
      <c r="I77" s="446">
        <f>'3.1 Nyttestrøm'!R10</f>
        <v>-5</v>
      </c>
      <c r="J77" s="446">
        <f>'3.1 Nyttestrøm'!S10</f>
        <v>-4</v>
      </c>
      <c r="K77" s="446">
        <f>'3.1 Nyttestrøm'!T10</f>
        <v>-3</v>
      </c>
      <c r="L77" s="446">
        <f>'3.1 Nyttestrøm'!U10</f>
        <v>-2</v>
      </c>
      <c r="M77" s="446">
        <f>'3.1 Nyttestrøm'!V10</f>
        <v>-1</v>
      </c>
      <c r="N77" s="446">
        <f>'3.1 Nyttestrøm'!W10</f>
        <v>0</v>
      </c>
      <c r="O77" s="446">
        <f>'3.1 Nyttestrøm'!X10</f>
        <v>1</v>
      </c>
      <c r="P77" s="446">
        <f>'3.1 Nyttestrøm'!Y10</f>
        <v>2</v>
      </c>
      <c r="Q77" s="446">
        <f>'3.1 Nyttestrøm'!Z10</f>
        <v>3</v>
      </c>
      <c r="R77" s="446">
        <f>'3.1 Nyttestrøm'!AA10</f>
        <v>4</v>
      </c>
      <c r="S77" s="446">
        <f>'3.1 Nyttestrøm'!AB10</f>
        <v>5</v>
      </c>
      <c r="T77" s="446">
        <f>'3.1 Nyttestrøm'!AC10</f>
        <v>6</v>
      </c>
      <c r="U77" s="446">
        <f>'3.1 Nyttestrøm'!AD10</f>
        <v>7</v>
      </c>
      <c r="V77" s="446">
        <f>'3.1 Nyttestrøm'!AE10</f>
        <v>8</v>
      </c>
      <c r="W77" s="446">
        <f>'3.1 Nyttestrøm'!AF10</f>
        <v>9</v>
      </c>
      <c r="X77" s="446">
        <f>'3.1 Nyttestrøm'!AG10</f>
        <v>10</v>
      </c>
      <c r="Y77" s="446">
        <f>'3.1 Nyttestrøm'!AH10</f>
        <v>11</v>
      </c>
      <c r="Z77" s="446">
        <f>'3.1 Nyttestrøm'!AI10</f>
        <v>12</v>
      </c>
      <c r="AA77" s="446">
        <f>'3.1 Nyttestrøm'!AJ10</f>
        <v>13</v>
      </c>
      <c r="AB77" s="446">
        <f>'3.1 Nyttestrøm'!AK10</f>
        <v>14</v>
      </c>
      <c r="AC77" s="446">
        <f>'3.1 Nyttestrøm'!AL10</f>
        <v>15</v>
      </c>
      <c r="AD77" s="446">
        <f>'3.1 Nyttestrøm'!AM10</f>
        <v>16</v>
      </c>
      <c r="AE77" s="446">
        <f>'3.1 Nyttestrøm'!AN10</f>
        <v>17</v>
      </c>
      <c r="AF77" s="446">
        <f>'3.1 Nyttestrøm'!AO10</f>
        <v>18</v>
      </c>
      <c r="AG77" s="446">
        <f>'3.1 Nyttestrøm'!AP10</f>
        <v>19</v>
      </c>
      <c r="AH77" s="446">
        <f>'3.1 Nyttestrøm'!AQ10</f>
        <v>20</v>
      </c>
      <c r="AI77" s="446">
        <f>'3.1 Nyttestrøm'!AR10</f>
        <v>21</v>
      </c>
      <c r="AJ77" s="446">
        <f>'3.1 Nyttestrøm'!AS10</f>
        <v>22</v>
      </c>
      <c r="AK77" s="446">
        <f>'3.1 Nyttestrøm'!AT10</f>
        <v>23</v>
      </c>
      <c r="AL77" s="446">
        <f>'3.1 Nyttestrøm'!AU10</f>
        <v>24</v>
      </c>
      <c r="AM77" s="446">
        <f>'3.1 Nyttestrøm'!AV10</f>
        <v>25</v>
      </c>
      <c r="AN77" s="446">
        <f>'3.1 Nyttestrøm'!AW10</f>
        <v>26</v>
      </c>
      <c r="AO77" s="446">
        <f>'3.1 Nyttestrøm'!AX10</f>
        <v>27</v>
      </c>
      <c r="AP77" s="446">
        <f>'3.1 Nyttestrøm'!AY10</f>
        <v>28</v>
      </c>
      <c r="AQ77" s="446">
        <f>'3.1 Nyttestrøm'!AZ10</f>
        <v>29</v>
      </c>
      <c r="AR77" s="446">
        <f>'3.1 Nyttestrøm'!BA10</f>
        <v>30</v>
      </c>
      <c r="AS77" s="446">
        <f>'3.1 Nyttestrøm'!BB10</f>
        <v>31</v>
      </c>
      <c r="AT77" s="446">
        <f>'3.1 Nyttestrøm'!BC10</f>
        <v>32</v>
      </c>
      <c r="AU77" s="446">
        <f>'3.1 Nyttestrøm'!BD10</f>
        <v>33</v>
      </c>
      <c r="AV77" s="446">
        <f>'3.1 Nyttestrøm'!BE10</f>
        <v>34</v>
      </c>
      <c r="AW77" s="446">
        <f>'3.1 Nyttestrøm'!BF10</f>
        <v>35</v>
      </c>
      <c r="AX77" s="446">
        <f>'3.1 Nyttestrøm'!BG10</f>
        <v>36</v>
      </c>
      <c r="AY77" s="446">
        <f>'3.1 Nyttestrøm'!BH10</f>
        <v>37</v>
      </c>
      <c r="AZ77" s="446">
        <f>'3.1 Nyttestrøm'!BI10</f>
        <v>38</v>
      </c>
      <c r="BA77" s="446">
        <f>'3.1 Nyttestrøm'!BJ10</f>
        <v>39</v>
      </c>
      <c r="BB77" s="446">
        <f>'3.1 Nyttestrøm'!BK10</f>
        <v>40</v>
      </c>
      <c r="BC77" s="446">
        <f>'3.1 Nyttestrøm'!BL10</f>
        <v>41</v>
      </c>
      <c r="BD77" s="446">
        <f>'3.1 Nyttestrøm'!BM10</f>
        <v>42</v>
      </c>
      <c r="BE77" s="446">
        <f>'3.1 Nyttestrøm'!BN10</f>
        <v>43</v>
      </c>
      <c r="BF77" s="446">
        <f>'3.1 Nyttestrøm'!BO10</f>
        <v>44</v>
      </c>
      <c r="BG77" s="446">
        <f>'3.1 Nyttestrøm'!BP10</f>
        <v>45</v>
      </c>
      <c r="BH77" s="446">
        <f>'3.1 Nyttestrøm'!BQ10</f>
        <v>46</v>
      </c>
      <c r="BI77" s="446">
        <f>'3.1 Nyttestrøm'!BR10</f>
        <v>47</v>
      </c>
      <c r="BJ77" s="446">
        <f>'3.1 Nyttestrøm'!BS10</f>
        <v>48</v>
      </c>
      <c r="BK77" s="446">
        <f>'3.1 Nyttestrøm'!BT10</f>
        <v>49</v>
      </c>
      <c r="BL77" s="446">
        <f>'3.1 Nyttestrøm'!BU10</f>
        <v>50</v>
      </c>
      <c r="BM77" s="446">
        <f>'3.1 Nyttestrøm'!BV10</f>
        <v>51</v>
      </c>
      <c r="BN77" s="446">
        <f>'3.1 Nyttestrøm'!BW10</f>
        <v>52</v>
      </c>
      <c r="BO77" s="446">
        <f>'3.1 Nyttestrøm'!BX10</f>
        <v>53</v>
      </c>
      <c r="BP77" s="446">
        <f>'3.1 Nyttestrøm'!BY10</f>
        <v>54</v>
      </c>
      <c r="BQ77" s="446">
        <f>'3.1 Nyttestrøm'!BZ10</f>
        <v>55</v>
      </c>
      <c r="BR77" s="446">
        <f>'3.1 Nyttestrøm'!CA10</f>
        <v>56</v>
      </c>
      <c r="BS77" s="446">
        <f>'3.1 Nyttestrøm'!CB10</f>
        <v>57</v>
      </c>
      <c r="BT77" s="446">
        <f>'3.1 Nyttestrøm'!CC10</f>
        <v>58</v>
      </c>
      <c r="BU77" s="446">
        <f>'3.1 Nyttestrøm'!CD10</f>
        <v>59</v>
      </c>
      <c r="BV77" s="446">
        <f>'3.1 Nyttestrøm'!CE10</f>
        <v>60</v>
      </c>
      <c r="BW77" s="446">
        <f>'3.1 Nyttestrøm'!CF10</f>
        <v>61</v>
      </c>
      <c r="BX77" s="446">
        <f>'3.1 Nyttestrøm'!CG10</f>
        <v>62</v>
      </c>
      <c r="BY77" s="446">
        <f>'3.1 Nyttestrøm'!CH10</f>
        <v>63</v>
      </c>
      <c r="BZ77" s="446">
        <f>'3.1 Nyttestrøm'!CI10</f>
        <v>64</v>
      </c>
      <c r="CA77" s="446">
        <f>'3.1 Nyttestrøm'!CJ10</f>
        <v>65</v>
      </c>
      <c r="CB77" s="446">
        <f>'3.1 Nyttestrøm'!CK10</f>
        <v>66</v>
      </c>
      <c r="CC77" s="446">
        <f>'3.1 Nyttestrøm'!CL10</f>
        <v>67</v>
      </c>
      <c r="CD77" s="446">
        <f>'3.1 Nyttestrøm'!CM10</f>
        <v>68</v>
      </c>
      <c r="CE77" s="446">
        <f>'3.1 Nyttestrøm'!CN10</f>
        <v>69</v>
      </c>
      <c r="CF77" s="446">
        <f>'3.1 Nyttestrøm'!CO10</f>
        <v>70</v>
      </c>
      <c r="CG77" s="446">
        <f>'3.1 Nyttestrøm'!CP10</f>
        <v>71</v>
      </c>
      <c r="CH77" s="446">
        <f>'3.1 Nyttestrøm'!CQ10</f>
        <v>72</v>
      </c>
      <c r="CI77" s="446">
        <f>'3.1 Nyttestrøm'!CR10</f>
        <v>73</v>
      </c>
      <c r="CJ77" s="446">
        <f>'3.1 Nyttestrøm'!CS10</f>
        <v>74</v>
      </c>
      <c r="CK77" s="446">
        <f>'3.1 Nyttestrøm'!CT10</f>
        <v>75</v>
      </c>
      <c r="CL77" s="446">
        <f>'3.1 Nyttestrøm'!CU10</f>
        <v>76</v>
      </c>
      <c r="CM77" s="446">
        <f>'3.1 Nyttestrøm'!CV10</f>
        <v>77</v>
      </c>
      <c r="CN77" s="446">
        <f>'3.1 Nyttestrøm'!CW10</f>
        <v>78</v>
      </c>
      <c r="CO77" s="446">
        <f>'3.1 Nyttestrøm'!CX10</f>
        <v>79</v>
      </c>
      <c r="CP77" s="446">
        <f>'3.1 Nyttestrøm'!CY10</f>
        <v>80</v>
      </c>
      <c r="CQ77" s="446">
        <f>'3.1 Nyttestrøm'!CZ10</f>
        <v>81</v>
      </c>
      <c r="CR77" s="446">
        <f>'3.1 Nyttestrøm'!DA10</f>
        <v>82</v>
      </c>
      <c r="CS77" s="446">
        <f>'3.1 Nyttestrøm'!DB10</f>
        <v>83</v>
      </c>
      <c r="CT77" s="446">
        <f>'3.1 Nyttestrøm'!DC10</f>
        <v>84</v>
      </c>
      <c r="CU77" s="446">
        <f>'3.1 Nyttestrøm'!DD10</f>
        <v>85</v>
      </c>
      <c r="CV77" s="446">
        <f>'3.1 Nyttestrøm'!DE10</f>
        <v>86</v>
      </c>
      <c r="CW77" s="446">
        <f>'3.1 Nyttestrøm'!DF10</f>
        <v>87</v>
      </c>
      <c r="CX77" s="446">
        <f>'3.1 Nyttestrøm'!DG10</f>
        <v>88</v>
      </c>
      <c r="CY77" s="446">
        <f>'3.1 Nyttestrøm'!DH10</f>
        <v>89</v>
      </c>
      <c r="CZ77" s="446">
        <f>'3.1 Nyttestrøm'!DI10</f>
        <v>90</v>
      </c>
      <c r="DA77" s="446">
        <f>'3.1 Nyttestrøm'!DJ10</f>
        <v>91</v>
      </c>
      <c r="DB77" s="446">
        <f>'3.1 Nyttestrøm'!DK10</f>
        <v>92</v>
      </c>
      <c r="DC77" s="446">
        <f>'3.1 Nyttestrøm'!DL10</f>
        <v>93</v>
      </c>
      <c r="DD77" s="446">
        <f>'3.1 Nyttestrøm'!DM10</f>
        <v>94</v>
      </c>
      <c r="DE77" s="446">
        <f>'3.1 Nyttestrøm'!DN10</f>
        <v>95</v>
      </c>
      <c r="DF77" s="446">
        <f>'3.1 Nyttestrøm'!DO10</f>
        <v>96</v>
      </c>
      <c r="DG77" s="446">
        <f>'3.1 Nyttestrøm'!DP10</f>
        <v>97</v>
      </c>
      <c r="DH77" s="446">
        <f>'3.1 Nyttestrøm'!DQ10</f>
        <v>98</v>
      </c>
      <c r="DI77" s="678">
        <f>'3.1 Nyttestrøm'!DR10</f>
        <v>99</v>
      </c>
    </row>
    <row r="78" spans="1:113" x14ac:dyDescent="0.35">
      <c r="A78" s="685"/>
      <c r="B78" s="446" t="s">
        <v>2193</v>
      </c>
      <c r="C78" s="1157"/>
      <c r="D78" s="1156" t="e">
        <f>SUM('3.1 Nyttestrøm'!M12:M28)+SUM('3.1 Nyttestrøm'!M31:M42)+SUM('3.1 Nyttestrøm'!M45:M66)+SUM('3.1 Nyttestrøm'!M69:M85)+SUM('3.1 Nyttestrøm'!M89:M94)</f>
        <v>#N/A</v>
      </c>
      <c r="E78" s="1156" t="e">
        <f>SUM('3.1 Nyttestrøm'!N12:N28)+SUM('3.1 Nyttestrøm'!N31:N42)+SUM('3.1 Nyttestrøm'!N45:N66)+SUM('3.1 Nyttestrøm'!N69:N85)+SUM('3.1 Nyttestrøm'!N89:N94)</f>
        <v>#N/A</v>
      </c>
      <c r="F78" s="1156" t="e">
        <f>SUM('3.1 Nyttestrøm'!O12:O28)+SUM('3.1 Nyttestrøm'!O31:O42)+SUM('3.1 Nyttestrøm'!O45:O66)+SUM('3.1 Nyttestrøm'!O69:O85)+SUM('3.1 Nyttestrøm'!O89:O94)</f>
        <v>#N/A</v>
      </c>
      <c r="G78" s="1156" t="e">
        <f>SUM('3.1 Nyttestrøm'!P12:P28)+SUM('3.1 Nyttestrøm'!P31:P42)+SUM('3.1 Nyttestrøm'!P45:P66)+SUM('3.1 Nyttestrøm'!P69:P85)+SUM('3.1 Nyttestrøm'!P89:P94)</f>
        <v>#N/A</v>
      </c>
      <c r="H78" s="1156" t="e">
        <f>SUM('3.1 Nyttestrøm'!Q12:Q28)+SUM('3.1 Nyttestrøm'!Q31:Q42)+SUM('3.1 Nyttestrøm'!Q45:Q66)+SUM('3.1 Nyttestrøm'!Q69:Q85)+SUM('3.1 Nyttestrøm'!Q89:Q94)</f>
        <v>#N/A</v>
      </c>
      <c r="I78" s="1156" t="e">
        <f>SUM('3.1 Nyttestrøm'!R12:R28)+SUM('3.1 Nyttestrøm'!R31:R42)+SUM('3.1 Nyttestrøm'!R45:R66)+SUM('3.1 Nyttestrøm'!R69:R85)+SUM('3.1 Nyttestrøm'!R89:R94)</f>
        <v>#N/A</v>
      </c>
      <c r="J78" s="1156" t="e">
        <f>SUM('3.1 Nyttestrøm'!S12:S28)+SUM('3.1 Nyttestrøm'!S31:S42)+SUM('3.1 Nyttestrøm'!S45:S66)+SUM('3.1 Nyttestrøm'!S69:S85)+SUM('3.1 Nyttestrøm'!S89:S94)</f>
        <v>#N/A</v>
      </c>
      <c r="K78" s="1156" t="e">
        <f>SUM('3.1 Nyttestrøm'!T12:T28)+SUM('3.1 Nyttestrøm'!T31:T42)+SUM('3.1 Nyttestrøm'!T45:T66)+SUM('3.1 Nyttestrøm'!T69:T85)+SUM('3.1 Nyttestrøm'!T89:T94)</f>
        <v>#N/A</v>
      </c>
      <c r="L78" s="1156" t="e">
        <f>SUM('3.1 Nyttestrøm'!U12:U28)+SUM('3.1 Nyttestrøm'!U31:U42)+SUM('3.1 Nyttestrøm'!U45:U66)+SUM('3.1 Nyttestrøm'!U69:U85)+SUM('3.1 Nyttestrøm'!U89:U94)</f>
        <v>#N/A</v>
      </c>
      <c r="M78" s="1156" t="e">
        <f>SUM('3.1 Nyttestrøm'!V12:V28)+SUM('3.1 Nyttestrøm'!V31:V42)+SUM('3.1 Nyttestrøm'!V45:V66)+SUM('3.1 Nyttestrøm'!V69:V85)+SUM('3.1 Nyttestrøm'!V89:V94)</f>
        <v>#N/A</v>
      </c>
      <c r="N78" s="1156" t="e">
        <f ca="1">SUM('3.1 Nyttestrøm'!W12:W28)+SUM('3.1 Nyttestrøm'!W31:W42)+SUM('3.1 Nyttestrøm'!W45:W66)+SUM('3.1 Nyttestrøm'!W69:W85)+SUM('3.1 Nyttestrøm'!W89:W94)</f>
        <v>#N/A</v>
      </c>
      <c r="O78" s="1156" t="e">
        <f ca="1">SUM('3.1 Nyttestrøm'!X12:X28)+SUM('3.1 Nyttestrøm'!X31:X42)+SUM('3.1 Nyttestrøm'!X45:X66)+SUM('3.1 Nyttestrøm'!X69:X85)+SUM('3.1 Nyttestrøm'!X89:X94)</f>
        <v>#N/A</v>
      </c>
      <c r="P78" s="1156" t="e">
        <f ca="1">SUM('3.1 Nyttestrøm'!Y12:Y28)+SUM('3.1 Nyttestrøm'!Y31:Y42)+SUM('3.1 Nyttestrøm'!Y45:Y66)+SUM('3.1 Nyttestrøm'!Y69:Y85)+SUM('3.1 Nyttestrøm'!Y89:Y94)</f>
        <v>#N/A</v>
      </c>
      <c r="Q78" s="1156" t="e">
        <f ca="1">SUM('3.1 Nyttestrøm'!Z12:Z28)+SUM('3.1 Nyttestrøm'!Z31:Z42)+SUM('3.1 Nyttestrøm'!Z45:Z66)+SUM('3.1 Nyttestrøm'!Z69:Z85)+SUM('3.1 Nyttestrøm'!Z89:Z94)</f>
        <v>#N/A</v>
      </c>
      <c r="R78" s="1156" t="e">
        <f ca="1">SUM('3.1 Nyttestrøm'!AA12:AA28)+SUM('3.1 Nyttestrøm'!AA31:AA42)+SUM('3.1 Nyttestrøm'!AA45:AA66)+SUM('3.1 Nyttestrøm'!AA69:AA85)+SUM('3.1 Nyttestrøm'!AA89:AA94)</f>
        <v>#N/A</v>
      </c>
      <c r="S78" s="1156" t="e">
        <f ca="1">SUM('3.1 Nyttestrøm'!AB12:AB28)+SUM('3.1 Nyttestrøm'!AB31:AB42)+SUM('3.1 Nyttestrøm'!AB45:AB66)+SUM('3.1 Nyttestrøm'!AB69:AB85)+SUM('3.1 Nyttestrøm'!AB89:AB94)</f>
        <v>#N/A</v>
      </c>
      <c r="T78" s="1156" t="e">
        <f ca="1">SUM('3.1 Nyttestrøm'!AC12:AC28)+SUM('3.1 Nyttestrøm'!AC31:AC42)+SUM('3.1 Nyttestrøm'!AC45:AC66)+SUM('3.1 Nyttestrøm'!AC69:AC85)+SUM('3.1 Nyttestrøm'!AC89:AC94)</f>
        <v>#N/A</v>
      </c>
      <c r="U78" s="1156" t="e">
        <f ca="1">SUM('3.1 Nyttestrøm'!AD12:AD28)+SUM('3.1 Nyttestrøm'!AD31:AD42)+SUM('3.1 Nyttestrøm'!AD45:AD66)+SUM('3.1 Nyttestrøm'!AD69:AD85)+SUM('3.1 Nyttestrøm'!AD89:AD94)</f>
        <v>#N/A</v>
      </c>
      <c r="V78" s="1156" t="e">
        <f ca="1">SUM('3.1 Nyttestrøm'!AE12:AE28)+SUM('3.1 Nyttestrøm'!AE31:AE42)+SUM('3.1 Nyttestrøm'!AE45:AE66)+SUM('3.1 Nyttestrøm'!AE69:AE85)+SUM('3.1 Nyttestrøm'!AE89:AE94)</f>
        <v>#N/A</v>
      </c>
      <c r="W78" s="1156" t="e">
        <f ca="1">SUM('3.1 Nyttestrøm'!AF12:AF28)+SUM('3.1 Nyttestrøm'!AF31:AF42)+SUM('3.1 Nyttestrøm'!AF45:AF66)+SUM('3.1 Nyttestrøm'!AF69:AF85)+SUM('3.1 Nyttestrøm'!AF89:AF94)</f>
        <v>#N/A</v>
      </c>
      <c r="X78" s="1156" t="e">
        <f ca="1">SUM('3.1 Nyttestrøm'!AG12:AG28)+SUM('3.1 Nyttestrøm'!AG31:AG42)+SUM('3.1 Nyttestrøm'!AG45:AG66)+SUM('3.1 Nyttestrøm'!AG69:AG85)+SUM('3.1 Nyttestrøm'!AG89:AG94)</f>
        <v>#N/A</v>
      </c>
      <c r="Y78" s="1156" t="e">
        <f ca="1">SUM('3.1 Nyttestrøm'!AH12:AH28)+SUM('3.1 Nyttestrøm'!AH31:AH42)+SUM('3.1 Nyttestrøm'!AH45:AH66)+SUM('3.1 Nyttestrøm'!AH69:AH85)+SUM('3.1 Nyttestrøm'!AH89:AH94)</f>
        <v>#N/A</v>
      </c>
      <c r="Z78" s="1156" t="e">
        <f ca="1">SUM('3.1 Nyttestrøm'!AI12:AI28)+SUM('3.1 Nyttestrøm'!AI31:AI42)+SUM('3.1 Nyttestrøm'!AI45:AI66)+SUM('3.1 Nyttestrøm'!AI69:AI85)+SUM('3.1 Nyttestrøm'!AI89:AI94)</f>
        <v>#N/A</v>
      </c>
      <c r="AA78" s="1156" t="e">
        <f ca="1">SUM('3.1 Nyttestrøm'!AJ12:AJ28)+SUM('3.1 Nyttestrøm'!AJ31:AJ42)+SUM('3.1 Nyttestrøm'!AJ45:AJ66)+SUM('3.1 Nyttestrøm'!AJ69:AJ85)+SUM('3.1 Nyttestrøm'!AJ89:AJ94)</f>
        <v>#N/A</v>
      </c>
      <c r="AB78" s="1156" t="e">
        <f ca="1">SUM('3.1 Nyttestrøm'!AK12:AK28)+SUM('3.1 Nyttestrøm'!AK31:AK42)+SUM('3.1 Nyttestrøm'!AK45:AK66)+SUM('3.1 Nyttestrøm'!AK69:AK85)+SUM('3.1 Nyttestrøm'!AK89:AK94)</f>
        <v>#N/A</v>
      </c>
      <c r="AC78" s="1156" t="e">
        <f ca="1">SUM('3.1 Nyttestrøm'!AL12:AL28)+SUM('3.1 Nyttestrøm'!AL31:AL42)+SUM('3.1 Nyttestrøm'!AL45:AL66)+SUM('3.1 Nyttestrøm'!AL69:AL85)+SUM('3.1 Nyttestrøm'!AL89:AL94)</f>
        <v>#N/A</v>
      </c>
      <c r="AD78" s="1156" t="e">
        <f ca="1">SUM('3.1 Nyttestrøm'!AM12:AM28)+SUM('3.1 Nyttestrøm'!AM31:AM42)+SUM('3.1 Nyttestrøm'!AM45:AM66)+SUM('3.1 Nyttestrøm'!AM69:AM85)+SUM('3.1 Nyttestrøm'!AM89:AM94)</f>
        <v>#N/A</v>
      </c>
      <c r="AE78" s="1156" t="e">
        <f ca="1">SUM('3.1 Nyttestrøm'!AN12:AN28)+SUM('3.1 Nyttestrøm'!AN31:AN42)+SUM('3.1 Nyttestrøm'!AN45:AN66)+SUM('3.1 Nyttestrøm'!AN69:AN85)+SUM('3.1 Nyttestrøm'!AN89:AN94)</f>
        <v>#N/A</v>
      </c>
      <c r="AF78" s="1156" t="e">
        <f ca="1">SUM('3.1 Nyttestrøm'!AO12:AO28)+SUM('3.1 Nyttestrøm'!AO31:AO42)+SUM('3.1 Nyttestrøm'!AO45:AO66)+SUM('3.1 Nyttestrøm'!AO69:AO85)+SUM('3.1 Nyttestrøm'!AO89:AO94)</f>
        <v>#N/A</v>
      </c>
      <c r="AG78" s="1156" t="e">
        <f ca="1">SUM('3.1 Nyttestrøm'!AP12:AP28)+SUM('3.1 Nyttestrøm'!AP31:AP42)+SUM('3.1 Nyttestrøm'!AP45:AP66)+SUM('3.1 Nyttestrøm'!AP69:AP85)+SUM('3.1 Nyttestrøm'!AP89:AP94)</f>
        <v>#N/A</v>
      </c>
      <c r="AH78" s="1156" t="e">
        <f ca="1">SUM('3.1 Nyttestrøm'!AQ12:AQ28)+SUM('3.1 Nyttestrøm'!AQ31:AQ42)+SUM('3.1 Nyttestrøm'!AQ45:AQ66)+SUM('3.1 Nyttestrøm'!AQ69:AQ85)+SUM('3.1 Nyttestrøm'!AQ89:AQ94)</f>
        <v>#N/A</v>
      </c>
      <c r="AI78" s="1156" t="e">
        <f ca="1">SUM('3.1 Nyttestrøm'!AR12:AR28)+SUM('3.1 Nyttestrøm'!AR31:AR42)+SUM('3.1 Nyttestrøm'!AR45:AR66)+SUM('3.1 Nyttestrøm'!AR69:AR85)+SUM('3.1 Nyttestrøm'!AR89:AR94)</f>
        <v>#N/A</v>
      </c>
      <c r="AJ78" s="1156" t="e">
        <f ca="1">SUM('3.1 Nyttestrøm'!AS12:AS28)+SUM('3.1 Nyttestrøm'!AS31:AS42)+SUM('3.1 Nyttestrøm'!AS45:AS66)+SUM('3.1 Nyttestrøm'!AS69:AS85)+SUM('3.1 Nyttestrøm'!AS89:AS94)</f>
        <v>#N/A</v>
      </c>
      <c r="AK78" s="1156" t="e">
        <f ca="1">SUM('3.1 Nyttestrøm'!AT12:AT28)+SUM('3.1 Nyttestrøm'!AT31:AT42)+SUM('3.1 Nyttestrøm'!AT45:AT66)+SUM('3.1 Nyttestrøm'!AT69:AT85)+SUM('3.1 Nyttestrøm'!AT89:AT94)</f>
        <v>#N/A</v>
      </c>
      <c r="AL78" s="1156" t="e">
        <f ca="1">SUM('3.1 Nyttestrøm'!AU12:AU28)+SUM('3.1 Nyttestrøm'!AU31:AU42)+SUM('3.1 Nyttestrøm'!AU45:AU66)+SUM('3.1 Nyttestrøm'!AU69:AU85)+SUM('3.1 Nyttestrøm'!AU89:AU94)</f>
        <v>#N/A</v>
      </c>
      <c r="AM78" s="1156" t="e">
        <f ca="1">SUM('3.1 Nyttestrøm'!AV12:AV28)+SUM('3.1 Nyttestrøm'!AV31:AV42)+SUM('3.1 Nyttestrøm'!AV45:AV66)+SUM('3.1 Nyttestrøm'!AV69:AV85)+SUM('3.1 Nyttestrøm'!AV89:AV94)</f>
        <v>#N/A</v>
      </c>
      <c r="AN78" s="1156" t="e">
        <f ca="1">SUM('3.1 Nyttestrøm'!AW12:AW28)+SUM('3.1 Nyttestrøm'!AW31:AW42)+SUM('3.1 Nyttestrøm'!AW45:AW66)+SUM('3.1 Nyttestrøm'!AW69:AW85)+SUM('3.1 Nyttestrøm'!AW89:AW94)</f>
        <v>#N/A</v>
      </c>
      <c r="AO78" s="1156" t="e">
        <f ca="1">SUM('3.1 Nyttestrøm'!AX12:AX28)+SUM('3.1 Nyttestrøm'!AX31:AX42)+SUM('3.1 Nyttestrøm'!AX45:AX66)+SUM('3.1 Nyttestrøm'!AX69:AX85)+SUM('3.1 Nyttestrøm'!AX89:AX94)</f>
        <v>#N/A</v>
      </c>
      <c r="AP78" s="1156" t="e">
        <f ca="1">SUM('3.1 Nyttestrøm'!AY12:AY28)+SUM('3.1 Nyttestrøm'!AY31:AY42)+SUM('3.1 Nyttestrøm'!AY45:AY66)+SUM('3.1 Nyttestrøm'!AY69:AY85)+SUM('3.1 Nyttestrøm'!AY89:AY94)</f>
        <v>#N/A</v>
      </c>
      <c r="AQ78" s="1156" t="e">
        <f ca="1">SUM('3.1 Nyttestrøm'!AZ12:AZ28)+SUM('3.1 Nyttestrøm'!AZ31:AZ42)+SUM('3.1 Nyttestrøm'!AZ45:AZ66)+SUM('3.1 Nyttestrøm'!AZ69:AZ85)+SUM('3.1 Nyttestrøm'!AZ89:AZ94)</f>
        <v>#N/A</v>
      </c>
      <c r="AR78" s="1156" t="e">
        <f ca="1">SUM('3.1 Nyttestrøm'!BA12:BA28)+SUM('3.1 Nyttestrøm'!BA31:BA42)+SUM('3.1 Nyttestrøm'!BA45:BA66)+SUM('3.1 Nyttestrøm'!BA69:BA85)+SUM('3.1 Nyttestrøm'!BA89:BA94)</f>
        <v>#N/A</v>
      </c>
      <c r="AS78" s="1156" t="e">
        <f ca="1">SUM('3.1 Nyttestrøm'!BB12:BB28)+SUM('3.1 Nyttestrøm'!BB31:BB42)+SUM('3.1 Nyttestrøm'!BB45:BB66)+SUM('3.1 Nyttestrøm'!BB69:BB85)+SUM('3.1 Nyttestrøm'!BB89:BB94)</f>
        <v>#N/A</v>
      </c>
      <c r="AT78" s="1156" t="e">
        <f ca="1">SUM('3.1 Nyttestrøm'!BC12:BC28)+SUM('3.1 Nyttestrøm'!BC31:BC42)+SUM('3.1 Nyttestrøm'!BC45:BC66)+SUM('3.1 Nyttestrøm'!BC69:BC85)+SUM('3.1 Nyttestrøm'!BC89:BC94)</f>
        <v>#N/A</v>
      </c>
      <c r="AU78" s="1156" t="e">
        <f ca="1">SUM('3.1 Nyttestrøm'!BD12:BD28)+SUM('3.1 Nyttestrøm'!BD31:BD42)+SUM('3.1 Nyttestrøm'!BD45:BD66)+SUM('3.1 Nyttestrøm'!BD69:BD85)+SUM('3.1 Nyttestrøm'!BD89:BD94)</f>
        <v>#N/A</v>
      </c>
      <c r="AV78" s="1156" t="e">
        <f ca="1">SUM('3.1 Nyttestrøm'!BE12:BE28)+SUM('3.1 Nyttestrøm'!BE31:BE42)+SUM('3.1 Nyttestrøm'!BE45:BE66)+SUM('3.1 Nyttestrøm'!BE69:BE85)+SUM('3.1 Nyttestrøm'!BE89:BE94)</f>
        <v>#N/A</v>
      </c>
      <c r="AW78" s="1156" t="e">
        <f ca="1">SUM('3.1 Nyttestrøm'!BF12:BF28)+SUM('3.1 Nyttestrøm'!BF31:BF42)+SUM('3.1 Nyttestrøm'!BF45:BF66)+SUM('3.1 Nyttestrøm'!BF69:BF85)+SUM('3.1 Nyttestrøm'!BF89:BF94)</f>
        <v>#N/A</v>
      </c>
      <c r="AX78" s="1156" t="e">
        <f ca="1">SUM('3.1 Nyttestrøm'!BG12:BG28)+SUM('3.1 Nyttestrøm'!BG31:BG42)+SUM('3.1 Nyttestrøm'!BG45:BG66)+SUM('3.1 Nyttestrøm'!BG69:BG85)+SUM('3.1 Nyttestrøm'!BG89:BG94)</f>
        <v>#N/A</v>
      </c>
      <c r="AY78" s="1156" t="e">
        <f ca="1">SUM('3.1 Nyttestrøm'!BH12:BH28)+SUM('3.1 Nyttestrøm'!BH31:BH42)+SUM('3.1 Nyttestrøm'!BH45:BH66)+SUM('3.1 Nyttestrøm'!BH69:BH85)+SUM('3.1 Nyttestrøm'!BH89:BH94)</f>
        <v>#N/A</v>
      </c>
      <c r="AZ78" s="1156" t="e">
        <f ca="1">SUM('3.1 Nyttestrøm'!BI12:BI28)+SUM('3.1 Nyttestrøm'!BI31:BI42)+SUM('3.1 Nyttestrøm'!BI45:BI66)+SUM('3.1 Nyttestrøm'!BI69:BI85)+SUM('3.1 Nyttestrøm'!BI89:BI94)</f>
        <v>#N/A</v>
      </c>
      <c r="BA78" s="1156" t="e">
        <f ca="1">SUM('3.1 Nyttestrøm'!BJ12:BJ28)+SUM('3.1 Nyttestrøm'!BJ31:BJ42)+SUM('3.1 Nyttestrøm'!BJ45:BJ66)+SUM('3.1 Nyttestrøm'!BJ69:BJ85)+SUM('3.1 Nyttestrøm'!BJ89:BJ94)</f>
        <v>#N/A</v>
      </c>
      <c r="BB78" s="1156" t="e">
        <f ca="1">SUM('3.1 Nyttestrøm'!BK12:BK28)+SUM('3.1 Nyttestrøm'!BK31:BK42)+SUM('3.1 Nyttestrøm'!BK45:BK66)+SUM('3.1 Nyttestrøm'!BK69:BK85)+SUM('3.1 Nyttestrøm'!BK89:BK94)</f>
        <v>#N/A</v>
      </c>
      <c r="BC78" s="1156" t="e">
        <f ca="1">SUM('3.1 Nyttestrøm'!BL12:BL28)+SUM('3.1 Nyttestrøm'!BL31:BL42)+SUM('3.1 Nyttestrøm'!BL45:BL66)+SUM('3.1 Nyttestrøm'!BL69:BL85)+SUM('3.1 Nyttestrøm'!BL89:BL94)</f>
        <v>#N/A</v>
      </c>
      <c r="BD78" s="1156" t="e">
        <f ca="1">SUM('3.1 Nyttestrøm'!BM12:BM28)+SUM('3.1 Nyttestrøm'!BM31:BM42)+SUM('3.1 Nyttestrøm'!BM45:BM66)+SUM('3.1 Nyttestrøm'!BM69:BM85)+SUM('3.1 Nyttestrøm'!BM89:BM94)</f>
        <v>#N/A</v>
      </c>
      <c r="BE78" s="1156" t="e">
        <f ca="1">SUM('3.1 Nyttestrøm'!BN12:BN28)+SUM('3.1 Nyttestrøm'!BN31:BN42)+SUM('3.1 Nyttestrøm'!BN45:BN66)+SUM('3.1 Nyttestrøm'!BN69:BN85)+SUM('3.1 Nyttestrøm'!BN89:BN94)</f>
        <v>#N/A</v>
      </c>
      <c r="BF78" s="1156" t="e">
        <f ca="1">SUM('3.1 Nyttestrøm'!BO12:BO28)+SUM('3.1 Nyttestrøm'!BO31:BO42)+SUM('3.1 Nyttestrøm'!BO45:BO66)+SUM('3.1 Nyttestrøm'!BO69:BO85)+SUM('3.1 Nyttestrøm'!BO89:BO94)</f>
        <v>#N/A</v>
      </c>
      <c r="BG78" s="1156" t="e">
        <f ca="1">SUM('3.1 Nyttestrøm'!BP12:BP28)+SUM('3.1 Nyttestrøm'!BP31:BP42)+SUM('3.1 Nyttestrøm'!BP45:BP66)+SUM('3.1 Nyttestrøm'!BP69:BP85)+SUM('3.1 Nyttestrøm'!BP89:BP94)</f>
        <v>#N/A</v>
      </c>
      <c r="BH78" s="1156" t="e">
        <f ca="1">SUM('3.1 Nyttestrøm'!BQ12:BQ28)+SUM('3.1 Nyttestrøm'!BQ31:BQ42)+SUM('3.1 Nyttestrøm'!BQ45:BQ66)+SUM('3.1 Nyttestrøm'!BQ69:BQ85)+SUM('3.1 Nyttestrøm'!BQ89:BQ94)</f>
        <v>#N/A</v>
      </c>
      <c r="BI78" s="1156" t="e">
        <f ca="1">SUM('3.1 Nyttestrøm'!BR12:BR28)+SUM('3.1 Nyttestrøm'!BR31:BR42)+SUM('3.1 Nyttestrøm'!BR45:BR66)+SUM('3.1 Nyttestrøm'!BR69:BR85)+SUM('3.1 Nyttestrøm'!BR89:BR94)</f>
        <v>#N/A</v>
      </c>
      <c r="BJ78" s="1156" t="e">
        <f ca="1">SUM('3.1 Nyttestrøm'!BS12:BS28)+SUM('3.1 Nyttestrøm'!BS31:BS42)+SUM('3.1 Nyttestrøm'!BS45:BS66)+SUM('3.1 Nyttestrøm'!BS69:BS85)+SUM('3.1 Nyttestrøm'!BS89:BS94)</f>
        <v>#N/A</v>
      </c>
      <c r="BK78" s="1156" t="e">
        <f ca="1">SUM('3.1 Nyttestrøm'!BT12:BT28)+SUM('3.1 Nyttestrøm'!BT31:BT42)+SUM('3.1 Nyttestrøm'!BT45:BT66)+SUM('3.1 Nyttestrøm'!BT69:BT85)+SUM('3.1 Nyttestrøm'!BT89:BT94)</f>
        <v>#N/A</v>
      </c>
      <c r="BL78" s="1156" t="e">
        <f ca="1">SUM('3.1 Nyttestrøm'!BU12:BU28)+SUM('3.1 Nyttestrøm'!BU31:BU42)+SUM('3.1 Nyttestrøm'!BU45:BU66)+SUM('3.1 Nyttestrøm'!BU69:BU85)+SUM('3.1 Nyttestrøm'!BU89:BU94)</f>
        <v>#N/A</v>
      </c>
      <c r="BM78" s="1156" t="e">
        <f ca="1">SUM('3.1 Nyttestrøm'!BV12:BV28)+SUM('3.1 Nyttestrøm'!BV31:BV42)+SUM('3.1 Nyttestrøm'!BV45:BV66)+SUM('3.1 Nyttestrøm'!BV69:BV85)+SUM('3.1 Nyttestrøm'!BV89:BV94)</f>
        <v>#N/A</v>
      </c>
      <c r="BN78" s="1156" t="e">
        <f ca="1">SUM('3.1 Nyttestrøm'!BW12:BW28)+SUM('3.1 Nyttestrøm'!BW31:BW42)+SUM('3.1 Nyttestrøm'!BW45:BW66)+SUM('3.1 Nyttestrøm'!BW69:BW85)+SUM('3.1 Nyttestrøm'!BW89:BW94)</f>
        <v>#N/A</v>
      </c>
      <c r="BO78" s="1156" t="e">
        <f ca="1">SUM('3.1 Nyttestrøm'!BX12:BX28)+SUM('3.1 Nyttestrøm'!BX31:BX42)+SUM('3.1 Nyttestrøm'!BX45:BX66)+SUM('3.1 Nyttestrøm'!BX69:BX85)+SUM('3.1 Nyttestrøm'!BX89:BX94)</f>
        <v>#N/A</v>
      </c>
      <c r="BP78" s="1156" t="e">
        <f ca="1">SUM('3.1 Nyttestrøm'!BY12:BY28)+SUM('3.1 Nyttestrøm'!BY31:BY42)+SUM('3.1 Nyttestrøm'!BY45:BY66)+SUM('3.1 Nyttestrøm'!BY69:BY85)+SUM('3.1 Nyttestrøm'!BY89:BY94)</f>
        <v>#N/A</v>
      </c>
      <c r="BQ78" s="1156" t="e">
        <f ca="1">SUM('3.1 Nyttestrøm'!BZ12:BZ28)+SUM('3.1 Nyttestrøm'!BZ31:BZ42)+SUM('3.1 Nyttestrøm'!BZ45:BZ66)+SUM('3.1 Nyttestrøm'!BZ69:BZ85)+SUM('3.1 Nyttestrøm'!BZ89:BZ94)</f>
        <v>#N/A</v>
      </c>
      <c r="BR78" s="1156" t="e">
        <f ca="1">SUM('3.1 Nyttestrøm'!CA12:CA28)+SUM('3.1 Nyttestrøm'!CA31:CA42)+SUM('3.1 Nyttestrøm'!CA45:CA66)+SUM('3.1 Nyttestrøm'!CA69:CA85)+SUM('3.1 Nyttestrøm'!CA89:CA94)</f>
        <v>#N/A</v>
      </c>
      <c r="BS78" s="1156" t="e">
        <f ca="1">SUM('3.1 Nyttestrøm'!CB12:CB28)+SUM('3.1 Nyttestrøm'!CB31:CB42)+SUM('3.1 Nyttestrøm'!CB45:CB66)+SUM('3.1 Nyttestrøm'!CB69:CB85)+SUM('3.1 Nyttestrøm'!CB89:CB94)</f>
        <v>#N/A</v>
      </c>
      <c r="BT78" s="1156" t="e">
        <f ca="1">SUM('3.1 Nyttestrøm'!CC12:CC28)+SUM('3.1 Nyttestrøm'!CC31:CC42)+SUM('3.1 Nyttestrøm'!CC45:CC66)+SUM('3.1 Nyttestrøm'!CC69:CC85)+SUM('3.1 Nyttestrøm'!CC89:CC94)</f>
        <v>#N/A</v>
      </c>
      <c r="BU78" s="1156" t="e">
        <f ca="1">SUM('3.1 Nyttestrøm'!CD12:CD28)+SUM('3.1 Nyttestrøm'!CD31:CD42)+SUM('3.1 Nyttestrøm'!CD45:CD66)+SUM('3.1 Nyttestrøm'!CD69:CD85)+SUM('3.1 Nyttestrøm'!CD89:CD94)</f>
        <v>#N/A</v>
      </c>
      <c r="BV78" s="1156" t="e">
        <f ca="1">SUM('3.1 Nyttestrøm'!CE12:CE28)+SUM('3.1 Nyttestrøm'!CE31:CE42)+SUM('3.1 Nyttestrøm'!CE45:CE66)+SUM('3.1 Nyttestrøm'!CE69:CE85)+SUM('3.1 Nyttestrøm'!CE89:CE94)</f>
        <v>#N/A</v>
      </c>
      <c r="BW78" s="1156" t="e">
        <f ca="1">SUM('3.1 Nyttestrøm'!CF12:CF28)+SUM('3.1 Nyttestrøm'!CF31:CF42)+SUM('3.1 Nyttestrøm'!CF45:CF66)+SUM('3.1 Nyttestrøm'!CF69:CF85)+SUM('3.1 Nyttestrøm'!CF89:CF94)</f>
        <v>#N/A</v>
      </c>
      <c r="BX78" s="1156" t="e">
        <f ca="1">SUM('3.1 Nyttestrøm'!CG12:CG28)+SUM('3.1 Nyttestrøm'!CG31:CG42)+SUM('3.1 Nyttestrøm'!CG45:CG66)+SUM('3.1 Nyttestrøm'!CG69:CG85)+SUM('3.1 Nyttestrøm'!CG89:CG94)</f>
        <v>#N/A</v>
      </c>
      <c r="BY78" s="1156" t="e">
        <f ca="1">SUM('3.1 Nyttestrøm'!CH12:CH28)+SUM('3.1 Nyttestrøm'!CH31:CH42)+SUM('3.1 Nyttestrøm'!CH45:CH66)+SUM('3.1 Nyttestrøm'!CH69:CH85)+SUM('3.1 Nyttestrøm'!CH89:CH94)</f>
        <v>#N/A</v>
      </c>
      <c r="BZ78" s="1156" t="e">
        <f ca="1">SUM('3.1 Nyttestrøm'!CI12:CI28)+SUM('3.1 Nyttestrøm'!CI31:CI42)+SUM('3.1 Nyttestrøm'!CI45:CI66)+SUM('3.1 Nyttestrøm'!CI69:CI85)+SUM('3.1 Nyttestrøm'!CI89:CI94)</f>
        <v>#N/A</v>
      </c>
      <c r="CA78" s="1156" t="e">
        <f ca="1">SUM('3.1 Nyttestrøm'!CJ12:CJ28)+SUM('3.1 Nyttestrøm'!CJ31:CJ42)+SUM('3.1 Nyttestrøm'!CJ45:CJ66)+SUM('3.1 Nyttestrøm'!CJ69:CJ85)+SUM('3.1 Nyttestrøm'!CJ89:CJ94)</f>
        <v>#N/A</v>
      </c>
      <c r="CB78" s="1156" t="e">
        <f ca="1">SUM('3.1 Nyttestrøm'!CK12:CK28)+SUM('3.1 Nyttestrøm'!CK31:CK42)+SUM('3.1 Nyttestrøm'!CK45:CK66)+SUM('3.1 Nyttestrøm'!CK69:CK85)+SUM('3.1 Nyttestrøm'!CK89:CK94)</f>
        <v>#N/A</v>
      </c>
      <c r="CC78" s="1156" t="e">
        <f ca="1">SUM('3.1 Nyttestrøm'!CL12:CL28)+SUM('3.1 Nyttestrøm'!CL31:CL42)+SUM('3.1 Nyttestrøm'!CL45:CL66)+SUM('3.1 Nyttestrøm'!CL69:CL85)+SUM('3.1 Nyttestrøm'!CL89:CL94)</f>
        <v>#N/A</v>
      </c>
      <c r="CD78" s="1156" t="e">
        <f ca="1">SUM('3.1 Nyttestrøm'!CM12:CM28)+SUM('3.1 Nyttestrøm'!CM31:CM42)+SUM('3.1 Nyttestrøm'!CM45:CM66)+SUM('3.1 Nyttestrøm'!CM69:CM85)+SUM('3.1 Nyttestrøm'!CM89:CM94)</f>
        <v>#N/A</v>
      </c>
      <c r="CE78" s="1156" t="e">
        <f ca="1">SUM('3.1 Nyttestrøm'!CN12:CN28)+SUM('3.1 Nyttestrøm'!CN31:CN42)+SUM('3.1 Nyttestrøm'!CN45:CN66)+SUM('3.1 Nyttestrøm'!CN69:CN85)+SUM('3.1 Nyttestrøm'!CN89:CN94)</f>
        <v>#N/A</v>
      </c>
      <c r="CF78" s="1156" t="e">
        <f ca="1">SUM('3.1 Nyttestrøm'!CO12:CO28)+SUM('3.1 Nyttestrøm'!CO31:CO42)+SUM('3.1 Nyttestrøm'!CO45:CO66)+SUM('3.1 Nyttestrøm'!CO69:CO85)+SUM('3.1 Nyttestrøm'!CO89:CO94)</f>
        <v>#N/A</v>
      </c>
      <c r="CG78" s="1156" t="e">
        <f ca="1">SUM('3.1 Nyttestrøm'!CP12:CP28)+SUM('3.1 Nyttestrøm'!CP31:CP42)+SUM('3.1 Nyttestrøm'!CP45:CP66)+SUM('3.1 Nyttestrøm'!CP69:CP85)+SUM('3.1 Nyttestrøm'!CP89:CP94)</f>
        <v>#N/A</v>
      </c>
      <c r="CH78" s="1156" t="e">
        <f ca="1">SUM('3.1 Nyttestrøm'!CQ12:CQ28)+SUM('3.1 Nyttestrøm'!CQ31:CQ42)+SUM('3.1 Nyttestrøm'!CQ45:CQ66)+SUM('3.1 Nyttestrøm'!CQ69:CQ85)+SUM('3.1 Nyttestrøm'!CQ89:CQ94)</f>
        <v>#N/A</v>
      </c>
      <c r="CI78" s="1156" t="e">
        <f ca="1">SUM('3.1 Nyttestrøm'!CR12:CR28)+SUM('3.1 Nyttestrøm'!CR31:CR42)+SUM('3.1 Nyttestrøm'!CR45:CR66)+SUM('3.1 Nyttestrøm'!CR69:CR85)+SUM('3.1 Nyttestrøm'!CR89:CR94)</f>
        <v>#N/A</v>
      </c>
      <c r="CJ78" s="1156" t="e">
        <f ca="1">SUM('3.1 Nyttestrøm'!CS12:CS28)+SUM('3.1 Nyttestrøm'!CS31:CS42)+SUM('3.1 Nyttestrøm'!CS45:CS66)+SUM('3.1 Nyttestrøm'!CS69:CS85)+SUM('3.1 Nyttestrøm'!CS89:CS94)</f>
        <v>#N/A</v>
      </c>
      <c r="CK78" s="1156" t="e">
        <f ca="1">SUM('3.1 Nyttestrøm'!CT12:CT28)+SUM('3.1 Nyttestrøm'!CT31:CT42)+SUM('3.1 Nyttestrøm'!CT45:CT66)+SUM('3.1 Nyttestrøm'!CT69:CT85)+SUM('3.1 Nyttestrøm'!CT89:CT94)</f>
        <v>#N/A</v>
      </c>
      <c r="CL78" s="1156" t="e">
        <f ca="1">SUM('3.1 Nyttestrøm'!CU12:CU28)+SUM('3.1 Nyttestrøm'!CU31:CU42)+SUM('3.1 Nyttestrøm'!CU45:CU66)+SUM('3.1 Nyttestrøm'!CU69:CU85)+SUM('3.1 Nyttestrøm'!CU89:CU94)</f>
        <v>#N/A</v>
      </c>
      <c r="CM78" s="1156" t="e">
        <f ca="1">SUM('3.1 Nyttestrøm'!CV12:CV28)+SUM('3.1 Nyttestrøm'!CV31:CV42)+SUM('3.1 Nyttestrøm'!CV45:CV66)+SUM('3.1 Nyttestrøm'!CV69:CV85)+SUM('3.1 Nyttestrøm'!CV89:CV94)</f>
        <v>#N/A</v>
      </c>
      <c r="CN78" s="1156" t="e">
        <f ca="1">SUM('3.1 Nyttestrøm'!CW12:CW28)+SUM('3.1 Nyttestrøm'!CW31:CW42)+SUM('3.1 Nyttestrøm'!CW45:CW66)+SUM('3.1 Nyttestrøm'!CW69:CW85)+SUM('3.1 Nyttestrøm'!CW89:CW94)</f>
        <v>#N/A</v>
      </c>
      <c r="CO78" s="1156" t="e">
        <f ca="1">SUM('3.1 Nyttestrøm'!CX12:CX28)+SUM('3.1 Nyttestrøm'!CX31:CX42)+SUM('3.1 Nyttestrøm'!CX45:CX66)+SUM('3.1 Nyttestrøm'!CX69:CX85)+SUM('3.1 Nyttestrøm'!CX89:CX94)</f>
        <v>#N/A</v>
      </c>
      <c r="CP78" s="1156" t="e">
        <f ca="1">SUM('3.1 Nyttestrøm'!CY12:CY28)+SUM('3.1 Nyttestrøm'!CY31:CY42)+SUM('3.1 Nyttestrøm'!CY45:CY66)+SUM('3.1 Nyttestrøm'!CY69:CY85)+SUM('3.1 Nyttestrøm'!CY89:CY94)</f>
        <v>#N/A</v>
      </c>
      <c r="CQ78" s="1156" t="e">
        <f ca="1">SUM('3.1 Nyttestrøm'!CZ12:CZ28)+SUM('3.1 Nyttestrøm'!CZ31:CZ42)+SUM('3.1 Nyttestrøm'!CZ45:CZ66)+SUM('3.1 Nyttestrøm'!CZ69:CZ85)+SUM('3.1 Nyttestrøm'!CZ89:CZ94)</f>
        <v>#N/A</v>
      </c>
      <c r="CR78" s="1156" t="e">
        <f ca="1">SUM('3.1 Nyttestrøm'!DA12:DA28)+SUM('3.1 Nyttestrøm'!DA31:DA42)+SUM('3.1 Nyttestrøm'!DA45:DA66)+SUM('3.1 Nyttestrøm'!DA69:DA85)+SUM('3.1 Nyttestrøm'!DA89:DA94)</f>
        <v>#N/A</v>
      </c>
      <c r="CS78" s="1156" t="e">
        <f ca="1">SUM('3.1 Nyttestrøm'!DB12:DB28)+SUM('3.1 Nyttestrøm'!DB31:DB42)+SUM('3.1 Nyttestrøm'!DB45:DB66)+SUM('3.1 Nyttestrøm'!DB69:DB85)+SUM('3.1 Nyttestrøm'!DB89:DB94)</f>
        <v>#N/A</v>
      </c>
      <c r="CT78" s="1156" t="e">
        <f ca="1">SUM('3.1 Nyttestrøm'!DC12:DC28)+SUM('3.1 Nyttestrøm'!DC31:DC42)+SUM('3.1 Nyttestrøm'!DC45:DC66)+SUM('3.1 Nyttestrøm'!DC69:DC85)+SUM('3.1 Nyttestrøm'!DC89:DC94)</f>
        <v>#N/A</v>
      </c>
      <c r="CU78" s="1156" t="e">
        <f ca="1">SUM('3.1 Nyttestrøm'!DD12:DD28)+SUM('3.1 Nyttestrøm'!DD31:DD42)+SUM('3.1 Nyttestrøm'!DD45:DD66)+SUM('3.1 Nyttestrøm'!DD69:DD85)+SUM('3.1 Nyttestrøm'!DD89:DD94)</f>
        <v>#N/A</v>
      </c>
      <c r="CV78" s="1156" t="e">
        <f ca="1">SUM('3.1 Nyttestrøm'!DE12:DE28)+SUM('3.1 Nyttestrøm'!DE31:DE42)+SUM('3.1 Nyttestrøm'!DE45:DE66)+SUM('3.1 Nyttestrøm'!DE69:DE85)+SUM('3.1 Nyttestrøm'!DE89:DE94)</f>
        <v>#N/A</v>
      </c>
      <c r="CW78" s="1156" t="e">
        <f ca="1">SUM('3.1 Nyttestrøm'!DF12:DF28)+SUM('3.1 Nyttestrøm'!DF31:DF42)+SUM('3.1 Nyttestrøm'!DF45:DF66)+SUM('3.1 Nyttestrøm'!DF69:DF85)+SUM('3.1 Nyttestrøm'!DF89:DF94)</f>
        <v>#N/A</v>
      </c>
      <c r="CX78" s="1156" t="e">
        <f ca="1">SUM('3.1 Nyttestrøm'!DG12:DG28)+SUM('3.1 Nyttestrøm'!DG31:DG42)+SUM('3.1 Nyttestrøm'!DG45:DG66)+SUM('3.1 Nyttestrøm'!DG69:DG85)+SUM('3.1 Nyttestrøm'!DG89:DG94)</f>
        <v>#N/A</v>
      </c>
      <c r="CY78" s="1156" t="e">
        <f ca="1">SUM('3.1 Nyttestrøm'!DH12:DH28)+SUM('3.1 Nyttestrøm'!DH31:DH42)+SUM('3.1 Nyttestrøm'!DH45:DH66)+SUM('3.1 Nyttestrøm'!DH69:DH85)+SUM('3.1 Nyttestrøm'!DH89:DH94)</f>
        <v>#N/A</v>
      </c>
      <c r="CZ78" s="1156" t="e">
        <f ca="1">SUM('3.1 Nyttestrøm'!DI12:DI28)+SUM('3.1 Nyttestrøm'!DI31:DI42)+SUM('3.1 Nyttestrøm'!DI45:DI66)+SUM('3.1 Nyttestrøm'!DI69:DI85)+SUM('3.1 Nyttestrøm'!DI89:DI94)</f>
        <v>#N/A</v>
      </c>
      <c r="DA78" s="1156" t="e">
        <f ca="1">SUM('3.1 Nyttestrøm'!DJ12:DJ28)+SUM('3.1 Nyttestrøm'!DJ31:DJ42)+SUM('3.1 Nyttestrøm'!DJ45:DJ66)+SUM('3.1 Nyttestrøm'!DJ69:DJ85)+SUM('3.1 Nyttestrøm'!DJ89:DJ94)</f>
        <v>#N/A</v>
      </c>
      <c r="DB78" s="1156" t="e">
        <f ca="1">SUM('3.1 Nyttestrøm'!DK12:DK28)+SUM('3.1 Nyttestrøm'!DK31:DK42)+SUM('3.1 Nyttestrøm'!DK45:DK66)+SUM('3.1 Nyttestrøm'!DK69:DK85)+SUM('3.1 Nyttestrøm'!DK89:DK94)</f>
        <v>#N/A</v>
      </c>
      <c r="DC78" s="1156" t="e">
        <f ca="1">SUM('3.1 Nyttestrøm'!DL12:DL28)+SUM('3.1 Nyttestrøm'!DL31:DL42)+SUM('3.1 Nyttestrøm'!DL45:DL66)+SUM('3.1 Nyttestrøm'!DL69:DL85)+SUM('3.1 Nyttestrøm'!DL89:DL94)</f>
        <v>#N/A</v>
      </c>
      <c r="DD78" s="1156" t="e">
        <f ca="1">SUM('3.1 Nyttestrøm'!DM12:DM28)+SUM('3.1 Nyttestrøm'!DM31:DM42)+SUM('3.1 Nyttestrøm'!DM45:DM66)+SUM('3.1 Nyttestrøm'!DM69:DM85)+SUM('3.1 Nyttestrøm'!DM89:DM94)</f>
        <v>#N/A</v>
      </c>
      <c r="DE78" s="1156" t="e">
        <f ca="1">SUM('3.1 Nyttestrøm'!DN12:DN28)+SUM('3.1 Nyttestrøm'!DN31:DN42)+SUM('3.1 Nyttestrøm'!DN45:DN66)+SUM('3.1 Nyttestrøm'!DN69:DN85)+SUM('3.1 Nyttestrøm'!DN89:DN94)</f>
        <v>#N/A</v>
      </c>
      <c r="DF78" s="1156" t="e">
        <f ca="1">SUM('3.1 Nyttestrøm'!DO12:DO28)+SUM('3.1 Nyttestrøm'!DO31:DO42)+SUM('3.1 Nyttestrøm'!DO45:DO66)+SUM('3.1 Nyttestrøm'!DO69:DO85)+SUM('3.1 Nyttestrøm'!DO89:DO94)</f>
        <v>#N/A</v>
      </c>
      <c r="DG78" s="1156" t="e">
        <f ca="1">SUM('3.1 Nyttestrøm'!DP12:DP28)+SUM('3.1 Nyttestrøm'!DP31:DP42)+SUM('3.1 Nyttestrøm'!DP45:DP66)+SUM('3.1 Nyttestrøm'!DP69:DP85)+SUM('3.1 Nyttestrøm'!DP89:DP94)</f>
        <v>#N/A</v>
      </c>
      <c r="DH78" s="1156" t="e">
        <f ca="1">SUM('3.1 Nyttestrøm'!DQ12:DQ28)+SUM('3.1 Nyttestrøm'!DQ31:DQ42)+SUM('3.1 Nyttestrøm'!DQ45:DQ66)+SUM('3.1 Nyttestrøm'!DQ69:DQ85)+SUM('3.1 Nyttestrøm'!DQ89:DQ94)</f>
        <v>#N/A</v>
      </c>
      <c r="DI78" s="1166" t="e">
        <f ca="1">SUM('3.1 Nyttestrøm'!DR12:DR28)+SUM('3.1 Nyttestrøm'!DR31:DR42)+SUM('3.1 Nyttestrøm'!DR45:DR66)+SUM('3.1 Nyttestrøm'!DR69:DR85)+SUM('3.1 Nyttestrøm'!DR89:DR94)</f>
        <v>#N/A</v>
      </c>
    </row>
    <row r="79" spans="1:113" x14ac:dyDescent="0.35">
      <c r="A79" s="685"/>
      <c r="B79" s="446" t="s">
        <v>2194</v>
      </c>
      <c r="C79" s="1157"/>
      <c r="D79" s="1157" t="e">
        <f>D78*'1.5 Prognoser og indekser'!R12</f>
        <v>#N/A</v>
      </c>
      <c r="E79" s="1157" t="e">
        <f>E78*'1.5 Prognoser og indekser'!S12</f>
        <v>#N/A</v>
      </c>
      <c r="F79" s="1157" t="e">
        <f>F78*'1.5 Prognoser og indekser'!T12</f>
        <v>#N/A</v>
      </c>
      <c r="G79" s="1157" t="e">
        <f>G78*'1.5 Prognoser og indekser'!U12</f>
        <v>#N/A</v>
      </c>
      <c r="H79" s="1157" t="e">
        <f>H78*'1.5 Prognoser og indekser'!V12</f>
        <v>#N/A</v>
      </c>
      <c r="I79" s="1157" t="e">
        <f>I78*'1.5 Prognoser og indekser'!W12</f>
        <v>#N/A</v>
      </c>
      <c r="J79" s="1157" t="e">
        <f>J78*'1.5 Prognoser og indekser'!X12</f>
        <v>#N/A</v>
      </c>
      <c r="K79" s="1157" t="e">
        <f>K78*'1.5 Prognoser og indekser'!Y12</f>
        <v>#N/A</v>
      </c>
      <c r="L79" s="1157" t="e">
        <f>L78*'1.5 Prognoser og indekser'!Z12</f>
        <v>#N/A</v>
      </c>
      <c r="M79" s="1157" t="e">
        <f>M78*'1.5 Prognoser og indekser'!AA12</f>
        <v>#N/A</v>
      </c>
      <c r="N79" s="1157" t="e">
        <f ca="1">N78*'1.5 Prognoser og indekser'!AB12</f>
        <v>#N/A</v>
      </c>
      <c r="O79" s="1157" t="e">
        <f ca="1">O78*'1.5 Prognoser og indekser'!AC12</f>
        <v>#N/A</v>
      </c>
      <c r="P79" s="1157" t="e">
        <f ca="1">P78*'1.5 Prognoser og indekser'!AD12</f>
        <v>#N/A</v>
      </c>
      <c r="Q79" s="1157" t="e">
        <f ca="1">Q78*'1.5 Prognoser og indekser'!AE12</f>
        <v>#N/A</v>
      </c>
      <c r="R79" s="1157" t="e">
        <f ca="1">R78*'1.5 Prognoser og indekser'!AF12</f>
        <v>#N/A</v>
      </c>
      <c r="S79" s="1157" t="e">
        <f ca="1">S78*'1.5 Prognoser og indekser'!AG12</f>
        <v>#N/A</v>
      </c>
      <c r="T79" s="1157" t="e">
        <f ca="1">T78*'1.5 Prognoser og indekser'!AH12</f>
        <v>#N/A</v>
      </c>
      <c r="U79" s="1157" t="e">
        <f ca="1">U78*'1.5 Prognoser og indekser'!AI12</f>
        <v>#N/A</v>
      </c>
      <c r="V79" s="1157" t="e">
        <f ca="1">V78*'1.5 Prognoser og indekser'!AJ12</f>
        <v>#N/A</v>
      </c>
      <c r="W79" s="1157" t="e">
        <f ca="1">W78*'1.5 Prognoser og indekser'!AK12</f>
        <v>#N/A</v>
      </c>
      <c r="X79" s="1157" t="e">
        <f ca="1">X78*'1.5 Prognoser og indekser'!AL12</f>
        <v>#N/A</v>
      </c>
      <c r="Y79" s="1157" t="e">
        <f ca="1">Y78*'1.5 Prognoser og indekser'!AM12</f>
        <v>#N/A</v>
      </c>
      <c r="Z79" s="1157" t="e">
        <f ca="1">Z78*'1.5 Prognoser og indekser'!AN12</f>
        <v>#N/A</v>
      </c>
      <c r="AA79" s="1157" t="e">
        <f ca="1">AA78*'1.5 Prognoser og indekser'!AO12</f>
        <v>#N/A</v>
      </c>
      <c r="AB79" s="1157" t="e">
        <f ca="1">AB78*'1.5 Prognoser og indekser'!AP12</f>
        <v>#N/A</v>
      </c>
      <c r="AC79" s="1157" t="e">
        <f ca="1">AC78*'1.5 Prognoser og indekser'!AQ12</f>
        <v>#N/A</v>
      </c>
      <c r="AD79" s="1157" t="e">
        <f ca="1">AD78*'1.5 Prognoser og indekser'!AR12</f>
        <v>#N/A</v>
      </c>
      <c r="AE79" s="1157" t="e">
        <f ca="1">AE78*'1.5 Prognoser og indekser'!AS12</f>
        <v>#N/A</v>
      </c>
      <c r="AF79" s="1157" t="e">
        <f ca="1">AF78*'1.5 Prognoser og indekser'!AT12</f>
        <v>#N/A</v>
      </c>
      <c r="AG79" s="1157" t="e">
        <f ca="1">AG78*'1.5 Prognoser og indekser'!AU12</f>
        <v>#N/A</v>
      </c>
      <c r="AH79" s="1157" t="e">
        <f ca="1">AH78*'1.5 Prognoser og indekser'!AV12</f>
        <v>#N/A</v>
      </c>
      <c r="AI79" s="1157" t="e">
        <f ca="1">AI78*'1.5 Prognoser og indekser'!AW12</f>
        <v>#N/A</v>
      </c>
      <c r="AJ79" s="1157" t="e">
        <f ca="1">AJ78*'1.5 Prognoser og indekser'!AX12</f>
        <v>#N/A</v>
      </c>
      <c r="AK79" s="1157" t="e">
        <f ca="1">AK78*'1.5 Prognoser og indekser'!AY12</f>
        <v>#N/A</v>
      </c>
      <c r="AL79" s="1157" t="e">
        <f ca="1">AL78*'1.5 Prognoser og indekser'!AZ12</f>
        <v>#N/A</v>
      </c>
      <c r="AM79" s="1157" t="e">
        <f ca="1">AM78*'1.5 Prognoser og indekser'!BA12</f>
        <v>#N/A</v>
      </c>
      <c r="AN79" s="1157" t="e">
        <f ca="1">AN78*'1.5 Prognoser og indekser'!BB12</f>
        <v>#N/A</v>
      </c>
      <c r="AO79" s="1157" t="e">
        <f ca="1">AO78*'1.5 Prognoser og indekser'!BC12</f>
        <v>#N/A</v>
      </c>
      <c r="AP79" s="1157" t="e">
        <f ca="1">AP78*'1.5 Prognoser og indekser'!BD12</f>
        <v>#N/A</v>
      </c>
      <c r="AQ79" s="1157" t="e">
        <f ca="1">AQ78*'1.5 Prognoser og indekser'!BE12</f>
        <v>#N/A</v>
      </c>
      <c r="AR79" s="1157" t="e">
        <f ca="1">AR78*'1.5 Prognoser og indekser'!BF12</f>
        <v>#N/A</v>
      </c>
      <c r="AS79" s="1157" t="e">
        <f ca="1">AS78*'1.5 Prognoser og indekser'!BG12</f>
        <v>#N/A</v>
      </c>
      <c r="AT79" s="1157" t="e">
        <f ca="1">AT78*'1.5 Prognoser og indekser'!BH12</f>
        <v>#N/A</v>
      </c>
      <c r="AU79" s="1157" t="e">
        <f ca="1">AU78*'1.5 Prognoser og indekser'!BI12</f>
        <v>#N/A</v>
      </c>
      <c r="AV79" s="1157" t="e">
        <f ca="1">AV78*'1.5 Prognoser og indekser'!BJ12</f>
        <v>#N/A</v>
      </c>
      <c r="AW79" s="1157" t="e">
        <f ca="1">AW78*'1.5 Prognoser og indekser'!BK12</f>
        <v>#N/A</v>
      </c>
      <c r="AX79" s="1157" t="e">
        <f ca="1">AX78*'1.5 Prognoser og indekser'!BL12</f>
        <v>#N/A</v>
      </c>
      <c r="AY79" s="1157" t="e">
        <f ca="1">AY78*'1.5 Prognoser og indekser'!BM12</f>
        <v>#N/A</v>
      </c>
      <c r="AZ79" s="1157" t="e">
        <f ca="1">AZ78*'1.5 Prognoser og indekser'!BN12</f>
        <v>#N/A</v>
      </c>
      <c r="BA79" s="1157" t="e">
        <f ca="1">BA78*'1.5 Prognoser og indekser'!BO12</f>
        <v>#N/A</v>
      </c>
      <c r="BB79" s="1157" t="e">
        <f ca="1">BB78*'1.5 Prognoser og indekser'!BP12</f>
        <v>#N/A</v>
      </c>
      <c r="BC79" s="1157" t="e">
        <f ca="1">BC78*'1.5 Prognoser og indekser'!BQ12</f>
        <v>#N/A</v>
      </c>
      <c r="BD79" s="1157" t="e">
        <f ca="1">BD78*'1.5 Prognoser og indekser'!BR12</f>
        <v>#N/A</v>
      </c>
      <c r="BE79" s="1157" t="e">
        <f ca="1">BE78*'1.5 Prognoser og indekser'!BS12</f>
        <v>#N/A</v>
      </c>
      <c r="BF79" s="1157" t="e">
        <f ca="1">BF78*'1.5 Prognoser og indekser'!BT12</f>
        <v>#N/A</v>
      </c>
      <c r="BG79" s="1157" t="e">
        <f ca="1">BG78*'1.5 Prognoser og indekser'!BU12</f>
        <v>#N/A</v>
      </c>
      <c r="BH79" s="1157" t="e">
        <f ca="1">BH78*'1.5 Prognoser og indekser'!BV12</f>
        <v>#N/A</v>
      </c>
      <c r="BI79" s="1157" t="e">
        <f ca="1">BI78*'1.5 Prognoser og indekser'!BW12</f>
        <v>#N/A</v>
      </c>
      <c r="BJ79" s="1157" t="e">
        <f ca="1">BJ78*'1.5 Prognoser og indekser'!BX12</f>
        <v>#N/A</v>
      </c>
      <c r="BK79" s="1157" t="e">
        <f ca="1">BK78*'1.5 Prognoser og indekser'!BY12</f>
        <v>#N/A</v>
      </c>
      <c r="BL79" s="1157" t="e">
        <f ca="1">BL78*'1.5 Prognoser og indekser'!BZ12</f>
        <v>#N/A</v>
      </c>
      <c r="BM79" s="1157" t="e">
        <f ca="1">BM78*'1.5 Prognoser og indekser'!CA12</f>
        <v>#N/A</v>
      </c>
      <c r="BN79" s="1157" t="e">
        <f ca="1">BN78*'1.5 Prognoser og indekser'!CB12</f>
        <v>#N/A</v>
      </c>
      <c r="BO79" s="1157" t="e">
        <f ca="1">BO78*'1.5 Prognoser og indekser'!CC12</f>
        <v>#N/A</v>
      </c>
      <c r="BP79" s="1157" t="e">
        <f ca="1">BP78*'1.5 Prognoser og indekser'!CD12</f>
        <v>#N/A</v>
      </c>
      <c r="BQ79" s="1157" t="e">
        <f ca="1">BQ78*'1.5 Prognoser og indekser'!CE12</f>
        <v>#N/A</v>
      </c>
      <c r="BR79" s="1157" t="e">
        <f ca="1">BR78*'1.5 Prognoser og indekser'!CF12</f>
        <v>#N/A</v>
      </c>
      <c r="BS79" s="1157" t="e">
        <f ca="1">BS78*'1.5 Prognoser og indekser'!CG12</f>
        <v>#N/A</v>
      </c>
      <c r="BT79" s="1157" t="e">
        <f ca="1">BT78*'1.5 Prognoser og indekser'!CH12</f>
        <v>#N/A</v>
      </c>
      <c r="BU79" s="1157" t="e">
        <f ca="1">BU78*'1.5 Prognoser og indekser'!CI12</f>
        <v>#N/A</v>
      </c>
      <c r="BV79" s="1157" t="e">
        <f ca="1">BV78*'1.5 Prognoser og indekser'!CJ12</f>
        <v>#N/A</v>
      </c>
      <c r="BW79" s="1157" t="e">
        <f ca="1">BW78*'1.5 Prognoser og indekser'!CK12</f>
        <v>#N/A</v>
      </c>
      <c r="BX79" s="1157" t="e">
        <f ca="1">BX78*'1.5 Prognoser og indekser'!CL12</f>
        <v>#N/A</v>
      </c>
      <c r="BY79" s="1157" t="e">
        <f ca="1">BY78*'1.5 Prognoser og indekser'!CM12</f>
        <v>#N/A</v>
      </c>
      <c r="BZ79" s="1157" t="e">
        <f ca="1">BZ78*'1.5 Prognoser og indekser'!CN12</f>
        <v>#N/A</v>
      </c>
      <c r="CA79" s="1157" t="e">
        <f ca="1">CA78*'1.5 Prognoser og indekser'!CO12</f>
        <v>#N/A</v>
      </c>
      <c r="CB79" s="1157" t="e">
        <f ca="1">CB78*'1.5 Prognoser og indekser'!CP12</f>
        <v>#N/A</v>
      </c>
      <c r="CC79" s="1157" t="e">
        <f ca="1">CC78*'1.5 Prognoser og indekser'!CQ12</f>
        <v>#N/A</v>
      </c>
      <c r="CD79" s="1157" t="e">
        <f ca="1">CD78*'1.5 Prognoser og indekser'!CR12</f>
        <v>#N/A</v>
      </c>
      <c r="CE79" s="1157" t="e">
        <f ca="1">CE78*'1.5 Prognoser og indekser'!CS12</f>
        <v>#N/A</v>
      </c>
      <c r="CF79" s="1157" t="e">
        <f ca="1">CF78*'1.5 Prognoser og indekser'!CT12</f>
        <v>#N/A</v>
      </c>
      <c r="CG79" s="1157" t="e">
        <f ca="1">CG78*'1.5 Prognoser og indekser'!CU12</f>
        <v>#N/A</v>
      </c>
      <c r="CH79" s="1157" t="e">
        <f ca="1">CH78*'1.5 Prognoser og indekser'!CV12</f>
        <v>#N/A</v>
      </c>
      <c r="CI79" s="1157" t="e">
        <f ca="1">CI78*'1.5 Prognoser og indekser'!CW12</f>
        <v>#N/A</v>
      </c>
      <c r="CJ79" s="1157" t="e">
        <f ca="1">CJ78*'1.5 Prognoser og indekser'!CX12</f>
        <v>#N/A</v>
      </c>
      <c r="CK79" s="1157" t="e">
        <f ca="1">CK78*'1.5 Prognoser og indekser'!CY12</f>
        <v>#N/A</v>
      </c>
      <c r="CL79" s="1157" t="e">
        <f ca="1">CL78*'1.5 Prognoser og indekser'!CZ12</f>
        <v>#N/A</v>
      </c>
      <c r="CM79" s="1157" t="e">
        <f ca="1">CM78*'1.5 Prognoser og indekser'!DA12</f>
        <v>#N/A</v>
      </c>
      <c r="CN79" s="1157" t="e">
        <f ca="1">CN78*'1.5 Prognoser og indekser'!DB12</f>
        <v>#N/A</v>
      </c>
      <c r="CO79" s="1157" t="e">
        <f ca="1">CO78*'1.5 Prognoser og indekser'!DC12</f>
        <v>#N/A</v>
      </c>
      <c r="CP79" s="1157" t="e">
        <f ca="1">CP78*'1.5 Prognoser og indekser'!DD12</f>
        <v>#N/A</v>
      </c>
      <c r="CQ79" s="1157" t="e">
        <f ca="1">CQ78*'1.5 Prognoser og indekser'!DE12</f>
        <v>#N/A</v>
      </c>
      <c r="CR79" s="1157" t="e">
        <f ca="1">CR78*'1.5 Prognoser og indekser'!DF12</f>
        <v>#N/A</v>
      </c>
      <c r="CS79" s="1157" t="e">
        <f ca="1">CS78*'1.5 Prognoser og indekser'!DG12</f>
        <v>#N/A</v>
      </c>
      <c r="CT79" s="1157" t="e">
        <f ca="1">CT78*'1.5 Prognoser og indekser'!DH12</f>
        <v>#N/A</v>
      </c>
      <c r="CU79" s="1157" t="e">
        <f ca="1">CU78*'1.5 Prognoser og indekser'!DI12</f>
        <v>#N/A</v>
      </c>
      <c r="CV79" s="1157" t="e">
        <f ca="1">CV78*'1.5 Prognoser og indekser'!DJ12</f>
        <v>#N/A</v>
      </c>
      <c r="CW79" s="1157" t="e">
        <f ca="1">CW78*'1.5 Prognoser og indekser'!DK12</f>
        <v>#N/A</v>
      </c>
      <c r="CX79" s="1157" t="e">
        <f ca="1">CX78*'1.5 Prognoser og indekser'!DL12</f>
        <v>#N/A</v>
      </c>
      <c r="CY79" s="1157" t="e">
        <f ca="1">CY78*'1.5 Prognoser og indekser'!DM12</f>
        <v>#N/A</v>
      </c>
      <c r="CZ79" s="1157" t="e">
        <f ca="1">CZ78*'1.5 Prognoser og indekser'!DN12</f>
        <v>#N/A</v>
      </c>
      <c r="DA79" s="1157" t="e">
        <f ca="1">DA78*'1.5 Prognoser og indekser'!DO12</f>
        <v>#N/A</v>
      </c>
      <c r="DB79" s="1157" t="e">
        <f ca="1">DB78*'1.5 Prognoser og indekser'!DP12</f>
        <v>#N/A</v>
      </c>
      <c r="DC79" s="1157" t="e">
        <f ca="1">DC78*'1.5 Prognoser og indekser'!DQ12</f>
        <v>#N/A</v>
      </c>
      <c r="DD79" s="1157" t="e">
        <f ca="1">DD78*'1.5 Prognoser og indekser'!DR12</f>
        <v>#N/A</v>
      </c>
      <c r="DE79" s="1157" t="e">
        <f ca="1">DE78*'1.5 Prognoser og indekser'!DS12</f>
        <v>#N/A</v>
      </c>
      <c r="DF79" s="1157" t="e">
        <f ca="1">DF78*'1.5 Prognoser og indekser'!DT12</f>
        <v>#N/A</v>
      </c>
      <c r="DG79" s="1157" t="e">
        <f ca="1">DG78*'1.5 Prognoser og indekser'!DU12</f>
        <v>#N/A</v>
      </c>
      <c r="DH79" s="1157" t="e">
        <f ca="1">DH78*'1.5 Prognoser og indekser'!DV12</f>
        <v>#N/A</v>
      </c>
      <c r="DI79" s="1170" t="e">
        <f ca="1">DI78*'1.5 Prognoser og indekser'!DW12</f>
        <v>#N/A</v>
      </c>
    </row>
    <row r="80" spans="1:113" x14ac:dyDescent="0.35">
      <c r="A80" s="685"/>
      <c r="B80" s="446" t="s">
        <v>2195</v>
      </c>
      <c r="C80" s="1157"/>
      <c r="D80" s="1157" t="e">
        <f>D79+C80</f>
        <v>#N/A</v>
      </c>
      <c r="E80" s="1157" t="e">
        <f t="shared" ref="E80:BP80" si="94">E79+D80</f>
        <v>#N/A</v>
      </c>
      <c r="F80" s="1157" t="e">
        <f t="shared" si="94"/>
        <v>#N/A</v>
      </c>
      <c r="G80" s="1157" t="e">
        <f t="shared" si="94"/>
        <v>#N/A</v>
      </c>
      <c r="H80" s="1157" t="e">
        <f t="shared" si="94"/>
        <v>#N/A</v>
      </c>
      <c r="I80" s="1157" t="e">
        <f t="shared" si="94"/>
        <v>#N/A</v>
      </c>
      <c r="J80" s="1157" t="e">
        <f>J79+I80</f>
        <v>#N/A</v>
      </c>
      <c r="K80" s="1157" t="e">
        <f t="shared" si="94"/>
        <v>#N/A</v>
      </c>
      <c r="L80" s="1157" t="e">
        <f t="shared" si="94"/>
        <v>#N/A</v>
      </c>
      <c r="M80" s="1157" t="e">
        <f t="shared" si="94"/>
        <v>#N/A</v>
      </c>
      <c r="N80" s="1157" t="e">
        <f t="shared" ca="1" si="94"/>
        <v>#N/A</v>
      </c>
      <c r="O80" s="1157" t="e">
        <f t="shared" ca="1" si="94"/>
        <v>#N/A</v>
      </c>
      <c r="P80" s="1157" t="e">
        <f t="shared" ca="1" si="94"/>
        <v>#N/A</v>
      </c>
      <c r="Q80" s="1157" t="e">
        <f t="shared" ca="1" si="94"/>
        <v>#N/A</v>
      </c>
      <c r="R80" s="1157" t="e">
        <f t="shared" ca="1" si="94"/>
        <v>#N/A</v>
      </c>
      <c r="S80" s="1157" t="e">
        <f t="shared" ca="1" si="94"/>
        <v>#N/A</v>
      </c>
      <c r="T80" s="1157" t="e">
        <f t="shared" ca="1" si="94"/>
        <v>#N/A</v>
      </c>
      <c r="U80" s="1157" t="e">
        <f t="shared" ca="1" si="94"/>
        <v>#N/A</v>
      </c>
      <c r="V80" s="1157" t="e">
        <f t="shared" ca="1" si="94"/>
        <v>#N/A</v>
      </c>
      <c r="W80" s="1157" t="e">
        <f t="shared" ca="1" si="94"/>
        <v>#N/A</v>
      </c>
      <c r="X80" s="1157" t="e">
        <f t="shared" ca="1" si="94"/>
        <v>#N/A</v>
      </c>
      <c r="Y80" s="1157" t="e">
        <f t="shared" ca="1" si="94"/>
        <v>#N/A</v>
      </c>
      <c r="Z80" s="1157" t="e">
        <f t="shared" ca="1" si="94"/>
        <v>#N/A</v>
      </c>
      <c r="AA80" s="1157" t="e">
        <f t="shared" ca="1" si="94"/>
        <v>#N/A</v>
      </c>
      <c r="AB80" s="1157" t="e">
        <f t="shared" ca="1" si="94"/>
        <v>#N/A</v>
      </c>
      <c r="AC80" s="1157" t="e">
        <f t="shared" ca="1" si="94"/>
        <v>#N/A</v>
      </c>
      <c r="AD80" s="1157" t="e">
        <f t="shared" ca="1" si="94"/>
        <v>#N/A</v>
      </c>
      <c r="AE80" s="1157" t="e">
        <f t="shared" ca="1" si="94"/>
        <v>#N/A</v>
      </c>
      <c r="AF80" s="1157" t="e">
        <f t="shared" ca="1" si="94"/>
        <v>#N/A</v>
      </c>
      <c r="AG80" s="1157" t="e">
        <f t="shared" ca="1" si="94"/>
        <v>#N/A</v>
      </c>
      <c r="AH80" s="1157" t="e">
        <f t="shared" ca="1" si="94"/>
        <v>#N/A</v>
      </c>
      <c r="AI80" s="1157" t="e">
        <f t="shared" ca="1" si="94"/>
        <v>#N/A</v>
      </c>
      <c r="AJ80" s="1157" t="e">
        <f t="shared" ca="1" si="94"/>
        <v>#N/A</v>
      </c>
      <c r="AK80" s="1157" t="e">
        <f t="shared" ca="1" si="94"/>
        <v>#N/A</v>
      </c>
      <c r="AL80" s="1157" t="e">
        <f t="shared" ca="1" si="94"/>
        <v>#N/A</v>
      </c>
      <c r="AM80" s="1157" t="e">
        <f t="shared" ca="1" si="94"/>
        <v>#N/A</v>
      </c>
      <c r="AN80" s="1157" t="e">
        <f t="shared" ca="1" si="94"/>
        <v>#N/A</v>
      </c>
      <c r="AO80" s="1157" t="e">
        <f t="shared" ca="1" si="94"/>
        <v>#N/A</v>
      </c>
      <c r="AP80" s="1157" t="e">
        <f t="shared" ca="1" si="94"/>
        <v>#N/A</v>
      </c>
      <c r="AQ80" s="1157" t="e">
        <f t="shared" ca="1" si="94"/>
        <v>#N/A</v>
      </c>
      <c r="AR80" s="1157" t="e">
        <f t="shared" ca="1" si="94"/>
        <v>#N/A</v>
      </c>
      <c r="AS80" s="1157" t="e">
        <f t="shared" ca="1" si="94"/>
        <v>#N/A</v>
      </c>
      <c r="AT80" s="1157" t="e">
        <f t="shared" ca="1" si="94"/>
        <v>#N/A</v>
      </c>
      <c r="AU80" s="1157" t="e">
        <f t="shared" ca="1" si="94"/>
        <v>#N/A</v>
      </c>
      <c r="AV80" s="1157" t="e">
        <f t="shared" ca="1" si="94"/>
        <v>#N/A</v>
      </c>
      <c r="AW80" s="1157" t="e">
        <f t="shared" ca="1" si="94"/>
        <v>#N/A</v>
      </c>
      <c r="AX80" s="1157" t="e">
        <f t="shared" ca="1" si="94"/>
        <v>#N/A</v>
      </c>
      <c r="AY80" s="1157" t="e">
        <f t="shared" ca="1" si="94"/>
        <v>#N/A</v>
      </c>
      <c r="AZ80" s="1157" t="e">
        <f t="shared" ca="1" si="94"/>
        <v>#N/A</v>
      </c>
      <c r="BA80" s="1157" t="e">
        <f t="shared" ca="1" si="94"/>
        <v>#N/A</v>
      </c>
      <c r="BB80" s="1157" t="e">
        <f t="shared" ca="1" si="94"/>
        <v>#N/A</v>
      </c>
      <c r="BC80" s="1157" t="e">
        <f t="shared" ca="1" si="94"/>
        <v>#N/A</v>
      </c>
      <c r="BD80" s="1157" t="e">
        <f t="shared" ca="1" si="94"/>
        <v>#N/A</v>
      </c>
      <c r="BE80" s="1157" t="e">
        <f t="shared" ca="1" si="94"/>
        <v>#N/A</v>
      </c>
      <c r="BF80" s="1157" t="e">
        <f t="shared" ca="1" si="94"/>
        <v>#N/A</v>
      </c>
      <c r="BG80" s="1157" t="e">
        <f t="shared" ca="1" si="94"/>
        <v>#N/A</v>
      </c>
      <c r="BH80" s="1157" t="e">
        <f t="shared" ca="1" si="94"/>
        <v>#N/A</v>
      </c>
      <c r="BI80" s="1157" t="e">
        <f t="shared" ca="1" si="94"/>
        <v>#N/A</v>
      </c>
      <c r="BJ80" s="1157" t="e">
        <f t="shared" ca="1" si="94"/>
        <v>#N/A</v>
      </c>
      <c r="BK80" s="1157" t="e">
        <f t="shared" ca="1" si="94"/>
        <v>#N/A</v>
      </c>
      <c r="BL80" s="1157" t="e">
        <f t="shared" ca="1" si="94"/>
        <v>#N/A</v>
      </c>
      <c r="BM80" s="1157" t="e">
        <f t="shared" ca="1" si="94"/>
        <v>#N/A</v>
      </c>
      <c r="BN80" s="1157" t="e">
        <f t="shared" ca="1" si="94"/>
        <v>#N/A</v>
      </c>
      <c r="BO80" s="1157" t="e">
        <f t="shared" ca="1" si="94"/>
        <v>#N/A</v>
      </c>
      <c r="BP80" s="1157" t="e">
        <f t="shared" ca="1" si="94"/>
        <v>#N/A</v>
      </c>
      <c r="BQ80" s="1157" t="e">
        <f t="shared" ref="BQ80:CK80" ca="1" si="95">BQ79+BP80</f>
        <v>#N/A</v>
      </c>
      <c r="BR80" s="1157" t="e">
        <f t="shared" ca="1" si="95"/>
        <v>#N/A</v>
      </c>
      <c r="BS80" s="1157" t="e">
        <f t="shared" ca="1" si="95"/>
        <v>#N/A</v>
      </c>
      <c r="BT80" s="1157" t="e">
        <f t="shared" ca="1" si="95"/>
        <v>#N/A</v>
      </c>
      <c r="BU80" s="1157" t="e">
        <f t="shared" ca="1" si="95"/>
        <v>#N/A</v>
      </c>
      <c r="BV80" s="1157" t="e">
        <f t="shared" ca="1" si="95"/>
        <v>#N/A</v>
      </c>
      <c r="BW80" s="1157" t="e">
        <f t="shared" ca="1" si="95"/>
        <v>#N/A</v>
      </c>
      <c r="BX80" s="1157" t="e">
        <f t="shared" ca="1" si="95"/>
        <v>#N/A</v>
      </c>
      <c r="BY80" s="1157" t="e">
        <f t="shared" ca="1" si="95"/>
        <v>#N/A</v>
      </c>
      <c r="BZ80" s="1157" t="e">
        <f t="shared" ca="1" si="95"/>
        <v>#N/A</v>
      </c>
      <c r="CA80" s="1157" t="e">
        <f t="shared" ca="1" si="95"/>
        <v>#N/A</v>
      </c>
      <c r="CB80" s="1157" t="e">
        <f t="shared" ca="1" si="95"/>
        <v>#N/A</v>
      </c>
      <c r="CC80" s="1157" t="e">
        <f t="shared" ca="1" si="95"/>
        <v>#N/A</v>
      </c>
      <c r="CD80" s="1157" t="e">
        <f t="shared" ca="1" si="95"/>
        <v>#N/A</v>
      </c>
      <c r="CE80" s="1157" t="e">
        <f t="shared" ca="1" si="95"/>
        <v>#N/A</v>
      </c>
      <c r="CF80" s="1157" t="e">
        <f t="shared" ca="1" si="95"/>
        <v>#N/A</v>
      </c>
      <c r="CG80" s="1157" t="e">
        <f t="shared" ca="1" si="95"/>
        <v>#N/A</v>
      </c>
      <c r="CH80" s="1157" t="e">
        <f t="shared" ca="1" si="95"/>
        <v>#N/A</v>
      </c>
      <c r="CI80" s="1157" t="e">
        <f t="shared" ca="1" si="95"/>
        <v>#N/A</v>
      </c>
      <c r="CJ80" s="1157" t="e">
        <f t="shared" ca="1" si="95"/>
        <v>#N/A</v>
      </c>
      <c r="CK80" s="1157" t="e">
        <f t="shared" ca="1" si="95"/>
        <v>#N/A</v>
      </c>
      <c r="CL80" s="1157" t="e">
        <f t="shared" ref="CL80" ca="1" si="96">CL79+CK80</f>
        <v>#N/A</v>
      </c>
      <c r="CM80" s="1157" t="e">
        <f t="shared" ref="CM80" ca="1" si="97">CM79+CL80</f>
        <v>#N/A</v>
      </c>
      <c r="CN80" s="1157" t="e">
        <f t="shared" ref="CN80" ca="1" si="98">CN79+CM80</f>
        <v>#N/A</v>
      </c>
      <c r="CO80" s="1157" t="e">
        <f t="shared" ref="CO80" ca="1" si="99">CO79+CN80</f>
        <v>#N/A</v>
      </c>
      <c r="CP80" s="1157" t="e">
        <f t="shared" ref="CP80" ca="1" si="100">CP79+CO80</f>
        <v>#N/A</v>
      </c>
      <c r="CQ80" s="1157" t="e">
        <f t="shared" ref="CQ80" ca="1" si="101">CQ79+CP80</f>
        <v>#N/A</v>
      </c>
      <c r="CR80" s="1157" t="e">
        <f t="shared" ref="CR80" ca="1" si="102">CR79+CQ80</f>
        <v>#N/A</v>
      </c>
      <c r="CS80" s="1157" t="e">
        <f t="shared" ref="CS80" ca="1" si="103">CS79+CR80</f>
        <v>#N/A</v>
      </c>
      <c r="CT80" s="1157" t="e">
        <f t="shared" ref="CT80" ca="1" si="104">CT79+CS80</f>
        <v>#N/A</v>
      </c>
      <c r="CU80" s="1157" t="e">
        <f t="shared" ref="CU80" ca="1" si="105">CU79+CT80</f>
        <v>#N/A</v>
      </c>
      <c r="CV80" s="1157" t="e">
        <f t="shared" ref="CV80" ca="1" si="106">CV79+CU80</f>
        <v>#N/A</v>
      </c>
      <c r="CW80" s="1157" t="e">
        <f t="shared" ref="CW80" ca="1" si="107">CW79+CV80</f>
        <v>#N/A</v>
      </c>
      <c r="CX80" s="1157" t="e">
        <f t="shared" ref="CX80" ca="1" si="108">CX79+CW80</f>
        <v>#N/A</v>
      </c>
      <c r="CY80" s="1157" t="e">
        <f t="shared" ref="CY80" ca="1" si="109">CY79+CX80</f>
        <v>#N/A</v>
      </c>
      <c r="CZ80" s="1157" t="e">
        <f t="shared" ref="CZ80" ca="1" si="110">CZ79+CY80</f>
        <v>#N/A</v>
      </c>
      <c r="DA80" s="1157" t="e">
        <f t="shared" ref="DA80" ca="1" si="111">DA79+CZ80</f>
        <v>#N/A</v>
      </c>
      <c r="DB80" s="1157" t="e">
        <f t="shared" ref="DB80" ca="1" si="112">DB79+DA80</f>
        <v>#N/A</v>
      </c>
      <c r="DC80" s="1157" t="e">
        <f t="shared" ref="DC80" ca="1" si="113">DC79+DB80</f>
        <v>#N/A</v>
      </c>
      <c r="DD80" s="1157" t="e">
        <f t="shared" ref="DD80" ca="1" si="114">DD79+DC80</f>
        <v>#N/A</v>
      </c>
      <c r="DE80" s="1157" t="e">
        <f t="shared" ref="DE80" ca="1" si="115">DE79+DD80</f>
        <v>#N/A</v>
      </c>
      <c r="DF80" s="1157" t="e">
        <f t="shared" ref="DF80" ca="1" si="116">DF79+DE80</f>
        <v>#N/A</v>
      </c>
      <c r="DG80" s="1157" t="e">
        <f t="shared" ref="DG80" ca="1" si="117">DG79+DF80</f>
        <v>#N/A</v>
      </c>
      <c r="DH80" s="1157" t="e">
        <f t="shared" ref="DH80:DI80" ca="1" si="118">DH79+DG80</f>
        <v>#N/A</v>
      </c>
      <c r="DI80" s="1170" t="e">
        <f t="shared" ca="1" si="118"/>
        <v>#N/A</v>
      </c>
    </row>
    <row r="81" spans="1:113" x14ac:dyDescent="0.35">
      <c r="A81" s="685"/>
      <c r="B81" s="446" t="s">
        <v>2196</v>
      </c>
      <c r="C81" s="1157"/>
      <c r="D81" s="1157" t="e">
        <f>IF(D80=0,NA(),ABS(D80))</f>
        <v>#N/A</v>
      </c>
      <c r="E81" s="1157" t="e">
        <f t="shared" ref="E81:BP81" si="119">IF(E80=0,NA(),ABS(E80))</f>
        <v>#N/A</v>
      </c>
      <c r="F81" s="1157" t="e">
        <f t="shared" si="119"/>
        <v>#N/A</v>
      </c>
      <c r="G81" s="1157" t="e">
        <f t="shared" si="119"/>
        <v>#N/A</v>
      </c>
      <c r="H81" s="1157" t="e">
        <f t="shared" si="119"/>
        <v>#N/A</v>
      </c>
      <c r="I81" s="1157" t="e">
        <f t="shared" si="119"/>
        <v>#N/A</v>
      </c>
      <c r="J81" s="1157" t="e">
        <f>IF(J80=0,NA(),ABS(J80))</f>
        <v>#N/A</v>
      </c>
      <c r="K81" s="1157" t="e">
        <f t="shared" si="119"/>
        <v>#N/A</v>
      </c>
      <c r="L81" s="1157" t="e">
        <f t="shared" si="119"/>
        <v>#N/A</v>
      </c>
      <c r="M81" s="1157" t="e">
        <f t="shared" si="119"/>
        <v>#N/A</v>
      </c>
      <c r="N81" s="1157" t="e">
        <f t="shared" ca="1" si="119"/>
        <v>#N/A</v>
      </c>
      <c r="O81" s="1157" t="e">
        <f t="shared" ca="1" si="119"/>
        <v>#N/A</v>
      </c>
      <c r="P81" s="1157" t="e">
        <f t="shared" ca="1" si="119"/>
        <v>#N/A</v>
      </c>
      <c r="Q81" s="1157" t="e">
        <f t="shared" ca="1" si="119"/>
        <v>#N/A</v>
      </c>
      <c r="R81" s="1157" t="e">
        <f t="shared" ca="1" si="119"/>
        <v>#N/A</v>
      </c>
      <c r="S81" s="1157" t="e">
        <f t="shared" ca="1" si="119"/>
        <v>#N/A</v>
      </c>
      <c r="T81" s="1157" t="e">
        <f t="shared" ca="1" si="119"/>
        <v>#N/A</v>
      </c>
      <c r="U81" s="1157" t="e">
        <f t="shared" ca="1" si="119"/>
        <v>#N/A</v>
      </c>
      <c r="V81" s="1157" t="e">
        <f t="shared" ca="1" si="119"/>
        <v>#N/A</v>
      </c>
      <c r="W81" s="1157" t="e">
        <f t="shared" ca="1" si="119"/>
        <v>#N/A</v>
      </c>
      <c r="X81" s="1157" t="e">
        <f t="shared" ca="1" si="119"/>
        <v>#N/A</v>
      </c>
      <c r="Y81" s="1157" t="e">
        <f t="shared" ca="1" si="119"/>
        <v>#N/A</v>
      </c>
      <c r="Z81" s="1157" t="e">
        <f t="shared" ca="1" si="119"/>
        <v>#N/A</v>
      </c>
      <c r="AA81" s="1157" t="e">
        <f t="shared" ca="1" si="119"/>
        <v>#N/A</v>
      </c>
      <c r="AB81" s="1157" t="e">
        <f t="shared" ca="1" si="119"/>
        <v>#N/A</v>
      </c>
      <c r="AC81" s="1157" t="e">
        <f t="shared" ca="1" si="119"/>
        <v>#N/A</v>
      </c>
      <c r="AD81" s="1157" t="e">
        <f t="shared" ca="1" si="119"/>
        <v>#N/A</v>
      </c>
      <c r="AE81" s="1157" t="e">
        <f t="shared" ca="1" si="119"/>
        <v>#N/A</v>
      </c>
      <c r="AF81" s="1157" t="e">
        <f t="shared" ca="1" si="119"/>
        <v>#N/A</v>
      </c>
      <c r="AG81" s="1157" t="e">
        <f t="shared" ca="1" si="119"/>
        <v>#N/A</v>
      </c>
      <c r="AH81" s="1157" t="e">
        <f t="shared" ca="1" si="119"/>
        <v>#N/A</v>
      </c>
      <c r="AI81" s="1157" t="e">
        <f t="shared" ca="1" si="119"/>
        <v>#N/A</v>
      </c>
      <c r="AJ81" s="1157" t="e">
        <f t="shared" ca="1" si="119"/>
        <v>#N/A</v>
      </c>
      <c r="AK81" s="1157" t="e">
        <f t="shared" ca="1" si="119"/>
        <v>#N/A</v>
      </c>
      <c r="AL81" s="1157" t="e">
        <f t="shared" ca="1" si="119"/>
        <v>#N/A</v>
      </c>
      <c r="AM81" s="1157" t="e">
        <f t="shared" ca="1" si="119"/>
        <v>#N/A</v>
      </c>
      <c r="AN81" s="1157" t="e">
        <f t="shared" ca="1" si="119"/>
        <v>#N/A</v>
      </c>
      <c r="AO81" s="1157" t="e">
        <f t="shared" ca="1" si="119"/>
        <v>#N/A</v>
      </c>
      <c r="AP81" s="1157" t="e">
        <f t="shared" ca="1" si="119"/>
        <v>#N/A</v>
      </c>
      <c r="AQ81" s="1157" t="e">
        <f t="shared" ca="1" si="119"/>
        <v>#N/A</v>
      </c>
      <c r="AR81" s="1157" t="e">
        <f t="shared" ca="1" si="119"/>
        <v>#N/A</v>
      </c>
      <c r="AS81" s="1157" t="e">
        <f t="shared" ca="1" si="119"/>
        <v>#N/A</v>
      </c>
      <c r="AT81" s="1157" t="e">
        <f t="shared" ca="1" si="119"/>
        <v>#N/A</v>
      </c>
      <c r="AU81" s="1157" t="e">
        <f t="shared" ca="1" si="119"/>
        <v>#N/A</v>
      </c>
      <c r="AV81" s="1157" t="e">
        <f t="shared" ca="1" si="119"/>
        <v>#N/A</v>
      </c>
      <c r="AW81" s="1157" t="e">
        <f t="shared" ca="1" si="119"/>
        <v>#N/A</v>
      </c>
      <c r="AX81" s="1157" t="e">
        <f t="shared" ca="1" si="119"/>
        <v>#N/A</v>
      </c>
      <c r="AY81" s="1157" t="e">
        <f t="shared" ca="1" si="119"/>
        <v>#N/A</v>
      </c>
      <c r="AZ81" s="1157" t="e">
        <f t="shared" ca="1" si="119"/>
        <v>#N/A</v>
      </c>
      <c r="BA81" s="1157" t="e">
        <f t="shared" ca="1" si="119"/>
        <v>#N/A</v>
      </c>
      <c r="BB81" s="1157" t="e">
        <f t="shared" ca="1" si="119"/>
        <v>#N/A</v>
      </c>
      <c r="BC81" s="1157" t="e">
        <f t="shared" ca="1" si="119"/>
        <v>#N/A</v>
      </c>
      <c r="BD81" s="1157" t="e">
        <f t="shared" ca="1" si="119"/>
        <v>#N/A</v>
      </c>
      <c r="BE81" s="1157" t="e">
        <f t="shared" ca="1" si="119"/>
        <v>#N/A</v>
      </c>
      <c r="BF81" s="1157" t="e">
        <f t="shared" ca="1" si="119"/>
        <v>#N/A</v>
      </c>
      <c r="BG81" s="1157" t="e">
        <f t="shared" ca="1" si="119"/>
        <v>#N/A</v>
      </c>
      <c r="BH81" s="1157" t="e">
        <f t="shared" ca="1" si="119"/>
        <v>#N/A</v>
      </c>
      <c r="BI81" s="1157" t="e">
        <f t="shared" ca="1" si="119"/>
        <v>#N/A</v>
      </c>
      <c r="BJ81" s="1157" t="e">
        <f t="shared" ca="1" si="119"/>
        <v>#N/A</v>
      </c>
      <c r="BK81" s="1157" t="e">
        <f t="shared" ca="1" si="119"/>
        <v>#N/A</v>
      </c>
      <c r="BL81" s="1157" t="e">
        <f t="shared" ca="1" si="119"/>
        <v>#N/A</v>
      </c>
      <c r="BM81" s="1157" t="e">
        <f t="shared" ca="1" si="119"/>
        <v>#N/A</v>
      </c>
      <c r="BN81" s="1157" t="e">
        <f t="shared" ca="1" si="119"/>
        <v>#N/A</v>
      </c>
      <c r="BO81" s="1157" t="e">
        <f t="shared" ca="1" si="119"/>
        <v>#N/A</v>
      </c>
      <c r="BP81" s="1157" t="e">
        <f t="shared" ca="1" si="119"/>
        <v>#N/A</v>
      </c>
      <c r="BQ81" s="1157" t="e">
        <f t="shared" ref="BQ81:CJ81" ca="1" si="120">IF(BQ80=0,NA(),ABS(BQ80))</f>
        <v>#N/A</v>
      </c>
      <c r="BR81" s="1157" t="e">
        <f t="shared" ca="1" si="120"/>
        <v>#N/A</v>
      </c>
      <c r="BS81" s="1157" t="e">
        <f t="shared" ca="1" si="120"/>
        <v>#N/A</v>
      </c>
      <c r="BT81" s="1157" t="e">
        <f t="shared" ca="1" si="120"/>
        <v>#N/A</v>
      </c>
      <c r="BU81" s="1157" t="e">
        <f t="shared" ca="1" si="120"/>
        <v>#N/A</v>
      </c>
      <c r="BV81" s="1157" t="e">
        <f t="shared" ca="1" si="120"/>
        <v>#N/A</v>
      </c>
      <c r="BW81" s="1157" t="e">
        <f t="shared" ca="1" si="120"/>
        <v>#N/A</v>
      </c>
      <c r="BX81" s="1157" t="e">
        <f t="shared" ca="1" si="120"/>
        <v>#N/A</v>
      </c>
      <c r="BY81" s="1157" t="e">
        <f t="shared" ca="1" si="120"/>
        <v>#N/A</v>
      </c>
      <c r="BZ81" s="1157" t="e">
        <f t="shared" ca="1" si="120"/>
        <v>#N/A</v>
      </c>
      <c r="CA81" s="1157" t="e">
        <f t="shared" ca="1" si="120"/>
        <v>#N/A</v>
      </c>
      <c r="CB81" s="1157" t="e">
        <f t="shared" ca="1" si="120"/>
        <v>#N/A</v>
      </c>
      <c r="CC81" s="1157" t="e">
        <f t="shared" ca="1" si="120"/>
        <v>#N/A</v>
      </c>
      <c r="CD81" s="1157" t="e">
        <f t="shared" ca="1" si="120"/>
        <v>#N/A</v>
      </c>
      <c r="CE81" s="1157" t="e">
        <f t="shared" ca="1" si="120"/>
        <v>#N/A</v>
      </c>
      <c r="CF81" s="1157" t="e">
        <f t="shared" ca="1" si="120"/>
        <v>#N/A</v>
      </c>
      <c r="CG81" s="1157" t="e">
        <f t="shared" ca="1" si="120"/>
        <v>#N/A</v>
      </c>
      <c r="CH81" s="1157" t="e">
        <f t="shared" ca="1" si="120"/>
        <v>#N/A</v>
      </c>
      <c r="CI81" s="1157" t="e">
        <f t="shared" ca="1" si="120"/>
        <v>#N/A</v>
      </c>
      <c r="CJ81" s="1157" t="e">
        <f t="shared" ca="1" si="120"/>
        <v>#N/A</v>
      </c>
      <c r="CK81" s="1157" t="e">
        <f t="shared" ref="CK81:DH81" ca="1" si="121">IF(CK80=0,NA(),ABS(CK80))</f>
        <v>#N/A</v>
      </c>
      <c r="CL81" s="1157" t="e">
        <f t="shared" ca="1" si="121"/>
        <v>#N/A</v>
      </c>
      <c r="CM81" s="1157" t="e">
        <f t="shared" ca="1" si="121"/>
        <v>#N/A</v>
      </c>
      <c r="CN81" s="1157" t="e">
        <f t="shared" ca="1" si="121"/>
        <v>#N/A</v>
      </c>
      <c r="CO81" s="1157" t="e">
        <f t="shared" ca="1" si="121"/>
        <v>#N/A</v>
      </c>
      <c r="CP81" s="1157" t="e">
        <f t="shared" ca="1" si="121"/>
        <v>#N/A</v>
      </c>
      <c r="CQ81" s="1157" t="e">
        <f t="shared" ca="1" si="121"/>
        <v>#N/A</v>
      </c>
      <c r="CR81" s="1157" t="e">
        <f t="shared" ca="1" si="121"/>
        <v>#N/A</v>
      </c>
      <c r="CS81" s="1157" t="e">
        <f t="shared" ca="1" si="121"/>
        <v>#N/A</v>
      </c>
      <c r="CT81" s="1157" t="e">
        <f t="shared" ca="1" si="121"/>
        <v>#N/A</v>
      </c>
      <c r="CU81" s="1157" t="e">
        <f t="shared" ca="1" si="121"/>
        <v>#N/A</v>
      </c>
      <c r="CV81" s="1157" t="e">
        <f t="shared" ca="1" si="121"/>
        <v>#N/A</v>
      </c>
      <c r="CW81" s="1157" t="e">
        <f t="shared" ca="1" si="121"/>
        <v>#N/A</v>
      </c>
      <c r="CX81" s="1157" t="e">
        <f t="shared" ca="1" si="121"/>
        <v>#N/A</v>
      </c>
      <c r="CY81" s="1157" t="e">
        <f t="shared" ca="1" si="121"/>
        <v>#N/A</v>
      </c>
      <c r="CZ81" s="1157" t="e">
        <f t="shared" ca="1" si="121"/>
        <v>#N/A</v>
      </c>
      <c r="DA81" s="1157" t="e">
        <f t="shared" ca="1" si="121"/>
        <v>#N/A</v>
      </c>
      <c r="DB81" s="1157" t="e">
        <f t="shared" ca="1" si="121"/>
        <v>#N/A</v>
      </c>
      <c r="DC81" s="1157" t="e">
        <f t="shared" ca="1" si="121"/>
        <v>#N/A</v>
      </c>
      <c r="DD81" s="1157" t="e">
        <f t="shared" ca="1" si="121"/>
        <v>#N/A</v>
      </c>
      <c r="DE81" s="1157" t="e">
        <f t="shared" ca="1" si="121"/>
        <v>#N/A</v>
      </c>
      <c r="DF81" s="1157" t="e">
        <f t="shared" ca="1" si="121"/>
        <v>#N/A</v>
      </c>
      <c r="DG81" s="1157" t="e">
        <f t="shared" ca="1" si="121"/>
        <v>#N/A</v>
      </c>
      <c r="DH81" s="1157" t="e">
        <f t="shared" ca="1" si="121"/>
        <v>#N/A</v>
      </c>
      <c r="DI81" s="1170" t="e">
        <f t="shared" ref="DI81" ca="1" si="122">IF(DI80=0,NA(),ABS(DI80))</f>
        <v>#N/A</v>
      </c>
    </row>
    <row r="82" spans="1:113" x14ac:dyDescent="0.35">
      <c r="A82" s="685"/>
      <c r="B82" s="446" t="s">
        <v>2197</v>
      </c>
      <c r="C82" s="1157"/>
      <c r="D82" s="1157" t="e" cm="1">
        <f t="array" aca="1" ref="D82" ca="1">IF(AND(C80&lt;0,D81=MIN(IF(ISNUMBER($D$81:$CJ$81),$D$81:$CJ$81))),0,NA())</f>
        <v>#N/A</v>
      </c>
      <c r="E82" s="1157" t="e" cm="1">
        <f t="array" aca="1" ref="E82" ca="1">IF(AND(D80&lt;0,E81=MIN(IF(ISNUMBER($D$81:$CJ$81),$D$81:$CJ$81))),0,NA())</f>
        <v>#N/A</v>
      </c>
      <c r="F82" s="1157" t="e" cm="1">
        <f t="array" aca="1" ref="F82" ca="1">IF(AND(E80&lt;0,F81=MIN(IF(ISNUMBER($D$81:$CJ$81),$D$81:$CJ$81))),0,NA())</f>
        <v>#N/A</v>
      </c>
      <c r="G82" s="1157" t="e" cm="1">
        <f t="array" aca="1" ref="G82" ca="1">IF(AND(F80&lt;0,G81=MIN(IF(ISNUMBER($D$81:$CJ$81),$D$81:$CJ$81))),0,NA())</f>
        <v>#N/A</v>
      </c>
      <c r="H82" s="1157" t="e" cm="1">
        <f t="array" aca="1" ref="H82" ca="1">IF(AND(G80&lt;0,H81=MIN(IF(ISNUMBER($D$81:$CJ$81),$D$81:$CJ$81))),0,NA())</f>
        <v>#N/A</v>
      </c>
      <c r="I82" s="1157" t="e" cm="1">
        <f t="array" aca="1" ref="I82" ca="1">IF(AND(H80&lt;0,I81=MIN(IF(ISNUMBER($D$81:$CJ$81),$D$81:$CJ$81))),0,NA())</f>
        <v>#N/A</v>
      </c>
      <c r="J82" s="1157" t="e" cm="1">
        <f t="array" aca="1" ref="J82" ca="1">IF(AND(I80&lt;0,J81=MIN(IF(ISNUMBER($D$81:$CJ$81),$D$81:$CJ$81))),0,NA())</f>
        <v>#N/A</v>
      </c>
      <c r="K82" s="1157" t="e" cm="1">
        <f t="array" aca="1" ref="K82" ca="1">IF(AND(J80&lt;0,K81=MIN(IF(ISNUMBER($D$81:$CJ$81),$D$81:$CJ$81))),0,NA())</f>
        <v>#N/A</v>
      </c>
      <c r="L82" s="1157" t="e" cm="1">
        <f t="array" aca="1" ref="L82" ca="1">IF(AND(K80&lt;0,L81=MIN(IF(ISNUMBER($D$81:$CJ$81),$D$81:$CJ$81))),0,NA())</f>
        <v>#N/A</v>
      </c>
      <c r="M82" s="1157" t="e" cm="1">
        <f t="array" aca="1" ref="M82" ca="1">IF(AND(L80&lt;0,M81=MIN(IF(ISNUMBER($D$81:$CJ$81),$D$81:$CJ$81))),0,NA())</f>
        <v>#N/A</v>
      </c>
      <c r="N82" s="1157" t="e" cm="1">
        <f t="array" aca="1" ref="N82" ca="1">IF(AND(M80&lt;0,N81=MIN(IF(ISNUMBER($D$81:$CJ$81),$D$81:$CJ$81))),0,NA())</f>
        <v>#N/A</v>
      </c>
      <c r="O82" s="1157" t="e" cm="1">
        <f t="array" aca="1" ref="O82" ca="1">IF(AND(N80&lt;0,O81=MIN(IF(ISNUMBER($D$81:$CJ$81),$D$81:$CJ$81))),0,NA())</f>
        <v>#N/A</v>
      </c>
      <c r="P82" s="1157" t="e" cm="1">
        <f t="array" aca="1" ref="P82" ca="1">IF(AND(O80&lt;0,P81=MIN(IF(ISNUMBER($D$81:$CJ$81),$D$81:$CJ$81))),0,NA())</f>
        <v>#N/A</v>
      </c>
      <c r="Q82" s="1157" t="e" cm="1">
        <f t="array" aca="1" ref="Q82" ca="1">IF(AND(P80&lt;0,Q81=MIN(IF(ISNUMBER($D$81:$CJ$81),$D$81:$CJ$81))),0,NA())</f>
        <v>#N/A</v>
      </c>
      <c r="R82" s="1157" t="e" cm="1">
        <f t="array" aca="1" ref="R82" ca="1">IF(AND(Q80&lt;0,R81=MIN(IF(ISNUMBER($D$81:$CJ$81),$D$81:$CJ$81))),0,NA())</f>
        <v>#N/A</v>
      </c>
      <c r="S82" s="1157" t="e" cm="1">
        <f t="array" aca="1" ref="S82" ca="1">IF(AND(R80&lt;0,S81=MIN(IF(ISNUMBER($D$81:$CJ$81),$D$81:$CJ$81))),0,NA())</f>
        <v>#N/A</v>
      </c>
      <c r="T82" s="1157" t="e" cm="1">
        <f t="array" aca="1" ref="T82" ca="1">IF(AND(S80&lt;0,T81=MIN(IF(ISNUMBER($D$81:$CJ$81),$D$81:$CJ$81))),0,NA())</f>
        <v>#N/A</v>
      </c>
      <c r="U82" s="1157" t="e" cm="1">
        <f t="array" aca="1" ref="U82" ca="1">IF(AND(T80&lt;0,U81=MIN(IF(ISNUMBER($D$81:$CJ$81),$D$81:$CJ$81))),0,NA())</f>
        <v>#N/A</v>
      </c>
      <c r="V82" s="1157" t="e" cm="1">
        <f t="array" aca="1" ref="V82" ca="1">IF(AND(U80&lt;0,V81=MIN(IF(ISNUMBER($D$81:$CJ$81),$D$81:$CJ$81))),0,NA())</f>
        <v>#N/A</v>
      </c>
      <c r="W82" s="1157" t="e" cm="1">
        <f t="array" aca="1" ref="W82" ca="1">IF(AND(V80&lt;0,W81=MIN(IF(ISNUMBER($D$81:$CJ$81),$D$81:$CJ$81))),0,NA())</f>
        <v>#N/A</v>
      </c>
      <c r="X82" s="1157" t="e" cm="1">
        <f t="array" aca="1" ref="X82" ca="1">IF(AND(W80&lt;0,X81=MIN(IF(ISNUMBER($D$81:$CJ$81),$D$81:$CJ$81))),0,NA())</f>
        <v>#N/A</v>
      </c>
      <c r="Y82" s="1157" t="e" cm="1">
        <f t="array" aca="1" ref="Y82" ca="1">IF(AND(X80&lt;0,Y81=MIN(IF(ISNUMBER($D$81:$CJ$81),$D$81:$CJ$81))),0,NA())</f>
        <v>#N/A</v>
      </c>
      <c r="Z82" s="1157" t="e" cm="1">
        <f t="array" aca="1" ref="Z82" ca="1">IF(AND(Y80&lt;0,Z81=MIN(IF(ISNUMBER($D$81:$CJ$81),$D$81:$CJ$81))),0,NA())</f>
        <v>#N/A</v>
      </c>
      <c r="AA82" s="1157" t="e" cm="1">
        <f t="array" aca="1" ref="AA82" ca="1">IF(AND(Z80&lt;0,AA81=MIN(IF(ISNUMBER($D$81:$CJ$81),$D$81:$CJ$81))),0,NA())</f>
        <v>#N/A</v>
      </c>
      <c r="AB82" s="1157" t="e" cm="1">
        <f t="array" aca="1" ref="AB82" ca="1">IF(AND(AA80&lt;0,AB81=MIN(IF(ISNUMBER($D$81:$CJ$81),$D$81:$CJ$81))),0,NA())</f>
        <v>#N/A</v>
      </c>
      <c r="AC82" s="1157" t="e" cm="1">
        <f t="array" aca="1" ref="AC82" ca="1">IF(AND(AB80&lt;0,AC81=MIN(IF(ISNUMBER($D$81:$CJ$81),$D$81:$CJ$81))),0,NA())</f>
        <v>#N/A</v>
      </c>
      <c r="AD82" s="1157" t="e" cm="1">
        <f t="array" aca="1" ref="AD82" ca="1">IF(AND(AC80&lt;0,AD81=MIN(IF(ISNUMBER($D$81:$CJ$81),$D$81:$CJ$81))),0,NA())</f>
        <v>#N/A</v>
      </c>
      <c r="AE82" s="1157" t="e" cm="1">
        <f t="array" aca="1" ref="AE82" ca="1">IF(AND(AD80&lt;0,AE81=MIN(IF(ISNUMBER($D$81:$CJ$81),$D$81:$CJ$81))),0,NA())</f>
        <v>#N/A</v>
      </c>
      <c r="AF82" s="1157" t="e" cm="1">
        <f t="array" aca="1" ref="AF82" ca="1">IF(AND(AE80&lt;0,AF81=MIN(IF(ISNUMBER($D$81:$CJ$81),$D$81:$CJ$81))),0,NA())</f>
        <v>#N/A</v>
      </c>
      <c r="AG82" s="1157" t="e" cm="1">
        <f t="array" aca="1" ref="AG82" ca="1">IF(AND(AF80&lt;0,AG81=MIN(IF(ISNUMBER($D$81:$CJ$81),$D$81:$CJ$81))),0,NA())</f>
        <v>#N/A</v>
      </c>
      <c r="AH82" s="1157" t="e" cm="1">
        <f t="array" aca="1" ref="AH82" ca="1">IF(AND(AG80&lt;0,AH81=MIN(IF(ISNUMBER($D$81:$CJ$81),$D$81:$CJ$81))),0,NA())</f>
        <v>#N/A</v>
      </c>
      <c r="AI82" s="1157" t="e" cm="1">
        <f t="array" aca="1" ref="AI82" ca="1">IF(AND(AH80&lt;0,AI81=MIN(IF(ISNUMBER($D$81:$CJ$81),$D$81:$CJ$81))),0,NA())</f>
        <v>#N/A</v>
      </c>
      <c r="AJ82" s="1157" t="e" cm="1">
        <f t="array" aca="1" ref="AJ82" ca="1">IF(AND(AI80&lt;0,AJ81=MIN(IF(ISNUMBER($D$81:$CJ$81),$D$81:$CJ$81))),0,NA())</f>
        <v>#N/A</v>
      </c>
      <c r="AK82" s="1157" t="e" cm="1">
        <f t="array" aca="1" ref="AK82" ca="1">IF(AND(AJ80&lt;0,AK81=MIN(IF(ISNUMBER($D$81:$CJ$81),$D$81:$CJ$81))),0,NA())</f>
        <v>#N/A</v>
      </c>
      <c r="AL82" s="1157" t="e" cm="1">
        <f t="array" aca="1" ref="AL82" ca="1">IF(AND(AK80&lt;0,AL81=MIN(IF(ISNUMBER($D$81:$CJ$81),$D$81:$CJ$81))),0,NA())</f>
        <v>#N/A</v>
      </c>
      <c r="AM82" s="1157" t="e" cm="1">
        <f t="array" aca="1" ref="AM82" ca="1">IF(AND(AL80&lt;0,AM81=MIN(IF(ISNUMBER($D$81:$CJ$81),$D$81:$CJ$81))),0,NA())</f>
        <v>#N/A</v>
      </c>
      <c r="AN82" s="1157" t="e" cm="1">
        <f t="array" aca="1" ref="AN82" ca="1">IF(AND(AM80&lt;0,AN81=MIN(IF(ISNUMBER($D$81:$CJ$81),$D$81:$CJ$81))),0,NA())</f>
        <v>#N/A</v>
      </c>
      <c r="AO82" s="1157" t="e" cm="1">
        <f t="array" aca="1" ref="AO82" ca="1">IF(AND(AN80&lt;0,AO81=MIN(IF(ISNUMBER($D$81:$CJ$81),$D$81:$CJ$81))),0,NA())</f>
        <v>#N/A</v>
      </c>
      <c r="AP82" s="1157" t="e" cm="1">
        <f t="array" aca="1" ref="AP82" ca="1">IF(AND(AO80&lt;0,AP81=MIN(IF(ISNUMBER($D$81:$CJ$81),$D$81:$CJ$81))),0,NA())</f>
        <v>#N/A</v>
      </c>
      <c r="AQ82" s="1157" t="e" cm="1">
        <f t="array" aca="1" ref="AQ82" ca="1">IF(AND(AP80&lt;0,AQ81=MIN(IF(ISNUMBER($D$81:$CJ$81),$D$81:$CJ$81))),0,NA())</f>
        <v>#N/A</v>
      </c>
      <c r="AR82" s="1157" t="e" cm="1">
        <f t="array" aca="1" ref="AR82" ca="1">IF(AND(AQ80&lt;0,AR81=MIN(IF(ISNUMBER($D$81:$CJ$81),$D$81:$CJ$81))),0,NA())</f>
        <v>#N/A</v>
      </c>
      <c r="AS82" s="1157" t="e" cm="1">
        <f t="array" aca="1" ref="AS82" ca="1">IF(AND(AR80&lt;0,AS81=MIN(IF(ISNUMBER($D$81:$CJ$81),$D$81:$CJ$81))),0,NA())</f>
        <v>#N/A</v>
      </c>
      <c r="AT82" s="1157" t="e" cm="1">
        <f t="array" aca="1" ref="AT82" ca="1">IF(AND(AS80&lt;0,AT81=MIN(IF(ISNUMBER($D$81:$CJ$81),$D$81:$CJ$81))),0,NA())</f>
        <v>#N/A</v>
      </c>
      <c r="AU82" s="1157" t="e" cm="1">
        <f t="array" aca="1" ref="AU82" ca="1">IF(AND(AT80&lt;0,AU81=MIN(IF(ISNUMBER($D$81:$CJ$81),$D$81:$CJ$81))),0,NA())</f>
        <v>#N/A</v>
      </c>
      <c r="AV82" s="1157" t="e" cm="1">
        <f t="array" aca="1" ref="AV82" ca="1">IF(AND(AU80&lt;0,AV81=MIN(IF(ISNUMBER($D$81:$CJ$81),$D$81:$CJ$81))),0,NA())</f>
        <v>#N/A</v>
      </c>
      <c r="AW82" s="1157" t="e" cm="1">
        <f t="array" aca="1" ref="AW82" ca="1">IF(AND(AV80&lt;0,AW81=MIN(IF(ISNUMBER($D$81:$CJ$81),$D$81:$CJ$81))),0,NA())</f>
        <v>#N/A</v>
      </c>
      <c r="AX82" s="1157" t="e" cm="1">
        <f t="array" aca="1" ref="AX82" ca="1">IF(AND(AW80&lt;0,AX81=MIN(IF(ISNUMBER($D$81:$CJ$81),$D$81:$CJ$81))),0,NA())</f>
        <v>#N/A</v>
      </c>
      <c r="AY82" s="1157" t="e" cm="1">
        <f t="array" aca="1" ref="AY82" ca="1">IF(AND(AX80&lt;0,AY81=MIN(IF(ISNUMBER($D$81:$CJ$81),$D$81:$CJ$81))),0,NA())</f>
        <v>#N/A</v>
      </c>
      <c r="AZ82" s="1157" t="e" cm="1">
        <f t="array" aca="1" ref="AZ82" ca="1">IF(AND(AY80&lt;0,AZ81=MIN(IF(ISNUMBER($D$81:$CJ$81),$D$81:$CJ$81))),0,NA())</f>
        <v>#N/A</v>
      </c>
      <c r="BA82" s="1157" t="e" cm="1">
        <f t="array" aca="1" ref="BA82" ca="1">IF(AND(AZ80&lt;0,BA81=MIN(IF(ISNUMBER($D$81:$CJ$81),$D$81:$CJ$81))),0,NA())</f>
        <v>#N/A</v>
      </c>
      <c r="BB82" s="1157" t="e" cm="1">
        <f t="array" aca="1" ref="BB82" ca="1">IF(AND(BA80&lt;0,BB81=MIN(IF(ISNUMBER($D$81:$CJ$81),$D$81:$CJ$81))),0,NA())</f>
        <v>#N/A</v>
      </c>
      <c r="BC82" s="1157" t="e" cm="1">
        <f t="array" aca="1" ref="BC82" ca="1">IF(AND(BB80&lt;0,BC81=MIN(IF(ISNUMBER($D$81:$CJ$81),$D$81:$CJ$81))),0,NA())</f>
        <v>#N/A</v>
      </c>
      <c r="BD82" s="1157" t="e" cm="1">
        <f t="array" aca="1" ref="BD82" ca="1">IF(AND(BC80&lt;0,BD81=MIN(IF(ISNUMBER($D$81:$CJ$81),$D$81:$CJ$81))),0,NA())</f>
        <v>#N/A</v>
      </c>
      <c r="BE82" s="1157" t="e" cm="1">
        <f t="array" aca="1" ref="BE82" ca="1">IF(AND(BD80&lt;0,BE81=MIN(IF(ISNUMBER($D$81:$CJ$81),$D$81:$CJ$81))),0,NA())</f>
        <v>#N/A</v>
      </c>
      <c r="BF82" s="1157" t="e" cm="1">
        <f t="array" aca="1" ref="BF82" ca="1">IF(AND(BE80&lt;0,BF81=MIN(IF(ISNUMBER($D$81:$CJ$81),$D$81:$CJ$81))),0,NA())</f>
        <v>#N/A</v>
      </c>
      <c r="BG82" s="1157" t="e" cm="1">
        <f t="array" aca="1" ref="BG82" ca="1">IF(AND(BF80&lt;0,BG81=MIN(IF(ISNUMBER($D$81:$CJ$81),$D$81:$CJ$81))),0,NA())</f>
        <v>#N/A</v>
      </c>
      <c r="BH82" s="1157" t="e" cm="1">
        <f t="array" aca="1" ref="BH82" ca="1">IF(AND(BG80&lt;0,BH81=MIN(IF(ISNUMBER($D$81:$CJ$81),$D$81:$CJ$81))),0,NA())</f>
        <v>#N/A</v>
      </c>
      <c r="BI82" s="1157" t="e" cm="1">
        <f t="array" aca="1" ref="BI82" ca="1">IF(AND(BH80&lt;0,BI81=MIN(IF(ISNUMBER($D$81:$CJ$81),$D$81:$CJ$81))),0,NA())</f>
        <v>#N/A</v>
      </c>
      <c r="BJ82" s="1157" t="e" cm="1">
        <f t="array" aca="1" ref="BJ82" ca="1">IF(AND(BI80&lt;0,BJ81=MIN(IF(ISNUMBER($D$81:$CJ$81),$D$81:$CJ$81))),0,NA())</f>
        <v>#N/A</v>
      </c>
      <c r="BK82" s="1157" t="e" cm="1">
        <f t="array" aca="1" ref="BK82" ca="1">IF(AND(BJ80&lt;0,BK81=MIN(IF(ISNUMBER($D$81:$CJ$81),$D$81:$CJ$81))),0,NA())</f>
        <v>#N/A</v>
      </c>
      <c r="BL82" s="1157" t="e" cm="1">
        <f t="array" aca="1" ref="BL82" ca="1">IF(AND(BK80&lt;0,BL81=MIN(IF(ISNUMBER($D$81:$CJ$81),$D$81:$CJ$81))),0,NA())</f>
        <v>#N/A</v>
      </c>
      <c r="BM82" s="1157" t="e" cm="1">
        <f t="array" aca="1" ref="BM82" ca="1">IF(AND(BL80&lt;0,BM81=MIN(IF(ISNUMBER($D$81:$CJ$81),$D$81:$CJ$81))),0,NA())</f>
        <v>#N/A</v>
      </c>
      <c r="BN82" s="1157" t="e" cm="1">
        <f t="array" aca="1" ref="BN82" ca="1">IF(AND(BM80&lt;0,BN81=MIN(IF(ISNUMBER($D$81:$CJ$81),$D$81:$CJ$81))),0,NA())</f>
        <v>#N/A</v>
      </c>
      <c r="BO82" s="1157" t="e" cm="1">
        <f t="array" aca="1" ref="BO82" ca="1">IF(AND(BN80&lt;0,BO81=MIN(IF(ISNUMBER($D$81:$CJ$81),$D$81:$CJ$81))),0,NA())</f>
        <v>#N/A</v>
      </c>
      <c r="BP82" s="1157" t="e" cm="1">
        <f t="array" aca="1" ref="BP82" ca="1">IF(AND(BO80&lt;0,BP81=MIN(IF(ISNUMBER($D$81:$CJ$81),$D$81:$CJ$81))),0,NA())</f>
        <v>#N/A</v>
      </c>
      <c r="BQ82" s="1157" t="e" cm="1">
        <f t="array" aca="1" ref="BQ82" ca="1">IF(AND(BP80&lt;0,BQ81=MIN(IF(ISNUMBER($D$81:$CJ$81),$D$81:$CJ$81))),0,NA())</f>
        <v>#N/A</v>
      </c>
      <c r="BR82" s="1157" t="e" cm="1">
        <f t="array" aca="1" ref="BR82" ca="1">IF(AND(BQ80&lt;0,BR81=MIN(IF(ISNUMBER($D$81:$CJ$81),$D$81:$CJ$81))),0,NA())</f>
        <v>#N/A</v>
      </c>
      <c r="BS82" s="1157" t="e" cm="1">
        <f t="array" aca="1" ref="BS82" ca="1">IF(AND(BR80&lt;0,BS81=MIN(IF(ISNUMBER($D$81:$CJ$81),$D$81:$CJ$81))),0,NA())</f>
        <v>#N/A</v>
      </c>
      <c r="BT82" s="1157" t="e" cm="1">
        <f t="array" aca="1" ref="BT82" ca="1">IF(AND(BS80&lt;0,BT81=MIN(IF(ISNUMBER($D$81:$CJ$81),$D$81:$CJ$81))),0,NA())</f>
        <v>#N/A</v>
      </c>
      <c r="BU82" s="1157" t="e" cm="1">
        <f t="array" aca="1" ref="BU82" ca="1">IF(AND(BT80&lt;0,BU81=MIN(IF(ISNUMBER($D$81:$CJ$81),$D$81:$CJ$81))),0,NA())</f>
        <v>#N/A</v>
      </c>
      <c r="BV82" s="1157" t="e" cm="1">
        <f t="array" aca="1" ref="BV82" ca="1">IF(AND(BU80&lt;0,BV81=MIN(IF(ISNUMBER($D$81:$CJ$81),$D$81:$CJ$81))),0,NA())</f>
        <v>#N/A</v>
      </c>
      <c r="BW82" s="1157" t="e" cm="1">
        <f t="array" aca="1" ref="BW82" ca="1">IF(AND(BV80&lt;0,BW81=MIN(IF(ISNUMBER($D$81:$CJ$81),$D$81:$CJ$81))),0,NA())</f>
        <v>#N/A</v>
      </c>
      <c r="BX82" s="1157" t="e" cm="1">
        <f t="array" aca="1" ref="BX82" ca="1">IF(AND(BW80&lt;0,BX81=MIN(IF(ISNUMBER($D$81:$CJ$81),$D$81:$CJ$81))),0,NA())</f>
        <v>#N/A</v>
      </c>
      <c r="BY82" s="1157" t="e" cm="1">
        <f t="array" aca="1" ref="BY82" ca="1">IF(AND(BX80&lt;0,BY81=MIN(IF(ISNUMBER($D$81:$CJ$81),$D$81:$CJ$81))),0,NA())</f>
        <v>#N/A</v>
      </c>
      <c r="BZ82" s="1157" t="e" cm="1">
        <f t="array" aca="1" ref="BZ82" ca="1">IF(AND(BY80&lt;0,BZ81=MIN(IF(ISNUMBER($D$81:$CJ$81),$D$81:$CJ$81))),0,NA())</f>
        <v>#N/A</v>
      </c>
      <c r="CA82" s="1157" t="e" cm="1">
        <f t="array" aca="1" ref="CA82" ca="1">IF(AND(BZ80&lt;0,CA81=MIN(IF(ISNUMBER($D$81:$CJ$81),$D$81:$CJ$81))),0,NA())</f>
        <v>#N/A</v>
      </c>
      <c r="CB82" s="1157" t="e" cm="1">
        <f t="array" aca="1" ref="CB82" ca="1">IF(AND(CA80&lt;0,CB81=MIN(IF(ISNUMBER($D$81:$CJ$81),$D$81:$CJ$81))),0,NA())</f>
        <v>#N/A</v>
      </c>
      <c r="CC82" s="1157" t="e" cm="1">
        <f t="array" aca="1" ref="CC82" ca="1">IF(AND(CB80&lt;0,CC81=MIN(IF(ISNUMBER($D$81:$CJ$81),$D$81:$CJ$81))),0,NA())</f>
        <v>#N/A</v>
      </c>
      <c r="CD82" s="1157" t="e" cm="1">
        <f t="array" aca="1" ref="CD82" ca="1">IF(AND(CC80&lt;0,CD81=MIN(IF(ISNUMBER($D$81:$CJ$81),$D$81:$CJ$81))),0,NA())</f>
        <v>#N/A</v>
      </c>
      <c r="CE82" s="1157" t="e" cm="1">
        <f t="array" aca="1" ref="CE82" ca="1">IF(AND(CD80&lt;0,CE81=MIN(IF(ISNUMBER($D$81:$CJ$81),$D$81:$CJ$81))),0,NA())</f>
        <v>#N/A</v>
      </c>
      <c r="CF82" s="1157" t="e" cm="1">
        <f t="array" aca="1" ref="CF82" ca="1">IF(AND(CE80&lt;0,CF81=MIN(IF(ISNUMBER($D$81:$CJ$81),$D$81:$CJ$81))),0,NA())</f>
        <v>#N/A</v>
      </c>
      <c r="CG82" s="1157" t="e" cm="1">
        <f t="array" aca="1" ref="CG82" ca="1">IF(AND(CF80&lt;0,CG81=MIN(IF(ISNUMBER($D$81:$CJ$81),$D$81:$CJ$81))),0,NA())</f>
        <v>#N/A</v>
      </c>
      <c r="CH82" s="1157" t="e" cm="1">
        <f t="array" aca="1" ref="CH82" ca="1">IF(AND(CG80&lt;0,CH81=MIN(IF(ISNUMBER($D$81:$CJ$81),$D$81:$CJ$81))),0,NA())</f>
        <v>#N/A</v>
      </c>
      <c r="CI82" s="1157" t="e" cm="1">
        <f t="array" aca="1" ref="CI82" ca="1">IF(AND(CH80&lt;0,CI81=MIN(IF(ISNUMBER($D$81:$CJ$81),$D$81:$CJ$81))),0,NA())</f>
        <v>#N/A</v>
      </c>
      <c r="CJ82" s="1157" t="e" cm="1">
        <f t="array" aca="1" ref="CJ82" ca="1">IF(AND(CI80&lt;0,CJ81=MIN(IF(ISNUMBER($D$81:$CJ$81),$D$81:$CJ$81))),0,NA())</f>
        <v>#N/A</v>
      </c>
      <c r="CK82" s="1157" t="e" cm="1">
        <f t="array" aca="1" ref="CK82" ca="1">IF(AND(CJ80&lt;0,CK81=MIN(IF(ISNUMBER($D$81:$CJ$81),$D$81:$CJ$81))),0,NA())</f>
        <v>#N/A</v>
      </c>
      <c r="CL82" s="1157" t="e" cm="1">
        <f t="array" aca="1" ref="CL82" ca="1">IF(AND(CK80&lt;0,CL81=MIN(IF(ISNUMBER($D$81:$CJ$81),$D$81:$CJ$81))),0,NA())</f>
        <v>#N/A</v>
      </c>
      <c r="CM82" s="1157" t="e" cm="1">
        <f t="array" aca="1" ref="CM82" ca="1">IF(AND(CL80&lt;0,CM81=MIN(IF(ISNUMBER($D$81:$CJ$81),$D$81:$CJ$81))),0,NA())</f>
        <v>#N/A</v>
      </c>
      <c r="CN82" s="1157" t="e" cm="1">
        <f t="array" aca="1" ref="CN82" ca="1">IF(AND(CM80&lt;0,CN81=MIN(IF(ISNUMBER($D$81:$CJ$81),$D$81:$CJ$81))),0,NA())</f>
        <v>#N/A</v>
      </c>
      <c r="CO82" s="1157" t="e" cm="1">
        <f t="array" aca="1" ref="CO82" ca="1">IF(AND(CN80&lt;0,CO81=MIN(IF(ISNUMBER($D$81:$CJ$81),$D$81:$CJ$81))),0,NA())</f>
        <v>#N/A</v>
      </c>
      <c r="CP82" s="1157" t="e" cm="1">
        <f t="array" aca="1" ref="CP82" ca="1">IF(AND(CO80&lt;0,CP81=MIN(IF(ISNUMBER($D$81:$CJ$81),$D$81:$CJ$81))),0,NA())</f>
        <v>#N/A</v>
      </c>
      <c r="CQ82" s="1157" t="e" cm="1">
        <f t="array" aca="1" ref="CQ82" ca="1">IF(AND(CP80&lt;0,CQ81=MIN(IF(ISNUMBER($D$81:$CJ$81),$D$81:$CJ$81))),0,NA())</f>
        <v>#N/A</v>
      </c>
      <c r="CR82" s="1157" t="e" cm="1">
        <f t="array" aca="1" ref="CR82" ca="1">IF(AND(CQ80&lt;0,CR81=MIN(IF(ISNUMBER($D$81:$CJ$81),$D$81:$CJ$81))),0,NA())</f>
        <v>#N/A</v>
      </c>
      <c r="CS82" s="1157" t="e" cm="1">
        <f t="array" aca="1" ref="CS82" ca="1">IF(AND(CR80&lt;0,CS81=MIN(IF(ISNUMBER($D$81:$CJ$81),$D$81:$CJ$81))),0,NA())</f>
        <v>#N/A</v>
      </c>
      <c r="CT82" s="1157" t="e" cm="1">
        <f t="array" aca="1" ref="CT82" ca="1">IF(AND(CS80&lt;0,CT81=MIN(IF(ISNUMBER($D$81:$CJ$81),$D$81:$CJ$81))),0,NA())</f>
        <v>#N/A</v>
      </c>
      <c r="CU82" s="1157" t="e" cm="1">
        <f t="array" aca="1" ref="CU82" ca="1">IF(AND(CT80&lt;0,CU81=MIN(IF(ISNUMBER($D$81:$CJ$81),$D$81:$CJ$81))),0,NA())</f>
        <v>#N/A</v>
      </c>
      <c r="CV82" s="1157" t="e" cm="1">
        <f t="array" aca="1" ref="CV82" ca="1">IF(AND(CU80&lt;0,CV81=MIN(IF(ISNUMBER($D$81:$CJ$81),$D$81:$CJ$81))),0,NA())</f>
        <v>#N/A</v>
      </c>
      <c r="CW82" s="1157" t="e" cm="1">
        <f t="array" aca="1" ref="CW82" ca="1">IF(AND(CV80&lt;0,CW81=MIN(IF(ISNUMBER($D$81:$CJ$81),$D$81:$CJ$81))),0,NA())</f>
        <v>#N/A</v>
      </c>
      <c r="CX82" s="1157" t="e" cm="1">
        <f t="array" aca="1" ref="CX82" ca="1">IF(AND(CW80&lt;0,CX81=MIN(IF(ISNUMBER($D$81:$CJ$81),$D$81:$CJ$81))),0,NA())</f>
        <v>#N/A</v>
      </c>
      <c r="CY82" s="1157" t="e" cm="1">
        <f t="array" aca="1" ref="CY82" ca="1">IF(AND(CX80&lt;0,CY81=MIN(IF(ISNUMBER($D$81:$CJ$81),$D$81:$CJ$81))),0,NA())</f>
        <v>#N/A</v>
      </c>
      <c r="CZ82" s="1157" t="e" cm="1">
        <f t="array" aca="1" ref="CZ82" ca="1">IF(AND(CY80&lt;0,CZ81=MIN(IF(ISNUMBER($D$81:$CJ$81),$D$81:$CJ$81))),0,NA())</f>
        <v>#N/A</v>
      </c>
      <c r="DA82" s="1157" t="e" cm="1">
        <f t="array" aca="1" ref="DA82" ca="1">IF(AND(CZ80&lt;0,DA81=MIN(IF(ISNUMBER($D$81:$CJ$81),$D$81:$CJ$81))),0,NA())</f>
        <v>#N/A</v>
      </c>
      <c r="DB82" s="1157" t="e" cm="1">
        <f t="array" aca="1" ref="DB82" ca="1">IF(AND(DA80&lt;0,DB81=MIN(IF(ISNUMBER($D$81:$CJ$81),$D$81:$CJ$81))),0,NA())</f>
        <v>#N/A</v>
      </c>
      <c r="DC82" s="1157" t="e" cm="1">
        <f t="array" aca="1" ref="DC82" ca="1">IF(AND(DB80&lt;0,DC81=MIN(IF(ISNUMBER($D$81:$CJ$81),$D$81:$CJ$81))),0,NA())</f>
        <v>#N/A</v>
      </c>
      <c r="DD82" s="1157" t="e" cm="1">
        <f t="array" aca="1" ref="DD82" ca="1">IF(AND(DC80&lt;0,DD81=MIN(IF(ISNUMBER($D$81:$CJ$81),$D$81:$CJ$81))),0,NA())</f>
        <v>#N/A</v>
      </c>
      <c r="DE82" s="1157" t="e" cm="1">
        <f t="array" aca="1" ref="DE82" ca="1">IF(AND(DD80&lt;0,DE81=MIN(IF(ISNUMBER($D$81:$CJ$81),$D$81:$CJ$81))),0,NA())</f>
        <v>#N/A</v>
      </c>
      <c r="DF82" s="1157" t="e" cm="1">
        <f t="array" aca="1" ref="DF82" ca="1">IF(AND(DE80&lt;0,DF81=MIN(IF(ISNUMBER($D$81:$CJ$81),$D$81:$CJ$81))),0,NA())</f>
        <v>#N/A</v>
      </c>
      <c r="DG82" s="1157" t="e" cm="1">
        <f t="array" aca="1" ref="DG82" ca="1">IF(AND(DF80&lt;0,DG81=MIN(IF(ISNUMBER($D$81:$CJ$81),$D$81:$CJ$81))),0,NA())</f>
        <v>#N/A</v>
      </c>
      <c r="DH82" s="1157" t="e" cm="1">
        <f t="array" aca="1" ref="DH82" ca="1">IF(AND(DG80&lt;0,DH81=MIN(IF(ISNUMBER($D$81:$CJ$81),$D$81:$CJ$81))),0,NA())</f>
        <v>#N/A</v>
      </c>
      <c r="DI82" s="1170" t="e" cm="1">
        <f t="array" aca="1" ref="DI82" ca="1">IF(AND(DH80&lt;0,DI81=MIN(IF(ISNUMBER($D$81:$CJ$81),$D$81:$CJ$81))),0,NA())</f>
        <v>#N/A</v>
      </c>
    </row>
    <row r="83" spans="1:113" x14ac:dyDescent="0.35">
      <c r="A83" s="685"/>
      <c r="B83" s="446" t="s">
        <v>2198</v>
      </c>
      <c r="C83" s="1157"/>
      <c r="D83" s="1157" t="e">
        <f ca="1">D82+$C$98</f>
        <v>#N/A</v>
      </c>
      <c r="E83" s="1157" t="e">
        <f t="shared" ref="E83:BP83" ca="1" si="123">E82+$C$98</f>
        <v>#N/A</v>
      </c>
      <c r="F83" s="1157" t="e">
        <f t="shared" ca="1" si="123"/>
        <v>#N/A</v>
      </c>
      <c r="G83" s="1157" t="e">
        <f t="shared" ca="1" si="123"/>
        <v>#N/A</v>
      </c>
      <c r="H83" s="1157" t="e">
        <f t="shared" ca="1" si="123"/>
        <v>#N/A</v>
      </c>
      <c r="I83" s="1157" t="e">
        <f t="shared" ca="1" si="123"/>
        <v>#N/A</v>
      </c>
      <c r="J83" s="1157" t="e">
        <f t="shared" ca="1" si="123"/>
        <v>#N/A</v>
      </c>
      <c r="K83" s="1157" t="e">
        <f t="shared" ca="1" si="123"/>
        <v>#N/A</v>
      </c>
      <c r="L83" s="1157" t="e">
        <f t="shared" ca="1" si="123"/>
        <v>#N/A</v>
      </c>
      <c r="M83" s="1157" t="e">
        <f t="shared" ca="1" si="123"/>
        <v>#N/A</v>
      </c>
      <c r="N83" s="1157" t="e">
        <f t="shared" ca="1" si="123"/>
        <v>#N/A</v>
      </c>
      <c r="O83" s="1157" t="e">
        <f t="shared" ca="1" si="123"/>
        <v>#N/A</v>
      </c>
      <c r="P83" s="1157" t="e">
        <f t="shared" ca="1" si="123"/>
        <v>#N/A</v>
      </c>
      <c r="Q83" s="1157" t="e">
        <f t="shared" ca="1" si="123"/>
        <v>#N/A</v>
      </c>
      <c r="R83" s="1157" t="e">
        <f t="shared" ca="1" si="123"/>
        <v>#N/A</v>
      </c>
      <c r="S83" s="1157" t="e">
        <f t="shared" ca="1" si="123"/>
        <v>#N/A</v>
      </c>
      <c r="T83" s="1157" t="e">
        <f t="shared" ca="1" si="123"/>
        <v>#N/A</v>
      </c>
      <c r="U83" s="1157" t="e">
        <f t="shared" ca="1" si="123"/>
        <v>#N/A</v>
      </c>
      <c r="V83" s="1157" t="e">
        <f t="shared" ca="1" si="123"/>
        <v>#N/A</v>
      </c>
      <c r="W83" s="1157" t="e">
        <f t="shared" ca="1" si="123"/>
        <v>#N/A</v>
      </c>
      <c r="X83" s="1157" t="e">
        <f t="shared" ca="1" si="123"/>
        <v>#N/A</v>
      </c>
      <c r="Y83" s="1157" t="e">
        <f t="shared" ca="1" si="123"/>
        <v>#N/A</v>
      </c>
      <c r="Z83" s="1157" t="e">
        <f t="shared" ca="1" si="123"/>
        <v>#N/A</v>
      </c>
      <c r="AA83" s="1157" t="e">
        <f t="shared" ca="1" si="123"/>
        <v>#N/A</v>
      </c>
      <c r="AB83" s="1157" t="e">
        <f t="shared" ca="1" si="123"/>
        <v>#N/A</v>
      </c>
      <c r="AC83" s="1157" t="e">
        <f t="shared" ca="1" si="123"/>
        <v>#N/A</v>
      </c>
      <c r="AD83" s="1157" t="e">
        <f t="shared" ca="1" si="123"/>
        <v>#N/A</v>
      </c>
      <c r="AE83" s="1157" t="e">
        <f t="shared" ca="1" si="123"/>
        <v>#N/A</v>
      </c>
      <c r="AF83" s="1157" t="e">
        <f t="shared" ca="1" si="123"/>
        <v>#N/A</v>
      </c>
      <c r="AG83" s="1157" t="e">
        <f t="shared" ca="1" si="123"/>
        <v>#N/A</v>
      </c>
      <c r="AH83" s="1157" t="e">
        <f t="shared" ca="1" si="123"/>
        <v>#N/A</v>
      </c>
      <c r="AI83" s="1157" t="e">
        <f t="shared" ca="1" si="123"/>
        <v>#N/A</v>
      </c>
      <c r="AJ83" s="1157" t="e">
        <f t="shared" ca="1" si="123"/>
        <v>#N/A</v>
      </c>
      <c r="AK83" s="1157" t="e">
        <f t="shared" ca="1" si="123"/>
        <v>#N/A</v>
      </c>
      <c r="AL83" s="1157" t="e">
        <f t="shared" ca="1" si="123"/>
        <v>#N/A</v>
      </c>
      <c r="AM83" s="1157" t="e">
        <f t="shared" ca="1" si="123"/>
        <v>#N/A</v>
      </c>
      <c r="AN83" s="1157" t="e">
        <f t="shared" ca="1" si="123"/>
        <v>#N/A</v>
      </c>
      <c r="AO83" s="1157" t="e">
        <f t="shared" ca="1" si="123"/>
        <v>#N/A</v>
      </c>
      <c r="AP83" s="1157" t="e">
        <f t="shared" ca="1" si="123"/>
        <v>#N/A</v>
      </c>
      <c r="AQ83" s="1157" t="e">
        <f t="shared" ca="1" si="123"/>
        <v>#N/A</v>
      </c>
      <c r="AR83" s="1157" t="e">
        <f t="shared" ca="1" si="123"/>
        <v>#N/A</v>
      </c>
      <c r="AS83" s="1157" t="e">
        <f t="shared" ca="1" si="123"/>
        <v>#N/A</v>
      </c>
      <c r="AT83" s="1157" t="e">
        <f t="shared" ca="1" si="123"/>
        <v>#N/A</v>
      </c>
      <c r="AU83" s="1157" t="e">
        <f t="shared" ca="1" si="123"/>
        <v>#N/A</v>
      </c>
      <c r="AV83" s="1157" t="e">
        <f t="shared" ca="1" si="123"/>
        <v>#N/A</v>
      </c>
      <c r="AW83" s="1157" t="e">
        <f t="shared" ca="1" si="123"/>
        <v>#N/A</v>
      </c>
      <c r="AX83" s="1157" t="e">
        <f t="shared" ca="1" si="123"/>
        <v>#N/A</v>
      </c>
      <c r="AY83" s="1157" t="e">
        <f t="shared" ca="1" si="123"/>
        <v>#N/A</v>
      </c>
      <c r="AZ83" s="1157" t="e">
        <f t="shared" ca="1" si="123"/>
        <v>#N/A</v>
      </c>
      <c r="BA83" s="1157" t="e">
        <f t="shared" ca="1" si="123"/>
        <v>#N/A</v>
      </c>
      <c r="BB83" s="1157" t="e">
        <f t="shared" ca="1" si="123"/>
        <v>#N/A</v>
      </c>
      <c r="BC83" s="1157" t="e">
        <f t="shared" ca="1" si="123"/>
        <v>#N/A</v>
      </c>
      <c r="BD83" s="1157" t="e">
        <f t="shared" ca="1" si="123"/>
        <v>#N/A</v>
      </c>
      <c r="BE83" s="1157" t="e">
        <f t="shared" ca="1" si="123"/>
        <v>#N/A</v>
      </c>
      <c r="BF83" s="1157" t="e">
        <f t="shared" ca="1" si="123"/>
        <v>#N/A</v>
      </c>
      <c r="BG83" s="1157" t="e">
        <f t="shared" ca="1" si="123"/>
        <v>#N/A</v>
      </c>
      <c r="BH83" s="1157" t="e">
        <f t="shared" ca="1" si="123"/>
        <v>#N/A</v>
      </c>
      <c r="BI83" s="1157" t="e">
        <f t="shared" ca="1" si="123"/>
        <v>#N/A</v>
      </c>
      <c r="BJ83" s="1157" t="e">
        <f t="shared" ca="1" si="123"/>
        <v>#N/A</v>
      </c>
      <c r="BK83" s="1157" t="e">
        <f t="shared" ca="1" si="123"/>
        <v>#N/A</v>
      </c>
      <c r="BL83" s="1157" t="e">
        <f t="shared" ca="1" si="123"/>
        <v>#N/A</v>
      </c>
      <c r="BM83" s="1157" t="e">
        <f t="shared" ca="1" si="123"/>
        <v>#N/A</v>
      </c>
      <c r="BN83" s="1157" t="e">
        <f t="shared" ca="1" si="123"/>
        <v>#N/A</v>
      </c>
      <c r="BO83" s="1157" t="e">
        <f t="shared" ca="1" si="123"/>
        <v>#N/A</v>
      </c>
      <c r="BP83" s="1157" t="e">
        <f t="shared" ca="1" si="123"/>
        <v>#N/A</v>
      </c>
      <c r="BQ83" s="1157" t="e">
        <f t="shared" ref="BQ83:CJ83" ca="1" si="124">BQ82+$C$98</f>
        <v>#N/A</v>
      </c>
      <c r="BR83" s="1157" t="e">
        <f t="shared" ca="1" si="124"/>
        <v>#N/A</v>
      </c>
      <c r="BS83" s="1157" t="e">
        <f t="shared" ca="1" si="124"/>
        <v>#N/A</v>
      </c>
      <c r="BT83" s="1157" t="e">
        <f t="shared" ca="1" si="124"/>
        <v>#N/A</v>
      </c>
      <c r="BU83" s="1157" t="e">
        <f t="shared" ca="1" si="124"/>
        <v>#N/A</v>
      </c>
      <c r="BV83" s="1157" t="e">
        <f t="shared" ca="1" si="124"/>
        <v>#N/A</v>
      </c>
      <c r="BW83" s="1157" t="e">
        <f t="shared" ca="1" si="124"/>
        <v>#N/A</v>
      </c>
      <c r="BX83" s="1157" t="e">
        <f t="shared" ca="1" si="124"/>
        <v>#N/A</v>
      </c>
      <c r="BY83" s="1157" t="e">
        <f t="shared" ca="1" si="124"/>
        <v>#N/A</v>
      </c>
      <c r="BZ83" s="1157" t="e">
        <f t="shared" ca="1" si="124"/>
        <v>#N/A</v>
      </c>
      <c r="CA83" s="1157" t="e">
        <f t="shared" ca="1" si="124"/>
        <v>#N/A</v>
      </c>
      <c r="CB83" s="1157" t="e">
        <f t="shared" ca="1" si="124"/>
        <v>#N/A</v>
      </c>
      <c r="CC83" s="1157" t="e">
        <f t="shared" ca="1" si="124"/>
        <v>#N/A</v>
      </c>
      <c r="CD83" s="1157" t="e">
        <f t="shared" ca="1" si="124"/>
        <v>#N/A</v>
      </c>
      <c r="CE83" s="1157" t="e">
        <f t="shared" ca="1" si="124"/>
        <v>#N/A</v>
      </c>
      <c r="CF83" s="1157" t="e">
        <f t="shared" ca="1" si="124"/>
        <v>#N/A</v>
      </c>
      <c r="CG83" s="1157" t="e">
        <f t="shared" ca="1" si="124"/>
        <v>#N/A</v>
      </c>
      <c r="CH83" s="1157" t="e">
        <f t="shared" ca="1" si="124"/>
        <v>#N/A</v>
      </c>
      <c r="CI83" s="1157" t="e">
        <f t="shared" ca="1" si="124"/>
        <v>#N/A</v>
      </c>
      <c r="CJ83" s="1157" t="e">
        <f t="shared" ca="1" si="124"/>
        <v>#N/A</v>
      </c>
      <c r="CK83" s="1157" t="e">
        <f t="shared" ref="CK83:DH83" ca="1" si="125">CK82+$C$98</f>
        <v>#N/A</v>
      </c>
      <c r="CL83" s="1157" t="e">
        <f t="shared" ca="1" si="125"/>
        <v>#N/A</v>
      </c>
      <c r="CM83" s="1157" t="e">
        <f t="shared" ca="1" si="125"/>
        <v>#N/A</v>
      </c>
      <c r="CN83" s="1157" t="e">
        <f t="shared" ca="1" si="125"/>
        <v>#N/A</v>
      </c>
      <c r="CO83" s="1157" t="e">
        <f t="shared" ca="1" si="125"/>
        <v>#N/A</v>
      </c>
      <c r="CP83" s="1157" t="e">
        <f t="shared" ca="1" si="125"/>
        <v>#N/A</v>
      </c>
      <c r="CQ83" s="1157" t="e">
        <f t="shared" ca="1" si="125"/>
        <v>#N/A</v>
      </c>
      <c r="CR83" s="1157" t="e">
        <f t="shared" ca="1" si="125"/>
        <v>#N/A</v>
      </c>
      <c r="CS83" s="1157" t="e">
        <f t="shared" ca="1" si="125"/>
        <v>#N/A</v>
      </c>
      <c r="CT83" s="1157" t="e">
        <f t="shared" ca="1" si="125"/>
        <v>#N/A</v>
      </c>
      <c r="CU83" s="1157" t="e">
        <f t="shared" ca="1" si="125"/>
        <v>#N/A</v>
      </c>
      <c r="CV83" s="1157" t="e">
        <f t="shared" ca="1" si="125"/>
        <v>#N/A</v>
      </c>
      <c r="CW83" s="1157" t="e">
        <f t="shared" ca="1" si="125"/>
        <v>#N/A</v>
      </c>
      <c r="CX83" s="1157" t="e">
        <f t="shared" ca="1" si="125"/>
        <v>#N/A</v>
      </c>
      <c r="CY83" s="1157" t="e">
        <f t="shared" ca="1" si="125"/>
        <v>#N/A</v>
      </c>
      <c r="CZ83" s="1157" t="e">
        <f t="shared" ca="1" si="125"/>
        <v>#N/A</v>
      </c>
      <c r="DA83" s="1157" t="e">
        <f t="shared" ca="1" si="125"/>
        <v>#N/A</v>
      </c>
      <c r="DB83" s="1157" t="e">
        <f t="shared" ca="1" si="125"/>
        <v>#N/A</v>
      </c>
      <c r="DC83" s="1157" t="e">
        <f t="shared" ca="1" si="125"/>
        <v>#N/A</v>
      </c>
      <c r="DD83" s="1157" t="e">
        <f t="shared" ca="1" si="125"/>
        <v>#N/A</v>
      </c>
      <c r="DE83" s="1157" t="e">
        <f t="shared" ca="1" si="125"/>
        <v>#N/A</v>
      </c>
      <c r="DF83" s="1157" t="e">
        <f t="shared" ca="1" si="125"/>
        <v>#N/A</v>
      </c>
      <c r="DG83" s="1157" t="e">
        <f t="shared" ca="1" si="125"/>
        <v>#N/A</v>
      </c>
      <c r="DH83" s="1157" t="e">
        <f t="shared" ca="1" si="125"/>
        <v>#N/A</v>
      </c>
      <c r="DI83" s="1170" t="e">
        <f t="shared" ref="DI83" ca="1" si="126">DI82+$C$98</f>
        <v>#N/A</v>
      </c>
    </row>
    <row r="84" spans="1:113" x14ac:dyDescent="0.35">
      <c r="A84" s="685"/>
      <c r="B84" t="s">
        <v>2199</v>
      </c>
      <c r="DI84" s="686"/>
    </row>
    <row r="85" spans="1:113" x14ac:dyDescent="0.35">
      <c r="A85" s="685"/>
      <c r="DI85" s="686"/>
    </row>
    <row r="86" spans="1:113" x14ac:dyDescent="0.35">
      <c r="A86" s="685"/>
      <c r="DI86" s="686"/>
    </row>
    <row r="87" spans="1:113" x14ac:dyDescent="0.35">
      <c r="A87" s="685"/>
      <c r="B87" s="485" t="s">
        <v>2052</v>
      </c>
      <c r="C87" s="485"/>
      <c r="D87" s="485"/>
      <c r="E87" s="485"/>
      <c r="F87" s="485"/>
      <c r="G87" s="485"/>
      <c r="DI87" s="686"/>
    </row>
    <row r="88" spans="1:113" x14ac:dyDescent="0.35">
      <c r="A88" s="685"/>
      <c r="B88" s="485" t="s">
        <v>2200</v>
      </c>
      <c r="C88" s="485" t="str">
        <f>"Netto nytte akkumulert etter et gitt antall år etter åpning, mill. "&amp;KroneårIBeregninger&amp;"-kr"</f>
        <v>Netto nytte akkumulert etter et gitt antall år etter åpning, mill. -kr</v>
      </c>
      <c r="D88" s="485"/>
      <c r="E88" s="485"/>
      <c r="F88" s="485"/>
      <c r="G88" s="485"/>
      <c r="DI88" s="686"/>
    </row>
    <row r="89" spans="1:113" x14ac:dyDescent="0.35">
      <c r="A89" s="685"/>
      <c r="B89" t="s">
        <v>2026</v>
      </c>
      <c r="C89" t="s">
        <v>2027</v>
      </c>
      <c r="D89" s="5" t="s">
        <v>2028</v>
      </c>
      <c r="E89" s="5" t="s">
        <v>2029</v>
      </c>
      <c r="F89" s="5" t="s">
        <v>2055</v>
      </c>
      <c r="G89" s="5" t="s">
        <v>2056</v>
      </c>
      <c r="H89" s="5" t="s">
        <v>2057</v>
      </c>
      <c r="I89" s="5" t="s">
        <v>2058</v>
      </c>
      <c r="J89" s="5" t="s">
        <v>2059</v>
      </c>
      <c r="K89" s="5" t="s">
        <v>2061</v>
      </c>
      <c r="L89" s="5" t="s">
        <v>2062</v>
      </c>
      <c r="M89" s="5" t="s">
        <v>2043</v>
      </c>
      <c r="N89" s="5" t="s">
        <v>2044</v>
      </c>
      <c r="O89" s="5" t="s">
        <v>2042</v>
      </c>
      <c r="P89" s="5" t="s">
        <v>2063</v>
      </c>
      <c r="Q89" s="5" t="s">
        <v>2064</v>
      </c>
      <c r="R89" s="5" t="s">
        <v>2065</v>
      </c>
      <c r="S89" s="5" t="s">
        <v>2066</v>
      </c>
      <c r="T89" s="5" t="s">
        <v>2067</v>
      </c>
      <c r="U89" s="5" t="s">
        <v>2068</v>
      </c>
      <c r="V89" s="5" t="s">
        <v>2069</v>
      </c>
      <c r="W89" s="5" t="s">
        <v>2070</v>
      </c>
      <c r="X89" s="5" t="s">
        <v>2071</v>
      </c>
      <c r="Y89" s="5" t="s">
        <v>2072</v>
      </c>
      <c r="Z89" s="5" t="s">
        <v>2073</v>
      </c>
      <c r="AA89" s="5" t="s">
        <v>2074</v>
      </c>
      <c r="AB89" s="5" t="s">
        <v>2075</v>
      </c>
      <c r="AC89" s="5" t="s">
        <v>2076</v>
      </c>
      <c r="AD89" s="5" t="s">
        <v>2077</v>
      </c>
      <c r="AE89" s="5" t="s">
        <v>2078</v>
      </c>
      <c r="AF89" s="5" t="s">
        <v>2079</v>
      </c>
      <c r="AG89" s="5" t="s">
        <v>2080</v>
      </c>
      <c r="AH89" s="5" t="s">
        <v>2081</v>
      </c>
      <c r="AI89" s="5" t="s">
        <v>2082</v>
      </c>
      <c r="AJ89" s="5" t="s">
        <v>2083</v>
      </c>
      <c r="AK89" s="5" t="s">
        <v>2084</v>
      </c>
      <c r="AL89" s="5" t="s">
        <v>2085</v>
      </c>
      <c r="AM89" s="5" t="s">
        <v>2086</v>
      </c>
      <c r="AN89" s="5" t="s">
        <v>2087</v>
      </c>
      <c r="AO89" s="5" t="s">
        <v>2088</v>
      </c>
      <c r="AP89" s="5" t="s">
        <v>2089</v>
      </c>
      <c r="AQ89" s="5" t="s">
        <v>2090</v>
      </c>
      <c r="AR89" s="5" t="s">
        <v>2091</v>
      </c>
      <c r="AS89" s="5" t="s">
        <v>2092</v>
      </c>
      <c r="AT89" s="5" t="s">
        <v>2093</v>
      </c>
      <c r="AU89" s="5" t="s">
        <v>2094</v>
      </c>
      <c r="AV89" s="5" t="s">
        <v>2095</v>
      </c>
      <c r="AW89" s="5" t="s">
        <v>2096</v>
      </c>
      <c r="AX89" s="5" t="s">
        <v>2097</v>
      </c>
      <c r="AY89" s="5" t="s">
        <v>2098</v>
      </c>
      <c r="AZ89" s="5" t="s">
        <v>2099</v>
      </c>
      <c r="BA89" s="5" t="s">
        <v>2100</v>
      </c>
      <c r="BB89" s="5" t="s">
        <v>2101</v>
      </c>
      <c r="BC89" s="5" t="s">
        <v>2102</v>
      </c>
      <c r="BD89" s="5" t="s">
        <v>2103</v>
      </c>
      <c r="BE89" s="5" t="s">
        <v>2104</v>
      </c>
      <c r="BF89" s="5" t="s">
        <v>2105</v>
      </c>
      <c r="BG89" s="5" t="s">
        <v>2106</v>
      </c>
      <c r="BH89" s="5" t="s">
        <v>2107</v>
      </c>
      <c r="BI89" s="5" t="s">
        <v>2108</v>
      </c>
      <c r="BJ89" s="5" t="s">
        <v>2109</v>
      </c>
      <c r="BK89" s="5" t="s">
        <v>2110</v>
      </c>
      <c r="BL89" s="5" t="s">
        <v>2111</v>
      </c>
      <c r="BM89" s="5" t="s">
        <v>2112</v>
      </c>
      <c r="BN89" s="5" t="s">
        <v>2113</v>
      </c>
      <c r="BO89" s="5" t="s">
        <v>2114</v>
      </c>
      <c r="BP89" s="5" t="s">
        <v>2115</v>
      </c>
      <c r="BQ89" s="5" t="s">
        <v>2116</v>
      </c>
      <c r="BR89" s="5" t="s">
        <v>2117</v>
      </c>
      <c r="BS89" s="5" t="s">
        <v>2118</v>
      </c>
      <c r="BT89" s="5" t="s">
        <v>2119</v>
      </c>
      <c r="BU89" s="5" t="s">
        <v>2120</v>
      </c>
      <c r="BV89" s="5" t="s">
        <v>2121</v>
      </c>
      <c r="BW89" s="5" t="s">
        <v>2122</v>
      </c>
      <c r="BX89" s="5" t="s">
        <v>2123</v>
      </c>
      <c r="BY89" s="5" t="s">
        <v>2124</v>
      </c>
      <c r="BZ89" s="5" t="s">
        <v>2125</v>
      </c>
      <c r="CA89" s="5" t="s">
        <v>2126</v>
      </c>
      <c r="CB89" s="5" t="s">
        <v>2127</v>
      </c>
      <c r="CC89" s="5" t="s">
        <v>2128</v>
      </c>
      <c r="CD89" s="5" t="s">
        <v>2129</v>
      </c>
      <c r="CE89" s="5" t="s">
        <v>2130</v>
      </c>
      <c r="CF89" s="5" t="s">
        <v>2131</v>
      </c>
      <c r="CG89" s="5" t="s">
        <v>2132</v>
      </c>
      <c r="CH89" s="5" t="s">
        <v>2133</v>
      </c>
      <c r="CI89" s="5" t="s">
        <v>2134</v>
      </c>
      <c r="CJ89" s="695" t="s">
        <v>2135</v>
      </c>
      <c r="CK89" s="695" t="s">
        <v>2136</v>
      </c>
      <c r="CL89" s="695" t="s">
        <v>2137</v>
      </c>
      <c r="CM89" s="695" t="s">
        <v>2138</v>
      </c>
      <c r="CN89" s="695" t="s">
        <v>2139</v>
      </c>
      <c r="CO89" s="695" t="s">
        <v>2060</v>
      </c>
      <c r="CP89" s="695" t="s">
        <v>2201</v>
      </c>
      <c r="CQ89" s="695" t="s">
        <v>2202</v>
      </c>
      <c r="CR89" s="695" t="s">
        <v>2203</v>
      </c>
      <c r="CS89" s="695" t="s">
        <v>2204</v>
      </c>
      <c r="CT89" s="695" t="s">
        <v>2205</v>
      </c>
      <c r="CU89" s="695" t="s">
        <v>2206</v>
      </c>
      <c r="CV89" s="695" t="s">
        <v>2207</v>
      </c>
      <c r="CW89" s="695" t="s">
        <v>2208</v>
      </c>
      <c r="CX89" s="695" t="s">
        <v>2209</v>
      </c>
      <c r="CY89" s="695" t="s">
        <v>2210</v>
      </c>
      <c r="CZ89" s="695" t="s">
        <v>2211</v>
      </c>
      <c r="DA89" s="695" t="s">
        <v>2212</v>
      </c>
      <c r="DB89" s="695" t="s">
        <v>2213</v>
      </c>
      <c r="DC89" s="695" t="s">
        <v>2214</v>
      </c>
      <c r="DD89" s="695" t="s">
        <v>2215</v>
      </c>
      <c r="DE89" s="695" t="s">
        <v>2216</v>
      </c>
      <c r="DF89" s="695" t="s">
        <v>2217</v>
      </c>
      <c r="DG89" s="695" t="s">
        <v>2218</v>
      </c>
      <c r="DH89" s="695" t="s">
        <v>2219</v>
      </c>
      <c r="DI89" s="695" t="s">
        <v>2220</v>
      </c>
    </row>
    <row r="90" spans="1:113" x14ac:dyDescent="0.35">
      <c r="A90" s="685"/>
      <c r="B90" t="s">
        <v>927</v>
      </c>
      <c r="D90">
        <f t="shared" ref="D90:S90" si="127">D77</f>
        <v>-10</v>
      </c>
      <c r="E90">
        <f t="shared" si="127"/>
        <v>-9</v>
      </c>
      <c r="F90">
        <f t="shared" si="127"/>
        <v>-8</v>
      </c>
      <c r="G90">
        <f t="shared" si="127"/>
        <v>-7</v>
      </c>
      <c r="H90">
        <f t="shared" si="127"/>
        <v>-6</v>
      </c>
      <c r="I90">
        <f t="shared" si="127"/>
        <v>-5</v>
      </c>
      <c r="J90">
        <f t="shared" si="127"/>
        <v>-4</v>
      </c>
      <c r="K90">
        <f t="shared" si="127"/>
        <v>-3</v>
      </c>
      <c r="L90">
        <f t="shared" si="127"/>
        <v>-2</v>
      </c>
      <c r="M90">
        <f t="shared" si="127"/>
        <v>-1</v>
      </c>
      <c r="N90">
        <f t="shared" si="127"/>
        <v>0</v>
      </c>
      <c r="O90">
        <f t="shared" si="127"/>
        <v>1</v>
      </c>
      <c r="P90">
        <f t="shared" si="127"/>
        <v>2</v>
      </c>
      <c r="Q90">
        <f t="shared" si="127"/>
        <v>3</v>
      </c>
      <c r="R90">
        <f t="shared" si="127"/>
        <v>4</v>
      </c>
      <c r="S90">
        <f t="shared" si="127"/>
        <v>5</v>
      </c>
      <c r="T90">
        <f t="shared" ref="T90:CE90" si="128">T77</f>
        <v>6</v>
      </c>
      <c r="U90">
        <f t="shared" si="128"/>
        <v>7</v>
      </c>
      <c r="V90">
        <f t="shared" si="128"/>
        <v>8</v>
      </c>
      <c r="W90">
        <f t="shared" si="128"/>
        <v>9</v>
      </c>
      <c r="X90">
        <f t="shared" si="128"/>
        <v>10</v>
      </c>
      <c r="Y90">
        <f t="shared" si="128"/>
        <v>11</v>
      </c>
      <c r="Z90">
        <f t="shared" si="128"/>
        <v>12</v>
      </c>
      <c r="AA90">
        <f t="shared" si="128"/>
        <v>13</v>
      </c>
      <c r="AB90">
        <f t="shared" si="128"/>
        <v>14</v>
      </c>
      <c r="AC90">
        <f t="shared" si="128"/>
        <v>15</v>
      </c>
      <c r="AD90">
        <f t="shared" si="128"/>
        <v>16</v>
      </c>
      <c r="AE90">
        <f t="shared" si="128"/>
        <v>17</v>
      </c>
      <c r="AF90">
        <f t="shared" si="128"/>
        <v>18</v>
      </c>
      <c r="AG90">
        <f t="shared" si="128"/>
        <v>19</v>
      </c>
      <c r="AH90">
        <f t="shared" si="128"/>
        <v>20</v>
      </c>
      <c r="AI90">
        <f t="shared" si="128"/>
        <v>21</v>
      </c>
      <c r="AJ90">
        <f t="shared" si="128"/>
        <v>22</v>
      </c>
      <c r="AK90">
        <f t="shared" si="128"/>
        <v>23</v>
      </c>
      <c r="AL90">
        <f t="shared" si="128"/>
        <v>24</v>
      </c>
      <c r="AM90">
        <f t="shared" si="128"/>
        <v>25</v>
      </c>
      <c r="AN90">
        <f t="shared" si="128"/>
        <v>26</v>
      </c>
      <c r="AO90">
        <f t="shared" si="128"/>
        <v>27</v>
      </c>
      <c r="AP90">
        <f t="shared" si="128"/>
        <v>28</v>
      </c>
      <c r="AQ90">
        <f t="shared" si="128"/>
        <v>29</v>
      </c>
      <c r="AR90">
        <f t="shared" si="128"/>
        <v>30</v>
      </c>
      <c r="AS90">
        <f t="shared" si="128"/>
        <v>31</v>
      </c>
      <c r="AT90">
        <f t="shared" si="128"/>
        <v>32</v>
      </c>
      <c r="AU90">
        <f t="shared" si="128"/>
        <v>33</v>
      </c>
      <c r="AV90">
        <f t="shared" si="128"/>
        <v>34</v>
      </c>
      <c r="AW90">
        <f t="shared" si="128"/>
        <v>35</v>
      </c>
      <c r="AX90">
        <f t="shared" si="128"/>
        <v>36</v>
      </c>
      <c r="AY90">
        <f t="shared" si="128"/>
        <v>37</v>
      </c>
      <c r="AZ90">
        <f t="shared" si="128"/>
        <v>38</v>
      </c>
      <c r="BA90">
        <f t="shared" si="128"/>
        <v>39</v>
      </c>
      <c r="BB90">
        <f t="shared" si="128"/>
        <v>40</v>
      </c>
      <c r="BC90">
        <f t="shared" si="128"/>
        <v>41</v>
      </c>
      <c r="BD90">
        <f t="shared" si="128"/>
        <v>42</v>
      </c>
      <c r="BE90">
        <f t="shared" si="128"/>
        <v>43</v>
      </c>
      <c r="BF90">
        <f t="shared" si="128"/>
        <v>44</v>
      </c>
      <c r="BG90">
        <f t="shared" si="128"/>
        <v>45</v>
      </c>
      <c r="BH90">
        <f t="shared" si="128"/>
        <v>46</v>
      </c>
      <c r="BI90">
        <f t="shared" si="128"/>
        <v>47</v>
      </c>
      <c r="BJ90">
        <f t="shared" si="128"/>
        <v>48</v>
      </c>
      <c r="BK90">
        <f t="shared" si="128"/>
        <v>49</v>
      </c>
      <c r="BL90">
        <f t="shared" si="128"/>
        <v>50</v>
      </c>
      <c r="BM90">
        <f t="shared" si="128"/>
        <v>51</v>
      </c>
      <c r="BN90">
        <f t="shared" si="128"/>
        <v>52</v>
      </c>
      <c r="BO90">
        <f t="shared" si="128"/>
        <v>53</v>
      </c>
      <c r="BP90">
        <f t="shared" si="128"/>
        <v>54</v>
      </c>
      <c r="BQ90">
        <f t="shared" si="128"/>
        <v>55</v>
      </c>
      <c r="BR90">
        <f t="shared" si="128"/>
        <v>56</v>
      </c>
      <c r="BS90">
        <f t="shared" si="128"/>
        <v>57</v>
      </c>
      <c r="BT90">
        <f t="shared" si="128"/>
        <v>58</v>
      </c>
      <c r="BU90">
        <f t="shared" si="128"/>
        <v>59</v>
      </c>
      <c r="BV90">
        <f t="shared" si="128"/>
        <v>60</v>
      </c>
      <c r="BW90">
        <f t="shared" si="128"/>
        <v>61</v>
      </c>
      <c r="BX90">
        <f t="shared" si="128"/>
        <v>62</v>
      </c>
      <c r="BY90">
        <f t="shared" si="128"/>
        <v>63</v>
      </c>
      <c r="BZ90">
        <f t="shared" si="128"/>
        <v>64</v>
      </c>
      <c r="CA90">
        <f t="shared" si="128"/>
        <v>65</v>
      </c>
      <c r="CB90">
        <f t="shared" si="128"/>
        <v>66</v>
      </c>
      <c r="CC90">
        <f t="shared" si="128"/>
        <v>67</v>
      </c>
      <c r="CD90">
        <f t="shared" si="128"/>
        <v>68</v>
      </c>
      <c r="CE90">
        <f t="shared" si="128"/>
        <v>69</v>
      </c>
      <c r="CF90">
        <f t="shared" ref="CF90:CJ90" si="129">CF77</f>
        <v>70</v>
      </c>
      <c r="CG90">
        <f t="shared" si="129"/>
        <v>71</v>
      </c>
      <c r="CH90">
        <f t="shared" si="129"/>
        <v>72</v>
      </c>
      <c r="CI90">
        <f t="shared" si="129"/>
        <v>73</v>
      </c>
      <c r="CJ90">
        <f t="shared" si="129"/>
        <v>74</v>
      </c>
      <c r="CK90" s="5">
        <f t="shared" ref="CK90:DI90" si="130">CK77</f>
        <v>75</v>
      </c>
      <c r="CL90" s="5">
        <f t="shared" si="130"/>
        <v>76</v>
      </c>
      <c r="CM90" s="5">
        <f t="shared" si="130"/>
        <v>77</v>
      </c>
      <c r="CN90" s="5">
        <f t="shared" si="130"/>
        <v>78</v>
      </c>
      <c r="CO90" s="5">
        <f t="shared" si="130"/>
        <v>79</v>
      </c>
      <c r="CP90" s="5">
        <f t="shared" si="130"/>
        <v>80</v>
      </c>
      <c r="CQ90" s="5">
        <f t="shared" si="130"/>
        <v>81</v>
      </c>
      <c r="CR90" s="5">
        <f t="shared" si="130"/>
        <v>82</v>
      </c>
      <c r="CS90" s="5">
        <f t="shared" si="130"/>
        <v>83</v>
      </c>
      <c r="CT90" s="5">
        <f t="shared" si="130"/>
        <v>84</v>
      </c>
      <c r="CU90" s="5">
        <f t="shared" si="130"/>
        <v>85</v>
      </c>
      <c r="CV90" s="5">
        <f t="shared" si="130"/>
        <v>86</v>
      </c>
      <c r="CW90" s="5">
        <f t="shared" si="130"/>
        <v>87</v>
      </c>
      <c r="CX90" s="5">
        <f t="shared" si="130"/>
        <v>88</v>
      </c>
      <c r="CY90" s="5">
        <f t="shared" si="130"/>
        <v>89</v>
      </c>
      <c r="CZ90" s="5">
        <f t="shared" si="130"/>
        <v>90</v>
      </c>
      <c r="DA90" s="5">
        <f t="shared" si="130"/>
        <v>91</v>
      </c>
      <c r="DB90" s="5">
        <f t="shared" si="130"/>
        <v>92</v>
      </c>
      <c r="DC90" s="5">
        <f t="shared" si="130"/>
        <v>93</v>
      </c>
      <c r="DD90" s="5">
        <f t="shared" si="130"/>
        <v>94</v>
      </c>
      <c r="DE90" s="5">
        <f t="shared" si="130"/>
        <v>95</v>
      </c>
      <c r="DF90" s="5">
        <f t="shared" si="130"/>
        <v>96</v>
      </c>
      <c r="DG90" s="5">
        <f t="shared" si="130"/>
        <v>97</v>
      </c>
      <c r="DH90" s="5">
        <f t="shared" si="130"/>
        <v>98</v>
      </c>
      <c r="DI90" s="695">
        <f t="shared" si="130"/>
        <v>99</v>
      </c>
    </row>
    <row r="91" spans="1:113" x14ac:dyDescent="0.35">
      <c r="A91" s="685"/>
      <c r="B91" t="s">
        <v>2193</v>
      </c>
      <c r="D91" t="e">
        <f t="shared" ref="D91:BO91" si="131">D78</f>
        <v>#N/A</v>
      </c>
      <c r="E91" t="e">
        <f t="shared" si="131"/>
        <v>#N/A</v>
      </c>
      <c r="F91" t="e">
        <f t="shared" si="131"/>
        <v>#N/A</v>
      </c>
      <c r="G91" t="e">
        <f t="shared" si="131"/>
        <v>#N/A</v>
      </c>
      <c r="H91" t="e">
        <f t="shared" si="131"/>
        <v>#N/A</v>
      </c>
      <c r="I91" t="e">
        <f t="shared" si="131"/>
        <v>#N/A</v>
      </c>
      <c r="J91" t="e">
        <f t="shared" si="131"/>
        <v>#N/A</v>
      </c>
      <c r="K91" t="e">
        <f t="shared" si="131"/>
        <v>#N/A</v>
      </c>
      <c r="L91" t="e">
        <f t="shared" si="131"/>
        <v>#N/A</v>
      </c>
      <c r="M91" t="e">
        <f t="shared" si="131"/>
        <v>#N/A</v>
      </c>
      <c r="N91" t="e">
        <f t="shared" ca="1" si="131"/>
        <v>#N/A</v>
      </c>
      <c r="O91" t="e">
        <f t="shared" ca="1" si="131"/>
        <v>#N/A</v>
      </c>
      <c r="P91" t="e">
        <f t="shared" ca="1" si="131"/>
        <v>#N/A</v>
      </c>
      <c r="Q91" t="e">
        <f t="shared" ca="1" si="131"/>
        <v>#N/A</v>
      </c>
      <c r="R91" t="e">
        <f t="shared" ca="1" si="131"/>
        <v>#N/A</v>
      </c>
      <c r="S91" t="e">
        <f t="shared" ca="1" si="131"/>
        <v>#N/A</v>
      </c>
      <c r="T91" t="e">
        <f t="shared" ca="1" si="131"/>
        <v>#N/A</v>
      </c>
      <c r="U91" t="e">
        <f t="shared" ca="1" si="131"/>
        <v>#N/A</v>
      </c>
      <c r="V91" t="e">
        <f t="shared" ca="1" si="131"/>
        <v>#N/A</v>
      </c>
      <c r="W91" t="e">
        <f t="shared" ca="1" si="131"/>
        <v>#N/A</v>
      </c>
      <c r="X91" t="e">
        <f t="shared" ca="1" si="131"/>
        <v>#N/A</v>
      </c>
      <c r="Y91" t="e">
        <f t="shared" ca="1" si="131"/>
        <v>#N/A</v>
      </c>
      <c r="Z91" t="e">
        <f t="shared" ca="1" si="131"/>
        <v>#N/A</v>
      </c>
      <c r="AA91" t="e">
        <f t="shared" ca="1" si="131"/>
        <v>#N/A</v>
      </c>
      <c r="AB91" t="e">
        <f t="shared" ca="1" si="131"/>
        <v>#N/A</v>
      </c>
      <c r="AC91" t="e">
        <f t="shared" ca="1" si="131"/>
        <v>#N/A</v>
      </c>
      <c r="AD91" t="e">
        <f t="shared" ca="1" si="131"/>
        <v>#N/A</v>
      </c>
      <c r="AE91" t="e">
        <f t="shared" ca="1" si="131"/>
        <v>#N/A</v>
      </c>
      <c r="AF91" t="e">
        <f t="shared" ca="1" si="131"/>
        <v>#N/A</v>
      </c>
      <c r="AG91" t="e">
        <f t="shared" ca="1" si="131"/>
        <v>#N/A</v>
      </c>
      <c r="AH91" t="e">
        <f t="shared" ca="1" si="131"/>
        <v>#N/A</v>
      </c>
      <c r="AI91" t="e">
        <f t="shared" ca="1" si="131"/>
        <v>#N/A</v>
      </c>
      <c r="AJ91" t="e">
        <f t="shared" ca="1" si="131"/>
        <v>#N/A</v>
      </c>
      <c r="AK91" t="e">
        <f t="shared" ca="1" si="131"/>
        <v>#N/A</v>
      </c>
      <c r="AL91" t="e">
        <f t="shared" ca="1" si="131"/>
        <v>#N/A</v>
      </c>
      <c r="AM91" t="e">
        <f t="shared" ca="1" si="131"/>
        <v>#N/A</v>
      </c>
      <c r="AN91" t="e">
        <f t="shared" ca="1" si="131"/>
        <v>#N/A</v>
      </c>
      <c r="AO91" t="e">
        <f t="shared" ca="1" si="131"/>
        <v>#N/A</v>
      </c>
      <c r="AP91" t="e">
        <f t="shared" ca="1" si="131"/>
        <v>#N/A</v>
      </c>
      <c r="AQ91" t="e">
        <f t="shared" ca="1" si="131"/>
        <v>#N/A</v>
      </c>
      <c r="AR91" t="e">
        <f t="shared" ca="1" si="131"/>
        <v>#N/A</v>
      </c>
      <c r="AS91" t="e">
        <f t="shared" ca="1" si="131"/>
        <v>#N/A</v>
      </c>
      <c r="AT91" t="e">
        <f t="shared" ca="1" si="131"/>
        <v>#N/A</v>
      </c>
      <c r="AU91" t="e">
        <f t="shared" ca="1" si="131"/>
        <v>#N/A</v>
      </c>
      <c r="AV91" t="e">
        <f t="shared" ca="1" si="131"/>
        <v>#N/A</v>
      </c>
      <c r="AW91" t="e">
        <f t="shared" ca="1" si="131"/>
        <v>#N/A</v>
      </c>
      <c r="AX91" t="e">
        <f t="shared" ca="1" si="131"/>
        <v>#N/A</v>
      </c>
      <c r="AY91" t="e">
        <f t="shared" ca="1" si="131"/>
        <v>#N/A</v>
      </c>
      <c r="AZ91" t="e">
        <f t="shared" ca="1" si="131"/>
        <v>#N/A</v>
      </c>
      <c r="BA91" t="e">
        <f t="shared" ca="1" si="131"/>
        <v>#N/A</v>
      </c>
      <c r="BB91" t="e">
        <f t="shared" ca="1" si="131"/>
        <v>#N/A</v>
      </c>
      <c r="BC91" t="e">
        <f t="shared" ca="1" si="131"/>
        <v>#N/A</v>
      </c>
      <c r="BD91" t="e">
        <f t="shared" ca="1" si="131"/>
        <v>#N/A</v>
      </c>
      <c r="BE91" t="e">
        <f t="shared" ca="1" si="131"/>
        <v>#N/A</v>
      </c>
      <c r="BF91" t="e">
        <f t="shared" ca="1" si="131"/>
        <v>#N/A</v>
      </c>
      <c r="BG91" t="e">
        <f t="shared" ca="1" si="131"/>
        <v>#N/A</v>
      </c>
      <c r="BH91" t="e">
        <f t="shared" ca="1" si="131"/>
        <v>#N/A</v>
      </c>
      <c r="BI91" t="e">
        <f t="shared" ca="1" si="131"/>
        <v>#N/A</v>
      </c>
      <c r="BJ91" t="e">
        <f t="shared" ca="1" si="131"/>
        <v>#N/A</v>
      </c>
      <c r="BK91" t="e">
        <f t="shared" ca="1" si="131"/>
        <v>#N/A</v>
      </c>
      <c r="BL91" t="e">
        <f t="shared" ca="1" si="131"/>
        <v>#N/A</v>
      </c>
      <c r="BM91" t="e">
        <f t="shared" ca="1" si="131"/>
        <v>#N/A</v>
      </c>
      <c r="BN91" t="e">
        <f t="shared" ca="1" si="131"/>
        <v>#N/A</v>
      </c>
      <c r="BO91" t="e">
        <f t="shared" ca="1" si="131"/>
        <v>#N/A</v>
      </c>
      <c r="BP91" t="e">
        <f t="shared" ref="BP91:CJ91" ca="1" si="132">BP78</f>
        <v>#N/A</v>
      </c>
      <c r="BQ91" t="e">
        <f t="shared" ca="1" si="132"/>
        <v>#N/A</v>
      </c>
      <c r="BR91" t="e">
        <f t="shared" ca="1" si="132"/>
        <v>#N/A</v>
      </c>
      <c r="BS91" t="e">
        <f t="shared" ca="1" si="132"/>
        <v>#N/A</v>
      </c>
      <c r="BT91" t="e">
        <f t="shared" ca="1" si="132"/>
        <v>#N/A</v>
      </c>
      <c r="BU91" t="e">
        <f t="shared" ca="1" si="132"/>
        <v>#N/A</v>
      </c>
      <c r="BV91" t="e">
        <f t="shared" ca="1" si="132"/>
        <v>#N/A</v>
      </c>
      <c r="BW91" t="e">
        <f t="shared" ca="1" si="132"/>
        <v>#N/A</v>
      </c>
      <c r="BX91" t="e">
        <f t="shared" ca="1" si="132"/>
        <v>#N/A</v>
      </c>
      <c r="BY91" t="e">
        <f t="shared" ca="1" si="132"/>
        <v>#N/A</v>
      </c>
      <c r="BZ91" t="e">
        <f t="shared" ca="1" si="132"/>
        <v>#N/A</v>
      </c>
      <c r="CA91" t="e">
        <f t="shared" ca="1" si="132"/>
        <v>#N/A</v>
      </c>
      <c r="CB91" t="e">
        <f t="shared" ca="1" si="132"/>
        <v>#N/A</v>
      </c>
      <c r="CC91" t="e">
        <f t="shared" ca="1" si="132"/>
        <v>#N/A</v>
      </c>
      <c r="CD91" t="e">
        <f t="shared" ca="1" si="132"/>
        <v>#N/A</v>
      </c>
      <c r="CE91" t="e">
        <f t="shared" ca="1" si="132"/>
        <v>#N/A</v>
      </c>
      <c r="CF91" t="e">
        <f t="shared" ca="1" si="132"/>
        <v>#N/A</v>
      </c>
      <c r="CG91" t="e">
        <f t="shared" ca="1" si="132"/>
        <v>#N/A</v>
      </c>
      <c r="CH91" t="e">
        <f t="shared" ca="1" si="132"/>
        <v>#N/A</v>
      </c>
      <c r="CI91" t="e">
        <f t="shared" ca="1" si="132"/>
        <v>#N/A</v>
      </c>
      <c r="CJ91" t="e">
        <f t="shared" ca="1" si="132"/>
        <v>#N/A</v>
      </c>
      <c r="CK91" s="5" t="e">
        <f t="shared" ref="CK91:DI91" ca="1" si="133">CK78</f>
        <v>#N/A</v>
      </c>
      <c r="CL91" s="5" t="e">
        <f t="shared" ca="1" si="133"/>
        <v>#N/A</v>
      </c>
      <c r="CM91" s="5" t="e">
        <f t="shared" ca="1" si="133"/>
        <v>#N/A</v>
      </c>
      <c r="CN91" s="5" t="e">
        <f t="shared" ca="1" si="133"/>
        <v>#N/A</v>
      </c>
      <c r="CO91" s="5" t="e">
        <f t="shared" ca="1" si="133"/>
        <v>#N/A</v>
      </c>
      <c r="CP91" s="5" t="e">
        <f t="shared" ca="1" si="133"/>
        <v>#N/A</v>
      </c>
      <c r="CQ91" s="5" t="e">
        <f t="shared" ca="1" si="133"/>
        <v>#N/A</v>
      </c>
      <c r="CR91" s="5" t="e">
        <f t="shared" ca="1" si="133"/>
        <v>#N/A</v>
      </c>
      <c r="CS91" s="5" t="e">
        <f t="shared" ca="1" si="133"/>
        <v>#N/A</v>
      </c>
      <c r="CT91" s="5" t="e">
        <f t="shared" ca="1" si="133"/>
        <v>#N/A</v>
      </c>
      <c r="CU91" s="5" t="e">
        <f t="shared" ca="1" si="133"/>
        <v>#N/A</v>
      </c>
      <c r="CV91" s="5" t="e">
        <f t="shared" ca="1" si="133"/>
        <v>#N/A</v>
      </c>
      <c r="CW91" s="5" t="e">
        <f t="shared" ca="1" si="133"/>
        <v>#N/A</v>
      </c>
      <c r="CX91" s="5" t="e">
        <f t="shared" ca="1" si="133"/>
        <v>#N/A</v>
      </c>
      <c r="CY91" s="5" t="e">
        <f t="shared" ca="1" si="133"/>
        <v>#N/A</v>
      </c>
      <c r="CZ91" s="5" t="e">
        <f t="shared" ca="1" si="133"/>
        <v>#N/A</v>
      </c>
      <c r="DA91" s="5" t="e">
        <f t="shared" ca="1" si="133"/>
        <v>#N/A</v>
      </c>
      <c r="DB91" s="5" t="e">
        <f t="shared" ca="1" si="133"/>
        <v>#N/A</v>
      </c>
      <c r="DC91" s="5" t="e">
        <f t="shared" ca="1" si="133"/>
        <v>#N/A</v>
      </c>
      <c r="DD91" s="5" t="e">
        <f t="shared" ca="1" si="133"/>
        <v>#N/A</v>
      </c>
      <c r="DE91" s="5" t="e">
        <f t="shared" ca="1" si="133"/>
        <v>#N/A</v>
      </c>
      <c r="DF91" s="5" t="e">
        <f t="shared" ca="1" si="133"/>
        <v>#N/A</v>
      </c>
      <c r="DG91" s="5" t="e">
        <f t="shared" ca="1" si="133"/>
        <v>#N/A</v>
      </c>
      <c r="DH91" s="5" t="e">
        <f t="shared" ca="1" si="133"/>
        <v>#N/A</v>
      </c>
      <c r="DI91" s="695" t="e">
        <f t="shared" ca="1" si="133"/>
        <v>#N/A</v>
      </c>
    </row>
    <row r="92" spans="1:113" x14ac:dyDescent="0.35">
      <c r="A92" s="685"/>
      <c r="B92" t="s">
        <v>2194</v>
      </c>
      <c r="D92" t="e">
        <f t="shared" ref="D92:BO92" si="134">D79</f>
        <v>#N/A</v>
      </c>
      <c r="E92" t="e">
        <f t="shared" si="134"/>
        <v>#N/A</v>
      </c>
      <c r="F92" t="e">
        <f t="shared" si="134"/>
        <v>#N/A</v>
      </c>
      <c r="G92" t="e">
        <f t="shared" si="134"/>
        <v>#N/A</v>
      </c>
      <c r="H92" t="e">
        <f t="shared" si="134"/>
        <v>#N/A</v>
      </c>
      <c r="I92" t="e">
        <f t="shared" si="134"/>
        <v>#N/A</v>
      </c>
      <c r="J92" t="e">
        <f t="shared" si="134"/>
        <v>#N/A</v>
      </c>
      <c r="K92" t="e">
        <f t="shared" si="134"/>
        <v>#N/A</v>
      </c>
      <c r="L92" t="e">
        <f t="shared" si="134"/>
        <v>#N/A</v>
      </c>
      <c r="M92" t="e">
        <f t="shared" si="134"/>
        <v>#N/A</v>
      </c>
      <c r="N92" t="e">
        <f t="shared" ca="1" si="134"/>
        <v>#N/A</v>
      </c>
      <c r="O92" t="e">
        <f t="shared" ca="1" si="134"/>
        <v>#N/A</v>
      </c>
      <c r="P92" t="e">
        <f t="shared" ca="1" si="134"/>
        <v>#N/A</v>
      </c>
      <c r="Q92" t="e">
        <f t="shared" ca="1" si="134"/>
        <v>#N/A</v>
      </c>
      <c r="R92" t="e">
        <f t="shared" ca="1" si="134"/>
        <v>#N/A</v>
      </c>
      <c r="S92" t="e">
        <f t="shared" ca="1" si="134"/>
        <v>#N/A</v>
      </c>
      <c r="T92" t="e">
        <f t="shared" ca="1" si="134"/>
        <v>#N/A</v>
      </c>
      <c r="U92" t="e">
        <f t="shared" ca="1" si="134"/>
        <v>#N/A</v>
      </c>
      <c r="V92" t="e">
        <f t="shared" ca="1" si="134"/>
        <v>#N/A</v>
      </c>
      <c r="W92" t="e">
        <f t="shared" ca="1" si="134"/>
        <v>#N/A</v>
      </c>
      <c r="X92" t="e">
        <f t="shared" ca="1" si="134"/>
        <v>#N/A</v>
      </c>
      <c r="Y92" t="e">
        <f t="shared" ca="1" si="134"/>
        <v>#N/A</v>
      </c>
      <c r="Z92" t="e">
        <f t="shared" ca="1" si="134"/>
        <v>#N/A</v>
      </c>
      <c r="AA92" t="e">
        <f t="shared" ca="1" si="134"/>
        <v>#N/A</v>
      </c>
      <c r="AB92" t="e">
        <f t="shared" ca="1" si="134"/>
        <v>#N/A</v>
      </c>
      <c r="AC92" t="e">
        <f t="shared" ca="1" si="134"/>
        <v>#N/A</v>
      </c>
      <c r="AD92" t="e">
        <f t="shared" ca="1" si="134"/>
        <v>#N/A</v>
      </c>
      <c r="AE92" t="e">
        <f t="shared" ca="1" si="134"/>
        <v>#N/A</v>
      </c>
      <c r="AF92" t="e">
        <f t="shared" ca="1" si="134"/>
        <v>#N/A</v>
      </c>
      <c r="AG92" t="e">
        <f t="shared" ca="1" si="134"/>
        <v>#N/A</v>
      </c>
      <c r="AH92" t="e">
        <f t="shared" ca="1" si="134"/>
        <v>#N/A</v>
      </c>
      <c r="AI92" t="e">
        <f t="shared" ca="1" si="134"/>
        <v>#N/A</v>
      </c>
      <c r="AJ92" t="e">
        <f t="shared" ca="1" si="134"/>
        <v>#N/A</v>
      </c>
      <c r="AK92" t="e">
        <f t="shared" ca="1" si="134"/>
        <v>#N/A</v>
      </c>
      <c r="AL92" t="e">
        <f t="shared" ca="1" si="134"/>
        <v>#N/A</v>
      </c>
      <c r="AM92" t="e">
        <f t="shared" ca="1" si="134"/>
        <v>#N/A</v>
      </c>
      <c r="AN92" t="e">
        <f t="shared" ca="1" si="134"/>
        <v>#N/A</v>
      </c>
      <c r="AO92" t="e">
        <f t="shared" ca="1" si="134"/>
        <v>#N/A</v>
      </c>
      <c r="AP92" t="e">
        <f t="shared" ca="1" si="134"/>
        <v>#N/A</v>
      </c>
      <c r="AQ92" t="e">
        <f t="shared" ca="1" si="134"/>
        <v>#N/A</v>
      </c>
      <c r="AR92" t="e">
        <f t="shared" ca="1" si="134"/>
        <v>#N/A</v>
      </c>
      <c r="AS92" t="e">
        <f t="shared" ca="1" si="134"/>
        <v>#N/A</v>
      </c>
      <c r="AT92" t="e">
        <f t="shared" ca="1" si="134"/>
        <v>#N/A</v>
      </c>
      <c r="AU92" t="e">
        <f t="shared" ca="1" si="134"/>
        <v>#N/A</v>
      </c>
      <c r="AV92" t="e">
        <f t="shared" ca="1" si="134"/>
        <v>#N/A</v>
      </c>
      <c r="AW92" t="e">
        <f t="shared" ca="1" si="134"/>
        <v>#N/A</v>
      </c>
      <c r="AX92" t="e">
        <f t="shared" ca="1" si="134"/>
        <v>#N/A</v>
      </c>
      <c r="AY92" t="e">
        <f t="shared" ca="1" si="134"/>
        <v>#N/A</v>
      </c>
      <c r="AZ92" t="e">
        <f t="shared" ca="1" si="134"/>
        <v>#N/A</v>
      </c>
      <c r="BA92" t="e">
        <f t="shared" ca="1" si="134"/>
        <v>#N/A</v>
      </c>
      <c r="BB92" t="e">
        <f t="shared" ca="1" si="134"/>
        <v>#N/A</v>
      </c>
      <c r="BC92" t="e">
        <f t="shared" ca="1" si="134"/>
        <v>#N/A</v>
      </c>
      <c r="BD92" t="e">
        <f t="shared" ca="1" si="134"/>
        <v>#N/A</v>
      </c>
      <c r="BE92" t="e">
        <f t="shared" ca="1" si="134"/>
        <v>#N/A</v>
      </c>
      <c r="BF92" t="e">
        <f t="shared" ca="1" si="134"/>
        <v>#N/A</v>
      </c>
      <c r="BG92" t="e">
        <f t="shared" ca="1" si="134"/>
        <v>#N/A</v>
      </c>
      <c r="BH92" t="e">
        <f t="shared" ca="1" si="134"/>
        <v>#N/A</v>
      </c>
      <c r="BI92" t="e">
        <f t="shared" ca="1" si="134"/>
        <v>#N/A</v>
      </c>
      <c r="BJ92" t="e">
        <f t="shared" ca="1" si="134"/>
        <v>#N/A</v>
      </c>
      <c r="BK92" t="e">
        <f t="shared" ca="1" si="134"/>
        <v>#N/A</v>
      </c>
      <c r="BL92" t="e">
        <f t="shared" ca="1" si="134"/>
        <v>#N/A</v>
      </c>
      <c r="BM92" t="e">
        <f t="shared" ca="1" si="134"/>
        <v>#N/A</v>
      </c>
      <c r="BN92" t="e">
        <f t="shared" ca="1" si="134"/>
        <v>#N/A</v>
      </c>
      <c r="BO92" t="e">
        <f t="shared" ca="1" si="134"/>
        <v>#N/A</v>
      </c>
      <c r="BP92" t="e">
        <f t="shared" ref="BP92:CJ92" ca="1" si="135">BP79</f>
        <v>#N/A</v>
      </c>
      <c r="BQ92" t="e">
        <f t="shared" ca="1" si="135"/>
        <v>#N/A</v>
      </c>
      <c r="BR92" t="e">
        <f t="shared" ca="1" si="135"/>
        <v>#N/A</v>
      </c>
      <c r="BS92" t="e">
        <f t="shared" ca="1" si="135"/>
        <v>#N/A</v>
      </c>
      <c r="BT92" t="e">
        <f t="shared" ca="1" si="135"/>
        <v>#N/A</v>
      </c>
      <c r="BU92" t="e">
        <f t="shared" ca="1" si="135"/>
        <v>#N/A</v>
      </c>
      <c r="BV92" t="e">
        <f t="shared" ca="1" si="135"/>
        <v>#N/A</v>
      </c>
      <c r="BW92" t="e">
        <f t="shared" ca="1" si="135"/>
        <v>#N/A</v>
      </c>
      <c r="BX92" t="e">
        <f t="shared" ca="1" si="135"/>
        <v>#N/A</v>
      </c>
      <c r="BY92" t="e">
        <f t="shared" ca="1" si="135"/>
        <v>#N/A</v>
      </c>
      <c r="BZ92" t="e">
        <f t="shared" ca="1" si="135"/>
        <v>#N/A</v>
      </c>
      <c r="CA92" t="e">
        <f t="shared" ca="1" si="135"/>
        <v>#N/A</v>
      </c>
      <c r="CB92" t="e">
        <f t="shared" ca="1" si="135"/>
        <v>#N/A</v>
      </c>
      <c r="CC92" t="e">
        <f t="shared" ca="1" si="135"/>
        <v>#N/A</v>
      </c>
      <c r="CD92" t="e">
        <f t="shared" ca="1" si="135"/>
        <v>#N/A</v>
      </c>
      <c r="CE92" t="e">
        <f t="shared" ca="1" si="135"/>
        <v>#N/A</v>
      </c>
      <c r="CF92" t="e">
        <f t="shared" ca="1" si="135"/>
        <v>#N/A</v>
      </c>
      <c r="CG92" t="e">
        <f t="shared" ca="1" si="135"/>
        <v>#N/A</v>
      </c>
      <c r="CH92" t="e">
        <f t="shared" ca="1" si="135"/>
        <v>#N/A</v>
      </c>
      <c r="CI92" t="e">
        <f t="shared" ca="1" si="135"/>
        <v>#N/A</v>
      </c>
      <c r="CJ92" t="e">
        <f t="shared" ca="1" si="135"/>
        <v>#N/A</v>
      </c>
      <c r="CK92" s="5" t="e">
        <f t="shared" ref="CK92:DI92" ca="1" si="136">CK79</f>
        <v>#N/A</v>
      </c>
      <c r="CL92" s="5" t="e">
        <f t="shared" ca="1" si="136"/>
        <v>#N/A</v>
      </c>
      <c r="CM92" s="5" t="e">
        <f t="shared" ca="1" si="136"/>
        <v>#N/A</v>
      </c>
      <c r="CN92" s="5" t="e">
        <f t="shared" ca="1" si="136"/>
        <v>#N/A</v>
      </c>
      <c r="CO92" s="5" t="e">
        <f t="shared" ca="1" si="136"/>
        <v>#N/A</v>
      </c>
      <c r="CP92" s="5" t="e">
        <f t="shared" ca="1" si="136"/>
        <v>#N/A</v>
      </c>
      <c r="CQ92" s="5" t="e">
        <f t="shared" ca="1" si="136"/>
        <v>#N/A</v>
      </c>
      <c r="CR92" s="5" t="e">
        <f t="shared" ca="1" si="136"/>
        <v>#N/A</v>
      </c>
      <c r="CS92" s="5" t="e">
        <f t="shared" ca="1" si="136"/>
        <v>#N/A</v>
      </c>
      <c r="CT92" s="5" t="e">
        <f t="shared" ca="1" si="136"/>
        <v>#N/A</v>
      </c>
      <c r="CU92" s="5" t="e">
        <f t="shared" ca="1" si="136"/>
        <v>#N/A</v>
      </c>
      <c r="CV92" s="5" t="e">
        <f t="shared" ca="1" si="136"/>
        <v>#N/A</v>
      </c>
      <c r="CW92" s="5" t="e">
        <f t="shared" ca="1" si="136"/>
        <v>#N/A</v>
      </c>
      <c r="CX92" s="5" t="e">
        <f t="shared" ca="1" si="136"/>
        <v>#N/A</v>
      </c>
      <c r="CY92" s="5" t="e">
        <f t="shared" ca="1" si="136"/>
        <v>#N/A</v>
      </c>
      <c r="CZ92" s="5" t="e">
        <f t="shared" ca="1" si="136"/>
        <v>#N/A</v>
      </c>
      <c r="DA92" s="5" t="e">
        <f t="shared" ca="1" si="136"/>
        <v>#N/A</v>
      </c>
      <c r="DB92" s="5" t="e">
        <f t="shared" ca="1" si="136"/>
        <v>#N/A</v>
      </c>
      <c r="DC92" s="5" t="e">
        <f t="shared" ca="1" si="136"/>
        <v>#N/A</v>
      </c>
      <c r="DD92" s="5" t="e">
        <f t="shared" ca="1" si="136"/>
        <v>#N/A</v>
      </c>
      <c r="DE92" s="5" t="e">
        <f t="shared" ca="1" si="136"/>
        <v>#N/A</v>
      </c>
      <c r="DF92" s="5" t="e">
        <f t="shared" ca="1" si="136"/>
        <v>#N/A</v>
      </c>
      <c r="DG92" s="5" t="e">
        <f t="shared" ca="1" si="136"/>
        <v>#N/A</v>
      </c>
      <c r="DH92" s="5" t="e">
        <f t="shared" ca="1" si="136"/>
        <v>#N/A</v>
      </c>
      <c r="DI92" s="695" t="e">
        <f t="shared" ca="1" si="136"/>
        <v>#N/A</v>
      </c>
    </row>
    <row r="93" spans="1:113" x14ac:dyDescent="0.35">
      <c r="A93" s="685"/>
      <c r="B93" t="s">
        <v>2195</v>
      </c>
      <c r="D93" t="e">
        <f t="shared" ref="D93:BO93" si="137">D80</f>
        <v>#N/A</v>
      </c>
      <c r="E93" t="e">
        <f t="shared" si="137"/>
        <v>#N/A</v>
      </c>
      <c r="F93" t="e">
        <f t="shared" si="137"/>
        <v>#N/A</v>
      </c>
      <c r="G93" t="e">
        <f t="shared" si="137"/>
        <v>#N/A</v>
      </c>
      <c r="H93" t="e">
        <f t="shared" si="137"/>
        <v>#N/A</v>
      </c>
      <c r="I93" t="e">
        <f t="shared" si="137"/>
        <v>#N/A</v>
      </c>
      <c r="J93" t="e">
        <f t="shared" si="137"/>
        <v>#N/A</v>
      </c>
      <c r="K93" t="e">
        <f t="shared" si="137"/>
        <v>#N/A</v>
      </c>
      <c r="L93" t="e">
        <f t="shared" si="137"/>
        <v>#N/A</v>
      </c>
      <c r="M93" t="e">
        <f t="shared" si="137"/>
        <v>#N/A</v>
      </c>
      <c r="N93" t="e">
        <f t="shared" ca="1" si="137"/>
        <v>#N/A</v>
      </c>
      <c r="O93" t="e">
        <f t="shared" ca="1" si="137"/>
        <v>#N/A</v>
      </c>
      <c r="P93" t="e">
        <f t="shared" ca="1" si="137"/>
        <v>#N/A</v>
      </c>
      <c r="Q93" t="e">
        <f t="shared" ca="1" si="137"/>
        <v>#N/A</v>
      </c>
      <c r="R93" t="e">
        <f t="shared" ca="1" si="137"/>
        <v>#N/A</v>
      </c>
      <c r="S93" t="e">
        <f t="shared" ca="1" si="137"/>
        <v>#N/A</v>
      </c>
      <c r="T93" t="e">
        <f t="shared" ca="1" si="137"/>
        <v>#N/A</v>
      </c>
      <c r="U93" t="e">
        <f t="shared" ca="1" si="137"/>
        <v>#N/A</v>
      </c>
      <c r="V93" t="e">
        <f t="shared" ca="1" si="137"/>
        <v>#N/A</v>
      </c>
      <c r="W93" t="e">
        <f t="shared" ca="1" si="137"/>
        <v>#N/A</v>
      </c>
      <c r="X93" t="e">
        <f t="shared" ca="1" si="137"/>
        <v>#N/A</v>
      </c>
      <c r="Y93" t="e">
        <f t="shared" ca="1" si="137"/>
        <v>#N/A</v>
      </c>
      <c r="Z93" t="e">
        <f t="shared" ca="1" si="137"/>
        <v>#N/A</v>
      </c>
      <c r="AA93" t="e">
        <f t="shared" ca="1" si="137"/>
        <v>#N/A</v>
      </c>
      <c r="AB93" t="e">
        <f t="shared" ca="1" si="137"/>
        <v>#N/A</v>
      </c>
      <c r="AC93" t="e">
        <f t="shared" ca="1" si="137"/>
        <v>#N/A</v>
      </c>
      <c r="AD93" t="e">
        <f t="shared" ca="1" si="137"/>
        <v>#N/A</v>
      </c>
      <c r="AE93" t="e">
        <f t="shared" ca="1" si="137"/>
        <v>#N/A</v>
      </c>
      <c r="AF93" t="e">
        <f t="shared" ca="1" si="137"/>
        <v>#N/A</v>
      </c>
      <c r="AG93" t="e">
        <f t="shared" ca="1" si="137"/>
        <v>#N/A</v>
      </c>
      <c r="AH93" t="e">
        <f t="shared" ca="1" si="137"/>
        <v>#N/A</v>
      </c>
      <c r="AI93" t="e">
        <f t="shared" ca="1" si="137"/>
        <v>#N/A</v>
      </c>
      <c r="AJ93" t="e">
        <f t="shared" ca="1" si="137"/>
        <v>#N/A</v>
      </c>
      <c r="AK93" t="e">
        <f t="shared" ca="1" si="137"/>
        <v>#N/A</v>
      </c>
      <c r="AL93" t="e">
        <f t="shared" ca="1" si="137"/>
        <v>#N/A</v>
      </c>
      <c r="AM93" t="e">
        <f t="shared" ca="1" si="137"/>
        <v>#N/A</v>
      </c>
      <c r="AN93" t="e">
        <f t="shared" ca="1" si="137"/>
        <v>#N/A</v>
      </c>
      <c r="AO93" t="e">
        <f t="shared" ca="1" si="137"/>
        <v>#N/A</v>
      </c>
      <c r="AP93" t="e">
        <f t="shared" ca="1" si="137"/>
        <v>#N/A</v>
      </c>
      <c r="AQ93" t="e">
        <f t="shared" ca="1" si="137"/>
        <v>#N/A</v>
      </c>
      <c r="AR93" t="e">
        <f t="shared" ca="1" si="137"/>
        <v>#N/A</v>
      </c>
      <c r="AS93" t="e">
        <f t="shared" ca="1" si="137"/>
        <v>#N/A</v>
      </c>
      <c r="AT93" t="e">
        <f t="shared" ca="1" si="137"/>
        <v>#N/A</v>
      </c>
      <c r="AU93" t="e">
        <f t="shared" ca="1" si="137"/>
        <v>#N/A</v>
      </c>
      <c r="AV93" t="e">
        <f t="shared" ca="1" si="137"/>
        <v>#N/A</v>
      </c>
      <c r="AW93" t="e">
        <f t="shared" ca="1" si="137"/>
        <v>#N/A</v>
      </c>
      <c r="AX93" t="e">
        <f t="shared" ca="1" si="137"/>
        <v>#N/A</v>
      </c>
      <c r="AY93" t="e">
        <f t="shared" ca="1" si="137"/>
        <v>#N/A</v>
      </c>
      <c r="AZ93" t="e">
        <f t="shared" ca="1" si="137"/>
        <v>#N/A</v>
      </c>
      <c r="BA93" t="e">
        <f t="shared" ca="1" si="137"/>
        <v>#N/A</v>
      </c>
      <c r="BB93" t="e">
        <f t="shared" ca="1" si="137"/>
        <v>#N/A</v>
      </c>
      <c r="BC93" t="e">
        <f t="shared" ca="1" si="137"/>
        <v>#N/A</v>
      </c>
      <c r="BD93" t="e">
        <f t="shared" ca="1" si="137"/>
        <v>#N/A</v>
      </c>
      <c r="BE93" t="e">
        <f t="shared" ca="1" si="137"/>
        <v>#N/A</v>
      </c>
      <c r="BF93" t="e">
        <f t="shared" ca="1" si="137"/>
        <v>#N/A</v>
      </c>
      <c r="BG93" t="e">
        <f t="shared" ca="1" si="137"/>
        <v>#N/A</v>
      </c>
      <c r="BH93" t="e">
        <f t="shared" ca="1" si="137"/>
        <v>#N/A</v>
      </c>
      <c r="BI93" t="e">
        <f t="shared" ca="1" si="137"/>
        <v>#N/A</v>
      </c>
      <c r="BJ93" t="e">
        <f t="shared" ca="1" si="137"/>
        <v>#N/A</v>
      </c>
      <c r="BK93" t="e">
        <f t="shared" ca="1" si="137"/>
        <v>#N/A</v>
      </c>
      <c r="BL93" t="e">
        <f t="shared" ca="1" si="137"/>
        <v>#N/A</v>
      </c>
      <c r="BM93" t="e">
        <f t="shared" ca="1" si="137"/>
        <v>#N/A</v>
      </c>
      <c r="BN93" t="e">
        <f t="shared" ca="1" si="137"/>
        <v>#N/A</v>
      </c>
      <c r="BO93" t="e">
        <f t="shared" ca="1" si="137"/>
        <v>#N/A</v>
      </c>
      <c r="BP93" t="e">
        <f t="shared" ref="BP93:CJ93" ca="1" si="138">BP80</f>
        <v>#N/A</v>
      </c>
      <c r="BQ93" t="e">
        <f t="shared" ca="1" si="138"/>
        <v>#N/A</v>
      </c>
      <c r="BR93" t="e">
        <f t="shared" ca="1" si="138"/>
        <v>#N/A</v>
      </c>
      <c r="BS93" t="e">
        <f t="shared" ca="1" si="138"/>
        <v>#N/A</v>
      </c>
      <c r="BT93" t="e">
        <f t="shared" ca="1" si="138"/>
        <v>#N/A</v>
      </c>
      <c r="BU93" t="e">
        <f t="shared" ca="1" si="138"/>
        <v>#N/A</v>
      </c>
      <c r="BV93" t="e">
        <f t="shared" ca="1" si="138"/>
        <v>#N/A</v>
      </c>
      <c r="BW93" t="e">
        <f t="shared" ca="1" si="138"/>
        <v>#N/A</v>
      </c>
      <c r="BX93" t="e">
        <f t="shared" ca="1" si="138"/>
        <v>#N/A</v>
      </c>
      <c r="BY93" t="e">
        <f t="shared" ca="1" si="138"/>
        <v>#N/A</v>
      </c>
      <c r="BZ93" t="e">
        <f t="shared" ca="1" si="138"/>
        <v>#N/A</v>
      </c>
      <c r="CA93" t="e">
        <f t="shared" ca="1" si="138"/>
        <v>#N/A</v>
      </c>
      <c r="CB93" t="e">
        <f t="shared" ca="1" si="138"/>
        <v>#N/A</v>
      </c>
      <c r="CC93" t="e">
        <f t="shared" ca="1" si="138"/>
        <v>#N/A</v>
      </c>
      <c r="CD93" t="e">
        <f t="shared" ca="1" si="138"/>
        <v>#N/A</v>
      </c>
      <c r="CE93" t="e">
        <f t="shared" ca="1" si="138"/>
        <v>#N/A</v>
      </c>
      <c r="CF93" t="e">
        <f t="shared" ca="1" si="138"/>
        <v>#N/A</v>
      </c>
      <c r="CG93" t="e">
        <f t="shared" ca="1" si="138"/>
        <v>#N/A</v>
      </c>
      <c r="CH93" t="e">
        <f t="shared" ca="1" si="138"/>
        <v>#N/A</v>
      </c>
      <c r="CI93" t="e">
        <f t="shared" ca="1" si="138"/>
        <v>#N/A</v>
      </c>
      <c r="CJ93" t="e">
        <f t="shared" ca="1" si="138"/>
        <v>#N/A</v>
      </c>
      <c r="CK93" s="5" t="e">
        <f t="shared" ref="CK93:DI93" ca="1" si="139">CK80</f>
        <v>#N/A</v>
      </c>
      <c r="CL93" s="5" t="e">
        <f t="shared" ca="1" si="139"/>
        <v>#N/A</v>
      </c>
      <c r="CM93" s="5" t="e">
        <f t="shared" ca="1" si="139"/>
        <v>#N/A</v>
      </c>
      <c r="CN93" s="5" t="e">
        <f t="shared" ca="1" si="139"/>
        <v>#N/A</v>
      </c>
      <c r="CO93" s="5" t="e">
        <f t="shared" ca="1" si="139"/>
        <v>#N/A</v>
      </c>
      <c r="CP93" s="5" t="e">
        <f t="shared" ca="1" si="139"/>
        <v>#N/A</v>
      </c>
      <c r="CQ93" s="5" t="e">
        <f t="shared" ca="1" si="139"/>
        <v>#N/A</v>
      </c>
      <c r="CR93" s="5" t="e">
        <f t="shared" ca="1" si="139"/>
        <v>#N/A</v>
      </c>
      <c r="CS93" s="5" t="e">
        <f t="shared" ca="1" si="139"/>
        <v>#N/A</v>
      </c>
      <c r="CT93" s="5" t="e">
        <f t="shared" ca="1" si="139"/>
        <v>#N/A</v>
      </c>
      <c r="CU93" s="5" t="e">
        <f t="shared" ca="1" si="139"/>
        <v>#N/A</v>
      </c>
      <c r="CV93" s="5" t="e">
        <f t="shared" ca="1" si="139"/>
        <v>#N/A</v>
      </c>
      <c r="CW93" s="5" t="e">
        <f t="shared" ca="1" si="139"/>
        <v>#N/A</v>
      </c>
      <c r="CX93" s="5" t="e">
        <f t="shared" ca="1" si="139"/>
        <v>#N/A</v>
      </c>
      <c r="CY93" s="5" t="e">
        <f t="shared" ca="1" si="139"/>
        <v>#N/A</v>
      </c>
      <c r="CZ93" s="5" t="e">
        <f t="shared" ca="1" si="139"/>
        <v>#N/A</v>
      </c>
      <c r="DA93" s="5" t="e">
        <f t="shared" ca="1" si="139"/>
        <v>#N/A</v>
      </c>
      <c r="DB93" s="5" t="e">
        <f t="shared" ca="1" si="139"/>
        <v>#N/A</v>
      </c>
      <c r="DC93" s="5" t="e">
        <f t="shared" ca="1" si="139"/>
        <v>#N/A</v>
      </c>
      <c r="DD93" s="5" t="e">
        <f t="shared" ca="1" si="139"/>
        <v>#N/A</v>
      </c>
      <c r="DE93" s="5" t="e">
        <f t="shared" ca="1" si="139"/>
        <v>#N/A</v>
      </c>
      <c r="DF93" s="5" t="e">
        <f t="shared" ca="1" si="139"/>
        <v>#N/A</v>
      </c>
      <c r="DG93" s="5" t="e">
        <f t="shared" ca="1" si="139"/>
        <v>#N/A</v>
      </c>
      <c r="DH93" s="5" t="e">
        <f t="shared" ca="1" si="139"/>
        <v>#N/A</v>
      </c>
      <c r="DI93" s="695" t="e">
        <f t="shared" ca="1" si="139"/>
        <v>#N/A</v>
      </c>
    </row>
    <row r="94" spans="1:113" x14ac:dyDescent="0.35">
      <c r="A94" s="685"/>
      <c r="B94" t="s">
        <v>2196</v>
      </c>
      <c r="D94" t="e">
        <f t="shared" ref="D94:BO94" si="140">D81</f>
        <v>#N/A</v>
      </c>
      <c r="E94" t="e">
        <f t="shared" si="140"/>
        <v>#N/A</v>
      </c>
      <c r="F94" t="e">
        <f t="shared" si="140"/>
        <v>#N/A</v>
      </c>
      <c r="G94" t="e">
        <f t="shared" si="140"/>
        <v>#N/A</v>
      </c>
      <c r="H94" t="e">
        <f t="shared" si="140"/>
        <v>#N/A</v>
      </c>
      <c r="I94" t="e">
        <f t="shared" si="140"/>
        <v>#N/A</v>
      </c>
      <c r="J94" t="e">
        <f t="shared" si="140"/>
        <v>#N/A</v>
      </c>
      <c r="K94" t="e">
        <f t="shared" si="140"/>
        <v>#N/A</v>
      </c>
      <c r="L94" t="e">
        <f t="shared" si="140"/>
        <v>#N/A</v>
      </c>
      <c r="M94" t="e">
        <f t="shared" si="140"/>
        <v>#N/A</v>
      </c>
      <c r="N94" t="e">
        <f t="shared" ca="1" si="140"/>
        <v>#N/A</v>
      </c>
      <c r="O94" t="e">
        <f t="shared" ca="1" si="140"/>
        <v>#N/A</v>
      </c>
      <c r="P94" t="e">
        <f t="shared" ca="1" si="140"/>
        <v>#N/A</v>
      </c>
      <c r="Q94" t="e">
        <f t="shared" ca="1" si="140"/>
        <v>#N/A</v>
      </c>
      <c r="R94" t="e">
        <f t="shared" ca="1" si="140"/>
        <v>#N/A</v>
      </c>
      <c r="S94" t="e">
        <f t="shared" ca="1" si="140"/>
        <v>#N/A</v>
      </c>
      <c r="T94" t="e">
        <f t="shared" ca="1" si="140"/>
        <v>#N/A</v>
      </c>
      <c r="U94" t="e">
        <f t="shared" ca="1" si="140"/>
        <v>#N/A</v>
      </c>
      <c r="V94" t="e">
        <f t="shared" ca="1" si="140"/>
        <v>#N/A</v>
      </c>
      <c r="W94" t="e">
        <f t="shared" ca="1" si="140"/>
        <v>#N/A</v>
      </c>
      <c r="X94" t="e">
        <f t="shared" ca="1" si="140"/>
        <v>#N/A</v>
      </c>
      <c r="Y94" t="e">
        <f t="shared" ca="1" si="140"/>
        <v>#N/A</v>
      </c>
      <c r="Z94" t="e">
        <f t="shared" ca="1" si="140"/>
        <v>#N/A</v>
      </c>
      <c r="AA94" t="e">
        <f t="shared" ca="1" si="140"/>
        <v>#N/A</v>
      </c>
      <c r="AB94" t="e">
        <f t="shared" ca="1" si="140"/>
        <v>#N/A</v>
      </c>
      <c r="AC94" t="e">
        <f t="shared" ca="1" si="140"/>
        <v>#N/A</v>
      </c>
      <c r="AD94" t="e">
        <f t="shared" ca="1" si="140"/>
        <v>#N/A</v>
      </c>
      <c r="AE94" t="e">
        <f t="shared" ca="1" si="140"/>
        <v>#N/A</v>
      </c>
      <c r="AF94" t="e">
        <f t="shared" ca="1" si="140"/>
        <v>#N/A</v>
      </c>
      <c r="AG94" t="e">
        <f t="shared" ca="1" si="140"/>
        <v>#N/A</v>
      </c>
      <c r="AH94" t="e">
        <f t="shared" ca="1" si="140"/>
        <v>#N/A</v>
      </c>
      <c r="AI94" t="e">
        <f t="shared" ca="1" si="140"/>
        <v>#N/A</v>
      </c>
      <c r="AJ94" t="e">
        <f t="shared" ca="1" si="140"/>
        <v>#N/A</v>
      </c>
      <c r="AK94" t="e">
        <f t="shared" ca="1" si="140"/>
        <v>#N/A</v>
      </c>
      <c r="AL94" t="e">
        <f t="shared" ca="1" si="140"/>
        <v>#N/A</v>
      </c>
      <c r="AM94" t="e">
        <f t="shared" ca="1" si="140"/>
        <v>#N/A</v>
      </c>
      <c r="AN94" t="e">
        <f t="shared" ca="1" si="140"/>
        <v>#N/A</v>
      </c>
      <c r="AO94" t="e">
        <f t="shared" ca="1" si="140"/>
        <v>#N/A</v>
      </c>
      <c r="AP94" t="e">
        <f t="shared" ca="1" si="140"/>
        <v>#N/A</v>
      </c>
      <c r="AQ94" t="e">
        <f t="shared" ca="1" si="140"/>
        <v>#N/A</v>
      </c>
      <c r="AR94" t="e">
        <f t="shared" ca="1" si="140"/>
        <v>#N/A</v>
      </c>
      <c r="AS94" t="e">
        <f t="shared" ca="1" si="140"/>
        <v>#N/A</v>
      </c>
      <c r="AT94" t="e">
        <f t="shared" ca="1" si="140"/>
        <v>#N/A</v>
      </c>
      <c r="AU94" t="e">
        <f t="shared" ca="1" si="140"/>
        <v>#N/A</v>
      </c>
      <c r="AV94" t="e">
        <f t="shared" ca="1" si="140"/>
        <v>#N/A</v>
      </c>
      <c r="AW94" t="e">
        <f t="shared" ca="1" si="140"/>
        <v>#N/A</v>
      </c>
      <c r="AX94" t="e">
        <f t="shared" ca="1" si="140"/>
        <v>#N/A</v>
      </c>
      <c r="AY94" t="e">
        <f t="shared" ca="1" si="140"/>
        <v>#N/A</v>
      </c>
      <c r="AZ94" t="e">
        <f t="shared" ca="1" si="140"/>
        <v>#N/A</v>
      </c>
      <c r="BA94" t="e">
        <f t="shared" ca="1" si="140"/>
        <v>#N/A</v>
      </c>
      <c r="BB94" t="e">
        <f t="shared" ca="1" si="140"/>
        <v>#N/A</v>
      </c>
      <c r="BC94" t="e">
        <f t="shared" ca="1" si="140"/>
        <v>#N/A</v>
      </c>
      <c r="BD94" t="e">
        <f t="shared" ca="1" si="140"/>
        <v>#N/A</v>
      </c>
      <c r="BE94" t="e">
        <f t="shared" ca="1" si="140"/>
        <v>#N/A</v>
      </c>
      <c r="BF94" t="e">
        <f t="shared" ca="1" si="140"/>
        <v>#N/A</v>
      </c>
      <c r="BG94" t="e">
        <f t="shared" ca="1" si="140"/>
        <v>#N/A</v>
      </c>
      <c r="BH94" t="e">
        <f t="shared" ca="1" si="140"/>
        <v>#N/A</v>
      </c>
      <c r="BI94" t="e">
        <f t="shared" ca="1" si="140"/>
        <v>#N/A</v>
      </c>
      <c r="BJ94" t="e">
        <f t="shared" ca="1" si="140"/>
        <v>#N/A</v>
      </c>
      <c r="BK94" t="e">
        <f t="shared" ca="1" si="140"/>
        <v>#N/A</v>
      </c>
      <c r="BL94" t="e">
        <f t="shared" ca="1" si="140"/>
        <v>#N/A</v>
      </c>
      <c r="BM94" t="e">
        <f t="shared" ca="1" si="140"/>
        <v>#N/A</v>
      </c>
      <c r="BN94" t="e">
        <f t="shared" ca="1" si="140"/>
        <v>#N/A</v>
      </c>
      <c r="BO94" t="e">
        <f t="shared" ca="1" si="140"/>
        <v>#N/A</v>
      </c>
      <c r="BP94" t="e">
        <f t="shared" ref="BP94:CJ94" ca="1" si="141">BP81</f>
        <v>#N/A</v>
      </c>
      <c r="BQ94" t="e">
        <f t="shared" ca="1" si="141"/>
        <v>#N/A</v>
      </c>
      <c r="BR94" t="e">
        <f t="shared" ca="1" si="141"/>
        <v>#N/A</v>
      </c>
      <c r="BS94" t="e">
        <f t="shared" ca="1" si="141"/>
        <v>#N/A</v>
      </c>
      <c r="BT94" t="e">
        <f t="shared" ca="1" si="141"/>
        <v>#N/A</v>
      </c>
      <c r="BU94" t="e">
        <f t="shared" ca="1" si="141"/>
        <v>#N/A</v>
      </c>
      <c r="BV94" t="e">
        <f t="shared" ca="1" si="141"/>
        <v>#N/A</v>
      </c>
      <c r="BW94" t="e">
        <f t="shared" ca="1" si="141"/>
        <v>#N/A</v>
      </c>
      <c r="BX94" t="e">
        <f t="shared" ca="1" si="141"/>
        <v>#N/A</v>
      </c>
      <c r="BY94" t="e">
        <f t="shared" ca="1" si="141"/>
        <v>#N/A</v>
      </c>
      <c r="BZ94" t="e">
        <f t="shared" ca="1" si="141"/>
        <v>#N/A</v>
      </c>
      <c r="CA94" t="e">
        <f t="shared" ca="1" si="141"/>
        <v>#N/A</v>
      </c>
      <c r="CB94" t="e">
        <f t="shared" ca="1" si="141"/>
        <v>#N/A</v>
      </c>
      <c r="CC94" t="e">
        <f t="shared" ca="1" si="141"/>
        <v>#N/A</v>
      </c>
      <c r="CD94" t="e">
        <f t="shared" ca="1" si="141"/>
        <v>#N/A</v>
      </c>
      <c r="CE94" t="e">
        <f t="shared" ca="1" si="141"/>
        <v>#N/A</v>
      </c>
      <c r="CF94" t="e">
        <f t="shared" ca="1" si="141"/>
        <v>#N/A</v>
      </c>
      <c r="CG94" t="e">
        <f t="shared" ca="1" si="141"/>
        <v>#N/A</v>
      </c>
      <c r="CH94" t="e">
        <f t="shared" ca="1" si="141"/>
        <v>#N/A</v>
      </c>
      <c r="CI94" t="e">
        <f t="shared" ca="1" si="141"/>
        <v>#N/A</v>
      </c>
      <c r="CJ94" t="e">
        <f t="shared" ca="1" si="141"/>
        <v>#N/A</v>
      </c>
      <c r="CK94" s="5" t="e">
        <f t="shared" ref="CK94:DI94" ca="1" si="142">CK81</f>
        <v>#N/A</v>
      </c>
      <c r="CL94" s="5" t="e">
        <f t="shared" ca="1" si="142"/>
        <v>#N/A</v>
      </c>
      <c r="CM94" s="5" t="e">
        <f t="shared" ca="1" si="142"/>
        <v>#N/A</v>
      </c>
      <c r="CN94" s="5" t="e">
        <f t="shared" ca="1" si="142"/>
        <v>#N/A</v>
      </c>
      <c r="CO94" s="5" t="e">
        <f t="shared" ca="1" si="142"/>
        <v>#N/A</v>
      </c>
      <c r="CP94" s="5" t="e">
        <f t="shared" ca="1" si="142"/>
        <v>#N/A</v>
      </c>
      <c r="CQ94" s="5" t="e">
        <f t="shared" ca="1" si="142"/>
        <v>#N/A</v>
      </c>
      <c r="CR94" s="5" t="e">
        <f t="shared" ca="1" si="142"/>
        <v>#N/A</v>
      </c>
      <c r="CS94" s="5" t="e">
        <f t="shared" ca="1" si="142"/>
        <v>#N/A</v>
      </c>
      <c r="CT94" s="5" t="e">
        <f t="shared" ca="1" si="142"/>
        <v>#N/A</v>
      </c>
      <c r="CU94" s="5" t="e">
        <f t="shared" ca="1" si="142"/>
        <v>#N/A</v>
      </c>
      <c r="CV94" s="5" t="e">
        <f t="shared" ca="1" si="142"/>
        <v>#N/A</v>
      </c>
      <c r="CW94" s="5" t="e">
        <f t="shared" ca="1" si="142"/>
        <v>#N/A</v>
      </c>
      <c r="CX94" s="5" t="e">
        <f t="shared" ca="1" si="142"/>
        <v>#N/A</v>
      </c>
      <c r="CY94" s="5" t="e">
        <f t="shared" ca="1" si="142"/>
        <v>#N/A</v>
      </c>
      <c r="CZ94" s="5" t="e">
        <f t="shared" ca="1" si="142"/>
        <v>#N/A</v>
      </c>
      <c r="DA94" s="5" t="e">
        <f t="shared" ca="1" si="142"/>
        <v>#N/A</v>
      </c>
      <c r="DB94" s="5" t="e">
        <f t="shared" ca="1" si="142"/>
        <v>#N/A</v>
      </c>
      <c r="DC94" s="5" t="e">
        <f t="shared" ca="1" si="142"/>
        <v>#N/A</v>
      </c>
      <c r="DD94" s="5" t="e">
        <f t="shared" ca="1" si="142"/>
        <v>#N/A</v>
      </c>
      <c r="DE94" s="5" t="e">
        <f t="shared" ca="1" si="142"/>
        <v>#N/A</v>
      </c>
      <c r="DF94" s="5" t="e">
        <f t="shared" ca="1" si="142"/>
        <v>#N/A</v>
      </c>
      <c r="DG94" s="5" t="e">
        <f t="shared" ca="1" si="142"/>
        <v>#N/A</v>
      </c>
      <c r="DH94" s="5" t="e">
        <f t="shared" ca="1" si="142"/>
        <v>#N/A</v>
      </c>
      <c r="DI94" s="695" t="e">
        <f t="shared" ca="1" si="142"/>
        <v>#N/A</v>
      </c>
    </row>
    <row r="95" spans="1:113" x14ac:dyDescent="0.35">
      <c r="A95" s="685"/>
      <c r="B95" t="s">
        <v>2197</v>
      </c>
      <c r="D95" t="e">
        <f t="shared" ref="D95:BO95" ca="1" si="143">D82</f>
        <v>#N/A</v>
      </c>
      <c r="E95" t="e">
        <f t="shared" ca="1" si="143"/>
        <v>#N/A</v>
      </c>
      <c r="F95" t="e">
        <f t="shared" ca="1" si="143"/>
        <v>#N/A</v>
      </c>
      <c r="G95" t="e">
        <f t="shared" ca="1" si="143"/>
        <v>#N/A</v>
      </c>
      <c r="H95" t="e">
        <f t="shared" ca="1" si="143"/>
        <v>#N/A</v>
      </c>
      <c r="I95" t="e">
        <f t="shared" ca="1" si="143"/>
        <v>#N/A</v>
      </c>
      <c r="J95" t="e">
        <f t="shared" ca="1" si="143"/>
        <v>#N/A</v>
      </c>
      <c r="K95" t="e">
        <f t="shared" ca="1" si="143"/>
        <v>#N/A</v>
      </c>
      <c r="L95" t="e">
        <f t="shared" ca="1" si="143"/>
        <v>#N/A</v>
      </c>
      <c r="M95" t="e">
        <f t="shared" ca="1" si="143"/>
        <v>#N/A</v>
      </c>
      <c r="N95" t="e">
        <f t="shared" ca="1" si="143"/>
        <v>#N/A</v>
      </c>
      <c r="O95" t="e">
        <f t="shared" ca="1" si="143"/>
        <v>#N/A</v>
      </c>
      <c r="P95" t="e">
        <f t="shared" ca="1" si="143"/>
        <v>#N/A</v>
      </c>
      <c r="Q95" t="e">
        <f t="shared" ca="1" si="143"/>
        <v>#N/A</v>
      </c>
      <c r="R95" t="e">
        <f t="shared" ca="1" si="143"/>
        <v>#N/A</v>
      </c>
      <c r="S95" t="e">
        <f t="shared" ca="1" si="143"/>
        <v>#N/A</v>
      </c>
      <c r="T95" t="e">
        <f t="shared" ca="1" si="143"/>
        <v>#N/A</v>
      </c>
      <c r="U95" t="e">
        <f t="shared" ca="1" si="143"/>
        <v>#N/A</v>
      </c>
      <c r="V95" t="e">
        <f t="shared" ca="1" si="143"/>
        <v>#N/A</v>
      </c>
      <c r="W95" t="e">
        <f t="shared" ca="1" si="143"/>
        <v>#N/A</v>
      </c>
      <c r="X95" t="e">
        <f t="shared" ca="1" si="143"/>
        <v>#N/A</v>
      </c>
      <c r="Y95" t="e">
        <f t="shared" ca="1" si="143"/>
        <v>#N/A</v>
      </c>
      <c r="Z95" t="e">
        <f t="shared" ca="1" si="143"/>
        <v>#N/A</v>
      </c>
      <c r="AA95" t="e">
        <f t="shared" ca="1" si="143"/>
        <v>#N/A</v>
      </c>
      <c r="AB95" t="e">
        <f t="shared" ca="1" si="143"/>
        <v>#N/A</v>
      </c>
      <c r="AC95" t="e">
        <f t="shared" ca="1" si="143"/>
        <v>#N/A</v>
      </c>
      <c r="AD95" t="e">
        <f t="shared" ca="1" si="143"/>
        <v>#N/A</v>
      </c>
      <c r="AE95" t="e">
        <f t="shared" ca="1" si="143"/>
        <v>#N/A</v>
      </c>
      <c r="AF95" t="e">
        <f t="shared" ca="1" si="143"/>
        <v>#N/A</v>
      </c>
      <c r="AG95" t="e">
        <f t="shared" ca="1" si="143"/>
        <v>#N/A</v>
      </c>
      <c r="AH95" t="e">
        <f t="shared" ca="1" si="143"/>
        <v>#N/A</v>
      </c>
      <c r="AI95" t="e">
        <f t="shared" ca="1" si="143"/>
        <v>#N/A</v>
      </c>
      <c r="AJ95" t="e">
        <f t="shared" ca="1" si="143"/>
        <v>#N/A</v>
      </c>
      <c r="AK95" t="e">
        <f t="shared" ca="1" si="143"/>
        <v>#N/A</v>
      </c>
      <c r="AL95" t="e">
        <f t="shared" ca="1" si="143"/>
        <v>#N/A</v>
      </c>
      <c r="AM95" t="e">
        <f t="shared" ca="1" si="143"/>
        <v>#N/A</v>
      </c>
      <c r="AN95" t="e">
        <f t="shared" ca="1" si="143"/>
        <v>#N/A</v>
      </c>
      <c r="AO95" t="e">
        <f t="shared" ca="1" si="143"/>
        <v>#N/A</v>
      </c>
      <c r="AP95" t="e">
        <f t="shared" ca="1" si="143"/>
        <v>#N/A</v>
      </c>
      <c r="AQ95" t="e">
        <f t="shared" ca="1" si="143"/>
        <v>#N/A</v>
      </c>
      <c r="AR95" t="e">
        <f t="shared" ca="1" si="143"/>
        <v>#N/A</v>
      </c>
      <c r="AS95" t="e">
        <f t="shared" ca="1" si="143"/>
        <v>#N/A</v>
      </c>
      <c r="AT95" t="e">
        <f t="shared" ca="1" si="143"/>
        <v>#N/A</v>
      </c>
      <c r="AU95" t="e">
        <f t="shared" ca="1" si="143"/>
        <v>#N/A</v>
      </c>
      <c r="AV95" t="e">
        <f t="shared" ca="1" si="143"/>
        <v>#N/A</v>
      </c>
      <c r="AW95" t="e">
        <f t="shared" ca="1" si="143"/>
        <v>#N/A</v>
      </c>
      <c r="AX95" t="e">
        <f t="shared" ca="1" si="143"/>
        <v>#N/A</v>
      </c>
      <c r="AY95" t="e">
        <f t="shared" ca="1" si="143"/>
        <v>#N/A</v>
      </c>
      <c r="AZ95" t="e">
        <f t="shared" ca="1" si="143"/>
        <v>#N/A</v>
      </c>
      <c r="BA95" t="e">
        <f t="shared" ca="1" si="143"/>
        <v>#N/A</v>
      </c>
      <c r="BB95" t="e">
        <f t="shared" ca="1" si="143"/>
        <v>#N/A</v>
      </c>
      <c r="BC95" t="e">
        <f t="shared" ca="1" si="143"/>
        <v>#N/A</v>
      </c>
      <c r="BD95" t="e">
        <f t="shared" ca="1" si="143"/>
        <v>#N/A</v>
      </c>
      <c r="BE95" t="e">
        <f t="shared" ca="1" si="143"/>
        <v>#N/A</v>
      </c>
      <c r="BF95" t="e">
        <f t="shared" ca="1" si="143"/>
        <v>#N/A</v>
      </c>
      <c r="BG95" t="e">
        <f t="shared" ca="1" si="143"/>
        <v>#N/A</v>
      </c>
      <c r="BH95" t="e">
        <f t="shared" ca="1" si="143"/>
        <v>#N/A</v>
      </c>
      <c r="BI95" t="e">
        <f t="shared" ca="1" si="143"/>
        <v>#N/A</v>
      </c>
      <c r="BJ95" t="e">
        <f t="shared" ca="1" si="143"/>
        <v>#N/A</v>
      </c>
      <c r="BK95" t="e">
        <f t="shared" ca="1" si="143"/>
        <v>#N/A</v>
      </c>
      <c r="BL95" t="e">
        <f t="shared" ca="1" si="143"/>
        <v>#N/A</v>
      </c>
      <c r="BM95" t="e">
        <f t="shared" ca="1" si="143"/>
        <v>#N/A</v>
      </c>
      <c r="BN95" t="e">
        <f t="shared" ca="1" si="143"/>
        <v>#N/A</v>
      </c>
      <c r="BO95" t="e">
        <f t="shared" ca="1" si="143"/>
        <v>#N/A</v>
      </c>
      <c r="BP95" t="e">
        <f t="shared" ref="BP95:CJ95" ca="1" si="144">BP82</f>
        <v>#N/A</v>
      </c>
      <c r="BQ95" t="e">
        <f t="shared" ca="1" si="144"/>
        <v>#N/A</v>
      </c>
      <c r="BR95" t="e">
        <f t="shared" ca="1" si="144"/>
        <v>#N/A</v>
      </c>
      <c r="BS95" t="e">
        <f t="shared" ca="1" si="144"/>
        <v>#N/A</v>
      </c>
      <c r="BT95" t="e">
        <f t="shared" ca="1" si="144"/>
        <v>#N/A</v>
      </c>
      <c r="BU95" t="e">
        <f t="shared" ca="1" si="144"/>
        <v>#N/A</v>
      </c>
      <c r="BV95" t="e">
        <f t="shared" ca="1" si="144"/>
        <v>#N/A</v>
      </c>
      <c r="BW95" t="e">
        <f t="shared" ca="1" si="144"/>
        <v>#N/A</v>
      </c>
      <c r="BX95" t="e">
        <f t="shared" ca="1" si="144"/>
        <v>#N/A</v>
      </c>
      <c r="BY95" t="e">
        <f t="shared" ca="1" si="144"/>
        <v>#N/A</v>
      </c>
      <c r="BZ95" t="e">
        <f t="shared" ca="1" si="144"/>
        <v>#N/A</v>
      </c>
      <c r="CA95" t="e">
        <f t="shared" ca="1" si="144"/>
        <v>#N/A</v>
      </c>
      <c r="CB95" t="e">
        <f t="shared" ca="1" si="144"/>
        <v>#N/A</v>
      </c>
      <c r="CC95" t="e">
        <f t="shared" ca="1" si="144"/>
        <v>#N/A</v>
      </c>
      <c r="CD95" t="e">
        <f t="shared" ca="1" si="144"/>
        <v>#N/A</v>
      </c>
      <c r="CE95" t="e">
        <f t="shared" ca="1" si="144"/>
        <v>#N/A</v>
      </c>
      <c r="CF95" t="e">
        <f t="shared" ca="1" si="144"/>
        <v>#N/A</v>
      </c>
      <c r="CG95" t="e">
        <f t="shared" ca="1" si="144"/>
        <v>#N/A</v>
      </c>
      <c r="CH95" t="e">
        <f t="shared" ca="1" si="144"/>
        <v>#N/A</v>
      </c>
      <c r="CI95" t="e">
        <f t="shared" ca="1" si="144"/>
        <v>#N/A</v>
      </c>
      <c r="CJ95" t="e">
        <f t="shared" ca="1" si="144"/>
        <v>#N/A</v>
      </c>
      <c r="CK95" s="5" t="e">
        <f t="shared" ref="CK95:DI95" ca="1" si="145">CK82</f>
        <v>#N/A</v>
      </c>
      <c r="CL95" s="5" t="e">
        <f t="shared" ca="1" si="145"/>
        <v>#N/A</v>
      </c>
      <c r="CM95" s="5" t="e">
        <f t="shared" ca="1" si="145"/>
        <v>#N/A</v>
      </c>
      <c r="CN95" s="5" t="e">
        <f t="shared" ca="1" si="145"/>
        <v>#N/A</v>
      </c>
      <c r="CO95" s="5" t="e">
        <f t="shared" ca="1" si="145"/>
        <v>#N/A</v>
      </c>
      <c r="CP95" s="5" t="e">
        <f t="shared" ca="1" si="145"/>
        <v>#N/A</v>
      </c>
      <c r="CQ95" s="5" t="e">
        <f t="shared" ca="1" si="145"/>
        <v>#N/A</v>
      </c>
      <c r="CR95" s="5" t="e">
        <f t="shared" ca="1" si="145"/>
        <v>#N/A</v>
      </c>
      <c r="CS95" s="5" t="e">
        <f t="shared" ca="1" si="145"/>
        <v>#N/A</v>
      </c>
      <c r="CT95" s="5" t="e">
        <f t="shared" ca="1" si="145"/>
        <v>#N/A</v>
      </c>
      <c r="CU95" s="5" t="e">
        <f t="shared" ca="1" si="145"/>
        <v>#N/A</v>
      </c>
      <c r="CV95" s="5" t="e">
        <f t="shared" ca="1" si="145"/>
        <v>#N/A</v>
      </c>
      <c r="CW95" s="5" t="e">
        <f t="shared" ca="1" si="145"/>
        <v>#N/A</v>
      </c>
      <c r="CX95" s="5" t="e">
        <f t="shared" ca="1" si="145"/>
        <v>#N/A</v>
      </c>
      <c r="CY95" s="5" t="e">
        <f t="shared" ca="1" si="145"/>
        <v>#N/A</v>
      </c>
      <c r="CZ95" s="5" t="e">
        <f t="shared" ca="1" si="145"/>
        <v>#N/A</v>
      </c>
      <c r="DA95" s="5" t="e">
        <f t="shared" ca="1" si="145"/>
        <v>#N/A</v>
      </c>
      <c r="DB95" s="5" t="e">
        <f t="shared" ca="1" si="145"/>
        <v>#N/A</v>
      </c>
      <c r="DC95" s="5" t="e">
        <f t="shared" ca="1" si="145"/>
        <v>#N/A</v>
      </c>
      <c r="DD95" s="5" t="e">
        <f t="shared" ca="1" si="145"/>
        <v>#N/A</v>
      </c>
      <c r="DE95" s="5" t="e">
        <f t="shared" ca="1" si="145"/>
        <v>#N/A</v>
      </c>
      <c r="DF95" s="5" t="e">
        <f t="shared" ca="1" si="145"/>
        <v>#N/A</v>
      </c>
      <c r="DG95" s="5" t="e">
        <f t="shared" ca="1" si="145"/>
        <v>#N/A</v>
      </c>
      <c r="DH95" s="5" t="e">
        <f t="shared" ca="1" si="145"/>
        <v>#N/A</v>
      </c>
      <c r="DI95" s="695" t="e">
        <f t="shared" ca="1" si="145"/>
        <v>#N/A</v>
      </c>
    </row>
    <row r="96" spans="1:113" ht="15" thickBot="1" x14ac:dyDescent="0.4">
      <c r="A96" s="687"/>
      <c r="B96" s="688" t="s">
        <v>2221</v>
      </c>
      <c r="C96" s="688"/>
      <c r="D96" s="688" t="e">
        <f t="shared" ref="D96:BO96" ca="1" si="146">D83</f>
        <v>#N/A</v>
      </c>
      <c r="E96" s="688" t="e">
        <f t="shared" ca="1" si="146"/>
        <v>#N/A</v>
      </c>
      <c r="F96" s="688" t="e">
        <f t="shared" ca="1" si="146"/>
        <v>#N/A</v>
      </c>
      <c r="G96" s="688" t="e">
        <f t="shared" ca="1" si="146"/>
        <v>#N/A</v>
      </c>
      <c r="H96" s="688" t="e">
        <f t="shared" ca="1" si="146"/>
        <v>#N/A</v>
      </c>
      <c r="I96" s="688" t="e">
        <f t="shared" ca="1" si="146"/>
        <v>#N/A</v>
      </c>
      <c r="J96" s="688" t="e">
        <f t="shared" ca="1" si="146"/>
        <v>#N/A</v>
      </c>
      <c r="K96" s="688" t="e">
        <f t="shared" ca="1" si="146"/>
        <v>#N/A</v>
      </c>
      <c r="L96" s="688" t="e">
        <f t="shared" ca="1" si="146"/>
        <v>#N/A</v>
      </c>
      <c r="M96" s="688" t="e">
        <f t="shared" ca="1" si="146"/>
        <v>#N/A</v>
      </c>
      <c r="N96" s="688" t="e">
        <f t="shared" ca="1" si="146"/>
        <v>#N/A</v>
      </c>
      <c r="O96" s="688" t="e">
        <f t="shared" ca="1" si="146"/>
        <v>#N/A</v>
      </c>
      <c r="P96" s="688" t="e">
        <f t="shared" ca="1" si="146"/>
        <v>#N/A</v>
      </c>
      <c r="Q96" s="688" t="e">
        <f t="shared" ca="1" si="146"/>
        <v>#N/A</v>
      </c>
      <c r="R96" s="688" t="e">
        <f t="shared" ca="1" si="146"/>
        <v>#N/A</v>
      </c>
      <c r="S96" s="688" t="e">
        <f t="shared" ca="1" si="146"/>
        <v>#N/A</v>
      </c>
      <c r="T96" s="688" t="e">
        <f t="shared" ca="1" si="146"/>
        <v>#N/A</v>
      </c>
      <c r="U96" s="688" t="e">
        <f t="shared" ca="1" si="146"/>
        <v>#N/A</v>
      </c>
      <c r="V96" s="688" t="e">
        <f t="shared" ca="1" si="146"/>
        <v>#N/A</v>
      </c>
      <c r="W96" s="688" t="e">
        <f t="shared" ca="1" si="146"/>
        <v>#N/A</v>
      </c>
      <c r="X96" s="688" t="e">
        <f t="shared" ca="1" si="146"/>
        <v>#N/A</v>
      </c>
      <c r="Y96" s="688" t="e">
        <f t="shared" ca="1" si="146"/>
        <v>#N/A</v>
      </c>
      <c r="Z96" s="688" t="e">
        <f t="shared" ca="1" si="146"/>
        <v>#N/A</v>
      </c>
      <c r="AA96" s="688" t="e">
        <f t="shared" ca="1" si="146"/>
        <v>#N/A</v>
      </c>
      <c r="AB96" s="688" t="e">
        <f t="shared" ca="1" si="146"/>
        <v>#N/A</v>
      </c>
      <c r="AC96" s="688" t="e">
        <f t="shared" ca="1" si="146"/>
        <v>#N/A</v>
      </c>
      <c r="AD96" s="688" t="e">
        <f t="shared" ca="1" si="146"/>
        <v>#N/A</v>
      </c>
      <c r="AE96" s="688" t="e">
        <f t="shared" ca="1" si="146"/>
        <v>#N/A</v>
      </c>
      <c r="AF96" s="688" t="e">
        <f t="shared" ca="1" si="146"/>
        <v>#N/A</v>
      </c>
      <c r="AG96" s="688" t="e">
        <f t="shared" ca="1" si="146"/>
        <v>#N/A</v>
      </c>
      <c r="AH96" s="688" t="e">
        <f t="shared" ca="1" si="146"/>
        <v>#N/A</v>
      </c>
      <c r="AI96" s="688" t="e">
        <f t="shared" ca="1" si="146"/>
        <v>#N/A</v>
      </c>
      <c r="AJ96" s="688" t="e">
        <f t="shared" ca="1" si="146"/>
        <v>#N/A</v>
      </c>
      <c r="AK96" s="688" t="e">
        <f t="shared" ca="1" si="146"/>
        <v>#N/A</v>
      </c>
      <c r="AL96" s="688" t="e">
        <f t="shared" ca="1" si="146"/>
        <v>#N/A</v>
      </c>
      <c r="AM96" s="688" t="e">
        <f t="shared" ca="1" si="146"/>
        <v>#N/A</v>
      </c>
      <c r="AN96" s="688" t="e">
        <f t="shared" ca="1" si="146"/>
        <v>#N/A</v>
      </c>
      <c r="AO96" s="688" t="e">
        <f t="shared" ca="1" si="146"/>
        <v>#N/A</v>
      </c>
      <c r="AP96" s="688" t="e">
        <f t="shared" ca="1" si="146"/>
        <v>#N/A</v>
      </c>
      <c r="AQ96" s="688" t="e">
        <f t="shared" ca="1" si="146"/>
        <v>#N/A</v>
      </c>
      <c r="AR96" s="688" t="e">
        <f t="shared" ca="1" si="146"/>
        <v>#N/A</v>
      </c>
      <c r="AS96" s="688" t="e">
        <f t="shared" ca="1" si="146"/>
        <v>#N/A</v>
      </c>
      <c r="AT96" s="688" t="e">
        <f t="shared" ca="1" si="146"/>
        <v>#N/A</v>
      </c>
      <c r="AU96" s="688" t="e">
        <f t="shared" ca="1" si="146"/>
        <v>#N/A</v>
      </c>
      <c r="AV96" s="688" t="e">
        <f t="shared" ca="1" si="146"/>
        <v>#N/A</v>
      </c>
      <c r="AW96" s="688" t="e">
        <f t="shared" ca="1" si="146"/>
        <v>#N/A</v>
      </c>
      <c r="AX96" s="688" t="e">
        <f t="shared" ca="1" si="146"/>
        <v>#N/A</v>
      </c>
      <c r="AY96" s="688" t="e">
        <f t="shared" ca="1" si="146"/>
        <v>#N/A</v>
      </c>
      <c r="AZ96" s="688" t="e">
        <f t="shared" ca="1" si="146"/>
        <v>#N/A</v>
      </c>
      <c r="BA96" s="688" t="e">
        <f t="shared" ca="1" si="146"/>
        <v>#N/A</v>
      </c>
      <c r="BB96" s="688" t="e">
        <f t="shared" ca="1" si="146"/>
        <v>#N/A</v>
      </c>
      <c r="BC96" s="688" t="e">
        <f t="shared" ca="1" si="146"/>
        <v>#N/A</v>
      </c>
      <c r="BD96" s="688" t="e">
        <f t="shared" ca="1" si="146"/>
        <v>#N/A</v>
      </c>
      <c r="BE96" s="688" t="e">
        <f t="shared" ca="1" si="146"/>
        <v>#N/A</v>
      </c>
      <c r="BF96" s="688" t="e">
        <f t="shared" ca="1" si="146"/>
        <v>#N/A</v>
      </c>
      <c r="BG96" s="688" t="e">
        <f t="shared" ca="1" si="146"/>
        <v>#N/A</v>
      </c>
      <c r="BH96" s="688" t="e">
        <f t="shared" ca="1" si="146"/>
        <v>#N/A</v>
      </c>
      <c r="BI96" s="688" t="e">
        <f t="shared" ca="1" si="146"/>
        <v>#N/A</v>
      </c>
      <c r="BJ96" s="688" t="e">
        <f t="shared" ca="1" si="146"/>
        <v>#N/A</v>
      </c>
      <c r="BK96" s="688" t="e">
        <f t="shared" ca="1" si="146"/>
        <v>#N/A</v>
      </c>
      <c r="BL96" s="688" t="e">
        <f t="shared" ca="1" si="146"/>
        <v>#N/A</v>
      </c>
      <c r="BM96" s="688" t="e">
        <f t="shared" ca="1" si="146"/>
        <v>#N/A</v>
      </c>
      <c r="BN96" s="688" t="e">
        <f t="shared" ca="1" si="146"/>
        <v>#N/A</v>
      </c>
      <c r="BO96" s="688" t="e">
        <f t="shared" ca="1" si="146"/>
        <v>#N/A</v>
      </c>
      <c r="BP96" s="688" t="e">
        <f t="shared" ref="BP96:CJ96" ca="1" si="147">BP83</f>
        <v>#N/A</v>
      </c>
      <c r="BQ96" s="688" t="e">
        <f t="shared" ca="1" si="147"/>
        <v>#N/A</v>
      </c>
      <c r="BR96" s="688" t="e">
        <f t="shared" ca="1" si="147"/>
        <v>#N/A</v>
      </c>
      <c r="BS96" s="688" t="e">
        <f t="shared" ca="1" si="147"/>
        <v>#N/A</v>
      </c>
      <c r="BT96" s="688" t="e">
        <f t="shared" ca="1" si="147"/>
        <v>#N/A</v>
      </c>
      <c r="BU96" s="688" t="e">
        <f t="shared" ca="1" si="147"/>
        <v>#N/A</v>
      </c>
      <c r="BV96" s="688" t="e">
        <f t="shared" ca="1" si="147"/>
        <v>#N/A</v>
      </c>
      <c r="BW96" s="688" t="e">
        <f t="shared" ca="1" si="147"/>
        <v>#N/A</v>
      </c>
      <c r="BX96" s="688" t="e">
        <f t="shared" ca="1" si="147"/>
        <v>#N/A</v>
      </c>
      <c r="BY96" s="688" t="e">
        <f t="shared" ca="1" si="147"/>
        <v>#N/A</v>
      </c>
      <c r="BZ96" s="688" t="e">
        <f t="shared" ca="1" si="147"/>
        <v>#N/A</v>
      </c>
      <c r="CA96" s="688" t="e">
        <f t="shared" ca="1" si="147"/>
        <v>#N/A</v>
      </c>
      <c r="CB96" s="688" t="e">
        <f t="shared" ca="1" si="147"/>
        <v>#N/A</v>
      </c>
      <c r="CC96" s="688" t="e">
        <f t="shared" ca="1" si="147"/>
        <v>#N/A</v>
      </c>
      <c r="CD96" s="688" t="e">
        <f t="shared" ca="1" si="147"/>
        <v>#N/A</v>
      </c>
      <c r="CE96" s="688" t="e">
        <f t="shared" ca="1" si="147"/>
        <v>#N/A</v>
      </c>
      <c r="CF96" s="688" t="e">
        <f t="shared" ca="1" si="147"/>
        <v>#N/A</v>
      </c>
      <c r="CG96" s="688" t="e">
        <f t="shared" ca="1" si="147"/>
        <v>#N/A</v>
      </c>
      <c r="CH96" s="688" t="e">
        <f t="shared" ca="1" si="147"/>
        <v>#N/A</v>
      </c>
      <c r="CI96" s="688" t="e">
        <f t="shared" ca="1" si="147"/>
        <v>#N/A</v>
      </c>
      <c r="CJ96" s="688" t="e">
        <f t="shared" ca="1" si="147"/>
        <v>#N/A</v>
      </c>
      <c r="CK96" s="1172" t="e">
        <f t="shared" ref="CK96:DI96" ca="1" si="148">CK83</f>
        <v>#N/A</v>
      </c>
      <c r="CL96" s="1172" t="e">
        <f t="shared" ca="1" si="148"/>
        <v>#N/A</v>
      </c>
      <c r="CM96" s="1172" t="e">
        <f t="shared" ca="1" si="148"/>
        <v>#N/A</v>
      </c>
      <c r="CN96" s="1172" t="e">
        <f t="shared" ca="1" si="148"/>
        <v>#N/A</v>
      </c>
      <c r="CO96" s="1172" t="e">
        <f t="shared" ca="1" si="148"/>
        <v>#N/A</v>
      </c>
      <c r="CP96" s="1172" t="e">
        <f t="shared" ca="1" si="148"/>
        <v>#N/A</v>
      </c>
      <c r="CQ96" s="1172" t="e">
        <f t="shared" ca="1" si="148"/>
        <v>#N/A</v>
      </c>
      <c r="CR96" s="1172" t="e">
        <f t="shared" ca="1" si="148"/>
        <v>#N/A</v>
      </c>
      <c r="CS96" s="1172" t="e">
        <f t="shared" ca="1" si="148"/>
        <v>#N/A</v>
      </c>
      <c r="CT96" s="1172" t="e">
        <f t="shared" ca="1" si="148"/>
        <v>#N/A</v>
      </c>
      <c r="CU96" s="1172" t="e">
        <f t="shared" ca="1" si="148"/>
        <v>#N/A</v>
      </c>
      <c r="CV96" s="1172" t="e">
        <f t="shared" ca="1" si="148"/>
        <v>#N/A</v>
      </c>
      <c r="CW96" s="1172" t="e">
        <f t="shared" ca="1" si="148"/>
        <v>#N/A</v>
      </c>
      <c r="CX96" s="1172" t="e">
        <f t="shared" ca="1" si="148"/>
        <v>#N/A</v>
      </c>
      <c r="CY96" s="1172" t="e">
        <f t="shared" ca="1" si="148"/>
        <v>#N/A</v>
      </c>
      <c r="CZ96" s="1172" t="e">
        <f t="shared" ca="1" si="148"/>
        <v>#N/A</v>
      </c>
      <c r="DA96" s="1172" t="e">
        <f t="shared" ca="1" si="148"/>
        <v>#N/A</v>
      </c>
      <c r="DB96" s="1172" t="e">
        <f t="shared" ca="1" si="148"/>
        <v>#N/A</v>
      </c>
      <c r="DC96" s="1172" t="e">
        <f t="shared" ca="1" si="148"/>
        <v>#N/A</v>
      </c>
      <c r="DD96" s="1172" t="e">
        <f t="shared" ca="1" si="148"/>
        <v>#N/A</v>
      </c>
      <c r="DE96" s="1172" t="e">
        <f t="shared" ca="1" si="148"/>
        <v>#N/A</v>
      </c>
      <c r="DF96" s="1172" t="e">
        <f t="shared" ca="1" si="148"/>
        <v>#N/A</v>
      </c>
      <c r="DG96" s="1172" t="e">
        <f t="shared" ca="1" si="148"/>
        <v>#N/A</v>
      </c>
      <c r="DH96" s="1172" t="e">
        <f t="shared" ca="1" si="148"/>
        <v>#N/A</v>
      </c>
      <c r="DI96" s="1173" t="e">
        <f t="shared" ca="1" si="148"/>
        <v>#N/A</v>
      </c>
    </row>
    <row r="98" spans="1:122" x14ac:dyDescent="0.35">
      <c r="B98" t="s">
        <v>2222</v>
      </c>
      <c r="C98">
        <f ca="1">_xlfn.AGGREGATE(4,6,$D$93:$CJ$93)</f>
        <v>0</v>
      </c>
    </row>
    <row r="99" spans="1:122" x14ac:dyDescent="0.35">
      <c r="B99" t="s">
        <v>2223</v>
      </c>
      <c r="C99">
        <f ca="1">ABS(_xlfn.AGGREGATE(5,6,$D$93:$CJ$93))</f>
        <v>0</v>
      </c>
    </row>
    <row r="103" spans="1:122" ht="15" thickBot="1" x14ac:dyDescent="0.4"/>
    <row r="104" spans="1:122" x14ac:dyDescent="0.35">
      <c r="A104" s="684"/>
      <c r="B104" s="690" t="s">
        <v>2224</v>
      </c>
      <c r="C104" s="675"/>
      <c r="D104" s="675"/>
      <c r="E104" s="675"/>
      <c r="F104" s="675"/>
      <c r="G104" s="675"/>
      <c r="H104" s="675"/>
      <c r="I104" s="675"/>
      <c r="J104" s="675"/>
      <c r="K104" s="675"/>
      <c r="L104" s="675"/>
      <c r="M104" s="675"/>
      <c r="N104" s="675"/>
      <c r="O104" s="675"/>
      <c r="P104" s="675"/>
      <c r="Q104" s="675"/>
      <c r="R104" s="675"/>
      <c r="S104" s="675"/>
      <c r="T104" s="675"/>
      <c r="U104" s="675"/>
      <c r="V104" s="675"/>
      <c r="W104" s="675"/>
      <c r="X104" s="675"/>
      <c r="Y104" s="675"/>
      <c r="Z104" s="675"/>
      <c r="AA104" s="675"/>
      <c r="AB104" s="675"/>
      <c r="AC104" s="675"/>
      <c r="AD104" s="675"/>
      <c r="AE104" s="675"/>
      <c r="AF104" s="675"/>
      <c r="AG104" s="675"/>
      <c r="AH104" s="675"/>
      <c r="AI104" s="675"/>
      <c r="AJ104" s="675"/>
      <c r="AK104" s="675"/>
      <c r="AL104" s="675"/>
      <c r="AM104" s="675"/>
      <c r="AN104" s="675"/>
      <c r="AO104" s="675"/>
      <c r="AP104" s="675"/>
      <c r="AQ104" s="675"/>
      <c r="AR104" s="675"/>
      <c r="AS104" s="675"/>
      <c r="AT104" s="675"/>
      <c r="AU104" s="675"/>
      <c r="AV104" s="675"/>
      <c r="AW104" s="675"/>
      <c r="AX104" s="675"/>
      <c r="AY104" s="675"/>
      <c r="AZ104" s="675"/>
      <c r="BA104" s="675"/>
      <c r="BB104" s="675"/>
      <c r="BC104" s="675"/>
      <c r="BD104" s="675"/>
      <c r="BE104" s="675"/>
      <c r="BF104" s="675"/>
      <c r="BG104" s="675"/>
      <c r="BH104" s="675"/>
      <c r="BI104" s="675"/>
      <c r="BJ104" s="675"/>
      <c r="BK104" s="675"/>
      <c r="BL104" s="675"/>
      <c r="BM104" s="675"/>
      <c r="BN104" s="675"/>
      <c r="BO104" s="675"/>
      <c r="BP104" s="675"/>
      <c r="BQ104" s="675"/>
      <c r="BR104" s="675"/>
      <c r="BS104" s="675"/>
      <c r="BT104" s="675"/>
      <c r="BU104" s="675"/>
      <c r="BV104" s="675"/>
      <c r="BW104" s="675"/>
      <c r="BX104" s="675"/>
      <c r="BY104" s="675"/>
      <c r="BZ104" s="675"/>
      <c r="CA104" s="675"/>
      <c r="CB104" s="675"/>
      <c r="CC104" s="675"/>
      <c r="CD104" s="675"/>
      <c r="CE104" s="675"/>
      <c r="CF104" s="675"/>
      <c r="CG104" s="675"/>
      <c r="CH104" s="675"/>
      <c r="CI104" s="675"/>
      <c r="CJ104" s="675"/>
      <c r="CK104" s="675"/>
      <c r="CL104" s="675"/>
      <c r="CM104" s="675"/>
      <c r="CN104" s="675"/>
      <c r="CO104" s="675"/>
      <c r="CP104" s="675"/>
      <c r="CQ104" s="675"/>
      <c r="CR104" s="675"/>
      <c r="CS104" s="675"/>
      <c r="CT104" s="675"/>
      <c r="CU104" s="675"/>
      <c r="CV104" s="675"/>
      <c r="CW104" s="675"/>
      <c r="CX104" s="675"/>
      <c r="CY104" s="675"/>
      <c r="CZ104" s="675"/>
      <c r="DA104" s="675"/>
      <c r="DB104" s="675"/>
      <c r="DC104" s="675"/>
      <c r="DD104" s="675"/>
      <c r="DE104" s="675"/>
      <c r="DF104" s="675"/>
      <c r="DG104" s="675"/>
      <c r="DH104" s="675"/>
      <c r="DI104" s="675"/>
      <c r="DJ104" s="675"/>
      <c r="DK104" s="675"/>
      <c r="DL104" s="675"/>
      <c r="DM104" s="675"/>
      <c r="DN104" s="675"/>
      <c r="DO104" s="675"/>
      <c r="DP104" s="675"/>
      <c r="DQ104" s="675"/>
      <c r="DR104" s="676"/>
    </row>
    <row r="105" spans="1:122" x14ac:dyDescent="0.35">
      <c r="A105" s="685"/>
      <c r="B105" s="446" t="s">
        <v>927</v>
      </c>
      <c r="C105" s="1596" t="str">
        <f>'3.1 Nyttestrøm'!D10</f>
        <v>Resultater før prisjustering</v>
      </c>
      <c r="D105" s="1596"/>
      <c r="E105" s="1596"/>
      <c r="F105" s="1596" t="str">
        <f>'3.1 Nyttestrøm'!G10</f>
        <v>Resultater volum</v>
      </c>
      <c r="G105" s="1596"/>
      <c r="H105" s="1596"/>
      <c r="I105" s="1174" t="str">
        <f>'3.1 Nyttestrøm'!J10</f>
        <v>Relativ årsvekst</v>
      </c>
      <c r="J105" s="1174"/>
      <c r="K105" s="446" t="str">
        <f>'3.1 Nyttestrøm'!L10</f>
        <v xml:space="preserve">Lineær vekst </v>
      </c>
      <c r="L105" s="446"/>
      <c r="M105" s="446" cm="1">
        <f t="array" ref="M105:DR105">SerieÅR</f>
        <v>-10</v>
      </c>
      <c r="N105" s="446">
        <v>-9</v>
      </c>
      <c r="O105" s="446">
        <v>-8</v>
      </c>
      <c r="P105" s="446">
        <v>-7</v>
      </c>
      <c r="Q105" s="446">
        <v>-6</v>
      </c>
      <c r="R105" s="446">
        <v>-5</v>
      </c>
      <c r="S105" s="446">
        <v>-4</v>
      </c>
      <c r="T105" s="446">
        <v>-3</v>
      </c>
      <c r="U105" s="446">
        <v>-2</v>
      </c>
      <c r="V105" s="446">
        <v>-1</v>
      </c>
      <c r="W105" s="446">
        <v>0</v>
      </c>
      <c r="X105" s="446">
        <v>1</v>
      </c>
      <c r="Y105" s="446">
        <v>2</v>
      </c>
      <c r="Z105" s="446">
        <v>3</v>
      </c>
      <c r="AA105" s="446">
        <v>4</v>
      </c>
      <c r="AB105" s="446">
        <v>5</v>
      </c>
      <c r="AC105" s="446">
        <v>6</v>
      </c>
      <c r="AD105" s="446">
        <v>7</v>
      </c>
      <c r="AE105" s="446">
        <v>8</v>
      </c>
      <c r="AF105" s="446">
        <v>9</v>
      </c>
      <c r="AG105" s="446">
        <v>10</v>
      </c>
      <c r="AH105" s="446">
        <v>11</v>
      </c>
      <c r="AI105" s="446">
        <v>12</v>
      </c>
      <c r="AJ105" s="446">
        <v>13</v>
      </c>
      <c r="AK105" s="446">
        <v>14</v>
      </c>
      <c r="AL105" s="446">
        <v>15</v>
      </c>
      <c r="AM105" s="446">
        <v>16</v>
      </c>
      <c r="AN105" s="446">
        <v>17</v>
      </c>
      <c r="AO105" s="446">
        <v>18</v>
      </c>
      <c r="AP105" s="446">
        <v>19</v>
      </c>
      <c r="AQ105" s="446">
        <v>20</v>
      </c>
      <c r="AR105" s="446">
        <v>21</v>
      </c>
      <c r="AS105" s="446">
        <v>22</v>
      </c>
      <c r="AT105" s="446">
        <v>23</v>
      </c>
      <c r="AU105" s="446">
        <v>24</v>
      </c>
      <c r="AV105" s="446">
        <v>25</v>
      </c>
      <c r="AW105" s="446">
        <v>26</v>
      </c>
      <c r="AX105" s="446">
        <v>27</v>
      </c>
      <c r="AY105" s="446">
        <v>28</v>
      </c>
      <c r="AZ105" s="446">
        <v>29</v>
      </c>
      <c r="BA105" s="446">
        <v>30</v>
      </c>
      <c r="BB105" s="446">
        <v>31</v>
      </c>
      <c r="BC105" s="446">
        <v>32</v>
      </c>
      <c r="BD105" s="446">
        <v>33</v>
      </c>
      <c r="BE105" s="446">
        <v>34</v>
      </c>
      <c r="BF105" s="446">
        <v>35</v>
      </c>
      <c r="BG105" s="446">
        <v>36</v>
      </c>
      <c r="BH105" s="446">
        <v>37</v>
      </c>
      <c r="BI105" s="446">
        <v>38</v>
      </c>
      <c r="BJ105" s="446">
        <v>39</v>
      </c>
      <c r="BK105" s="446">
        <v>40</v>
      </c>
      <c r="BL105" s="446">
        <v>41</v>
      </c>
      <c r="BM105" s="446">
        <v>42</v>
      </c>
      <c r="BN105" s="446">
        <v>43</v>
      </c>
      <c r="BO105" s="446">
        <v>44</v>
      </c>
      <c r="BP105" s="446">
        <v>45</v>
      </c>
      <c r="BQ105" s="446">
        <v>46</v>
      </c>
      <c r="BR105" s="446">
        <v>47</v>
      </c>
      <c r="BS105" s="446">
        <v>48</v>
      </c>
      <c r="BT105" s="446">
        <v>49</v>
      </c>
      <c r="BU105" s="446">
        <v>50</v>
      </c>
      <c r="BV105" s="446">
        <v>51</v>
      </c>
      <c r="BW105" s="446">
        <v>52</v>
      </c>
      <c r="BX105" s="446">
        <v>53</v>
      </c>
      <c r="BY105" s="446">
        <v>54</v>
      </c>
      <c r="BZ105" s="446">
        <v>55</v>
      </c>
      <c r="CA105" s="446">
        <v>56</v>
      </c>
      <c r="CB105" s="446">
        <v>57</v>
      </c>
      <c r="CC105" s="446">
        <v>58</v>
      </c>
      <c r="CD105" s="446">
        <v>59</v>
      </c>
      <c r="CE105" s="446">
        <v>60</v>
      </c>
      <c r="CF105" s="446">
        <v>61</v>
      </c>
      <c r="CG105" s="446">
        <v>62</v>
      </c>
      <c r="CH105" s="446">
        <v>63</v>
      </c>
      <c r="CI105" s="446">
        <v>64</v>
      </c>
      <c r="CJ105" s="446">
        <v>65</v>
      </c>
      <c r="CK105" s="446">
        <v>66</v>
      </c>
      <c r="CL105" s="446">
        <v>67</v>
      </c>
      <c r="CM105" s="446">
        <v>68</v>
      </c>
      <c r="CN105" s="446">
        <v>69</v>
      </c>
      <c r="CO105" s="446">
        <v>70</v>
      </c>
      <c r="CP105" s="446">
        <v>71</v>
      </c>
      <c r="CQ105" s="446">
        <v>72</v>
      </c>
      <c r="CR105" s="446">
        <v>73</v>
      </c>
      <c r="CS105" s="446">
        <v>74</v>
      </c>
      <c r="CT105" s="446">
        <v>75</v>
      </c>
      <c r="CU105" s="446">
        <v>76</v>
      </c>
      <c r="CV105" s="446">
        <v>77</v>
      </c>
      <c r="CW105" s="446">
        <v>78</v>
      </c>
      <c r="CX105" s="446">
        <v>79</v>
      </c>
      <c r="CY105" s="446">
        <v>80</v>
      </c>
      <c r="CZ105" s="446">
        <v>81</v>
      </c>
      <c r="DA105" s="446">
        <v>82</v>
      </c>
      <c r="DB105" s="446">
        <v>83</v>
      </c>
      <c r="DC105" s="446">
        <v>84</v>
      </c>
      <c r="DD105" s="446">
        <v>85</v>
      </c>
      <c r="DE105" s="446">
        <v>86</v>
      </c>
      <c r="DF105" s="446">
        <v>87</v>
      </c>
      <c r="DG105" s="446">
        <v>88</v>
      </c>
      <c r="DH105" s="446">
        <v>89</v>
      </c>
      <c r="DI105" s="446">
        <v>90</v>
      </c>
      <c r="DJ105" s="446">
        <v>91</v>
      </c>
      <c r="DK105" s="446">
        <v>92</v>
      </c>
      <c r="DL105" s="446">
        <v>93</v>
      </c>
      <c r="DM105" s="446">
        <v>94</v>
      </c>
      <c r="DN105" s="446">
        <v>95</v>
      </c>
      <c r="DO105" s="446">
        <v>96</v>
      </c>
      <c r="DP105" s="446">
        <v>97</v>
      </c>
      <c r="DQ105" s="446">
        <v>98</v>
      </c>
      <c r="DR105" s="678">
        <v>99</v>
      </c>
    </row>
    <row r="106" spans="1:122" x14ac:dyDescent="0.35">
      <c r="A106" s="685"/>
      <c r="B106" s="446"/>
      <c r="C106" s="446">
        <f>'3.1 Nyttestrøm'!D11</f>
        <v>0</v>
      </c>
      <c r="D106" s="446">
        <f>'3.1 Nyttestrøm'!E11</f>
        <v>0</v>
      </c>
      <c r="E106" s="446">
        <f>'3.1 Nyttestrøm'!F11</f>
        <v>0</v>
      </c>
      <c r="F106" s="446">
        <f>'3.1 Nyttestrøm'!G11</f>
        <v>0</v>
      </c>
      <c r="G106" s="446">
        <f>'3.1 Nyttestrøm'!H11</f>
        <v>0</v>
      </c>
      <c r="H106" s="446">
        <f>'3.1 Nyttestrøm'!I11</f>
        <v>0</v>
      </c>
      <c r="I106" s="446" t="str">
        <f>'3.1 Nyttestrøm'!J11</f>
        <v xml:space="preserve"> - </v>
      </c>
      <c r="J106" s="446" t="str">
        <f>'3.1 Nyttestrøm'!K11</f>
        <v xml:space="preserve"> - </v>
      </c>
      <c r="K106" s="446" t="str">
        <f>'3.1 Nyttestrøm'!L11</f>
        <v xml:space="preserve"> -&gt;-1</v>
      </c>
      <c r="L106" s="446"/>
      <c r="M106" s="446"/>
      <c r="N106" s="446"/>
      <c r="O106" s="446"/>
      <c r="P106" s="446"/>
      <c r="Q106" s="446"/>
      <c r="R106" s="446"/>
      <c r="S106" s="446"/>
      <c r="T106" s="446"/>
      <c r="U106" s="446"/>
      <c r="V106" s="446"/>
      <c r="W106" s="446"/>
      <c r="X106" s="446"/>
      <c r="Y106" s="446"/>
      <c r="Z106" s="446"/>
      <c r="AA106" s="446"/>
      <c r="AB106" s="446"/>
      <c r="AC106" s="446"/>
      <c r="AD106" s="446"/>
      <c r="AE106" s="446"/>
      <c r="AF106" s="446"/>
      <c r="AG106" s="446"/>
      <c r="AH106" s="446"/>
      <c r="AI106" s="446"/>
      <c r="AJ106" s="446"/>
      <c r="AK106" s="446"/>
      <c r="AL106" s="446"/>
      <c r="AM106" s="446"/>
      <c r="AN106" s="446"/>
      <c r="AO106" s="446"/>
      <c r="AP106" s="446"/>
      <c r="AQ106" s="446"/>
      <c r="AR106" s="446"/>
      <c r="AS106" s="446"/>
      <c r="AT106" s="446"/>
      <c r="AU106" s="446"/>
      <c r="AV106" s="446"/>
      <c r="AW106" s="446"/>
      <c r="AX106" s="446"/>
      <c r="AY106" s="446"/>
      <c r="AZ106" s="446"/>
      <c r="BA106" s="446"/>
      <c r="BB106" s="446"/>
      <c r="BC106" s="446"/>
      <c r="BD106" s="446"/>
      <c r="BE106" s="446"/>
      <c r="BF106" s="446"/>
      <c r="BG106" s="446"/>
      <c r="BH106" s="446"/>
      <c r="BI106" s="446"/>
      <c r="BJ106" s="446"/>
      <c r="BK106" s="446"/>
      <c r="BL106" s="446"/>
      <c r="BM106" s="446"/>
      <c r="BN106" s="446"/>
      <c r="BO106" s="446"/>
      <c r="BP106" s="446"/>
      <c r="BQ106" s="446"/>
      <c r="BR106" s="446"/>
      <c r="BS106" s="446"/>
      <c r="BT106" s="446"/>
      <c r="BU106" s="446"/>
      <c r="BV106" s="446"/>
      <c r="BW106" s="446"/>
      <c r="BX106" s="446"/>
      <c r="BY106" s="446"/>
      <c r="BZ106" s="446"/>
      <c r="CA106" s="446"/>
      <c r="CB106" s="446"/>
      <c r="CC106" s="446"/>
      <c r="CD106" s="446"/>
      <c r="CE106" s="446"/>
      <c r="CF106" s="446"/>
      <c r="CG106" s="446"/>
      <c r="CH106" s="446"/>
      <c r="CI106" s="446"/>
      <c r="CJ106" s="446"/>
      <c r="CK106" s="446"/>
      <c r="CL106" s="446"/>
      <c r="CM106" s="446"/>
      <c r="CN106" s="446"/>
      <c r="CO106" s="446"/>
      <c r="CP106" s="446"/>
      <c r="CQ106" s="446"/>
      <c r="CR106" s="446"/>
      <c r="CS106" s="446"/>
      <c r="CT106" s="446"/>
      <c r="CU106" s="446"/>
      <c r="CV106" s="446"/>
      <c r="CW106" s="446"/>
      <c r="CX106" s="446"/>
      <c r="CY106" s="446"/>
      <c r="CZ106" s="446"/>
      <c r="DA106" s="446"/>
      <c r="DB106" s="446"/>
      <c r="DC106" s="446"/>
      <c r="DD106" s="446"/>
      <c r="DE106" s="446"/>
      <c r="DF106" s="446"/>
      <c r="DG106" s="446"/>
      <c r="DH106" s="446"/>
      <c r="DI106" s="446"/>
      <c r="DJ106" s="446"/>
      <c r="DK106" s="446"/>
      <c r="DL106" s="446"/>
      <c r="DM106" s="446"/>
      <c r="DN106" s="446"/>
      <c r="DO106" s="446"/>
      <c r="DP106" s="446"/>
      <c r="DQ106" s="446"/>
      <c r="DR106" s="678"/>
    </row>
    <row r="107" spans="1:122" x14ac:dyDescent="0.35">
      <c r="A107" s="685"/>
      <c r="B107" s="446" t="str">
        <f>"Kjøretøykm - "&amp;'3.1 Nyttestrøm'!C76</f>
        <v>Kjøretøykm - Jernbane - Persontog</v>
      </c>
      <c r="C107" s="1175">
        <f>'2.4 Samfunnet for øvrig'!C55</f>
        <v>0</v>
      </c>
      <c r="D107" s="1175">
        <f>'2.4 Samfunnet for øvrig'!D55</f>
        <v>0</v>
      </c>
      <c r="E107" s="1175">
        <f>'2.4 Samfunnet for øvrig'!E55</f>
        <v>0</v>
      </c>
      <c r="F107" s="1156">
        <f>(TogkmD_År1+TogkmBiDi_År1)/1000000</f>
        <v>0</v>
      </c>
      <c r="G107" s="1156">
        <f>(TogkmD_År2+TogkmBiDi_År2)/1000000</f>
        <v>0</v>
      </c>
      <c r="H107" s="1156">
        <f>(TogkmD_År3+TogkmBiDi_År3)/1000000</f>
        <v>0</v>
      </c>
      <c r="I107" s="1157">
        <f t="shared" ref="I107:I115" si="149">IF(Antall_Beregningsår&lt;2,1,IF(AND(F107=0,G107=0),1,IF(SIGN(F107)=SIGN(G107),(G107/F107)^(1/(AndreBeregningsår-FørsteBeregningsår)),((G107+1.1*ABS(F107-G107))/(F107+1.1*ABS(F107-G107)))^(1/(AndreBeregningsår-FørsteBeregningsår)))))</f>
        <v>1</v>
      </c>
      <c r="J107" s="1176">
        <f>IF(Antall_Beregningsår&lt;3,1,IF(AND(G107=0,H107=0),1,IF(SIGN(G107)=SIGN(H107),(H107/G107)^(1/(TredjeBeregningsår-AndreBeregningsår)),((H107+1.1*ABS(G107-H107))/(G107+1.1*ABS(G107-H107)))^(1/(TredjeBeregningsår-AndreBeregningsår)))))</f>
        <v>1</v>
      </c>
      <c r="K107" s="1157">
        <f t="shared" ref="K107:K115" si="150">IF(Framskrivning="Lineær trend",IF(Antall_Beregningsår&gt;2,(H107-G107)/(TredjeBeregningsår-AndreBeregningsår),IF(Antall_Beregningsår&gt;1,(G107-F107)/(AndreBeregningsår-FørsteBeregningsår),0)),0)</f>
        <v>0</v>
      </c>
      <c r="L107" s="1157"/>
      <c r="M107" s="1157"/>
      <c r="N107" s="1157"/>
      <c r="O107" s="1157"/>
      <c r="P107" s="1157"/>
      <c r="Q107" s="1157"/>
      <c r="R107" s="1157"/>
      <c r="S107" s="1157"/>
      <c r="T107" s="1157"/>
      <c r="U107" s="1157"/>
      <c r="V107" s="1157"/>
      <c r="W107" s="1157" t="e">
        <f t="shared" ref="W107:BB107" ca="1" si="151">1000000*IF(W$105&lt;=(Åpningsår+ProsjektetsLevetid-1),IF(W105&lt;=AndreBeregningsår,IF(SIGN($F107)=SIGN($G107),$F107*$I107^(W105-FørsteBeregningsår),($F107+1.1*ABS($F107-$G107))*$I107^(W105-FørsteBeregningsår)-1.1*ABS($F107-$G107)),IF(W105&lt;=TredjeBeregningsår,IF(SIGN($G107)=SIGN($H107),$G107*$J107^(W105-AndreBeregningsår),($G107+1.1*ABS($G107-$H107))*$J107^(W105-AndreBeregningsår)-1.1*ABS($G107-$H107)),OFFSET($F107,0,Antall_Beregningsår-1)*LOOKUP(W105,SerieÅR,SerieVolumvekstperson)+$K107*(W105-IF(Antall_Beregningsår&gt;2,TredjeBeregningsår,AndreBeregningsår)))),"")</f>
        <v>#VALUE!</v>
      </c>
      <c r="X107" s="1157" t="e">
        <f t="shared" ca="1" si="151"/>
        <v>#VALUE!</v>
      </c>
      <c r="Y107" s="1157" t="e">
        <f t="shared" ca="1" si="151"/>
        <v>#VALUE!</v>
      </c>
      <c r="Z107" s="1157" t="e">
        <f t="shared" ca="1" si="151"/>
        <v>#VALUE!</v>
      </c>
      <c r="AA107" s="1157" t="e">
        <f t="shared" ca="1" si="151"/>
        <v>#VALUE!</v>
      </c>
      <c r="AB107" s="1157" t="e">
        <f t="shared" ca="1" si="151"/>
        <v>#VALUE!</v>
      </c>
      <c r="AC107" s="1157" t="e">
        <f t="shared" ca="1" si="151"/>
        <v>#VALUE!</v>
      </c>
      <c r="AD107" s="1157" t="e">
        <f t="shared" ca="1" si="151"/>
        <v>#VALUE!</v>
      </c>
      <c r="AE107" s="1157" t="e">
        <f t="shared" ca="1" si="151"/>
        <v>#VALUE!</v>
      </c>
      <c r="AF107" s="1157" t="e">
        <f t="shared" ca="1" si="151"/>
        <v>#VALUE!</v>
      </c>
      <c r="AG107" s="1157" t="e">
        <f t="shared" ca="1" si="151"/>
        <v>#VALUE!</v>
      </c>
      <c r="AH107" s="1157" t="e">
        <f t="shared" ca="1" si="151"/>
        <v>#VALUE!</v>
      </c>
      <c r="AI107" s="1157" t="e">
        <f t="shared" ca="1" si="151"/>
        <v>#VALUE!</v>
      </c>
      <c r="AJ107" s="1157" t="e">
        <f t="shared" ca="1" si="151"/>
        <v>#VALUE!</v>
      </c>
      <c r="AK107" s="1157" t="e">
        <f t="shared" ca="1" si="151"/>
        <v>#VALUE!</v>
      </c>
      <c r="AL107" s="1157" t="e">
        <f t="shared" ca="1" si="151"/>
        <v>#VALUE!</v>
      </c>
      <c r="AM107" s="1157" t="e">
        <f t="shared" ca="1" si="151"/>
        <v>#VALUE!</v>
      </c>
      <c r="AN107" s="1157" t="e">
        <f t="shared" ca="1" si="151"/>
        <v>#VALUE!</v>
      </c>
      <c r="AO107" s="1157" t="e">
        <f t="shared" ca="1" si="151"/>
        <v>#VALUE!</v>
      </c>
      <c r="AP107" s="1157" t="e">
        <f t="shared" ca="1" si="151"/>
        <v>#VALUE!</v>
      </c>
      <c r="AQ107" s="1157" t="e">
        <f t="shared" ca="1" si="151"/>
        <v>#VALUE!</v>
      </c>
      <c r="AR107" s="1157" t="e">
        <f t="shared" ca="1" si="151"/>
        <v>#VALUE!</v>
      </c>
      <c r="AS107" s="1157" t="e">
        <f t="shared" ca="1" si="151"/>
        <v>#VALUE!</v>
      </c>
      <c r="AT107" s="1157" t="e">
        <f t="shared" ca="1" si="151"/>
        <v>#VALUE!</v>
      </c>
      <c r="AU107" s="1157" t="e">
        <f t="shared" ca="1" si="151"/>
        <v>#VALUE!</v>
      </c>
      <c r="AV107" s="1157" t="e">
        <f t="shared" ca="1" si="151"/>
        <v>#VALUE!</v>
      </c>
      <c r="AW107" s="1157" t="e">
        <f t="shared" ca="1" si="151"/>
        <v>#VALUE!</v>
      </c>
      <c r="AX107" s="1157" t="e">
        <f t="shared" ca="1" si="151"/>
        <v>#VALUE!</v>
      </c>
      <c r="AY107" s="1157" t="e">
        <f t="shared" ca="1" si="151"/>
        <v>#VALUE!</v>
      </c>
      <c r="AZ107" s="1157" t="e">
        <f t="shared" ca="1" si="151"/>
        <v>#VALUE!</v>
      </c>
      <c r="BA107" s="1157" t="e">
        <f t="shared" ca="1" si="151"/>
        <v>#VALUE!</v>
      </c>
      <c r="BB107" s="1157" t="e">
        <f t="shared" ca="1" si="151"/>
        <v>#VALUE!</v>
      </c>
      <c r="BC107" s="1157" t="e">
        <f t="shared" ref="BC107:CH107" ca="1" si="152">1000000*IF(BC$105&lt;=(Åpningsår+ProsjektetsLevetid-1),IF(BC105&lt;=AndreBeregningsår,IF(SIGN($F107)=SIGN($G107),$F107*$I107^(BC105-FørsteBeregningsår),($F107+1.1*ABS($F107-$G107))*$I107^(BC105-FørsteBeregningsår)-1.1*ABS($F107-$G107)),IF(BC105&lt;=TredjeBeregningsår,IF(SIGN($G107)=SIGN($H107),$G107*$J107^(BC105-AndreBeregningsår),($G107+1.1*ABS($G107-$H107))*$J107^(BC105-AndreBeregningsår)-1.1*ABS($G107-$H107)),OFFSET($F107,0,Antall_Beregningsår-1)*LOOKUP(BC105,SerieÅR,SerieVolumvekstperson)+$K107*(BC105-IF(Antall_Beregningsår&gt;2,TredjeBeregningsår,AndreBeregningsår)))),"")</f>
        <v>#VALUE!</v>
      </c>
      <c r="BD107" s="1157" t="e">
        <f t="shared" ca="1" si="152"/>
        <v>#VALUE!</v>
      </c>
      <c r="BE107" s="1157" t="e">
        <f t="shared" ca="1" si="152"/>
        <v>#VALUE!</v>
      </c>
      <c r="BF107" s="1157" t="e">
        <f t="shared" ca="1" si="152"/>
        <v>#VALUE!</v>
      </c>
      <c r="BG107" s="1157" t="e">
        <f t="shared" ca="1" si="152"/>
        <v>#VALUE!</v>
      </c>
      <c r="BH107" s="1157" t="e">
        <f t="shared" ca="1" si="152"/>
        <v>#VALUE!</v>
      </c>
      <c r="BI107" s="1157" t="e">
        <f t="shared" ca="1" si="152"/>
        <v>#VALUE!</v>
      </c>
      <c r="BJ107" s="1157" t="e">
        <f t="shared" ca="1" si="152"/>
        <v>#VALUE!</v>
      </c>
      <c r="BK107" s="1157" t="e">
        <f t="shared" ca="1" si="152"/>
        <v>#VALUE!</v>
      </c>
      <c r="BL107" s="1157" t="e">
        <f t="shared" ca="1" si="152"/>
        <v>#VALUE!</v>
      </c>
      <c r="BM107" s="1157" t="e">
        <f t="shared" ca="1" si="152"/>
        <v>#VALUE!</v>
      </c>
      <c r="BN107" s="1157" t="e">
        <f t="shared" ca="1" si="152"/>
        <v>#VALUE!</v>
      </c>
      <c r="BO107" s="1157" t="e">
        <f t="shared" ca="1" si="152"/>
        <v>#VALUE!</v>
      </c>
      <c r="BP107" s="1157" t="e">
        <f t="shared" ca="1" si="152"/>
        <v>#VALUE!</v>
      </c>
      <c r="BQ107" s="1157" t="e">
        <f t="shared" ca="1" si="152"/>
        <v>#VALUE!</v>
      </c>
      <c r="BR107" s="1157" t="e">
        <f t="shared" ca="1" si="152"/>
        <v>#VALUE!</v>
      </c>
      <c r="BS107" s="1157" t="e">
        <f t="shared" ca="1" si="152"/>
        <v>#VALUE!</v>
      </c>
      <c r="BT107" s="1157" t="e">
        <f t="shared" ca="1" si="152"/>
        <v>#VALUE!</v>
      </c>
      <c r="BU107" s="1157" t="e">
        <f t="shared" ca="1" si="152"/>
        <v>#VALUE!</v>
      </c>
      <c r="BV107" s="1157" t="e">
        <f t="shared" ca="1" si="152"/>
        <v>#VALUE!</v>
      </c>
      <c r="BW107" s="1157" t="e">
        <f t="shared" ca="1" si="152"/>
        <v>#VALUE!</v>
      </c>
      <c r="BX107" s="1157" t="e">
        <f t="shared" ca="1" si="152"/>
        <v>#VALUE!</v>
      </c>
      <c r="BY107" s="1157" t="e">
        <f t="shared" ca="1" si="152"/>
        <v>#VALUE!</v>
      </c>
      <c r="BZ107" s="1157" t="e">
        <f t="shared" ca="1" si="152"/>
        <v>#VALUE!</v>
      </c>
      <c r="CA107" s="1157" t="e">
        <f t="shared" ca="1" si="152"/>
        <v>#VALUE!</v>
      </c>
      <c r="CB107" s="1157" t="e">
        <f t="shared" ca="1" si="152"/>
        <v>#VALUE!</v>
      </c>
      <c r="CC107" s="1157" t="e">
        <f t="shared" ca="1" si="152"/>
        <v>#VALUE!</v>
      </c>
      <c r="CD107" s="1157" t="e">
        <f t="shared" ca="1" si="152"/>
        <v>#VALUE!</v>
      </c>
      <c r="CE107" s="1157" t="e">
        <f t="shared" ca="1" si="152"/>
        <v>#VALUE!</v>
      </c>
      <c r="CF107" s="1157" t="e">
        <f t="shared" ca="1" si="152"/>
        <v>#VALUE!</v>
      </c>
      <c r="CG107" s="1157" t="e">
        <f t="shared" ca="1" si="152"/>
        <v>#VALUE!</v>
      </c>
      <c r="CH107" s="1157" t="e">
        <f t="shared" ca="1" si="152"/>
        <v>#VALUE!</v>
      </c>
      <c r="CI107" s="1157" t="e">
        <f t="shared" ref="CI107:DR107" ca="1" si="153">1000000*IF(CI$105&lt;=(Åpningsår+ProsjektetsLevetid-1),IF(CI105&lt;=AndreBeregningsår,IF(SIGN($F107)=SIGN($G107),$F107*$I107^(CI105-FørsteBeregningsår),($F107+1.1*ABS($F107-$G107))*$I107^(CI105-FørsteBeregningsår)-1.1*ABS($F107-$G107)),IF(CI105&lt;=TredjeBeregningsår,IF(SIGN($G107)=SIGN($H107),$G107*$J107^(CI105-AndreBeregningsår),($G107+1.1*ABS($G107-$H107))*$J107^(CI105-AndreBeregningsår)-1.1*ABS($G107-$H107)),OFFSET($F107,0,Antall_Beregningsår-1)*LOOKUP(CI105,SerieÅR,SerieVolumvekstperson)+$K107*(CI105-IF(Antall_Beregningsår&gt;2,TredjeBeregningsår,AndreBeregningsår)))),"")</f>
        <v>#VALUE!</v>
      </c>
      <c r="CJ107" s="1157" t="e">
        <f t="shared" ca="1" si="153"/>
        <v>#VALUE!</v>
      </c>
      <c r="CK107" s="1157" t="e">
        <f t="shared" ca="1" si="153"/>
        <v>#VALUE!</v>
      </c>
      <c r="CL107" s="1157" t="e">
        <f t="shared" ca="1" si="153"/>
        <v>#VALUE!</v>
      </c>
      <c r="CM107" s="1157" t="e">
        <f t="shared" ca="1" si="153"/>
        <v>#VALUE!</v>
      </c>
      <c r="CN107" s="1157" t="e">
        <f t="shared" ca="1" si="153"/>
        <v>#VALUE!</v>
      </c>
      <c r="CO107" s="1157" t="e">
        <f t="shared" ca="1" si="153"/>
        <v>#VALUE!</v>
      </c>
      <c r="CP107" s="1157" t="e">
        <f t="shared" ca="1" si="153"/>
        <v>#VALUE!</v>
      </c>
      <c r="CQ107" s="1157" t="e">
        <f t="shared" ca="1" si="153"/>
        <v>#VALUE!</v>
      </c>
      <c r="CR107" s="1157" t="e">
        <f t="shared" ca="1" si="153"/>
        <v>#VALUE!</v>
      </c>
      <c r="CS107" s="1157" t="e">
        <f t="shared" ca="1" si="153"/>
        <v>#VALUE!</v>
      </c>
      <c r="CT107" s="1157" t="e">
        <f t="shared" ca="1" si="153"/>
        <v>#VALUE!</v>
      </c>
      <c r="CU107" s="1157" t="e">
        <f t="shared" ca="1" si="153"/>
        <v>#VALUE!</v>
      </c>
      <c r="CV107" s="1157" t="e">
        <f t="shared" ca="1" si="153"/>
        <v>#VALUE!</v>
      </c>
      <c r="CW107" s="1157" t="e">
        <f t="shared" ca="1" si="153"/>
        <v>#VALUE!</v>
      </c>
      <c r="CX107" s="1157" t="e">
        <f t="shared" ca="1" si="153"/>
        <v>#VALUE!</v>
      </c>
      <c r="CY107" s="1157" t="e">
        <f t="shared" ca="1" si="153"/>
        <v>#VALUE!</v>
      </c>
      <c r="CZ107" s="1157" t="e">
        <f t="shared" ca="1" si="153"/>
        <v>#VALUE!</v>
      </c>
      <c r="DA107" s="1157" t="e">
        <f t="shared" ca="1" si="153"/>
        <v>#VALUE!</v>
      </c>
      <c r="DB107" s="1157" t="e">
        <f t="shared" ca="1" si="153"/>
        <v>#VALUE!</v>
      </c>
      <c r="DC107" s="1157" t="e">
        <f t="shared" ca="1" si="153"/>
        <v>#VALUE!</v>
      </c>
      <c r="DD107" s="1157" t="e">
        <f t="shared" ca="1" si="153"/>
        <v>#VALUE!</v>
      </c>
      <c r="DE107" s="1157" t="e">
        <f t="shared" ca="1" si="153"/>
        <v>#VALUE!</v>
      </c>
      <c r="DF107" s="1157" t="e">
        <f t="shared" ca="1" si="153"/>
        <v>#VALUE!</v>
      </c>
      <c r="DG107" s="1157" t="e">
        <f t="shared" ca="1" si="153"/>
        <v>#VALUE!</v>
      </c>
      <c r="DH107" s="1157" t="e">
        <f t="shared" ca="1" si="153"/>
        <v>#VALUE!</v>
      </c>
      <c r="DI107" s="1157" t="e">
        <f t="shared" ca="1" si="153"/>
        <v>#VALUE!</v>
      </c>
      <c r="DJ107" s="1157" t="e">
        <f t="shared" ca="1" si="153"/>
        <v>#VALUE!</v>
      </c>
      <c r="DK107" s="1157" t="e">
        <f t="shared" ca="1" si="153"/>
        <v>#VALUE!</v>
      </c>
      <c r="DL107" s="1157" t="e">
        <f t="shared" ca="1" si="153"/>
        <v>#VALUE!</v>
      </c>
      <c r="DM107" s="1157" t="e">
        <f t="shared" ca="1" si="153"/>
        <v>#VALUE!</v>
      </c>
      <c r="DN107" s="1157" t="e">
        <f t="shared" ca="1" si="153"/>
        <v>#VALUE!</v>
      </c>
      <c r="DO107" s="1157" t="e">
        <f t="shared" ca="1" si="153"/>
        <v>#VALUE!</v>
      </c>
      <c r="DP107" s="1157" t="e">
        <f t="shared" ca="1" si="153"/>
        <v>#VALUE!</v>
      </c>
      <c r="DQ107" s="1157" t="e">
        <f t="shared" ca="1" si="153"/>
        <v>#VALUE!</v>
      </c>
      <c r="DR107" s="1170" t="e">
        <f t="shared" ca="1" si="153"/>
        <v>#VALUE!</v>
      </c>
    </row>
    <row r="108" spans="1:122" x14ac:dyDescent="0.35">
      <c r="A108" s="685"/>
      <c r="B108" s="446" t="str">
        <f>"Kjøretøykm - "&amp;'3.1 Nyttestrøm'!C77</f>
        <v>Kjøretøykm - Jernbane - Godstog</v>
      </c>
      <c r="C108" s="1175">
        <f>'2.4 Samfunnet for øvrig'!C56</f>
        <v>0</v>
      </c>
      <c r="D108" s="1175">
        <f>'2.4 Samfunnet for øvrig'!D56</f>
        <v>0</v>
      </c>
      <c r="E108" s="1175">
        <f>'2.4 Samfunnet for øvrig'!E56</f>
        <v>0</v>
      </c>
      <c r="F108" s="1156">
        <f>GodstogMkmD_År1</f>
        <v>0</v>
      </c>
      <c r="G108" s="1156">
        <f>GodstogMkmD_År2</f>
        <v>0</v>
      </c>
      <c r="H108" s="1156">
        <f>GodstogMkmD_År3</f>
        <v>0</v>
      </c>
      <c r="I108" s="1157">
        <f t="shared" si="149"/>
        <v>1</v>
      </c>
      <c r="J108" s="1176">
        <f>IF(Antall_Beregningsår&lt;3,1,IF(AND(G108=0,H108=0),1,IF(SIGN(G108)=SIGN(H108),(H108/G108)^(1/(TredjeBeregningsår-AndreBeregningsår)),((H108+1.1*ABS(G108-H108))/(G108+1.1*ABS(G108-H108)))^(1/(TredjeBeregningsår-AndreBeregningsår)))))</f>
        <v>1</v>
      </c>
      <c r="K108" s="1157">
        <f t="shared" si="150"/>
        <v>0</v>
      </c>
      <c r="L108" s="1157"/>
      <c r="M108" s="1157"/>
      <c r="N108" s="1157"/>
      <c r="O108" s="1157"/>
      <c r="P108" s="1157"/>
      <c r="Q108" s="1157"/>
      <c r="R108" s="1157"/>
      <c r="S108" s="1157"/>
      <c r="T108" s="1157"/>
      <c r="U108" s="1157"/>
      <c r="V108" s="1157"/>
      <c r="W108" s="1157" t="e">
        <f t="shared" ref="W108:BB108" ca="1" si="154">1000000*IF(W$105&lt;=(Åpningsår+ProsjektetsLevetid-1),IF(W105&lt;=AndreBeregningsår,IF(SIGN($F108)=SIGN($G108),$F108*$I108^(W105-FørsteBeregningsår),($F108+1.1*ABS($F108-$G108))*$I108^(W105-FørsteBeregningsår)-1.1*ABS($F108-$G108)),IF(W105&lt;=TredjeBeregningsår,IF(SIGN($G108)=SIGN($H108),$G108*$J108^(W105-AndreBeregningsår),($G108+1.1*ABS($G108-$H108))*$J108^(W105-AndreBeregningsår)-1.1*ABS($G108-$H108)),OFFSET($F108,0,Antall_Beregningsår-1)*LOOKUP(W105,SerieÅR,SerieVolumvekstperson)+$K108*(W105-IF(Antall_Beregningsår&gt;2,TredjeBeregningsår,AndreBeregningsår)))),"")</f>
        <v>#VALUE!</v>
      </c>
      <c r="X108" s="1157" t="e">
        <f t="shared" ca="1" si="154"/>
        <v>#VALUE!</v>
      </c>
      <c r="Y108" s="1157" t="e">
        <f t="shared" ca="1" si="154"/>
        <v>#VALUE!</v>
      </c>
      <c r="Z108" s="1157" t="e">
        <f t="shared" ca="1" si="154"/>
        <v>#VALUE!</v>
      </c>
      <c r="AA108" s="1157" t="e">
        <f t="shared" ca="1" si="154"/>
        <v>#VALUE!</v>
      </c>
      <c r="AB108" s="1157" t="e">
        <f t="shared" ca="1" si="154"/>
        <v>#VALUE!</v>
      </c>
      <c r="AC108" s="1157" t="e">
        <f t="shared" ca="1" si="154"/>
        <v>#VALUE!</v>
      </c>
      <c r="AD108" s="1157" t="e">
        <f t="shared" ca="1" si="154"/>
        <v>#VALUE!</v>
      </c>
      <c r="AE108" s="1157" t="e">
        <f t="shared" ca="1" si="154"/>
        <v>#VALUE!</v>
      </c>
      <c r="AF108" s="1157" t="e">
        <f t="shared" ca="1" si="154"/>
        <v>#VALUE!</v>
      </c>
      <c r="AG108" s="1157" t="e">
        <f t="shared" ca="1" si="154"/>
        <v>#VALUE!</v>
      </c>
      <c r="AH108" s="1157" t="e">
        <f t="shared" ca="1" si="154"/>
        <v>#VALUE!</v>
      </c>
      <c r="AI108" s="1157" t="e">
        <f t="shared" ca="1" si="154"/>
        <v>#VALUE!</v>
      </c>
      <c r="AJ108" s="1157" t="e">
        <f t="shared" ca="1" si="154"/>
        <v>#VALUE!</v>
      </c>
      <c r="AK108" s="1157" t="e">
        <f t="shared" ca="1" si="154"/>
        <v>#VALUE!</v>
      </c>
      <c r="AL108" s="1157" t="e">
        <f t="shared" ca="1" si="154"/>
        <v>#VALUE!</v>
      </c>
      <c r="AM108" s="1157" t="e">
        <f t="shared" ca="1" si="154"/>
        <v>#VALUE!</v>
      </c>
      <c r="AN108" s="1157" t="e">
        <f t="shared" ca="1" si="154"/>
        <v>#VALUE!</v>
      </c>
      <c r="AO108" s="1157" t="e">
        <f t="shared" ca="1" si="154"/>
        <v>#VALUE!</v>
      </c>
      <c r="AP108" s="1157" t="e">
        <f t="shared" ca="1" si="154"/>
        <v>#VALUE!</v>
      </c>
      <c r="AQ108" s="1157" t="e">
        <f t="shared" ca="1" si="154"/>
        <v>#VALUE!</v>
      </c>
      <c r="AR108" s="1157" t="e">
        <f t="shared" ca="1" si="154"/>
        <v>#VALUE!</v>
      </c>
      <c r="AS108" s="1157" t="e">
        <f t="shared" ca="1" si="154"/>
        <v>#VALUE!</v>
      </c>
      <c r="AT108" s="1157" t="e">
        <f t="shared" ca="1" si="154"/>
        <v>#VALUE!</v>
      </c>
      <c r="AU108" s="1157" t="e">
        <f t="shared" ca="1" si="154"/>
        <v>#VALUE!</v>
      </c>
      <c r="AV108" s="1157" t="e">
        <f t="shared" ca="1" si="154"/>
        <v>#VALUE!</v>
      </c>
      <c r="AW108" s="1157" t="e">
        <f t="shared" ca="1" si="154"/>
        <v>#VALUE!</v>
      </c>
      <c r="AX108" s="1157" t="e">
        <f t="shared" ca="1" si="154"/>
        <v>#VALUE!</v>
      </c>
      <c r="AY108" s="1157" t="e">
        <f t="shared" ca="1" si="154"/>
        <v>#VALUE!</v>
      </c>
      <c r="AZ108" s="1157" t="e">
        <f t="shared" ca="1" si="154"/>
        <v>#VALUE!</v>
      </c>
      <c r="BA108" s="1157" t="e">
        <f t="shared" ca="1" si="154"/>
        <v>#VALUE!</v>
      </c>
      <c r="BB108" s="1157" t="e">
        <f t="shared" ca="1" si="154"/>
        <v>#VALUE!</v>
      </c>
      <c r="BC108" s="1157" t="e">
        <f t="shared" ref="BC108:CH108" ca="1" si="155">1000000*IF(BC$105&lt;=(Åpningsår+ProsjektetsLevetid-1),IF(BC105&lt;=AndreBeregningsår,IF(SIGN($F108)=SIGN($G108),$F108*$I108^(BC105-FørsteBeregningsår),($F108+1.1*ABS($F108-$G108))*$I108^(BC105-FørsteBeregningsår)-1.1*ABS($F108-$G108)),IF(BC105&lt;=TredjeBeregningsår,IF(SIGN($G108)=SIGN($H108),$G108*$J108^(BC105-AndreBeregningsår),($G108+1.1*ABS($G108-$H108))*$J108^(BC105-AndreBeregningsår)-1.1*ABS($G108-$H108)),OFFSET($F108,0,Antall_Beregningsår-1)*LOOKUP(BC105,SerieÅR,SerieVolumvekstperson)+$K108*(BC105-IF(Antall_Beregningsår&gt;2,TredjeBeregningsår,AndreBeregningsår)))),"")</f>
        <v>#VALUE!</v>
      </c>
      <c r="BD108" s="1157" t="e">
        <f t="shared" ca="1" si="155"/>
        <v>#VALUE!</v>
      </c>
      <c r="BE108" s="1157" t="e">
        <f t="shared" ca="1" si="155"/>
        <v>#VALUE!</v>
      </c>
      <c r="BF108" s="1157" t="e">
        <f t="shared" ca="1" si="155"/>
        <v>#VALUE!</v>
      </c>
      <c r="BG108" s="1157" t="e">
        <f t="shared" ca="1" si="155"/>
        <v>#VALUE!</v>
      </c>
      <c r="BH108" s="1157" t="e">
        <f t="shared" ca="1" si="155"/>
        <v>#VALUE!</v>
      </c>
      <c r="BI108" s="1157" t="e">
        <f t="shared" ca="1" si="155"/>
        <v>#VALUE!</v>
      </c>
      <c r="BJ108" s="1157" t="e">
        <f t="shared" ca="1" si="155"/>
        <v>#VALUE!</v>
      </c>
      <c r="BK108" s="1157" t="e">
        <f t="shared" ca="1" si="155"/>
        <v>#VALUE!</v>
      </c>
      <c r="BL108" s="1157" t="e">
        <f t="shared" ca="1" si="155"/>
        <v>#VALUE!</v>
      </c>
      <c r="BM108" s="1157" t="e">
        <f t="shared" ca="1" si="155"/>
        <v>#VALUE!</v>
      </c>
      <c r="BN108" s="1157" t="e">
        <f t="shared" ca="1" si="155"/>
        <v>#VALUE!</v>
      </c>
      <c r="BO108" s="1157" t="e">
        <f t="shared" ca="1" si="155"/>
        <v>#VALUE!</v>
      </c>
      <c r="BP108" s="1157" t="e">
        <f t="shared" ca="1" si="155"/>
        <v>#VALUE!</v>
      </c>
      <c r="BQ108" s="1157" t="e">
        <f t="shared" ca="1" si="155"/>
        <v>#VALUE!</v>
      </c>
      <c r="BR108" s="1157" t="e">
        <f t="shared" ca="1" si="155"/>
        <v>#VALUE!</v>
      </c>
      <c r="BS108" s="1157" t="e">
        <f t="shared" ca="1" si="155"/>
        <v>#VALUE!</v>
      </c>
      <c r="BT108" s="1157" t="e">
        <f t="shared" ca="1" si="155"/>
        <v>#VALUE!</v>
      </c>
      <c r="BU108" s="1157" t="e">
        <f t="shared" ca="1" si="155"/>
        <v>#VALUE!</v>
      </c>
      <c r="BV108" s="1157" t="e">
        <f t="shared" ca="1" si="155"/>
        <v>#VALUE!</v>
      </c>
      <c r="BW108" s="1157" t="e">
        <f t="shared" ca="1" si="155"/>
        <v>#VALUE!</v>
      </c>
      <c r="BX108" s="1157" t="e">
        <f t="shared" ca="1" si="155"/>
        <v>#VALUE!</v>
      </c>
      <c r="BY108" s="1157" t="e">
        <f t="shared" ca="1" si="155"/>
        <v>#VALUE!</v>
      </c>
      <c r="BZ108" s="1157" t="e">
        <f t="shared" ca="1" si="155"/>
        <v>#VALUE!</v>
      </c>
      <c r="CA108" s="1157" t="e">
        <f t="shared" ca="1" si="155"/>
        <v>#VALUE!</v>
      </c>
      <c r="CB108" s="1157" t="e">
        <f t="shared" ca="1" si="155"/>
        <v>#VALUE!</v>
      </c>
      <c r="CC108" s="1157" t="e">
        <f t="shared" ca="1" si="155"/>
        <v>#VALUE!</v>
      </c>
      <c r="CD108" s="1157" t="e">
        <f t="shared" ca="1" si="155"/>
        <v>#VALUE!</v>
      </c>
      <c r="CE108" s="1157" t="e">
        <f t="shared" ca="1" si="155"/>
        <v>#VALUE!</v>
      </c>
      <c r="CF108" s="1157" t="e">
        <f t="shared" ca="1" si="155"/>
        <v>#VALUE!</v>
      </c>
      <c r="CG108" s="1157" t="e">
        <f t="shared" ca="1" si="155"/>
        <v>#VALUE!</v>
      </c>
      <c r="CH108" s="1157" t="e">
        <f t="shared" ca="1" si="155"/>
        <v>#VALUE!</v>
      </c>
      <c r="CI108" s="1157" t="e">
        <f t="shared" ref="CI108:DR108" ca="1" si="156">1000000*IF(CI$105&lt;=(Åpningsår+ProsjektetsLevetid-1),IF(CI105&lt;=AndreBeregningsår,IF(SIGN($F108)=SIGN($G108),$F108*$I108^(CI105-FørsteBeregningsår),($F108+1.1*ABS($F108-$G108))*$I108^(CI105-FørsteBeregningsår)-1.1*ABS($F108-$G108)),IF(CI105&lt;=TredjeBeregningsår,IF(SIGN($G108)=SIGN($H108),$G108*$J108^(CI105-AndreBeregningsår),($G108+1.1*ABS($G108-$H108))*$J108^(CI105-AndreBeregningsår)-1.1*ABS($G108-$H108)),OFFSET($F108,0,Antall_Beregningsår-1)*LOOKUP(CI105,SerieÅR,SerieVolumvekstperson)+$K108*(CI105-IF(Antall_Beregningsår&gt;2,TredjeBeregningsår,AndreBeregningsår)))),"")</f>
        <v>#VALUE!</v>
      </c>
      <c r="CJ108" s="1157" t="e">
        <f t="shared" ca="1" si="156"/>
        <v>#VALUE!</v>
      </c>
      <c r="CK108" s="1157" t="e">
        <f t="shared" ca="1" si="156"/>
        <v>#VALUE!</v>
      </c>
      <c r="CL108" s="1157" t="e">
        <f t="shared" ca="1" si="156"/>
        <v>#VALUE!</v>
      </c>
      <c r="CM108" s="1157" t="e">
        <f t="shared" ca="1" si="156"/>
        <v>#VALUE!</v>
      </c>
      <c r="CN108" s="1157" t="e">
        <f t="shared" ca="1" si="156"/>
        <v>#VALUE!</v>
      </c>
      <c r="CO108" s="1157" t="e">
        <f t="shared" ca="1" si="156"/>
        <v>#VALUE!</v>
      </c>
      <c r="CP108" s="1157" t="e">
        <f t="shared" ca="1" si="156"/>
        <v>#VALUE!</v>
      </c>
      <c r="CQ108" s="1157" t="e">
        <f t="shared" ca="1" si="156"/>
        <v>#VALUE!</v>
      </c>
      <c r="CR108" s="1157" t="e">
        <f t="shared" ca="1" si="156"/>
        <v>#VALUE!</v>
      </c>
      <c r="CS108" s="1157" t="e">
        <f t="shared" ca="1" si="156"/>
        <v>#VALUE!</v>
      </c>
      <c r="CT108" s="1157" t="e">
        <f t="shared" ca="1" si="156"/>
        <v>#VALUE!</v>
      </c>
      <c r="CU108" s="1157" t="e">
        <f t="shared" ca="1" si="156"/>
        <v>#VALUE!</v>
      </c>
      <c r="CV108" s="1157" t="e">
        <f t="shared" ca="1" si="156"/>
        <v>#VALUE!</v>
      </c>
      <c r="CW108" s="1157" t="e">
        <f t="shared" ca="1" si="156"/>
        <v>#VALUE!</v>
      </c>
      <c r="CX108" s="1157" t="e">
        <f t="shared" ca="1" si="156"/>
        <v>#VALUE!</v>
      </c>
      <c r="CY108" s="1157" t="e">
        <f t="shared" ca="1" si="156"/>
        <v>#VALUE!</v>
      </c>
      <c r="CZ108" s="1157" t="e">
        <f t="shared" ca="1" si="156"/>
        <v>#VALUE!</v>
      </c>
      <c r="DA108" s="1157" t="e">
        <f t="shared" ca="1" si="156"/>
        <v>#VALUE!</v>
      </c>
      <c r="DB108" s="1157" t="e">
        <f t="shared" ca="1" si="156"/>
        <v>#VALUE!</v>
      </c>
      <c r="DC108" s="1157" t="e">
        <f t="shared" ca="1" si="156"/>
        <v>#VALUE!</v>
      </c>
      <c r="DD108" s="1157" t="e">
        <f t="shared" ca="1" si="156"/>
        <v>#VALUE!</v>
      </c>
      <c r="DE108" s="1157" t="e">
        <f t="shared" ca="1" si="156"/>
        <v>#VALUE!</v>
      </c>
      <c r="DF108" s="1157" t="e">
        <f t="shared" ca="1" si="156"/>
        <v>#VALUE!</v>
      </c>
      <c r="DG108" s="1157" t="e">
        <f t="shared" ca="1" si="156"/>
        <v>#VALUE!</v>
      </c>
      <c r="DH108" s="1157" t="e">
        <f t="shared" ca="1" si="156"/>
        <v>#VALUE!</v>
      </c>
      <c r="DI108" s="1157" t="e">
        <f t="shared" ca="1" si="156"/>
        <v>#VALUE!</v>
      </c>
      <c r="DJ108" s="1157" t="e">
        <f t="shared" ca="1" si="156"/>
        <v>#VALUE!</v>
      </c>
      <c r="DK108" s="1157" t="e">
        <f t="shared" ca="1" si="156"/>
        <v>#VALUE!</v>
      </c>
      <c r="DL108" s="1157" t="e">
        <f t="shared" ca="1" si="156"/>
        <v>#VALUE!</v>
      </c>
      <c r="DM108" s="1157" t="e">
        <f t="shared" ca="1" si="156"/>
        <v>#VALUE!</v>
      </c>
      <c r="DN108" s="1157" t="e">
        <f t="shared" ca="1" si="156"/>
        <v>#VALUE!</v>
      </c>
      <c r="DO108" s="1157" t="e">
        <f t="shared" ca="1" si="156"/>
        <v>#VALUE!</v>
      </c>
      <c r="DP108" s="1157" t="e">
        <f t="shared" ca="1" si="156"/>
        <v>#VALUE!</v>
      </c>
      <c r="DQ108" s="1157" t="e">
        <f t="shared" ca="1" si="156"/>
        <v>#VALUE!</v>
      </c>
      <c r="DR108" s="1170" t="e">
        <f t="shared" ca="1" si="156"/>
        <v>#VALUE!</v>
      </c>
    </row>
    <row r="109" spans="1:122" x14ac:dyDescent="0.35">
      <c r="A109" s="685"/>
      <c r="B109" s="446" t="str">
        <f>"Kjøretøykm - "&amp;'3.1 Nyttestrøm'!C78</f>
        <v>Kjøretøykm - Personbil</v>
      </c>
      <c r="C109" s="1175">
        <f>('2.4 Samfunnet for øvrig'!C62)</f>
        <v>0</v>
      </c>
      <c r="D109" s="1175">
        <f>('2.4 Samfunnet for øvrig'!D62)</f>
        <v>0</v>
      </c>
      <c r="E109" s="1175">
        <f>('2.4 Samfunnet for øvrig'!E62)</f>
        <v>0</v>
      </c>
      <c r="F109" s="1156">
        <f>Kjøretøykm_Bil_År1/1000000</f>
        <v>0</v>
      </c>
      <c r="G109" s="1156">
        <f>Kjøretøykm_Bil_År2/1000000</f>
        <v>0</v>
      </c>
      <c r="H109" s="1156">
        <f>Kjøretøykm_Bil_År3/1000000</f>
        <v>0</v>
      </c>
      <c r="I109" s="1157">
        <f>IF(Antall_Beregningsår&lt;2,1,IF(AND(F109=0,G109=0),1,IF(SIGN(F109)=SIGN(G109),(G109/F109)^(1/(AndreBeregningsår-FørsteBeregningsår)),((G109+1.1*ABS(F109-G109))/(F109+1.1*ABS(F109-G109)))^(1/(AndreBeregningsår-FørsteBeregningsår)))))</f>
        <v>1</v>
      </c>
      <c r="J109" s="1176">
        <f t="shared" ref="J109:J115" si="157">IF(Antall_Beregningsår&lt;3,1,IF(AND(G109=0,H109=0),1,IF(SIGN(G109)=SIGN(H109),(H109/G109)^(1/(TredjeBeregningsår-AndreBeregningsår)),((H109+1.1*ABS(G109-H109))/(G109+1.1*ABS(G109-H109)))^(1/(TredjeBeregningsår-AndreBeregningsår)))))</f>
        <v>1</v>
      </c>
      <c r="K109" s="1157">
        <f t="shared" si="150"/>
        <v>0</v>
      </c>
      <c r="L109" s="1157"/>
      <c r="M109" s="1157"/>
      <c r="N109" s="1157"/>
      <c r="O109" s="1157"/>
      <c r="P109" s="1157"/>
      <c r="Q109" s="1157"/>
      <c r="R109" s="1157"/>
      <c r="S109" s="1157"/>
      <c r="T109" s="1157"/>
      <c r="U109" s="1157"/>
      <c r="V109" s="1157"/>
      <c r="W109" s="1157" t="e">
        <f t="shared" ref="W109:BB109" ca="1" si="158">1000000*IF(W$105&lt;=(Åpningsår+ProsjektetsLevetid-1),IF(W105&lt;=AndreBeregningsår,IF(SIGN($F109)=SIGN($G109),$F109*$I109^(W105-FørsteBeregningsår),($F109+1.1*ABS($F109-$G109))*$I109^(W105-FørsteBeregningsår)-1.1*ABS($F109-$G109)),IF(W105&lt;=TredjeBeregningsår,IF(SIGN($G109)=SIGN($H109),$G109*$J109^(W105-AndreBeregningsår),($G109+1.1*ABS($G109-$H109))*$J109^(W105-AndreBeregningsår)-1.1*ABS($G109-$H109)),OFFSET($F109,0,Antall_Beregningsår-1)*LOOKUP(W105,SerieÅR,SerieVolumvekstperson)+$K109*(W105-IF(Antall_Beregningsår&gt;2,TredjeBeregningsår,AndreBeregningsår)))),"")</f>
        <v>#VALUE!</v>
      </c>
      <c r="X109" s="1157" t="e">
        <f t="shared" ca="1" si="158"/>
        <v>#VALUE!</v>
      </c>
      <c r="Y109" s="1157" t="e">
        <f t="shared" ca="1" si="158"/>
        <v>#VALUE!</v>
      </c>
      <c r="Z109" s="1157" t="e">
        <f t="shared" ca="1" si="158"/>
        <v>#VALUE!</v>
      </c>
      <c r="AA109" s="1157" t="e">
        <f t="shared" ca="1" si="158"/>
        <v>#VALUE!</v>
      </c>
      <c r="AB109" s="1157" t="e">
        <f t="shared" ca="1" si="158"/>
        <v>#VALUE!</v>
      </c>
      <c r="AC109" s="1157" t="e">
        <f t="shared" ca="1" si="158"/>
        <v>#VALUE!</v>
      </c>
      <c r="AD109" s="1157" t="e">
        <f t="shared" ca="1" si="158"/>
        <v>#VALUE!</v>
      </c>
      <c r="AE109" s="1157" t="e">
        <f t="shared" ca="1" si="158"/>
        <v>#VALUE!</v>
      </c>
      <c r="AF109" s="1157" t="e">
        <f t="shared" ca="1" si="158"/>
        <v>#VALUE!</v>
      </c>
      <c r="AG109" s="1157" t="e">
        <f t="shared" ca="1" si="158"/>
        <v>#VALUE!</v>
      </c>
      <c r="AH109" s="1157" t="e">
        <f t="shared" ca="1" si="158"/>
        <v>#VALUE!</v>
      </c>
      <c r="AI109" s="1157" t="e">
        <f t="shared" ca="1" si="158"/>
        <v>#VALUE!</v>
      </c>
      <c r="AJ109" s="1157" t="e">
        <f t="shared" ca="1" si="158"/>
        <v>#VALUE!</v>
      </c>
      <c r="AK109" s="1157" t="e">
        <f t="shared" ca="1" si="158"/>
        <v>#VALUE!</v>
      </c>
      <c r="AL109" s="1157" t="e">
        <f t="shared" ca="1" si="158"/>
        <v>#VALUE!</v>
      </c>
      <c r="AM109" s="1157" t="e">
        <f t="shared" ca="1" si="158"/>
        <v>#VALUE!</v>
      </c>
      <c r="AN109" s="1157" t="e">
        <f t="shared" ca="1" si="158"/>
        <v>#VALUE!</v>
      </c>
      <c r="AO109" s="1157" t="e">
        <f t="shared" ca="1" si="158"/>
        <v>#VALUE!</v>
      </c>
      <c r="AP109" s="1157" t="e">
        <f t="shared" ca="1" si="158"/>
        <v>#VALUE!</v>
      </c>
      <c r="AQ109" s="1157" t="e">
        <f t="shared" ca="1" si="158"/>
        <v>#VALUE!</v>
      </c>
      <c r="AR109" s="1157" t="e">
        <f t="shared" ca="1" si="158"/>
        <v>#VALUE!</v>
      </c>
      <c r="AS109" s="1157" t="e">
        <f t="shared" ca="1" si="158"/>
        <v>#VALUE!</v>
      </c>
      <c r="AT109" s="1157" t="e">
        <f t="shared" ca="1" si="158"/>
        <v>#VALUE!</v>
      </c>
      <c r="AU109" s="1157" t="e">
        <f t="shared" ca="1" si="158"/>
        <v>#VALUE!</v>
      </c>
      <c r="AV109" s="1157" t="e">
        <f t="shared" ca="1" si="158"/>
        <v>#VALUE!</v>
      </c>
      <c r="AW109" s="1157" t="e">
        <f t="shared" ca="1" si="158"/>
        <v>#VALUE!</v>
      </c>
      <c r="AX109" s="1157" t="e">
        <f t="shared" ca="1" si="158"/>
        <v>#VALUE!</v>
      </c>
      <c r="AY109" s="1157" t="e">
        <f t="shared" ca="1" si="158"/>
        <v>#VALUE!</v>
      </c>
      <c r="AZ109" s="1157" t="e">
        <f t="shared" ca="1" si="158"/>
        <v>#VALUE!</v>
      </c>
      <c r="BA109" s="1157" t="e">
        <f t="shared" ca="1" si="158"/>
        <v>#VALUE!</v>
      </c>
      <c r="BB109" s="1157" t="e">
        <f t="shared" ca="1" si="158"/>
        <v>#VALUE!</v>
      </c>
      <c r="BC109" s="1157" t="e">
        <f t="shared" ref="BC109:CH109" ca="1" si="159">1000000*IF(BC$105&lt;=(Åpningsår+ProsjektetsLevetid-1),IF(BC105&lt;=AndreBeregningsår,IF(SIGN($F109)=SIGN($G109),$F109*$I109^(BC105-FørsteBeregningsår),($F109+1.1*ABS($F109-$G109))*$I109^(BC105-FørsteBeregningsår)-1.1*ABS($F109-$G109)),IF(BC105&lt;=TredjeBeregningsår,IF(SIGN($G109)=SIGN($H109),$G109*$J109^(BC105-AndreBeregningsår),($G109+1.1*ABS($G109-$H109))*$J109^(BC105-AndreBeregningsår)-1.1*ABS($G109-$H109)),OFFSET($F109,0,Antall_Beregningsår-1)*LOOKUP(BC105,SerieÅR,SerieVolumvekstperson)+$K109*(BC105-IF(Antall_Beregningsår&gt;2,TredjeBeregningsår,AndreBeregningsår)))),"")</f>
        <v>#VALUE!</v>
      </c>
      <c r="BD109" s="1157" t="e">
        <f t="shared" ca="1" si="159"/>
        <v>#VALUE!</v>
      </c>
      <c r="BE109" s="1157" t="e">
        <f t="shared" ca="1" si="159"/>
        <v>#VALUE!</v>
      </c>
      <c r="BF109" s="1157" t="e">
        <f t="shared" ca="1" si="159"/>
        <v>#VALUE!</v>
      </c>
      <c r="BG109" s="1157" t="e">
        <f t="shared" ca="1" si="159"/>
        <v>#VALUE!</v>
      </c>
      <c r="BH109" s="1157" t="e">
        <f t="shared" ca="1" si="159"/>
        <v>#VALUE!</v>
      </c>
      <c r="BI109" s="1157" t="e">
        <f t="shared" ca="1" si="159"/>
        <v>#VALUE!</v>
      </c>
      <c r="BJ109" s="1157" t="e">
        <f t="shared" ca="1" si="159"/>
        <v>#VALUE!</v>
      </c>
      <c r="BK109" s="1157" t="e">
        <f t="shared" ca="1" si="159"/>
        <v>#VALUE!</v>
      </c>
      <c r="BL109" s="1157" t="e">
        <f t="shared" ca="1" si="159"/>
        <v>#VALUE!</v>
      </c>
      <c r="BM109" s="1157" t="e">
        <f t="shared" ca="1" si="159"/>
        <v>#VALUE!</v>
      </c>
      <c r="BN109" s="1157" t="e">
        <f t="shared" ca="1" si="159"/>
        <v>#VALUE!</v>
      </c>
      <c r="BO109" s="1157" t="e">
        <f t="shared" ca="1" si="159"/>
        <v>#VALUE!</v>
      </c>
      <c r="BP109" s="1157" t="e">
        <f t="shared" ca="1" si="159"/>
        <v>#VALUE!</v>
      </c>
      <c r="BQ109" s="1157" t="e">
        <f t="shared" ca="1" si="159"/>
        <v>#VALUE!</v>
      </c>
      <c r="BR109" s="1157" t="e">
        <f t="shared" ca="1" si="159"/>
        <v>#VALUE!</v>
      </c>
      <c r="BS109" s="1157" t="e">
        <f t="shared" ca="1" si="159"/>
        <v>#VALUE!</v>
      </c>
      <c r="BT109" s="1157" t="e">
        <f t="shared" ca="1" si="159"/>
        <v>#VALUE!</v>
      </c>
      <c r="BU109" s="1157" t="e">
        <f t="shared" ca="1" si="159"/>
        <v>#VALUE!</v>
      </c>
      <c r="BV109" s="1157" t="e">
        <f t="shared" ca="1" si="159"/>
        <v>#VALUE!</v>
      </c>
      <c r="BW109" s="1157" t="e">
        <f t="shared" ca="1" si="159"/>
        <v>#VALUE!</v>
      </c>
      <c r="BX109" s="1157" t="e">
        <f t="shared" ca="1" si="159"/>
        <v>#VALUE!</v>
      </c>
      <c r="BY109" s="1157" t="e">
        <f t="shared" ca="1" si="159"/>
        <v>#VALUE!</v>
      </c>
      <c r="BZ109" s="1157" t="e">
        <f t="shared" ca="1" si="159"/>
        <v>#VALUE!</v>
      </c>
      <c r="CA109" s="1157" t="e">
        <f t="shared" ca="1" si="159"/>
        <v>#VALUE!</v>
      </c>
      <c r="CB109" s="1157" t="e">
        <f t="shared" ca="1" si="159"/>
        <v>#VALUE!</v>
      </c>
      <c r="CC109" s="1157" t="e">
        <f t="shared" ca="1" si="159"/>
        <v>#VALUE!</v>
      </c>
      <c r="CD109" s="1157" t="e">
        <f t="shared" ca="1" si="159"/>
        <v>#VALUE!</v>
      </c>
      <c r="CE109" s="1157" t="e">
        <f t="shared" ca="1" si="159"/>
        <v>#VALUE!</v>
      </c>
      <c r="CF109" s="1157" t="e">
        <f t="shared" ca="1" si="159"/>
        <v>#VALUE!</v>
      </c>
      <c r="CG109" s="1157" t="e">
        <f t="shared" ca="1" si="159"/>
        <v>#VALUE!</v>
      </c>
      <c r="CH109" s="1157" t="e">
        <f t="shared" ca="1" si="159"/>
        <v>#VALUE!</v>
      </c>
      <c r="CI109" s="1157" t="e">
        <f t="shared" ref="CI109:DR109" ca="1" si="160">1000000*IF(CI$105&lt;=(Åpningsår+ProsjektetsLevetid-1),IF(CI105&lt;=AndreBeregningsår,IF(SIGN($F109)=SIGN($G109),$F109*$I109^(CI105-FørsteBeregningsår),($F109+1.1*ABS($F109-$G109))*$I109^(CI105-FørsteBeregningsår)-1.1*ABS($F109-$G109)),IF(CI105&lt;=TredjeBeregningsår,IF(SIGN($G109)=SIGN($H109),$G109*$J109^(CI105-AndreBeregningsår),($G109+1.1*ABS($G109-$H109))*$J109^(CI105-AndreBeregningsår)-1.1*ABS($G109-$H109)),OFFSET($F109,0,Antall_Beregningsår-1)*LOOKUP(CI105,SerieÅR,SerieVolumvekstperson)+$K109*(CI105-IF(Antall_Beregningsår&gt;2,TredjeBeregningsår,AndreBeregningsår)))),"")</f>
        <v>#VALUE!</v>
      </c>
      <c r="CJ109" s="1157" t="e">
        <f t="shared" ca="1" si="160"/>
        <v>#VALUE!</v>
      </c>
      <c r="CK109" s="1157" t="e">
        <f t="shared" ca="1" si="160"/>
        <v>#VALUE!</v>
      </c>
      <c r="CL109" s="1157" t="e">
        <f t="shared" ca="1" si="160"/>
        <v>#VALUE!</v>
      </c>
      <c r="CM109" s="1157" t="e">
        <f t="shared" ca="1" si="160"/>
        <v>#VALUE!</v>
      </c>
      <c r="CN109" s="1157" t="e">
        <f t="shared" ca="1" si="160"/>
        <v>#VALUE!</v>
      </c>
      <c r="CO109" s="1157" t="e">
        <f t="shared" ca="1" si="160"/>
        <v>#VALUE!</v>
      </c>
      <c r="CP109" s="1157" t="e">
        <f t="shared" ca="1" si="160"/>
        <v>#VALUE!</v>
      </c>
      <c r="CQ109" s="1157" t="e">
        <f t="shared" ca="1" si="160"/>
        <v>#VALUE!</v>
      </c>
      <c r="CR109" s="1157" t="e">
        <f t="shared" ca="1" si="160"/>
        <v>#VALUE!</v>
      </c>
      <c r="CS109" s="1157" t="e">
        <f t="shared" ca="1" si="160"/>
        <v>#VALUE!</v>
      </c>
      <c r="CT109" s="1157" t="e">
        <f t="shared" ca="1" si="160"/>
        <v>#VALUE!</v>
      </c>
      <c r="CU109" s="1157" t="e">
        <f t="shared" ca="1" si="160"/>
        <v>#VALUE!</v>
      </c>
      <c r="CV109" s="1157" t="e">
        <f t="shared" ca="1" si="160"/>
        <v>#VALUE!</v>
      </c>
      <c r="CW109" s="1157" t="e">
        <f t="shared" ca="1" si="160"/>
        <v>#VALUE!</v>
      </c>
      <c r="CX109" s="1157" t="e">
        <f t="shared" ca="1" si="160"/>
        <v>#VALUE!</v>
      </c>
      <c r="CY109" s="1157" t="e">
        <f t="shared" ca="1" si="160"/>
        <v>#VALUE!</v>
      </c>
      <c r="CZ109" s="1157" t="e">
        <f t="shared" ca="1" si="160"/>
        <v>#VALUE!</v>
      </c>
      <c r="DA109" s="1157" t="e">
        <f t="shared" ca="1" si="160"/>
        <v>#VALUE!</v>
      </c>
      <c r="DB109" s="1157" t="e">
        <f t="shared" ca="1" si="160"/>
        <v>#VALUE!</v>
      </c>
      <c r="DC109" s="1157" t="e">
        <f t="shared" ca="1" si="160"/>
        <v>#VALUE!</v>
      </c>
      <c r="DD109" s="1157" t="e">
        <f t="shared" ca="1" si="160"/>
        <v>#VALUE!</v>
      </c>
      <c r="DE109" s="1157" t="e">
        <f t="shared" ca="1" si="160"/>
        <v>#VALUE!</v>
      </c>
      <c r="DF109" s="1157" t="e">
        <f t="shared" ca="1" si="160"/>
        <v>#VALUE!</v>
      </c>
      <c r="DG109" s="1157" t="e">
        <f t="shared" ca="1" si="160"/>
        <v>#VALUE!</v>
      </c>
      <c r="DH109" s="1157" t="e">
        <f t="shared" ca="1" si="160"/>
        <v>#VALUE!</v>
      </c>
      <c r="DI109" s="1157" t="e">
        <f t="shared" ca="1" si="160"/>
        <v>#VALUE!</v>
      </c>
      <c r="DJ109" s="1157" t="e">
        <f t="shared" ca="1" si="160"/>
        <v>#VALUE!</v>
      </c>
      <c r="DK109" s="1157" t="e">
        <f t="shared" ca="1" si="160"/>
        <v>#VALUE!</v>
      </c>
      <c r="DL109" s="1157" t="e">
        <f t="shared" ca="1" si="160"/>
        <v>#VALUE!</v>
      </c>
      <c r="DM109" s="1157" t="e">
        <f t="shared" ca="1" si="160"/>
        <v>#VALUE!</v>
      </c>
      <c r="DN109" s="1157" t="e">
        <f t="shared" ca="1" si="160"/>
        <v>#VALUE!</v>
      </c>
      <c r="DO109" s="1157" t="e">
        <f t="shared" ca="1" si="160"/>
        <v>#VALUE!</v>
      </c>
      <c r="DP109" s="1157" t="e">
        <f t="shared" ca="1" si="160"/>
        <v>#VALUE!</v>
      </c>
      <c r="DQ109" s="1157" t="e">
        <f t="shared" ca="1" si="160"/>
        <v>#VALUE!</v>
      </c>
      <c r="DR109" s="1170" t="e">
        <f t="shared" ca="1" si="160"/>
        <v>#VALUE!</v>
      </c>
    </row>
    <row r="110" spans="1:122" x14ac:dyDescent="0.35">
      <c r="A110" s="685"/>
      <c r="B110" s="446" t="str">
        <f>"Kjøretøykm - "&amp;'3.1 Nyttestrøm'!C79</f>
        <v>Kjøretøykm - Buss</v>
      </c>
      <c r="C110" s="1175">
        <f>('2.4 Samfunnet for øvrig'!C63)</f>
        <v>0</v>
      </c>
      <c r="D110" s="1175">
        <f>('2.4 Samfunnet for øvrig'!D63)</f>
        <v>0</v>
      </c>
      <c r="E110" s="1175">
        <f>('2.4 Samfunnet for øvrig'!E63)</f>
        <v>0</v>
      </c>
      <c r="F110" s="1156">
        <f>Kjøretøykm_Buss_År1/1000000</f>
        <v>0</v>
      </c>
      <c r="G110" s="1156">
        <f>Kjøretøykm_Buss_År2/1000000</f>
        <v>0</v>
      </c>
      <c r="H110" s="1156">
        <f>Kjøretøykm_Buss_År3/1000000</f>
        <v>0</v>
      </c>
      <c r="I110" s="1157">
        <f t="shared" si="149"/>
        <v>1</v>
      </c>
      <c r="J110" s="1176">
        <f t="shared" si="157"/>
        <v>1</v>
      </c>
      <c r="K110" s="1157">
        <f t="shared" si="150"/>
        <v>0</v>
      </c>
      <c r="L110" s="1157"/>
      <c r="M110" s="1157"/>
      <c r="N110" s="1157"/>
      <c r="O110" s="1157"/>
      <c r="P110" s="1157"/>
      <c r="Q110" s="1157"/>
      <c r="R110" s="1157"/>
      <c r="S110" s="1157"/>
      <c r="T110" s="1157"/>
      <c r="U110" s="1157"/>
      <c r="V110" s="1157"/>
      <c r="W110" s="1157" t="e">
        <f t="shared" ref="W110:BB110" ca="1" si="161">1000000*IF(W$105&lt;=(Åpningsår+ProsjektetsLevetid-1),IF(W105&lt;=AndreBeregningsår,IF(SIGN($F110)=SIGN($G110),$F110*$I110^(W105-FørsteBeregningsår),($F110+1.1*ABS($F110-$G110))*$I110^(W105-FørsteBeregningsår)-1.1*ABS($F110-$G110)),IF(W105&lt;=TredjeBeregningsår,IF(SIGN($G110)=SIGN($H110),$G110*$J110^(W105-AndreBeregningsår),($G110+1.1*ABS($G110-$H110))*$J110^(W105-AndreBeregningsår)-1.1*ABS($G110-$H110)),OFFSET($F110,0,Antall_Beregningsår-1)*LOOKUP(W105,SerieÅR,SerieVolumvekstperson)+$K110*(W105-IF(Antall_Beregningsår&gt;2,TredjeBeregningsår,AndreBeregningsår)))),"")</f>
        <v>#VALUE!</v>
      </c>
      <c r="X110" s="1157" t="e">
        <f t="shared" ca="1" si="161"/>
        <v>#VALUE!</v>
      </c>
      <c r="Y110" s="1157" t="e">
        <f t="shared" ca="1" si="161"/>
        <v>#VALUE!</v>
      </c>
      <c r="Z110" s="1157" t="e">
        <f t="shared" ca="1" si="161"/>
        <v>#VALUE!</v>
      </c>
      <c r="AA110" s="1157" t="e">
        <f t="shared" ca="1" si="161"/>
        <v>#VALUE!</v>
      </c>
      <c r="AB110" s="1157" t="e">
        <f t="shared" ca="1" si="161"/>
        <v>#VALUE!</v>
      </c>
      <c r="AC110" s="1157" t="e">
        <f t="shared" ca="1" si="161"/>
        <v>#VALUE!</v>
      </c>
      <c r="AD110" s="1157" t="e">
        <f t="shared" ca="1" si="161"/>
        <v>#VALUE!</v>
      </c>
      <c r="AE110" s="1157" t="e">
        <f t="shared" ca="1" si="161"/>
        <v>#VALUE!</v>
      </c>
      <c r="AF110" s="1157" t="e">
        <f t="shared" ca="1" si="161"/>
        <v>#VALUE!</v>
      </c>
      <c r="AG110" s="1157" t="e">
        <f t="shared" ca="1" si="161"/>
        <v>#VALUE!</v>
      </c>
      <c r="AH110" s="1157" t="e">
        <f t="shared" ca="1" si="161"/>
        <v>#VALUE!</v>
      </c>
      <c r="AI110" s="1157" t="e">
        <f t="shared" ca="1" si="161"/>
        <v>#VALUE!</v>
      </c>
      <c r="AJ110" s="1157" t="e">
        <f t="shared" ca="1" si="161"/>
        <v>#VALUE!</v>
      </c>
      <c r="AK110" s="1157" t="e">
        <f t="shared" ca="1" si="161"/>
        <v>#VALUE!</v>
      </c>
      <c r="AL110" s="1157" t="e">
        <f t="shared" ca="1" si="161"/>
        <v>#VALUE!</v>
      </c>
      <c r="AM110" s="1157" t="e">
        <f t="shared" ca="1" si="161"/>
        <v>#VALUE!</v>
      </c>
      <c r="AN110" s="1157" t="e">
        <f t="shared" ca="1" si="161"/>
        <v>#VALUE!</v>
      </c>
      <c r="AO110" s="1157" t="e">
        <f t="shared" ca="1" si="161"/>
        <v>#VALUE!</v>
      </c>
      <c r="AP110" s="1157" t="e">
        <f t="shared" ca="1" si="161"/>
        <v>#VALUE!</v>
      </c>
      <c r="AQ110" s="1157" t="e">
        <f t="shared" ca="1" si="161"/>
        <v>#VALUE!</v>
      </c>
      <c r="AR110" s="1157" t="e">
        <f t="shared" ca="1" si="161"/>
        <v>#VALUE!</v>
      </c>
      <c r="AS110" s="1157" t="e">
        <f t="shared" ca="1" si="161"/>
        <v>#VALUE!</v>
      </c>
      <c r="AT110" s="1157" t="e">
        <f t="shared" ca="1" si="161"/>
        <v>#VALUE!</v>
      </c>
      <c r="AU110" s="1157" t="e">
        <f t="shared" ca="1" si="161"/>
        <v>#VALUE!</v>
      </c>
      <c r="AV110" s="1157" t="e">
        <f t="shared" ca="1" si="161"/>
        <v>#VALUE!</v>
      </c>
      <c r="AW110" s="1157" t="e">
        <f t="shared" ca="1" si="161"/>
        <v>#VALUE!</v>
      </c>
      <c r="AX110" s="1157" t="e">
        <f t="shared" ca="1" si="161"/>
        <v>#VALUE!</v>
      </c>
      <c r="AY110" s="1157" t="e">
        <f t="shared" ca="1" si="161"/>
        <v>#VALUE!</v>
      </c>
      <c r="AZ110" s="1157" t="e">
        <f t="shared" ca="1" si="161"/>
        <v>#VALUE!</v>
      </c>
      <c r="BA110" s="1157" t="e">
        <f t="shared" ca="1" si="161"/>
        <v>#VALUE!</v>
      </c>
      <c r="BB110" s="1157" t="e">
        <f t="shared" ca="1" si="161"/>
        <v>#VALUE!</v>
      </c>
      <c r="BC110" s="1157" t="e">
        <f t="shared" ref="BC110:CH110" ca="1" si="162">1000000*IF(BC$105&lt;=(Åpningsår+ProsjektetsLevetid-1),IF(BC105&lt;=AndreBeregningsår,IF(SIGN($F110)=SIGN($G110),$F110*$I110^(BC105-FørsteBeregningsår),($F110+1.1*ABS($F110-$G110))*$I110^(BC105-FørsteBeregningsår)-1.1*ABS($F110-$G110)),IF(BC105&lt;=TredjeBeregningsår,IF(SIGN($G110)=SIGN($H110),$G110*$J110^(BC105-AndreBeregningsår),($G110+1.1*ABS($G110-$H110))*$J110^(BC105-AndreBeregningsår)-1.1*ABS($G110-$H110)),OFFSET($F110,0,Antall_Beregningsår-1)*LOOKUP(BC105,SerieÅR,SerieVolumvekstperson)+$K110*(BC105-IF(Antall_Beregningsår&gt;2,TredjeBeregningsår,AndreBeregningsår)))),"")</f>
        <v>#VALUE!</v>
      </c>
      <c r="BD110" s="1157" t="e">
        <f t="shared" ca="1" si="162"/>
        <v>#VALUE!</v>
      </c>
      <c r="BE110" s="1157" t="e">
        <f t="shared" ca="1" si="162"/>
        <v>#VALUE!</v>
      </c>
      <c r="BF110" s="1157" t="e">
        <f t="shared" ca="1" si="162"/>
        <v>#VALUE!</v>
      </c>
      <c r="BG110" s="1157" t="e">
        <f t="shared" ca="1" si="162"/>
        <v>#VALUE!</v>
      </c>
      <c r="BH110" s="1157" t="e">
        <f t="shared" ca="1" si="162"/>
        <v>#VALUE!</v>
      </c>
      <c r="BI110" s="1157" t="e">
        <f t="shared" ca="1" si="162"/>
        <v>#VALUE!</v>
      </c>
      <c r="BJ110" s="1157" t="e">
        <f t="shared" ca="1" si="162"/>
        <v>#VALUE!</v>
      </c>
      <c r="BK110" s="1157" t="e">
        <f t="shared" ca="1" si="162"/>
        <v>#VALUE!</v>
      </c>
      <c r="BL110" s="1157" t="e">
        <f t="shared" ca="1" si="162"/>
        <v>#VALUE!</v>
      </c>
      <c r="BM110" s="1157" t="e">
        <f t="shared" ca="1" si="162"/>
        <v>#VALUE!</v>
      </c>
      <c r="BN110" s="1157" t="e">
        <f t="shared" ca="1" si="162"/>
        <v>#VALUE!</v>
      </c>
      <c r="BO110" s="1157" t="e">
        <f t="shared" ca="1" si="162"/>
        <v>#VALUE!</v>
      </c>
      <c r="BP110" s="1157" t="e">
        <f t="shared" ca="1" si="162"/>
        <v>#VALUE!</v>
      </c>
      <c r="BQ110" s="1157" t="e">
        <f t="shared" ca="1" si="162"/>
        <v>#VALUE!</v>
      </c>
      <c r="BR110" s="1157" t="e">
        <f t="shared" ca="1" si="162"/>
        <v>#VALUE!</v>
      </c>
      <c r="BS110" s="1157" t="e">
        <f t="shared" ca="1" si="162"/>
        <v>#VALUE!</v>
      </c>
      <c r="BT110" s="1157" t="e">
        <f t="shared" ca="1" si="162"/>
        <v>#VALUE!</v>
      </c>
      <c r="BU110" s="1157" t="e">
        <f t="shared" ca="1" si="162"/>
        <v>#VALUE!</v>
      </c>
      <c r="BV110" s="1157" t="e">
        <f t="shared" ca="1" si="162"/>
        <v>#VALUE!</v>
      </c>
      <c r="BW110" s="1157" t="e">
        <f t="shared" ca="1" si="162"/>
        <v>#VALUE!</v>
      </c>
      <c r="BX110" s="1157" t="e">
        <f t="shared" ca="1" si="162"/>
        <v>#VALUE!</v>
      </c>
      <c r="BY110" s="1157" t="e">
        <f t="shared" ca="1" si="162"/>
        <v>#VALUE!</v>
      </c>
      <c r="BZ110" s="1157" t="e">
        <f t="shared" ca="1" si="162"/>
        <v>#VALUE!</v>
      </c>
      <c r="CA110" s="1157" t="e">
        <f t="shared" ca="1" si="162"/>
        <v>#VALUE!</v>
      </c>
      <c r="CB110" s="1157" t="e">
        <f t="shared" ca="1" si="162"/>
        <v>#VALUE!</v>
      </c>
      <c r="CC110" s="1157" t="e">
        <f t="shared" ca="1" si="162"/>
        <v>#VALUE!</v>
      </c>
      <c r="CD110" s="1157" t="e">
        <f t="shared" ca="1" si="162"/>
        <v>#VALUE!</v>
      </c>
      <c r="CE110" s="1157" t="e">
        <f t="shared" ca="1" si="162"/>
        <v>#VALUE!</v>
      </c>
      <c r="CF110" s="1157" t="e">
        <f t="shared" ca="1" si="162"/>
        <v>#VALUE!</v>
      </c>
      <c r="CG110" s="1157" t="e">
        <f t="shared" ca="1" si="162"/>
        <v>#VALUE!</v>
      </c>
      <c r="CH110" s="1157" t="e">
        <f t="shared" ca="1" si="162"/>
        <v>#VALUE!</v>
      </c>
      <c r="CI110" s="1157" t="e">
        <f t="shared" ref="CI110:DR110" ca="1" si="163">1000000*IF(CI$105&lt;=(Åpningsår+ProsjektetsLevetid-1),IF(CI105&lt;=AndreBeregningsår,IF(SIGN($F110)=SIGN($G110),$F110*$I110^(CI105-FørsteBeregningsår),($F110+1.1*ABS($F110-$G110))*$I110^(CI105-FørsteBeregningsår)-1.1*ABS($F110-$G110)),IF(CI105&lt;=TredjeBeregningsår,IF(SIGN($G110)=SIGN($H110),$G110*$J110^(CI105-AndreBeregningsår),($G110+1.1*ABS($G110-$H110))*$J110^(CI105-AndreBeregningsår)-1.1*ABS($G110-$H110)),OFFSET($F110,0,Antall_Beregningsår-1)*LOOKUP(CI105,SerieÅR,SerieVolumvekstperson)+$K110*(CI105-IF(Antall_Beregningsår&gt;2,TredjeBeregningsår,AndreBeregningsår)))),"")</f>
        <v>#VALUE!</v>
      </c>
      <c r="CJ110" s="1157" t="e">
        <f t="shared" ca="1" si="163"/>
        <v>#VALUE!</v>
      </c>
      <c r="CK110" s="1157" t="e">
        <f t="shared" ca="1" si="163"/>
        <v>#VALUE!</v>
      </c>
      <c r="CL110" s="1157" t="e">
        <f t="shared" ca="1" si="163"/>
        <v>#VALUE!</v>
      </c>
      <c r="CM110" s="1157" t="e">
        <f t="shared" ca="1" si="163"/>
        <v>#VALUE!</v>
      </c>
      <c r="CN110" s="1157" t="e">
        <f t="shared" ca="1" si="163"/>
        <v>#VALUE!</v>
      </c>
      <c r="CO110" s="1157" t="e">
        <f t="shared" ca="1" si="163"/>
        <v>#VALUE!</v>
      </c>
      <c r="CP110" s="1157" t="e">
        <f t="shared" ca="1" si="163"/>
        <v>#VALUE!</v>
      </c>
      <c r="CQ110" s="1157" t="e">
        <f t="shared" ca="1" si="163"/>
        <v>#VALUE!</v>
      </c>
      <c r="CR110" s="1157" t="e">
        <f t="shared" ca="1" si="163"/>
        <v>#VALUE!</v>
      </c>
      <c r="CS110" s="1157" t="e">
        <f t="shared" ca="1" si="163"/>
        <v>#VALUE!</v>
      </c>
      <c r="CT110" s="1157" t="e">
        <f t="shared" ca="1" si="163"/>
        <v>#VALUE!</v>
      </c>
      <c r="CU110" s="1157" t="e">
        <f t="shared" ca="1" si="163"/>
        <v>#VALUE!</v>
      </c>
      <c r="CV110" s="1157" t="e">
        <f t="shared" ca="1" si="163"/>
        <v>#VALUE!</v>
      </c>
      <c r="CW110" s="1157" t="e">
        <f t="shared" ca="1" si="163"/>
        <v>#VALUE!</v>
      </c>
      <c r="CX110" s="1157" t="e">
        <f t="shared" ca="1" si="163"/>
        <v>#VALUE!</v>
      </c>
      <c r="CY110" s="1157" t="e">
        <f t="shared" ca="1" si="163"/>
        <v>#VALUE!</v>
      </c>
      <c r="CZ110" s="1157" t="e">
        <f t="shared" ca="1" si="163"/>
        <v>#VALUE!</v>
      </c>
      <c r="DA110" s="1157" t="e">
        <f t="shared" ca="1" si="163"/>
        <v>#VALUE!</v>
      </c>
      <c r="DB110" s="1157" t="e">
        <f t="shared" ca="1" si="163"/>
        <v>#VALUE!</v>
      </c>
      <c r="DC110" s="1157" t="e">
        <f t="shared" ca="1" si="163"/>
        <v>#VALUE!</v>
      </c>
      <c r="DD110" s="1157" t="e">
        <f t="shared" ca="1" si="163"/>
        <v>#VALUE!</v>
      </c>
      <c r="DE110" s="1157" t="e">
        <f t="shared" ca="1" si="163"/>
        <v>#VALUE!</v>
      </c>
      <c r="DF110" s="1157" t="e">
        <f t="shared" ca="1" si="163"/>
        <v>#VALUE!</v>
      </c>
      <c r="DG110" s="1157" t="e">
        <f t="shared" ca="1" si="163"/>
        <v>#VALUE!</v>
      </c>
      <c r="DH110" s="1157" t="e">
        <f t="shared" ca="1" si="163"/>
        <v>#VALUE!</v>
      </c>
      <c r="DI110" s="1157" t="e">
        <f t="shared" ca="1" si="163"/>
        <v>#VALUE!</v>
      </c>
      <c r="DJ110" s="1157" t="e">
        <f t="shared" ca="1" si="163"/>
        <v>#VALUE!</v>
      </c>
      <c r="DK110" s="1157" t="e">
        <f t="shared" ca="1" si="163"/>
        <v>#VALUE!</v>
      </c>
      <c r="DL110" s="1157" t="e">
        <f t="shared" ca="1" si="163"/>
        <v>#VALUE!</v>
      </c>
      <c r="DM110" s="1157" t="e">
        <f t="shared" ca="1" si="163"/>
        <v>#VALUE!</v>
      </c>
      <c r="DN110" s="1157" t="e">
        <f t="shared" ca="1" si="163"/>
        <v>#VALUE!</v>
      </c>
      <c r="DO110" s="1157" t="e">
        <f t="shared" ca="1" si="163"/>
        <v>#VALUE!</v>
      </c>
      <c r="DP110" s="1157" t="e">
        <f t="shared" ca="1" si="163"/>
        <v>#VALUE!</v>
      </c>
      <c r="DQ110" s="1157" t="e">
        <f t="shared" ca="1" si="163"/>
        <v>#VALUE!</v>
      </c>
      <c r="DR110" s="1170" t="e">
        <f t="shared" ca="1" si="163"/>
        <v>#VALUE!</v>
      </c>
    </row>
    <row r="111" spans="1:122" x14ac:dyDescent="0.35">
      <c r="A111" s="685"/>
      <c r="B111" s="446" t="str">
        <f>"Kjøretøykm - "&amp;'3.1 Nyttestrøm'!C80</f>
        <v>Kjøretøykm - Passasjerfly</v>
      </c>
      <c r="C111" s="1175">
        <f>('2.4 Samfunnet for øvrig'!C64)</f>
        <v>0</v>
      </c>
      <c r="D111" s="1175">
        <f>('2.4 Samfunnet for øvrig'!D64)</f>
        <v>0</v>
      </c>
      <c r="E111" s="1175">
        <f>('2.4 Samfunnet for øvrig'!E64)</f>
        <v>0</v>
      </c>
      <c r="F111" s="1156">
        <f>Flykm_År1/1000000</f>
        <v>0</v>
      </c>
      <c r="G111" s="1156">
        <f>Flykm_År2/1000000</f>
        <v>0</v>
      </c>
      <c r="H111" s="1156">
        <f>Flykm_År3/1000000</f>
        <v>0</v>
      </c>
      <c r="I111" s="1157">
        <f t="shared" si="149"/>
        <v>1</v>
      </c>
      <c r="J111" s="1176">
        <f t="shared" si="157"/>
        <v>1</v>
      </c>
      <c r="K111" s="1157">
        <f t="shared" si="150"/>
        <v>0</v>
      </c>
      <c r="L111" s="1157"/>
      <c r="M111" s="1157"/>
      <c r="N111" s="1157"/>
      <c r="O111" s="1157"/>
      <c r="P111" s="1157"/>
      <c r="Q111" s="1157"/>
      <c r="R111" s="1157"/>
      <c r="S111" s="1157"/>
      <c r="T111" s="1157"/>
      <c r="U111" s="1157"/>
      <c r="V111" s="1157"/>
      <c r="W111" s="1157" t="e">
        <f t="shared" ref="W111:BB111" ca="1" si="164">1000000*IF(W$105&lt;=(Åpningsår+ProsjektetsLevetid-1),IF(W105&lt;=AndreBeregningsår,IF(SIGN($F111)=SIGN($G111),$F111*$I111^(W105-FørsteBeregningsår),($F111+1.1*ABS($F111-$G111))*$I111^(W105-FørsteBeregningsår)-1.1*ABS($F111-$G111)),IF(W105&lt;=TredjeBeregningsår,IF(SIGN($G111)=SIGN($H111),$G111*$J111^(W105-AndreBeregningsår),($G111+1.1*ABS($G111-$H111))*$J111^(W105-AndreBeregningsår)-1.1*ABS($G111-$H111)),OFFSET($F111,0,Antall_Beregningsår-1)*LOOKUP(W105,SerieÅR,SerieVolumvekstperson)+$K111*(W105-IF(Antall_Beregningsår&gt;2,TredjeBeregningsår,AndreBeregningsår)))),"")</f>
        <v>#VALUE!</v>
      </c>
      <c r="X111" s="1157" t="e">
        <f t="shared" ca="1" si="164"/>
        <v>#VALUE!</v>
      </c>
      <c r="Y111" s="1157" t="e">
        <f t="shared" ca="1" si="164"/>
        <v>#VALUE!</v>
      </c>
      <c r="Z111" s="1157" t="e">
        <f t="shared" ca="1" si="164"/>
        <v>#VALUE!</v>
      </c>
      <c r="AA111" s="1157" t="e">
        <f t="shared" ca="1" si="164"/>
        <v>#VALUE!</v>
      </c>
      <c r="AB111" s="1157" t="e">
        <f t="shared" ca="1" si="164"/>
        <v>#VALUE!</v>
      </c>
      <c r="AC111" s="1157" t="e">
        <f t="shared" ca="1" si="164"/>
        <v>#VALUE!</v>
      </c>
      <c r="AD111" s="1157" t="e">
        <f t="shared" ca="1" si="164"/>
        <v>#VALUE!</v>
      </c>
      <c r="AE111" s="1157" t="e">
        <f t="shared" ca="1" si="164"/>
        <v>#VALUE!</v>
      </c>
      <c r="AF111" s="1157" t="e">
        <f t="shared" ca="1" si="164"/>
        <v>#VALUE!</v>
      </c>
      <c r="AG111" s="1157" t="e">
        <f t="shared" ca="1" si="164"/>
        <v>#VALUE!</v>
      </c>
      <c r="AH111" s="1157" t="e">
        <f t="shared" ca="1" si="164"/>
        <v>#VALUE!</v>
      </c>
      <c r="AI111" s="1157" t="e">
        <f t="shared" ca="1" si="164"/>
        <v>#VALUE!</v>
      </c>
      <c r="AJ111" s="1157" t="e">
        <f t="shared" ca="1" si="164"/>
        <v>#VALUE!</v>
      </c>
      <c r="AK111" s="1157" t="e">
        <f t="shared" ca="1" si="164"/>
        <v>#VALUE!</v>
      </c>
      <c r="AL111" s="1157" t="e">
        <f t="shared" ca="1" si="164"/>
        <v>#VALUE!</v>
      </c>
      <c r="AM111" s="1157" t="e">
        <f t="shared" ca="1" si="164"/>
        <v>#VALUE!</v>
      </c>
      <c r="AN111" s="1157" t="e">
        <f t="shared" ca="1" si="164"/>
        <v>#VALUE!</v>
      </c>
      <c r="AO111" s="1157" t="e">
        <f t="shared" ca="1" si="164"/>
        <v>#VALUE!</v>
      </c>
      <c r="AP111" s="1157" t="e">
        <f t="shared" ca="1" si="164"/>
        <v>#VALUE!</v>
      </c>
      <c r="AQ111" s="1157" t="e">
        <f t="shared" ca="1" si="164"/>
        <v>#VALUE!</v>
      </c>
      <c r="AR111" s="1157" t="e">
        <f t="shared" ca="1" si="164"/>
        <v>#VALUE!</v>
      </c>
      <c r="AS111" s="1157" t="e">
        <f t="shared" ca="1" si="164"/>
        <v>#VALUE!</v>
      </c>
      <c r="AT111" s="1157" t="e">
        <f t="shared" ca="1" si="164"/>
        <v>#VALUE!</v>
      </c>
      <c r="AU111" s="1157" t="e">
        <f t="shared" ca="1" si="164"/>
        <v>#VALUE!</v>
      </c>
      <c r="AV111" s="1157" t="e">
        <f t="shared" ca="1" si="164"/>
        <v>#VALUE!</v>
      </c>
      <c r="AW111" s="1157" t="e">
        <f t="shared" ca="1" si="164"/>
        <v>#VALUE!</v>
      </c>
      <c r="AX111" s="1157" t="e">
        <f t="shared" ca="1" si="164"/>
        <v>#VALUE!</v>
      </c>
      <c r="AY111" s="1157" t="e">
        <f t="shared" ca="1" si="164"/>
        <v>#VALUE!</v>
      </c>
      <c r="AZ111" s="1157" t="e">
        <f t="shared" ca="1" si="164"/>
        <v>#VALUE!</v>
      </c>
      <c r="BA111" s="1157" t="e">
        <f t="shared" ca="1" si="164"/>
        <v>#VALUE!</v>
      </c>
      <c r="BB111" s="1157" t="e">
        <f t="shared" ca="1" si="164"/>
        <v>#VALUE!</v>
      </c>
      <c r="BC111" s="1157" t="e">
        <f t="shared" ref="BC111:CH111" ca="1" si="165">1000000*IF(BC$105&lt;=(Åpningsår+ProsjektetsLevetid-1),IF(BC105&lt;=AndreBeregningsår,IF(SIGN($F111)=SIGN($G111),$F111*$I111^(BC105-FørsteBeregningsår),($F111+1.1*ABS($F111-$G111))*$I111^(BC105-FørsteBeregningsår)-1.1*ABS($F111-$G111)),IF(BC105&lt;=TredjeBeregningsår,IF(SIGN($G111)=SIGN($H111),$G111*$J111^(BC105-AndreBeregningsår),($G111+1.1*ABS($G111-$H111))*$J111^(BC105-AndreBeregningsår)-1.1*ABS($G111-$H111)),OFFSET($F111,0,Antall_Beregningsår-1)*LOOKUP(BC105,SerieÅR,SerieVolumvekstperson)+$K111*(BC105-IF(Antall_Beregningsår&gt;2,TredjeBeregningsår,AndreBeregningsår)))),"")</f>
        <v>#VALUE!</v>
      </c>
      <c r="BD111" s="1157" t="e">
        <f t="shared" ca="1" si="165"/>
        <v>#VALUE!</v>
      </c>
      <c r="BE111" s="1157" t="e">
        <f t="shared" ca="1" si="165"/>
        <v>#VALUE!</v>
      </c>
      <c r="BF111" s="1157" t="e">
        <f t="shared" ca="1" si="165"/>
        <v>#VALUE!</v>
      </c>
      <c r="BG111" s="1157" t="e">
        <f t="shared" ca="1" si="165"/>
        <v>#VALUE!</v>
      </c>
      <c r="BH111" s="1157" t="e">
        <f t="shared" ca="1" si="165"/>
        <v>#VALUE!</v>
      </c>
      <c r="BI111" s="1157" t="e">
        <f t="shared" ca="1" si="165"/>
        <v>#VALUE!</v>
      </c>
      <c r="BJ111" s="1157" t="e">
        <f t="shared" ca="1" si="165"/>
        <v>#VALUE!</v>
      </c>
      <c r="BK111" s="1157" t="e">
        <f t="shared" ca="1" si="165"/>
        <v>#VALUE!</v>
      </c>
      <c r="BL111" s="1157" t="e">
        <f t="shared" ca="1" si="165"/>
        <v>#VALUE!</v>
      </c>
      <c r="BM111" s="1157" t="e">
        <f t="shared" ca="1" si="165"/>
        <v>#VALUE!</v>
      </c>
      <c r="BN111" s="1157" t="e">
        <f t="shared" ca="1" si="165"/>
        <v>#VALUE!</v>
      </c>
      <c r="BO111" s="1157" t="e">
        <f t="shared" ca="1" si="165"/>
        <v>#VALUE!</v>
      </c>
      <c r="BP111" s="1157" t="e">
        <f t="shared" ca="1" si="165"/>
        <v>#VALUE!</v>
      </c>
      <c r="BQ111" s="1157" t="e">
        <f t="shared" ca="1" si="165"/>
        <v>#VALUE!</v>
      </c>
      <c r="BR111" s="1157" t="e">
        <f t="shared" ca="1" si="165"/>
        <v>#VALUE!</v>
      </c>
      <c r="BS111" s="1157" t="e">
        <f t="shared" ca="1" si="165"/>
        <v>#VALUE!</v>
      </c>
      <c r="BT111" s="1157" t="e">
        <f t="shared" ca="1" si="165"/>
        <v>#VALUE!</v>
      </c>
      <c r="BU111" s="1157" t="e">
        <f t="shared" ca="1" si="165"/>
        <v>#VALUE!</v>
      </c>
      <c r="BV111" s="1157" t="e">
        <f t="shared" ca="1" si="165"/>
        <v>#VALUE!</v>
      </c>
      <c r="BW111" s="1157" t="e">
        <f t="shared" ca="1" si="165"/>
        <v>#VALUE!</v>
      </c>
      <c r="BX111" s="1157" t="e">
        <f t="shared" ca="1" si="165"/>
        <v>#VALUE!</v>
      </c>
      <c r="BY111" s="1157" t="e">
        <f t="shared" ca="1" si="165"/>
        <v>#VALUE!</v>
      </c>
      <c r="BZ111" s="1157" t="e">
        <f t="shared" ca="1" si="165"/>
        <v>#VALUE!</v>
      </c>
      <c r="CA111" s="1157" t="e">
        <f t="shared" ca="1" si="165"/>
        <v>#VALUE!</v>
      </c>
      <c r="CB111" s="1157" t="e">
        <f t="shared" ca="1" si="165"/>
        <v>#VALUE!</v>
      </c>
      <c r="CC111" s="1157" t="e">
        <f t="shared" ca="1" si="165"/>
        <v>#VALUE!</v>
      </c>
      <c r="CD111" s="1157" t="e">
        <f t="shared" ca="1" si="165"/>
        <v>#VALUE!</v>
      </c>
      <c r="CE111" s="1157" t="e">
        <f t="shared" ca="1" si="165"/>
        <v>#VALUE!</v>
      </c>
      <c r="CF111" s="1157" t="e">
        <f t="shared" ca="1" si="165"/>
        <v>#VALUE!</v>
      </c>
      <c r="CG111" s="1157" t="e">
        <f t="shared" ca="1" si="165"/>
        <v>#VALUE!</v>
      </c>
      <c r="CH111" s="1157" t="e">
        <f t="shared" ca="1" si="165"/>
        <v>#VALUE!</v>
      </c>
      <c r="CI111" s="1157" t="e">
        <f t="shared" ref="CI111:DR111" ca="1" si="166">1000000*IF(CI$105&lt;=(Åpningsår+ProsjektetsLevetid-1),IF(CI105&lt;=AndreBeregningsår,IF(SIGN($F111)=SIGN($G111),$F111*$I111^(CI105-FørsteBeregningsår),($F111+1.1*ABS($F111-$G111))*$I111^(CI105-FørsteBeregningsår)-1.1*ABS($F111-$G111)),IF(CI105&lt;=TredjeBeregningsår,IF(SIGN($G111)=SIGN($H111),$G111*$J111^(CI105-AndreBeregningsår),($G111+1.1*ABS($G111-$H111))*$J111^(CI105-AndreBeregningsår)-1.1*ABS($G111-$H111)),OFFSET($F111,0,Antall_Beregningsår-1)*LOOKUP(CI105,SerieÅR,SerieVolumvekstperson)+$K111*(CI105-IF(Antall_Beregningsår&gt;2,TredjeBeregningsår,AndreBeregningsår)))),"")</f>
        <v>#VALUE!</v>
      </c>
      <c r="CJ111" s="1157" t="e">
        <f t="shared" ca="1" si="166"/>
        <v>#VALUE!</v>
      </c>
      <c r="CK111" s="1157" t="e">
        <f t="shared" ca="1" si="166"/>
        <v>#VALUE!</v>
      </c>
      <c r="CL111" s="1157" t="e">
        <f t="shared" ca="1" si="166"/>
        <v>#VALUE!</v>
      </c>
      <c r="CM111" s="1157" t="e">
        <f t="shared" ca="1" si="166"/>
        <v>#VALUE!</v>
      </c>
      <c r="CN111" s="1157" t="e">
        <f t="shared" ca="1" si="166"/>
        <v>#VALUE!</v>
      </c>
      <c r="CO111" s="1157" t="e">
        <f t="shared" ca="1" si="166"/>
        <v>#VALUE!</v>
      </c>
      <c r="CP111" s="1157" t="e">
        <f t="shared" ca="1" si="166"/>
        <v>#VALUE!</v>
      </c>
      <c r="CQ111" s="1157" t="e">
        <f t="shared" ca="1" si="166"/>
        <v>#VALUE!</v>
      </c>
      <c r="CR111" s="1157" t="e">
        <f t="shared" ca="1" si="166"/>
        <v>#VALUE!</v>
      </c>
      <c r="CS111" s="1157" t="e">
        <f t="shared" ca="1" si="166"/>
        <v>#VALUE!</v>
      </c>
      <c r="CT111" s="1157" t="e">
        <f t="shared" ca="1" si="166"/>
        <v>#VALUE!</v>
      </c>
      <c r="CU111" s="1157" t="e">
        <f t="shared" ca="1" si="166"/>
        <v>#VALUE!</v>
      </c>
      <c r="CV111" s="1157" t="e">
        <f t="shared" ca="1" si="166"/>
        <v>#VALUE!</v>
      </c>
      <c r="CW111" s="1157" t="e">
        <f t="shared" ca="1" si="166"/>
        <v>#VALUE!</v>
      </c>
      <c r="CX111" s="1157" t="e">
        <f t="shared" ca="1" si="166"/>
        <v>#VALUE!</v>
      </c>
      <c r="CY111" s="1157" t="e">
        <f t="shared" ca="1" si="166"/>
        <v>#VALUE!</v>
      </c>
      <c r="CZ111" s="1157" t="e">
        <f t="shared" ca="1" si="166"/>
        <v>#VALUE!</v>
      </c>
      <c r="DA111" s="1157" t="e">
        <f t="shared" ca="1" si="166"/>
        <v>#VALUE!</v>
      </c>
      <c r="DB111" s="1157" t="e">
        <f t="shared" ca="1" si="166"/>
        <v>#VALUE!</v>
      </c>
      <c r="DC111" s="1157" t="e">
        <f t="shared" ca="1" si="166"/>
        <v>#VALUE!</v>
      </c>
      <c r="DD111" s="1157" t="e">
        <f t="shared" ca="1" si="166"/>
        <v>#VALUE!</v>
      </c>
      <c r="DE111" s="1157" t="e">
        <f t="shared" ca="1" si="166"/>
        <v>#VALUE!</v>
      </c>
      <c r="DF111" s="1157" t="e">
        <f t="shared" ca="1" si="166"/>
        <v>#VALUE!</v>
      </c>
      <c r="DG111" s="1157" t="e">
        <f t="shared" ca="1" si="166"/>
        <v>#VALUE!</v>
      </c>
      <c r="DH111" s="1157" t="e">
        <f t="shared" ca="1" si="166"/>
        <v>#VALUE!</v>
      </c>
      <c r="DI111" s="1157" t="e">
        <f t="shared" ca="1" si="166"/>
        <v>#VALUE!</v>
      </c>
      <c r="DJ111" s="1157" t="e">
        <f t="shared" ca="1" si="166"/>
        <v>#VALUE!</v>
      </c>
      <c r="DK111" s="1157" t="e">
        <f t="shared" ca="1" si="166"/>
        <v>#VALUE!</v>
      </c>
      <c r="DL111" s="1157" t="e">
        <f t="shared" ca="1" si="166"/>
        <v>#VALUE!</v>
      </c>
      <c r="DM111" s="1157" t="e">
        <f t="shared" ca="1" si="166"/>
        <v>#VALUE!</v>
      </c>
      <c r="DN111" s="1157" t="e">
        <f t="shared" ca="1" si="166"/>
        <v>#VALUE!</v>
      </c>
      <c r="DO111" s="1157" t="e">
        <f t="shared" ca="1" si="166"/>
        <v>#VALUE!</v>
      </c>
      <c r="DP111" s="1157" t="e">
        <f t="shared" ca="1" si="166"/>
        <v>#VALUE!</v>
      </c>
      <c r="DQ111" s="1157" t="e">
        <f t="shared" ca="1" si="166"/>
        <v>#VALUE!</v>
      </c>
      <c r="DR111" s="1170" t="e">
        <f t="shared" ca="1" si="166"/>
        <v>#VALUE!</v>
      </c>
    </row>
    <row r="112" spans="1:122" x14ac:dyDescent="0.35">
      <c r="A112" s="685"/>
      <c r="B112" s="446" t="str">
        <f>"Kjøretøykm - "&amp;'3.1 Nyttestrøm'!C81</f>
        <v>Kjøretøykm - Lastebil</v>
      </c>
      <c r="C112" s="1175">
        <f>('2.4 Samfunnet for øvrig'!C65)</f>
        <v>0</v>
      </c>
      <c r="D112" s="1175">
        <f>('2.4 Samfunnet for øvrig'!D65)</f>
        <v>0</v>
      </c>
      <c r="E112" s="1175">
        <f>('2.4 Samfunnet for øvrig'!E65)</f>
        <v>0</v>
      </c>
      <c r="F112" s="1156">
        <f>(KjøretøyMkm_Tunglastebil_År1+KjøretøyMkm_Modulvogntog_År1)</f>
        <v>0</v>
      </c>
      <c r="G112" s="1156">
        <f>(KjøretøyMkm_Tunglastebil_År2+KjøretøyMkm_Modulvogntog_År2)</f>
        <v>0</v>
      </c>
      <c r="H112" s="1156">
        <f>(KjøretøyMkm_Tunglastebil_År3+KjøretøyMkm_Modulvogntog_År3)</f>
        <v>0</v>
      </c>
      <c r="I112" s="1157">
        <f t="shared" si="149"/>
        <v>1</v>
      </c>
      <c r="J112" s="1176">
        <f t="shared" si="157"/>
        <v>1</v>
      </c>
      <c r="K112" s="1157">
        <f t="shared" si="150"/>
        <v>0</v>
      </c>
      <c r="L112" s="1157"/>
      <c r="M112" s="1157"/>
      <c r="N112" s="1157"/>
      <c r="O112" s="1157"/>
      <c r="P112" s="1157"/>
      <c r="Q112" s="1157"/>
      <c r="R112" s="1157"/>
      <c r="S112" s="1157"/>
      <c r="T112" s="1157"/>
      <c r="U112" s="1157"/>
      <c r="V112" s="1157"/>
      <c r="W112" s="1157" t="e">
        <f t="shared" ref="W112:BB112" ca="1" si="167">1000000*IF(W$105&lt;=(Åpningsår+ProsjektetsLevetid-1),IF(W105&lt;=AndreBeregningsår,IF(SIGN($F112)=SIGN($G112),$F112*$I112^(W105-FørsteBeregningsår),($F112+1.1*ABS($F112-$G112))*$I112^(W105-FørsteBeregningsår)-1.1*ABS($F112-$G112)),IF(W105&lt;=TredjeBeregningsår,IF(SIGN($G112)=SIGN($H112),$G112*$J112^(W105-AndreBeregningsår),($G112+1.1*ABS($G112-$H112))*$J112^(W105-AndreBeregningsår)-1.1*ABS($G112-$H112)),OFFSET($F112,0,Antall_Beregningsår-1)*LOOKUP(W105,SerieÅR,SerieVolumvekstperson)+$K112*(W105-IF(Antall_Beregningsår&gt;2,TredjeBeregningsår,AndreBeregningsår)))),"")</f>
        <v>#VALUE!</v>
      </c>
      <c r="X112" s="1157" t="e">
        <f t="shared" ca="1" si="167"/>
        <v>#VALUE!</v>
      </c>
      <c r="Y112" s="1157" t="e">
        <f t="shared" ca="1" si="167"/>
        <v>#VALUE!</v>
      </c>
      <c r="Z112" s="1157" t="e">
        <f t="shared" ca="1" si="167"/>
        <v>#VALUE!</v>
      </c>
      <c r="AA112" s="1157" t="e">
        <f t="shared" ca="1" si="167"/>
        <v>#VALUE!</v>
      </c>
      <c r="AB112" s="1157" t="e">
        <f t="shared" ca="1" si="167"/>
        <v>#VALUE!</v>
      </c>
      <c r="AC112" s="1157" t="e">
        <f t="shared" ca="1" si="167"/>
        <v>#VALUE!</v>
      </c>
      <c r="AD112" s="1157" t="e">
        <f t="shared" ca="1" si="167"/>
        <v>#VALUE!</v>
      </c>
      <c r="AE112" s="1157" t="e">
        <f t="shared" ca="1" si="167"/>
        <v>#VALUE!</v>
      </c>
      <c r="AF112" s="1157" t="e">
        <f t="shared" ca="1" si="167"/>
        <v>#VALUE!</v>
      </c>
      <c r="AG112" s="1157" t="e">
        <f t="shared" ca="1" si="167"/>
        <v>#VALUE!</v>
      </c>
      <c r="AH112" s="1157" t="e">
        <f t="shared" ca="1" si="167"/>
        <v>#VALUE!</v>
      </c>
      <c r="AI112" s="1157" t="e">
        <f t="shared" ca="1" si="167"/>
        <v>#VALUE!</v>
      </c>
      <c r="AJ112" s="1157" t="e">
        <f t="shared" ca="1" si="167"/>
        <v>#VALUE!</v>
      </c>
      <c r="AK112" s="1157" t="e">
        <f t="shared" ca="1" si="167"/>
        <v>#VALUE!</v>
      </c>
      <c r="AL112" s="1157" t="e">
        <f t="shared" ca="1" si="167"/>
        <v>#VALUE!</v>
      </c>
      <c r="AM112" s="1157" t="e">
        <f t="shared" ca="1" si="167"/>
        <v>#VALUE!</v>
      </c>
      <c r="AN112" s="1157" t="e">
        <f t="shared" ca="1" si="167"/>
        <v>#VALUE!</v>
      </c>
      <c r="AO112" s="1157" t="e">
        <f t="shared" ca="1" si="167"/>
        <v>#VALUE!</v>
      </c>
      <c r="AP112" s="1157" t="e">
        <f t="shared" ca="1" si="167"/>
        <v>#VALUE!</v>
      </c>
      <c r="AQ112" s="1157" t="e">
        <f t="shared" ca="1" si="167"/>
        <v>#VALUE!</v>
      </c>
      <c r="AR112" s="1157" t="e">
        <f t="shared" ca="1" si="167"/>
        <v>#VALUE!</v>
      </c>
      <c r="AS112" s="1157" t="e">
        <f t="shared" ca="1" si="167"/>
        <v>#VALUE!</v>
      </c>
      <c r="AT112" s="1157" t="e">
        <f t="shared" ca="1" si="167"/>
        <v>#VALUE!</v>
      </c>
      <c r="AU112" s="1157" t="e">
        <f t="shared" ca="1" si="167"/>
        <v>#VALUE!</v>
      </c>
      <c r="AV112" s="1157" t="e">
        <f t="shared" ca="1" si="167"/>
        <v>#VALUE!</v>
      </c>
      <c r="AW112" s="1157" t="e">
        <f t="shared" ca="1" si="167"/>
        <v>#VALUE!</v>
      </c>
      <c r="AX112" s="1157" t="e">
        <f t="shared" ca="1" si="167"/>
        <v>#VALUE!</v>
      </c>
      <c r="AY112" s="1157" t="e">
        <f t="shared" ca="1" si="167"/>
        <v>#VALUE!</v>
      </c>
      <c r="AZ112" s="1157" t="e">
        <f t="shared" ca="1" si="167"/>
        <v>#VALUE!</v>
      </c>
      <c r="BA112" s="1157" t="e">
        <f t="shared" ca="1" si="167"/>
        <v>#VALUE!</v>
      </c>
      <c r="BB112" s="1157" t="e">
        <f t="shared" ca="1" si="167"/>
        <v>#VALUE!</v>
      </c>
      <c r="BC112" s="1157" t="e">
        <f t="shared" ref="BC112:CH112" ca="1" si="168">1000000*IF(BC$105&lt;=(Åpningsår+ProsjektetsLevetid-1),IF(BC105&lt;=AndreBeregningsår,IF(SIGN($F112)=SIGN($G112),$F112*$I112^(BC105-FørsteBeregningsår),($F112+1.1*ABS($F112-$G112))*$I112^(BC105-FørsteBeregningsår)-1.1*ABS($F112-$G112)),IF(BC105&lt;=TredjeBeregningsår,IF(SIGN($G112)=SIGN($H112),$G112*$J112^(BC105-AndreBeregningsår),($G112+1.1*ABS($G112-$H112))*$J112^(BC105-AndreBeregningsår)-1.1*ABS($G112-$H112)),OFFSET($F112,0,Antall_Beregningsår-1)*LOOKUP(BC105,SerieÅR,SerieVolumvekstperson)+$K112*(BC105-IF(Antall_Beregningsår&gt;2,TredjeBeregningsår,AndreBeregningsår)))),"")</f>
        <v>#VALUE!</v>
      </c>
      <c r="BD112" s="1157" t="e">
        <f t="shared" ca="1" si="168"/>
        <v>#VALUE!</v>
      </c>
      <c r="BE112" s="1157" t="e">
        <f t="shared" ca="1" si="168"/>
        <v>#VALUE!</v>
      </c>
      <c r="BF112" s="1157" t="e">
        <f t="shared" ca="1" si="168"/>
        <v>#VALUE!</v>
      </c>
      <c r="BG112" s="1157" t="e">
        <f t="shared" ca="1" si="168"/>
        <v>#VALUE!</v>
      </c>
      <c r="BH112" s="1157" t="e">
        <f t="shared" ca="1" si="168"/>
        <v>#VALUE!</v>
      </c>
      <c r="BI112" s="1157" t="e">
        <f t="shared" ca="1" si="168"/>
        <v>#VALUE!</v>
      </c>
      <c r="BJ112" s="1157" t="e">
        <f t="shared" ca="1" si="168"/>
        <v>#VALUE!</v>
      </c>
      <c r="BK112" s="1157" t="e">
        <f t="shared" ca="1" si="168"/>
        <v>#VALUE!</v>
      </c>
      <c r="BL112" s="1157" t="e">
        <f t="shared" ca="1" si="168"/>
        <v>#VALUE!</v>
      </c>
      <c r="BM112" s="1157" t="e">
        <f t="shared" ca="1" si="168"/>
        <v>#VALUE!</v>
      </c>
      <c r="BN112" s="1157" t="e">
        <f t="shared" ca="1" si="168"/>
        <v>#VALUE!</v>
      </c>
      <c r="BO112" s="1157" t="e">
        <f t="shared" ca="1" si="168"/>
        <v>#VALUE!</v>
      </c>
      <c r="BP112" s="1157" t="e">
        <f t="shared" ca="1" si="168"/>
        <v>#VALUE!</v>
      </c>
      <c r="BQ112" s="1157" t="e">
        <f t="shared" ca="1" si="168"/>
        <v>#VALUE!</v>
      </c>
      <c r="BR112" s="1157" t="e">
        <f t="shared" ca="1" si="168"/>
        <v>#VALUE!</v>
      </c>
      <c r="BS112" s="1157" t="e">
        <f t="shared" ca="1" si="168"/>
        <v>#VALUE!</v>
      </c>
      <c r="BT112" s="1157" t="e">
        <f t="shared" ca="1" si="168"/>
        <v>#VALUE!</v>
      </c>
      <c r="BU112" s="1157" t="e">
        <f t="shared" ca="1" si="168"/>
        <v>#VALUE!</v>
      </c>
      <c r="BV112" s="1157" t="e">
        <f t="shared" ca="1" si="168"/>
        <v>#VALUE!</v>
      </c>
      <c r="BW112" s="1157" t="e">
        <f t="shared" ca="1" si="168"/>
        <v>#VALUE!</v>
      </c>
      <c r="BX112" s="1157" t="e">
        <f t="shared" ca="1" si="168"/>
        <v>#VALUE!</v>
      </c>
      <c r="BY112" s="1157" t="e">
        <f t="shared" ca="1" si="168"/>
        <v>#VALUE!</v>
      </c>
      <c r="BZ112" s="1157" t="e">
        <f t="shared" ca="1" si="168"/>
        <v>#VALUE!</v>
      </c>
      <c r="CA112" s="1157" t="e">
        <f t="shared" ca="1" si="168"/>
        <v>#VALUE!</v>
      </c>
      <c r="CB112" s="1157" t="e">
        <f t="shared" ca="1" si="168"/>
        <v>#VALUE!</v>
      </c>
      <c r="CC112" s="1157" t="e">
        <f t="shared" ca="1" si="168"/>
        <v>#VALUE!</v>
      </c>
      <c r="CD112" s="1157" t="e">
        <f t="shared" ca="1" si="168"/>
        <v>#VALUE!</v>
      </c>
      <c r="CE112" s="1157" t="e">
        <f t="shared" ca="1" si="168"/>
        <v>#VALUE!</v>
      </c>
      <c r="CF112" s="1157" t="e">
        <f t="shared" ca="1" si="168"/>
        <v>#VALUE!</v>
      </c>
      <c r="CG112" s="1157" t="e">
        <f t="shared" ca="1" si="168"/>
        <v>#VALUE!</v>
      </c>
      <c r="CH112" s="1157" t="e">
        <f t="shared" ca="1" si="168"/>
        <v>#VALUE!</v>
      </c>
      <c r="CI112" s="1157" t="e">
        <f t="shared" ref="CI112:DR112" ca="1" si="169">1000000*IF(CI$105&lt;=(Åpningsår+ProsjektetsLevetid-1),IF(CI105&lt;=AndreBeregningsår,IF(SIGN($F112)=SIGN($G112),$F112*$I112^(CI105-FørsteBeregningsår),($F112+1.1*ABS($F112-$G112))*$I112^(CI105-FørsteBeregningsår)-1.1*ABS($F112-$G112)),IF(CI105&lt;=TredjeBeregningsår,IF(SIGN($G112)=SIGN($H112),$G112*$J112^(CI105-AndreBeregningsår),($G112+1.1*ABS($G112-$H112))*$J112^(CI105-AndreBeregningsår)-1.1*ABS($G112-$H112)),OFFSET($F112,0,Antall_Beregningsår-1)*LOOKUP(CI105,SerieÅR,SerieVolumvekstperson)+$K112*(CI105-IF(Antall_Beregningsår&gt;2,TredjeBeregningsår,AndreBeregningsår)))),"")</f>
        <v>#VALUE!</v>
      </c>
      <c r="CJ112" s="1157" t="e">
        <f t="shared" ca="1" si="169"/>
        <v>#VALUE!</v>
      </c>
      <c r="CK112" s="1157" t="e">
        <f t="shared" ca="1" si="169"/>
        <v>#VALUE!</v>
      </c>
      <c r="CL112" s="1157" t="e">
        <f t="shared" ca="1" si="169"/>
        <v>#VALUE!</v>
      </c>
      <c r="CM112" s="1157" t="e">
        <f t="shared" ca="1" si="169"/>
        <v>#VALUE!</v>
      </c>
      <c r="CN112" s="1157" t="e">
        <f t="shared" ca="1" si="169"/>
        <v>#VALUE!</v>
      </c>
      <c r="CO112" s="1157" t="e">
        <f t="shared" ca="1" si="169"/>
        <v>#VALUE!</v>
      </c>
      <c r="CP112" s="1157" t="e">
        <f t="shared" ca="1" si="169"/>
        <v>#VALUE!</v>
      </c>
      <c r="CQ112" s="1157" t="e">
        <f t="shared" ca="1" si="169"/>
        <v>#VALUE!</v>
      </c>
      <c r="CR112" s="1157" t="e">
        <f t="shared" ca="1" si="169"/>
        <v>#VALUE!</v>
      </c>
      <c r="CS112" s="1157" t="e">
        <f t="shared" ca="1" si="169"/>
        <v>#VALUE!</v>
      </c>
      <c r="CT112" s="1157" t="e">
        <f t="shared" ca="1" si="169"/>
        <v>#VALUE!</v>
      </c>
      <c r="CU112" s="1157" t="e">
        <f t="shared" ca="1" si="169"/>
        <v>#VALUE!</v>
      </c>
      <c r="CV112" s="1157" t="e">
        <f t="shared" ca="1" si="169"/>
        <v>#VALUE!</v>
      </c>
      <c r="CW112" s="1157" t="e">
        <f t="shared" ca="1" si="169"/>
        <v>#VALUE!</v>
      </c>
      <c r="CX112" s="1157" t="e">
        <f t="shared" ca="1" si="169"/>
        <v>#VALUE!</v>
      </c>
      <c r="CY112" s="1157" t="e">
        <f t="shared" ca="1" si="169"/>
        <v>#VALUE!</v>
      </c>
      <c r="CZ112" s="1157" t="e">
        <f t="shared" ca="1" si="169"/>
        <v>#VALUE!</v>
      </c>
      <c r="DA112" s="1157" t="e">
        <f t="shared" ca="1" si="169"/>
        <v>#VALUE!</v>
      </c>
      <c r="DB112" s="1157" t="e">
        <f t="shared" ca="1" si="169"/>
        <v>#VALUE!</v>
      </c>
      <c r="DC112" s="1157" t="e">
        <f t="shared" ca="1" si="169"/>
        <v>#VALUE!</v>
      </c>
      <c r="DD112" s="1157" t="e">
        <f t="shared" ca="1" si="169"/>
        <v>#VALUE!</v>
      </c>
      <c r="DE112" s="1157" t="e">
        <f t="shared" ca="1" si="169"/>
        <v>#VALUE!</v>
      </c>
      <c r="DF112" s="1157" t="e">
        <f t="shared" ca="1" si="169"/>
        <v>#VALUE!</v>
      </c>
      <c r="DG112" s="1157" t="e">
        <f t="shared" ca="1" si="169"/>
        <v>#VALUE!</v>
      </c>
      <c r="DH112" s="1157" t="e">
        <f t="shared" ca="1" si="169"/>
        <v>#VALUE!</v>
      </c>
      <c r="DI112" s="1157" t="e">
        <f t="shared" ca="1" si="169"/>
        <v>#VALUE!</v>
      </c>
      <c r="DJ112" s="1157" t="e">
        <f t="shared" ca="1" si="169"/>
        <v>#VALUE!</v>
      </c>
      <c r="DK112" s="1157" t="e">
        <f t="shared" ca="1" si="169"/>
        <v>#VALUE!</v>
      </c>
      <c r="DL112" s="1157" t="e">
        <f t="shared" ca="1" si="169"/>
        <v>#VALUE!</v>
      </c>
      <c r="DM112" s="1157" t="e">
        <f t="shared" ca="1" si="169"/>
        <v>#VALUE!</v>
      </c>
      <c r="DN112" s="1157" t="e">
        <f t="shared" ca="1" si="169"/>
        <v>#VALUE!</v>
      </c>
      <c r="DO112" s="1157" t="e">
        <f t="shared" ca="1" si="169"/>
        <v>#VALUE!</v>
      </c>
      <c r="DP112" s="1157" t="e">
        <f t="shared" ca="1" si="169"/>
        <v>#VALUE!</v>
      </c>
      <c r="DQ112" s="1157" t="e">
        <f t="shared" ca="1" si="169"/>
        <v>#VALUE!</v>
      </c>
      <c r="DR112" s="1170" t="e">
        <f t="shared" ca="1" si="169"/>
        <v>#VALUE!</v>
      </c>
    </row>
    <row r="113" spans="1:122" x14ac:dyDescent="0.35">
      <c r="A113" s="685"/>
      <c r="B113" s="446" t="str">
        <f>"Kjøretøykm - "&amp;'3.1 Nyttestrøm'!C82</f>
        <v>Kjøretøykm - Lett Lastebil</v>
      </c>
      <c r="C113" s="1175">
        <f>('2.4 Samfunnet for øvrig'!C66)</f>
        <v>0</v>
      </c>
      <c r="D113" s="1175">
        <f>('2.4 Samfunnet for øvrig'!D66)</f>
        <v>0</v>
      </c>
      <c r="E113" s="1175">
        <f>('2.4 Samfunnet for øvrig'!E66)</f>
        <v>0</v>
      </c>
      <c r="F113" s="1156">
        <f>(KjøretøyMkm_Lettlastebil_År1)</f>
        <v>0</v>
      </c>
      <c r="G113" s="1156">
        <f>(KjøretøyMkm_Lettlastebil_År2)</f>
        <v>0</v>
      </c>
      <c r="H113" s="1156">
        <f>(KjøretøyMkm_Lettlastebil_År3)</f>
        <v>0</v>
      </c>
      <c r="I113" s="1157">
        <f t="shared" ref="I113" si="170">IF(Antall_Beregningsår&lt;2,1,IF(AND(F113=0,G113=0),1,IF(SIGN(F113)=SIGN(G113),(G113/F113)^(1/(AndreBeregningsår-FørsteBeregningsår)),((G113+1.1*ABS(F113-G113))/(F113+1.1*ABS(F113-G113)))^(1/(AndreBeregningsår-FørsteBeregningsår)))))</f>
        <v>1</v>
      </c>
      <c r="J113" s="1176">
        <f t="shared" ref="J113" si="171">IF(Antall_Beregningsår&lt;3,1,IF(AND(G113=0,H113=0),1,IF(SIGN(G113)=SIGN(H113),(H113/G113)^(1/(TredjeBeregningsår-AndreBeregningsår)),((H113+1.1*ABS(G113-H113))/(G113+1.1*ABS(G113-H113)))^(1/(TredjeBeregningsår-AndreBeregningsår)))))</f>
        <v>1</v>
      </c>
      <c r="K113" s="1157">
        <f t="shared" ref="K113" si="172">IF(Framskrivning="Lineær trend",IF(Antall_Beregningsår&gt;2,(H113-G113)/(TredjeBeregningsår-AndreBeregningsår),IF(Antall_Beregningsår&gt;1,(G113-F113)/(AndreBeregningsår-FørsteBeregningsår),0)),0)</f>
        <v>0</v>
      </c>
      <c r="L113" s="1157"/>
      <c r="M113" s="1157"/>
      <c r="N113" s="1157"/>
      <c r="O113" s="1157"/>
      <c r="P113" s="1157"/>
      <c r="Q113" s="1157"/>
      <c r="R113" s="1157"/>
      <c r="S113" s="1157"/>
      <c r="T113" s="1157"/>
      <c r="U113" s="1157"/>
      <c r="V113" s="1157"/>
      <c r="W113" s="1157" t="e">
        <f t="shared" ref="W113:BB113" ca="1" si="173">1000000*IF(W$105&lt;=(Åpningsår+ProsjektetsLevetid-1),IF(W105&lt;=AndreBeregningsår,IF(SIGN($F113)=SIGN($G113),$F113*$I113^(W105-FørsteBeregningsår),($F113+1.1*ABS($F113-$G113))*$I113^(W105-FørsteBeregningsår)-1.1*ABS($F113-$G113)),IF(W105&lt;=TredjeBeregningsår,IF(SIGN($G113)=SIGN($H113),$G113*$J113^(W105-AndreBeregningsår),($G113+1.1*ABS($G113-$H113))*$J113^(W105-AndreBeregningsår)-1.1*ABS($G113-$H113)),OFFSET($F113,0,Antall_Beregningsår-1)*LOOKUP(W105,SerieÅR,SerieVolumvekstperson)+$K113*(W105-IF(Antall_Beregningsår&gt;2,TredjeBeregningsår,AndreBeregningsår)))),"")</f>
        <v>#VALUE!</v>
      </c>
      <c r="X113" s="1157" t="e">
        <f t="shared" ca="1" si="173"/>
        <v>#VALUE!</v>
      </c>
      <c r="Y113" s="1157" t="e">
        <f t="shared" ca="1" si="173"/>
        <v>#VALUE!</v>
      </c>
      <c r="Z113" s="1157" t="e">
        <f t="shared" ca="1" si="173"/>
        <v>#VALUE!</v>
      </c>
      <c r="AA113" s="1157" t="e">
        <f t="shared" ca="1" si="173"/>
        <v>#VALUE!</v>
      </c>
      <c r="AB113" s="1157" t="e">
        <f t="shared" ca="1" si="173"/>
        <v>#VALUE!</v>
      </c>
      <c r="AC113" s="1157" t="e">
        <f t="shared" ca="1" si="173"/>
        <v>#VALUE!</v>
      </c>
      <c r="AD113" s="1157" t="e">
        <f t="shared" ca="1" si="173"/>
        <v>#VALUE!</v>
      </c>
      <c r="AE113" s="1157" t="e">
        <f t="shared" ca="1" si="173"/>
        <v>#VALUE!</v>
      </c>
      <c r="AF113" s="1157" t="e">
        <f t="shared" ca="1" si="173"/>
        <v>#VALUE!</v>
      </c>
      <c r="AG113" s="1157" t="e">
        <f t="shared" ca="1" si="173"/>
        <v>#VALUE!</v>
      </c>
      <c r="AH113" s="1157" t="e">
        <f t="shared" ca="1" si="173"/>
        <v>#VALUE!</v>
      </c>
      <c r="AI113" s="1157" t="e">
        <f t="shared" ca="1" si="173"/>
        <v>#VALUE!</v>
      </c>
      <c r="AJ113" s="1157" t="e">
        <f t="shared" ca="1" si="173"/>
        <v>#VALUE!</v>
      </c>
      <c r="AK113" s="1157" t="e">
        <f t="shared" ca="1" si="173"/>
        <v>#VALUE!</v>
      </c>
      <c r="AL113" s="1157" t="e">
        <f t="shared" ca="1" si="173"/>
        <v>#VALUE!</v>
      </c>
      <c r="AM113" s="1157" t="e">
        <f t="shared" ca="1" si="173"/>
        <v>#VALUE!</v>
      </c>
      <c r="AN113" s="1157" t="e">
        <f t="shared" ca="1" si="173"/>
        <v>#VALUE!</v>
      </c>
      <c r="AO113" s="1157" t="e">
        <f t="shared" ca="1" si="173"/>
        <v>#VALUE!</v>
      </c>
      <c r="AP113" s="1157" t="e">
        <f t="shared" ca="1" si="173"/>
        <v>#VALUE!</v>
      </c>
      <c r="AQ113" s="1157" t="e">
        <f t="shared" ca="1" si="173"/>
        <v>#VALUE!</v>
      </c>
      <c r="AR113" s="1157" t="e">
        <f t="shared" ca="1" si="173"/>
        <v>#VALUE!</v>
      </c>
      <c r="AS113" s="1157" t="e">
        <f t="shared" ca="1" si="173"/>
        <v>#VALUE!</v>
      </c>
      <c r="AT113" s="1157" t="e">
        <f t="shared" ca="1" si="173"/>
        <v>#VALUE!</v>
      </c>
      <c r="AU113" s="1157" t="e">
        <f t="shared" ca="1" si="173"/>
        <v>#VALUE!</v>
      </c>
      <c r="AV113" s="1157" t="e">
        <f t="shared" ca="1" si="173"/>
        <v>#VALUE!</v>
      </c>
      <c r="AW113" s="1157" t="e">
        <f t="shared" ca="1" si="173"/>
        <v>#VALUE!</v>
      </c>
      <c r="AX113" s="1157" t="e">
        <f t="shared" ca="1" si="173"/>
        <v>#VALUE!</v>
      </c>
      <c r="AY113" s="1157" t="e">
        <f t="shared" ca="1" si="173"/>
        <v>#VALUE!</v>
      </c>
      <c r="AZ113" s="1157" t="e">
        <f t="shared" ca="1" si="173"/>
        <v>#VALUE!</v>
      </c>
      <c r="BA113" s="1157" t="e">
        <f t="shared" ca="1" si="173"/>
        <v>#VALUE!</v>
      </c>
      <c r="BB113" s="1157" t="e">
        <f t="shared" ca="1" si="173"/>
        <v>#VALUE!</v>
      </c>
      <c r="BC113" s="1157" t="e">
        <f t="shared" ref="BC113:CH113" ca="1" si="174">1000000*IF(BC$105&lt;=(Åpningsår+ProsjektetsLevetid-1),IF(BC105&lt;=AndreBeregningsår,IF(SIGN($F113)=SIGN($G113),$F113*$I113^(BC105-FørsteBeregningsår),($F113+1.1*ABS($F113-$G113))*$I113^(BC105-FørsteBeregningsår)-1.1*ABS($F113-$G113)),IF(BC105&lt;=TredjeBeregningsår,IF(SIGN($G113)=SIGN($H113),$G113*$J113^(BC105-AndreBeregningsår),($G113+1.1*ABS($G113-$H113))*$J113^(BC105-AndreBeregningsår)-1.1*ABS($G113-$H113)),OFFSET($F113,0,Antall_Beregningsår-1)*LOOKUP(BC105,SerieÅR,SerieVolumvekstperson)+$K113*(BC105-IF(Antall_Beregningsår&gt;2,TredjeBeregningsår,AndreBeregningsår)))),"")</f>
        <v>#VALUE!</v>
      </c>
      <c r="BD113" s="1157" t="e">
        <f t="shared" ca="1" si="174"/>
        <v>#VALUE!</v>
      </c>
      <c r="BE113" s="1157" t="e">
        <f t="shared" ca="1" si="174"/>
        <v>#VALUE!</v>
      </c>
      <c r="BF113" s="1157" t="e">
        <f t="shared" ca="1" si="174"/>
        <v>#VALUE!</v>
      </c>
      <c r="BG113" s="1157" t="e">
        <f t="shared" ca="1" si="174"/>
        <v>#VALUE!</v>
      </c>
      <c r="BH113" s="1157" t="e">
        <f t="shared" ca="1" si="174"/>
        <v>#VALUE!</v>
      </c>
      <c r="BI113" s="1157" t="e">
        <f t="shared" ca="1" si="174"/>
        <v>#VALUE!</v>
      </c>
      <c r="BJ113" s="1157" t="e">
        <f t="shared" ca="1" si="174"/>
        <v>#VALUE!</v>
      </c>
      <c r="BK113" s="1157" t="e">
        <f t="shared" ca="1" si="174"/>
        <v>#VALUE!</v>
      </c>
      <c r="BL113" s="1157" t="e">
        <f t="shared" ca="1" si="174"/>
        <v>#VALUE!</v>
      </c>
      <c r="BM113" s="1157" t="e">
        <f t="shared" ca="1" si="174"/>
        <v>#VALUE!</v>
      </c>
      <c r="BN113" s="1157" t="e">
        <f t="shared" ca="1" si="174"/>
        <v>#VALUE!</v>
      </c>
      <c r="BO113" s="1157" t="e">
        <f t="shared" ca="1" si="174"/>
        <v>#VALUE!</v>
      </c>
      <c r="BP113" s="1157" t="e">
        <f t="shared" ca="1" si="174"/>
        <v>#VALUE!</v>
      </c>
      <c r="BQ113" s="1157" t="e">
        <f t="shared" ca="1" si="174"/>
        <v>#VALUE!</v>
      </c>
      <c r="BR113" s="1157" t="e">
        <f t="shared" ca="1" si="174"/>
        <v>#VALUE!</v>
      </c>
      <c r="BS113" s="1157" t="e">
        <f t="shared" ca="1" si="174"/>
        <v>#VALUE!</v>
      </c>
      <c r="BT113" s="1157" t="e">
        <f t="shared" ca="1" si="174"/>
        <v>#VALUE!</v>
      </c>
      <c r="BU113" s="1157" t="e">
        <f t="shared" ca="1" si="174"/>
        <v>#VALUE!</v>
      </c>
      <c r="BV113" s="1157" t="e">
        <f t="shared" ca="1" si="174"/>
        <v>#VALUE!</v>
      </c>
      <c r="BW113" s="1157" t="e">
        <f t="shared" ca="1" si="174"/>
        <v>#VALUE!</v>
      </c>
      <c r="BX113" s="1157" t="e">
        <f t="shared" ca="1" si="174"/>
        <v>#VALUE!</v>
      </c>
      <c r="BY113" s="1157" t="e">
        <f t="shared" ca="1" si="174"/>
        <v>#VALUE!</v>
      </c>
      <c r="BZ113" s="1157" t="e">
        <f t="shared" ca="1" si="174"/>
        <v>#VALUE!</v>
      </c>
      <c r="CA113" s="1157" t="e">
        <f t="shared" ca="1" si="174"/>
        <v>#VALUE!</v>
      </c>
      <c r="CB113" s="1157" t="e">
        <f t="shared" ca="1" si="174"/>
        <v>#VALUE!</v>
      </c>
      <c r="CC113" s="1157" t="e">
        <f t="shared" ca="1" si="174"/>
        <v>#VALUE!</v>
      </c>
      <c r="CD113" s="1157" t="e">
        <f t="shared" ca="1" si="174"/>
        <v>#VALUE!</v>
      </c>
      <c r="CE113" s="1157" t="e">
        <f t="shared" ca="1" si="174"/>
        <v>#VALUE!</v>
      </c>
      <c r="CF113" s="1157" t="e">
        <f t="shared" ca="1" si="174"/>
        <v>#VALUE!</v>
      </c>
      <c r="CG113" s="1157" t="e">
        <f t="shared" ca="1" si="174"/>
        <v>#VALUE!</v>
      </c>
      <c r="CH113" s="1157" t="e">
        <f t="shared" ca="1" si="174"/>
        <v>#VALUE!</v>
      </c>
      <c r="CI113" s="1157" t="e">
        <f t="shared" ref="CI113:DR113" ca="1" si="175">1000000*IF(CI$105&lt;=(Åpningsår+ProsjektetsLevetid-1),IF(CI105&lt;=AndreBeregningsår,IF(SIGN($F113)=SIGN($G113),$F113*$I113^(CI105-FørsteBeregningsår),($F113+1.1*ABS($F113-$G113))*$I113^(CI105-FørsteBeregningsår)-1.1*ABS($F113-$G113)),IF(CI105&lt;=TredjeBeregningsår,IF(SIGN($G113)=SIGN($H113),$G113*$J113^(CI105-AndreBeregningsår),($G113+1.1*ABS($G113-$H113))*$J113^(CI105-AndreBeregningsår)-1.1*ABS($G113-$H113)),OFFSET($F113,0,Antall_Beregningsår-1)*LOOKUP(CI105,SerieÅR,SerieVolumvekstperson)+$K113*(CI105-IF(Antall_Beregningsår&gt;2,TredjeBeregningsår,AndreBeregningsår)))),"")</f>
        <v>#VALUE!</v>
      </c>
      <c r="CJ113" s="1157" t="e">
        <f t="shared" ca="1" si="175"/>
        <v>#VALUE!</v>
      </c>
      <c r="CK113" s="1157" t="e">
        <f t="shared" ca="1" si="175"/>
        <v>#VALUE!</v>
      </c>
      <c r="CL113" s="1157" t="e">
        <f t="shared" ca="1" si="175"/>
        <v>#VALUE!</v>
      </c>
      <c r="CM113" s="1157" t="e">
        <f t="shared" ca="1" si="175"/>
        <v>#VALUE!</v>
      </c>
      <c r="CN113" s="1157" t="e">
        <f t="shared" ca="1" si="175"/>
        <v>#VALUE!</v>
      </c>
      <c r="CO113" s="1157" t="e">
        <f t="shared" ca="1" si="175"/>
        <v>#VALUE!</v>
      </c>
      <c r="CP113" s="1157" t="e">
        <f t="shared" ca="1" si="175"/>
        <v>#VALUE!</v>
      </c>
      <c r="CQ113" s="1157" t="e">
        <f t="shared" ca="1" si="175"/>
        <v>#VALUE!</v>
      </c>
      <c r="CR113" s="1157" t="e">
        <f t="shared" ca="1" si="175"/>
        <v>#VALUE!</v>
      </c>
      <c r="CS113" s="1157" t="e">
        <f t="shared" ca="1" si="175"/>
        <v>#VALUE!</v>
      </c>
      <c r="CT113" s="1157" t="e">
        <f t="shared" ca="1" si="175"/>
        <v>#VALUE!</v>
      </c>
      <c r="CU113" s="1157" t="e">
        <f t="shared" ca="1" si="175"/>
        <v>#VALUE!</v>
      </c>
      <c r="CV113" s="1157" t="e">
        <f t="shared" ca="1" si="175"/>
        <v>#VALUE!</v>
      </c>
      <c r="CW113" s="1157" t="e">
        <f t="shared" ca="1" si="175"/>
        <v>#VALUE!</v>
      </c>
      <c r="CX113" s="1157" t="e">
        <f t="shared" ca="1" si="175"/>
        <v>#VALUE!</v>
      </c>
      <c r="CY113" s="1157" t="e">
        <f t="shared" ca="1" si="175"/>
        <v>#VALUE!</v>
      </c>
      <c r="CZ113" s="1157" t="e">
        <f t="shared" ca="1" si="175"/>
        <v>#VALUE!</v>
      </c>
      <c r="DA113" s="1157" t="e">
        <f t="shared" ca="1" si="175"/>
        <v>#VALUE!</v>
      </c>
      <c r="DB113" s="1157" t="e">
        <f t="shared" ca="1" si="175"/>
        <v>#VALUE!</v>
      </c>
      <c r="DC113" s="1157" t="e">
        <f t="shared" ca="1" si="175"/>
        <v>#VALUE!</v>
      </c>
      <c r="DD113" s="1157" t="e">
        <f t="shared" ca="1" si="175"/>
        <v>#VALUE!</v>
      </c>
      <c r="DE113" s="1157" t="e">
        <f t="shared" ca="1" si="175"/>
        <v>#VALUE!</v>
      </c>
      <c r="DF113" s="1157" t="e">
        <f t="shared" ca="1" si="175"/>
        <v>#VALUE!</v>
      </c>
      <c r="DG113" s="1157" t="e">
        <f t="shared" ca="1" si="175"/>
        <v>#VALUE!</v>
      </c>
      <c r="DH113" s="1157" t="e">
        <f t="shared" ca="1" si="175"/>
        <v>#VALUE!</v>
      </c>
      <c r="DI113" s="1157" t="e">
        <f t="shared" ca="1" si="175"/>
        <v>#VALUE!</v>
      </c>
      <c r="DJ113" s="1157" t="e">
        <f t="shared" ca="1" si="175"/>
        <v>#VALUE!</v>
      </c>
      <c r="DK113" s="1157" t="e">
        <f t="shared" ca="1" si="175"/>
        <v>#VALUE!</v>
      </c>
      <c r="DL113" s="1157" t="e">
        <f t="shared" ca="1" si="175"/>
        <v>#VALUE!</v>
      </c>
      <c r="DM113" s="1157" t="e">
        <f t="shared" ca="1" si="175"/>
        <v>#VALUE!</v>
      </c>
      <c r="DN113" s="1157" t="e">
        <f t="shared" ca="1" si="175"/>
        <v>#VALUE!</v>
      </c>
      <c r="DO113" s="1157" t="e">
        <f t="shared" ca="1" si="175"/>
        <v>#VALUE!</v>
      </c>
      <c r="DP113" s="1157" t="e">
        <f t="shared" ca="1" si="175"/>
        <v>#VALUE!</v>
      </c>
      <c r="DQ113" s="1157" t="e">
        <f t="shared" ca="1" si="175"/>
        <v>#VALUE!</v>
      </c>
      <c r="DR113" s="1170" t="e">
        <f t="shared" ca="1" si="175"/>
        <v>#VALUE!</v>
      </c>
    </row>
    <row r="114" spans="1:122" x14ac:dyDescent="0.35">
      <c r="A114" s="685"/>
      <c r="B114" s="446" t="str">
        <f>"Kjøretøykm - "&amp;'3.1 Nyttestrøm'!C83</f>
        <v>Kjøretøykm - Skip</v>
      </c>
      <c r="C114" s="1175">
        <f>('2.4 Samfunnet for øvrig'!C67)</f>
        <v>0</v>
      </c>
      <c r="D114" s="1175">
        <f>('2.4 Samfunnet for øvrig'!D67)</f>
        <v>0</v>
      </c>
      <c r="E114" s="1175">
        <f>('2.4 Samfunnet for øvrig'!E67)</f>
        <v>0</v>
      </c>
      <c r="F114" s="1156">
        <f>FartøyMkm_Skip_År1</f>
        <v>0</v>
      </c>
      <c r="G114" s="1156">
        <f>FartøyMkm_Skip_År2</f>
        <v>0</v>
      </c>
      <c r="H114" s="1156">
        <f>FartøyMkm_Skip_År3</f>
        <v>0</v>
      </c>
      <c r="I114" s="1157">
        <f t="shared" si="149"/>
        <v>1</v>
      </c>
      <c r="J114" s="1176">
        <f t="shared" si="157"/>
        <v>1</v>
      </c>
      <c r="K114" s="1157">
        <f t="shared" si="150"/>
        <v>0</v>
      </c>
      <c r="L114" s="1157"/>
      <c r="M114" s="1157"/>
      <c r="N114" s="1157"/>
      <c r="O114" s="1157"/>
      <c r="P114" s="1157"/>
      <c r="Q114" s="1157"/>
      <c r="R114" s="1157"/>
      <c r="S114" s="1157"/>
      <c r="T114" s="1157"/>
      <c r="U114" s="1157"/>
      <c r="V114" s="1157"/>
      <c r="W114" s="1157" t="e">
        <f t="shared" ref="W114:BB114" ca="1" si="176">1000000*IF(W$105&lt;=(Åpningsår+ProsjektetsLevetid-1),IF(W105&lt;=AndreBeregningsår,IF(SIGN($F114)=SIGN($G114),$F114*$I114^(W105-FørsteBeregningsår),($F114+1.1*ABS($F114-$G114))*$I114^(W105-FørsteBeregningsår)-1.1*ABS($F114-$G114)),IF(W105&lt;=TredjeBeregningsår,IF(SIGN($G114)=SIGN($H114),$G114*$J114^(W105-AndreBeregningsår),($G114+1.1*ABS($G114-$H114))*$J114^(W105-AndreBeregningsår)-1.1*ABS($G114-$H114)),OFFSET($F114,0,Antall_Beregningsår-1)*LOOKUP(W105,SerieÅR,SerieVolumvekstperson)+$K114*(W105-IF(Antall_Beregningsår&gt;2,TredjeBeregningsår,AndreBeregningsår)))),"")</f>
        <v>#VALUE!</v>
      </c>
      <c r="X114" s="1157" t="e">
        <f t="shared" ca="1" si="176"/>
        <v>#VALUE!</v>
      </c>
      <c r="Y114" s="1157" t="e">
        <f t="shared" ca="1" si="176"/>
        <v>#VALUE!</v>
      </c>
      <c r="Z114" s="1157" t="e">
        <f t="shared" ca="1" si="176"/>
        <v>#VALUE!</v>
      </c>
      <c r="AA114" s="1157" t="e">
        <f t="shared" ca="1" si="176"/>
        <v>#VALUE!</v>
      </c>
      <c r="AB114" s="1157" t="e">
        <f t="shared" ca="1" si="176"/>
        <v>#VALUE!</v>
      </c>
      <c r="AC114" s="1157" t="e">
        <f t="shared" ca="1" si="176"/>
        <v>#VALUE!</v>
      </c>
      <c r="AD114" s="1157" t="e">
        <f t="shared" ca="1" si="176"/>
        <v>#VALUE!</v>
      </c>
      <c r="AE114" s="1157" t="e">
        <f t="shared" ca="1" si="176"/>
        <v>#VALUE!</v>
      </c>
      <c r="AF114" s="1157" t="e">
        <f t="shared" ca="1" si="176"/>
        <v>#VALUE!</v>
      </c>
      <c r="AG114" s="1157" t="e">
        <f t="shared" ca="1" si="176"/>
        <v>#VALUE!</v>
      </c>
      <c r="AH114" s="1157" t="e">
        <f t="shared" ca="1" si="176"/>
        <v>#VALUE!</v>
      </c>
      <c r="AI114" s="1157" t="e">
        <f t="shared" ca="1" si="176"/>
        <v>#VALUE!</v>
      </c>
      <c r="AJ114" s="1157" t="e">
        <f t="shared" ca="1" si="176"/>
        <v>#VALUE!</v>
      </c>
      <c r="AK114" s="1157" t="e">
        <f t="shared" ca="1" si="176"/>
        <v>#VALUE!</v>
      </c>
      <c r="AL114" s="1157" t="e">
        <f t="shared" ca="1" si="176"/>
        <v>#VALUE!</v>
      </c>
      <c r="AM114" s="1157" t="e">
        <f t="shared" ca="1" si="176"/>
        <v>#VALUE!</v>
      </c>
      <c r="AN114" s="1157" t="e">
        <f t="shared" ca="1" si="176"/>
        <v>#VALUE!</v>
      </c>
      <c r="AO114" s="1157" t="e">
        <f t="shared" ca="1" si="176"/>
        <v>#VALUE!</v>
      </c>
      <c r="AP114" s="1157" t="e">
        <f t="shared" ca="1" si="176"/>
        <v>#VALUE!</v>
      </c>
      <c r="AQ114" s="1157" t="e">
        <f t="shared" ca="1" si="176"/>
        <v>#VALUE!</v>
      </c>
      <c r="AR114" s="1157" t="e">
        <f t="shared" ca="1" si="176"/>
        <v>#VALUE!</v>
      </c>
      <c r="AS114" s="1157" t="e">
        <f t="shared" ca="1" si="176"/>
        <v>#VALUE!</v>
      </c>
      <c r="AT114" s="1157" t="e">
        <f t="shared" ca="1" si="176"/>
        <v>#VALUE!</v>
      </c>
      <c r="AU114" s="1157" t="e">
        <f t="shared" ca="1" si="176"/>
        <v>#VALUE!</v>
      </c>
      <c r="AV114" s="1157" t="e">
        <f t="shared" ca="1" si="176"/>
        <v>#VALUE!</v>
      </c>
      <c r="AW114" s="1157" t="e">
        <f t="shared" ca="1" si="176"/>
        <v>#VALUE!</v>
      </c>
      <c r="AX114" s="1157" t="e">
        <f t="shared" ca="1" si="176"/>
        <v>#VALUE!</v>
      </c>
      <c r="AY114" s="1157" t="e">
        <f t="shared" ca="1" si="176"/>
        <v>#VALUE!</v>
      </c>
      <c r="AZ114" s="1157" t="e">
        <f t="shared" ca="1" si="176"/>
        <v>#VALUE!</v>
      </c>
      <c r="BA114" s="1157" t="e">
        <f t="shared" ca="1" si="176"/>
        <v>#VALUE!</v>
      </c>
      <c r="BB114" s="1157" t="e">
        <f t="shared" ca="1" si="176"/>
        <v>#VALUE!</v>
      </c>
      <c r="BC114" s="1157" t="e">
        <f t="shared" ref="BC114:CH114" ca="1" si="177">1000000*IF(BC$105&lt;=(Åpningsår+ProsjektetsLevetid-1),IF(BC105&lt;=AndreBeregningsår,IF(SIGN($F114)=SIGN($G114),$F114*$I114^(BC105-FørsteBeregningsår),($F114+1.1*ABS($F114-$G114))*$I114^(BC105-FørsteBeregningsår)-1.1*ABS($F114-$G114)),IF(BC105&lt;=TredjeBeregningsår,IF(SIGN($G114)=SIGN($H114),$G114*$J114^(BC105-AndreBeregningsår),($G114+1.1*ABS($G114-$H114))*$J114^(BC105-AndreBeregningsår)-1.1*ABS($G114-$H114)),OFFSET($F114,0,Antall_Beregningsår-1)*LOOKUP(BC105,SerieÅR,SerieVolumvekstperson)+$K114*(BC105-IF(Antall_Beregningsår&gt;2,TredjeBeregningsår,AndreBeregningsår)))),"")</f>
        <v>#VALUE!</v>
      </c>
      <c r="BD114" s="1157" t="e">
        <f t="shared" ca="1" si="177"/>
        <v>#VALUE!</v>
      </c>
      <c r="BE114" s="1157" t="e">
        <f t="shared" ca="1" si="177"/>
        <v>#VALUE!</v>
      </c>
      <c r="BF114" s="1157" t="e">
        <f t="shared" ca="1" si="177"/>
        <v>#VALUE!</v>
      </c>
      <c r="BG114" s="1157" t="e">
        <f t="shared" ca="1" si="177"/>
        <v>#VALUE!</v>
      </c>
      <c r="BH114" s="1157" t="e">
        <f t="shared" ca="1" si="177"/>
        <v>#VALUE!</v>
      </c>
      <c r="BI114" s="1157" t="e">
        <f t="shared" ca="1" si="177"/>
        <v>#VALUE!</v>
      </c>
      <c r="BJ114" s="1157" t="e">
        <f t="shared" ca="1" si="177"/>
        <v>#VALUE!</v>
      </c>
      <c r="BK114" s="1157" t="e">
        <f t="shared" ca="1" si="177"/>
        <v>#VALUE!</v>
      </c>
      <c r="BL114" s="1157" t="e">
        <f t="shared" ca="1" si="177"/>
        <v>#VALUE!</v>
      </c>
      <c r="BM114" s="1157" t="e">
        <f t="shared" ca="1" si="177"/>
        <v>#VALUE!</v>
      </c>
      <c r="BN114" s="1157" t="e">
        <f t="shared" ca="1" si="177"/>
        <v>#VALUE!</v>
      </c>
      <c r="BO114" s="1157" t="e">
        <f t="shared" ca="1" si="177"/>
        <v>#VALUE!</v>
      </c>
      <c r="BP114" s="1157" t="e">
        <f t="shared" ca="1" si="177"/>
        <v>#VALUE!</v>
      </c>
      <c r="BQ114" s="1157" t="e">
        <f t="shared" ca="1" si="177"/>
        <v>#VALUE!</v>
      </c>
      <c r="BR114" s="1157" t="e">
        <f t="shared" ca="1" si="177"/>
        <v>#VALUE!</v>
      </c>
      <c r="BS114" s="1157" t="e">
        <f t="shared" ca="1" si="177"/>
        <v>#VALUE!</v>
      </c>
      <c r="BT114" s="1157" t="e">
        <f t="shared" ca="1" si="177"/>
        <v>#VALUE!</v>
      </c>
      <c r="BU114" s="1157" t="e">
        <f t="shared" ca="1" si="177"/>
        <v>#VALUE!</v>
      </c>
      <c r="BV114" s="1157" t="e">
        <f t="shared" ca="1" si="177"/>
        <v>#VALUE!</v>
      </c>
      <c r="BW114" s="1157" t="e">
        <f t="shared" ca="1" si="177"/>
        <v>#VALUE!</v>
      </c>
      <c r="BX114" s="1157" t="e">
        <f t="shared" ca="1" si="177"/>
        <v>#VALUE!</v>
      </c>
      <c r="BY114" s="1157" t="e">
        <f t="shared" ca="1" si="177"/>
        <v>#VALUE!</v>
      </c>
      <c r="BZ114" s="1157" t="e">
        <f t="shared" ca="1" si="177"/>
        <v>#VALUE!</v>
      </c>
      <c r="CA114" s="1157" t="e">
        <f t="shared" ca="1" si="177"/>
        <v>#VALUE!</v>
      </c>
      <c r="CB114" s="1157" t="e">
        <f t="shared" ca="1" si="177"/>
        <v>#VALUE!</v>
      </c>
      <c r="CC114" s="1157" t="e">
        <f t="shared" ca="1" si="177"/>
        <v>#VALUE!</v>
      </c>
      <c r="CD114" s="1157" t="e">
        <f t="shared" ca="1" si="177"/>
        <v>#VALUE!</v>
      </c>
      <c r="CE114" s="1157" t="e">
        <f t="shared" ca="1" si="177"/>
        <v>#VALUE!</v>
      </c>
      <c r="CF114" s="1157" t="e">
        <f t="shared" ca="1" si="177"/>
        <v>#VALUE!</v>
      </c>
      <c r="CG114" s="1157" t="e">
        <f t="shared" ca="1" si="177"/>
        <v>#VALUE!</v>
      </c>
      <c r="CH114" s="1157" t="e">
        <f t="shared" ca="1" si="177"/>
        <v>#VALUE!</v>
      </c>
      <c r="CI114" s="1157" t="e">
        <f t="shared" ref="CI114:DR114" ca="1" si="178">1000000*IF(CI$105&lt;=(Åpningsår+ProsjektetsLevetid-1),IF(CI105&lt;=AndreBeregningsår,IF(SIGN($F114)=SIGN($G114),$F114*$I114^(CI105-FørsteBeregningsår),($F114+1.1*ABS($F114-$G114))*$I114^(CI105-FørsteBeregningsår)-1.1*ABS($F114-$G114)),IF(CI105&lt;=TredjeBeregningsår,IF(SIGN($G114)=SIGN($H114),$G114*$J114^(CI105-AndreBeregningsår),($G114+1.1*ABS($G114-$H114))*$J114^(CI105-AndreBeregningsår)-1.1*ABS($G114-$H114)),OFFSET($F114,0,Antall_Beregningsår-1)*LOOKUP(CI105,SerieÅR,SerieVolumvekstperson)+$K114*(CI105-IF(Antall_Beregningsår&gt;2,TredjeBeregningsår,AndreBeregningsår)))),"")</f>
        <v>#VALUE!</v>
      </c>
      <c r="CJ114" s="1157" t="e">
        <f t="shared" ca="1" si="178"/>
        <v>#VALUE!</v>
      </c>
      <c r="CK114" s="1157" t="e">
        <f t="shared" ca="1" si="178"/>
        <v>#VALUE!</v>
      </c>
      <c r="CL114" s="1157" t="e">
        <f t="shared" ca="1" si="178"/>
        <v>#VALUE!</v>
      </c>
      <c r="CM114" s="1157" t="e">
        <f t="shared" ca="1" si="178"/>
        <v>#VALUE!</v>
      </c>
      <c r="CN114" s="1157" t="e">
        <f t="shared" ca="1" si="178"/>
        <v>#VALUE!</v>
      </c>
      <c r="CO114" s="1157" t="e">
        <f t="shared" ca="1" si="178"/>
        <v>#VALUE!</v>
      </c>
      <c r="CP114" s="1157" t="e">
        <f t="shared" ca="1" si="178"/>
        <v>#VALUE!</v>
      </c>
      <c r="CQ114" s="1157" t="e">
        <f t="shared" ca="1" si="178"/>
        <v>#VALUE!</v>
      </c>
      <c r="CR114" s="1157" t="e">
        <f t="shared" ca="1" si="178"/>
        <v>#VALUE!</v>
      </c>
      <c r="CS114" s="1157" t="e">
        <f t="shared" ca="1" si="178"/>
        <v>#VALUE!</v>
      </c>
      <c r="CT114" s="1157" t="e">
        <f t="shared" ca="1" si="178"/>
        <v>#VALUE!</v>
      </c>
      <c r="CU114" s="1157" t="e">
        <f t="shared" ca="1" si="178"/>
        <v>#VALUE!</v>
      </c>
      <c r="CV114" s="1157" t="e">
        <f t="shared" ca="1" si="178"/>
        <v>#VALUE!</v>
      </c>
      <c r="CW114" s="1157" t="e">
        <f t="shared" ca="1" si="178"/>
        <v>#VALUE!</v>
      </c>
      <c r="CX114" s="1157" t="e">
        <f t="shared" ca="1" si="178"/>
        <v>#VALUE!</v>
      </c>
      <c r="CY114" s="1157" t="e">
        <f t="shared" ca="1" si="178"/>
        <v>#VALUE!</v>
      </c>
      <c r="CZ114" s="1157" t="e">
        <f t="shared" ca="1" si="178"/>
        <v>#VALUE!</v>
      </c>
      <c r="DA114" s="1157" t="e">
        <f t="shared" ca="1" si="178"/>
        <v>#VALUE!</v>
      </c>
      <c r="DB114" s="1157" t="e">
        <f t="shared" ca="1" si="178"/>
        <v>#VALUE!</v>
      </c>
      <c r="DC114" s="1157" t="e">
        <f t="shared" ca="1" si="178"/>
        <v>#VALUE!</v>
      </c>
      <c r="DD114" s="1157" t="e">
        <f t="shared" ca="1" si="178"/>
        <v>#VALUE!</v>
      </c>
      <c r="DE114" s="1157" t="e">
        <f t="shared" ca="1" si="178"/>
        <v>#VALUE!</v>
      </c>
      <c r="DF114" s="1157" t="e">
        <f t="shared" ca="1" si="178"/>
        <v>#VALUE!</v>
      </c>
      <c r="DG114" s="1157" t="e">
        <f t="shared" ca="1" si="178"/>
        <v>#VALUE!</v>
      </c>
      <c r="DH114" s="1157" t="e">
        <f t="shared" ca="1" si="178"/>
        <v>#VALUE!</v>
      </c>
      <c r="DI114" s="1157" t="e">
        <f t="shared" ca="1" si="178"/>
        <v>#VALUE!</v>
      </c>
      <c r="DJ114" s="1157" t="e">
        <f t="shared" ca="1" si="178"/>
        <v>#VALUE!</v>
      </c>
      <c r="DK114" s="1157" t="e">
        <f t="shared" ca="1" si="178"/>
        <v>#VALUE!</v>
      </c>
      <c r="DL114" s="1157" t="e">
        <f t="shared" ca="1" si="178"/>
        <v>#VALUE!</v>
      </c>
      <c r="DM114" s="1157" t="e">
        <f t="shared" ca="1" si="178"/>
        <v>#VALUE!</v>
      </c>
      <c r="DN114" s="1157" t="e">
        <f t="shared" ca="1" si="178"/>
        <v>#VALUE!</v>
      </c>
      <c r="DO114" s="1157" t="e">
        <f t="shared" ca="1" si="178"/>
        <v>#VALUE!</v>
      </c>
      <c r="DP114" s="1157" t="e">
        <f t="shared" ca="1" si="178"/>
        <v>#VALUE!</v>
      </c>
      <c r="DQ114" s="1157" t="e">
        <f t="shared" ca="1" si="178"/>
        <v>#VALUE!</v>
      </c>
      <c r="DR114" s="1170" t="e">
        <f t="shared" ca="1" si="178"/>
        <v>#VALUE!</v>
      </c>
    </row>
    <row r="115" spans="1:122" x14ac:dyDescent="0.35">
      <c r="A115" s="685"/>
      <c r="B115" s="446" t="str">
        <f>"Kjøretøykm - "&amp;'3.1 Nyttestrøm'!C84</f>
        <v>Kjøretøykm - Godsfly</v>
      </c>
      <c r="C115" s="1175">
        <f>('2.4 Samfunnet for øvrig'!C68)</f>
        <v>0</v>
      </c>
      <c r="D115" s="1175">
        <f>('2.4 Samfunnet for øvrig'!D68)</f>
        <v>0</v>
      </c>
      <c r="E115" s="1175">
        <f>('2.4 Samfunnet for øvrig'!E68)</f>
        <v>0</v>
      </c>
      <c r="F115" s="1156">
        <f>GodsflyMkm_År1</f>
        <v>0</v>
      </c>
      <c r="G115" s="1156">
        <f>GodsflyMkm_År2</f>
        <v>0</v>
      </c>
      <c r="H115" s="1156">
        <f>GodsflyMkm_År3</f>
        <v>0</v>
      </c>
      <c r="I115" s="1157">
        <f t="shared" si="149"/>
        <v>1</v>
      </c>
      <c r="J115" s="1176">
        <f t="shared" si="157"/>
        <v>1</v>
      </c>
      <c r="K115" s="1157">
        <f t="shared" si="150"/>
        <v>0</v>
      </c>
      <c r="L115" s="1157"/>
      <c r="M115" s="1157"/>
      <c r="N115" s="1157"/>
      <c r="O115" s="1157"/>
      <c r="P115" s="1157"/>
      <c r="Q115" s="1157"/>
      <c r="R115" s="1157"/>
      <c r="S115" s="1157"/>
      <c r="T115" s="1157"/>
      <c r="U115" s="1157"/>
      <c r="V115" s="1157"/>
      <c r="W115" s="1157" t="e">
        <f t="shared" ref="W115:BB115" ca="1" si="179">1000000*IF(W$105&lt;=(Åpningsår+ProsjektetsLevetid-1),IF(W105&lt;=AndreBeregningsår,IF(SIGN($F115)=SIGN($G115),$F115*$I115^(W105-FørsteBeregningsår),($F115+1.1*ABS($F115-$G115))*$I115^(W105-FørsteBeregningsår)-1.1*ABS($F115-$G115)),IF(W105&lt;=TredjeBeregningsår,IF(SIGN($G115)=SIGN($H115),$G115*$J115^(W105-AndreBeregningsår),($G115+1.1*ABS($G115-$H115))*$J115^(W105-AndreBeregningsår)-1.1*ABS($G115-$H115)),OFFSET($F115,0,Antall_Beregningsår-1)*LOOKUP(W105,SerieÅR,SerieVolumvekstperson)+$K115*(W105-IF(Antall_Beregningsår&gt;2,TredjeBeregningsår,AndreBeregningsår)))),"")</f>
        <v>#VALUE!</v>
      </c>
      <c r="X115" s="1157" t="e">
        <f t="shared" ca="1" si="179"/>
        <v>#VALUE!</v>
      </c>
      <c r="Y115" s="1157" t="e">
        <f t="shared" ca="1" si="179"/>
        <v>#VALUE!</v>
      </c>
      <c r="Z115" s="1157" t="e">
        <f t="shared" ca="1" si="179"/>
        <v>#VALUE!</v>
      </c>
      <c r="AA115" s="1157" t="e">
        <f t="shared" ca="1" si="179"/>
        <v>#VALUE!</v>
      </c>
      <c r="AB115" s="1157" t="e">
        <f t="shared" ca="1" si="179"/>
        <v>#VALUE!</v>
      </c>
      <c r="AC115" s="1157" t="e">
        <f t="shared" ca="1" si="179"/>
        <v>#VALUE!</v>
      </c>
      <c r="AD115" s="1157" t="e">
        <f t="shared" ca="1" si="179"/>
        <v>#VALUE!</v>
      </c>
      <c r="AE115" s="1157" t="e">
        <f t="shared" ca="1" si="179"/>
        <v>#VALUE!</v>
      </c>
      <c r="AF115" s="1157" t="e">
        <f t="shared" ca="1" si="179"/>
        <v>#VALUE!</v>
      </c>
      <c r="AG115" s="1157" t="e">
        <f t="shared" ca="1" si="179"/>
        <v>#VALUE!</v>
      </c>
      <c r="AH115" s="1157" t="e">
        <f t="shared" ca="1" si="179"/>
        <v>#VALUE!</v>
      </c>
      <c r="AI115" s="1157" t="e">
        <f t="shared" ca="1" si="179"/>
        <v>#VALUE!</v>
      </c>
      <c r="AJ115" s="1157" t="e">
        <f t="shared" ca="1" si="179"/>
        <v>#VALUE!</v>
      </c>
      <c r="AK115" s="1157" t="e">
        <f t="shared" ca="1" si="179"/>
        <v>#VALUE!</v>
      </c>
      <c r="AL115" s="1157" t="e">
        <f t="shared" ca="1" si="179"/>
        <v>#VALUE!</v>
      </c>
      <c r="AM115" s="1157" t="e">
        <f t="shared" ca="1" si="179"/>
        <v>#VALUE!</v>
      </c>
      <c r="AN115" s="1157" t="e">
        <f t="shared" ca="1" si="179"/>
        <v>#VALUE!</v>
      </c>
      <c r="AO115" s="1157" t="e">
        <f t="shared" ca="1" si="179"/>
        <v>#VALUE!</v>
      </c>
      <c r="AP115" s="1157" t="e">
        <f t="shared" ca="1" si="179"/>
        <v>#VALUE!</v>
      </c>
      <c r="AQ115" s="1157" t="e">
        <f t="shared" ca="1" si="179"/>
        <v>#VALUE!</v>
      </c>
      <c r="AR115" s="1157" t="e">
        <f t="shared" ca="1" si="179"/>
        <v>#VALUE!</v>
      </c>
      <c r="AS115" s="1157" t="e">
        <f t="shared" ca="1" si="179"/>
        <v>#VALUE!</v>
      </c>
      <c r="AT115" s="1157" t="e">
        <f t="shared" ca="1" si="179"/>
        <v>#VALUE!</v>
      </c>
      <c r="AU115" s="1157" t="e">
        <f t="shared" ca="1" si="179"/>
        <v>#VALUE!</v>
      </c>
      <c r="AV115" s="1157" t="e">
        <f t="shared" ca="1" si="179"/>
        <v>#VALUE!</v>
      </c>
      <c r="AW115" s="1157" t="e">
        <f t="shared" ca="1" si="179"/>
        <v>#VALUE!</v>
      </c>
      <c r="AX115" s="1157" t="e">
        <f t="shared" ca="1" si="179"/>
        <v>#VALUE!</v>
      </c>
      <c r="AY115" s="1157" t="e">
        <f t="shared" ca="1" si="179"/>
        <v>#VALUE!</v>
      </c>
      <c r="AZ115" s="1157" t="e">
        <f t="shared" ca="1" si="179"/>
        <v>#VALUE!</v>
      </c>
      <c r="BA115" s="1157" t="e">
        <f t="shared" ca="1" si="179"/>
        <v>#VALUE!</v>
      </c>
      <c r="BB115" s="1157" t="e">
        <f t="shared" ca="1" si="179"/>
        <v>#VALUE!</v>
      </c>
      <c r="BC115" s="1157" t="e">
        <f t="shared" ref="BC115:CH115" ca="1" si="180">1000000*IF(BC$105&lt;=(Åpningsår+ProsjektetsLevetid-1),IF(BC105&lt;=AndreBeregningsår,IF(SIGN($F115)=SIGN($G115),$F115*$I115^(BC105-FørsteBeregningsår),($F115+1.1*ABS($F115-$G115))*$I115^(BC105-FørsteBeregningsår)-1.1*ABS($F115-$G115)),IF(BC105&lt;=TredjeBeregningsår,IF(SIGN($G115)=SIGN($H115),$G115*$J115^(BC105-AndreBeregningsår),($G115+1.1*ABS($G115-$H115))*$J115^(BC105-AndreBeregningsår)-1.1*ABS($G115-$H115)),OFFSET($F115,0,Antall_Beregningsår-1)*LOOKUP(BC105,SerieÅR,SerieVolumvekstperson)+$K115*(BC105-IF(Antall_Beregningsår&gt;2,TredjeBeregningsår,AndreBeregningsår)))),"")</f>
        <v>#VALUE!</v>
      </c>
      <c r="BD115" s="1157" t="e">
        <f t="shared" ca="1" si="180"/>
        <v>#VALUE!</v>
      </c>
      <c r="BE115" s="1157" t="e">
        <f t="shared" ca="1" si="180"/>
        <v>#VALUE!</v>
      </c>
      <c r="BF115" s="1157" t="e">
        <f t="shared" ca="1" si="180"/>
        <v>#VALUE!</v>
      </c>
      <c r="BG115" s="1157" t="e">
        <f t="shared" ca="1" si="180"/>
        <v>#VALUE!</v>
      </c>
      <c r="BH115" s="1157" t="e">
        <f t="shared" ca="1" si="180"/>
        <v>#VALUE!</v>
      </c>
      <c r="BI115" s="1157" t="e">
        <f t="shared" ca="1" si="180"/>
        <v>#VALUE!</v>
      </c>
      <c r="BJ115" s="1157" t="e">
        <f t="shared" ca="1" si="180"/>
        <v>#VALUE!</v>
      </c>
      <c r="BK115" s="1157" t="e">
        <f t="shared" ca="1" si="180"/>
        <v>#VALUE!</v>
      </c>
      <c r="BL115" s="1157" t="e">
        <f t="shared" ca="1" si="180"/>
        <v>#VALUE!</v>
      </c>
      <c r="BM115" s="1157" t="e">
        <f t="shared" ca="1" si="180"/>
        <v>#VALUE!</v>
      </c>
      <c r="BN115" s="1157" t="e">
        <f t="shared" ca="1" si="180"/>
        <v>#VALUE!</v>
      </c>
      <c r="BO115" s="1157" t="e">
        <f t="shared" ca="1" si="180"/>
        <v>#VALUE!</v>
      </c>
      <c r="BP115" s="1157" t="e">
        <f t="shared" ca="1" si="180"/>
        <v>#VALUE!</v>
      </c>
      <c r="BQ115" s="1157" t="e">
        <f t="shared" ca="1" si="180"/>
        <v>#VALUE!</v>
      </c>
      <c r="BR115" s="1157" t="e">
        <f t="shared" ca="1" si="180"/>
        <v>#VALUE!</v>
      </c>
      <c r="BS115" s="1157" t="e">
        <f t="shared" ca="1" si="180"/>
        <v>#VALUE!</v>
      </c>
      <c r="BT115" s="1157" t="e">
        <f t="shared" ca="1" si="180"/>
        <v>#VALUE!</v>
      </c>
      <c r="BU115" s="1157" t="e">
        <f t="shared" ca="1" si="180"/>
        <v>#VALUE!</v>
      </c>
      <c r="BV115" s="1157" t="e">
        <f t="shared" ca="1" si="180"/>
        <v>#VALUE!</v>
      </c>
      <c r="BW115" s="1157" t="e">
        <f t="shared" ca="1" si="180"/>
        <v>#VALUE!</v>
      </c>
      <c r="BX115" s="1157" t="e">
        <f t="shared" ca="1" si="180"/>
        <v>#VALUE!</v>
      </c>
      <c r="BY115" s="1157" t="e">
        <f t="shared" ca="1" si="180"/>
        <v>#VALUE!</v>
      </c>
      <c r="BZ115" s="1157" t="e">
        <f t="shared" ca="1" si="180"/>
        <v>#VALUE!</v>
      </c>
      <c r="CA115" s="1157" t="e">
        <f t="shared" ca="1" si="180"/>
        <v>#VALUE!</v>
      </c>
      <c r="CB115" s="1157" t="e">
        <f t="shared" ca="1" si="180"/>
        <v>#VALUE!</v>
      </c>
      <c r="CC115" s="1157" t="e">
        <f t="shared" ca="1" si="180"/>
        <v>#VALUE!</v>
      </c>
      <c r="CD115" s="1157" t="e">
        <f t="shared" ca="1" si="180"/>
        <v>#VALUE!</v>
      </c>
      <c r="CE115" s="1157" t="e">
        <f t="shared" ca="1" si="180"/>
        <v>#VALUE!</v>
      </c>
      <c r="CF115" s="1157" t="e">
        <f t="shared" ca="1" si="180"/>
        <v>#VALUE!</v>
      </c>
      <c r="CG115" s="1157" t="e">
        <f t="shared" ca="1" si="180"/>
        <v>#VALUE!</v>
      </c>
      <c r="CH115" s="1157" t="e">
        <f t="shared" ca="1" si="180"/>
        <v>#VALUE!</v>
      </c>
      <c r="CI115" s="1157" t="e">
        <f t="shared" ref="CI115:DR115" ca="1" si="181">1000000*IF(CI$105&lt;=(Åpningsår+ProsjektetsLevetid-1),IF(CI105&lt;=AndreBeregningsår,IF(SIGN($F115)=SIGN($G115),$F115*$I115^(CI105-FørsteBeregningsår),($F115+1.1*ABS($F115-$G115))*$I115^(CI105-FørsteBeregningsår)-1.1*ABS($F115-$G115)),IF(CI105&lt;=TredjeBeregningsår,IF(SIGN($G115)=SIGN($H115),$G115*$J115^(CI105-AndreBeregningsår),($G115+1.1*ABS($G115-$H115))*$J115^(CI105-AndreBeregningsår)-1.1*ABS($G115-$H115)),OFFSET($F115,0,Antall_Beregningsår-1)*LOOKUP(CI105,SerieÅR,SerieVolumvekstperson)+$K115*(CI105-IF(Antall_Beregningsår&gt;2,TredjeBeregningsår,AndreBeregningsår)))),"")</f>
        <v>#VALUE!</v>
      </c>
      <c r="CJ115" s="1157" t="e">
        <f t="shared" ca="1" si="181"/>
        <v>#VALUE!</v>
      </c>
      <c r="CK115" s="1157" t="e">
        <f t="shared" ca="1" si="181"/>
        <v>#VALUE!</v>
      </c>
      <c r="CL115" s="1157" t="e">
        <f t="shared" ca="1" si="181"/>
        <v>#VALUE!</v>
      </c>
      <c r="CM115" s="1157" t="e">
        <f t="shared" ca="1" si="181"/>
        <v>#VALUE!</v>
      </c>
      <c r="CN115" s="1157" t="e">
        <f t="shared" ca="1" si="181"/>
        <v>#VALUE!</v>
      </c>
      <c r="CO115" s="1157" t="e">
        <f t="shared" ca="1" si="181"/>
        <v>#VALUE!</v>
      </c>
      <c r="CP115" s="1157" t="e">
        <f t="shared" ca="1" si="181"/>
        <v>#VALUE!</v>
      </c>
      <c r="CQ115" s="1157" t="e">
        <f t="shared" ca="1" si="181"/>
        <v>#VALUE!</v>
      </c>
      <c r="CR115" s="1157" t="e">
        <f t="shared" ca="1" si="181"/>
        <v>#VALUE!</v>
      </c>
      <c r="CS115" s="1157" t="e">
        <f t="shared" ca="1" si="181"/>
        <v>#VALUE!</v>
      </c>
      <c r="CT115" s="1157" t="e">
        <f t="shared" ca="1" si="181"/>
        <v>#VALUE!</v>
      </c>
      <c r="CU115" s="1157" t="e">
        <f t="shared" ca="1" si="181"/>
        <v>#VALUE!</v>
      </c>
      <c r="CV115" s="1157" t="e">
        <f t="shared" ca="1" si="181"/>
        <v>#VALUE!</v>
      </c>
      <c r="CW115" s="1157" t="e">
        <f t="shared" ca="1" si="181"/>
        <v>#VALUE!</v>
      </c>
      <c r="CX115" s="1157" t="e">
        <f t="shared" ca="1" si="181"/>
        <v>#VALUE!</v>
      </c>
      <c r="CY115" s="1157" t="e">
        <f t="shared" ca="1" si="181"/>
        <v>#VALUE!</v>
      </c>
      <c r="CZ115" s="1157" t="e">
        <f t="shared" ca="1" si="181"/>
        <v>#VALUE!</v>
      </c>
      <c r="DA115" s="1157" t="e">
        <f t="shared" ca="1" si="181"/>
        <v>#VALUE!</v>
      </c>
      <c r="DB115" s="1157" t="e">
        <f t="shared" ca="1" si="181"/>
        <v>#VALUE!</v>
      </c>
      <c r="DC115" s="1157" t="e">
        <f t="shared" ca="1" si="181"/>
        <v>#VALUE!</v>
      </c>
      <c r="DD115" s="1157" t="e">
        <f t="shared" ca="1" si="181"/>
        <v>#VALUE!</v>
      </c>
      <c r="DE115" s="1157" t="e">
        <f t="shared" ca="1" si="181"/>
        <v>#VALUE!</v>
      </c>
      <c r="DF115" s="1157" t="e">
        <f t="shared" ca="1" si="181"/>
        <v>#VALUE!</v>
      </c>
      <c r="DG115" s="1157" t="e">
        <f t="shared" ca="1" si="181"/>
        <v>#VALUE!</v>
      </c>
      <c r="DH115" s="1157" t="e">
        <f t="shared" ca="1" si="181"/>
        <v>#VALUE!</v>
      </c>
      <c r="DI115" s="1157" t="e">
        <f t="shared" ca="1" si="181"/>
        <v>#VALUE!</v>
      </c>
      <c r="DJ115" s="1157" t="e">
        <f t="shared" ca="1" si="181"/>
        <v>#VALUE!</v>
      </c>
      <c r="DK115" s="1157" t="e">
        <f t="shared" ca="1" si="181"/>
        <v>#VALUE!</v>
      </c>
      <c r="DL115" s="1157" t="e">
        <f t="shared" ca="1" si="181"/>
        <v>#VALUE!</v>
      </c>
      <c r="DM115" s="1157" t="e">
        <f t="shared" ca="1" si="181"/>
        <v>#VALUE!</v>
      </c>
      <c r="DN115" s="1157" t="e">
        <f t="shared" ca="1" si="181"/>
        <v>#VALUE!</v>
      </c>
      <c r="DO115" s="1157" t="e">
        <f t="shared" ca="1" si="181"/>
        <v>#VALUE!</v>
      </c>
      <c r="DP115" s="1157" t="e">
        <f t="shared" ca="1" si="181"/>
        <v>#VALUE!</v>
      </c>
      <c r="DQ115" s="1157" t="e">
        <f t="shared" ca="1" si="181"/>
        <v>#VALUE!</v>
      </c>
      <c r="DR115" s="1170" t="e">
        <f t="shared" ca="1" si="181"/>
        <v>#VALUE!</v>
      </c>
    </row>
    <row r="116" spans="1:122" x14ac:dyDescent="0.35">
      <c r="A116" s="685"/>
      <c r="B116" s="446" t="str">
        <f>'1.5 Prognoser og indekser'!G26</f>
        <v>CO2-utslipp - Personbil (kg/km)</v>
      </c>
      <c r="C116" s="1157"/>
      <c r="D116" s="1157"/>
      <c r="E116" s="1157"/>
      <c r="F116" s="1157"/>
      <c r="G116" s="1157"/>
      <c r="H116" s="1157"/>
      <c r="I116" s="1157"/>
      <c r="J116" s="1157"/>
      <c r="K116" s="1157"/>
      <c r="L116" s="1157"/>
      <c r="M116" s="1157"/>
      <c r="N116" s="1157"/>
      <c r="O116" s="1157"/>
      <c r="P116" s="1157"/>
      <c r="Q116" s="1157">
        <f>'1.5 Prognoser og indekser'!V26</f>
        <v>0.18622082979533278</v>
      </c>
      <c r="R116" s="1157">
        <f>'1.5 Prognoser og indekser'!W26</f>
        <v>0.18622082979533278</v>
      </c>
      <c r="S116" s="1157">
        <f>'1.5 Prognoser og indekser'!X26</f>
        <v>0.18622082979533278</v>
      </c>
      <c r="T116" s="1157">
        <f>'1.5 Prognoser og indekser'!Y26</f>
        <v>0.18622082979533278</v>
      </c>
      <c r="U116" s="1157">
        <f>'1.5 Prognoser og indekser'!Z26</f>
        <v>0.18622082979533278</v>
      </c>
      <c r="V116" s="1157">
        <f>'1.5 Prognoser og indekser'!AA26</f>
        <v>0.18622082979533278</v>
      </c>
      <c r="W116" s="1157">
        <f>'1.5 Prognoser og indekser'!AB26</f>
        <v>0.18622082979533278</v>
      </c>
      <c r="X116" s="1157">
        <f>'1.5 Prognoser og indekser'!AC26</f>
        <v>0.18622082979533278</v>
      </c>
      <c r="Y116" s="1157">
        <f>'1.5 Prognoser og indekser'!AD26</f>
        <v>0.18622082979533278</v>
      </c>
      <c r="Z116" s="1157">
        <f>'1.5 Prognoser og indekser'!AE26</f>
        <v>0.18622082979533278</v>
      </c>
      <c r="AA116" s="1157">
        <f>'1.5 Prognoser og indekser'!AF26</f>
        <v>0.18622082979533278</v>
      </c>
      <c r="AB116" s="1157">
        <f>'1.5 Prognoser og indekser'!AG26</f>
        <v>0.18622082979533278</v>
      </c>
      <c r="AC116" s="1157">
        <f>'1.5 Prognoser og indekser'!AH26</f>
        <v>0.18622082979533278</v>
      </c>
      <c r="AD116" s="1157">
        <f>'1.5 Prognoser og indekser'!AI26</f>
        <v>0.18622082979533278</v>
      </c>
      <c r="AE116" s="1157">
        <f>'1.5 Prognoser og indekser'!AJ26</f>
        <v>0.18622082979533278</v>
      </c>
      <c r="AF116" s="1157">
        <f>'1.5 Prognoser og indekser'!AK26</f>
        <v>0.18622082979533278</v>
      </c>
      <c r="AG116" s="1157">
        <f>'1.5 Prognoser og indekser'!AL26</f>
        <v>0.18622082979533278</v>
      </c>
      <c r="AH116" s="1157">
        <f>'1.5 Prognoser og indekser'!AM26</f>
        <v>0.18622082979533278</v>
      </c>
      <c r="AI116" s="1157">
        <f>'1.5 Prognoser og indekser'!AN26</f>
        <v>0.18622082979533278</v>
      </c>
      <c r="AJ116" s="1157">
        <f>'1.5 Prognoser og indekser'!AO26</f>
        <v>0.18622082979533278</v>
      </c>
      <c r="AK116" s="1157">
        <f>'1.5 Prognoser og indekser'!AP26</f>
        <v>0.18622082979533278</v>
      </c>
      <c r="AL116" s="1157">
        <f>'1.5 Prognoser og indekser'!AQ26</f>
        <v>0.18622082979533278</v>
      </c>
      <c r="AM116" s="1157">
        <f>'1.5 Prognoser og indekser'!AR26</f>
        <v>0.18622082979533278</v>
      </c>
      <c r="AN116" s="1157">
        <f>'1.5 Prognoser og indekser'!AS26</f>
        <v>0.18622082979533278</v>
      </c>
      <c r="AO116" s="1157">
        <f>'1.5 Prognoser og indekser'!AT26</f>
        <v>0.18622082979533278</v>
      </c>
      <c r="AP116" s="1157">
        <f>'1.5 Prognoser og indekser'!AU26</f>
        <v>0.18622082979533278</v>
      </c>
      <c r="AQ116" s="1157">
        <f>'1.5 Prognoser og indekser'!AV26</f>
        <v>0.18622082979533278</v>
      </c>
      <c r="AR116" s="1157">
        <f>'1.5 Prognoser og indekser'!AW26</f>
        <v>0.18622082979533278</v>
      </c>
      <c r="AS116" s="1157">
        <f>'1.5 Prognoser og indekser'!AX26</f>
        <v>0.18622082979533278</v>
      </c>
      <c r="AT116" s="1157">
        <f>'1.5 Prognoser og indekser'!AY26</f>
        <v>0.18622082979533278</v>
      </c>
      <c r="AU116" s="1157">
        <f>'1.5 Prognoser og indekser'!AZ26</f>
        <v>0.18622082979533278</v>
      </c>
      <c r="AV116" s="1157">
        <f>'1.5 Prognoser og indekser'!BA26</f>
        <v>0.18622082979533278</v>
      </c>
      <c r="AW116" s="1157">
        <f>'1.5 Prognoser og indekser'!BB26</f>
        <v>0.18622082979533278</v>
      </c>
      <c r="AX116" s="1157">
        <f>'1.5 Prognoser og indekser'!BC26</f>
        <v>0.18622082979533278</v>
      </c>
      <c r="AY116" s="1157">
        <f>'1.5 Prognoser og indekser'!BD26</f>
        <v>0.18622082979533278</v>
      </c>
      <c r="AZ116" s="1157">
        <f>'1.5 Prognoser og indekser'!BE26</f>
        <v>0.18622082979533278</v>
      </c>
      <c r="BA116" s="1157">
        <f>'1.5 Prognoser og indekser'!BF26</f>
        <v>0.18622082979533278</v>
      </c>
      <c r="BB116" s="1157">
        <f>'1.5 Prognoser og indekser'!BG26</f>
        <v>0.18622082979533278</v>
      </c>
      <c r="BC116" s="1157">
        <f>'1.5 Prognoser og indekser'!BH26</f>
        <v>0.18622082979533278</v>
      </c>
      <c r="BD116" s="1157">
        <f>'1.5 Prognoser og indekser'!BI26</f>
        <v>0.18622082979533278</v>
      </c>
      <c r="BE116" s="1157">
        <f>'1.5 Prognoser og indekser'!BJ26</f>
        <v>0.18622082979533278</v>
      </c>
      <c r="BF116" s="1157">
        <f>'1.5 Prognoser og indekser'!BK26</f>
        <v>0.18622082979533278</v>
      </c>
      <c r="BG116" s="1157">
        <f>'1.5 Prognoser og indekser'!BL26</f>
        <v>0.18622082979533278</v>
      </c>
      <c r="BH116" s="1157">
        <f>'1.5 Prognoser og indekser'!BM26</f>
        <v>0.18622082979533278</v>
      </c>
      <c r="BI116" s="1157">
        <f>'1.5 Prognoser og indekser'!BN26</f>
        <v>0.18622082979533278</v>
      </c>
      <c r="BJ116" s="1157">
        <f>'1.5 Prognoser og indekser'!BO26</f>
        <v>0.18622082979533278</v>
      </c>
      <c r="BK116" s="1157">
        <f>'1.5 Prognoser og indekser'!BP26</f>
        <v>0.18622082979533278</v>
      </c>
      <c r="BL116" s="1157">
        <f>'1.5 Prognoser og indekser'!BQ26</f>
        <v>0.18622082979533278</v>
      </c>
      <c r="BM116" s="1157">
        <f>'1.5 Prognoser og indekser'!BR26</f>
        <v>0.18622082979533278</v>
      </c>
      <c r="BN116" s="1157">
        <f>'1.5 Prognoser og indekser'!BS26</f>
        <v>0.18622082979533278</v>
      </c>
      <c r="BO116" s="1157">
        <f>'1.5 Prognoser og indekser'!BT26</f>
        <v>0.18622082979533278</v>
      </c>
      <c r="BP116" s="1157">
        <f>'1.5 Prognoser og indekser'!BU26</f>
        <v>0.18622082979533278</v>
      </c>
      <c r="BQ116" s="1157">
        <f>'1.5 Prognoser og indekser'!BV26</f>
        <v>0.18622082979533278</v>
      </c>
      <c r="BR116" s="1157">
        <f>'1.5 Prognoser og indekser'!BW26</f>
        <v>0.18622082979533278</v>
      </c>
      <c r="BS116" s="1157">
        <f>'1.5 Prognoser og indekser'!BX26</f>
        <v>0.18622082979533278</v>
      </c>
      <c r="BT116" s="1157">
        <f>'1.5 Prognoser og indekser'!BY26</f>
        <v>0.18622082979533278</v>
      </c>
      <c r="BU116" s="1157">
        <f>'1.5 Prognoser og indekser'!BZ26</f>
        <v>0.18622082979533278</v>
      </c>
      <c r="BV116" s="1157">
        <f>'1.5 Prognoser og indekser'!CA26</f>
        <v>0.18622082979533278</v>
      </c>
      <c r="BW116" s="1157">
        <f>'1.5 Prognoser og indekser'!CB26</f>
        <v>0.18622082979533278</v>
      </c>
      <c r="BX116" s="1157">
        <f>'1.5 Prognoser og indekser'!CC26</f>
        <v>0.18622082979533278</v>
      </c>
      <c r="BY116" s="1157">
        <f>'1.5 Prognoser og indekser'!CD26</f>
        <v>0.18622082979533278</v>
      </c>
      <c r="BZ116" s="1157">
        <f>'1.5 Prognoser og indekser'!CE26</f>
        <v>0.18622082979533278</v>
      </c>
      <c r="CA116" s="1157">
        <f>'1.5 Prognoser og indekser'!CF26</f>
        <v>0.18622082979533278</v>
      </c>
      <c r="CB116" s="1157">
        <f>'1.5 Prognoser og indekser'!CG26</f>
        <v>0.18622082979533278</v>
      </c>
      <c r="CC116" s="1157">
        <f>'1.5 Prognoser og indekser'!CH26</f>
        <v>0.18622082979533278</v>
      </c>
      <c r="CD116" s="1157">
        <f>'1.5 Prognoser og indekser'!CI26</f>
        <v>0.18622082979533278</v>
      </c>
      <c r="CE116" s="1157">
        <f>'1.5 Prognoser og indekser'!CJ26</f>
        <v>0.18622082979533278</v>
      </c>
      <c r="CF116" s="1157">
        <f>'1.5 Prognoser og indekser'!CK26</f>
        <v>0.18622082979533278</v>
      </c>
      <c r="CG116" s="1157">
        <f>'1.5 Prognoser og indekser'!CL26</f>
        <v>0.18622082979533278</v>
      </c>
      <c r="CH116" s="1157">
        <f>'1.5 Prognoser og indekser'!CM26</f>
        <v>0.18622082979533278</v>
      </c>
      <c r="CI116" s="1157">
        <f>'1.5 Prognoser og indekser'!CN26</f>
        <v>0.18622082979533278</v>
      </c>
      <c r="CJ116" s="1157">
        <f>'1.5 Prognoser og indekser'!CO26</f>
        <v>0.18622082979533278</v>
      </c>
      <c r="CK116" s="1157">
        <f>'1.5 Prognoser og indekser'!CP26</f>
        <v>0.18622082979533278</v>
      </c>
      <c r="CL116" s="1157">
        <f>'1.5 Prognoser og indekser'!CQ26</f>
        <v>0.18622082979533278</v>
      </c>
      <c r="CM116" s="1157">
        <f>'1.5 Prognoser og indekser'!CR26</f>
        <v>0.18622082979533278</v>
      </c>
      <c r="CN116" s="1157">
        <f>'1.5 Prognoser og indekser'!CS26</f>
        <v>0.18622082979533278</v>
      </c>
      <c r="CO116" s="1157">
        <f>'1.5 Prognoser og indekser'!CT26</f>
        <v>0.18622082979533278</v>
      </c>
      <c r="CP116" s="1157">
        <f>'1.5 Prognoser og indekser'!CU26</f>
        <v>0.18622082979533278</v>
      </c>
      <c r="CQ116" s="1157">
        <f>'1.5 Prognoser og indekser'!CV26</f>
        <v>0.18622082979533278</v>
      </c>
      <c r="CR116" s="1157">
        <f>'1.5 Prognoser og indekser'!CW26</f>
        <v>0.18622082979533278</v>
      </c>
      <c r="CS116" s="1157">
        <f>'1.5 Prognoser og indekser'!CX26</f>
        <v>0.18622082979533278</v>
      </c>
      <c r="CT116" s="1157">
        <f>'1.5 Prognoser og indekser'!CY26</f>
        <v>0.18622082979533278</v>
      </c>
      <c r="CU116" s="1157">
        <f>'1.5 Prognoser og indekser'!CZ26</f>
        <v>0.18622082979533278</v>
      </c>
      <c r="CV116" s="1157">
        <f>'1.5 Prognoser og indekser'!DA26</f>
        <v>0.18622082979533278</v>
      </c>
      <c r="CW116" s="1157">
        <f>'1.5 Prognoser og indekser'!DB26</f>
        <v>0.18622082979533278</v>
      </c>
      <c r="CX116" s="1157">
        <f>'1.5 Prognoser og indekser'!DC26</f>
        <v>0.18622082979533278</v>
      </c>
      <c r="CY116" s="1157">
        <f>'1.5 Prognoser og indekser'!DD26</f>
        <v>0.18622082979533278</v>
      </c>
      <c r="CZ116" s="1157">
        <f>'1.5 Prognoser og indekser'!DE26</f>
        <v>0.18622082979533278</v>
      </c>
      <c r="DA116" s="1157">
        <f>'1.5 Prognoser og indekser'!DF26</f>
        <v>0.18622082979533278</v>
      </c>
      <c r="DB116" s="1157">
        <f>'1.5 Prognoser og indekser'!DG26</f>
        <v>0.18622082979533278</v>
      </c>
      <c r="DC116" s="1157">
        <f>'1.5 Prognoser og indekser'!DH26</f>
        <v>0.18622082979533278</v>
      </c>
      <c r="DD116" s="1157">
        <f>'1.5 Prognoser og indekser'!DI26</f>
        <v>0.18622082979533278</v>
      </c>
      <c r="DE116" s="1157">
        <f>'1.5 Prognoser og indekser'!DJ26</f>
        <v>0.18622082979533278</v>
      </c>
      <c r="DF116" s="1157">
        <f>'1.5 Prognoser og indekser'!DK26</f>
        <v>0.18622082979533278</v>
      </c>
      <c r="DG116" s="1157">
        <f>'1.5 Prognoser og indekser'!DL26</f>
        <v>0.18622082979533278</v>
      </c>
      <c r="DH116" s="1157">
        <f>'1.5 Prognoser og indekser'!DM26</f>
        <v>0.18622082979533278</v>
      </c>
      <c r="DI116" s="1157">
        <f>'1.5 Prognoser og indekser'!DN26</f>
        <v>0.18622082979533278</v>
      </c>
      <c r="DJ116" s="1157">
        <f>'1.5 Prognoser og indekser'!DO26</f>
        <v>0.18622082979533278</v>
      </c>
      <c r="DK116" s="1157">
        <f>'1.5 Prognoser og indekser'!DP26</f>
        <v>0.18622082979533278</v>
      </c>
      <c r="DL116" s="1157">
        <f>'1.5 Prognoser og indekser'!DQ26</f>
        <v>0.18622082979533278</v>
      </c>
      <c r="DM116" s="1157">
        <f>'1.5 Prognoser og indekser'!DR26</f>
        <v>0.18622082979533278</v>
      </c>
      <c r="DN116" s="1157">
        <f>'1.5 Prognoser og indekser'!DS26</f>
        <v>0.18622082979533278</v>
      </c>
      <c r="DO116" s="1157">
        <f>'1.5 Prognoser og indekser'!DT26</f>
        <v>0.18622082979533278</v>
      </c>
      <c r="DP116" s="1157">
        <f>'1.5 Prognoser og indekser'!DU26</f>
        <v>0.18622082979533278</v>
      </c>
      <c r="DQ116" s="1157">
        <f>'1.5 Prognoser og indekser'!DV26</f>
        <v>0.18622082979533278</v>
      </c>
      <c r="DR116" s="1170">
        <f>'1.5 Prognoser og indekser'!DW26</f>
        <v>0.18622082979533278</v>
      </c>
    </row>
    <row r="117" spans="1:122" x14ac:dyDescent="0.35">
      <c r="A117" s="685"/>
      <c r="B117" s="446" t="str">
        <f>'1.5 Prognoser og indekser'!G27</f>
        <v>CO2-utslipp - Lastebil (kg/km)</v>
      </c>
      <c r="C117" s="1157"/>
      <c r="D117" s="1157"/>
      <c r="E117" s="1157"/>
      <c r="F117" s="1157"/>
      <c r="G117" s="1157"/>
      <c r="H117" s="1157"/>
      <c r="I117" s="1157"/>
      <c r="J117" s="1157"/>
      <c r="K117" s="1157"/>
      <c r="L117" s="1157"/>
      <c r="M117" s="1157"/>
      <c r="N117" s="1157"/>
      <c r="O117" s="1157"/>
      <c r="P117" s="1157"/>
      <c r="Q117" s="1157">
        <f>'1.5 Prognoser og indekser'!V27</f>
        <v>1.0702234382124942</v>
      </c>
      <c r="R117" s="1157">
        <f>'1.5 Prognoser og indekser'!W27</f>
        <v>1.0702234382124942</v>
      </c>
      <c r="S117" s="1157">
        <f>'1.5 Prognoser og indekser'!X27</f>
        <v>1.0702234382124942</v>
      </c>
      <c r="T117" s="1157">
        <f>'1.5 Prognoser og indekser'!Y27</f>
        <v>1.0702234382124942</v>
      </c>
      <c r="U117" s="1157">
        <f>'1.5 Prognoser og indekser'!Z27</f>
        <v>1.0702234382124942</v>
      </c>
      <c r="V117" s="1157">
        <f>'1.5 Prognoser og indekser'!AA27</f>
        <v>1.0702234382124942</v>
      </c>
      <c r="W117" s="1157">
        <f>'1.5 Prognoser og indekser'!AB27</f>
        <v>1.0702234382124942</v>
      </c>
      <c r="X117" s="1157">
        <f>'1.5 Prognoser og indekser'!AC27</f>
        <v>1.0702234382124942</v>
      </c>
      <c r="Y117" s="1157">
        <f>'1.5 Prognoser og indekser'!AD27</f>
        <v>1.0702234382124942</v>
      </c>
      <c r="Z117" s="1157">
        <f>'1.5 Prognoser og indekser'!AE27</f>
        <v>1.0702234382124942</v>
      </c>
      <c r="AA117" s="1157">
        <f>'1.5 Prognoser og indekser'!AF27</f>
        <v>1.0702234382124942</v>
      </c>
      <c r="AB117" s="1157">
        <f>'1.5 Prognoser og indekser'!AG27</f>
        <v>1.0702234382124942</v>
      </c>
      <c r="AC117" s="1157">
        <f>'1.5 Prognoser og indekser'!AH27</f>
        <v>1.0702234382124942</v>
      </c>
      <c r="AD117" s="1157">
        <f>'1.5 Prognoser og indekser'!AI27</f>
        <v>1.0702234382124942</v>
      </c>
      <c r="AE117" s="1157">
        <f>'1.5 Prognoser og indekser'!AJ27</f>
        <v>1.0702234382124942</v>
      </c>
      <c r="AF117" s="1157">
        <f>'1.5 Prognoser og indekser'!AK27</f>
        <v>1.0702234382124942</v>
      </c>
      <c r="AG117" s="1157">
        <f>'1.5 Prognoser og indekser'!AL27</f>
        <v>1.0702234382124942</v>
      </c>
      <c r="AH117" s="1157">
        <f>'1.5 Prognoser og indekser'!AM27</f>
        <v>1.0702234382124942</v>
      </c>
      <c r="AI117" s="1157">
        <f>'1.5 Prognoser og indekser'!AN27</f>
        <v>1.0702234382124942</v>
      </c>
      <c r="AJ117" s="1157">
        <f>'1.5 Prognoser og indekser'!AO27</f>
        <v>1.0702234382124942</v>
      </c>
      <c r="AK117" s="1157">
        <f>'1.5 Prognoser og indekser'!AP27</f>
        <v>1.0702234382124942</v>
      </c>
      <c r="AL117" s="1157">
        <f>'1.5 Prognoser og indekser'!AQ27</f>
        <v>1.0702234382124942</v>
      </c>
      <c r="AM117" s="1157">
        <f>'1.5 Prognoser og indekser'!AR27</f>
        <v>1.0702234382124942</v>
      </c>
      <c r="AN117" s="1157">
        <f>'1.5 Prognoser og indekser'!AS27</f>
        <v>1.0702234382124942</v>
      </c>
      <c r="AO117" s="1157">
        <f>'1.5 Prognoser og indekser'!AT27</f>
        <v>1.0702234382124942</v>
      </c>
      <c r="AP117" s="1157">
        <f>'1.5 Prognoser og indekser'!AU27</f>
        <v>1.0702234382124942</v>
      </c>
      <c r="AQ117" s="1157">
        <f>'1.5 Prognoser og indekser'!AV27</f>
        <v>1.0702234382124942</v>
      </c>
      <c r="AR117" s="1157">
        <f>'1.5 Prognoser og indekser'!AW27</f>
        <v>1.0702234382124942</v>
      </c>
      <c r="AS117" s="1157">
        <f>'1.5 Prognoser og indekser'!AX27</f>
        <v>1.0702234382124942</v>
      </c>
      <c r="AT117" s="1157">
        <f>'1.5 Prognoser og indekser'!AY27</f>
        <v>1.0702234382124942</v>
      </c>
      <c r="AU117" s="1157">
        <f>'1.5 Prognoser og indekser'!AZ27</f>
        <v>1.0702234382124942</v>
      </c>
      <c r="AV117" s="1157">
        <f>'1.5 Prognoser og indekser'!BA27</f>
        <v>1.0702234382124942</v>
      </c>
      <c r="AW117" s="1157">
        <f>'1.5 Prognoser og indekser'!BB27</f>
        <v>1.0702234382124942</v>
      </c>
      <c r="AX117" s="1157">
        <f>'1.5 Prognoser og indekser'!BC27</f>
        <v>1.0702234382124942</v>
      </c>
      <c r="AY117" s="1157">
        <f>'1.5 Prognoser og indekser'!BD27</f>
        <v>1.0702234382124942</v>
      </c>
      <c r="AZ117" s="1157">
        <f>'1.5 Prognoser og indekser'!BE27</f>
        <v>1.0702234382124942</v>
      </c>
      <c r="BA117" s="1157">
        <f>'1.5 Prognoser og indekser'!BF27</f>
        <v>1.0702234382124942</v>
      </c>
      <c r="BB117" s="1157">
        <f>'1.5 Prognoser og indekser'!BG27</f>
        <v>1.0702234382124942</v>
      </c>
      <c r="BC117" s="1157">
        <f>'1.5 Prognoser og indekser'!BH27</f>
        <v>1.0702234382124942</v>
      </c>
      <c r="BD117" s="1157">
        <f>'1.5 Prognoser og indekser'!BI27</f>
        <v>1.0702234382124942</v>
      </c>
      <c r="BE117" s="1157">
        <f>'1.5 Prognoser og indekser'!BJ27</f>
        <v>1.0702234382124942</v>
      </c>
      <c r="BF117" s="1157">
        <f>'1.5 Prognoser og indekser'!BK27</f>
        <v>1.0702234382124942</v>
      </c>
      <c r="BG117" s="1157">
        <f>'1.5 Prognoser og indekser'!BL27</f>
        <v>1.0702234382124942</v>
      </c>
      <c r="BH117" s="1157">
        <f>'1.5 Prognoser og indekser'!BM27</f>
        <v>1.0702234382124942</v>
      </c>
      <c r="BI117" s="1157">
        <f>'1.5 Prognoser og indekser'!BN27</f>
        <v>1.0702234382124942</v>
      </c>
      <c r="BJ117" s="1157">
        <f>'1.5 Prognoser og indekser'!BO27</f>
        <v>1.0702234382124942</v>
      </c>
      <c r="BK117" s="1157">
        <f>'1.5 Prognoser og indekser'!BP27</f>
        <v>1.0702234382124942</v>
      </c>
      <c r="BL117" s="1157">
        <f>'1.5 Prognoser og indekser'!BQ27</f>
        <v>1.0702234382124942</v>
      </c>
      <c r="BM117" s="1157">
        <f>'1.5 Prognoser og indekser'!BR27</f>
        <v>1.0702234382124942</v>
      </c>
      <c r="BN117" s="1157">
        <f>'1.5 Prognoser og indekser'!BS27</f>
        <v>1.0702234382124942</v>
      </c>
      <c r="BO117" s="1157">
        <f>'1.5 Prognoser og indekser'!BT27</f>
        <v>1.0702234382124942</v>
      </c>
      <c r="BP117" s="1157">
        <f>'1.5 Prognoser og indekser'!BU27</f>
        <v>1.0702234382124942</v>
      </c>
      <c r="BQ117" s="1157">
        <f>'1.5 Prognoser og indekser'!BV27</f>
        <v>1.0702234382124942</v>
      </c>
      <c r="BR117" s="1157">
        <f>'1.5 Prognoser og indekser'!BW27</f>
        <v>1.0702234382124942</v>
      </c>
      <c r="BS117" s="1157">
        <f>'1.5 Prognoser og indekser'!BX27</f>
        <v>1.0702234382124942</v>
      </c>
      <c r="BT117" s="1157">
        <f>'1.5 Prognoser og indekser'!BY27</f>
        <v>1.0702234382124942</v>
      </c>
      <c r="BU117" s="1157">
        <f>'1.5 Prognoser og indekser'!BZ27</f>
        <v>1.0702234382124942</v>
      </c>
      <c r="BV117" s="1157">
        <f>'1.5 Prognoser og indekser'!CA27</f>
        <v>1.0702234382124942</v>
      </c>
      <c r="BW117" s="1157">
        <f>'1.5 Prognoser og indekser'!CB27</f>
        <v>1.0702234382124942</v>
      </c>
      <c r="BX117" s="1157">
        <f>'1.5 Prognoser og indekser'!CC27</f>
        <v>1.0702234382124942</v>
      </c>
      <c r="BY117" s="1157">
        <f>'1.5 Prognoser og indekser'!CD27</f>
        <v>1.0702234382124942</v>
      </c>
      <c r="BZ117" s="1157">
        <f>'1.5 Prognoser og indekser'!CE27</f>
        <v>1.0702234382124942</v>
      </c>
      <c r="CA117" s="1157">
        <f>'1.5 Prognoser og indekser'!CF27</f>
        <v>1.0702234382124942</v>
      </c>
      <c r="CB117" s="1157">
        <f>'1.5 Prognoser og indekser'!CG27</f>
        <v>1.0702234382124942</v>
      </c>
      <c r="CC117" s="1157">
        <f>'1.5 Prognoser og indekser'!CH27</f>
        <v>1.0702234382124942</v>
      </c>
      <c r="CD117" s="1157">
        <f>'1.5 Prognoser og indekser'!CI27</f>
        <v>1.0702234382124942</v>
      </c>
      <c r="CE117" s="1157">
        <f>'1.5 Prognoser og indekser'!CJ27</f>
        <v>1.0702234382124942</v>
      </c>
      <c r="CF117" s="1157">
        <f>'1.5 Prognoser og indekser'!CK27</f>
        <v>1.0702234382124942</v>
      </c>
      <c r="CG117" s="1157">
        <f>'1.5 Prognoser og indekser'!CL27</f>
        <v>1.0702234382124942</v>
      </c>
      <c r="CH117" s="1157">
        <f>'1.5 Prognoser og indekser'!CM27</f>
        <v>1.0702234382124942</v>
      </c>
      <c r="CI117" s="1157">
        <f>'1.5 Prognoser og indekser'!CN27</f>
        <v>1.0702234382124942</v>
      </c>
      <c r="CJ117" s="1157">
        <f>'1.5 Prognoser og indekser'!CO27</f>
        <v>1.0702234382124942</v>
      </c>
      <c r="CK117" s="1157">
        <f>'1.5 Prognoser og indekser'!CP27</f>
        <v>1.0702234382124942</v>
      </c>
      <c r="CL117" s="1157">
        <f>'1.5 Prognoser og indekser'!CQ27</f>
        <v>1.0702234382124942</v>
      </c>
      <c r="CM117" s="1157">
        <f>'1.5 Prognoser og indekser'!CR27</f>
        <v>1.0702234382124942</v>
      </c>
      <c r="CN117" s="1157">
        <f>'1.5 Prognoser og indekser'!CS27</f>
        <v>1.0702234382124942</v>
      </c>
      <c r="CO117" s="1157">
        <f>'1.5 Prognoser og indekser'!CT27</f>
        <v>1.0702234382124942</v>
      </c>
      <c r="CP117" s="1157">
        <f>'1.5 Prognoser og indekser'!CU27</f>
        <v>1.0702234382124942</v>
      </c>
      <c r="CQ117" s="1157">
        <f>'1.5 Prognoser og indekser'!CV27</f>
        <v>1.0702234382124942</v>
      </c>
      <c r="CR117" s="1157">
        <f>'1.5 Prognoser og indekser'!CW27</f>
        <v>1.0702234382124942</v>
      </c>
      <c r="CS117" s="1157">
        <f>'1.5 Prognoser og indekser'!CX27</f>
        <v>1.0702234382124942</v>
      </c>
      <c r="CT117" s="1157">
        <f>'1.5 Prognoser og indekser'!CY27</f>
        <v>1.0702234382124942</v>
      </c>
      <c r="CU117" s="1157">
        <f>'1.5 Prognoser og indekser'!CZ27</f>
        <v>1.0702234382124942</v>
      </c>
      <c r="CV117" s="1157">
        <f>'1.5 Prognoser og indekser'!DA27</f>
        <v>1.0702234382124942</v>
      </c>
      <c r="CW117" s="1157">
        <f>'1.5 Prognoser og indekser'!DB27</f>
        <v>1.0702234382124942</v>
      </c>
      <c r="CX117" s="1157">
        <f>'1.5 Prognoser og indekser'!DC27</f>
        <v>1.0702234382124942</v>
      </c>
      <c r="CY117" s="1157">
        <f>'1.5 Prognoser og indekser'!DD27</f>
        <v>1.0702234382124942</v>
      </c>
      <c r="CZ117" s="1157">
        <f>'1.5 Prognoser og indekser'!DE27</f>
        <v>1.0702234382124942</v>
      </c>
      <c r="DA117" s="1157">
        <f>'1.5 Prognoser og indekser'!DF27</f>
        <v>1.0702234382124942</v>
      </c>
      <c r="DB117" s="1157">
        <f>'1.5 Prognoser og indekser'!DG27</f>
        <v>1.0702234382124942</v>
      </c>
      <c r="DC117" s="1157">
        <f>'1.5 Prognoser og indekser'!DH27</f>
        <v>1.0702234382124942</v>
      </c>
      <c r="DD117" s="1157">
        <f>'1.5 Prognoser og indekser'!DI27</f>
        <v>1.0702234382124942</v>
      </c>
      <c r="DE117" s="1157">
        <f>'1.5 Prognoser og indekser'!DJ27</f>
        <v>1.0702234382124942</v>
      </c>
      <c r="DF117" s="1157">
        <f>'1.5 Prognoser og indekser'!DK27</f>
        <v>1.0702234382124942</v>
      </c>
      <c r="DG117" s="1157">
        <f>'1.5 Prognoser og indekser'!DL27</f>
        <v>1.0702234382124942</v>
      </c>
      <c r="DH117" s="1157">
        <f>'1.5 Prognoser og indekser'!DM27</f>
        <v>1.0702234382124942</v>
      </c>
      <c r="DI117" s="1157">
        <f>'1.5 Prognoser og indekser'!DN27</f>
        <v>1.0702234382124942</v>
      </c>
      <c r="DJ117" s="1157">
        <f>'1.5 Prognoser og indekser'!DO27</f>
        <v>1.0702234382124942</v>
      </c>
      <c r="DK117" s="1157">
        <f>'1.5 Prognoser og indekser'!DP27</f>
        <v>1.0702234382124942</v>
      </c>
      <c r="DL117" s="1157">
        <f>'1.5 Prognoser og indekser'!DQ27</f>
        <v>1.0702234382124942</v>
      </c>
      <c r="DM117" s="1157">
        <f>'1.5 Prognoser og indekser'!DR27</f>
        <v>1.0702234382124942</v>
      </c>
      <c r="DN117" s="1157">
        <f>'1.5 Prognoser og indekser'!DS27</f>
        <v>1.0702234382124942</v>
      </c>
      <c r="DO117" s="1157">
        <f>'1.5 Prognoser og indekser'!DT27</f>
        <v>1.0702234382124942</v>
      </c>
      <c r="DP117" s="1157">
        <f>'1.5 Prognoser og indekser'!DU27</f>
        <v>1.0702234382124942</v>
      </c>
      <c r="DQ117" s="1157">
        <f>'1.5 Prognoser og indekser'!DV27</f>
        <v>1.0702234382124942</v>
      </c>
      <c r="DR117" s="1170">
        <f>'1.5 Prognoser og indekser'!DW27</f>
        <v>1.0702234382124942</v>
      </c>
    </row>
    <row r="118" spans="1:122" x14ac:dyDescent="0.35">
      <c r="A118" s="685"/>
      <c r="B118" s="446" t="str">
        <f>'1.5 Prognoser og indekser'!G28</f>
        <v>CO2-utslipp - Lett Lastebil (kg/km)</v>
      </c>
      <c r="C118" s="1157"/>
      <c r="D118" s="1157"/>
      <c r="E118" s="1157"/>
      <c r="F118" s="1157"/>
      <c r="G118" s="1157"/>
      <c r="H118" s="1157"/>
      <c r="I118" s="1157"/>
      <c r="J118" s="1157"/>
      <c r="K118" s="1157"/>
      <c r="L118" s="1157"/>
      <c r="M118" s="1157"/>
      <c r="N118" s="1157"/>
      <c r="O118" s="1157"/>
      <c r="P118" s="1157"/>
      <c r="Q118" s="1157" t="e">
        <f>'1.5 Prognoser og indekser'!V28</f>
        <v>#DIV/0!</v>
      </c>
      <c r="R118" s="1157" t="e">
        <f>'1.5 Prognoser og indekser'!W28</f>
        <v>#DIV/0!</v>
      </c>
      <c r="S118" s="1157" t="e">
        <f>'1.5 Prognoser og indekser'!X28</f>
        <v>#DIV/0!</v>
      </c>
      <c r="T118" s="1157" t="e">
        <f>'1.5 Prognoser og indekser'!Y28</f>
        <v>#DIV/0!</v>
      </c>
      <c r="U118" s="1157" t="e">
        <f>'1.5 Prognoser og indekser'!Z28</f>
        <v>#DIV/0!</v>
      </c>
      <c r="V118" s="1157" t="e">
        <f>'1.5 Prognoser og indekser'!AA28</f>
        <v>#DIV/0!</v>
      </c>
      <c r="W118" s="1157" t="e">
        <f>'1.5 Prognoser og indekser'!AB28</f>
        <v>#DIV/0!</v>
      </c>
      <c r="X118" s="1157" t="e">
        <f>'1.5 Prognoser og indekser'!AC28</f>
        <v>#DIV/0!</v>
      </c>
      <c r="Y118" s="1157" t="e">
        <f>'1.5 Prognoser og indekser'!AD28</f>
        <v>#DIV/0!</v>
      </c>
      <c r="Z118" s="1157" t="e">
        <f>'1.5 Prognoser og indekser'!AE28</f>
        <v>#DIV/0!</v>
      </c>
      <c r="AA118" s="1157" t="e">
        <f>'1.5 Prognoser og indekser'!AF28</f>
        <v>#DIV/0!</v>
      </c>
      <c r="AB118" s="1157" t="e">
        <f>'1.5 Prognoser og indekser'!AG28</f>
        <v>#DIV/0!</v>
      </c>
      <c r="AC118" s="1157" t="e">
        <f>'1.5 Prognoser og indekser'!AH28</f>
        <v>#DIV/0!</v>
      </c>
      <c r="AD118" s="1157" t="e">
        <f>'1.5 Prognoser og indekser'!AI28</f>
        <v>#DIV/0!</v>
      </c>
      <c r="AE118" s="1157" t="e">
        <f>'1.5 Prognoser og indekser'!AJ28</f>
        <v>#DIV/0!</v>
      </c>
      <c r="AF118" s="1157" t="e">
        <f>'1.5 Prognoser og indekser'!AK28</f>
        <v>#DIV/0!</v>
      </c>
      <c r="AG118" s="1157" t="e">
        <f>'1.5 Prognoser og indekser'!AL28</f>
        <v>#DIV/0!</v>
      </c>
      <c r="AH118" s="1157" t="e">
        <f>'1.5 Prognoser og indekser'!AM28</f>
        <v>#DIV/0!</v>
      </c>
      <c r="AI118" s="1157" t="e">
        <f>'1.5 Prognoser og indekser'!AN28</f>
        <v>#DIV/0!</v>
      </c>
      <c r="AJ118" s="1157" t="e">
        <f>'1.5 Prognoser og indekser'!AO28</f>
        <v>#DIV/0!</v>
      </c>
      <c r="AK118" s="1157" t="e">
        <f>'1.5 Prognoser og indekser'!AP28</f>
        <v>#DIV/0!</v>
      </c>
      <c r="AL118" s="1157" t="e">
        <f>'1.5 Prognoser og indekser'!AQ28</f>
        <v>#DIV/0!</v>
      </c>
      <c r="AM118" s="1157" t="e">
        <f>'1.5 Prognoser og indekser'!AR28</f>
        <v>#DIV/0!</v>
      </c>
      <c r="AN118" s="1157" t="e">
        <f>'1.5 Prognoser og indekser'!AS28</f>
        <v>#DIV/0!</v>
      </c>
      <c r="AO118" s="1157" t="e">
        <f>'1.5 Prognoser og indekser'!AT28</f>
        <v>#DIV/0!</v>
      </c>
      <c r="AP118" s="1157" t="e">
        <f>'1.5 Prognoser og indekser'!AU28</f>
        <v>#DIV/0!</v>
      </c>
      <c r="AQ118" s="1157" t="e">
        <f>'1.5 Prognoser og indekser'!AV28</f>
        <v>#DIV/0!</v>
      </c>
      <c r="AR118" s="1157" t="e">
        <f>'1.5 Prognoser og indekser'!AW28</f>
        <v>#DIV/0!</v>
      </c>
      <c r="AS118" s="1157" t="e">
        <f>'1.5 Prognoser og indekser'!AX28</f>
        <v>#DIV/0!</v>
      </c>
      <c r="AT118" s="1157" t="e">
        <f>'1.5 Prognoser og indekser'!AY28</f>
        <v>#DIV/0!</v>
      </c>
      <c r="AU118" s="1157" t="e">
        <f>'1.5 Prognoser og indekser'!AZ28</f>
        <v>#DIV/0!</v>
      </c>
      <c r="AV118" s="1157" t="e">
        <f>'1.5 Prognoser og indekser'!BA28</f>
        <v>#DIV/0!</v>
      </c>
      <c r="AW118" s="1157" t="e">
        <f>'1.5 Prognoser og indekser'!BB28</f>
        <v>#DIV/0!</v>
      </c>
      <c r="AX118" s="1157" t="e">
        <f>'1.5 Prognoser og indekser'!BC28</f>
        <v>#DIV/0!</v>
      </c>
      <c r="AY118" s="1157" t="e">
        <f>'1.5 Prognoser og indekser'!BD28</f>
        <v>#DIV/0!</v>
      </c>
      <c r="AZ118" s="1157" t="e">
        <f>'1.5 Prognoser og indekser'!BE28</f>
        <v>#DIV/0!</v>
      </c>
      <c r="BA118" s="1157" t="e">
        <f>'1.5 Prognoser og indekser'!BF28</f>
        <v>#DIV/0!</v>
      </c>
      <c r="BB118" s="1157" t="e">
        <f>'1.5 Prognoser og indekser'!BG28</f>
        <v>#DIV/0!</v>
      </c>
      <c r="BC118" s="1157" t="e">
        <f>'1.5 Prognoser og indekser'!BH28</f>
        <v>#DIV/0!</v>
      </c>
      <c r="BD118" s="1157" t="e">
        <f>'1.5 Prognoser og indekser'!BI28</f>
        <v>#DIV/0!</v>
      </c>
      <c r="BE118" s="1157" t="e">
        <f>'1.5 Prognoser og indekser'!BJ28</f>
        <v>#DIV/0!</v>
      </c>
      <c r="BF118" s="1157" t="e">
        <f>'1.5 Prognoser og indekser'!BK28</f>
        <v>#DIV/0!</v>
      </c>
      <c r="BG118" s="1157" t="e">
        <f>'1.5 Prognoser og indekser'!BL28</f>
        <v>#DIV/0!</v>
      </c>
      <c r="BH118" s="1157" t="e">
        <f>'1.5 Prognoser og indekser'!BM28</f>
        <v>#DIV/0!</v>
      </c>
      <c r="BI118" s="1157" t="e">
        <f>'1.5 Prognoser og indekser'!BN28</f>
        <v>#DIV/0!</v>
      </c>
      <c r="BJ118" s="1157" t="e">
        <f>'1.5 Prognoser og indekser'!BO28</f>
        <v>#DIV/0!</v>
      </c>
      <c r="BK118" s="1157" t="e">
        <f>'1.5 Prognoser og indekser'!BP28</f>
        <v>#DIV/0!</v>
      </c>
      <c r="BL118" s="1157" t="e">
        <f>'1.5 Prognoser og indekser'!BQ28</f>
        <v>#DIV/0!</v>
      </c>
      <c r="BM118" s="1157" t="e">
        <f>'1.5 Prognoser og indekser'!BR28</f>
        <v>#DIV/0!</v>
      </c>
      <c r="BN118" s="1157" t="e">
        <f>'1.5 Prognoser og indekser'!BS28</f>
        <v>#DIV/0!</v>
      </c>
      <c r="BO118" s="1157" t="e">
        <f>'1.5 Prognoser og indekser'!BT28</f>
        <v>#DIV/0!</v>
      </c>
      <c r="BP118" s="1157" t="e">
        <f>'1.5 Prognoser og indekser'!BU28</f>
        <v>#DIV/0!</v>
      </c>
      <c r="BQ118" s="1157" t="e">
        <f>'1.5 Prognoser og indekser'!BV28</f>
        <v>#DIV/0!</v>
      </c>
      <c r="BR118" s="1157" t="e">
        <f>'1.5 Prognoser og indekser'!BW28</f>
        <v>#DIV/0!</v>
      </c>
      <c r="BS118" s="1157" t="e">
        <f>'1.5 Prognoser og indekser'!BX28</f>
        <v>#DIV/0!</v>
      </c>
      <c r="BT118" s="1157" t="e">
        <f>'1.5 Prognoser og indekser'!BY28</f>
        <v>#DIV/0!</v>
      </c>
      <c r="BU118" s="1157" t="e">
        <f>'1.5 Prognoser og indekser'!BZ28</f>
        <v>#DIV/0!</v>
      </c>
      <c r="BV118" s="1157" t="e">
        <f>'1.5 Prognoser og indekser'!CA28</f>
        <v>#DIV/0!</v>
      </c>
      <c r="BW118" s="1157" t="e">
        <f>'1.5 Prognoser og indekser'!CB28</f>
        <v>#DIV/0!</v>
      </c>
      <c r="BX118" s="1157" t="e">
        <f>'1.5 Prognoser og indekser'!CC28</f>
        <v>#DIV/0!</v>
      </c>
      <c r="BY118" s="1157" t="e">
        <f>'1.5 Prognoser og indekser'!CD28</f>
        <v>#DIV/0!</v>
      </c>
      <c r="BZ118" s="1157" t="e">
        <f>'1.5 Prognoser og indekser'!CE28</f>
        <v>#DIV/0!</v>
      </c>
      <c r="CA118" s="1157" t="e">
        <f>'1.5 Prognoser og indekser'!CF28</f>
        <v>#DIV/0!</v>
      </c>
      <c r="CB118" s="1157" t="e">
        <f>'1.5 Prognoser og indekser'!CG28</f>
        <v>#DIV/0!</v>
      </c>
      <c r="CC118" s="1157" t="e">
        <f>'1.5 Prognoser og indekser'!CH28</f>
        <v>#DIV/0!</v>
      </c>
      <c r="CD118" s="1157" t="e">
        <f>'1.5 Prognoser og indekser'!CI28</f>
        <v>#DIV/0!</v>
      </c>
      <c r="CE118" s="1157" t="e">
        <f>'1.5 Prognoser og indekser'!CJ28</f>
        <v>#DIV/0!</v>
      </c>
      <c r="CF118" s="1157" t="e">
        <f>'1.5 Prognoser og indekser'!CK28</f>
        <v>#DIV/0!</v>
      </c>
      <c r="CG118" s="1157" t="e">
        <f>'1.5 Prognoser og indekser'!CL28</f>
        <v>#DIV/0!</v>
      </c>
      <c r="CH118" s="1157" t="e">
        <f>'1.5 Prognoser og indekser'!CM28</f>
        <v>#DIV/0!</v>
      </c>
      <c r="CI118" s="1157" t="e">
        <f>'1.5 Prognoser og indekser'!CN28</f>
        <v>#DIV/0!</v>
      </c>
      <c r="CJ118" s="1157" t="e">
        <f>'1.5 Prognoser og indekser'!CO28</f>
        <v>#DIV/0!</v>
      </c>
      <c r="CK118" s="1157" t="e">
        <f>'1.5 Prognoser og indekser'!CP28</f>
        <v>#DIV/0!</v>
      </c>
      <c r="CL118" s="1157" t="e">
        <f>'1.5 Prognoser og indekser'!CQ28</f>
        <v>#DIV/0!</v>
      </c>
      <c r="CM118" s="1157" t="e">
        <f>'1.5 Prognoser og indekser'!CR28</f>
        <v>#DIV/0!</v>
      </c>
      <c r="CN118" s="1157" t="e">
        <f>'1.5 Prognoser og indekser'!CS28</f>
        <v>#DIV/0!</v>
      </c>
      <c r="CO118" s="1157" t="e">
        <f>'1.5 Prognoser og indekser'!CT28</f>
        <v>#DIV/0!</v>
      </c>
      <c r="CP118" s="1157" t="e">
        <f>'1.5 Prognoser og indekser'!CU28</f>
        <v>#DIV/0!</v>
      </c>
      <c r="CQ118" s="1157" t="e">
        <f>'1.5 Prognoser og indekser'!CV28</f>
        <v>#DIV/0!</v>
      </c>
      <c r="CR118" s="1157" t="e">
        <f>'1.5 Prognoser og indekser'!CW28</f>
        <v>#DIV/0!</v>
      </c>
      <c r="CS118" s="1157" t="e">
        <f>'1.5 Prognoser og indekser'!CX28</f>
        <v>#DIV/0!</v>
      </c>
      <c r="CT118" s="1157" t="e">
        <f>'1.5 Prognoser og indekser'!CY28</f>
        <v>#DIV/0!</v>
      </c>
      <c r="CU118" s="1157" t="e">
        <f>'1.5 Prognoser og indekser'!CZ28</f>
        <v>#DIV/0!</v>
      </c>
      <c r="CV118" s="1157" t="e">
        <f>'1.5 Prognoser og indekser'!DA28</f>
        <v>#DIV/0!</v>
      </c>
      <c r="CW118" s="1157" t="e">
        <f>'1.5 Prognoser og indekser'!DB28</f>
        <v>#DIV/0!</v>
      </c>
      <c r="CX118" s="1157" t="e">
        <f>'1.5 Prognoser og indekser'!DC28</f>
        <v>#DIV/0!</v>
      </c>
      <c r="CY118" s="1157" t="e">
        <f>'1.5 Prognoser og indekser'!DD28</f>
        <v>#DIV/0!</v>
      </c>
      <c r="CZ118" s="1157" t="e">
        <f>'1.5 Prognoser og indekser'!DE28</f>
        <v>#DIV/0!</v>
      </c>
      <c r="DA118" s="1157" t="e">
        <f>'1.5 Prognoser og indekser'!DF28</f>
        <v>#DIV/0!</v>
      </c>
      <c r="DB118" s="1157" t="e">
        <f>'1.5 Prognoser og indekser'!DG28</f>
        <v>#DIV/0!</v>
      </c>
      <c r="DC118" s="1157" t="e">
        <f>'1.5 Prognoser og indekser'!DH28</f>
        <v>#DIV/0!</v>
      </c>
      <c r="DD118" s="1157" t="e">
        <f>'1.5 Prognoser og indekser'!DI28</f>
        <v>#DIV/0!</v>
      </c>
      <c r="DE118" s="1157" t="e">
        <f>'1.5 Prognoser og indekser'!DJ28</f>
        <v>#DIV/0!</v>
      </c>
      <c r="DF118" s="1157" t="e">
        <f>'1.5 Prognoser og indekser'!DK28</f>
        <v>#DIV/0!</v>
      </c>
      <c r="DG118" s="1157" t="e">
        <f>'1.5 Prognoser og indekser'!DL28</f>
        <v>#DIV/0!</v>
      </c>
      <c r="DH118" s="1157" t="e">
        <f>'1.5 Prognoser og indekser'!DM28</f>
        <v>#DIV/0!</v>
      </c>
      <c r="DI118" s="1157" t="e">
        <f>'1.5 Prognoser og indekser'!DN28</f>
        <v>#DIV/0!</v>
      </c>
      <c r="DJ118" s="1157" t="e">
        <f>'1.5 Prognoser og indekser'!DO28</f>
        <v>#DIV/0!</v>
      </c>
      <c r="DK118" s="1157" t="e">
        <f>'1.5 Prognoser og indekser'!DP28</f>
        <v>#DIV/0!</v>
      </c>
      <c r="DL118" s="1157" t="e">
        <f>'1.5 Prognoser og indekser'!DQ28</f>
        <v>#DIV/0!</v>
      </c>
      <c r="DM118" s="1157" t="e">
        <f>'1.5 Prognoser og indekser'!DR28</f>
        <v>#DIV/0!</v>
      </c>
      <c r="DN118" s="1157" t="e">
        <f>'1.5 Prognoser og indekser'!DS28</f>
        <v>#DIV/0!</v>
      </c>
      <c r="DO118" s="1157" t="e">
        <f>'1.5 Prognoser og indekser'!DT28</f>
        <v>#DIV/0!</v>
      </c>
      <c r="DP118" s="1157" t="e">
        <f>'1.5 Prognoser og indekser'!DU28</f>
        <v>#DIV/0!</v>
      </c>
      <c r="DQ118" s="1157" t="e">
        <f>'1.5 Prognoser og indekser'!DV28</f>
        <v>#DIV/0!</v>
      </c>
      <c r="DR118" s="1170" t="e">
        <f>'1.5 Prognoser og indekser'!DW28</f>
        <v>#DIV/0!</v>
      </c>
    </row>
    <row r="119" spans="1:122" x14ac:dyDescent="0.35">
      <c r="A119" s="685"/>
      <c r="B119" s="446" t="str">
        <f>'1.5 Prognoser og indekser'!G29</f>
        <v>CO2-utslipp - Buss (kg/km)</v>
      </c>
      <c r="C119" s="1157"/>
      <c r="D119" s="1157"/>
      <c r="E119" s="1157"/>
      <c r="F119" s="1157"/>
      <c r="G119" s="1157"/>
      <c r="H119" s="1157"/>
      <c r="I119" s="1157"/>
      <c r="J119" s="1157"/>
      <c r="K119" s="1157"/>
      <c r="L119" s="1157"/>
      <c r="M119" s="1157"/>
      <c r="N119" s="1157"/>
      <c r="O119" s="1157"/>
      <c r="P119" s="1157"/>
      <c r="Q119" s="1157">
        <f>'1.5 Prognoser og indekser'!V29</f>
        <v>0.79040852575488452</v>
      </c>
      <c r="R119" s="1157">
        <f>'1.5 Prognoser og indekser'!W29</f>
        <v>0.79040852575488452</v>
      </c>
      <c r="S119" s="1157">
        <f>'1.5 Prognoser og indekser'!X29</f>
        <v>0.79040852575488452</v>
      </c>
      <c r="T119" s="1157">
        <f>'1.5 Prognoser og indekser'!Y29</f>
        <v>0.79040852575488452</v>
      </c>
      <c r="U119" s="1157">
        <f>'1.5 Prognoser og indekser'!Z29</f>
        <v>0.79040852575488452</v>
      </c>
      <c r="V119" s="1157">
        <f>'1.5 Prognoser og indekser'!AA29</f>
        <v>0.79040852575488452</v>
      </c>
      <c r="W119" s="1157">
        <f>'1.5 Prognoser og indekser'!AB29</f>
        <v>0.79040852575488452</v>
      </c>
      <c r="X119" s="1157">
        <f>'1.5 Prognoser og indekser'!AC29</f>
        <v>0.79040852575488452</v>
      </c>
      <c r="Y119" s="1157">
        <f>'1.5 Prognoser og indekser'!AD29</f>
        <v>0.79040852575488452</v>
      </c>
      <c r="Z119" s="1157">
        <f>'1.5 Prognoser og indekser'!AE29</f>
        <v>0.79040852575488452</v>
      </c>
      <c r="AA119" s="1157">
        <f>'1.5 Prognoser og indekser'!AF29</f>
        <v>0.79040852575488452</v>
      </c>
      <c r="AB119" s="1157">
        <f>'1.5 Prognoser og indekser'!AG29</f>
        <v>0.79040852575488452</v>
      </c>
      <c r="AC119" s="1157">
        <f>'1.5 Prognoser og indekser'!AH29</f>
        <v>0.79040852575488452</v>
      </c>
      <c r="AD119" s="1157">
        <f>'1.5 Prognoser og indekser'!AI29</f>
        <v>0.79040852575488452</v>
      </c>
      <c r="AE119" s="1157">
        <f>'1.5 Prognoser og indekser'!AJ29</f>
        <v>0.79040852575488452</v>
      </c>
      <c r="AF119" s="1157">
        <f>'1.5 Prognoser og indekser'!AK29</f>
        <v>0.79040852575488452</v>
      </c>
      <c r="AG119" s="1157">
        <f>'1.5 Prognoser og indekser'!AL29</f>
        <v>0.79040852575488452</v>
      </c>
      <c r="AH119" s="1157">
        <f>'1.5 Prognoser og indekser'!AM29</f>
        <v>0.79040852575488452</v>
      </c>
      <c r="AI119" s="1157">
        <f>'1.5 Prognoser og indekser'!AN29</f>
        <v>0.79040852575488452</v>
      </c>
      <c r="AJ119" s="1157">
        <f>'1.5 Prognoser og indekser'!AO29</f>
        <v>0.79040852575488452</v>
      </c>
      <c r="AK119" s="1157">
        <f>'1.5 Prognoser og indekser'!AP29</f>
        <v>0.79040852575488452</v>
      </c>
      <c r="AL119" s="1157">
        <f>'1.5 Prognoser og indekser'!AQ29</f>
        <v>0.79040852575488452</v>
      </c>
      <c r="AM119" s="1157">
        <f>'1.5 Prognoser og indekser'!AR29</f>
        <v>0.79040852575488452</v>
      </c>
      <c r="AN119" s="1157">
        <f>'1.5 Prognoser og indekser'!AS29</f>
        <v>0.79040852575488452</v>
      </c>
      <c r="AO119" s="1157">
        <f>'1.5 Prognoser og indekser'!AT29</f>
        <v>0.79040852575488452</v>
      </c>
      <c r="AP119" s="1157">
        <f>'1.5 Prognoser og indekser'!AU29</f>
        <v>0.79040852575488452</v>
      </c>
      <c r="AQ119" s="1157">
        <f>'1.5 Prognoser og indekser'!AV29</f>
        <v>0.79040852575488452</v>
      </c>
      <c r="AR119" s="1157">
        <f>'1.5 Prognoser og indekser'!AW29</f>
        <v>0.79040852575488452</v>
      </c>
      <c r="AS119" s="1157">
        <f>'1.5 Prognoser og indekser'!AX29</f>
        <v>0.79040852575488452</v>
      </c>
      <c r="AT119" s="1157">
        <f>'1.5 Prognoser og indekser'!AY29</f>
        <v>0.79040852575488452</v>
      </c>
      <c r="AU119" s="1157">
        <f>'1.5 Prognoser og indekser'!AZ29</f>
        <v>0.79040852575488452</v>
      </c>
      <c r="AV119" s="1157">
        <f>'1.5 Prognoser og indekser'!BA29</f>
        <v>0.79040852575488452</v>
      </c>
      <c r="AW119" s="1157">
        <f>'1.5 Prognoser og indekser'!BB29</f>
        <v>0.79040852575488452</v>
      </c>
      <c r="AX119" s="1157">
        <f>'1.5 Prognoser og indekser'!BC29</f>
        <v>0.79040852575488452</v>
      </c>
      <c r="AY119" s="1157">
        <f>'1.5 Prognoser og indekser'!BD29</f>
        <v>0.79040852575488452</v>
      </c>
      <c r="AZ119" s="1157">
        <f>'1.5 Prognoser og indekser'!BE29</f>
        <v>0.79040852575488452</v>
      </c>
      <c r="BA119" s="1157">
        <f>'1.5 Prognoser og indekser'!BF29</f>
        <v>0.79040852575488452</v>
      </c>
      <c r="BB119" s="1157">
        <f>'1.5 Prognoser og indekser'!BG29</f>
        <v>0.79040852575488452</v>
      </c>
      <c r="BC119" s="1157">
        <f>'1.5 Prognoser og indekser'!BH29</f>
        <v>0.79040852575488452</v>
      </c>
      <c r="BD119" s="1157">
        <f>'1.5 Prognoser og indekser'!BI29</f>
        <v>0.79040852575488452</v>
      </c>
      <c r="BE119" s="1157">
        <f>'1.5 Prognoser og indekser'!BJ29</f>
        <v>0.79040852575488452</v>
      </c>
      <c r="BF119" s="1157">
        <f>'1.5 Prognoser og indekser'!BK29</f>
        <v>0.79040852575488452</v>
      </c>
      <c r="BG119" s="1157">
        <f>'1.5 Prognoser og indekser'!BL29</f>
        <v>0.79040852575488452</v>
      </c>
      <c r="BH119" s="1157">
        <f>'1.5 Prognoser og indekser'!BM29</f>
        <v>0.79040852575488452</v>
      </c>
      <c r="BI119" s="1157">
        <f>'1.5 Prognoser og indekser'!BN29</f>
        <v>0.79040852575488452</v>
      </c>
      <c r="BJ119" s="1157">
        <f>'1.5 Prognoser og indekser'!BO29</f>
        <v>0.79040852575488452</v>
      </c>
      <c r="BK119" s="1157">
        <f>'1.5 Prognoser og indekser'!BP29</f>
        <v>0.79040852575488452</v>
      </c>
      <c r="BL119" s="1157">
        <f>'1.5 Prognoser og indekser'!BQ29</f>
        <v>0.79040852575488452</v>
      </c>
      <c r="BM119" s="1157">
        <f>'1.5 Prognoser og indekser'!BR29</f>
        <v>0.79040852575488452</v>
      </c>
      <c r="BN119" s="1157">
        <f>'1.5 Prognoser og indekser'!BS29</f>
        <v>0.79040852575488452</v>
      </c>
      <c r="BO119" s="1157">
        <f>'1.5 Prognoser og indekser'!BT29</f>
        <v>0.79040852575488452</v>
      </c>
      <c r="BP119" s="1157">
        <f>'1.5 Prognoser og indekser'!BU29</f>
        <v>0.79040852575488452</v>
      </c>
      <c r="BQ119" s="1157">
        <f>'1.5 Prognoser og indekser'!BV29</f>
        <v>0.79040852575488452</v>
      </c>
      <c r="BR119" s="1157">
        <f>'1.5 Prognoser og indekser'!BW29</f>
        <v>0.79040852575488452</v>
      </c>
      <c r="BS119" s="1157">
        <f>'1.5 Prognoser og indekser'!BX29</f>
        <v>0.79040852575488452</v>
      </c>
      <c r="BT119" s="1157">
        <f>'1.5 Prognoser og indekser'!BY29</f>
        <v>0.79040852575488452</v>
      </c>
      <c r="BU119" s="1157">
        <f>'1.5 Prognoser og indekser'!BZ29</f>
        <v>0.79040852575488452</v>
      </c>
      <c r="BV119" s="1157">
        <f>'1.5 Prognoser og indekser'!CA29</f>
        <v>0.79040852575488452</v>
      </c>
      <c r="BW119" s="1157">
        <f>'1.5 Prognoser og indekser'!CB29</f>
        <v>0.79040852575488452</v>
      </c>
      <c r="BX119" s="1157">
        <f>'1.5 Prognoser og indekser'!CC29</f>
        <v>0.79040852575488452</v>
      </c>
      <c r="BY119" s="1157">
        <f>'1.5 Prognoser og indekser'!CD29</f>
        <v>0.79040852575488452</v>
      </c>
      <c r="BZ119" s="1157">
        <f>'1.5 Prognoser og indekser'!CE29</f>
        <v>0.79040852575488452</v>
      </c>
      <c r="CA119" s="1157">
        <f>'1.5 Prognoser og indekser'!CF29</f>
        <v>0.79040852575488452</v>
      </c>
      <c r="CB119" s="1157">
        <f>'1.5 Prognoser og indekser'!CG29</f>
        <v>0.79040852575488452</v>
      </c>
      <c r="CC119" s="1157">
        <f>'1.5 Prognoser og indekser'!CH29</f>
        <v>0.79040852575488452</v>
      </c>
      <c r="CD119" s="1157">
        <f>'1.5 Prognoser og indekser'!CI29</f>
        <v>0.79040852575488452</v>
      </c>
      <c r="CE119" s="1157">
        <f>'1.5 Prognoser og indekser'!CJ29</f>
        <v>0.79040852575488452</v>
      </c>
      <c r="CF119" s="1157">
        <f>'1.5 Prognoser og indekser'!CK29</f>
        <v>0.79040852575488452</v>
      </c>
      <c r="CG119" s="1157">
        <f>'1.5 Prognoser og indekser'!CL29</f>
        <v>0.79040852575488452</v>
      </c>
      <c r="CH119" s="1157">
        <f>'1.5 Prognoser og indekser'!CM29</f>
        <v>0.79040852575488452</v>
      </c>
      <c r="CI119" s="1157">
        <f>'1.5 Prognoser og indekser'!CN29</f>
        <v>0.79040852575488452</v>
      </c>
      <c r="CJ119" s="1157">
        <f>'1.5 Prognoser og indekser'!CO29</f>
        <v>0.79040852575488452</v>
      </c>
      <c r="CK119" s="1157">
        <f>'1.5 Prognoser og indekser'!CP29</f>
        <v>0.79040852575488452</v>
      </c>
      <c r="CL119" s="1157">
        <f>'1.5 Prognoser og indekser'!CQ29</f>
        <v>0.79040852575488452</v>
      </c>
      <c r="CM119" s="1157">
        <f>'1.5 Prognoser og indekser'!CR29</f>
        <v>0.79040852575488452</v>
      </c>
      <c r="CN119" s="1157">
        <f>'1.5 Prognoser og indekser'!CS29</f>
        <v>0.79040852575488452</v>
      </c>
      <c r="CO119" s="1157">
        <f>'1.5 Prognoser og indekser'!CT29</f>
        <v>0.79040852575488452</v>
      </c>
      <c r="CP119" s="1157">
        <f>'1.5 Prognoser og indekser'!CU29</f>
        <v>0.79040852575488452</v>
      </c>
      <c r="CQ119" s="1157">
        <f>'1.5 Prognoser og indekser'!CV29</f>
        <v>0.79040852575488452</v>
      </c>
      <c r="CR119" s="1157">
        <f>'1.5 Prognoser og indekser'!CW29</f>
        <v>0.79040852575488452</v>
      </c>
      <c r="CS119" s="1157">
        <f>'1.5 Prognoser og indekser'!CX29</f>
        <v>0.79040852575488452</v>
      </c>
      <c r="CT119" s="1157">
        <f>'1.5 Prognoser og indekser'!CY29</f>
        <v>0.79040852575488452</v>
      </c>
      <c r="CU119" s="1157">
        <f>'1.5 Prognoser og indekser'!CZ29</f>
        <v>0.79040852575488452</v>
      </c>
      <c r="CV119" s="1157">
        <f>'1.5 Prognoser og indekser'!DA29</f>
        <v>0.79040852575488452</v>
      </c>
      <c r="CW119" s="1157">
        <f>'1.5 Prognoser og indekser'!DB29</f>
        <v>0.79040852575488452</v>
      </c>
      <c r="CX119" s="1157">
        <f>'1.5 Prognoser og indekser'!DC29</f>
        <v>0.79040852575488452</v>
      </c>
      <c r="CY119" s="1157">
        <f>'1.5 Prognoser og indekser'!DD29</f>
        <v>0.79040852575488452</v>
      </c>
      <c r="CZ119" s="1157">
        <f>'1.5 Prognoser og indekser'!DE29</f>
        <v>0.79040852575488452</v>
      </c>
      <c r="DA119" s="1157">
        <f>'1.5 Prognoser og indekser'!DF29</f>
        <v>0.79040852575488452</v>
      </c>
      <c r="DB119" s="1157">
        <f>'1.5 Prognoser og indekser'!DG29</f>
        <v>0.79040852575488452</v>
      </c>
      <c r="DC119" s="1157">
        <f>'1.5 Prognoser og indekser'!DH29</f>
        <v>0.79040852575488452</v>
      </c>
      <c r="DD119" s="1157">
        <f>'1.5 Prognoser og indekser'!DI29</f>
        <v>0.79040852575488452</v>
      </c>
      <c r="DE119" s="1157">
        <f>'1.5 Prognoser og indekser'!DJ29</f>
        <v>0.79040852575488452</v>
      </c>
      <c r="DF119" s="1157">
        <f>'1.5 Prognoser og indekser'!DK29</f>
        <v>0.79040852575488452</v>
      </c>
      <c r="DG119" s="1157">
        <f>'1.5 Prognoser og indekser'!DL29</f>
        <v>0.79040852575488452</v>
      </c>
      <c r="DH119" s="1157">
        <f>'1.5 Prognoser og indekser'!DM29</f>
        <v>0.79040852575488452</v>
      </c>
      <c r="DI119" s="1157">
        <f>'1.5 Prognoser og indekser'!DN29</f>
        <v>0.79040852575488452</v>
      </c>
      <c r="DJ119" s="1157">
        <f>'1.5 Prognoser og indekser'!DO29</f>
        <v>0.79040852575488452</v>
      </c>
      <c r="DK119" s="1157">
        <f>'1.5 Prognoser og indekser'!DP29</f>
        <v>0.79040852575488452</v>
      </c>
      <c r="DL119" s="1157">
        <f>'1.5 Prognoser og indekser'!DQ29</f>
        <v>0.79040852575488452</v>
      </c>
      <c r="DM119" s="1157">
        <f>'1.5 Prognoser og indekser'!DR29</f>
        <v>0.79040852575488452</v>
      </c>
      <c r="DN119" s="1157">
        <f>'1.5 Prognoser og indekser'!DS29</f>
        <v>0.79040852575488452</v>
      </c>
      <c r="DO119" s="1157">
        <f>'1.5 Prognoser og indekser'!DT29</f>
        <v>0.79040852575488452</v>
      </c>
      <c r="DP119" s="1157">
        <f>'1.5 Prognoser og indekser'!DU29</f>
        <v>0.79040852575488452</v>
      </c>
      <c r="DQ119" s="1157">
        <f>'1.5 Prognoser og indekser'!DV29</f>
        <v>0.79040852575488452</v>
      </c>
      <c r="DR119" s="1170">
        <f>'1.5 Prognoser og indekser'!DW29</f>
        <v>0.79040852575488452</v>
      </c>
    </row>
    <row r="120" spans="1:122" x14ac:dyDescent="0.35">
      <c r="A120" s="685"/>
      <c r="B120" s="446" t="str">
        <f>'1.5 Prognoser og indekser'!G30</f>
        <v>CO2-utslipp - Persontog diesel (kg/km)</v>
      </c>
      <c r="C120" s="1157"/>
      <c r="D120" s="1157"/>
      <c r="E120" s="1157"/>
      <c r="F120" s="1157"/>
      <c r="G120" s="1157"/>
      <c r="H120" s="1157"/>
      <c r="I120" s="1157"/>
      <c r="J120" s="1157"/>
      <c r="K120" s="1157"/>
      <c r="L120" s="1157"/>
      <c r="M120" s="1157"/>
      <c r="N120" s="1157"/>
      <c r="O120" s="1157"/>
      <c r="P120" s="1157"/>
      <c r="Q120" s="1157">
        <f>'1.5 Prognoser og indekser'!V30</f>
        <v>4.567226131048657</v>
      </c>
      <c r="R120" s="1157">
        <f>'1.5 Prognoser og indekser'!W30</f>
        <v>4.567226131048657</v>
      </c>
      <c r="S120" s="1157">
        <f>'1.5 Prognoser og indekser'!X30</f>
        <v>4.567226131048657</v>
      </c>
      <c r="T120" s="1157">
        <f>'1.5 Prognoser og indekser'!Y30</f>
        <v>4.567226131048657</v>
      </c>
      <c r="U120" s="1157">
        <f>'1.5 Prognoser og indekser'!Z30</f>
        <v>4.567226131048657</v>
      </c>
      <c r="V120" s="1157">
        <f>'1.5 Prognoser og indekser'!AA30</f>
        <v>4.567226131048657</v>
      </c>
      <c r="W120" s="1157">
        <f>'1.5 Prognoser og indekser'!AB30</f>
        <v>4.567226131048657</v>
      </c>
      <c r="X120" s="1157">
        <f>'1.5 Prognoser og indekser'!AC30</f>
        <v>4.567226131048657</v>
      </c>
      <c r="Y120" s="1157">
        <f>'1.5 Prognoser og indekser'!AD30</f>
        <v>4.567226131048657</v>
      </c>
      <c r="Z120" s="1157">
        <f>'1.5 Prognoser og indekser'!AE30</f>
        <v>4.567226131048657</v>
      </c>
      <c r="AA120" s="1157">
        <f>'1.5 Prognoser og indekser'!AF30</f>
        <v>4.567226131048657</v>
      </c>
      <c r="AB120" s="1157">
        <f>'1.5 Prognoser og indekser'!AG30</f>
        <v>4.567226131048657</v>
      </c>
      <c r="AC120" s="1157">
        <f>'1.5 Prognoser og indekser'!AH30</f>
        <v>4.567226131048657</v>
      </c>
      <c r="AD120" s="1157">
        <f>'1.5 Prognoser og indekser'!AI30</f>
        <v>4.567226131048657</v>
      </c>
      <c r="AE120" s="1157">
        <f>'1.5 Prognoser og indekser'!AJ30</f>
        <v>4.567226131048657</v>
      </c>
      <c r="AF120" s="1157">
        <f>'1.5 Prognoser og indekser'!AK30</f>
        <v>4.567226131048657</v>
      </c>
      <c r="AG120" s="1157">
        <f>'1.5 Prognoser og indekser'!AL30</f>
        <v>4.567226131048657</v>
      </c>
      <c r="AH120" s="1157">
        <f>'1.5 Prognoser og indekser'!AM30</f>
        <v>4.567226131048657</v>
      </c>
      <c r="AI120" s="1157">
        <f>'1.5 Prognoser og indekser'!AN30</f>
        <v>4.567226131048657</v>
      </c>
      <c r="AJ120" s="1157">
        <f>'1.5 Prognoser og indekser'!AO30</f>
        <v>4.567226131048657</v>
      </c>
      <c r="AK120" s="1157">
        <f>'1.5 Prognoser og indekser'!AP30</f>
        <v>4.567226131048657</v>
      </c>
      <c r="AL120" s="1157">
        <f>'1.5 Prognoser og indekser'!AQ30</f>
        <v>4.567226131048657</v>
      </c>
      <c r="AM120" s="1157">
        <f>'1.5 Prognoser og indekser'!AR30</f>
        <v>4.567226131048657</v>
      </c>
      <c r="AN120" s="1157">
        <f>'1.5 Prognoser og indekser'!AS30</f>
        <v>4.567226131048657</v>
      </c>
      <c r="AO120" s="1157">
        <f>'1.5 Prognoser og indekser'!AT30</f>
        <v>4.567226131048657</v>
      </c>
      <c r="AP120" s="1157">
        <f>'1.5 Prognoser og indekser'!AU30</f>
        <v>4.567226131048657</v>
      </c>
      <c r="AQ120" s="1157">
        <f>'1.5 Prognoser og indekser'!AV30</f>
        <v>4.567226131048657</v>
      </c>
      <c r="AR120" s="1157">
        <f>'1.5 Prognoser og indekser'!AW30</f>
        <v>4.567226131048657</v>
      </c>
      <c r="AS120" s="1157">
        <f>'1.5 Prognoser og indekser'!AX30</f>
        <v>4.567226131048657</v>
      </c>
      <c r="AT120" s="1157">
        <f>'1.5 Prognoser og indekser'!AY30</f>
        <v>4.567226131048657</v>
      </c>
      <c r="AU120" s="1157">
        <f>'1.5 Prognoser og indekser'!AZ30</f>
        <v>4.567226131048657</v>
      </c>
      <c r="AV120" s="1157">
        <f>'1.5 Prognoser og indekser'!BA30</f>
        <v>4.567226131048657</v>
      </c>
      <c r="AW120" s="1157">
        <f>'1.5 Prognoser og indekser'!BB30</f>
        <v>4.567226131048657</v>
      </c>
      <c r="AX120" s="1157">
        <f>'1.5 Prognoser og indekser'!BC30</f>
        <v>4.567226131048657</v>
      </c>
      <c r="AY120" s="1157">
        <f>'1.5 Prognoser og indekser'!BD30</f>
        <v>4.567226131048657</v>
      </c>
      <c r="AZ120" s="1157">
        <f>'1.5 Prognoser og indekser'!BE30</f>
        <v>4.567226131048657</v>
      </c>
      <c r="BA120" s="1157">
        <f>'1.5 Prognoser og indekser'!BF30</f>
        <v>4.567226131048657</v>
      </c>
      <c r="BB120" s="1157">
        <f>'1.5 Prognoser og indekser'!BG30</f>
        <v>4.567226131048657</v>
      </c>
      <c r="BC120" s="1157">
        <f>'1.5 Prognoser og indekser'!BH30</f>
        <v>4.567226131048657</v>
      </c>
      <c r="BD120" s="1157">
        <f>'1.5 Prognoser og indekser'!BI30</f>
        <v>4.567226131048657</v>
      </c>
      <c r="BE120" s="1157">
        <f>'1.5 Prognoser og indekser'!BJ30</f>
        <v>4.567226131048657</v>
      </c>
      <c r="BF120" s="1157">
        <f>'1.5 Prognoser og indekser'!BK30</f>
        <v>4.567226131048657</v>
      </c>
      <c r="BG120" s="1157">
        <f>'1.5 Prognoser og indekser'!BL30</f>
        <v>4.567226131048657</v>
      </c>
      <c r="BH120" s="1157">
        <f>'1.5 Prognoser og indekser'!BM30</f>
        <v>4.567226131048657</v>
      </c>
      <c r="BI120" s="1157">
        <f>'1.5 Prognoser og indekser'!BN30</f>
        <v>4.567226131048657</v>
      </c>
      <c r="BJ120" s="1157">
        <f>'1.5 Prognoser og indekser'!BO30</f>
        <v>4.567226131048657</v>
      </c>
      <c r="BK120" s="1157">
        <f>'1.5 Prognoser og indekser'!BP30</f>
        <v>4.567226131048657</v>
      </c>
      <c r="BL120" s="1157">
        <f>'1.5 Prognoser og indekser'!BQ30</f>
        <v>4.567226131048657</v>
      </c>
      <c r="BM120" s="1157">
        <f>'1.5 Prognoser og indekser'!BR30</f>
        <v>4.567226131048657</v>
      </c>
      <c r="BN120" s="1157">
        <f>'1.5 Prognoser og indekser'!BS30</f>
        <v>4.567226131048657</v>
      </c>
      <c r="BO120" s="1157">
        <f>'1.5 Prognoser og indekser'!BT30</f>
        <v>4.567226131048657</v>
      </c>
      <c r="BP120" s="1157">
        <f>'1.5 Prognoser og indekser'!BU30</f>
        <v>4.567226131048657</v>
      </c>
      <c r="BQ120" s="1157">
        <f>'1.5 Prognoser og indekser'!BV30</f>
        <v>4.567226131048657</v>
      </c>
      <c r="BR120" s="1157">
        <f>'1.5 Prognoser og indekser'!BW30</f>
        <v>4.567226131048657</v>
      </c>
      <c r="BS120" s="1157">
        <f>'1.5 Prognoser og indekser'!BX30</f>
        <v>4.567226131048657</v>
      </c>
      <c r="BT120" s="1157">
        <f>'1.5 Prognoser og indekser'!BY30</f>
        <v>4.567226131048657</v>
      </c>
      <c r="BU120" s="1157">
        <f>'1.5 Prognoser og indekser'!BZ30</f>
        <v>4.567226131048657</v>
      </c>
      <c r="BV120" s="1157">
        <f>'1.5 Prognoser og indekser'!CA30</f>
        <v>4.567226131048657</v>
      </c>
      <c r="BW120" s="1157">
        <f>'1.5 Prognoser og indekser'!CB30</f>
        <v>4.567226131048657</v>
      </c>
      <c r="BX120" s="1157">
        <f>'1.5 Prognoser og indekser'!CC30</f>
        <v>4.567226131048657</v>
      </c>
      <c r="BY120" s="1157">
        <f>'1.5 Prognoser og indekser'!CD30</f>
        <v>4.567226131048657</v>
      </c>
      <c r="BZ120" s="1157">
        <f>'1.5 Prognoser og indekser'!CE30</f>
        <v>4.567226131048657</v>
      </c>
      <c r="CA120" s="1157">
        <f>'1.5 Prognoser og indekser'!CF30</f>
        <v>4.567226131048657</v>
      </c>
      <c r="CB120" s="1157">
        <f>'1.5 Prognoser og indekser'!CG30</f>
        <v>4.567226131048657</v>
      </c>
      <c r="CC120" s="1157">
        <f>'1.5 Prognoser og indekser'!CH30</f>
        <v>4.567226131048657</v>
      </c>
      <c r="CD120" s="1157">
        <f>'1.5 Prognoser og indekser'!CI30</f>
        <v>4.567226131048657</v>
      </c>
      <c r="CE120" s="1157">
        <f>'1.5 Prognoser og indekser'!CJ30</f>
        <v>4.567226131048657</v>
      </c>
      <c r="CF120" s="1157">
        <f>'1.5 Prognoser og indekser'!CK30</f>
        <v>4.567226131048657</v>
      </c>
      <c r="CG120" s="1157">
        <f>'1.5 Prognoser og indekser'!CL30</f>
        <v>4.567226131048657</v>
      </c>
      <c r="CH120" s="1157">
        <f>'1.5 Prognoser og indekser'!CM30</f>
        <v>4.567226131048657</v>
      </c>
      <c r="CI120" s="1157">
        <f>'1.5 Prognoser og indekser'!CN30</f>
        <v>4.567226131048657</v>
      </c>
      <c r="CJ120" s="1157">
        <f>'1.5 Prognoser og indekser'!CO30</f>
        <v>4.567226131048657</v>
      </c>
      <c r="CK120" s="1157">
        <f>'1.5 Prognoser og indekser'!CP30</f>
        <v>4.567226131048657</v>
      </c>
      <c r="CL120" s="1157">
        <f>'1.5 Prognoser og indekser'!CQ30</f>
        <v>4.567226131048657</v>
      </c>
      <c r="CM120" s="1157">
        <f>'1.5 Prognoser og indekser'!CR30</f>
        <v>4.567226131048657</v>
      </c>
      <c r="CN120" s="1157">
        <f>'1.5 Prognoser og indekser'!CS30</f>
        <v>4.567226131048657</v>
      </c>
      <c r="CO120" s="1157">
        <f>'1.5 Prognoser og indekser'!CT30</f>
        <v>4.567226131048657</v>
      </c>
      <c r="CP120" s="1157">
        <f>'1.5 Prognoser og indekser'!CU30</f>
        <v>4.567226131048657</v>
      </c>
      <c r="CQ120" s="1157">
        <f>'1.5 Prognoser og indekser'!CV30</f>
        <v>4.567226131048657</v>
      </c>
      <c r="CR120" s="1157">
        <f>'1.5 Prognoser og indekser'!CW30</f>
        <v>4.567226131048657</v>
      </c>
      <c r="CS120" s="1157">
        <f>'1.5 Prognoser og indekser'!CX30</f>
        <v>4.567226131048657</v>
      </c>
      <c r="CT120" s="1157">
        <f>'1.5 Prognoser og indekser'!CY30</f>
        <v>4.567226131048657</v>
      </c>
      <c r="CU120" s="1157">
        <f>'1.5 Prognoser og indekser'!CZ30</f>
        <v>4.567226131048657</v>
      </c>
      <c r="CV120" s="1157">
        <f>'1.5 Prognoser og indekser'!DA30</f>
        <v>4.567226131048657</v>
      </c>
      <c r="CW120" s="1157">
        <f>'1.5 Prognoser og indekser'!DB30</f>
        <v>4.567226131048657</v>
      </c>
      <c r="CX120" s="1157">
        <f>'1.5 Prognoser og indekser'!DC30</f>
        <v>4.567226131048657</v>
      </c>
      <c r="CY120" s="1157">
        <f>'1.5 Prognoser og indekser'!DD30</f>
        <v>4.567226131048657</v>
      </c>
      <c r="CZ120" s="1157">
        <f>'1.5 Prognoser og indekser'!DE30</f>
        <v>4.567226131048657</v>
      </c>
      <c r="DA120" s="1157">
        <f>'1.5 Prognoser og indekser'!DF30</f>
        <v>4.567226131048657</v>
      </c>
      <c r="DB120" s="1157">
        <f>'1.5 Prognoser og indekser'!DG30</f>
        <v>4.567226131048657</v>
      </c>
      <c r="DC120" s="1157">
        <f>'1.5 Prognoser og indekser'!DH30</f>
        <v>4.567226131048657</v>
      </c>
      <c r="DD120" s="1157">
        <f>'1.5 Prognoser og indekser'!DI30</f>
        <v>4.567226131048657</v>
      </c>
      <c r="DE120" s="1157">
        <f>'1.5 Prognoser og indekser'!DJ30</f>
        <v>4.567226131048657</v>
      </c>
      <c r="DF120" s="1157">
        <f>'1.5 Prognoser og indekser'!DK30</f>
        <v>4.567226131048657</v>
      </c>
      <c r="DG120" s="1157">
        <f>'1.5 Prognoser og indekser'!DL30</f>
        <v>4.567226131048657</v>
      </c>
      <c r="DH120" s="1157">
        <f>'1.5 Prognoser og indekser'!DM30</f>
        <v>4.567226131048657</v>
      </c>
      <c r="DI120" s="1157">
        <f>'1.5 Prognoser og indekser'!DN30</f>
        <v>4.567226131048657</v>
      </c>
      <c r="DJ120" s="1157">
        <f>'1.5 Prognoser og indekser'!DO30</f>
        <v>4.567226131048657</v>
      </c>
      <c r="DK120" s="1157">
        <f>'1.5 Prognoser og indekser'!DP30</f>
        <v>4.567226131048657</v>
      </c>
      <c r="DL120" s="1157">
        <f>'1.5 Prognoser og indekser'!DQ30</f>
        <v>4.567226131048657</v>
      </c>
      <c r="DM120" s="1157">
        <f>'1.5 Prognoser og indekser'!DR30</f>
        <v>4.567226131048657</v>
      </c>
      <c r="DN120" s="1157">
        <f>'1.5 Prognoser og indekser'!DS30</f>
        <v>4.567226131048657</v>
      </c>
      <c r="DO120" s="1157">
        <f>'1.5 Prognoser og indekser'!DT30</f>
        <v>4.567226131048657</v>
      </c>
      <c r="DP120" s="1157">
        <f>'1.5 Prognoser og indekser'!DU30</f>
        <v>4.567226131048657</v>
      </c>
      <c r="DQ120" s="1157">
        <f>'1.5 Prognoser og indekser'!DV30</f>
        <v>4.567226131048657</v>
      </c>
      <c r="DR120" s="1170">
        <f>'1.5 Prognoser og indekser'!DW30</f>
        <v>4.567226131048657</v>
      </c>
    </row>
    <row r="121" spans="1:122" x14ac:dyDescent="0.35">
      <c r="A121" s="685"/>
      <c r="B121" s="446" t="str">
        <f>'1.5 Prognoser og indekser'!G31</f>
        <v>CO2-utslipp - Godstog diesel (kg/km)</v>
      </c>
      <c r="C121" s="1157"/>
      <c r="D121" s="1157"/>
      <c r="E121" s="1157"/>
      <c r="F121" s="1157"/>
      <c r="G121" s="1157"/>
      <c r="H121" s="1157"/>
      <c r="I121" s="1157"/>
      <c r="J121" s="1157"/>
      <c r="K121" s="1157"/>
      <c r="L121" s="1157"/>
      <c r="M121" s="1157"/>
      <c r="N121" s="1157"/>
      <c r="O121" s="1157"/>
      <c r="P121" s="1157"/>
      <c r="Q121" s="1157">
        <f>'1.5 Prognoser og indekser'!V31</f>
        <v>13.629610249077604</v>
      </c>
      <c r="R121" s="1157">
        <f>'1.5 Prognoser og indekser'!W31</f>
        <v>13.629610249077604</v>
      </c>
      <c r="S121" s="1157">
        <f>'1.5 Prognoser og indekser'!X31</f>
        <v>13.629610249077604</v>
      </c>
      <c r="T121" s="1157">
        <f>'1.5 Prognoser og indekser'!Y31</f>
        <v>13.629610249077604</v>
      </c>
      <c r="U121" s="1157">
        <f>'1.5 Prognoser og indekser'!Z31</f>
        <v>13.629610249077604</v>
      </c>
      <c r="V121" s="1157">
        <f>'1.5 Prognoser og indekser'!AA31</f>
        <v>13.629610249077604</v>
      </c>
      <c r="W121" s="1157">
        <f>'1.5 Prognoser og indekser'!AB31</f>
        <v>13.629610249077604</v>
      </c>
      <c r="X121" s="1157">
        <f>'1.5 Prognoser og indekser'!AC31</f>
        <v>13.629610249077604</v>
      </c>
      <c r="Y121" s="1157">
        <f>'1.5 Prognoser og indekser'!AD31</f>
        <v>13.629610249077604</v>
      </c>
      <c r="Z121" s="1157">
        <f>'1.5 Prognoser og indekser'!AE31</f>
        <v>13.629610249077604</v>
      </c>
      <c r="AA121" s="1157">
        <f>'1.5 Prognoser og indekser'!AF31</f>
        <v>13.629610249077604</v>
      </c>
      <c r="AB121" s="1157">
        <f>'1.5 Prognoser og indekser'!AG31</f>
        <v>13.629610249077604</v>
      </c>
      <c r="AC121" s="1157">
        <f>'1.5 Prognoser og indekser'!AH31</f>
        <v>13.629610249077604</v>
      </c>
      <c r="AD121" s="1157">
        <f>'1.5 Prognoser og indekser'!AI31</f>
        <v>13.629610249077604</v>
      </c>
      <c r="AE121" s="1157">
        <f>'1.5 Prognoser og indekser'!AJ31</f>
        <v>13.629610249077604</v>
      </c>
      <c r="AF121" s="1157">
        <f>'1.5 Prognoser og indekser'!AK31</f>
        <v>13.629610249077604</v>
      </c>
      <c r="AG121" s="1157">
        <f>'1.5 Prognoser og indekser'!AL31</f>
        <v>13.629610249077604</v>
      </c>
      <c r="AH121" s="1157">
        <f>'1.5 Prognoser og indekser'!AM31</f>
        <v>13.629610249077604</v>
      </c>
      <c r="AI121" s="1157">
        <f>'1.5 Prognoser og indekser'!AN31</f>
        <v>13.629610249077604</v>
      </c>
      <c r="AJ121" s="1157">
        <f>'1.5 Prognoser og indekser'!AO31</f>
        <v>13.629610249077604</v>
      </c>
      <c r="AK121" s="1157">
        <f>'1.5 Prognoser og indekser'!AP31</f>
        <v>13.629610249077604</v>
      </c>
      <c r="AL121" s="1157">
        <f>'1.5 Prognoser og indekser'!AQ31</f>
        <v>13.629610249077604</v>
      </c>
      <c r="AM121" s="1157">
        <f>'1.5 Prognoser og indekser'!AR31</f>
        <v>13.629610249077604</v>
      </c>
      <c r="AN121" s="1157">
        <f>'1.5 Prognoser og indekser'!AS31</f>
        <v>13.629610249077604</v>
      </c>
      <c r="AO121" s="1157">
        <f>'1.5 Prognoser og indekser'!AT31</f>
        <v>13.629610249077604</v>
      </c>
      <c r="AP121" s="1157">
        <f>'1.5 Prognoser og indekser'!AU31</f>
        <v>13.629610249077604</v>
      </c>
      <c r="AQ121" s="1157">
        <f>'1.5 Prognoser og indekser'!AV31</f>
        <v>13.629610249077604</v>
      </c>
      <c r="AR121" s="1157">
        <f>'1.5 Prognoser og indekser'!AW31</f>
        <v>13.629610249077604</v>
      </c>
      <c r="AS121" s="1157">
        <f>'1.5 Prognoser og indekser'!AX31</f>
        <v>13.629610249077604</v>
      </c>
      <c r="AT121" s="1157">
        <f>'1.5 Prognoser og indekser'!AY31</f>
        <v>13.629610249077604</v>
      </c>
      <c r="AU121" s="1157">
        <f>'1.5 Prognoser og indekser'!AZ31</f>
        <v>13.629610249077604</v>
      </c>
      <c r="AV121" s="1157">
        <f>'1.5 Prognoser og indekser'!BA31</f>
        <v>13.629610249077604</v>
      </c>
      <c r="AW121" s="1157">
        <f>'1.5 Prognoser og indekser'!BB31</f>
        <v>13.629610249077604</v>
      </c>
      <c r="AX121" s="1157">
        <f>'1.5 Prognoser og indekser'!BC31</f>
        <v>13.629610249077604</v>
      </c>
      <c r="AY121" s="1157">
        <f>'1.5 Prognoser og indekser'!BD31</f>
        <v>13.629610249077604</v>
      </c>
      <c r="AZ121" s="1157">
        <f>'1.5 Prognoser og indekser'!BE31</f>
        <v>13.629610249077604</v>
      </c>
      <c r="BA121" s="1157">
        <f>'1.5 Prognoser og indekser'!BF31</f>
        <v>13.629610249077604</v>
      </c>
      <c r="BB121" s="1157">
        <f>'1.5 Prognoser og indekser'!BG31</f>
        <v>13.629610249077604</v>
      </c>
      <c r="BC121" s="1157">
        <f>'1.5 Prognoser og indekser'!BH31</f>
        <v>13.629610249077604</v>
      </c>
      <c r="BD121" s="1157">
        <f>'1.5 Prognoser og indekser'!BI31</f>
        <v>13.629610249077604</v>
      </c>
      <c r="BE121" s="1157">
        <f>'1.5 Prognoser og indekser'!BJ31</f>
        <v>13.629610249077604</v>
      </c>
      <c r="BF121" s="1157">
        <f>'1.5 Prognoser og indekser'!BK31</f>
        <v>13.629610249077604</v>
      </c>
      <c r="BG121" s="1157">
        <f>'1.5 Prognoser og indekser'!BL31</f>
        <v>13.629610249077604</v>
      </c>
      <c r="BH121" s="1157">
        <f>'1.5 Prognoser og indekser'!BM31</f>
        <v>13.629610249077604</v>
      </c>
      <c r="BI121" s="1157">
        <f>'1.5 Prognoser og indekser'!BN31</f>
        <v>13.629610249077604</v>
      </c>
      <c r="BJ121" s="1157">
        <f>'1.5 Prognoser og indekser'!BO31</f>
        <v>13.629610249077604</v>
      </c>
      <c r="BK121" s="1157">
        <f>'1.5 Prognoser og indekser'!BP31</f>
        <v>13.629610249077604</v>
      </c>
      <c r="BL121" s="1157">
        <f>'1.5 Prognoser og indekser'!BQ31</f>
        <v>13.629610249077604</v>
      </c>
      <c r="BM121" s="1157">
        <f>'1.5 Prognoser og indekser'!BR31</f>
        <v>13.629610249077604</v>
      </c>
      <c r="BN121" s="1157">
        <f>'1.5 Prognoser og indekser'!BS31</f>
        <v>13.629610249077604</v>
      </c>
      <c r="BO121" s="1157">
        <f>'1.5 Prognoser og indekser'!BT31</f>
        <v>13.629610249077604</v>
      </c>
      <c r="BP121" s="1157">
        <f>'1.5 Prognoser og indekser'!BU31</f>
        <v>13.629610249077604</v>
      </c>
      <c r="BQ121" s="1157">
        <f>'1.5 Prognoser og indekser'!BV31</f>
        <v>13.629610249077604</v>
      </c>
      <c r="BR121" s="1157">
        <f>'1.5 Prognoser og indekser'!BW31</f>
        <v>13.629610249077604</v>
      </c>
      <c r="BS121" s="1157">
        <f>'1.5 Prognoser og indekser'!BX31</f>
        <v>13.629610249077604</v>
      </c>
      <c r="BT121" s="1157">
        <f>'1.5 Prognoser og indekser'!BY31</f>
        <v>13.629610249077604</v>
      </c>
      <c r="BU121" s="1157">
        <f>'1.5 Prognoser og indekser'!BZ31</f>
        <v>13.629610249077604</v>
      </c>
      <c r="BV121" s="1157">
        <f>'1.5 Prognoser og indekser'!CA31</f>
        <v>13.629610249077604</v>
      </c>
      <c r="BW121" s="1157">
        <f>'1.5 Prognoser og indekser'!CB31</f>
        <v>13.629610249077604</v>
      </c>
      <c r="BX121" s="1157">
        <f>'1.5 Prognoser og indekser'!CC31</f>
        <v>13.629610249077604</v>
      </c>
      <c r="BY121" s="1157">
        <f>'1.5 Prognoser og indekser'!CD31</f>
        <v>13.629610249077604</v>
      </c>
      <c r="BZ121" s="1157">
        <f>'1.5 Prognoser og indekser'!CE31</f>
        <v>13.629610249077604</v>
      </c>
      <c r="CA121" s="1157">
        <f>'1.5 Prognoser og indekser'!CF31</f>
        <v>13.629610249077604</v>
      </c>
      <c r="CB121" s="1157">
        <f>'1.5 Prognoser og indekser'!CG31</f>
        <v>13.629610249077604</v>
      </c>
      <c r="CC121" s="1157">
        <f>'1.5 Prognoser og indekser'!CH31</f>
        <v>13.629610249077604</v>
      </c>
      <c r="CD121" s="1157">
        <f>'1.5 Prognoser og indekser'!CI31</f>
        <v>13.629610249077604</v>
      </c>
      <c r="CE121" s="1157">
        <f>'1.5 Prognoser og indekser'!CJ31</f>
        <v>13.629610249077604</v>
      </c>
      <c r="CF121" s="1157">
        <f>'1.5 Prognoser og indekser'!CK31</f>
        <v>13.629610249077604</v>
      </c>
      <c r="CG121" s="1157">
        <f>'1.5 Prognoser og indekser'!CL31</f>
        <v>13.629610249077604</v>
      </c>
      <c r="CH121" s="1157">
        <f>'1.5 Prognoser og indekser'!CM31</f>
        <v>13.629610249077604</v>
      </c>
      <c r="CI121" s="1157">
        <f>'1.5 Prognoser og indekser'!CN31</f>
        <v>13.629610249077604</v>
      </c>
      <c r="CJ121" s="1157">
        <f>'1.5 Prognoser og indekser'!CO31</f>
        <v>13.629610249077604</v>
      </c>
      <c r="CK121" s="1157">
        <f>'1.5 Prognoser og indekser'!CP31</f>
        <v>13.629610249077604</v>
      </c>
      <c r="CL121" s="1157">
        <f>'1.5 Prognoser og indekser'!CQ31</f>
        <v>13.629610249077604</v>
      </c>
      <c r="CM121" s="1157">
        <f>'1.5 Prognoser og indekser'!CR31</f>
        <v>13.629610249077604</v>
      </c>
      <c r="CN121" s="1157">
        <f>'1.5 Prognoser og indekser'!CS31</f>
        <v>13.629610249077604</v>
      </c>
      <c r="CO121" s="1157">
        <f>'1.5 Prognoser og indekser'!CT31</f>
        <v>13.629610249077604</v>
      </c>
      <c r="CP121" s="1157">
        <f>'1.5 Prognoser og indekser'!CU31</f>
        <v>13.629610249077604</v>
      </c>
      <c r="CQ121" s="1157">
        <f>'1.5 Prognoser og indekser'!CV31</f>
        <v>13.629610249077604</v>
      </c>
      <c r="CR121" s="1157">
        <f>'1.5 Prognoser og indekser'!CW31</f>
        <v>13.629610249077604</v>
      </c>
      <c r="CS121" s="1157">
        <f>'1.5 Prognoser og indekser'!CX31</f>
        <v>13.629610249077604</v>
      </c>
      <c r="CT121" s="1157">
        <f>'1.5 Prognoser og indekser'!CY31</f>
        <v>13.629610249077604</v>
      </c>
      <c r="CU121" s="1157">
        <f>'1.5 Prognoser og indekser'!CZ31</f>
        <v>13.629610249077604</v>
      </c>
      <c r="CV121" s="1157">
        <f>'1.5 Prognoser og indekser'!DA31</f>
        <v>13.629610249077604</v>
      </c>
      <c r="CW121" s="1157">
        <f>'1.5 Prognoser og indekser'!DB31</f>
        <v>13.629610249077604</v>
      </c>
      <c r="CX121" s="1157">
        <f>'1.5 Prognoser og indekser'!DC31</f>
        <v>13.629610249077604</v>
      </c>
      <c r="CY121" s="1157">
        <f>'1.5 Prognoser og indekser'!DD31</f>
        <v>13.629610249077604</v>
      </c>
      <c r="CZ121" s="1157">
        <f>'1.5 Prognoser og indekser'!DE31</f>
        <v>13.629610249077604</v>
      </c>
      <c r="DA121" s="1157">
        <f>'1.5 Prognoser og indekser'!DF31</f>
        <v>13.629610249077604</v>
      </c>
      <c r="DB121" s="1157">
        <f>'1.5 Prognoser og indekser'!DG31</f>
        <v>13.629610249077604</v>
      </c>
      <c r="DC121" s="1157">
        <f>'1.5 Prognoser og indekser'!DH31</f>
        <v>13.629610249077604</v>
      </c>
      <c r="DD121" s="1157">
        <f>'1.5 Prognoser og indekser'!DI31</f>
        <v>13.629610249077604</v>
      </c>
      <c r="DE121" s="1157">
        <f>'1.5 Prognoser og indekser'!DJ31</f>
        <v>13.629610249077604</v>
      </c>
      <c r="DF121" s="1157">
        <f>'1.5 Prognoser og indekser'!DK31</f>
        <v>13.629610249077604</v>
      </c>
      <c r="DG121" s="1157">
        <f>'1.5 Prognoser og indekser'!DL31</f>
        <v>13.629610249077604</v>
      </c>
      <c r="DH121" s="1157">
        <f>'1.5 Prognoser og indekser'!DM31</f>
        <v>13.629610249077604</v>
      </c>
      <c r="DI121" s="1157">
        <f>'1.5 Prognoser og indekser'!DN31</f>
        <v>13.629610249077604</v>
      </c>
      <c r="DJ121" s="1157">
        <f>'1.5 Prognoser og indekser'!DO31</f>
        <v>13.629610249077604</v>
      </c>
      <c r="DK121" s="1157">
        <f>'1.5 Prognoser og indekser'!DP31</f>
        <v>13.629610249077604</v>
      </c>
      <c r="DL121" s="1157">
        <f>'1.5 Prognoser og indekser'!DQ31</f>
        <v>13.629610249077604</v>
      </c>
      <c r="DM121" s="1157">
        <f>'1.5 Prognoser og indekser'!DR31</f>
        <v>13.629610249077604</v>
      </c>
      <c r="DN121" s="1157">
        <f>'1.5 Prognoser og indekser'!DS31</f>
        <v>13.629610249077604</v>
      </c>
      <c r="DO121" s="1157">
        <f>'1.5 Prognoser og indekser'!DT31</f>
        <v>13.629610249077604</v>
      </c>
      <c r="DP121" s="1157">
        <f>'1.5 Prognoser og indekser'!DU31</f>
        <v>13.629610249077604</v>
      </c>
      <c r="DQ121" s="1157">
        <f>'1.5 Prognoser og indekser'!DV31</f>
        <v>13.629610249077604</v>
      </c>
      <c r="DR121" s="1170">
        <f>'1.5 Prognoser og indekser'!DW31</f>
        <v>13.629610249077604</v>
      </c>
    </row>
    <row r="122" spans="1:122" x14ac:dyDescent="0.35">
      <c r="A122" s="685"/>
      <c r="B122" s="446" t="str">
        <f>'1.5 Prognoser og indekser'!G32</f>
        <v>CO2-utslipp - Fly (kg/km)</v>
      </c>
      <c r="C122" s="1157"/>
      <c r="D122" s="1157"/>
      <c r="E122" s="1157"/>
      <c r="F122" s="1157"/>
      <c r="G122" s="1157"/>
      <c r="H122" s="1157"/>
      <c r="I122" s="1157"/>
      <c r="J122" s="1157"/>
      <c r="K122" s="1157"/>
      <c r="L122" s="1157"/>
      <c r="M122" s="1157"/>
      <c r="N122" s="1157"/>
      <c r="O122" s="1157"/>
      <c r="P122" s="1157"/>
      <c r="Q122" s="1157">
        <f>'1.5 Prognoser og indekser'!V32</f>
        <v>14.026154999999999</v>
      </c>
      <c r="R122" s="1157">
        <f>'1.5 Prognoser og indekser'!W32</f>
        <v>14.026154999999999</v>
      </c>
      <c r="S122" s="1157">
        <f>'1.5 Prognoser og indekser'!X32</f>
        <v>14.026154999999999</v>
      </c>
      <c r="T122" s="1157">
        <f>'1.5 Prognoser og indekser'!Y32</f>
        <v>14.026154999999999</v>
      </c>
      <c r="U122" s="1157">
        <f>'1.5 Prognoser og indekser'!Z32</f>
        <v>14.026154999999999</v>
      </c>
      <c r="V122" s="1157">
        <f>'1.5 Prognoser og indekser'!AA32</f>
        <v>14.026154999999999</v>
      </c>
      <c r="W122" s="1157">
        <f>'1.5 Prognoser og indekser'!AB32</f>
        <v>14.026154999999999</v>
      </c>
      <c r="X122" s="1157">
        <f>'1.5 Prognoser og indekser'!AC32</f>
        <v>14.026154999999999</v>
      </c>
      <c r="Y122" s="1157">
        <f>'1.5 Prognoser og indekser'!AD32</f>
        <v>14.026154999999999</v>
      </c>
      <c r="Z122" s="1157">
        <f>'1.5 Prognoser og indekser'!AE32</f>
        <v>14.026154999999999</v>
      </c>
      <c r="AA122" s="1157">
        <f>'1.5 Prognoser og indekser'!AF32</f>
        <v>14.026154999999999</v>
      </c>
      <c r="AB122" s="1157">
        <f>'1.5 Prognoser og indekser'!AG32</f>
        <v>14.026154999999999</v>
      </c>
      <c r="AC122" s="1157">
        <f>'1.5 Prognoser og indekser'!AH32</f>
        <v>14.026154999999999</v>
      </c>
      <c r="AD122" s="1157">
        <f>'1.5 Prognoser og indekser'!AI32</f>
        <v>14.026154999999999</v>
      </c>
      <c r="AE122" s="1157">
        <f>'1.5 Prognoser og indekser'!AJ32</f>
        <v>14.026154999999999</v>
      </c>
      <c r="AF122" s="1157">
        <f>'1.5 Prognoser og indekser'!AK32</f>
        <v>14.026154999999999</v>
      </c>
      <c r="AG122" s="1157">
        <f>'1.5 Prognoser og indekser'!AL32</f>
        <v>14.026154999999999</v>
      </c>
      <c r="AH122" s="1157">
        <f>'1.5 Prognoser og indekser'!AM32</f>
        <v>14.026154999999999</v>
      </c>
      <c r="AI122" s="1157">
        <f>'1.5 Prognoser og indekser'!AN32</f>
        <v>14.026154999999999</v>
      </c>
      <c r="AJ122" s="1157">
        <f>'1.5 Prognoser og indekser'!AO32</f>
        <v>14.026154999999999</v>
      </c>
      <c r="AK122" s="1157">
        <f>'1.5 Prognoser og indekser'!AP32</f>
        <v>14.026154999999999</v>
      </c>
      <c r="AL122" s="1157">
        <f>'1.5 Prognoser og indekser'!AQ32</f>
        <v>14.026154999999999</v>
      </c>
      <c r="AM122" s="1157">
        <f>'1.5 Prognoser og indekser'!AR32</f>
        <v>14.026154999999999</v>
      </c>
      <c r="AN122" s="1157">
        <f>'1.5 Prognoser og indekser'!AS32</f>
        <v>14.026154999999999</v>
      </c>
      <c r="AO122" s="1157">
        <f>'1.5 Prognoser og indekser'!AT32</f>
        <v>14.026154999999999</v>
      </c>
      <c r="AP122" s="1157">
        <f>'1.5 Prognoser og indekser'!AU32</f>
        <v>14.026154999999999</v>
      </c>
      <c r="AQ122" s="1157">
        <f>'1.5 Prognoser og indekser'!AV32</f>
        <v>14.026154999999999</v>
      </c>
      <c r="AR122" s="1157">
        <f>'1.5 Prognoser og indekser'!AW32</f>
        <v>14.026154999999999</v>
      </c>
      <c r="AS122" s="1157">
        <f>'1.5 Prognoser og indekser'!AX32</f>
        <v>14.026154999999999</v>
      </c>
      <c r="AT122" s="1157">
        <f>'1.5 Prognoser og indekser'!AY32</f>
        <v>14.026154999999999</v>
      </c>
      <c r="AU122" s="1157">
        <f>'1.5 Prognoser og indekser'!AZ32</f>
        <v>14.026154999999999</v>
      </c>
      <c r="AV122" s="1157">
        <f>'1.5 Prognoser og indekser'!BA32</f>
        <v>14.026154999999999</v>
      </c>
      <c r="AW122" s="1157">
        <f>'1.5 Prognoser og indekser'!BB32</f>
        <v>14.026154999999999</v>
      </c>
      <c r="AX122" s="1157">
        <f>'1.5 Prognoser og indekser'!BC32</f>
        <v>14.026154999999999</v>
      </c>
      <c r="AY122" s="1157">
        <f>'1.5 Prognoser og indekser'!BD32</f>
        <v>14.026154999999999</v>
      </c>
      <c r="AZ122" s="1157">
        <f>'1.5 Prognoser og indekser'!BE32</f>
        <v>14.026154999999999</v>
      </c>
      <c r="BA122" s="1157">
        <f>'1.5 Prognoser og indekser'!BF32</f>
        <v>14.026154999999999</v>
      </c>
      <c r="BB122" s="1157">
        <f>'1.5 Prognoser og indekser'!BG32</f>
        <v>14.026154999999999</v>
      </c>
      <c r="BC122" s="1157">
        <f>'1.5 Prognoser og indekser'!BH32</f>
        <v>14.026154999999999</v>
      </c>
      <c r="BD122" s="1157">
        <f>'1.5 Prognoser og indekser'!BI32</f>
        <v>14.026154999999999</v>
      </c>
      <c r="BE122" s="1157">
        <f>'1.5 Prognoser og indekser'!BJ32</f>
        <v>14.026154999999999</v>
      </c>
      <c r="BF122" s="1157">
        <f>'1.5 Prognoser og indekser'!BK32</f>
        <v>14.026154999999999</v>
      </c>
      <c r="BG122" s="1157">
        <f>'1.5 Prognoser og indekser'!BL32</f>
        <v>14.026154999999999</v>
      </c>
      <c r="BH122" s="1157">
        <f>'1.5 Prognoser og indekser'!BM32</f>
        <v>14.026154999999999</v>
      </c>
      <c r="BI122" s="1157">
        <f>'1.5 Prognoser og indekser'!BN32</f>
        <v>14.026154999999999</v>
      </c>
      <c r="BJ122" s="1157">
        <f>'1.5 Prognoser og indekser'!BO32</f>
        <v>14.026154999999999</v>
      </c>
      <c r="BK122" s="1157">
        <f>'1.5 Prognoser og indekser'!BP32</f>
        <v>14.026154999999999</v>
      </c>
      <c r="BL122" s="1157">
        <f>'1.5 Prognoser og indekser'!BQ32</f>
        <v>14.026154999999999</v>
      </c>
      <c r="BM122" s="1157">
        <f>'1.5 Prognoser og indekser'!BR32</f>
        <v>14.026154999999999</v>
      </c>
      <c r="BN122" s="1157">
        <f>'1.5 Prognoser og indekser'!BS32</f>
        <v>14.026154999999999</v>
      </c>
      <c r="BO122" s="1157">
        <f>'1.5 Prognoser og indekser'!BT32</f>
        <v>14.026154999999999</v>
      </c>
      <c r="BP122" s="1157">
        <f>'1.5 Prognoser og indekser'!BU32</f>
        <v>14.026154999999999</v>
      </c>
      <c r="BQ122" s="1157">
        <f>'1.5 Prognoser og indekser'!BV32</f>
        <v>14.026154999999999</v>
      </c>
      <c r="BR122" s="1157">
        <f>'1.5 Prognoser og indekser'!BW32</f>
        <v>14.026154999999999</v>
      </c>
      <c r="BS122" s="1157">
        <f>'1.5 Prognoser og indekser'!BX32</f>
        <v>14.026154999999999</v>
      </c>
      <c r="BT122" s="1157">
        <f>'1.5 Prognoser og indekser'!BY32</f>
        <v>14.026154999999999</v>
      </c>
      <c r="BU122" s="1157">
        <f>'1.5 Prognoser og indekser'!BZ32</f>
        <v>14.026154999999999</v>
      </c>
      <c r="BV122" s="1157">
        <f>'1.5 Prognoser og indekser'!CA32</f>
        <v>14.026154999999999</v>
      </c>
      <c r="BW122" s="1157">
        <f>'1.5 Prognoser og indekser'!CB32</f>
        <v>14.026154999999999</v>
      </c>
      <c r="BX122" s="1157">
        <f>'1.5 Prognoser og indekser'!CC32</f>
        <v>14.026154999999999</v>
      </c>
      <c r="BY122" s="1157">
        <f>'1.5 Prognoser og indekser'!CD32</f>
        <v>14.026154999999999</v>
      </c>
      <c r="BZ122" s="1157">
        <f>'1.5 Prognoser og indekser'!CE32</f>
        <v>14.026154999999999</v>
      </c>
      <c r="CA122" s="1157">
        <f>'1.5 Prognoser og indekser'!CF32</f>
        <v>14.026154999999999</v>
      </c>
      <c r="CB122" s="1157">
        <f>'1.5 Prognoser og indekser'!CG32</f>
        <v>14.026154999999999</v>
      </c>
      <c r="CC122" s="1157">
        <f>'1.5 Prognoser og indekser'!CH32</f>
        <v>14.026154999999999</v>
      </c>
      <c r="CD122" s="1157">
        <f>'1.5 Prognoser og indekser'!CI32</f>
        <v>14.026154999999999</v>
      </c>
      <c r="CE122" s="1157">
        <f>'1.5 Prognoser og indekser'!CJ32</f>
        <v>14.026154999999999</v>
      </c>
      <c r="CF122" s="1157">
        <f>'1.5 Prognoser og indekser'!CK32</f>
        <v>14.026154999999999</v>
      </c>
      <c r="CG122" s="1157">
        <f>'1.5 Prognoser og indekser'!CL32</f>
        <v>14.026154999999999</v>
      </c>
      <c r="CH122" s="1157">
        <f>'1.5 Prognoser og indekser'!CM32</f>
        <v>14.026154999999999</v>
      </c>
      <c r="CI122" s="1157">
        <f>'1.5 Prognoser og indekser'!CN32</f>
        <v>14.026154999999999</v>
      </c>
      <c r="CJ122" s="1157">
        <f>'1.5 Prognoser og indekser'!CO32</f>
        <v>14.026154999999999</v>
      </c>
      <c r="CK122" s="1157">
        <f>'1.5 Prognoser og indekser'!CP32</f>
        <v>14.026154999999999</v>
      </c>
      <c r="CL122" s="1157">
        <f>'1.5 Prognoser og indekser'!CQ32</f>
        <v>14.026154999999999</v>
      </c>
      <c r="CM122" s="1157">
        <f>'1.5 Prognoser og indekser'!CR32</f>
        <v>14.026154999999999</v>
      </c>
      <c r="CN122" s="1157">
        <f>'1.5 Prognoser og indekser'!CS32</f>
        <v>14.026154999999999</v>
      </c>
      <c r="CO122" s="1157">
        <f>'1.5 Prognoser og indekser'!CT32</f>
        <v>14.026154999999999</v>
      </c>
      <c r="CP122" s="1157">
        <f>'1.5 Prognoser og indekser'!CU32</f>
        <v>14.026154999999999</v>
      </c>
      <c r="CQ122" s="1157">
        <f>'1.5 Prognoser og indekser'!CV32</f>
        <v>14.026154999999999</v>
      </c>
      <c r="CR122" s="1157">
        <f>'1.5 Prognoser og indekser'!CW32</f>
        <v>14.026154999999999</v>
      </c>
      <c r="CS122" s="1157">
        <f>'1.5 Prognoser og indekser'!CX32</f>
        <v>14.026154999999999</v>
      </c>
      <c r="CT122" s="1157">
        <f>'1.5 Prognoser og indekser'!CY32</f>
        <v>14.026154999999999</v>
      </c>
      <c r="CU122" s="1157">
        <f>'1.5 Prognoser og indekser'!CZ32</f>
        <v>14.026154999999999</v>
      </c>
      <c r="CV122" s="1157">
        <f>'1.5 Prognoser og indekser'!DA32</f>
        <v>14.026154999999999</v>
      </c>
      <c r="CW122" s="1157">
        <f>'1.5 Prognoser og indekser'!DB32</f>
        <v>14.026154999999999</v>
      </c>
      <c r="CX122" s="1157">
        <f>'1.5 Prognoser og indekser'!DC32</f>
        <v>14.026154999999999</v>
      </c>
      <c r="CY122" s="1157">
        <f>'1.5 Prognoser og indekser'!DD32</f>
        <v>14.026154999999999</v>
      </c>
      <c r="CZ122" s="1157">
        <f>'1.5 Prognoser og indekser'!DE32</f>
        <v>14.026154999999999</v>
      </c>
      <c r="DA122" s="1157">
        <f>'1.5 Prognoser og indekser'!DF32</f>
        <v>14.026154999999999</v>
      </c>
      <c r="DB122" s="1157">
        <f>'1.5 Prognoser og indekser'!DG32</f>
        <v>14.026154999999999</v>
      </c>
      <c r="DC122" s="1157">
        <f>'1.5 Prognoser og indekser'!DH32</f>
        <v>14.026154999999999</v>
      </c>
      <c r="DD122" s="1157">
        <f>'1.5 Prognoser og indekser'!DI32</f>
        <v>14.026154999999999</v>
      </c>
      <c r="DE122" s="1157">
        <f>'1.5 Prognoser og indekser'!DJ32</f>
        <v>14.026154999999999</v>
      </c>
      <c r="DF122" s="1157">
        <f>'1.5 Prognoser og indekser'!DK32</f>
        <v>14.026154999999999</v>
      </c>
      <c r="DG122" s="1157">
        <f>'1.5 Prognoser og indekser'!DL32</f>
        <v>14.026154999999999</v>
      </c>
      <c r="DH122" s="1157">
        <f>'1.5 Prognoser og indekser'!DM32</f>
        <v>14.026154999999999</v>
      </c>
      <c r="DI122" s="1157">
        <f>'1.5 Prognoser og indekser'!DN32</f>
        <v>14.026154999999999</v>
      </c>
      <c r="DJ122" s="1157">
        <f>'1.5 Prognoser og indekser'!DO32</f>
        <v>14.026154999999999</v>
      </c>
      <c r="DK122" s="1157">
        <f>'1.5 Prognoser og indekser'!DP32</f>
        <v>14.026154999999999</v>
      </c>
      <c r="DL122" s="1157">
        <f>'1.5 Prognoser og indekser'!DQ32</f>
        <v>14.026154999999999</v>
      </c>
      <c r="DM122" s="1157">
        <f>'1.5 Prognoser og indekser'!DR32</f>
        <v>14.026154999999999</v>
      </c>
      <c r="DN122" s="1157">
        <f>'1.5 Prognoser og indekser'!DS32</f>
        <v>14.026154999999999</v>
      </c>
      <c r="DO122" s="1157">
        <f>'1.5 Prognoser og indekser'!DT32</f>
        <v>14.026154999999999</v>
      </c>
      <c r="DP122" s="1157">
        <f>'1.5 Prognoser og indekser'!DU32</f>
        <v>14.026154999999999</v>
      </c>
      <c r="DQ122" s="1157">
        <f>'1.5 Prognoser og indekser'!DV32</f>
        <v>14.026154999999999</v>
      </c>
      <c r="DR122" s="1170">
        <f>'1.5 Prognoser og indekser'!DW32</f>
        <v>14.026154999999999</v>
      </c>
    </row>
    <row r="123" spans="1:122" x14ac:dyDescent="0.35">
      <c r="A123" s="685"/>
      <c r="B123" s="446" t="str">
        <f>'1.5 Prognoser og indekser'!G33</f>
        <v>CO2-utslipp - Skip (kg/km)</v>
      </c>
      <c r="C123" s="1157"/>
      <c r="D123" s="1157"/>
      <c r="E123" s="1157"/>
      <c r="F123" s="1157"/>
      <c r="G123" s="1157"/>
      <c r="H123" s="1157"/>
      <c r="I123" s="1157"/>
      <c r="J123" s="1157"/>
      <c r="K123" s="1157"/>
      <c r="L123" s="1157"/>
      <c r="M123" s="1157"/>
      <c r="N123" s="1157"/>
      <c r="O123" s="1157"/>
      <c r="P123" s="1157"/>
      <c r="Q123" s="1157">
        <f>'1.5 Prognoser og indekser'!V33</f>
        <v>85.993501384440279</v>
      </c>
      <c r="R123" s="1157">
        <f>'1.5 Prognoser og indekser'!W33</f>
        <v>85.993501384440279</v>
      </c>
      <c r="S123" s="1157">
        <f>'1.5 Prognoser og indekser'!X33</f>
        <v>85.993501384440279</v>
      </c>
      <c r="T123" s="1157">
        <f>'1.5 Prognoser og indekser'!Y33</f>
        <v>85.993501384440279</v>
      </c>
      <c r="U123" s="1157">
        <f>'1.5 Prognoser og indekser'!Z33</f>
        <v>85.993501384440279</v>
      </c>
      <c r="V123" s="1157">
        <f>'1.5 Prognoser og indekser'!AA33</f>
        <v>85.993501384440279</v>
      </c>
      <c r="W123" s="1157">
        <f>'1.5 Prognoser og indekser'!AB33</f>
        <v>85.993501384440279</v>
      </c>
      <c r="X123" s="1157">
        <f>'1.5 Prognoser og indekser'!AC33</f>
        <v>85.993501384440279</v>
      </c>
      <c r="Y123" s="1157">
        <f>'1.5 Prognoser og indekser'!AD33</f>
        <v>85.993501384440279</v>
      </c>
      <c r="Z123" s="1157">
        <f>'1.5 Prognoser og indekser'!AE33</f>
        <v>85.993501384440279</v>
      </c>
      <c r="AA123" s="1157">
        <f>'1.5 Prognoser og indekser'!AF33</f>
        <v>85.993501384440279</v>
      </c>
      <c r="AB123" s="1157">
        <f>'1.5 Prognoser og indekser'!AG33</f>
        <v>85.993501384440279</v>
      </c>
      <c r="AC123" s="1157">
        <f>'1.5 Prognoser og indekser'!AH33</f>
        <v>85.993501384440279</v>
      </c>
      <c r="AD123" s="1157">
        <f>'1.5 Prognoser og indekser'!AI33</f>
        <v>85.993501384440279</v>
      </c>
      <c r="AE123" s="1157">
        <f>'1.5 Prognoser og indekser'!AJ33</f>
        <v>85.993501384440279</v>
      </c>
      <c r="AF123" s="1157">
        <f>'1.5 Prognoser og indekser'!AK33</f>
        <v>85.993501384440279</v>
      </c>
      <c r="AG123" s="1157">
        <f>'1.5 Prognoser og indekser'!AL33</f>
        <v>85.993501384440279</v>
      </c>
      <c r="AH123" s="1157">
        <f>'1.5 Prognoser og indekser'!AM33</f>
        <v>85.993501384440279</v>
      </c>
      <c r="AI123" s="1157">
        <f>'1.5 Prognoser og indekser'!AN33</f>
        <v>85.993501384440279</v>
      </c>
      <c r="AJ123" s="1157">
        <f>'1.5 Prognoser og indekser'!AO33</f>
        <v>85.993501384440279</v>
      </c>
      <c r="AK123" s="1157">
        <f>'1.5 Prognoser og indekser'!AP33</f>
        <v>85.993501384440279</v>
      </c>
      <c r="AL123" s="1157">
        <f>'1.5 Prognoser og indekser'!AQ33</f>
        <v>85.993501384440279</v>
      </c>
      <c r="AM123" s="1157">
        <f>'1.5 Prognoser og indekser'!AR33</f>
        <v>85.993501384440279</v>
      </c>
      <c r="AN123" s="1157">
        <f>'1.5 Prognoser og indekser'!AS33</f>
        <v>85.993501384440279</v>
      </c>
      <c r="AO123" s="1157">
        <f>'1.5 Prognoser og indekser'!AT33</f>
        <v>85.993501384440279</v>
      </c>
      <c r="AP123" s="1157">
        <f>'1.5 Prognoser og indekser'!AU33</f>
        <v>85.993501384440279</v>
      </c>
      <c r="AQ123" s="1157">
        <f>'1.5 Prognoser og indekser'!AV33</f>
        <v>85.993501384440279</v>
      </c>
      <c r="AR123" s="1157">
        <f>'1.5 Prognoser og indekser'!AW33</f>
        <v>85.993501384440279</v>
      </c>
      <c r="AS123" s="1157">
        <f>'1.5 Prognoser og indekser'!AX33</f>
        <v>85.993501384440279</v>
      </c>
      <c r="AT123" s="1157">
        <f>'1.5 Prognoser og indekser'!AY33</f>
        <v>85.993501384440279</v>
      </c>
      <c r="AU123" s="1157">
        <f>'1.5 Prognoser og indekser'!AZ33</f>
        <v>85.993501384440279</v>
      </c>
      <c r="AV123" s="1157">
        <f>'1.5 Prognoser og indekser'!BA33</f>
        <v>85.993501384440279</v>
      </c>
      <c r="AW123" s="1157">
        <f>'1.5 Prognoser og indekser'!BB33</f>
        <v>85.993501384440279</v>
      </c>
      <c r="AX123" s="1157">
        <f>'1.5 Prognoser og indekser'!BC33</f>
        <v>85.993501384440279</v>
      </c>
      <c r="AY123" s="1157">
        <f>'1.5 Prognoser og indekser'!BD33</f>
        <v>85.993501384440279</v>
      </c>
      <c r="AZ123" s="1157">
        <f>'1.5 Prognoser og indekser'!BE33</f>
        <v>85.993501384440279</v>
      </c>
      <c r="BA123" s="1157">
        <f>'1.5 Prognoser og indekser'!BF33</f>
        <v>85.993501384440279</v>
      </c>
      <c r="BB123" s="1157">
        <f>'1.5 Prognoser og indekser'!BG33</f>
        <v>85.993501384440279</v>
      </c>
      <c r="BC123" s="1157">
        <f>'1.5 Prognoser og indekser'!BH33</f>
        <v>85.993501384440279</v>
      </c>
      <c r="BD123" s="1157">
        <f>'1.5 Prognoser og indekser'!BI33</f>
        <v>85.993501384440279</v>
      </c>
      <c r="BE123" s="1157">
        <f>'1.5 Prognoser og indekser'!BJ33</f>
        <v>85.993501384440279</v>
      </c>
      <c r="BF123" s="1157">
        <f>'1.5 Prognoser og indekser'!BK33</f>
        <v>85.993501384440279</v>
      </c>
      <c r="BG123" s="1157">
        <f>'1.5 Prognoser og indekser'!BL33</f>
        <v>85.993501384440279</v>
      </c>
      <c r="BH123" s="1157">
        <f>'1.5 Prognoser og indekser'!BM33</f>
        <v>85.993501384440279</v>
      </c>
      <c r="BI123" s="1157">
        <f>'1.5 Prognoser og indekser'!BN33</f>
        <v>85.993501384440279</v>
      </c>
      <c r="BJ123" s="1157">
        <f>'1.5 Prognoser og indekser'!BO33</f>
        <v>85.993501384440279</v>
      </c>
      <c r="BK123" s="1157">
        <f>'1.5 Prognoser og indekser'!BP33</f>
        <v>85.993501384440279</v>
      </c>
      <c r="BL123" s="1157">
        <f>'1.5 Prognoser og indekser'!BQ33</f>
        <v>85.993501384440279</v>
      </c>
      <c r="BM123" s="1157">
        <f>'1.5 Prognoser og indekser'!BR33</f>
        <v>85.993501384440279</v>
      </c>
      <c r="BN123" s="1157">
        <f>'1.5 Prognoser og indekser'!BS33</f>
        <v>85.993501384440279</v>
      </c>
      <c r="BO123" s="1157">
        <f>'1.5 Prognoser og indekser'!BT33</f>
        <v>85.993501384440279</v>
      </c>
      <c r="BP123" s="1157">
        <f>'1.5 Prognoser og indekser'!BU33</f>
        <v>85.993501384440279</v>
      </c>
      <c r="BQ123" s="1157">
        <f>'1.5 Prognoser og indekser'!BV33</f>
        <v>85.993501384440279</v>
      </c>
      <c r="BR123" s="1157">
        <f>'1.5 Prognoser og indekser'!BW33</f>
        <v>85.993501384440279</v>
      </c>
      <c r="BS123" s="1157">
        <f>'1.5 Prognoser og indekser'!BX33</f>
        <v>85.993501384440279</v>
      </c>
      <c r="BT123" s="1157">
        <f>'1.5 Prognoser og indekser'!BY33</f>
        <v>85.993501384440279</v>
      </c>
      <c r="BU123" s="1157">
        <f>'1.5 Prognoser og indekser'!BZ33</f>
        <v>85.993501384440279</v>
      </c>
      <c r="BV123" s="1157">
        <f>'1.5 Prognoser og indekser'!CA33</f>
        <v>85.993501384440279</v>
      </c>
      <c r="BW123" s="1157">
        <f>'1.5 Prognoser og indekser'!CB33</f>
        <v>85.993501384440279</v>
      </c>
      <c r="BX123" s="1157">
        <f>'1.5 Prognoser og indekser'!CC33</f>
        <v>85.993501384440279</v>
      </c>
      <c r="BY123" s="1157">
        <f>'1.5 Prognoser og indekser'!CD33</f>
        <v>85.993501384440279</v>
      </c>
      <c r="BZ123" s="1157">
        <f>'1.5 Prognoser og indekser'!CE33</f>
        <v>85.993501384440279</v>
      </c>
      <c r="CA123" s="1157">
        <f>'1.5 Prognoser og indekser'!CF33</f>
        <v>85.993501384440279</v>
      </c>
      <c r="CB123" s="1157">
        <f>'1.5 Prognoser og indekser'!CG33</f>
        <v>85.993501384440279</v>
      </c>
      <c r="CC123" s="1157">
        <f>'1.5 Prognoser og indekser'!CH33</f>
        <v>85.993501384440279</v>
      </c>
      <c r="CD123" s="1157">
        <f>'1.5 Prognoser og indekser'!CI33</f>
        <v>85.993501384440279</v>
      </c>
      <c r="CE123" s="1157">
        <f>'1.5 Prognoser og indekser'!CJ33</f>
        <v>85.993501384440279</v>
      </c>
      <c r="CF123" s="1157">
        <f>'1.5 Prognoser og indekser'!CK33</f>
        <v>85.993501384440279</v>
      </c>
      <c r="CG123" s="1157">
        <f>'1.5 Prognoser og indekser'!CL33</f>
        <v>85.993501384440279</v>
      </c>
      <c r="CH123" s="1157">
        <f>'1.5 Prognoser og indekser'!CM33</f>
        <v>85.993501384440279</v>
      </c>
      <c r="CI123" s="1157">
        <f>'1.5 Prognoser og indekser'!CN33</f>
        <v>85.993501384440279</v>
      </c>
      <c r="CJ123" s="1157">
        <f>'1.5 Prognoser og indekser'!CO33</f>
        <v>85.993501384440279</v>
      </c>
      <c r="CK123" s="1157">
        <f>'1.5 Prognoser og indekser'!CP33</f>
        <v>85.993501384440279</v>
      </c>
      <c r="CL123" s="1157">
        <f>'1.5 Prognoser og indekser'!CQ33</f>
        <v>85.993501384440279</v>
      </c>
      <c r="CM123" s="1157">
        <f>'1.5 Prognoser og indekser'!CR33</f>
        <v>85.993501384440279</v>
      </c>
      <c r="CN123" s="1157">
        <f>'1.5 Prognoser og indekser'!CS33</f>
        <v>85.993501384440279</v>
      </c>
      <c r="CO123" s="1157">
        <f>'1.5 Prognoser og indekser'!CT33</f>
        <v>85.993501384440279</v>
      </c>
      <c r="CP123" s="1157">
        <f>'1.5 Prognoser og indekser'!CU33</f>
        <v>85.993501384440279</v>
      </c>
      <c r="CQ123" s="1157">
        <f>'1.5 Prognoser og indekser'!CV33</f>
        <v>85.993501384440279</v>
      </c>
      <c r="CR123" s="1157">
        <f>'1.5 Prognoser og indekser'!CW33</f>
        <v>85.993501384440279</v>
      </c>
      <c r="CS123" s="1157">
        <f>'1.5 Prognoser og indekser'!CX33</f>
        <v>85.993501384440279</v>
      </c>
      <c r="CT123" s="1157">
        <f>'1.5 Prognoser og indekser'!CY33</f>
        <v>85.993501384440279</v>
      </c>
      <c r="CU123" s="1157">
        <f>'1.5 Prognoser og indekser'!CZ33</f>
        <v>85.993501384440279</v>
      </c>
      <c r="CV123" s="1157">
        <f>'1.5 Prognoser og indekser'!DA33</f>
        <v>85.993501384440279</v>
      </c>
      <c r="CW123" s="1157">
        <f>'1.5 Prognoser og indekser'!DB33</f>
        <v>85.993501384440279</v>
      </c>
      <c r="CX123" s="1157">
        <f>'1.5 Prognoser og indekser'!DC33</f>
        <v>85.993501384440279</v>
      </c>
      <c r="CY123" s="1157">
        <f>'1.5 Prognoser og indekser'!DD33</f>
        <v>85.993501384440279</v>
      </c>
      <c r="CZ123" s="1157">
        <f>'1.5 Prognoser og indekser'!DE33</f>
        <v>85.993501384440279</v>
      </c>
      <c r="DA123" s="1157">
        <f>'1.5 Prognoser og indekser'!DF33</f>
        <v>85.993501384440279</v>
      </c>
      <c r="DB123" s="1157">
        <f>'1.5 Prognoser og indekser'!DG33</f>
        <v>85.993501384440279</v>
      </c>
      <c r="DC123" s="1157">
        <f>'1.5 Prognoser og indekser'!DH33</f>
        <v>85.993501384440279</v>
      </c>
      <c r="DD123" s="1157">
        <f>'1.5 Prognoser og indekser'!DI33</f>
        <v>85.993501384440279</v>
      </c>
      <c r="DE123" s="1157">
        <f>'1.5 Prognoser og indekser'!DJ33</f>
        <v>85.993501384440279</v>
      </c>
      <c r="DF123" s="1157">
        <f>'1.5 Prognoser og indekser'!DK33</f>
        <v>85.993501384440279</v>
      </c>
      <c r="DG123" s="1157">
        <f>'1.5 Prognoser og indekser'!DL33</f>
        <v>85.993501384440279</v>
      </c>
      <c r="DH123" s="1157">
        <f>'1.5 Prognoser og indekser'!DM33</f>
        <v>85.993501384440279</v>
      </c>
      <c r="DI123" s="1157">
        <f>'1.5 Prognoser og indekser'!DN33</f>
        <v>85.993501384440279</v>
      </c>
      <c r="DJ123" s="1157">
        <f>'1.5 Prognoser og indekser'!DO33</f>
        <v>85.993501384440279</v>
      </c>
      <c r="DK123" s="1157">
        <f>'1.5 Prognoser og indekser'!DP33</f>
        <v>85.993501384440279</v>
      </c>
      <c r="DL123" s="1157">
        <f>'1.5 Prognoser og indekser'!DQ33</f>
        <v>85.993501384440279</v>
      </c>
      <c r="DM123" s="1157">
        <f>'1.5 Prognoser og indekser'!DR33</f>
        <v>85.993501384440279</v>
      </c>
      <c r="DN123" s="1157">
        <f>'1.5 Prognoser og indekser'!DS33</f>
        <v>85.993501384440279</v>
      </c>
      <c r="DO123" s="1157">
        <f>'1.5 Prognoser og indekser'!DT33</f>
        <v>85.993501384440279</v>
      </c>
      <c r="DP123" s="1157">
        <f>'1.5 Prognoser og indekser'!DU33</f>
        <v>85.993501384440279</v>
      </c>
      <c r="DQ123" s="1157">
        <f>'1.5 Prognoser og indekser'!DV33</f>
        <v>85.993501384440279</v>
      </c>
      <c r="DR123" s="1170">
        <f>'1.5 Prognoser og indekser'!DW33</f>
        <v>85.993501384440279</v>
      </c>
    </row>
    <row r="124" spans="1:122" x14ac:dyDescent="0.35">
      <c r="A124" s="685"/>
      <c r="B124" s="446" t="str">
        <f>"Utvikling i CO2-utslipp (kg)- "&amp;'3.1 Nyttestrøm'!C76</f>
        <v>Utvikling i CO2-utslipp (kg)- Jernbane - Persontog</v>
      </c>
      <c r="C124" s="1157"/>
      <c r="D124" s="1157"/>
      <c r="E124" s="1157"/>
      <c r="F124" s="1157"/>
      <c r="G124" s="1157"/>
      <c r="H124" s="1157"/>
      <c r="I124" s="1157"/>
      <c r="J124" s="1157"/>
      <c r="K124" s="1157"/>
      <c r="L124" s="1157"/>
      <c r="M124" s="1157">
        <f t="shared" ref="M124:AR124" si="182">M120*M107</f>
        <v>0</v>
      </c>
      <c r="N124" s="1157">
        <f t="shared" si="182"/>
        <v>0</v>
      </c>
      <c r="O124" s="1157">
        <f t="shared" si="182"/>
        <v>0</v>
      </c>
      <c r="P124" s="1157">
        <f t="shared" si="182"/>
        <v>0</v>
      </c>
      <c r="Q124" s="1157">
        <f t="shared" si="182"/>
        <v>0</v>
      </c>
      <c r="R124" s="1157">
        <f t="shared" si="182"/>
        <v>0</v>
      </c>
      <c r="S124" s="1157">
        <f t="shared" si="182"/>
        <v>0</v>
      </c>
      <c r="T124" s="1157">
        <f t="shared" si="182"/>
        <v>0</v>
      </c>
      <c r="U124" s="1157">
        <f t="shared" si="182"/>
        <v>0</v>
      </c>
      <c r="V124" s="1157">
        <f t="shared" si="182"/>
        <v>0</v>
      </c>
      <c r="W124" s="1157" t="e">
        <f t="shared" ca="1" si="182"/>
        <v>#VALUE!</v>
      </c>
      <c r="X124" s="1157" t="e">
        <f t="shared" ca="1" si="182"/>
        <v>#VALUE!</v>
      </c>
      <c r="Y124" s="1157" t="e">
        <f t="shared" ca="1" si="182"/>
        <v>#VALUE!</v>
      </c>
      <c r="Z124" s="1157" t="e">
        <f t="shared" ca="1" si="182"/>
        <v>#VALUE!</v>
      </c>
      <c r="AA124" s="1157" t="e">
        <f t="shared" ca="1" si="182"/>
        <v>#VALUE!</v>
      </c>
      <c r="AB124" s="1157" t="e">
        <f t="shared" ca="1" si="182"/>
        <v>#VALUE!</v>
      </c>
      <c r="AC124" s="1157" t="e">
        <f t="shared" ca="1" si="182"/>
        <v>#VALUE!</v>
      </c>
      <c r="AD124" s="1157" t="e">
        <f t="shared" ca="1" si="182"/>
        <v>#VALUE!</v>
      </c>
      <c r="AE124" s="1157" t="e">
        <f t="shared" ca="1" si="182"/>
        <v>#VALUE!</v>
      </c>
      <c r="AF124" s="1157" t="e">
        <f t="shared" ca="1" si="182"/>
        <v>#VALUE!</v>
      </c>
      <c r="AG124" s="1157" t="e">
        <f t="shared" ca="1" si="182"/>
        <v>#VALUE!</v>
      </c>
      <c r="AH124" s="1157" t="e">
        <f t="shared" ca="1" si="182"/>
        <v>#VALUE!</v>
      </c>
      <c r="AI124" s="1157" t="e">
        <f t="shared" ca="1" si="182"/>
        <v>#VALUE!</v>
      </c>
      <c r="AJ124" s="1157" t="e">
        <f t="shared" ca="1" si="182"/>
        <v>#VALUE!</v>
      </c>
      <c r="AK124" s="1157" t="e">
        <f t="shared" ca="1" si="182"/>
        <v>#VALUE!</v>
      </c>
      <c r="AL124" s="1157" t="e">
        <f t="shared" ca="1" si="182"/>
        <v>#VALUE!</v>
      </c>
      <c r="AM124" s="1157" t="e">
        <f t="shared" ca="1" si="182"/>
        <v>#VALUE!</v>
      </c>
      <c r="AN124" s="1157" t="e">
        <f t="shared" ca="1" si="182"/>
        <v>#VALUE!</v>
      </c>
      <c r="AO124" s="1157" t="e">
        <f t="shared" ca="1" si="182"/>
        <v>#VALUE!</v>
      </c>
      <c r="AP124" s="1157" t="e">
        <f t="shared" ca="1" si="182"/>
        <v>#VALUE!</v>
      </c>
      <c r="AQ124" s="1157" t="e">
        <f t="shared" ca="1" si="182"/>
        <v>#VALUE!</v>
      </c>
      <c r="AR124" s="1157" t="e">
        <f t="shared" ca="1" si="182"/>
        <v>#VALUE!</v>
      </c>
      <c r="AS124" s="1157" t="e">
        <f t="shared" ref="AS124:BX124" ca="1" si="183">AS120*AS107</f>
        <v>#VALUE!</v>
      </c>
      <c r="AT124" s="1157" t="e">
        <f t="shared" ca="1" si="183"/>
        <v>#VALUE!</v>
      </c>
      <c r="AU124" s="1157" t="e">
        <f t="shared" ca="1" si="183"/>
        <v>#VALUE!</v>
      </c>
      <c r="AV124" s="1157" t="e">
        <f t="shared" ca="1" si="183"/>
        <v>#VALUE!</v>
      </c>
      <c r="AW124" s="1157" t="e">
        <f t="shared" ca="1" si="183"/>
        <v>#VALUE!</v>
      </c>
      <c r="AX124" s="1157" t="e">
        <f t="shared" ca="1" si="183"/>
        <v>#VALUE!</v>
      </c>
      <c r="AY124" s="1157" t="e">
        <f t="shared" ca="1" si="183"/>
        <v>#VALUE!</v>
      </c>
      <c r="AZ124" s="1157" t="e">
        <f t="shared" ca="1" si="183"/>
        <v>#VALUE!</v>
      </c>
      <c r="BA124" s="1157" t="e">
        <f t="shared" ca="1" si="183"/>
        <v>#VALUE!</v>
      </c>
      <c r="BB124" s="1157" t="e">
        <f t="shared" ca="1" si="183"/>
        <v>#VALUE!</v>
      </c>
      <c r="BC124" s="1157" t="e">
        <f t="shared" ca="1" si="183"/>
        <v>#VALUE!</v>
      </c>
      <c r="BD124" s="1157" t="e">
        <f t="shared" ca="1" si="183"/>
        <v>#VALUE!</v>
      </c>
      <c r="BE124" s="1157" t="e">
        <f t="shared" ca="1" si="183"/>
        <v>#VALUE!</v>
      </c>
      <c r="BF124" s="1157" t="e">
        <f t="shared" ca="1" si="183"/>
        <v>#VALUE!</v>
      </c>
      <c r="BG124" s="1157" t="e">
        <f t="shared" ca="1" si="183"/>
        <v>#VALUE!</v>
      </c>
      <c r="BH124" s="1157" t="e">
        <f t="shared" ca="1" si="183"/>
        <v>#VALUE!</v>
      </c>
      <c r="BI124" s="1157" t="e">
        <f t="shared" ca="1" si="183"/>
        <v>#VALUE!</v>
      </c>
      <c r="BJ124" s="1157" t="e">
        <f t="shared" ca="1" si="183"/>
        <v>#VALUE!</v>
      </c>
      <c r="BK124" s="1157" t="e">
        <f t="shared" ca="1" si="183"/>
        <v>#VALUE!</v>
      </c>
      <c r="BL124" s="1157" t="e">
        <f t="shared" ca="1" si="183"/>
        <v>#VALUE!</v>
      </c>
      <c r="BM124" s="1157" t="e">
        <f t="shared" ca="1" si="183"/>
        <v>#VALUE!</v>
      </c>
      <c r="BN124" s="1157" t="e">
        <f t="shared" ca="1" si="183"/>
        <v>#VALUE!</v>
      </c>
      <c r="BO124" s="1157" t="e">
        <f t="shared" ca="1" si="183"/>
        <v>#VALUE!</v>
      </c>
      <c r="BP124" s="1157" t="e">
        <f t="shared" ca="1" si="183"/>
        <v>#VALUE!</v>
      </c>
      <c r="BQ124" s="1157" t="e">
        <f t="shared" ca="1" si="183"/>
        <v>#VALUE!</v>
      </c>
      <c r="BR124" s="1157" t="e">
        <f t="shared" ca="1" si="183"/>
        <v>#VALUE!</v>
      </c>
      <c r="BS124" s="1157" t="e">
        <f t="shared" ca="1" si="183"/>
        <v>#VALUE!</v>
      </c>
      <c r="BT124" s="1157" t="e">
        <f t="shared" ca="1" si="183"/>
        <v>#VALUE!</v>
      </c>
      <c r="BU124" s="1157" t="e">
        <f t="shared" ca="1" si="183"/>
        <v>#VALUE!</v>
      </c>
      <c r="BV124" s="1157" t="e">
        <f t="shared" ca="1" si="183"/>
        <v>#VALUE!</v>
      </c>
      <c r="BW124" s="1157" t="e">
        <f t="shared" ca="1" si="183"/>
        <v>#VALUE!</v>
      </c>
      <c r="BX124" s="1157" t="e">
        <f t="shared" ca="1" si="183"/>
        <v>#VALUE!</v>
      </c>
      <c r="BY124" s="1157" t="e">
        <f t="shared" ref="BY124:CS124" ca="1" si="184">BY120*BY107</f>
        <v>#VALUE!</v>
      </c>
      <c r="BZ124" s="1157" t="e">
        <f t="shared" ca="1" si="184"/>
        <v>#VALUE!</v>
      </c>
      <c r="CA124" s="1157" t="e">
        <f t="shared" ca="1" si="184"/>
        <v>#VALUE!</v>
      </c>
      <c r="CB124" s="1157" t="e">
        <f t="shared" ca="1" si="184"/>
        <v>#VALUE!</v>
      </c>
      <c r="CC124" s="1157" t="e">
        <f t="shared" ca="1" si="184"/>
        <v>#VALUE!</v>
      </c>
      <c r="CD124" s="1157" t="e">
        <f t="shared" ca="1" si="184"/>
        <v>#VALUE!</v>
      </c>
      <c r="CE124" s="1157" t="e">
        <f t="shared" ca="1" si="184"/>
        <v>#VALUE!</v>
      </c>
      <c r="CF124" s="1157" t="e">
        <f t="shared" ca="1" si="184"/>
        <v>#VALUE!</v>
      </c>
      <c r="CG124" s="1157" t="e">
        <f t="shared" ca="1" si="184"/>
        <v>#VALUE!</v>
      </c>
      <c r="CH124" s="1157" t="e">
        <f t="shared" ca="1" si="184"/>
        <v>#VALUE!</v>
      </c>
      <c r="CI124" s="1157" t="e">
        <f t="shared" ca="1" si="184"/>
        <v>#VALUE!</v>
      </c>
      <c r="CJ124" s="1157" t="e">
        <f t="shared" ca="1" si="184"/>
        <v>#VALUE!</v>
      </c>
      <c r="CK124" s="1157" t="e">
        <f t="shared" ca="1" si="184"/>
        <v>#VALUE!</v>
      </c>
      <c r="CL124" s="1157" t="e">
        <f t="shared" ca="1" si="184"/>
        <v>#VALUE!</v>
      </c>
      <c r="CM124" s="1157" t="e">
        <f t="shared" ca="1" si="184"/>
        <v>#VALUE!</v>
      </c>
      <c r="CN124" s="1157" t="e">
        <f t="shared" ca="1" si="184"/>
        <v>#VALUE!</v>
      </c>
      <c r="CO124" s="1157" t="e">
        <f t="shared" ca="1" si="184"/>
        <v>#VALUE!</v>
      </c>
      <c r="CP124" s="1157" t="e">
        <f t="shared" ca="1" si="184"/>
        <v>#VALUE!</v>
      </c>
      <c r="CQ124" s="1157" t="e">
        <f t="shared" ca="1" si="184"/>
        <v>#VALUE!</v>
      </c>
      <c r="CR124" s="1157" t="e">
        <f t="shared" ca="1" si="184"/>
        <v>#VALUE!</v>
      </c>
      <c r="CS124" s="1157" t="e">
        <f t="shared" ca="1" si="184"/>
        <v>#VALUE!</v>
      </c>
      <c r="CT124" s="1157" t="e">
        <f t="shared" ref="CT124:DR124" ca="1" si="185">CT120*CT107</f>
        <v>#VALUE!</v>
      </c>
      <c r="CU124" s="1157" t="e">
        <f t="shared" ca="1" si="185"/>
        <v>#VALUE!</v>
      </c>
      <c r="CV124" s="1157" t="e">
        <f t="shared" ca="1" si="185"/>
        <v>#VALUE!</v>
      </c>
      <c r="CW124" s="1157" t="e">
        <f t="shared" ca="1" si="185"/>
        <v>#VALUE!</v>
      </c>
      <c r="CX124" s="1157" t="e">
        <f t="shared" ca="1" si="185"/>
        <v>#VALUE!</v>
      </c>
      <c r="CY124" s="1157" t="e">
        <f t="shared" ca="1" si="185"/>
        <v>#VALUE!</v>
      </c>
      <c r="CZ124" s="1157" t="e">
        <f t="shared" ca="1" si="185"/>
        <v>#VALUE!</v>
      </c>
      <c r="DA124" s="1157" t="e">
        <f t="shared" ca="1" si="185"/>
        <v>#VALUE!</v>
      </c>
      <c r="DB124" s="1157" t="e">
        <f t="shared" ca="1" si="185"/>
        <v>#VALUE!</v>
      </c>
      <c r="DC124" s="1157" t="e">
        <f t="shared" ca="1" si="185"/>
        <v>#VALUE!</v>
      </c>
      <c r="DD124" s="1157" t="e">
        <f t="shared" ca="1" si="185"/>
        <v>#VALUE!</v>
      </c>
      <c r="DE124" s="1157" t="e">
        <f t="shared" ca="1" si="185"/>
        <v>#VALUE!</v>
      </c>
      <c r="DF124" s="1157" t="e">
        <f t="shared" ca="1" si="185"/>
        <v>#VALUE!</v>
      </c>
      <c r="DG124" s="1157" t="e">
        <f t="shared" ca="1" si="185"/>
        <v>#VALUE!</v>
      </c>
      <c r="DH124" s="1157" t="e">
        <f t="shared" ca="1" si="185"/>
        <v>#VALUE!</v>
      </c>
      <c r="DI124" s="1157" t="e">
        <f t="shared" ca="1" si="185"/>
        <v>#VALUE!</v>
      </c>
      <c r="DJ124" s="1157" t="e">
        <f t="shared" ca="1" si="185"/>
        <v>#VALUE!</v>
      </c>
      <c r="DK124" s="1157" t="e">
        <f t="shared" ca="1" si="185"/>
        <v>#VALUE!</v>
      </c>
      <c r="DL124" s="1157" t="e">
        <f t="shared" ca="1" si="185"/>
        <v>#VALUE!</v>
      </c>
      <c r="DM124" s="1157" t="e">
        <f t="shared" ca="1" si="185"/>
        <v>#VALUE!</v>
      </c>
      <c r="DN124" s="1157" t="e">
        <f t="shared" ca="1" si="185"/>
        <v>#VALUE!</v>
      </c>
      <c r="DO124" s="1157" t="e">
        <f t="shared" ca="1" si="185"/>
        <v>#VALUE!</v>
      </c>
      <c r="DP124" s="1157" t="e">
        <f t="shared" ca="1" si="185"/>
        <v>#VALUE!</v>
      </c>
      <c r="DQ124" s="1157" t="e">
        <f t="shared" ca="1" si="185"/>
        <v>#VALUE!</v>
      </c>
      <c r="DR124" s="1170" t="e">
        <f t="shared" ca="1" si="185"/>
        <v>#VALUE!</v>
      </c>
    </row>
    <row r="125" spans="1:122" x14ac:dyDescent="0.35">
      <c r="A125" s="685"/>
      <c r="B125" s="446" t="str">
        <f>"Utvikling i CO2-utslipp (kg)- "&amp;'3.1 Nyttestrøm'!C77</f>
        <v>Utvikling i CO2-utslipp (kg)- Jernbane - Godstog</v>
      </c>
      <c r="C125" s="1157"/>
      <c r="D125" s="1157"/>
      <c r="E125" s="1157"/>
      <c r="F125" s="1157"/>
      <c r="G125" s="1157"/>
      <c r="H125" s="1157"/>
      <c r="I125" s="1157"/>
      <c r="J125" s="1157"/>
      <c r="K125" s="1157"/>
      <c r="L125" s="1157"/>
      <c r="M125" s="1157">
        <f t="shared" ref="M125:AR125" si="186">M121*M108</f>
        <v>0</v>
      </c>
      <c r="N125" s="1157">
        <f t="shared" si="186"/>
        <v>0</v>
      </c>
      <c r="O125" s="1157">
        <f t="shared" si="186"/>
        <v>0</v>
      </c>
      <c r="P125" s="1157">
        <f t="shared" si="186"/>
        <v>0</v>
      </c>
      <c r="Q125" s="1157">
        <f t="shared" si="186"/>
        <v>0</v>
      </c>
      <c r="R125" s="1157">
        <f t="shared" si="186"/>
        <v>0</v>
      </c>
      <c r="S125" s="1157">
        <f t="shared" si="186"/>
        <v>0</v>
      </c>
      <c r="T125" s="1157">
        <f t="shared" si="186"/>
        <v>0</v>
      </c>
      <c r="U125" s="1157">
        <f t="shared" si="186"/>
        <v>0</v>
      </c>
      <c r="V125" s="1157">
        <f t="shared" si="186"/>
        <v>0</v>
      </c>
      <c r="W125" s="1157" t="e">
        <f t="shared" ca="1" si="186"/>
        <v>#VALUE!</v>
      </c>
      <c r="X125" s="1157" t="e">
        <f t="shared" ca="1" si="186"/>
        <v>#VALUE!</v>
      </c>
      <c r="Y125" s="1157" t="e">
        <f t="shared" ca="1" si="186"/>
        <v>#VALUE!</v>
      </c>
      <c r="Z125" s="1157" t="e">
        <f t="shared" ca="1" si="186"/>
        <v>#VALUE!</v>
      </c>
      <c r="AA125" s="1157" t="e">
        <f t="shared" ca="1" si="186"/>
        <v>#VALUE!</v>
      </c>
      <c r="AB125" s="1157" t="e">
        <f t="shared" ca="1" si="186"/>
        <v>#VALUE!</v>
      </c>
      <c r="AC125" s="1157" t="e">
        <f t="shared" ca="1" si="186"/>
        <v>#VALUE!</v>
      </c>
      <c r="AD125" s="1157" t="e">
        <f t="shared" ca="1" si="186"/>
        <v>#VALUE!</v>
      </c>
      <c r="AE125" s="1157" t="e">
        <f t="shared" ca="1" si="186"/>
        <v>#VALUE!</v>
      </c>
      <c r="AF125" s="1157" t="e">
        <f t="shared" ca="1" si="186"/>
        <v>#VALUE!</v>
      </c>
      <c r="AG125" s="1157" t="e">
        <f t="shared" ca="1" si="186"/>
        <v>#VALUE!</v>
      </c>
      <c r="AH125" s="1157" t="e">
        <f t="shared" ca="1" si="186"/>
        <v>#VALUE!</v>
      </c>
      <c r="AI125" s="1157" t="e">
        <f t="shared" ca="1" si="186"/>
        <v>#VALUE!</v>
      </c>
      <c r="AJ125" s="1157" t="e">
        <f t="shared" ca="1" si="186"/>
        <v>#VALUE!</v>
      </c>
      <c r="AK125" s="1157" t="e">
        <f t="shared" ca="1" si="186"/>
        <v>#VALUE!</v>
      </c>
      <c r="AL125" s="1157" t="e">
        <f t="shared" ca="1" si="186"/>
        <v>#VALUE!</v>
      </c>
      <c r="AM125" s="1157" t="e">
        <f t="shared" ca="1" si="186"/>
        <v>#VALUE!</v>
      </c>
      <c r="AN125" s="1157" t="e">
        <f t="shared" ca="1" si="186"/>
        <v>#VALUE!</v>
      </c>
      <c r="AO125" s="1157" t="e">
        <f t="shared" ca="1" si="186"/>
        <v>#VALUE!</v>
      </c>
      <c r="AP125" s="1157" t="e">
        <f t="shared" ca="1" si="186"/>
        <v>#VALUE!</v>
      </c>
      <c r="AQ125" s="1157" t="e">
        <f t="shared" ca="1" si="186"/>
        <v>#VALUE!</v>
      </c>
      <c r="AR125" s="1157" t="e">
        <f t="shared" ca="1" si="186"/>
        <v>#VALUE!</v>
      </c>
      <c r="AS125" s="1157" t="e">
        <f t="shared" ref="AS125:BX125" ca="1" si="187">AS121*AS108</f>
        <v>#VALUE!</v>
      </c>
      <c r="AT125" s="1157" t="e">
        <f t="shared" ca="1" si="187"/>
        <v>#VALUE!</v>
      </c>
      <c r="AU125" s="1157" t="e">
        <f t="shared" ca="1" si="187"/>
        <v>#VALUE!</v>
      </c>
      <c r="AV125" s="1157" t="e">
        <f t="shared" ca="1" si="187"/>
        <v>#VALUE!</v>
      </c>
      <c r="AW125" s="1157" t="e">
        <f t="shared" ca="1" si="187"/>
        <v>#VALUE!</v>
      </c>
      <c r="AX125" s="1157" t="e">
        <f t="shared" ca="1" si="187"/>
        <v>#VALUE!</v>
      </c>
      <c r="AY125" s="1157" t="e">
        <f t="shared" ca="1" si="187"/>
        <v>#VALUE!</v>
      </c>
      <c r="AZ125" s="1157" t="e">
        <f t="shared" ca="1" si="187"/>
        <v>#VALUE!</v>
      </c>
      <c r="BA125" s="1157" t="e">
        <f t="shared" ca="1" si="187"/>
        <v>#VALUE!</v>
      </c>
      <c r="BB125" s="1157" t="e">
        <f t="shared" ca="1" si="187"/>
        <v>#VALUE!</v>
      </c>
      <c r="BC125" s="1157" t="e">
        <f t="shared" ca="1" si="187"/>
        <v>#VALUE!</v>
      </c>
      <c r="BD125" s="1157" t="e">
        <f t="shared" ca="1" si="187"/>
        <v>#VALUE!</v>
      </c>
      <c r="BE125" s="1157" t="e">
        <f t="shared" ca="1" si="187"/>
        <v>#VALUE!</v>
      </c>
      <c r="BF125" s="1157" t="e">
        <f t="shared" ca="1" si="187"/>
        <v>#VALUE!</v>
      </c>
      <c r="BG125" s="1157" t="e">
        <f t="shared" ca="1" si="187"/>
        <v>#VALUE!</v>
      </c>
      <c r="BH125" s="1157" t="e">
        <f t="shared" ca="1" si="187"/>
        <v>#VALUE!</v>
      </c>
      <c r="BI125" s="1157" t="e">
        <f t="shared" ca="1" si="187"/>
        <v>#VALUE!</v>
      </c>
      <c r="BJ125" s="1157" t="e">
        <f t="shared" ca="1" si="187"/>
        <v>#VALUE!</v>
      </c>
      <c r="BK125" s="1157" t="e">
        <f t="shared" ca="1" si="187"/>
        <v>#VALUE!</v>
      </c>
      <c r="BL125" s="1157" t="e">
        <f t="shared" ca="1" si="187"/>
        <v>#VALUE!</v>
      </c>
      <c r="BM125" s="1157" t="e">
        <f t="shared" ca="1" si="187"/>
        <v>#VALUE!</v>
      </c>
      <c r="BN125" s="1157" t="e">
        <f t="shared" ca="1" si="187"/>
        <v>#VALUE!</v>
      </c>
      <c r="BO125" s="1157" t="e">
        <f t="shared" ca="1" si="187"/>
        <v>#VALUE!</v>
      </c>
      <c r="BP125" s="1157" t="e">
        <f t="shared" ca="1" si="187"/>
        <v>#VALUE!</v>
      </c>
      <c r="BQ125" s="1157" t="e">
        <f t="shared" ca="1" si="187"/>
        <v>#VALUE!</v>
      </c>
      <c r="BR125" s="1157" t="e">
        <f t="shared" ca="1" si="187"/>
        <v>#VALUE!</v>
      </c>
      <c r="BS125" s="1157" t="e">
        <f t="shared" ca="1" si="187"/>
        <v>#VALUE!</v>
      </c>
      <c r="BT125" s="1157" t="e">
        <f t="shared" ca="1" si="187"/>
        <v>#VALUE!</v>
      </c>
      <c r="BU125" s="1157" t="e">
        <f t="shared" ca="1" si="187"/>
        <v>#VALUE!</v>
      </c>
      <c r="BV125" s="1157" t="e">
        <f t="shared" ca="1" si="187"/>
        <v>#VALUE!</v>
      </c>
      <c r="BW125" s="1157" t="e">
        <f t="shared" ca="1" si="187"/>
        <v>#VALUE!</v>
      </c>
      <c r="BX125" s="1157" t="e">
        <f t="shared" ca="1" si="187"/>
        <v>#VALUE!</v>
      </c>
      <c r="BY125" s="1157" t="e">
        <f t="shared" ref="BY125:CS125" ca="1" si="188">BY121*BY108</f>
        <v>#VALUE!</v>
      </c>
      <c r="BZ125" s="1157" t="e">
        <f t="shared" ca="1" si="188"/>
        <v>#VALUE!</v>
      </c>
      <c r="CA125" s="1157" t="e">
        <f t="shared" ca="1" si="188"/>
        <v>#VALUE!</v>
      </c>
      <c r="CB125" s="1157" t="e">
        <f t="shared" ca="1" si="188"/>
        <v>#VALUE!</v>
      </c>
      <c r="CC125" s="1157" t="e">
        <f t="shared" ca="1" si="188"/>
        <v>#VALUE!</v>
      </c>
      <c r="CD125" s="1157" t="e">
        <f t="shared" ca="1" si="188"/>
        <v>#VALUE!</v>
      </c>
      <c r="CE125" s="1157" t="e">
        <f t="shared" ca="1" si="188"/>
        <v>#VALUE!</v>
      </c>
      <c r="CF125" s="1157" t="e">
        <f t="shared" ca="1" si="188"/>
        <v>#VALUE!</v>
      </c>
      <c r="CG125" s="1157" t="e">
        <f t="shared" ca="1" si="188"/>
        <v>#VALUE!</v>
      </c>
      <c r="CH125" s="1157" t="e">
        <f t="shared" ca="1" si="188"/>
        <v>#VALUE!</v>
      </c>
      <c r="CI125" s="1157" t="e">
        <f t="shared" ca="1" si="188"/>
        <v>#VALUE!</v>
      </c>
      <c r="CJ125" s="1157" t="e">
        <f t="shared" ca="1" si="188"/>
        <v>#VALUE!</v>
      </c>
      <c r="CK125" s="1157" t="e">
        <f t="shared" ca="1" si="188"/>
        <v>#VALUE!</v>
      </c>
      <c r="CL125" s="1157" t="e">
        <f t="shared" ca="1" si="188"/>
        <v>#VALUE!</v>
      </c>
      <c r="CM125" s="1157" t="e">
        <f t="shared" ca="1" si="188"/>
        <v>#VALUE!</v>
      </c>
      <c r="CN125" s="1157" t="e">
        <f t="shared" ca="1" si="188"/>
        <v>#VALUE!</v>
      </c>
      <c r="CO125" s="1157" t="e">
        <f t="shared" ca="1" si="188"/>
        <v>#VALUE!</v>
      </c>
      <c r="CP125" s="1157" t="e">
        <f t="shared" ca="1" si="188"/>
        <v>#VALUE!</v>
      </c>
      <c r="CQ125" s="1157" t="e">
        <f t="shared" ca="1" si="188"/>
        <v>#VALUE!</v>
      </c>
      <c r="CR125" s="1157" t="e">
        <f t="shared" ca="1" si="188"/>
        <v>#VALUE!</v>
      </c>
      <c r="CS125" s="1157" t="e">
        <f t="shared" ca="1" si="188"/>
        <v>#VALUE!</v>
      </c>
      <c r="CT125" s="1157" t="e">
        <f t="shared" ref="CT125:DR125" ca="1" si="189">CT121*CT108</f>
        <v>#VALUE!</v>
      </c>
      <c r="CU125" s="1157" t="e">
        <f t="shared" ca="1" si="189"/>
        <v>#VALUE!</v>
      </c>
      <c r="CV125" s="1157" t="e">
        <f t="shared" ca="1" si="189"/>
        <v>#VALUE!</v>
      </c>
      <c r="CW125" s="1157" t="e">
        <f t="shared" ca="1" si="189"/>
        <v>#VALUE!</v>
      </c>
      <c r="CX125" s="1157" t="e">
        <f t="shared" ca="1" si="189"/>
        <v>#VALUE!</v>
      </c>
      <c r="CY125" s="1157" t="e">
        <f t="shared" ca="1" si="189"/>
        <v>#VALUE!</v>
      </c>
      <c r="CZ125" s="1157" t="e">
        <f t="shared" ca="1" si="189"/>
        <v>#VALUE!</v>
      </c>
      <c r="DA125" s="1157" t="e">
        <f t="shared" ca="1" si="189"/>
        <v>#VALUE!</v>
      </c>
      <c r="DB125" s="1157" t="e">
        <f t="shared" ca="1" si="189"/>
        <v>#VALUE!</v>
      </c>
      <c r="DC125" s="1157" t="e">
        <f t="shared" ca="1" si="189"/>
        <v>#VALUE!</v>
      </c>
      <c r="DD125" s="1157" t="e">
        <f t="shared" ca="1" si="189"/>
        <v>#VALUE!</v>
      </c>
      <c r="DE125" s="1157" t="e">
        <f t="shared" ca="1" si="189"/>
        <v>#VALUE!</v>
      </c>
      <c r="DF125" s="1157" t="e">
        <f t="shared" ca="1" si="189"/>
        <v>#VALUE!</v>
      </c>
      <c r="DG125" s="1157" t="e">
        <f t="shared" ca="1" si="189"/>
        <v>#VALUE!</v>
      </c>
      <c r="DH125" s="1157" t="e">
        <f t="shared" ca="1" si="189"/>
        <v>#VALUE!</v>
      </c>
      <c r="DI125" s="1157" t="e">
        <f t="shared" ca="1" si="189"/>
        <v>#VALUE!</v>
      </c>
      <c r="DJ125" s="1157" t="e">
        <f t="shared" ca="1" si="189"/>
        <v>#VALUE!</v>
      </c>
      <c r="DK125" s="1157" t="e">
        <f t="shared" ca="1" si="189"/>
        <v>#VALUE!</v>
      </c>
      <c r="DL125" s="1157" t="e">
        <f t="shared" ca="1" si="189"/>
        <v>#VALUE!</v>
      </c>
      <c r="DM125" s="1157" t="e">
        <f t="shared" ca="1" si="189"/>
        <v>#VALUE!</v>
      </c>
      <c r="DN125" s="1157" t="e">
        <f t="shared" ca="1" si="189"/>
        <v>#VALUE!</v>
      </c>
      <c r="DO125" s="1157" t="e">
        <f t="shared" ca="1" si="189"/>
        <v>#VALUE!</v>
      </c>
      <c r="DP125" s="1157" t="e">
        <f t="shared" ca="1" si="189"/>
        <v>#VALUE!</v>
      </c>
      <c r="DQ125" s="1157" t="e">
        <f t="shared" ca="1" si="189"/>
        <v>#VALUE!</v>
      </c>
      <c r="DR125" s="1170" t="e">
        <f t="shared" ca="1" si="189"/>
        <v>#VALUE!</v>
      </c>
    </row>
    <row r="126" spans="1:122" x14ac:dyDescent="0.35">
      <c r="A126" s="685"/>
      <c r="B126" s="446" t="str">
        <f>"Utvikling i CO2-utslipp (kg)- "&amp;'3.1 Nyttestrøm'!C78</f>
        <v>Utvikling i CO2-utslipp (kg)- Personbil</v>
      </c>
      <c r="C126" s="1157"/>
      <c r="D126" s="1157"/>
      <c r="E126" s="1157"/>
      <c r="F126" s="1157"/>
      <c r="G126" s="1157"/>
      <c r="H126" s="1157"/>
      <c r="I126" s="1157"/>
      <c r="J126" s="1157"/>
      <c r="K126" s="1157"/>
      <c r="L126" s="1157"/>
      <c r="M126" s="1157">
        <f t="shared" ref="M126:AR126" si="190">M116*M109</f>
        <v>0</v>
      </c>
      <c r="N126" s="1157">
        <f t="shared" si="190"/>
        <v>0</v>
      </c>
      <c r="O126" s="1157">
        <f t="shared" si="190"/>
        <v>0</v>
      </c>
      <c r="P126" s="1157">
        <f t="shared" si="190"/>
        <v>0</v>
      </c>
      <c r="Q126" s="1157">
        <f t="shared" si="190"/>
        <v>0</v>
      </c>
      <c r="R126" s="1157">
        <f t="shared" si="190"/>
        <v>0</v>
      </c>
      <c r="S126" s="1157">
        <f t="shared" si="190"/>
        <v>0</v>
      </c>
      <c r="T126" s="1157">
        <f t="shared" si="190"/>
        <v>0</v>
      </c>
      <c r="U126" s="1157">
        <f t="shared" si="190"/>
        <v>0</v>
      </c>
      <c r="V126" s="1157">
        <f t="shared" si="190"/>
        <v>0</v>
      </c>
      <c r="W126" s="1157" t="e">
        <f t="shared" ca="1" si="190"/>
        <v>#VALUE!</v>
      </c>
      <c r="X126" s="1157" t="e">
        <f t="shared" ca="1" si="190"/>
        <v>#VALUE!</v>
      </c>
      <c r="Y126" s="1157" t="e">
        <f t="shared" ca="1" si="190"/>
        <v>#VALUE!</v>
      </c>
      <c r="Z126" s="1157" t="e">
        <f t="shared" ca="1" si="190"/>
        <v>#VALUE!</v>
      </c>
      <c r="AA126" s="1157" t="e">
        <f t="shared" ca="1" si="190"/>
        <v>#VALUE!</v>
      </c>
      <c r="AB126" s="1157" t="e">
        <f t="shared" ca="1" si="190"/>
        <v>#VALUE!</v>
      </c>
      <c r="AC126" s="1157" t="e">
        <f t="shared" ca="1" si="190"/>
        <v>#VALUE!</v>
      </c>
      <c r="AD126" s="1157" t="e">
        <f t="shared" ca="1" si="190"/>
        <v>#VALUE!</v>
      </c>
      <c r="AE126" s="1157" t="e">
        <f t="shared" ca="1" si="190"/>
        <v>#VALUE!</v>
      </c>
      <c r="AF126" s="1157" t="e">
        <f t="shared" ca="1" si="190"/>
        <v>#VALUE!</v>
      </c>
      <c r="AG126" s="1157" t="e">
        <f t="shared" ca="1" si="190"/>
        <v>#VALUE!</v>
      </c>
      <c r="AH126" s="1157" t="e">
        <f t="shared" ca="1" si="190"/>
        <v>#VALUE!</v>
      </c>
      <c r="AI126" s="1157" t="e">
        <f t="shared" ca="1" si="190"/>
        <v>#VALUE!</v>
      </c>
      <c r="AJ126" s="1157" t="e">
        <f t="shared" ca="1" si="190"/>
        <v>#VALUE!</v>
      </c>
      <c r="AK126" s="1157" t="e">
        <f t="shared" ca="1" si="190"/>
        <v>#VALUE!</v>
      </c>
      <c r="AL126" s="1157" t="e">
        <f t="shared" ca="1" si="190"/>
        <v>#VALUE!</v>
      </c>
      <c r="AM126" s="1157" t="e">
        <f t="shared" ca="1" si="190"/>
        <v>#VALUE!</v>
      </c>
      <c r="AN126" s="1157" t="e">
        <f t="shared" ca="1" si="190"/>
        <v>#VALUE!</v>
      </c>
      <c r="AO126" s="1157" t="e">
        <f t="shared" ca="1" si="190"/>
        <v>#VALUE!</v>
      </c>
      <c r="AP126" s="1157" t="e">
        <f t="shared" ca="1" si="190"/>
        <v>#VALUE!</v>
      </c>
      <c r="AQ126" s="1157" t="e">
        <f t="shared" ca="1" si="190"/>
        <v>#VALUE!</v>
      </c>
      <c r="AR126" s="1157" t="e">
        <f t="shared" ca="1" si="190"/>
        <v>#VALUE!</v>
      </c>
      <c r="AS126" s="1157" t="e">
        <f t="shared" ref="AS126:BX126" ca="1" si="191">AS116*AS109</f>
        <v>#VALUE!</v>
      </c>
      <c r="AT126" s="1157" t="e">
        <f t="shared" ca="1" si="191"/>
        <v>#VALUE!</v>
      </c>
      <c r="AU126" s="1157" t="e">
        <f t="shared" ca="1" si="191"/>
        <v>#VALUE!</v>
      </c>
      <c r="AV126" s="1157" t="e">
        <f t="shared" ca="1" si="191"/>
        <v>#VALUE!</v>
      </c>
      <c r="AW126" s="1157" t="e">
        <f t="shared" ca="1" si="191"/>
        <v>#VALUE!</v>
      </c>
      <c r="AX126" s="1157" t="e">
        <f t="shared" ca="1" si="191"/>
        <v>#VALUE!</v>
      </c>
      <c r="AY126" s="1157" t="e">
        <f t="shared" ca="1" si="191"/>
        <v>#VALUE!</v>
      </c>
      <c r="AZ126" s="1157" t="e">
        <f t="shared" ca="1" si="191"/>
        <v>#VALUE!</v>
      </c>
      <c r="BA126" s="1157" t="e">
        <f t="shared" ca="1" si="191"/>
        <v>#VALUE!</v>
      </c>
      <c r="BB126" s="1157" t="e">
        <f t="shared" ca="1" si="191"/>
        <v>#VALUE!</v>
      </c>
      <c r="BC126" s="1157" t="e">
        <f t="shared" ca="1" si="191"/>
        <v>#VALUE!</v>
      </c>
      <c r="BD126" s="1157" t="e">
        <f t="shared" ca="1" si="191"/>
        <v>#VALUE!</v>
      </c>
      <c r="BE126" s="1157" t="e">
        <f t="shared" ca="1" si="191"/>
        <v>#VALUE!</v>
      </c>
      <c r="BF126" s="1157" t="e">
        <f t="shared" ca="1" si="191"/>
        <v>#VALUE!</v>
      </c>
      <c r="BG126" s="1157" t="e">
        <f t="shared" ca="1" si="191"/>
        <v>#VALUE!</v>
      </c>
      <c r="BH126" s="1157" t="e">
        <f t="shared" ca="1" si="191"/>
        <v>#VALUE!</v>
      </c>
      <c r="BI126" s="1157" t="e">
        <f t="shared" ca="1" si="191"/>
        <v>#VALUE!</v>
      </c>
      <c r="BJ126" s="1157" t="e">
        <f t="shared" ca="1" si="191"/>
        <v>#VALUE!</v>
      </c>
      <c r="BK126" s="1157" t="e">
        <f t="shared" ca="1" si="191"/>
        <v>#VALUE!</v>
      </c>
      <c r="BL126" s="1157" t="e">
        <f t="shared" ca="1" si="191"/>
        <v>#VALUE!</v>
      </c>
      <c r="BM126" s="1157" t="e">
        <f t="shared" ca="1" si="191"/>
        <v>#VALUE!</v>
      </c>
      <c r="BN126" s="1157" t="e">
        <f t="shared" ca="1" si="191"/>
        <v>#VALUE!</v>
      </c>
      <c r="BO126" s="1157" t="e">
        <f t="shared" ca="1" si="191"/>
        <v>#VALUE!</v>
      </c>
      <c r="BP126" s="1157" t="e">
        <f t="shared" ca="1" si="191"/>
        <v>#VALUE!</v>
      </c>
      <c r="BQ126" s="1157" t="e">
        <f t="shared" ca="1" si="191"/>
        <v>#VALUE!</v>
      </c>
      <c r="BR126" s="1157" t="e">
        <f t="shared" ca="1" si="191"/>
        <v>#VALUE!</v>
      </c>
      <c r="BS126" s="1157" t="e">
        <f t="shared" ca="1" si="191"/>
        <v>#VALUE!</v>
      </c>
      <c r="BT126" s="1157" t="e">
        <f t="shared" ca="1" si="191"/>
        <v>#VALUE!</v>
      </c>
      <c r="BU126" s="1157" t="e">
        <f t="shared" ca="1" si="191"/>
        <v>#VALUE!</v>
      </c>
      <c r="BV126" s="1157" t="e">
        <f t="shared" ca="1" si="191"/>
        <v>#VALUE!</v>
      </c>
      <c r="BW126" s="1157" t="e">
        <f t="shared" ca="1" si="191"/>
        <v>#VALUE!</v>
      </c>
      <c r="BX126" s="1157" t="e">
        <f t="shared" ca="1" si="191"/>
        <v>#VALUE!</v>
      </c>
      <c r="BY126" s="1157" t="e">
        <f t="shared" ref="BY126:CS126" ca="1" si="192">BY116*BY109</f>
        <v>#VALUE!</v>
      </c>
      <c r="BZ126" s="1157" t="e">
        <f t="shared" ca="1" si="192"/>
        <v>#VALUE!</v>
      </c>
      <c r="CA126" s="1157" t="e">
        <f t="shared" ca="1" si="192"/>
        <v>#VALUE!</v>
      </c>
      <c r="CB126" s="1157" t="e">
        <f t="shared" ca="1" si="192"/>
        <v>#VALUE!</v>
      </c>
      <c r="CC126" s="1157" t="e">
        <f t="shared" ca="1" si="192"/>
        <v>#VALUE!</v>
      </c>
      <c r="CD126" s="1157" t="e">
        <f t="shared" ca="1" si="192"/>
        <v>#VALUE!</v>
      </c>
      <c r="CE126" s="1157" t="e">
        <f t="shared" ca="1" si="192"/>
        <v>#VALUE!</v>
      </c>
      <c r="CF126" s="1157" t="e">
        <f t="shared" ca="1" si="192"/>
        <v>#VALUE!</v>
      </c>
      <c r="CG126" s="1157" t="e">
        <f t="shared" ca="1" si="192"/>
        <v>#VALUE!</v>
      </c>
      <c r="CH126" s="1157" t="e">
        <f t="shared" ca="1" si="192"/>
        <v>#VALUE!</v>
      </c>
      <c r="CI126" s="1157" t="e">
        <f t="shared" ca="1" si="192"/>
        <v>#VALUE!</v>
      </c>
      <c r="CJ126" s="1157" t="e">
        <f t="shared" ca="1" si="192"/>
        <v>#VALUE!</v>
      </c>
      <c r="CK126" s="1157" t="e">
        <f t="shared" ca="1" si="192"/>
        <v>#VALUE!</v>
      </c>
      <c r="CL126" s="1157" t="e">
        <f t="shared" ca="1" si="192"/>
        <v>#VALUE!</v>
      </c>
      <c r="CM126" s="1157" t="e">
        <f t="shared" ca="1" si="192"/>
        <v>#VALUE!</v>
      </c>
      <c r="CN126" s="1157" t="e">
        <f t="shared" ca="1" si="192"/>
        <v>#VALUE!</v>
      </c>
      <c r="CO126" s="1157" t="e">
        <f t="shared" ca="1" si="192"/>
        <v>#VALUE!</v>
      </c>
      <c r="CP126" s="1157" t="e">
        <f t="shared" ca="1" si="192"/>
        <v>#VALUE!</v>
      </c>
      <c r="CQ126" s="1157" t="e">
        <f t="shared" ca="1" si="192"/>
        <v>#VALUE!</v>
      </c>
      <c r="CR126" s="1157" t="e">
        <f t="shared" ca="1" si="192"/>
        <v>#VALUE!</v>
      </c>
      <c r="CS126" s="1157" t="e">
        <f t="shared" ca="1" si="192"/>
        <v>#VALUE!</v>
      </c>
      <c r="CT126" s="1157" t="e">
        <f t="shared" ref="CT126:DR126" ca="1" si="193">CT116*CT109</f>
        <v>#VALUE!</v>
      </c>
      <c r="CU126" s="1157" t="e">
        <f t="shared" ca="1" si="193"/>
        <v>#VALUE!</v>
      </c>
      <c r="CV126" s="1157" t="e">
        <f t="shared" ca="1" si="193"/>
        <v>#VALUE!</v>
      </c>
      <c r="CW126" s="1157" t="e">
        <f t="shared" ca="1" si="193"/>
        <v>#VALUE!</v>
      </c>
      <c r="CX126" s="1157" t="e">
        <f t="shared" ca="1" si="193"/>
        <v>#VALUE!</v>
      </c>
      <c r="CY126" s="1157" t="e">
        <f t="shared" ca="1" si="193"/>
        <v>#VALUE!</v>
      </c>
      <c r="CZ126" s="1157" t="e">
        <f t="shared" ca="1" si="193"/>
        <v>#VALUE!</v>
      </c>
      <c r="DA126" s="1157" t="e">
        <f t="shared" ca="1" si="193"/>
        <v>#VALUE!</v>
      </c>
      <c r="DB126" s="1157" t="e">
        <f t="shared" ca="1" si="193"/>
        <v>#VALUE!</v>
      </c>
      <c r="DC126" s="1157" t="e">
        <f t="shared" ca="1" si="193"/>
        <v>#VALUE!</v>
      </c>
      <c r="DD126" s="1157" t="e">
        <f t="shared" ca="1" si="193"/>
        <v>#VALUE!</v>
      </c>
      <c r="DE126" s="1157" t="e">
        <f t="shared" ca="1" si="193"/>
        <v>#VALUE!</v>
      </c>
      <c r="DF126" s="1157" t="e">
        <f t="shared" ca="1" si="193"/>
        <v>#VALUE!</v>
      </c>
      <c r="DG126" s="1157" t="e">
        <f t="shared" ca="1" si="193"/>
        <v>#VALUE!</v>
      </c>
      <c r="DH126" s="1157" t="e">
        <f t="shared" ca="1" si="193"/>
        <v>#VALUE!</v>
      </c>
      <c r="DI126" s="1157" t="e">
        <f t="shared" ca="1" si="193"/>
        <v>#VALUE!</v>
      </c>
      <c r="DJ126" s="1157" t="e">
        <f t="shared" ca="1" si="193"/>
        <v>#VALUE!</v>
      </c>
      <c r="DK126" s="1157" t="e">
        <f t="shared" ca="1" si="193"/>
        <v>#VALUE!</v>
      </c>
      <c r="DL126" s="1157" t="e">
        <f t="shared" ca="1" si="193"/>
        <v>#VALUE!</v>
      </c>
      <c r="DM126" s="1157" t="e">
        <f t="shared" ca="1" si="193"/>
        <v>#VALUE!</v>
      </c>
      <c r="DN126" s="1157" t="e">
        <f t="shared" ca="1" si="193"/>
        <v>#VALUE!</v>
      </c>
      <c r="DO126" s="1157" t="e">
        <f t="shared" ca="1" si="193"/>
        <v>#VALUE!</v>
      </c>
      <c r="DP126" s="1157" t="e">
        <f t="shared" ca="1" si="193"/>
        <v>#VALUE!</v>
      </c>
      <c r="DQ126" s="1157" t="e">
        <f t="shared" ca="1" si="193"/>
        <v>#VALUE!</v>
      </c>
      <c r="DR126" s="1170" t="e">
        <f t="shared" ca="1" si="193"/>
        <v>#VALUE!</v>
      </c>
    </row>
    <row r="127" spans="1:122" x14ac:dyDescent="0.35">
      <c r="A127" s="685"/>
      <c r="B127" s="446" t="str">
        <f>"Utvikling i CO2-utslipp (kg)- "&amp;'3.1 Nyttestrøm'!C79</f>
        <v>Utvikling i CO2-utslipp (kg)- Buss</v>
      </c>
      <c r="C127" s="1157"/>
      <c r="D127" s="1157"/>
      <c r="E127" s="1157"/>
      <c r="F127" s="1157"/>
      <c r="G127" s="1157"/>
      <c r="H127" s="1157"/>
      <c r="I127" s="1157"/>
      <c r="J127" s="1157"/>
      <c r="K127" s="1157"/>
      <c r="L127" s="1157"/>
      <c r="M127" s="1157">
        <f t="shared" ref="M127:AR127" si="194">M119*M110</f>
        <v>0</v>
      </c>
      <c r="N127" s="1157">
        <f t="shared" si="194"/>
        <v>0</v>
      </c>
      <c r="O127" s="1157">
        <f t="shared" si="194"/>
        <v>0</v>
      </c>
      <c r="P127" s="1157">
        <f t="shared" si="194"/>
        <v>0</v>
      </c>
      <c r="Q127" s="1157">
        <f t="shared" si="194"/>
        <v>0</v>
      </c>
      <c r="R127" s="1157">
        <f t="shared" si="194"/>
        <v>0</v>
      </c>
      <c r="S127" s="1157">
        <f t="shared" si="194"/>
        <v>0</v>
      </c>
      <c r="T127" s="1157">
        <f t="shared" si="194"/>
        <v>0</v>
      </c>
      <c r="U127" s="1157">
        <f t="shared" si="194"/>
        <v>0</v>
      </c>
      <c r="V127" s="1157">
        <f t="shared" si="194"/>
        <v>0</v>
      </c>
      <c r="W127" s="1157" t="e">
        <f t="shared" ca="1" si="194"/>
        <v>#VALUE!</v>
      </c>
      <c r="X127" s="1157" t="e">
        <f t="shared" ca="1" si="194"/>
        <v>#VALUE!</v>
      </c>
      <c r="Y127" s="1157" t="e">
        <f t="shared" ca="1" si="194"/>
        <v>#VALUE!</v>
      </c>
      <c r="Z127" s="1157" t="e">
        <f t="shared" ca="1" si="194"/>
        <v>#VALUE!</v>
      </c>
      <c r="AA127" s="1157" t="e">
        <f t="shared" ca="1" si="194"/>
        <v>#VALUE!</v>
      </c>
      <c r="AB127" s="1157" t="e">
        <f t="shared" ca="1" si="194"/>
        <v>#VALUE!</v>
      </c>
      <c r="AC127" s="1157" t="e">
        <f t="shared" ca="1" si="194"/>
        <v>#VALUE!</v>
      </c>
      <c r="AD127" s="1157" t="e">
        <f t="shared" ca="1" si="194"/>
        <v>#VALUE!</v>
      </c>
      <c r="AE127" s="1157" t="e">
        <f t="shared" ca="1" si="194"/>
        <v>#VALUE!</v>
      </c>
      <c r="AF127" s="1157" t="e">
        <f t="shared" ca="1" si="194"/>
        <v>#VALUE!</v>
      </c>
      <c r="AG127" s="1157" t="e">
        <f t="shared" ca="1" si="194"/>
        <v>#VALUE!</v>
      </c>
      <c r="AH127" s="1157" t="e">
        <f t="shared" ca="1" si="194"/>
        <v>#VALUE!</v>
      </c>
      <c r="AI127" s="1157" t="e">
        <f t="shared" ca="1" si="194"/>
        <v>#VALUE!</v>
      </c>
      <c r="AJ127" s="1157" t="e">
        <f t="shared" ca="1" si="194"/>
        <v>#VALUE!</v>
      </c>
      <c r="AK127" s="1157" t="e">
        <f t="shared" ca="1" si="194"/>
        <v>#VALUE!</v>
      </c>
      <c r="AL127" s="1157" t="e">
        <f t="shared" ca="1" si="194"/>
        <v>#VALUE!</v>
      </c>
      <c r="AM127" s="1157" t="e">
        <f t="shared" ca="1" si="194"/>
        <v>#VALUE!</v>
      </c>
      <c r="AN127" s="1157" t="e">
        <f t="shared" ca="1" si="194"/>
        <v>#VALUE!</v>
      </c>
      <c r="AO127" s="1157" t="e">
        <f t="shared" ca="1" si="194"/>
        <v>#VALUE!</v>
      </c>
      <c r="AP127" s="1157" t="e">
        <f t="shared" ca="1" si="194"/>
        <v>#VALUE!</v>
      </c>
      <c r="AQ127" s="1157" t="e">
        <f t="shared" ca="1" si="194"/>
        <v>#VALUE!</v>
      </c>
      <c r="AR127" s="1157" t="e">
        <f t="shared" ca="1" si="194"/>
        <v>#VALUE!</v>
      </c>
      <c r="AS127" s="1157" t="e">
        <f t="shared" ref="AS127:BX127" ca="1" si="195">AS119*AS110</f>
        <v>#VALUE!</v>
      </c>
      <c r="AT127" s="1157" t="e">
        <f t="shared" ca="1" si="195"/>
        <v>#VALUE!</v>
      </c>
      <c r="AU127" s="1157" t="e">
        <f t="shared" ca="1" si="195"/>
        <v>#VALUE!</v>
      </c>
      <c r="AV127" s="1157" t="e">
        <f t="shared" ca="1" si="195"/>
        <v>#VALUE!</v>
      </c>
      <c r="AW127" s="1157" t="e">
        <f t="shared" ca="1" si="195"/>
        <v>#VALUE!</v>
      </c>
      <c r="AX127" s="1157" t="e">
        <f t="shared" ca="1" si="195"/>
        <v>#VALUE!</v>
      </c>
      <c r="AY127" s="1157" t="e">
        <f t="shared" ca="1" si="195"/>
        <v>#VALUE!</v>
      </c>
      <c r="AZ127" s="1157" t="e">
        <f t="shared" ca="1" si="195"/>
        <v>#VALUE!</v>
      </c>
      <c r="BA127" s="1157" t="e">
        <f t="shared" ca="1" si="195"/>
        <v>#VALUE!</v>
      </c>
      <c r="BB127" s="1157" t="e">
        <f t="shared" ca="1" si="195"/>
        <v>#VALUE!</v>
      </c>
      <c r="BC127" s="1157" t="e">
        <f t="shared" ca="1" si="195"/>
        <v>#VALUE!</v>
      </c>
      <c r="BD127" s="1157" t="e">
        <f t="shared" ca="1" si="195"/>
        <v>#VALUE!</v>
      </c>
      <c r="BE127" s="1157" t="e">
        <f t="shared" ca="1" si="195"/>
        <v>#VALUE!</v>
      </c>
      <c r="BF127" s="1157" t="e">
        <f t="shared" ca="1" si="195"/>
        <v>#VALUE!</v>
      </c>
      <c r="BG127" s="1157" t="e">
        <f t="shared" ca="1" si="195"/>
        <v>#VALUE!</v>
      </c>
      <c r="BH127" s="1157" t="e">
        <f t="shared" ca="1" si="195"/>
        <v>#VALUE!</v>
      </c>
      <c r="BI127" s="1157" t="e">
        <f t="shared" ca="1" si="195"/>
        <v>#VALUE!</v>
      </c>
      <c r="BJ127" s="1157" t="e">
        <f t="shared" ca="1" si="195"/>
        <v>#VALUE!</v>
      </c>
      <c r="BK127" s="1157" t="e">
        <f t="shared" ca="1" si="195"/>
        <v>#VALUE!</v>
      </c>
      <c r="BL127" s="1157" t="e">
        <f t="shared" ca="1" si="195"/>
        <v>#VALUE!</v>
      </c>
      <c r="BM127" s="1157" t="e">
        <f t="shared" ca="1" si="195"/>
        <v>#VALUE!</v>
      </c>
      <c r="BN127" s="1157" t="e">
        <f t="shared" ca="1" si="195"/>
        <v>#VALUE!</v>
      </c>
      <c r="BO127" s="1157" t="e">
        <f t="shared" ca="1" si="195"/>
        <v>#VALUE!</v>
      </c>
      <c r="BP127" s="1157" t="e">
        <f t="shared" ca="1" si="195"/>
        <v>#VALUE!</v>
      </c>
      <c r="BQ127" s="1157" t="e">
        <f t="shared" ca="1" si="195"/>
        <v>#VALUE!</v>
      </c>
      <c r="BR127" s="1157" t="e">
        <f t="shared" ca="1" si="195"/>
        <v>#VALUE!</v>
      </c>
      <c r="BS127" s="1157" t="e">
        <f t="shared" ca="1" si="195"/>
        <v>#VALUE!</v>
      </c>
      <c r="BT127" s="1157" t="e">
        <f t="shared" ca="1" si="195"/>
        <v>#VALUE!</v>
      </c>
      <c r="BU127" s="1157" t="e">
        <f t="shared" ca="1" si="195"/>
        <v>#VALUE!</v>
      </c>
      <c r="BV127" s="1157" t="e">
        <f t="shared" ca="1" si="195"/>
        <v>#VALUE!</v>
      </c>
      <c r="BW127" s="1157" t="e">
        <f t="shared" ca="1" si="195"/>
        <v>#VALUE!</v>
      </c>
      <c r="BX127" s="1157" t="e">
        <f t="shared" ca="1" si="195"/>
        <v>#VALUE!</v>
      </c>
      <c r="BY127" s="1157" t="e">
        <f t="shared" ref="BY127:CS127" ca="1" si="196">BY119*BY110</f>
        <v>#VALUE!</v>
      </c>
      <c r="BZ127" s="1157" t="e">
        <f t="shared" ca="1" si="196"/>
        <v>#VALUE!</v>
      </c>
      <c r="CA127" s="1157" t="e">
        <f t="shared" ca="1" si="196"/>
        <v>#VALUE!</v>
      </c>
      <c r="CB127" s="1157" t="e">
        <f t="shared" ca="1" si="196"/>
        <v>#VALUE!</v>
      </c>
      <c r="CC127" s="1157" t="e">
        <f t="shared" ca="1" si="196"/>
        <v>#VALUE!</v>
      </c>
      <c r="CD127" s="1157" t="e">
        <f t="shared" ca="1" si="196"/>
        <v>#VALUE!</v>
      </c>
      <c r="CE127" s="1157" t="e">
        <f t="shared" ca="1" si="196"/>
        <v>#VALUE!</v>
      </c>
      <c r="CF127" s="1157" t="e">
        <f t="shared" ca="1" si="196"/>
        <v>#VALUE!</v>
      </c>
      <c r="CG127" s="1157" t="e">
        <f t="shared" ca="1" si="196"/>
        <v>#VALUE!</v>
      </c>
      <c r="CH127" s="1157" t="e">
        <f t="shared" ca="1" si="196"/>
        <v>#VALUE!</v>
      </c>
      <c r="CI127" s="1157" t="e">
        <f t="shared" ca="1" si="196"/>
        <v>#VALUE!</v>
      </c>
      <c r="CJ127" s="1157" t="e">
        <f t="shared" ca="1" si="196"/>
        <v>#VALUE!</v>
      </c>
      <c r="CK127" s="1157" t="e">
        <f t="shared" ca="1" si="196"/>
        <v>#VALUE!</v>
      </c>
      <c r="CL127" s="1157" t="e">
        <f t="shared" ca="1" si="196"/>
        <v>#VALUE!</v>
      </c>
      <c r="CM127" s="1157" t="e">
        <f t="shared" ca="1" si="196"/>
        <v>#VALUE!</v>
      </c>
      <c r="CN127" s="1157" t="e">
        <f t="shared" ca="1" si="196"/>
        <v>#VALUE!</v>
      </c>
      <c r="CO127" s="1157" t="e">
        <f t="shared" ca="1" si="196"/>
        <v>#VALUE!</v>
      </c>
      <c r="CP127" s="1157" t="e">
        <f t="shared" ca="1" si="196"/>
        <v>#VALUE!</v>
      </c>
      <c r="CQ127" s="1157" t="e">
        <f t="shared" ca="1" si="196"/>
        <v>#VALUE!</v>
      </c>
      <c r="CR127" s="1157" t="e">
        <f t="shared" ca="1" si="196"/>
        <v>#VALUE!</v>
      </c>
      <c r="CS127" s="1157" t="e">
        <f t="shared" ca="1" si="196"/>
        <v>#VALUE!</v>
      </c>
      <c r="CT127" s="1157" t="e">
        <f t="shared" ref="CT127:DR127" ca="1" si="197">CT119*CT110</f>
        <v>#VALUE!</v>
      </c>
      <c r="CU127" s="1157" t="e">
        <f t="shared" ca="1" si="197"/>
        <v>#VALUE!</v>
      </c>
      <c r="CV127" s="1157" t="e">
        <f t="shared" ca="1" si="197"/>
        <v>#VALUE!</v>
      </c>
      <c r="CW127" s="1157" t="e">
        <f t="shared" ca="1" si="197"/>
        <v>#VALUE!</v>
      </c>
      <c r="CX127" s="1157" t="e">
        <f t="shared" ca="1" si="197"/>
        <v>#VALUE!</v>
      </c>
      <c r="CY127" s="1157" t="e">
        <f t="shared" ca="1" si="197"/>
        <v>#VALUE!</v>
      </c>
      <c r="CZ127" s="1157" t="e">
        <f t="shared" ca="1" si="197"/>
        <v>#VALUE!</v>
      </c>
      <c r="DA127" s="1157" t="e">
        <f t="shared" ca="1" si="197"/>
        <v>#VALUE!</v>
      </c>
      <c r="DB127" s="1157" t="e">
        <f t="shared" ca="1" si="197"/>
        <v>#VALUE!</v>
      </c>
      <c r="DC127" s="1157" t="e">
        <f t="shared" ca="1" si="197"/>
        <v>#VALUE!</v>
      </c>
      <c r="DD127" s="1157" t="e">
        <f t="shared" ca="1" si="197"/>
        <v>#VALUE!</v>
      </c>
      <c r="DE127" s="1157" t="e">
        <f t="shared" ca="1" si="197"/>
        <v>#VALUE!</v>
      </c>
      <c r="DF127" s="1157" t="e">
        <f t="shared" ca="1" si="197"/>
        <v>#VALUE!</v>
      </c>
      <c r="DG127" s="1157" t="e">
        <f t="shared" ca="1" si="197"/>
        <v>#VALUE!</v>
      </c>
      <c r="DH127" s="1157" t="e">
        <f t="shared" ca="1" si="197"/>
        <v>#VALUE!</v>
      </c>
      <c r="DI127" s="1157" t="e">
        <f t="shared" ca="1" si="197"/>
        <v>#VALUE!</v>
      </c>
      <c r="DJ127" s="1157" t="e">
        <f t="shared" ca="1" si="197"/>
        <v>#VALUE!</v>
      </c>
      <c r="DK127" s="1157" t="e">
        <f t="shared" ca="1" si="197"/>
        <v>#VALUE!</v>
      </c>
      <c r="DL127" s="1157" t="e">
        <f t="shared" ca="1" si="197"/>
        <v>#VALUE!</v>
      </c>
      <c r="DM127" s="1157" t="e">
        <f t="shared" ca="1" si="197"/>
        <v>#VALUE!</v>
      </c>
      <c r="DN127" s="1157" t="e">
        <f t="shared" ca="1" si="197"/>
        <v>#VALUE!</v>
      </c>
      <c r="DO127" s="1157" t="e">
        <f t="shared" ca="1" si="197"/>
        <v>#VALUE!</v>
      </c>
      <c r="DP127" s="1157" t="e">
        <f t="shared" ca="1" si="197"/>
        <v>#VALUE!</v>
      </c>
      <c r="DQ127" s="1157" t="e">
        <f t="shared" ca="1" si="197"/>
        <v>#VALUE!</v>
      </c>
      <c r="DR127" s="1170" t="e">
        <f t="shared" ca="1" si="197"/>
        <v>#VALUE!</v>
      </c>
    </row>
    <row r="128" spans="1:122" x14ac:dyDescent="0.35">
      <c r="A128" s="685"/>
      <c r="B128" s="446" t="str">
        <f>"Utvikling i CO2-utslipp (kg)- "&amp;'3.1 Nyttestrøm'!C80</f>
        <v>Utvikling i CO2-utslipp (kg)- Passasjerfly</v>
      </c>
      <c r="C128" s="1157"/>
      <c r="D128" s="1157"/>
      <c r="E128" s="1157"/>
      <c r="F128" s="1157"/>
      <c r="G128" s="1157"/>
      <c r="H128" s="1157"/>
      <c r="I128" s="1157"/>
      <c r="J128" s="1157"/>
      <c r="K128" s="1157"/>
      <c r="L128" s="1157"/>
      <c r="M128" s="1157">
        <f t="shared" ref="M128:AR128" si="198">M122*M111</f>
        <v>0</v>
      </c>
      <c r="N128" s="1157">
        <f t="shared" si="198"/>
        <v>0</v>
      </c>
      <c r="O128" s="1157">
        <f t="shared" si="198"/>
        <v>0</v>
      </c>
      <c r="P128" s="1157">
        <f t="shared" si="198"/>
        <v>0</v>
      </c>
      <c r="Q128" s="1157">
        <f t="shared" si="198"/>
        <v>0</v>
      </c>
      <c r="R128" s="1157">
        <f t="shared" si="198"/>
        <v>0</v>
      </c>
      <c r="S128" s="1157">
        <f t="shared" si="198"/>
        <v>0</v>
      </c>
      <c r="T128" s="1157">
        <f t="shared" si="198"/>
        <v>0</v>
      </c>
      <c r="U128" s="1157">
        <f t="shared" si="198"/>
        <v>0</v>
      </c>
      <c r="V128" s="1157">
        <f t="shared" si="198"/>
        <v>0</v>
      </c>
      <c r="W128" s="1157" t="e">
        <f t="shared" ca="1" si="198"/>
        <v>#VALUE!</v>
      </c>
      <c r="X128" s="1157" t="e">
        <f t="shared" ca="1" si="198"/>
        <v>#VALUE!</v>
      </c>
      <c r="Y128" s="1157" t="e">
        <f t="shared" ca="1" si="198"/>
        <v>#VALUE!</v>
      </c>
      <c r="Z128" s="1157" t="e">
        <f t="shared" ca="1" si="198"/>
        <v>#VALUE!</v>
      </c>
      <c r="AA128" s="1157" t="e">
        <f t="shared" ca="1" si="198"/>
        <v>#VALUE!</v>
      </c>
      <c r="AB128" s="1157" t="e">
        <f t="shared" ca="1" si="198"/>
        <v>#VALUE!</v>
      </c>
      <c r="AC128" s="1157" t="e">
        <f t="shared" ca="1" si="198"/>
        <v>#VALUE!</v>
      </c>
      <c r="AD128" s="1157" t="e">
        <f t="shared" ca="1" si="198"/>
        <v>#VALUE!</v>
      </c>
      <c r="AE128" s="1157" t="e">
        <f t="shared" ca="1" si="198"/>
        <v>#VALUE!</v>
      </c>
      <c r="AF128" s="1157" t="e">
        <f t="shared" ca="1" si="198"/>
        <v>#VALUE!</v>
      </c>
      <c r="AG128" s="1157" t="e">
        <f t="shared" ca="1" si="198"/>
        <v>#VALUE!</v>
      </c>
      <c r="AH128" s="1157" t="e">
        <f t="shared" ca="1" si="198"/>
        <v>#VALUE!</v>
      </c>
      <c r="AI128" s="1157" t="e">
        <f t="shared" ca="1" si="198"/>
        <v>#VALUE!</v>
      </c>
      <c r="AJ128" s="1157" t="e">
        <f t="shared" ca="1" si="198"/>
        <v>#VALUE!</v>
      </c>
      <c r="AK128" s="1157" t="e">
        <f t="shared" ca="1" si="198"/>
        <v>#VALUE!</v>
      </c>
      <c r="AL128" s="1157" t="e">
        <f t="shared" ca="1" si="198"/>
        <v>#VALUE!</v>
      </c>
      <c r="AM128" s="1157" t="e">
        <f t="shared" ca="1" si="198"/>
        <v>#VALUE!</v>
      </c>
      <c r="AN128" s="1157" t="e">
        <f t="shared" ca="1" si="198"/>
        <v>#VALUE!</v>
      </c>
      <c r="AO128" s="1157" t="e">
        <f t="shared" ca="1" si="198"/>
        <v>#VALUE!</v>
      </c>
      <c r="AP128" s="1157" t="e">
        <f t="shared" ca="1" si="198"/>
        <v>#VALUE!</v>
      </c>
      <c r="AQ128" s="1157" t="e">
        <f t="shared" ca="1" si="198"/>
        <v>#VALUE!</v>
      </c>
      <c r="AR128" s="1157" t="e">
        <f t="shared" ca="1" si="198"/>
        <v>#VALUE!</v>
      </c>
      <c r="AS128" s="1157" t="e">
        <f t="shared" ref="AS128:BX128" ca="1" si="199">AS122*AS111</f>
        <v>#VALUE!</v>
      </c>
      <c r="AT128" s="1157" t="e">
        <f t="shared" ca="1" si="199"/>
        <v>#VALUE!</v>
      </c>
      <c r="AU128" s="1157" t="e">
        <f t="shared" ca="1" si="199"/>
        <v>#VALUE!</v>
      </c>
      <c r="AV128" s="1157" t="e">
        <f t="shared" ca="1" si="199"/>
        <v>#VALUE!</v>
      </c>
      <c r="AW128" s="1157" t="e">
        <f t="shared" ca="1" si="199"/>
        <v>#VALUE!</v>
      </c>
      <c r="AX128" s="1157" t="e">
        <f t="shared" ca="1" si="199"/>
        <v>#VALUE!</v>
      </c>
      <c r="AY128" s="1157" t="e">
        <f t="shared" ca="1" si="199"/>
        <v>#VALUE!</v>
      </c>
      <c r="AZ128" s="1157" t="e">
        <f t="shared" ca="1" si="199"/>
        <v>#VALUE!</v>
      </c>
      <c r="BA128" s="1157" t="e">
        <f t="shared" ca="1" si="199"/>
        <v>#VALUE!</v>
      </c>
      <c r="BB128" s="1157" t="e">
        <f t="shared" ca="1" si="199"/>
        <v>#VALUE!</v>
      </c>
      <c r="BC128" s="1157" t="e">
        <f t="shared" ca="1" si="199"/>
        <v>#VALUE!</v>
      </c>
      <c r="BD128" s="1157" t="e">
        <f t="shared" ca="1" si="199"/>
        <v>#VALUE!</v>
      </c>
      <c r="BE128" s="1157" t="e">
        <f t="shared" ca="1" si="199"/>
        <v>#VALUE!</v>
      </c>
      <c r="BF128" s="1157" t="e">
        <f t="shared" ca="1" si="199"/>
        <v>#VALUE!</v>
      </c>
      <c r="BG128" s="1157" t="e">
        <f t="shared" ca="1" si="199"/>
        <v>#VALUE!</v>
      </c>
      <c r="BH128" s="1157" t="e">
        <f t="shared" ca="1" si="199"/>
        <v>#VALUE!</v>
      </c>
      <c r="BI128" s="1157" t="e">
        <f t="shared" ca="1" si="199"/>
        <v>#VALUE!</v>
      </c>
      <c r="BJ128" s="1157" t="e">
        <f t="shared" ca="1" si="199"/>
        <v>#VALUE!</v>
      </c>
      <c r="BK128" s="1157" t="e">
        <f t="shared" ca="1" si="199"/>
        <v>#VALUE!</v>
      </c>
      <c r="BL128" s="1157" t="e">
        <f t="shared" ca="1" si="199"/>
        <v>#VALUE!</v>
      </c>
      <c r="BM128" s="1157" t="e">
        <f t="shared" ca="1" si="199"/>
        <v>#VALUE!</v>
      </c>
      <c r="BN128" s="1157" t="e">
        <f t="shared" ca="1" si="199"/>
        <v>#VALUE!</v>
      </c>
      <c r="BO128" s="1157" t="e">
        <f t="shared" ca="1" si="199"/>
        <v>#VALUE!</v>
      </c>
      <c r="BP128" s="1157" t="e">
        <f t="shared" ca="1" si="199"/>
        <v>#VALUE!</v>
      </c>
      <c r="BQ128" s="1157" t="e">
        <f t="shared" ca="1" si="199"/>
        <v>#VALUE!</v>
      </c>
      <c r="BR128" s="1157" t="e">
        <f t="shared" ca="1" si="199"/>
        <v>#VALUE!</v>
      </c>
      <c r="BS128" s="1157" t="e">
        <f t="shared" ca="1" si="199"/>
        <v>#VALUE!</v>
      </c>
      <c r="BT128" s="1157" t="e">
        <f t="shared" ca="1" si="199"/>
        <v>#VALUE!</v>
      </c>
      <c r="BU128" s="1157" t="e">
        <f t="shared" ca="1" si="199"/>
        <v>#VALUE!</v>
      </c>
      <c r="BV128" s="1157" t="e">
        <f t="shared" ca="1" si="199"/>
        <v>#VALUE!</v>
      </c>
      <c r="BW128" s="1157" t="e">
        <f t="shared" ca="1" si="199"/>
        <v>#VALUE!</v>
      </c>
      <c r="BX128" s="1157" t="e">
        <f t="shared" ca="1" si="199"/>
        <v>#VALUE!</v>
      </c>
      <c r="BY128" s="1157" t="e">
        <f t="shared" ref="BY128:CS128" ca="1" si="200">BY122*BY111</f>
        <v>#VALUE!</v>
      </c>
      <c r="BZ128" s="1157" t="e">
        <f t="shared" ca="1" si="200"/>
        <v>#VALUE!</v>
      </c>
      <c r="CA128" s="1157" t="e">
        <f t="shared" ca="1" si="200"/>
        <v>#VALUE!</v>
      </c>
      <c r="CB128" s="1157" t="e">
        <f t="shared" ca="1" si="200"/>
        <v>#VALUE!</v>
      </c>
      <c r="CC128" s="1157" t="e">
        <f t="shared" ca="1" si="200"/>
        <v>#VALUE!</v>
      </c>
      <c r="CD128" s="1157" t="e">
        <f t="shared" ca="1" si="200"/>
        <v>#VALUE!</v>
      </c>
      <c r="CE128" s="1157" t="e">
        <f t="shared" ca="1" si="200"/>
        <v>#VALUE!</v>
      </c>
      <c r="CF128" s="1157" t="e">
        <f t="shared" ca="1" si="200"/>
        <v>#VALUE!</v>
      </c>
      <c r="CG128" s="1157" t="e">
        <f t="shared" ca="1" si="200"/>
        <v>#VALUE!</v>
      </c>
      <c r="CH128" s="1157" t="e">
        <f t="shared" ca="1" si="200"/>
        <v>#VALUE!</v>
      </c>
      <c r="CI128" s="1157" t="e">
        <f t="shared" ca="1" si="200"/>
        <v>#VALUE!</v>
      </c>
      <c r="CJ128" s="1157" t="e">
        <f t="shared" ca="1" si="200"/>
        <v>#VALUE!</v>
      </c>
      <c r="CK128" s="1157" t="e">
        <f t="shared" ca="1" si="200"/>
        <v>#VALUE!</v>
      </c>
      <c r="CL128" s="1157" t="e">
        <f t="shared" ca="1" si="200"/>
        <v>#VALUE!</v>
      </c>
      <c r="CM128" s="1157" t="e">
        <f t="shared" ca="1" si="200"/>
        <v>#VALUE!</v>
      </c>
      <c r="CN128" s="1157" t="e">
        <f t="shared" ca="1" si="200"/>
        <v>#VALUE!</v>
      </c>
      <c r="CO128" s="1157" t="e">
        <f t="shared" ca="1" si="200"/>
        <v>#VALUE!</v>
      </c>
      <c r="CP128" s="1157" t="e">
        <f t="shared" ca="1" si="200"/>
        <v>#VALUE!</v>
      </c>
      <c r="CQ128" s="1157" t="e">
        <f t="shared" ca="1" si="200"/>
        <v>#VALUE!</v>
      </c>
      <c r="CR128" s="1157" t="e">
        <f t="shared" ca="1" si="200"/>
        <v>#VALUE!</v>
      </c>
      <c r="CS128" s="1157" t="e">
        <f t="shared" ca="1" si="200"/>
        <v>#VALUE!</v>
      </c>
      <c r="CT128" s="1157" t="e">
        <f t="shared" ref="CT128:DR128" ca="1" si="201">CT122*CT111</f>
        <v>#VALUE!</v>
      </c>
      <c r="CU128" s="1157" t="e">
        <f t="shared" ca="1" si="201"/>
        <v>#VALUE!</v>
      </c>
      <c r="CV128" s="1157" t="e">
        <f t="shared" ca="1" si="201"/>
        <v>#VALUE!</v>
      </c>
      <c r="CW128" s="1157" t="e">
        <f t="shared" ca="1" si="201"/>
        <v>#VALUE!</v>
      </c>
      <c r="CX128" s="1157" t="e">
        <f t="shared" ca="1" si="201"/>
        <v>#VALUE!</v>
      </c>
      <c r="CY128" s="1157" t="e">
        <f t="shared" ca="1" si="201"/>
        <v>#VALUE!</v>
      </c>
      <c r="CZ128" s="1157" t="e">
        <f t="shared" ca="1" si="201"/>
        <v>#VALUE!</v>
      </c>
      <c r="DA128" s="1157" t="e">
        <f t="shared" ca="1" si="201"/>
        <v>#VALUE!</v>
      </c>
      <c r="DB128" s="1157" t="e">
        <f t="shared" ca="1" si="201"/>
        <v>#VALUE!</v>
      </c>
      <c r="DC128" s="1157" t="e">
        <f t="shared" ca="1" si="201"/>
        <v>#VALUE!</v>
      </c>
      <c r="DD128" s="1157" t="e">
        <f t="shared" ca="1" si="201"/>
        <v>#VALUE!</v>
      </c>
      <c r="DE128" s="1157" t="e">
        <f t="shared" ca="1" si="201"/>
        <v>#VALUE!</v>
      </c>
      <c r="DF128" s="1157" t="e">
        <f t="shared" ca="1" si="201"/>
        <v>#VALUE!</v>
      </c>
      <c r="DG128" s="1157" t="e">
        <f t="shared" ca="1" si="201"/>
        <v>#VALUE!</v>
      </c>
      <c r="DH128" s="1157" t="e">
        <f t="shared" ca="1" si="201"/>
        <v>#VALUE!</v>
      </c>
      <c r="DI128" s="1157" t="e">
        <f t="shared" ca="1" si="201"/>
        <v>#VALUE!</v>
      </c>
      <c r="DJ128" s="1157" t="e">
        <f t="shared" ca="1" si="201"/>
        <v>#VALUE!</v>
      </c>
      <c r="DK128" s="1157" t="e">
        <f t="shared" ca="1" si="201"/>
        <v>#VALUE!</v>
      </c>
      <c r="DL128" s="1157" t="e">
        <f t="shared" ca="1" si="201"/>
        <v>#VALUE!</v>
      </c>
      <c r="DM128" s="1157" t="e">
        <f t="shared" ca="1" si="201"/>
        <v>#VALUE!</v>
      </c>
      <c r="DN128" s="1157" t="e">
        <f t="shared" ca="1" si="201"/>
        <v>#VALUE!</v>
      </c>
      <c r="DO128" s="1157" t="e">
        <f t="shared" ca="1" si="201"/>
        <v>#VALUE!</v>
      </c>
      <c r="DP128" s="1157" t="e">
        <f t="shared" ca="1" si="201"/>
        <v>#VALUE!</v>
      </c>
      <c r="DQ128" s="1157" t="e">
        <f t="shared" ca="1" si="201"/>
        <v>#VALUE!</v>
      </c>
      <c r="DR128" s="1170" t="e">
        <f t="shared" ca="1" si="201"/>
        <v>#VALUE!</v>
      </c>
    </row>
    <row r="129" spans="1:127" x14ac:dyDescent="0.35">
      <c r="A129" s="685"/>
      <c r="B129" s="446" t="str">
        <f>"Utvikling i CO2-utslipp (kg)- "&amp;'3.1 Nyttestrøm'!C81</f>
        <v>Utvikling i CO2-utslipp (kg)- Lastebil</v>
      </c>
      <c r="C129" s="1157"/>
      <c r="D129" s="1157"/>
      <c r="E129" s="1157"/>
      <c r="F129" s="1157"/>
      <c r="G129" s="1157"/>
      <c r="H129" s="1157"/>
      <c r="I129" s="1157"/>
      <c r="J129" s="1157"/>
      <c r="K129" s="1157"/>
      <c r="L129" s="1157"/>
      <c r="M129" s="1157">
        <f t="shared" ref="M129:AR129" si="202">M117*M112</f>
        <v>0</v>
      </c>
      <c r="N129" s="1157">
        <f t="shared" si="202"/>
        <v>0</v>
      </c>
      <c r="O129" s="1157">
        <f t="shared" si="202"/>
        <v>0</v>
      </c>
      <c r="P129" s="1157">
        <f t="shared" si="202"/>
        <v>0</v>
      </c>
      <c r="Q129" s="1157">
        <f t="shared" si="202"/>
        <v>0</v>
      </c>
      <c r="R129" s="1157">
        <f t="shared" si="202"/>
        <v>0</v>
      </c>
      <c r="S129" s="1157">
        <f t="shared" si="202"/>
        <v>0</v>
      </c>
      <c r="T129" s="1157">
        <f t="shared" si="202"/>
        <v>0</v>
      </c>
      <c r="U129" s="1157">
        <f t="shared" si="202"/>
        <v>0</v>
      </c>
      <c r="V129" s="1157">
        <f t="shared" si="202"/>
        <v>0</v>
      </c>
      <c r="W129" s="1157" t="e">
        <f t="shared" ca="1" si="202"/>
        <v>#VALUE!</v>
      </c>
      <c r="X129" s="1157" t="e">
        <f t="shared" ca="1" si="202"/>
        <v>#VALUE!</v>
      </c>
      <c r="Y129" s="1157" t="e">
        <f t="shared" ca="1" si="202"/>
        <v>#VALUE!</v>
      </c>
      <c r="Z129" s="1157" t="e">
        <f t="shared" ca="1" si="202"/>
        <v>#VALUE!</v>
      </c>
      <c r="AA129" s="1157" t="e">
        <f t="shared" ca="1" si="202"/>
        <v>#VALUE!</v>
      </c>
      <c r="AB129" s="1157" t="e">
        <f t="shared" ca="1" si="202"/>
        <v>#VALUE!</v>
      </c>
      <c r="AC129" s="1157" t="e">
        <f t="shared" ca="1" si="202"/>
        <v>#VALUE!</v>
      </c>
      <c r="AD129" s="1157" t="e">
        <f t="shared" ca="1" si="202"/>
        <v>#VALUE!</v>
      </c>
      <c r="AE129" s="1157" t="e">
        <f t="shared" ca="1" si="202"/>
        <v>#VALUE!</v>
      </c>
      <c r="AF129" s="1157" t="e">
        <f t="shared" ca="1" si="202"/>
        <v>#VALUE!</v>
      </c>
      <c r="AG129" s="1157" t="e">
        <f t="shared" ca="1" si="202"/>
        <v>#VALUE!</v>
      </c>
      <c r="AH129" s="1157" t="e">
        <f t="shared" ca="1" si="202"/>
        <v>#VALUE!</v>
      </c>
      <c r="AI129" s="1157" t="e">
        <f t="shared" ca="1" si="202"/>
        <v>#VALUE!</v>
      </c>
      <c r="AJ129" s="1157" t="e">
        <f t="shared" ca="1" si="202"/>
        <v>#VALUE!</v>
      </c>
      <c r="AK129" s="1157" t="e">
        <f t="shared" ca="1" si="202"/>
        <v>#VALUE!</v>
      </c>
      <c r="AL129" s="1157" t="e">
        <f t="shared" ca="1" si="202"/>
        <v>#VALUE!</v>
      </c>
      <c r="AM129" s="1157" t="e">
        <f t="shared" ca="1" si="202"/>
        <v>#VALUE!</v>
      </c>
      <c r="AN129" s="1157" t="e">
        <f t="shared" ca="1" si="202"/>
        <v>#VALUE!</v>
      </c>
      <c r="AO129" s="1157" t="e">
        <f t="shared" ca="1" si="202"/>
        <v>#VALUE!</v>
      </c>
      <c r="AP129" s="1157" t="e">
        <f t="shared" ca="1" si="202"/>
        <v>#VALUE!</v>
      </c>
      <c r="AQ129" s="1157" t="e">
        <f t="shared" ca="1" si="202"/>
        <v>#VALUE!</v>
      </c>
      <c r="AR129" s="1157" t="e">
        <f t="shared" ca="1" si="202"/>
        <v>#VALUE!</v>
      </c>
      <c r="AS129" s="1157" t="e">
        <f t="shared" ref="AS129:BX129" ca="1" si="203">AS117*AS112</f>
        <v>#VALUE!</v>
      </c>
      <c r="AT129" s="1157" t="e">
        <f t="shared" ca="1" si="203"/>
        <v>#VALUE!</v>
      </c>
      <c r="AU129" s="1157" t="e">
        <f t="shared" ca="1" si="203"/>
        <v>#VALUE!</v>
      </c>
      <c r="AV129" s="1157" t="e">
        <f t="shared" ca="1" si="203"/>
        <v>#VALUE!</v>
      </c>
      <c r="AW129" s="1157" t="e">
        <f t="shared" ca="1" si="203"/>
        <v>#VALUE!</v>
      </c>
      <c r="AX129" s="1157" t="e">
        <f t="shared" ca="1" si="203"/>
        <v>#VALUE!</v>
      </c>
      <c r="AY129" s="1157" t="e">
        <f t="shared" ca="1" si="203"/>
        <v>#VALUE!</v>
      </c>
      <c r="AZ129" s="1157" t="e">
        <f t="shared" ca="1" si="203"/>
        <v>#VALUE!</v>
      </c>
      <c r="BA129" s="1157" t="e">
        <f t="shared" ca="1" si="203"/>
        <v>#VALUE!</v>
      </c>
      <c r="BB129" s="1157" t="e">
        <f t="shared" ca="1" si="203"/>
        <v>#VALUE!</v>
      </c>
      <c r="BC129" s="1157" t="e">
        <f t="shared" ca="1" si="203"/>
        <v>#VALUE!</v>
      </c>
      <c r="BD129" s="1157" t="e">
        <f t="shared" ca="1" si="203"/>
        <v>#VALUE!</v>
      </c>
      <c r="BE129" s="1157" t="e">
        <f t="shared" ca="1" si="203"/>
        <v>#VALUE!</v>
      </c>
      <c r="BF129" s="1157" t="e">
        <f t="shared" ca="1" si="203"/>
        <v>#VALUE!</v>
      </c>
      <c r="BG129" s="1157" t="e">
        <f t="shared" ca="1" si="203"/>
        <v>#VALUE!</v>
      </c>
      <c r="BH129" s="1157" t="e">
        <f t="shared" ca="1" si="203"/>
        <v>#VALUE!</v>
      </c>
      <c r="BI129" s="1157" t="e">
        <f t="shared" ca="1" si="203"/>
        <v>#VALUE!</v>
      </c>
      <c r="BJ129" s="1157" t="e">
        <f t="shared" ca="1" si="203"/>
        <v>#VALUE!</v>
      </c>
      <c r="BK129" s="1157" t="e">
        <f t="shared" ca="1" si="203"/>
        <v>#VALUE!</v>
      </c>
      <c r="BL129" s="1157" t="e">
        <f t="shared" ca="1" si="203"/>
        <v>#VALUE!</v>
      </c>
      <c r="BM129" s="1157" t="e">
        <f t="shared" ca="1" si="203"/>
        <v>#VALUE!</v>
      </c>
      <c r="BN129" s="1157" t="e">
        <f t="shared" ca="1" si="203"/>
        <v>#VALUE!</v>
      </c>
      <c r="BO129" s="1157" t="e">
        <f t="shared" ca="1" si="203"/>
        <v>#VALUE!</v>
      </c>
      <c r="BP129" s="1157" t="e">
        <f t="shared" ca="1" si="203"/>
        <v>#VALUE!</v>
      </c>
      <c r="BQ129" s="1157" t="e">
        <f t="shared" ca="1" si="203"/>
        <v>#VALUE!</v>
      </c>
      <c r="BR129" s="1157" t="e">
        <f t="shared" ca="1" si="203"/>
        <v>#VALUE!</v>
      </c>
      <c r="BS129" s="1157" t="e">
        <f t="shared" ca="1" si="203"/>
        <v>#VALUE!</v>
      </c>
      <c r="BT129" s="1157" t="e">
        <f t="shared" ca="1" si="203"/>
        <v>#VALUE!</v>
      </c>
      <c r="BU129" s="1157" t="e">
        <f t="shared" ca="1" si="203"/>
        <v>#VALUE!</v>
      </c>
      <c r="BV129" s="1157" t="e">
        <f t="shared" ca="1" si="203"/>
        <v>#VALUE!</v>
      </c>
      <c r="BW129" s="1157" t="e">
        <f t="shared" ca="1" si="203"/>
        <v>#VALUE!</v>
      </c>
      <c r="BX129" s="1157" t="e">
        <f t="shared" ca="1" si="203"/>
        <v>#VALUE!</v>
      </c>
      <c r="BY129" s="1157" t="e">
        <f t="shared" ref="BY129:CS129" ca="1" si="204">BY117*BY112</f>
        <v>#VALUE!</v>
      </c>
      <c r="BZ129" s="1157" t="e">
        <f t="shared" ca="1" si="204"/>
        <v>#VALUE!</v>
      </c>
      <c r="CA129" s="1157" t="e">
        <f t="shared" ca="1" si="204"/>
        <v>#VALUE!</v>
      </c>
      <c r="CB129" s="1157" t="e">
        <f t="shared" ca="1" si="204"/>
        <v>#VALUE!</v>
      </c>
      <c r="CC129" s="1157" t="e">
        <f t="shared" ca="1" si="204"/>
        <v>#VALUE!</v>
      </c>
      <c r="CD129" s="1157" t="e">
        <f t="shared" ca="1" si="204"/>
        <v>#VALUE!</v>
      </c>
      <c r="CE129" s="1157" t="e">
        <f t="shared" ca="1" si="204"/>
        <v>#VALUE!</v>
      </c>
      <c r="CF129" s="1157" t="e">
        <f t="shared" ca="1" si="204"/>
        <v>#VALUE!</v>
      </c>
      <c r="CG129" s="1157" t="e">
        <f t="shared" ca="1" si="204"/>
        <v>#VALUE!</v>
      </c>
      <c r="CH129" s="1157" t="e">
        <f t="shared" ca="1" si="204"/>
        <v>#VALUE!</v>
      </c>
      <c r="CI129" s="1157" t="e">
        <f t="shared" ca="1" si="204"/>
        <v>#VALUE!</v>
      </c>
      <c r="CJ129" s="1157" t="e">
        <f t="shared" ca="1" si="204"/>
        <v>#VALUE!</v>
      </c>
      <c r="CK129" s="1157" t="e">
        <f t="shared" ca="1" si="204"/>
        <v>#VALUE!</v>
      </c>
      <c r="CL129" s="1157" t="e">
        <f t="shared" ca="1" si="204"/>
        <v>#VALUE!</v>
      </c>
      <c r="CM129" s="1157" t="e">
        <f t="shared" ca="1" si="204"/>
        <v>#VALUE!</v>
      </c>
      <c r="CN129" s="1157" t="e">
        <f t="shared" ca="1" si="204"/>
        <v>#VALUE!</v>
      </c>
      <c r="CO129" s="1157" t="e">
        <f t="shared" ca="1" si="204"/>
        <v>#VALUE!</v>
      </c>
      <c r="CP129" s="1157" t="e">
        <f t="shared" ca="1" si="204"/>
        <v>#VALUE!</v>
      </c>
      <c r="CQ129" s="1157" t="e">
        <f t="shared" ca="1" si="204"/>
        <v>#VALUE!</v>
      </c>
      <c r="CR129" s="1157" t="e">
        <f t="shared" ca="1" si="204"/>
        <v>#VALUE!</v>
      </c>
      <c r="CS129" s="1157" t="e">
        <f t="shared" ca="1" si="204"/>
        <v>#VALUE!</v>
      </c>
      <c r="CT129" s="1157" t="e">
        <f t="shared" ref="CT129:DR129" ca="1" si="205">CT117*CT112</f>
        <v>#VALUE!</v>
      </c>
      <c r="CU129" s="1157" t="e">
        <f t="shared" ca="1" si="205"/>
        <v>#VALUE!</v>
      </c>
      <c r="CV129" s="1157" t="e">
        <f t="shared" ca="1" si="205"/>
        <v>#VALUE!</v>
      </c>
      <c r="CW129" s="1157" t="e">
        <f t="shared" ca="1" si="205"/>
        <v>#VALUE!</v>
      </c>
      <c r="CX129" s="1157" t="e">
        <f t="shared" ca="1" si="205"/>
        <v>#VALUE!</v>
      </c>
      <c r="CY129" s="1157" t="e">
        <f t="shared" ca="1" si="205"/>
        <v>#VALUE!</v>
      </c>
      <c r="CZ129" s="1157" t="e">
        <f t="shared" ca="1" si="205"/>
        <v>#VALUE!</v>
      </c>
      <c r="DA129" s="1157" t="e">
        <f t="shared" ca="1" si="205"/>
        <v>#VALUE!</v>
      </c>
      <c r="DB129" s="1157" t="e">
        <f t="shared" ca="1" si="205"/>
        <v>#VALUE!</v>
      </c>
      <c r="DC129" s="1157" t="e">
        <f t="shared" ca="1" si="205"/>
        <v>#VALUE!</v>
      </c>
      <c r="DD129" s="1157" t="e">
        <f t="shared" ca="1" si="205"/>
        <v>#VALUE!</v>
      </c>
      <c r="DE129" s="1157" t="e">
        <f t="shared" ca="1" si="205"/>
        <v>#VALUE!</v>
      </c>
      <c r="DF129" s="1157" t="e">
        <f t="shared" ca="1" si="205"/>
        <v>#VALUE!</v>
      </c>
      <c r="DG129" s="1157" t="e">
        <f t="shared" ca="1" si="205"/>
        <v>#VALUE!</v>
      </c>
      <c r="DH129" s="1157" t="e">
        <f t="shared" ca="1" si="205"/>
        <v>#VALUE!</v>
      </c>
      <c r="DI129" s="1157" t="e">
        <f t="shared" ca="1" si="205"/>
        <v>#VALUE!</v>
      </c>
      <c r="DJ129" s="1157" t="e">
        <f t="shared" ca="1" si="205"/>
        <v>#VALUE!</v>
      </c>
      <c r="DK129" s="1157" t="e">
        <f t="shared" ca="1" si="205"/>
        <v>#VALUE!</v>
      </c>
      <c r="DL129" s="1157" t="e">
        <f t="shared" ca="1" si="205"/>
        <v>#VALUE!</v>
      </c>
      <c r="DM129" s="1157" t="e">
        <f t="shared" ca="1" si="205"/>
        <v>#VALUE!</v>
      </c>
      <c r="DN129" s="1157" t="e">
        <f t="shared" ca="1" si="205"/>
        <v>#VALUE!</v>
      </c>
      <c r="DO129" s="1157" t="e">
        <f t="shared" ca="1" si="205"/>
        <v>#VALUE!</v>
      </c>
      <c r="DP129" s="1157" t="e">
        <f t="shared" ca="1" si="205"/>
        <v>#VALUE!</v>
      </c>
      <c r="DQ129" s="1157" t="e">
        <f t="shared" ca="1" si="205"/>
        <v>#VALUE!</v>
      </c>
      <c r="DR129" s="1170" t="e">
        <f t="shared" ca="1" si="205"/>
        <v>#VALUE!</v>
      </c>
    </row>
    <row r="130" spans="1:127" x14ac:dyDescent="0.35">
      <c r="A130" s="685"/>
      <c r="B130" s="446" t="str">
        <f>"Utvikling i CO2-utslipp (kg)- "&amp;'3.1 Nyttestrøm'!C82</f>
        <v>Utvikling i CO2-utslipp (kg)- Lett Lastebil</v>
      </c>
      <c r="C130" s="1157"/>
      <c r="D130" s="1157"/>
      <c r="E130" s="1157"/>
      <c r="F130" s="1157"/>
      <c r="G130" s="1157"/>
      <c r="H130" s="1157"/>
      <c r="I130" s="1157"/>
      <c r="J130" s="1157"/>
      <c r="K130" s="1157"/>
      <c r="L130" s="1157"/>
      <c r="M130" s="1157">
        <f t="shared" ref="M130:AR130" si="206">M118*M113</f>
        <v>0</v>
      </c>
      <c r="N130" s="1157">
        <f t="shared" si="206"/>
        <v>0</v>
      </c>
      <c r="O130" s="1157">
        <f t="shared" si="206"/>
        <v>0</v>
      </c>
      <c r="P130" s="1157">
        <f t="shared" si="206"/>
        <v>0</v>
      </c>
      <c r="Q130" s="1157" t="e">
        <f t="shared" si="206"/>
        <v>#DIV/0!</v>
      </c>
      <c r="R130" s="1157" t="e">
        <f t="shared" si="206"/>
        <v>#DIV/0!</v>
      </c>
      <c r="S130" s="1157" t="e">
        <f t="shared" si="206"/>
        <v>#DIV/0!</v>
      </c>
      <c r="T130" s="1157" t="e">
        <f t="shared" si="206"/>
        <v>#DIV/0!</v>
      </c>
      <c r="U130" s="1157" t="e">
        <f t="shared" si="206"/>
        <v>#DIV/0!</v>
      </c>
      <c r="V130" s="1157" t="e">
        <f t="shared" si="206"/>
        <v>#DIV/0!</v>
      </c>
      <c r="W130" s="1157" t="e">
        <f t="shared" ca="1" si="206"/>
        <v>#DIV/0!</v>
      </c>
      <c r="X130" s="1157" t="e">
        <f t="shared" ca="1" si="206"/>
        <v>#DIV/0!</v>
      </c>
      <c r="Y130" s="1157" t="e">
        <f t="shared" ca="1" si="206"/>
        <v>#DIV/0!</v>
      </c>
      <c r="Z130" s="1157" t="e">
        <f t="shared" ca="1" si="206"/>
        <v>#DIV/0!</v>
      </c>
      <c r="AA130" s="1157" t="e">
        <f t="shared" ca="1" si="206"/>
        <v>#DIV/0!</v>
      </c>
      <c r="AB130" s="1157" t="e">
        <f t="shared" ca="1" si="206"/>
        <v>#DIV/0!</v>
      </c>
      <c r="AC130" s="1157" t="e">
        <f t="shared" ca="1" si="206"/>
        <v>#DIV/0!</v>
      </c>
      <c r="AD130" s="1157" t="e">
        <f t="shared" ca="1" si="206"/>
        <v>#DIV/0!</v>
      </c>
      <c r="AE130" s="1157" t="e">
        <f t="shared" ca="1" si="206"/>
        <v>#DIV/0!</v>
      </c>
      <c r="AF130" s="1157" t="e">
        <f t="shared" ca="1" si="206"/>
        <v>#DIV/0!</v>
      </c>
      <c r="AG130" s="1157" t="e">
        <f t="shared" ca="1" si="206"/>
        <v>#DIV/0!</v>
      </c>
      <c r="AH130" s="1157" t="e">
        <f t="shared" ca="1" si="206"/>
        <v>#DIV/0!</v>
      </c>
      <c r="AI130" s="1157" t="e">
        <f t="shared" ca="1" si="206"/>
        <v>#DIV/0!</v>
      </c>
      <c r="AJ130" s="1157" t="e">
        <f t="shared" ca="1" si="206"/>
        <v>#DIV/0!</v>
      </c>
      <c r="AK130" s="1157" t="e">
        <f t="shared" ca="1" si="206"/>
        <v>#DIV/0!</v>
      </c>
      <c r="AL130" s="1157" t="e">
        <f t="shared" ca="1" si="206"/>
        <v>#DIV/0!</v>
      </c>
      <c r="AM130" s="1157" t="e">
        <f t="shared" ca="1" si="206"/>
        <v>#DIV/0!</v>
      </c>
      <c r="AN130" s="1157" t="e">
        <f t="shared" ca="1" si="206"/>
        <v>#DIV/0!</v>
      </c>
      <c r="AO130" s="1157" t="e">
        <f t="shared" ca="1" si="206"/>
        <v>#DIV/0!</v>
      </c>
      <c r="AP130" s="1157" t="e">
        <f t="shared" ca="1" si="206"/>
        <v>#DIV/0!</v>
      </c>
      <c r="AQ130" s="1157" t="e">
        <f t="shared" ca="1" si="206"/>
        <v>#DIV/0!</v>
      </c>
      <c r="AR130" s="1157" t="e">
        <f t="shared" ca="1" si="206"/>
        <v>#DIV/0!</v>
      </c>
      <c r="AS130" s="1157" t="e">
        <f t="shared" ref="AS130:BX130" ca="1" si="207">AS118*AS113</f>
        <v>#DIV/0!</v>
      </c>
      <c r="AT130" s="1157" t="e">
        <f t="shared" ca="1" si="207"/>
        <v>#DIV/0!</v>
      </c>
      <c r="AU130" s="1157" t="e">
        <f t="shared" ca="1" si="207"/>
        <v>#DIV/0!</v>
      </c>
      <c r="AV130" s="1157" t="e">
        <f t="shared" ca="1" si="207"/>
        <v>#DIV/0!</v>
      </c>
      <c r="AW130" s="1157" t="e">
        <f t="shared" ca="1" si="207"/>
        <v>#DIV/0!</v>
      </c>
      <c r="AX130" s="1157" t="e">
        <f t="shared" ca="1" si="207"/>
        <v>#DIV/0!</v>
      </c>
      <c r="AY130" s="1157" t="e">
        <f t="shared" ca="1" si="207"/>
        <v>#DIV/0!</v>
      </c>
      <c r="AZ130" s="1157" t="e">
        <f t="shared" ca="1" si="207"/>
        <v>#DIV/0!</v>
      </c>
      <c r="BA130" s="1157" t="e">
        <f t="shared" ca="1" si="207"/>
        <v>#DIV/0!</v>
      </c>
      <c r="BB130" s="1157" t="e">
        <f t="shared" ca="1" si="207"/>
        <v>#DIV/0!</v>
      </c>
      <c r="BC130" s="1157" t="e">
        <f t="shared" ca="1" si="207"/>
        <v>#DIV/0!</v>
      </c>
      <c r="BD130" s="1157" t="e">
        <f t="shared" ca="1" si="207"/>
        <v>#DIV/0!</v>
      </c>
      <c r="BE130" s="1157" t="e">
        <f t="shared" ca="1" si="207"/>
        <v>#DIV/0!</v>
      </c>
      <c r="BF130" s="1157" t="e">
        <f t="shared" ca="1" si="207"/>
        <v>#DIV/0!</v>
      </c>
      <c r="BG130" s="1157" t="e">
        <f t="shared" ca="1" si="207"/>
        <v>#DIV/0!</v>
      </c>
      <c r="BH130" s="1157" t="e">
        <f t="shared" ca="1" si="207"/>
        <v>#DIV/0!</v>
      </c>
      <c r="BI130" s="1157" t="e">
        <f t="shared" ca="1" si="207"/>
        <v>#DIV/0!</v>
      </c>
      <c r="BJ130" s="1157" t="e">
        <f t="shared" ca="1" si="207"/>
        <v>#DIV/0!</v>
      </c>
      <c r="BK130" s="1157" t="e">
        <f t="shared" ca="1" si="207"/>
        <v>#DIV/0!</v>
      </c>
      <c r="BL130" s="1157" t="e">
        <f t="shared" ca="1" si="207"/>
        <v>#DIV/0!</v>
      </c>
      <c r="BM130" s="1157" t="e">
        <f t="shared" ca="1" si="207"/>
        <v>#DIV/0!</v>
      </c>
      <c r="BN130" s="1157" t="e">
        <f t="shared" ca="1" si="207"/>
        <v>#DIV/0!</v>
      </c>
      <c r="BO130" s="1157" t="e">
        <f t="shared" ca="1" si="207"/>
        <v>#DIV/0!</v>
      </c>
      <c r="BP130" s="1157" t="e">
        <f t="shared" ca="1" si="207"/>
        <v>#DIV/0!</v>
      </c>
      <c r="BQ130" s="1157" t="e">
        <f t="shared" ca="1" si="207"/>
        <v>#DIV/0!</v>
      </c>
      <c r="BR130" s="1157" t="e">
        <f t="shared" ca="1" si="207"/>
        <v>#DIV/0!</v>
      </c>
      <c r="BS130" s="1157" t="e">
        <f t="shared" ca="1" si="207"/>
        <v>#DIV/0!</v>
      </c>
      <c r="BT130" s="1157" t="e">
        <f t="shared" ca="1" si="207"/>
        <v>#DIV/0!</v>
      </c>
      <c r="BU130" s="1157" t="e">
        <f t="shared" ca="1" si="207"/>
        <v>#DIV/0!</v>
      </c>
      <c r="BV130" s="1157" t="e">
        <f t="shared" ca="1" si="207"/>
        <v>#DIV/0!</v>
      </c>
      <c r="BW130" s="1157" t="e">
        <f t="shared" ca="1" si="207"/>
        <v>#DIV/0!</v>
      </c>
      <c r="BX130" s="1157" t="e">
        <f t="shared" ca="1" si="207"/>
        <v>#DIV/0!</v>
      </c>
      <c r="BY130" s="1157" t="e">
        <f t="shared" ref="BY130:CS130" ca="1" si="208">BY118*BY113</f>
        <v>#DIV/0!</v>
      </c>
      <c r="BZ130" s="1157" t="e">
        <f t="shared" ca="1" si="208"/>
        <v>#DIV/0!</v>
      </c>
      <c r="CA130" s="1157" t="e">
        <f t="shared" ca="1" si="208"/>
        <v>#DIV/0!</v>
      </c>
      <c r="CB130" s="1157" t="e">
        <f t="shared" ca="1" si="208"/>
        <v>#DIV/0!</v>
      </c>
      <c r="CC130" s="1157" t="e">
        <f t="shared" ca="1" si="208"/>
        <v>#DIV/0!</v>
      </c>
      <c r="CD130" s="1157" t="e">
        <f t="shared" ca="1" si="208"/>
        <v>#DIV/0!</v>
      </c>
      <c r="CE130" s="1157" t="e">
        <f t="shared" ca="1" si="208"/>
        <v>#DIV/0!</v>
      </c>
      <c r="CF130" s="1157" t="e">
        <f t="shared" ca="1" si="208"/>
        <v>#DIV/0!</v>
      </c>
      <c r="CG130" s="1157" t="e">
        <f t="shared" ca="1" si="208"/>
        <v>#DIV/0!</v>
      </c>
      <c r="CH130" s="1157" t="e">
        <f t="shared" ca="1" si="208"/>
        <v>#DIV/0!</v>
      </c>
      <c r="CI130" s="1157" t="e">
        <f t="shared" ca="1" si="208"/>
        <v>#DIV/0!</v>
      </c>
      <c r="CJ130" s="1157" t="e">
        <f t="shared" ca="1" si="208"/>
        <v>#DIV/0!</v>
      </c>
      <c r="CK130" s="1157" t="e">
        <f t="shared" ca="1" si="208"/>
        <v>#DIV/0!</v>
      </c>
      <c r="CL130" s="1157" t="e">
        <f t="shared" ca="1" si="208"/>
        <v>#DIV/0!</v>
      </c>
      <c r="CM130" s="1157" t="e">
        <f t="shared" ca="1" si="208"/>
        <v>#DIV/0!</v>
      </c>
      <c r="CN130" s="1157" t="e">
        <f t="shared" ca="1" si="208"/>
        <v>#DIV/0!</v>
      </c>
      <c r="CO130" s="1157" t="e">
        <f t="shared" ca="1" si="208"/>
        <v>#DIV/0!</v>
      </c>
      <c r="CP130" s="1157" t="e">
        <f t="shared" ca="1" si="208"/>
        <v>#DIV/0!</v>
      </c>
      <c r="CQ130" s="1157" t="e">
        <f t="shared" ca="1" si="208"/>
        <v>#DIV/0!</v>
      </c>
      <c r="CR130" s="1157" t="e">
        <f t="shared" ca="1" si="208"/>
        <v>#DIV/0!</v>
      </c>
      <c r="CS130" s="1157" t="e">
        <f t="shared" ca="1" si="208"/>
        <v>#DIV/0!</v>
      </c>
      <c r="CT130" s="1157" t="e">
        <f t="shared" ref="CT130:DR130" ca="1" si="209">CT118*CT113</f>
        <v>#DIV/0!</v>
      </c>
      <c r="CU130" s="1157" t="e">
        <f t="shared" ca="1" si="209"/>
        <v>#DIV/0!</v>
      </c>
      <c r="CV130" s="1157" t="e">
        <f t="shared" ca="1" si="209"/>
        <v>#DIV/0!</v>
      </c>
      <c r="CW130" s="1157" t="e">
        <f t="shared" ca="1" si="209"/>
        <v>#DIV/0!</v>
      </c>
      <c r="CX130" s="1157" t="e">
        <f t="shared" ca="1" si="209"/>
        <v>#DIV/0!</v>
      </c>
      <c r="CY130" s="1157" t="e">
        <f t="shared" ca="1" si="209"/>
        <v>#DIV/0!</v>
      </c>
      <c r="CZ130" s="1157" t="e">
        <f t="shared" ca="1" si="209"/>
        <v>#DIV/0!</v>
      </c>
      <c r="DA130" s="1157" t="e">
        <f t="shared" ca="1" si="209"/>
        <v>#DIV/0!</v>
      </c>
      <c r="DB130" s="1157" t="e">
        <f t="shared" ca="1" si="209"/>
        <v>#DIV/0!</v>
      </c>
      <c r="DC130" s="1157" t="e">
        <f t="shared" ca="1" si="209"/>
        <v>#DIV/0!</v>
      </c>
      <c r="DD130" s="1157" t="e">
        <f t="shared" ca="1" si="209"/>
        <v>#DIV/0!</v>
      </c>
      <c r="DE130" s="1157" t="e">
        <f t="shared" ca="1" si="209"/>
        <v>#DIV/0!</v>
      </c>
      <c r="DF130" s="1157" t="e">
        <f t="shared" ca="1" si="209"/>
        <v>#DIV/0!</v>
      </c>
      <c r="DG130" s="1157" t="e">
        <f t="shared" ca="1" si="209"/>
        <v>#DIV/0!</v>
      </c>
      <c r="DH130" s="1157" t="e">
        <f t="shared" ca="1" si="209"/>
        <v>#DIV/0!</v>
      </c>
      <c r="DI130" s="1157" t="e">
        <f t="shared" ca="1" si="209"/>
        <v>#DIV/0!</v>
      </c>
      <c r="DJ130" s="1157" t="e">
        <f t="shared" ca="1" si="209"/>
        <v>#DIV/0!</v>
      </c>
      <c r="DK130" s="1157" t="e">
        <f t="shared" ca="1" si="209"/>
        <v>#DIV/0!</v>
      </c>
      <c r="DL130" s="1157" t="e">
        <f t="shared" ca="1" si="209"/>
        <v>#DIV/0!</v>
      </c>
      <c r="DM130" s="1157" t="e">
        <f t="shared" ca="1" si="209"/>
        <v>#DIV/0!</v>
      </c>
      <c r="DN130" s="1157" t="e">
        <f t="shared" ca="1" si="209"/>
        <v>#DIV/0!</v>
      </c>
      <c r="DO130" s="1157" t="e">
        <f t="shared" ca="1" si="209"/>
        <v>#DIV/0!</v>
      </c>
      <c r="DP130" s="1157" t="e">
        <f t="shared" ca="1" si="209"/>
        <v>#DIV/0!</v>
      </c>
      <c r="DQ130" s="1157" t="e">
        <f t="shared" ca="1" si="209"/>
        <v>#DIV/0!</v>
      </c>
      <c r="DR130" s="1170" t="e">
        <f t="shared" ca="1" si="209"/>
        <v>#DIV/0!</v>
      </c>
    </row>
    <row r="131" spans="1:127" x14ac:dyDescent="0.35">
      <c r="A131" s="685"/>
      <c r="B131" s="446" t="str">
        <f>"Utvikling i CO2-utslipp (kg)- "&amp;'3.1 Nyttestrøm'!C83</f>
        <v>Utvikling i CO2-utslipp (kg)- Skip</v>
      </c>
      <c r="C131" s="1157"/>
      <c r="D131" s="1157"/>
      <c r="E131" s="1157"/>
      <c r="F131" s="1157"/>
      <c r="G131" s="1157"/>
      <c r="H131" s="1157"/>
      <c r="I131" s="1157"/>
      <c r="J131" s="1157"/>
      <c r="K131" s="1157"/>
      <c r="L131" s="1157"/>
      <c r="M131" s="1157">
        <f t="shared" ref="M131:AR131" si="210">M123*M114</f>
        <v>0</v>
      </c>
      <c r="N131" s="1157">
        <f t="shared" si="210"/>
        <v>0</v>
      </c>
      <c r="O131" s="1157">
        <f t="shared" si="210"/>
        <v>0</v>
      </c>
      <c r="P131" s="1157">
        <f t="shared" si="210"/>
        <v>0</v>
      </c>
      <c r="Q131" s="1157">
        <f t="shared" si="210"/>
        <v>0</v>
      </c>
      <c r="R131" s="1157">
        <f t="shared" si="210"/>
        <v>0</v>
      </c>
      <c r="S131" s="1157">
        <f t="shared" si="210"/>
        <v>0</v>
      </c>
      <c r="T131" s="1157">
        <f t="shared" si="210"/>
        <v>0</v>
      </c>
      <c r="U131" s="1157">
        <f t="shared" si="210"/>
        <v>0</v>
      </c>
      <c r="V131" s="1157">
        <f t="shared" si="210"/>
        <v>0</v>
      </c>
      <c r="W131" s="1157" t="e">
        <f t="shared" ca="1" si="210"/>
        <v>#VALUE!</v>
      </c>
      <c r="X131" s="1157" t="e">
        <f t="shared" ca="1" si="210"/>
        <v>#VALUE!</v>
      </c>
      <c r="Y131" s="1157" t="e">
        <f t="shared" ca="1" si="210"/>
        <v>#VALUE!</v>
      </c>
      <c r="Z131" s="1157" t="e">
        <f t="shared" ca="1" si="210"/>
        <v>#VALUE!</v>
      </c>
      <c r="AA131" s="1157" t="e">
        <f t="shared" ca="1" si="210"/>
        <v>#VALUE!</v>
      </c>
      <c r="AB131" s="1157" t="e">
        <f t="shared" ca="1" si="210"/>
        <v>#VALUE!</v>
      </c>
      <c r="AC131" s="1157" t="e">
        <f t="shared" ca="1" si="210"/>
        <v>#VALUE!</v>
      </c>
      <c r="AD131" s="1157" t="e">
        <f t="shared" ca="1" si="210"/>
        <v>#VALUE!</v>
      </c>
      <c r="AE131" s="1157" t="e">
        <f t="shared" ca="1" si="210"/>
        <v>#VALUE!</v>
      </c>
      <c r="AF131" s="1157" t="e">
        <f t="shared" ca="1" si="210"/>
        <v>#VALUE!</v>
      </c>
      <c r="AG131" s="1157" t="e">
        <f t="shared" ca="1" si="210"/>
        <v>#VALUE!</v>
      </c>
      <c r="AH131" s="1157" t="e">
        <f t="shared" ca="1" si="210"/>
        <v>#VALUE!</v>
      </c>
      <c r="AI131" s="1157" t="e">
        <f t="shared" ca="1" si="210"/>
        <v>#VALUE!</v>
      </c>
      <c r="AJ131" s="1157" t="e">
        <f t="shared" ca="1" si="210"/>
        <v>#VALUE!</v>
      </c>
      <c r="AK131" s="1157" t="e">
        <f t="shared" ca="1" si="210"/>
        <v>#VALUE!</v>
      </c>
      <c r="AL131" s="1157" t="e">
        <f t="shared" ca="1" si="210"/>
        <v>#VALUE!</v>
      </c>
      <c r="AM131" s="1157" t="e">
        <f t="shared" ca="1" si="210"/>
        <v>#VALUE!</v>
      </c>
      <c r="AN131" s="1157" t="e">
        <f t="shared" ca="1" si="210"/>
        <v>#VALUE!</v>
      </c>
      <c r="AO131" s="1157" t="e">
        <f t="shared" ca="1" si="210"/>
        <v>#VALUE!</v>
      </c>
      <c r="AP131" s="1157" t="e">
        <f t="shared" ca="1" si="210"/>
        <v>#VALUE!</v>
      </c>
      <c r="AQ131" s="1157" t="e">
        <f t="shared" ca="1" si="210"/>
        <v>#VALUE!</v>
      </c>
      <c r="AR131" s="1157" t="e">
        <f t="shared" ca="1" si="210"/>
        <v>#VALUE!</v>
      </c>
      <c r="AS131" s="1157" t="e">
        <f t="shared" ref="AS131:BX131" ca="1" si="211">AS123*AS114</f>
        <v>#VALUE!</v>
      </c>
      <c r="AT131" s="1157" t="e">
        <f t="shared" ca="1" si="211"/>
        <v>#VALUE!</v>
      </c>
      <c r="AU131" s="1157" t="e">
        <f t="shared" ca="1" si="211"/>
        <v>#VALUE!</v>
      </c>
      <c r="AV131" s="1157" t="e">
        <f t="shared" ca="1" si="211"/>
        <v>#VALUE!</v>
      </c>
      <c r="AW131" s="1157" t="e">
        <f t="shared" ca="1" si="211"/>
        <v>#VALUE!</v>
      </c>
      <c r="AX131" s="1157" t="e">
        <f t="shared" ca="1" si="211"/>
        <v>#VALUE!</v>
      </c>
      <c r="AY131" s="1157" t="e">
        <f t="shared" ca="1" si="211"/>
        <v>#VALUE!</v>
      </c>
      <c r="AZ131" s="1157" t="e">
        <f t="shared" ca="1" si="211"/>
        <v>#VALUE!</v>
      </c>
      <c r="BA131" s="1157" t="e">
        <f t="shared" ca="1" si="211"/>
        <v>#VALUE!</v>
      </c>
      <c r="BB131" s="1157" t="e">
        <f t="shared" ca="1" si="211"/>
        <v>#VALUE!</v>
      </c>
      <c r="BC131" s="1157" t="e">
        <f t="shared" ca="1" si="211"/>
        <v>#VALUE!</v>
      </c>
      <c r="BD131" s="1157" t="e">
        <f t="shared" ca="1" si="211"/>
        <v>#VALUE!</v>
      </c>
      <c r="BE131" s="1157" t="e">
        <f t="shared" ca="1" si="211"/>
        <v>#VALUE!</v>
      </c>
      <c r="BF131" s="1157" t="e">
        <f t="shared" ca="1" si="211"/>
        <v>#VALUE!</v>
      </c>
      <c r="BG131" s="1157" t="e">
        <f t="shared" ca="1" si="211"/>
        <v>#VALUE!</v>
      </c>
      <c r="BH131" s="1157" t="e">
        <f t="shared" ca="1" si="211"/>
        <v>#VALUE!</v>
      </c>
      <c r="BI131" s="1157" t="e">
        <f t="shared" ca="1" si="211"/>
        <v>#VALUE!</v>
      </c>
      <c r="BJ131" s="1157" t="e">
        <f t="shared" ca="1" si="211"/>
        <v>#VALUE!</v>
      </c>
      <c r="BK131" s="1157" t="e">
        <f t="shared" ca="1" si="211"/>
        <v>#VALUE!</v>
      </c>
      <c r="BL131" s="1157" t="e">
        <f t="shared" ca="1" si="211"/>
        <v>#VALUE!</v>
      </c>
      <c r="BM131" s="1157" t="e">
        <f t="shared" ca="1" si="211"/>
        <v>#VALUE!</v>
      </c>
      <c r="BN131" s="1157" t="e">
        <f t="shared" ca="1" si="211"/>
        <v>#VALUE!</v>
      </c>
      <c r="BO131" s="1157" t="e">
        <f t="shared" ca="1" si="211"/>
        <v>#VALUE!</v>
      </c>
      <c r="BP131" s="1157" t="e">
        <f t="shared" ca="1" si="211"/>
        <v>#VALUE!</v>
      </c>
      <c r="BQ131" s="1157" t="e">
        <f t="shared" ca="1" si="211"/>
        <v>#VALUE!</v>
      </c>
      <c r="BR131" s="1157" t="e">
        <f t="shared" ca="1" si="211"/>
        <v>#VALUE!</v>
      </c>
      <c r="BS131" s="1157" t="e">
        <f t="shared" ca="1" si="211"/>
        <v>#VALUE!</v>
      </c>
      <c r="BT131" s="1157" t="e">
        <f t="shared" ca="1" si="211"/>
        <v>#VALUE!</v>
      </c>
      <c r="BU131" s="1157" t="e">
        <f t="shared" ca="1" si="211"/>
        <v>#VALUE!</v>
      </c>
      <c r="BV131" s="1157" t="e">
        <f t="shared" ca="1" si="211"/>
        <v>#VALUE!</v>
      </c>
      <c r="BW131" s="1157" t="e">
        <f t="shared" ca="1" si="211"/>
        <v>#VALUE!</v>
      </c>
      <c r="BX131" s="1157" t="e">
        <f t="shared" ca="1" si="211"/>
        <v>#VALUE!</v>
      </c>
      <c r="BY131" s="1157" t="e">
        <f t="shared" ref="BY131:CS131" ca="1" si="212">BY123*BY114</f>
        <v>#VALUE!</v>
      </c>
      <c r="BZ131" s="1157" t="e">
        <f t="shared" ca="1" si="212"/>
        <v>#VALUE!</v>
      </c>
      <c r="CA131" s="1157" t="e">
        <f t="shared" ca="1" si="212"/>
        <v>#VALUE!</v>
      </c>
      <c r="CB131" s="1157" t="e">
        <f t="shared" ca="1" si="212"/>
        <v>#VALUE!</v>
      </c>
      <c r="CC131" s="1157" t="e">
        <f t="shared" ca="1" si="212"/>
        <v>#VALUE!</v>
      </c>
      <c r="CD131" s="1157" t="e">
        <f t="shared" ca="1" si="212"/>
        <v>#VALUE!</v>
      </c>
      <c r="CE131" s="1157" t="e">
        <f t="shared" ca="1" si="212"/>
        <v>#VALUE!</v>
      </c>
      <c r="CF131" s="1157" t="e">
        <f t="shared" ca="1" si="212"/>
        <v>#VALUE!</v>
      </c>
      <c r="CG131" s="1157" t="e">
        <f t="shared" ca="1" si="212"/>
        <v>#VALUE!</v>
      </c>
      <c r="CH131" s="1157" t="e">
        <f t="shared" ca="1" si="212"/>
        <v>#VALUE!</v>
      </c>
      <c r="CI131" s="1157" t="e">
        <f t="shared" ca="1" si="212"/>
        <v>#VALUE!</v>
      </c>
      <c r="CJ131" s="1157" t="e">
        <f t="shared" ca="1" si="212"/>
        <v>#VALUE!</v>
      </c>
      <c r="CK131" s="1157" t="e">
        <f t="shared" ca="1" si="212"/>
        <v>#VALUE!</v>
      </c>
      <c r="CL131" s="1157" t="e">
        <f t="shared" ca="1" si="212"/>
        <v>#VALUE!</v>
      </c>
      <c r="CM131" s="1157" t="e">
        <f t="shared" ca="1" si="212"/>
        <v>#VALUE!</v>
      </c>
      <c r="CN131" s="1157" t="e">
        <f t="shared" ca="1" si="212"/>
        <v>#VALUE!</v>
      </c>
      <c r="CO131" s="1157" t="e">
        <f t="shared" ca="1" si="212"/>
        <v>#VALUE!</v>
      </c>
      <c r="CP131" s="1157" t="e">
        <f t="shared" ca="1" si="212"/>
        <v>#VALUE!</v>
      </c>
      <c r="CQ131" s="1157" t="e">
        <f t="shared" ca="1" si="212"/>
        <v>#VALUE!</v>
      </c>
      <c r="CR131" s="1157" t="e">
        <f t="shared" ca="1" si="212"/>
        <v>#VALUE!</v>
      </c>
      <c r="CS131" s="1157" t="e">
        <f t="shared" ca="1" si="212"/>
        <v>#VALUE!</v>
      </c>
      <c r="CT131" s="1157" t="e">
        <f t="shared" ref="CT131:DR131" ca="1" si="213">CT123*CT114</f>
        <v>#VALUE!</v>
      </c>
      <c r="CU131" s="1157" t="e">
        <f t="shared" ca="1" si="213"/>
        <v>#VALUE!</v>
      </c>
      <c r="CV131" s="1157" t="e">
        <f t="shared" ca="1" si="213"/>
        <v>#VALUE!</v>
      </c>
      <c r="CW131" s="1157" t="e">
        <f t="shared" ca="1" si="213"/>
        <v>#VALUE!</v>
      </c>
      <c r="CX131" s="1157" t="e">
        <f t="shared" ca="1" si="213"/>
        <v>#VALUE!</v>
      </c>
      <c r="CY131" s="1157" t="e">
        <f t="shared" ca="1" si="213"/>
        <v>#VALUE!</v>
      </c>
      <c r="CZ131" s="1157" t="e">
        <f t="shared" ca="1" si="213"/>
        <v>#VALUE!</v>
      </c>
      <c r="DA131" s="1157" t="e">
        <f t="shared" ca="1" si="213"/>
        <v>#VALUE!</v>
      </c>
      <c r="DB131" s="1157" t="e">
        <f t="shared" ca="1" si="213"/>
        <v>#VALUE!</v>
      </c>
      <c r="DC131" s="1157" t="e">
        <f t="shared" ca="1" si="213"/>
        <v>#VALUE!</v>
      </c>
      <c r="DD131" s="1157" t="e">
        <f t="shared" ca="1" si="213"/>
        <v>#VALUE!</v>
      </c>
      <c r="DE131" s="1157" t="e">
        <f t="shared" ca="1" si="213"/>
        <v>#VALUE!</v>
      </c>
      <c r="DF131" s="1157" t="e">
        <f t="shared" ca="1" si="213"/>
        <v>#VALUE!</v>
      </c>
      <c r="DG131" s="1157" t="e">
        <f t="shared" ca="1" si="213"/>
        <v>#VALUE!</v>
      </c>
      <c r="DH131" s="1157" t="e">
        <f t="shared" ca="1" si="213"/>
        <v>#VALUE!</v>
      </c>
      <c r="DI131" s="1157" t="e">
        <f t="shared" ca="1" si="213"/>
        <v>#VALUE!</v>
      </c>
      <c r="DJ131" s="1157" t="e">
        <f t="shared" ca="1" si="213"/>
        <v>#VALUE!</v>
      </c>
      <c r="DK131" s="1157" t="e">
        <f t="shared" ca="1" si="213"/>
        <v>#VALUE!</v>
      </c>
      <c r="DL131" s="1157" t="e">
        <f t="shared" ca="1" si="213"/>
        <v>#VALUE!</v>
      </c>
      <c r="DM131" s="1157" t="e">
        <f t="shared" ca="1" si="213"/>
        <v>#VALUE!</v>
      </c>
      <c r="DN131" s="1157" t="e">
        <f t="shared" ca="1" si="213"/>
        <v>#VALUE!</v>
      </c>
      <c r="DO131" s="1157" t="e">
        <f t="shared" ca="1" si="213"/>
        <v>#VALUE!</v>
      </c>
      <c r="DP131" s="1157" t="e">
        <f t="shared" ca="1" si="213"/>
        <v>#VALUE!</v>
      </c>
      <c r="DQ131" s="1157" t="e">
        <f t="shared" ca="1" si="213"/>
        <v>#VALUE!</v>
      </c>
      <c r="DR131" s="1170" t="e">
        <f t="shared" ca="1" si="213"/>
        <v>#VALUE!</v>
      </c>
    </row>
    <row r="132" spans="1:127" x14ac:dyDescent="0.35">
      <c r="A132" s="685"/>
      <c r="B132" s="446" t="str">
        <f>"Utvikling i CO2-utslipp (kg)- "&amp;'3.1 Nyttestrøm'!C84</f>
        <v>Utvikling i CO2-utslipp (kg)- Godsfly</v>
      </c>
      <c r="C132" s="1157"/>
      <c r="D132" s="1157"/>
      <c r="E132" s="1157"/>
      <c r="F132" s="1157"/>
      <c r="G132" s="1157"/>
      <c r="H132" s="1157"/>
      <c r="I132" s="1157"/>
      <c r="J132" s="1157"/>
      <c r="K132" s="1157"/>
      <c r="L132" s="1157"/>
      <c r="M132" s="1157">
        <f>M122*M115</f>
        <v>0</v>
      </c>
      <c r="N132" s="1157">
        <f t="shared" ref="N132:BY132" si="214">N122*N115</f>
        <v>0</v>
      </c>
      <c r="O132" s="1157">
        <f t="shared" si="214"/>
        <v>0</v>
      </c>
      <c r="P132" s="1157">
        <f t="shared" si="214"/>
        <v>0</v>
      </c>
      <c r="Q132" s="1157">
        <f t="shared" si="214"/>
        <v>0</v>
      </c>
      <c r="R132" s="1157">
        <f t="shared" si="214"/>
        <v>0</v>
      </c>
      <c r="S132" s="1157">
        <f t="shared" si="214"/>
        <v>0</v>
      </c>
      <c r="T132" s="1157">
        <f t="shared" si="214"/>
        <v>0</v>
      </c>
      <c r="U132" s="1157">
        <f t="shared" si="214"/>
        <v>0</v>
      </c>
      <c r="V132" s="1157">
        <f t="shared" si="214"/>
        <v>0</v>
      </c>
      <c r="W132" s="1157" t="e">
        <f t="shared" ca="1" si="214"/>
        <v>#VALUE!</v>
      </c>
      <c r="X132" s="1157" t="e">
        <f t="shared" ca="1" si="214"/>
        <v>#VALUE!</v>
      </c>
      <c r="Y132" s="1157" t="e">
        <f t="shared" ca="1" si="214"/>
        <v>#VALUE!</v>
      </c>
      <c r="Z132" s="1157" t="e">
        <f t="shared" ca="1" si="214"/>
        <v>#VALUE!</v>
      </c>
      <c r="AA132" s="1157" t="e">
        <f t="shared" ca="1" si="214"/>
        <v>#VALUE!</v>
      </c>
      <c r="AB132" s="1157" t="e">
        <f t="shared" ca="1" si="214"/>
        <v>#VALUE!</v>
      </c>
      <c r="AC132" s="1157" t="e">
        <f t="shared" ca="1" si="214"/>
        <v>#VALUE!</v>
      </c>
      <c r="AD132" s="1157" t="e">
        <f t="shared" ca="1" si="214"/>
        <v>#VALUE!</v>
      </c>
      <c r="AE132" s="1157" t="e">
        <f t="shared" ca="1" si="214"/>
        <v>#VALUE!</v>
      </c>
      <c r="AF132" s="1157" t="e">
        <f t="shared" ca="1" si="214"/>
        <v>#VALUE!</v>
      </c>
      <c r="AG132" s="1157" t="e">
        <f t="shared" ca="1" si="214"/>
        <v>#VALUE!</v>
      </c>
      <c r="AH132" s="1157" t="e">
        <f t="shared" ca="1" si="214"/>
        <v>#VALUE!</v>
      </c>
      <c r="AI132" s="1157" t="e">
        <f t="shared" ca="1" si="214"/>
        <v>#VALUE!</v>
      </c>
      <c r="AJ132" s="1157" t="e">
        <f t="shared" ca="1" si="214"/>
        <v>#VALUE!</v>
      </c>
      <c r="AK132" s="1157" t="e">
        <f t="shared" ca="1" si="214"/>
        <v>#VALUE!</v>
      </c>
      <c r="AL132" s="1157" t="e">
        <f t="shared" ca="1" si="214"/>
        <v>#VALUE!</v>
      </c>
      <c r="AM132" s="1157" t="e">
        <f t="shared" ca="1" si="214"/>
        <v>#VALUE!</v>
      </c>
      <c r="AN132" s="1157" t="e">
        <f t="shared" ca="1" si="214"/>
        <v>#VALUE!</v>
      </c>
      <c r="AO132" s="1157" t="e">
        <f t="shared" ca="1" si="214"/>
        <v>#VALUE!</v>
      </c>
      <c r="AP132" s="1157" t="e">
        <f t="shared" ca="1" si="214"/>
        <v>#VALUE!</v>
      </c>
      <c r="AQ132" s="1157" t="e">
        <f t="shared" ca="1" si="214"/>
        <v>#VALUE!</v>
      </c>
      <c r="AR132" s="1157" t="e">
        <f t="shared" ca="1" si="214"/>
        <v>#VALUE!</v>
      </c>
      <c r="AS132" s="1157" t="e">
        <f t="shared" ca="1" si="214"/>
        <v>#VALUE!</v>
      </c>
      <c r="AT132" s="1157" t="e">
        <f t="shared" ca="1" si="214"/>
        <v>#VALUE!</v>
      </c>
      <c r="AU132" s="1157" t="e">
        <f t="shared" ca="1" si="214"/>
        <v>#VALUE!</v>
      </c>
      <c r="AV132" s="1157" t="e">
        <f t="shared" ca="1" si="214"/>
        <v>#VALUE!</v>
      </c>
      <c r="AW132" s="1157" t="e">
        <f t="shared" ca="1" si="214"/>
        <v>#VALUE!</v>
      </c>
      <c r="AX132" s="1157" t="e">
        <f t="shared" ca="1" si="214"/>
        <v>#VALUE!</v>
      </c>
      <c r="AY132" s="1157" t="e">
        <f t="shared" ca="1" si="214"/>
        <v>#VALUE!</v>
      </c>
      <c r="AZ132" s="1157" t="e">
        <f t="shared" ca="1" si="214"/>
        <v>#VALUE!</v>
      </c>
      <c r="BA132" s="1157" t="e">
        <f t="shared" ca="1" si="214"/>
        <v>#VALUE!</v>
      </c>
      <c r="BB132" s="1157" t="e">
        <f t="shared" ca="1" si="214"/>
        <v>#VALUE!</v>
      </c>
      <c r="BC132" s="1157" t="e">
        <f t="shared" ca="1" si="214"/>
        <v>#VALUE!</v>
      </c>
      <c r="BD132" s="1157" t="e">
        <f t="shared" ca="1" si="214"/>
        <v>#VALUE!</v>
      </c>
      <c r="BE132" s="1157" t="e">
        <f t="shared" ca="1" si="214"/>
        <v>#VALUE!</v>
      </c>
      <c r="BF132" s="1157" t="e">
        <f t="shared" ca="1" si="214"/>
        <v>#VALUE!</v>
      </c>
      <c r="BG132" s="1157" t="e">
        <f t="shared" ca="1" si="214"/>
        <v>#VALUE!</v>
      </c>
      <c r="BH132" s="1157" t="e">
        <f t="shared" ca="1" si="214"/>
        <v>#VALUE!</v>
      </c>
      <c r="BI132" s="1157" t="e">
        <f t="shared" ca="1" si="214"/>
        <v>#VALUE!</v>
      </c>
      <c r="BJ132" s="1157" t="e">
        <f t="shared" ca="1" si="214"/>
        <v>#VALUE!</v>
      </c>
      <c r="BK132" s="1157" t="e">
        <f t="shared" ca="1" si="214"/>
        <v>#VALUE!</v>
      </c>
      <c r="BL132" s="1157" t="e">
        <f t="shared" ca="1" si="214"/>
        <v>#VALUE!</v>
      </c>
      <c r="BM132" s="1157" t="e">
        <f t="shared" ca="1" si="214"/>
        <v>#VALUE!</v>
      </c>
      <c r="BN132" s="1157" t="e">
        <f t="shared" ca="1" si="214"/>
        <v>#VALUE!</v>
      </c>
      <c r="BO132" s="1157" t="e">
        <f t="shared" ca="1" si="214"/>
        <v>#VALUE!</v>
      </c>
      <c r="BP132" s="1157" t="e">
        <f t="shared" ca="1" si="214"/>
        <v>#VALUE!</v>
      </c>
      <c r="BQ132" s="1157" t="e">
        <f t="shared" ca="1" si="214"/>
        <v>#VALUE!</v>
      </c>
      <c r="BR132" s="1157" t="e">
        <f t="shared" ca="1" si="214"/>
        <v>#VALUE!</v>
      </c>
      <c r="BS132" s="1157" t="e">
        <f t="shared" ca="1" si="214"/>
        <v>#VALUE!</v>
      </c>
      <c r="BT132" s="1157" t="e">
        <f t="shared" ca="1" si="214"/>
        <v>#VALUE!</v>
      </c>
      <c r="BU132" s="1157" t="e">
        <f t="shared" ca="1" si="214"/>
        <v>#VALUE!</v>
      </c>
      <c r="BV132" s="1157" t="e">
        <f t="shared" ca="1" si="214"/>
        <v>#VALUE!</v>
      </c>
      <c r="BW132" s="1157" t="e">
        <f t="shared" ca="1" si="214"/>
        <v>#VALUE!</v>
      </c>
      <c r="BX132" s="1157" t="e">
        <f t="shared" ca="1" si="214"/>
        <v>#VALUE!</v>
      </c>
      <c r="BY132" s="1157" t="e">
        <f t="shared" ca="1" si="214"/>
        <v>#VALUE!</v>
      </c>
      <c r="BZ132" s="1157" t="e">
        <f t="shared" ref="BZ132:CS132" ca="1" si="215">BZ122*BZ115</f>
        <v>#VALUE!</v>
      </c>
      <c r="CA132" s="1157" t="e">
        <f t="shared" ca="1" si="215"/>
        <v>#VALUE!</v>
      </c>
      <c r="CB132" s="1157" t="e">
        <f t="shared" ca="1" si="215"/>
        <v>#VALUE!</v>
      </c>
      <c r="CC132" s="1157" t="e">
        <f t="shared" ca="1" si="215"/>
        <v>#VALUE!</v>
      </c>
      <c r="CD132" s="1157" t="e">
        <f t="shared" ca="1" si="215"/>
        <v>#VALUE!</v>
      </c>
      <c r="CE132" s="1157" t="e">
        <f t="shared" ca="1" si="215"/>
        <v>#VALUE!</v>
      </c>
      <c r="CF132" s="1157" t="e">
        <f t="shared" ca="1" si="215"/>
        <v>#VALUE!</v>
      </c>
      <c r="CG132" s="1157" t="e">
        <f t="shared" ca="1" si="215"/>
        <v>#VALUE!</v>
      </c>
      <c r="CH132" s="1157" t="e">
        <f t="shared" ca="1" si="215"/>
        <v>#VALUE!</v>
      </c>
      <c r="CI132" s="1157" t="e">
        <f t="shared" ca="1" si="215"/>
        <v>#VALUE!</v>
      </c>
      <c r="CJ132" s="1157" t="e">
        <f t="shared" ca="1" si="215"/>
        <v>#VALUE!</v>
      </c>
      <c r="CK132" s="1157" t="e">
        <f t="shared" ca="1" si="215"/>
        <v>#VALUE!</v>
      </c>
      <c r="CL132" s="1157" t="e">
        <f t="shared" ca="1" si="215"/>
        <v>#VALUE!</v>
      </c>
      <c r="CM132" s="1157" t="e">
        <f t="shared" ca="1" si="215"/>
        <v>#VALUE!</v>
      </c>
      <c r="CN132" s="1157" t="e">
        <f t="shared" ca="1" si="215"/>
        <v>#VALUE!</v>
      </c>
      <c r="CO132" s="1157" t="e">
        <f t="shared" ca="1" si="215"/>
        <v>#VALUE!</v>
      </c>
      <c r="CP132" s="1157" t="e">
        <f t="shared" ca="1" si="215"/>
        <v>#VALUE!</v>
      </c>
      <c r="CQ132" s="1157" t="e">
        <f t="shared" ca="1" si="215"/>
        <v>#VALUE!</v>
      </c>
      <c r="CR132" s="1157" t="e">
        <f t="shared" ca="1" si="215"/>
        <v>#VALUE!</v>
      </c>
      <c r="CS132" s="1157" t="e">
        <f t="shared" ca="1" si="215"/>
        <v>#VALUE!</v>
      </c>
      <c r="CT132" s="1157" t="e">
        <f t="shared" ref="CT132:DR132" ca="1" si="216">CT122*CT115</f>
        <v>#VALUE!</v>
      </c>
      <c r="CU132" s="1157" t="e">
        <f t="shared" ca="1" si="216"/>
        <v>#VALUE!</v>
      </c>
      <c r="CV132" s="1157" t="e">
        <f t="shared" ca="1" si="216"/>
        <v>#VALUE!</v>
      </c>
      <c r="CW132" s="1157" t="e">
        <f t="shared" ca="1" si="216"/>
        <v>#VALUE!</v>
      </c>
      <c r="CX132" s="1157" t="e">
        <f t="shared" ca="1" si="216"/>
        <v>#VALUE!</v>
      </c>
      <c r="CY132" s="1157" t="e">
        <f t="shared" ca="1" si="216"/>
        <v>#VALUE!</v>
      </c>
      <c r="CZ132" s="1157" t="e">
        <f t="shared" ca="1" si="216"/>
        <v>#VALUE!</v>
      </c>
      <c r="DA132" s="1157" t="e">
        <f t="shared" ca="1" si="216"/>
        <v>#VALUE!</v>
      </c>
      <c r="DB132" s="1157" t="e">
        <f t="shared" ca="1" si="216"/>
        <v>#VALUE!</v>
      </c>
      <c r="DC132" s="1157" t="e">
        <f t="shared" ca="1" si="216"/>
        <v>#VALUE!</v>
      </c>
      <c r="DD132" s="1157" t="e">
        <f t="shared" ca="1" si="216"/>
        <v>#VALUE!</v>
      </c>
      <c r="DE132" s="1157" t="e">
        <f t="shared" ca="1" si="216"/>
        <v>#VALUE!</v>
      </c>
      <c r="DF132" s="1157" t="e">
        <f t="shared" ca="1" si="216"/>
        <v>#VALUE!</v>
      </c>
      <c r="DG132" s="1157" t="e">
        <f t="shared" ca="1" si="216"/>
        <v>#VALUE!</v>
      </c>
      <c r="DH132" s="1157" t="e">
        <f t="shared" ca="1" si="216"/>
        <v>#VALUE!</v>
      </c>
      <c r="DI132" s="1157" t="e">
        <f t="shared" ca="1" si="216"/>
        <v>#VALUE!</v>
      </c>
      <c r="DJ132" s="1157" t="e">
        <f t="shared" ca="1" si="216"/>
        <v>#VALUE!</v>
      </c>
      <c r="DK132" s="1157" t="e">
        <f t="shared" ca="1" si="216"/>
        <v>#VALUE!</v>
      </c>
      <c r="DL132" s="1157" t="e">
        <f t="shared" ca="1" si="216"/>
        <v>#VALUE!</v>
      </c>
      <c r="DM132" s="1157" t="e">
        <f t="shared" ca="1" si="216"/>
        <v>#VALUE!</v>
      </c>
      <c r="DN132" s="1157" t="e">
        <f t="shared" ca="1" si="216"/>
        <v>#VALUE!</v>
      </c>
      <c r="DO132" s="1157" t="e">
        <f t="shared" ca="1" si="216"/>
        <v>#VALUE!</v>
      </c>
      <c r="DP132" s="1157" t="e">
        <f t="shared" ca="1" si="216"/>
        <v>#VALUE!</v>
      </c>
      <c r="DQ132" s="1157" t="e">
        <f t="shared" ca="1" si="216"/>
        <v>#VALUE!</v>
      </c>
      <c r="DR132" s="1170" t="e">
        <f t="shared" ca="1" si="216"/>
        <v>#VALUE!</v>
      </c>
    </row>
    <row r="133" spans="1:127" x14ac:dyDescent="0.35">
      <c r="A133" s="685"/>
      <c r="B133" s="446" t="str">
        <f>"Utvikling i CO2-utslipp (kg)- "&amp;'3.1 Nyttestrøm'!C85</f>
        <v>Utvikling i CO2-utslipp (kg)- Utslipp i byggefasen</v>
      </c>
      <c r="C133" s="1157"/>
      <c r="D133" s="1157"/>
      <c r="E133" s="1157"/>
      <c r="F133" s="1157"/>
      <c r="G133" s="1157"/>
      <c r="H133" s="1157"/>
      <c r="I133" s="1157"/>
      <c r="J133" s="1157"/>
      <c r="K133" s="1157"/>
      <c r="L133" s="1157"/>
      <c r="M133" s="1157">
        <f t="shared" ref="M133:AR133" si="217">LOOKUP(M105,SerieÅR,Serie_UtslippibyggefasenCO2)*-1000</f>
        <v>0</v>
      </c>
      <c r="N133" s="1157">
        <f t="shared" si="217"/>
        <v>0</v>
      </c>
      <c r="O133" s="1157">
        <f t="shared" si="217"/>
        <v>0</v>
      </c>
      <c r="P133" s="1157">
        <f t="shared" si="217"/>
        <v>0</v>
      </c>
      <c r="Q133" s="1157">
        <f t="shared" si="217"/>
        <v>0</v>
      </c>
      <c r="R133" s="1157">
        <f t="shared" si="217"/>
        <v>0</v>
      </c>
      <c r="S133" s="1157">
        <f t="shared" si="217"/>
        <v>0</v>
      </c>
      <c r="T133" s="1157">
        <f t="shared" si="217"/>
        <v>0</v>
      </c>
      <c r="U133" s="1157">
        <f t="shared" si="217"/>
        <v>0</v>
      </c>
      <c r="V133" s="1157">
        <f t="shared" si="217"/>
        <v>0</v>
      </c>
      <c r="W133" s="1157">
        <f t="shared" si="217"/>
        <v>0</v>
      </c>
      <c r="X133" s="1157">
        <f t="shared" si="217"/>
        <v>0</v>
      </c>
      <c r="Y133" s="1157">
        <f t="shared" si="217"/>
        <v>0</v>
      </c>
      <c r="Z133" s="1157">
        <f t="shared" si="217"/>
        <v>0</v>
      </c>
      <c r="AA133" s="1157">
        <f t="shared" si="217"/>
        <v>0</v>
      </c>
      <c r="AB133" s="1157">
        <f t="shared" si="217"/>
        <v>0</v>
      </c>
      <c r="AC133" s="1157">
        <f t="shared" si="217"/>
        <v>0</v>
      </c>
      <c r="AD133" s="1157">
        <f t="shared" si="217"/>
        <v>0</v>
      </c>
      <c r="AE133" s="1157">
        <f t="shared" si="217"/>
        <v>0</v>
      </c>
      <c r="AF133" s="1157">
        <f t="shared" si="217"/>
        <v>0</v>
      </c>
      <c r="AG133" s="1157">
        <f t="shared" si="217"/>
        <v>0</v>
      </c>
      <c r="AH133" s="1157">
        <f t="shared" si="217"/>
        <v>0</v>
      </c>
      <c r="AI133" s="1157">
        <f t="shared" si="217"/>
        <v>0</v>
      </c>
      <c r="AJ133" s="1157">
        <f t="shared" si="217"/>
        <v>0</v>
      </c>
      <c r="AK133" s="1157">
        <f t="shared" si="217"/>
        <v>0</v>
      </c>
      <c r="AL133" s="1157">
        <f t="shared" si="217"/>
        <v>0</v>
      </c>
      <c r="AM133" s="1157">
        <f t="shared" si="217"/>
        <v>0</v>
      </c>
      <c r="AN133" s="1157">
        <f t="shared" si="217"/>
        <v>0</v>
      </c>
      <c r="AO133" s="1157">
        <f t="shared" si="217"/>
        <v>0</v>
      </c>
      <c r="AP133" s="1157">
        <f t="shared" si="217"/>
        <v>0</v>
      </c>
      <c r="AQ133" s="1157">
        <f t="shared" si="217"/>
        <v>0</v>
      </c>
      <c r="AR133" s="1157">
        <f t="shared" si="217"/>
        <v>0</v>
      </c>
      <c r="AS133" s="1157">
        <f t="shared" ref="AS133:BX133" si="218">LOOKUP(AS105,SerieÅR,Serie_UtslippibyggefasenCO2)*-1000</f>
        <v>0</v>
      </c>
      <c r="AT133" s="1157">
        <f t="shared" si="218"/>
        <v>0</v>
      </c>
      <c r="AU133" s="1157">
        <f t="shared" si="218"/>
        <v>0</v>
      </c>
      <c r="AV133" s="1157">
        <f t="shared" si="218"/>
        <v>0</v>
      </c>
      <c r="AW133" s="1157">
        <f t="shared" si="218"/>
        <v>0</v>
      </c>
      <c r="AX133" s="1157">
        <f t="shared" si="218"/>
        <v>0</v>
      </c>
      <c r="AY133" s="1157">
        <f t="shared" si="218"/>
        <v>0</v>
      </c>
      <c r="AZ133" s="1157">
        <f t="shared" si="218"/>
        <v>0</v>
      </c>
      <c r="BA133" s="1157">
        <f t="shared" si="218"/>
        <v>0</v>
      </c>
      <c r="BB133" s="1157">
        <f t="shared" si="218"/>
        <v>0</v>
      </c>
      <c r="BC133" s="1157">
        <f t="shared" si="218"/>
        <v>0</v>
      </c>
      <c r="BD133" s="1157">
        <f t="shared" si="218"/>
        <v>0</v>
      </c>
      <c r="BE133" s="1157">
        <f t="shared" si="218"/>
        <v>0</v>
      </c>
      <c r="BF133" s="1157">
        <f t="shared" si="218"/>
        <v>0</v>
      </c>
      <c r="BG133" s="1157">
        <f t="shared" si="218"/>
        <v>0</v>
      </c>
      <c r="BH133" s="1157">
        <f t="shared" si="218"/>
        <v>0</v>
      </c>
      <c r="BI133" s="1157">
        <f t="shared" si="218"/>
        <v>0</v>
      </c>
      <c r="BJ133" s="1157">
        <f t="shared" si="218"/>
        <v>0</v>
      </c>
      <c r="BK133" s="1157">
        <f t="shared" si="218"/>
        <v>0</v>
      </c>
      <c r="BL133" s="1157">
        <f t="shared" si="218"/>
        <v>0</v>
      </c>
      <c r="BM133" s="1157">
        <f t="shared" si="218"/>
        <v>0</v>
      </c>
      <c r="BN133" s="1157">
        <f t="shared" si="218"/>
        <v>0</v>
      </c>
      <c r="BO133" s="1157">
        <f t="shared" si="218"/>
        <v>0</v>
      </c>
      <c r="BP133" s="1157">
        <f t="shared" si="218"/>
        <v>0</v>
      </c>
      <c r="BQ133" s="1157">
        <f t="shared" si="218"/>
        <v>0</v>
      </c>
      <c r="BR133" s="1157">
        <f t="shared" si="218"/>
        <v>0</v>
      </c>
      <c r="BS133" s="1157">
        <f t="shared" si="218"/>
        <v>0</v>
      </c>
      <c r="BT133" s="1157">
        <f t="shared" si="218"/>
        <v>0</v>
      </c>
      <c r="BU133" s="1157">
        <f t="shared" si="218"/>
        <v>0</v>
      </c>
      <c r="BV133" s="1157">
        <f t="shared" si="218"/>
        <v>0</v>
      </c>
      <c r="BW133" s="1157">
        <f t="shared" si="218"/>
        <v>0</v>
      </c>
      <c r="BX133" s="1157">
        <f t="shared" si="218"/>
        <v>0</v>
      </c>
      <c r="BY133" s="1157">
        <f t="shared" ref="BY133:DD133" si="219">LOOKUP(BY105,SerieÅR,Serie_UtslippibyggefasenCO2)*-1000</f>
        <v>0</v>
      </c>
      <c r="BZ133" s="1157">
        <f t="shared" si="219"/>
        <v>0</v>
      </c>
      <c r="CA133" s="1157">
        <f t="shared" si="219"/>
        <v>0</v>
      </c>
      <c r="CB133" s="1157">
        <f t="shared" si="219"/>
        <v>0</v>
      </c>
      <c r="CC133" s="1157">
        <f t="shared" si="219"/>
        <v>0</v>
      </c>
      <c r="CD133" s="1157">
        <f t="shared" si="219"/>
        <v>0</v>
      </c>
      <c r="CE133" s="1157">
        <f t="shared" si="219"/>
        <v>0</v>
      </c>
      <c r="CF133" s="1157">
        <f t="shared" si="219"/>
        <v>0</v>
      </c>
      <c r="CG133" s="1157">
        <f t="shared" si="219"/>
        <v>0</v>
      </c>
      <c r="CH133" s="1157">
        <f t="shared" si="219"/>
        <v>0</v>
      </c>
      <c r="CI133" s="1157">
        <f t="shared" si="219"/>
        <v>0</v>
      </c>
      <c r="CJ133" s="1157">
        <f t="shared" si="219"/>
        <v>0</v>
      </c>
      <c r="CK133" s="1157">
        <f t="shared" si="219"/>
        <v>0</v>
      </c>
      <c r="CL133" s="1157">
        <f t="shared" si="219"/>
        <v>0</v>
      </c>
      <c r="CM133" s="1157">
        <f t="shared" si="219"/>
        <v>0</v>
      </c>
      <c r="CN133" s="1157">
        <f t="shared" si="219"/>
        <v>0</v>
      </c>
      <c r="CO133" s="1157">
        <f t="shared" si="219"/>
        <v>0</v>
      </c>
      <c r="CP133" s="1157">
        <f t="shared" si="219"/>
        <v>0</v>
      </c>
      <c r="CQ133" s="1157">
        <f t="shared" si="219"/>
        <v>0</v>
      </c>
      <c r="CR133" s="1157">
        <f t="shared" si="219"/>
        <v>0</v>
      </c>
      <c r="CS133" s="1157">
        <f t="shared" si="219"/>
        <v>0</v>
      </c>
      <c r="CT133" s="1157">
        <f t="shared" si="219"/>
        <v>0</v>
      </c>
      <c r="CU133" s="1157">
        <f t="shared" si="219"/>
        <v>0</v>
      </c>
      <c r="CV133" s="1157">
        <f t="shared" si="219"/>
        <v>0</v>
      </c>
      <c r="CW133" s="1157">
        <f t="shared" si="219"/>
        <v>0</v>
      </c>
      <c r="CX133" s="1157">
        <f t="shared" si="219"/>
        <v>0</v>
      </c>
      <c r="CY133" s="1157">
        <f t="shared" si="219"/>
        <v>0</v>
      </c>
      <c r="CZ133" s="1157">
        <f t="shared" si="219"/>
        <v>0</v>
      </c>
      <c r="DA133" s="1157">
        <f t="shared" si="219"/>
        <v>0</v>
      </c>
      <c r="DB133" s="1157">
        <f t="shared" si="219"/>
        <v>0</v>
      </c>
      <c r="DC133" s="1157">
        <f t="shared" si="219"/>
        <v>0</v>
      </c>
      <c r="DD133" s="1157">
        <f t="shared" si="219"/>
        <v>0</v>
      </c>
      <c r="DE133" s="1157">
        <f t="shared" ref="DE133:DR133" si="220">LOOKUP(DE105,SerieÅR,Serie_UtslippibyggefasenCO2)*-1000</f>
        <v>0</v>
      </c>
      <c r="DF133" s="1157">
        <f t="shared" si="220"/>
        <v>0</v>
      </c>
      <c r="DG133" s="1157">
        <f t="shared" si="220"/>
        <v>0</v>
      </c>
      <c r="DH133" s="1157">
        <f t="shared" si="220"/>
        <v>0</v>
      </c>
      <c r="DI133" s="1157">
        <f t="shared" si="220"/>
        <v>0</v>
      </c>
      <c r="DJ133" s="1157">
        <f t="shared" si="220"/>
        <v>0</v>
      </c>
      <c r="DK133" s="1157">
        <f t="shared" si="220"/>
        <v>0</v>
      </c>
      <c r="DL133" s="1157">
        <f t="shared" si="220"/>
        <v>0</v>
      </c>
      <c r="DM133" s="1157">
        <f t="shared" si="220"/>
        <v>0</v>
      </c>
      <c r="DN133" s="1157">
        <f t="shared" si="220"/>
        <v>0</v>
      </c>
      <c r="DO133" s="1157">
        <f t="shared" si="220"/>
        <v>0</v>
      </c>
      <c r="DP133" s="1157">
        <f t="shared" si="220"/>
        <v>0</v>
      </c>
      <c r="DQ133" s="1157">
        <f t="shared" si="220"/>
        <v>0</v>
      </c>
      <c r="DR133" s="1170">
        <f t="shared" si="220"/>
        <v>0</v>
      </c>
    </row>
    <row r="134" spans="1:127" x14ac:dyDescent="0.35">
      <c r="A134" s="685"/>
      <c r="B134" s="446" t="s">
        <v>2225</v>
      </c>
      <c r="C134" s="1157"/>
      <c r="D134" s="1157"/>
      <c r="E134" s="1157"/>
      <c r="F134" s="1157"/>
      <c r="G134" s="1157"/>
      <c r="H134" s="1157"/>
      <c r="I134" s="1157"/>
      <c r="J134" s="1157"/>
      <c r="K134" s="1157"/>
      <c r="L134" s="1157"/>
      <c r="M134" s="1157">
        <f t="shared" ref="M134:AR134" si="221">LOOKUP(M105,SerieÅR,Serie_Utslipparealbeslag)*-1000</f>
        <v>0</v>
      </c>
      <c r="N134" s="1157">
        <f t="shared" si="221"/>
        <v>0</v>
      </c>
      <c r="O134" s="1157">
        <f t="shared" si="221"/>
        <v>0</v>
      </c>
      <c r="P134" s="1157">
        <f t="shared" si="221"/>
        <v>0</v>
      </c>
      <c r="Q134" s="1157">
        <f t="shared" si="221"/>
        <v>0</v>
      </c>
      <c r="R134" s="1157">
        <f t="shared" si="221"/>
        <v>0</v>
      </c>
      <c r="S134" s="1157">
        <f t="shared" si="221"/>
        <v>0</v>
      </c>
      <c r="T134" s="1157">
        <f t="shared" si="221"/>
        <v>0</v>
      </c>
      <c r="U134" s="1157">
        <f t="shared" si="221"/>
        <v>0</v>
      </c>
      <c r="V134" s="1157">
        <f t="shared" si="221"/>
        <v>0</v>
      </c>
      <c r="W134" s="1157">
        <f t="shared" si="221"/>
        <v>0</v>
      </c>
      <c r="X134" s="1157">
        <f t="shared" si="221"/>
        <v>0</v>
      </c>
      <c r="Y134" s="1157">
        <f t="shared" si="221"/>
        <v>0</v>
      </c>
      <c r="Z134" s="1157">
        <f t="shared" si="221"/>
        <v>0</v>
      </c>
      <c r="AA134" s="1157">
        <f t="shared" si="221"/>
        <v>0</v>
      </c>
      <c r="AB134" s="1157">
        <f t="shared" si="221"/>
        <v>0</v>
      </c>
      <c r="AC134" s="1157">
        <f t="shared" si="221"/>
        <v>0</v>
      </c>
      <c r="AD134" s="1157">
        <f t="shared" si="221"/>
        <v>0</v>
      </c>
      <c r="AE134" s="1157">
        <f t="shared" si="221"/>
        <v>0</v>
      </c>
      <c r="AF134" s="1157">
        <f t="shared" si="221"/>
        <v>0</v>
      </c>
      <c r="AG134" s="1157">
        <f t="shared" si="221"/>
        <v>0</v>
      </c>
      <c r="AH134" s="1157">
        <f t="shared" si="221"/>
        <v>0</v>
      </c>
      <c r="AI134" s="1157">
        <f t="shared" si="221"/>
        <v>0</v>
      </c>
      <c r="AJ134" s="1157">
        <f t="shared" si="221"/>
        <v>0</v>
      </c>
      <c r="AK134" s="1157">
        <f t="shared" si="221"/>
        <v>0</v>
      </c>
      <c r="AL134" s="1157">
        <f t="shared" si="221"/>
        <v>0</v>
      </c>
      <c r="AM134" s="1157">
        <f t="shared" si="221"/>
        <v>0</v>
      </c>
      <c r="AN134" s="1157">
        <f t="shared" si="221"/>
        <v>0</v>
      </c>
      <c r="AO134" s="1157">
        <f t="shared" si="221"/>
        <v>0</v>
      </c>
      <c r="AP134" s="1157">
        <f t="shared" si="221"/>
        <v>0</v>
      </c>
      <c r="AQ134" s="1157">
        <f t="shared" si="221"/>
        <v>0</v>
      </c>
      <c r="AR134" s="1157">
        <f t="shared" si="221"/>
        <v>0</v>
      </c>
      <c r="AS134" s="1157">
        <f t="shared" ref="AS134:BX134" si="222">LOOKUP(AS105,SerieÅR,Serie_Utslipparealbeslag)*-1000</f>
        <v>0</v>
      </c>
      <c r="AT134" s="1157">
        <f t="shared" si="222"/>
        <v>0</v>
      </c>
      <c r="AU134" s="1157">
        <f t="shared" si="222"/>
        <v>0</v>
      </c>
      <c r="AV134" s="1157">
        <f t="shared" si="222"/>
        <v>0</v>
      </c>
      <c r="AW134" s="1157">
        <f t="shared" si="222"/>
        <v>0</v>
      </c>
      <c r="AX134" s="1157">
        <f t="shared" si="222"/>
        <v>0</v>
      </c>
      <c r="AY134" s="1157">
        <f t="shared" si="222"/>
        <v>0</v>
      </c>
      <c r="AZ134" s="1157">
        <f t="shared" si="222"/>
        <v>0</v>
      </c>
      <c r="BA134" s="1157">
        <f t="shared" si="222"/>
        <v>0</v>
      </c>
      <c r="BB134" s="1157">
        <f t="shared" si="222"/>
        <v>0</v>
      </c>
      <c r="BC134" s="1157">
        <f t="shared" si="222"/>
        <v>0</v>
      </c>
      <c r="BD134" s="1157">
        <f t="shared" si="222"/>
        <v>0</v>
      </c>
      <c r="BE134" s="1157">
        <f t="shared" si="222"/>
        <v>0</v>
      </c>
      <c r="BF134" s="1157">
        <f t="shared" si="222"/>
        <v>0</v>
      </c>
      <c r="BG134" s="1157">
        <f t="shared" si="222"/>
        <v>0</v>
      </c>
      <c r="BH134" s="1157">
        <f t="shared" si="222"/>
        <v>0</v>
      </c>
      <c r="BI134" s="1157">
        <f t="shared" si="222"/>
        <v>0</v>
      </c>
      <c r="BJ134" s="1157">
        <f t="shared" si="222"/>
        <v>0</v>
      </c>
      <c r="BK134" s="1157">
        <f t="shared" si="222"/>
        <v>0</v>
      </c>
      <c r="BL134" s="1157">
        <f t="shared" si="222"/>
        <v>0</v>
      </c>
      <c r="BM134" s="1157">
        <f t="shared" si="222"/>
        <v>0</v>
      </c>
      <c r="BN134" s="1157">
        <f t="shared" si="222"/>
        <v>0</v>
      </c>
      <c r="BO134" s="1157">
        <f t="shared" si="222"/>
        <v>0</v>
      </c>
      <c r="BP134" s="1157">
        <f t="shared" si="222"/>
        <v>0</v>
      </c>
      <c r="BQ134" s="1157">
        <f t="shared" si="222"/>
        <v>0</v>
      </c>
      <c r="BR134" s="1157">
        <f t="shared" si="222"/>
        <v>0</v>
      </c>
      <c r="BS134" s="1157">
        <f t="shared" si="222"/>
        <v>0</v>
      </c>
      <c r="BT134" s="1157">
        <f t="shared" si="222"/>
        <v>0</v>
      </c>
      <c r="BU134" s="1157">
        <f t="shared" si="222"/>
        <v>0</v>
      </c>
      <c r="BV134" s="1157">
        <f t="shared" si="222"/>
        <v>0</v>
      </c>
      <c r="BW134" s="1157">
        <f t="shared" si="222"/>
        <v>0</v>
      </c>
      <c r="BX134" s="1157">
        <f t="shared" si="222"/>
        <v>0</v>
      </c>
      <c r="BY134" s="1157">
        <f t="shared" ref="BY134:DD134" si="223">LOOKUP(BY105,SerieÅR,Serie_Utslipparealbeslag)*-1000</f>
        <v>0</v>
      </c>
      <c r="BZ134" s="1157">
        <f t="shared" si="223"/>
        <v>0</v>
      </c>
      <c r="CA134" s="1157">
        <f t="shared" si="223"/>
        <v>0</v>
      </c>
      <c r="CB134" s="1157">
        <f t="shared" si="223"/>
        <v>0</v>
      </c>
      <c r="CC134" s="1157">
        <f t="shared" si="223"/>
        <v>0</v>
      </c>
      <c r="CD134" s="1157">
        <f t="shared" si="223"/>
        <v>0</v>
      </c>
      <c r="CE134" s="1157">
        <f t="shared" si="223"/>
        <v>0</v>
      </c>
      <c r="CF134" s="1157">
        <f t="shared" si="223"/>
        <v>0</v>
      </c>
      <c r="CG134" s="1157">
        <f t="shared" si="223"/>
        <v>0</v>
      </c>
      <c r="CH134" s="1157">
        <f t="shared" si="223"/>
        <v>0</v>
      </c>
      <c r="CI134" s="1157">
        <f t="shared" si="223"/>
        <v>0</v>
      </c>
      <c r="CJ134" s="1157">
        <f t="shared" si="223"/>
        <v>0</v>
      </c>
      <c r="CK134" s="1157">
        <f t="shared" si="223"/>
        <v>0</v>
      </c>
      <c r="CL134" s="1157">
        <f t="shared" si="223"/>
        <v>0</v>
      </c>
      <c r="CM134" s="1157">
        <f t="shared" si="223"/>
        <v>0</v>
      </c>
      <c r="CN134" s="1157">
        <f t="shared" si="223"/>
        <v>0</v>
      </c>
      <c r="CO134" s="1157">
        <f t="shared" si="223"/>
        <v>0</v>
      </c>
      <c r="CP134" s="1157">
        <f t="shared" si="223"/>
        <v>0</v>
      </c>
      <c r="CQ134" s="1157">
        <f t="shared" si="223"/>
        <v>0</v>
      </c>
      <c r="CR134" s="1157">
        <f t="shared" si="223"/>
        <v>0</v>
      </c>
      <c r="CS134" s="1157">
        <f t="shared" si="223"/>
        <v>0</v>
      </c>
      <c r="CT134" s="1157">
        <f t="shared" si="223"/>
        <v>0</v>
      </c>
      <c r="CU134" s="1157">
        <f t="shared" si="223"/>
        <v>0</v>
      </c>
      <c r="CV134" s="1157">
        <f t="shared" si="223"/>
        <v>0</v>
      </c>
      <c r="CW134" s="1157">
        <f t="shared" si="223"/>
        <v>0</v>
      </c>
      <c r="CX134" s="1157">
        <f t="shared" si="223"/>
        <v>0</v>
      </c>
      <c r="CY134" s="1157">
        <f t="shared" si="223"/>
        <v>0</v>
      </c>
      <c r="CZ134" s="1157">
        <f t="shared" si="223"/>
        <v>0</v>
      </c>
      <c r="DA134" s="1157">
        <f t="shared" si="223"/>
        <v>0</v>
      </c>
      <c r="DB134" s="1157">
        <f t="shared" si="223"/>
        <v>0</v>
      </c>
      <c r="DC134" s="1157">
        <f t="shared" si="223"/>
        <v>0</v>
      </c>
      <c r="DD134" s="1157">
        <f t="shared" si="223"/>
        <v>0</v>
      </c>
      <c r="DE134" s="1157">
        <f t="shared" ref="DE134:DR134" si="224">LOOKUP(DE105,SerieÅR,Serie_Utslipparealbeslag)*-1000</f>
        <v>0</v>
      </c>
      <c r="DF134" s="1157">
        <f t="shared" si="224"/>
        <v>0</v>
      </c>
      <c r="DG134" s="1157">
        <f t="shared" si="224"/>
        <v>0</v>
      </c>
      <c r="DH134" s="1157">
        <f t="shared" si="224"/>
        <v>0</v>
      </c>
      <c r="DI134" s="1157">
        <f t="shared" si="224"/>
        <v>0</v>
      </c>
      <c r="DJ134" s="1157">
        <f t="shared" si="224"/>
        <v>0</v>
      </c>
      <c r="DK134" s="1157">
        <f t="shared" si="224"/>
        <v>0</v>
      </c>
      <c r="DL134" s="1157">
        <f t="shared" si="224"/>
        <v>0</v>
      </c>
      <c r="DM134" s="1157">
        <f t="shared" si="224"/>
        <v>0</v>
      </c>
      <c r="DN134" s="1157">
        <f t="shared" si="224"/>
        <v>0</v>
      </c>
      <c r="DO134" s="1157">
        <f t="shared" si="224"/>
        <v>0</v>
      </c>
      <c r="DP134" s="1157">
        <f t="shared" si="224"/>
        <v>0</v>
      </c>
      <c r="DQ134" s="1157">
        <f t="shared" si="224"/>
        <v>0</v>
      </c>
      <c r="DR134" s="1170">
        <f t="shared" si="224"/>
        <v>0</v>
      </c>
    </row>
    <row r="135" spans="1:127" x14ac:dyDescent="0.35">
      <c r="A135" s="685"/>
      <c r="B135" t="s">
        <v>2226</v>
      </c>
      <c r="DR135" s="686"/>
    </row>
    <row r="136" spans="1:127" x14ac:dyDescent="0.35">
      <c r="A136" s="685"/>
      <c r="DR136" s="686"/>
    </row>
    <row r="137" spans="1:127" x14ac:dyDescent="0.35">
      <c r="A137" s="685"/>
      <c r="DR137" s="686"/>
    </row>
    <row r="138" spans="1:127" x14ac:dyDescent="0.35">
      <c r="A138" s="685"/>
      <c r="B138" s="485" t="s">
        <v>2052</v>
      </c>
      <c r="C138" s="485" t="str">
        <f>IF(OR(A142,A143,A144,A145,A146,A147,A149),"SANN","USANN")</f>
        <v>SANN</v>
      </c>
      <c r="D138" s="485" t="str">
        <f>IF(OR(A154,A155),"SANN","USANN")</f>
        <v>SANN</v>
      </c>
      <c r="E138" s="485"/>
      <c r="F138" s="485"/>
      <c r="G138" s="485"/>
      <c r="DR138" s="686"/>
    </row>
    <row r="139" spans="1:127" x14ac:dyDescent="0.35">
      <c r="A139" s="685"/>
      <c r="B139" s="485" t="s">
        <v>2200</v>
      </c>
      <c r="C139" s="485" t="str">
        <f>"Utvikling i CO2-utslipp, kg (venstre akse) og CO2-prisbane (høyre akse) ("&amp;KroneårIBeregninger&amp;"-kr)"</f>
        <v>Utvikling i CO2-utslipp, kg (venstre akse) og CO2-prisbane (høyre akse) (-kr)</v>
      </c>
      <c r="D139" s="485"/>
      <c r="E139" s="485"/>
      <c r="F139" s="485"/>
      <c r="G139" s="485"/>
      <c r="DR139" s="686"/>
    </row>
    <row r="140" spans="1:127" x14ac:dyDescent="0.35">
      <c r="A140" s="685" t="s">
        <v>2026</v>
      </c>
      <c r="B140" t="s">
        <v>2027</v>
      </c>
      <c r="C140" t="s">
        <v>2227</v>
      </c>
      <c r="D140" t="s">
        <v>2228</v>
      </c>
      <c r="E140" t="s">
        <v>2229</v>
      </c>
      <c r="F140" t="s">
        <v>2230</v>
      </c>
      <c r="G140" t="s">
        <v>2231</v>
      </c>
      <c r="H140" t="s">
        <v>2232</v>
      </c>
      <c r="I140" t="s">
        <v>2233</v>
      </c>
      <c r="J140" t="s">
        <v>2234</v>
      </c>
      <c r="K140" t="s">
        <v>2235</v>
      </c>
      <c r="L140" t="s">
        <v>2236</v>
      </c>
      <c r="M140" t="s">
        <v>2237</v>
      </c>
      <c r="N140" t="s">
        <v>2238</v>
      </c>
      <c r="O140" t="s">
        <v>2239</v>
      </c>
      <c r="P140" t="s">
        <v>2240</v>
      </c>
      <c r="Q140" t="s">
        <v>2241</v>
      </c>
      <c r="R140" t="s">
        <v>2242</v>
      </c>
      <c r="S140" t="s">
        <v>2243</v>
      </c>
      <c r="T140" t="s">
        <v>2244</v>
      </c>
      <c r="U140" t="s">
        <v>2245</v>
      </c>
      <c r="V140" t="s">
        <v>2246</v>
      </c>
      <c r="W140" t="s">
        <v>2028</v>
      </c>
      <c r="X140" t="s">
        <v>2029</v>
      </c>
      <c r="Y140" t="s">
        <v>2055</v>
      </c>
      <c r="Z140" t="s">
        <v>2056</v>
      </c>
      <c r="AA140" t="s">
        <v>2057</v>
      </c>
      <c r="AB140" t="s">
        <v>2058</v>
      </c>
      <c r="AC140" t="s">
        <v>2059</v>
      </c>
      <c r="AD140" t="s">
        <v>2061</v>
      </c>
      <c r="AE140" t="s">
        <v>2062</v>
      </c>
      <c r="AF140" t="s">
        <v>2043</v>
      </c>
      <c r="AG140" t="s">
        <v>2044</v>
      </c>
      <c r="AH140" t="s">
        <v>2042</v>
      </c>
      <c r="AI140" t="s">
        <v>2063</v>
      </c>
      <c r="AJ140" t="s">
        <v>2064</v>
      </c>
      <c r="AK140" t="s">
        <v>2065</v>
      </c>
      <c r="AL140" t="s">
        <v>2066</v>
      </c>
      <c r="AM140" t="s">
        <v>2067</v>
      </c>
      <c r="AN140" t="s">
        <v>2068</v>
      </c>
      <c r="AO140" t="s">
        <v>2069</v>
      </c>
      <c r="AP140" t="s">
        <v>2070</v>
      </c>
      <c r="AQ140" t="s">
        <v>2071</v>
      </c>
      <c r="AR140" t="s">
        <v>2072</v>
      </c>
      <c r="AS140" t="s">
        <v>2073</v>
      </c>
      <c r="AT140" t="s">
        <v>2074</v>
      </c>
      <c r="AU140" t="s">
        <v>2075</v>
      </c>
      <c r="AV140" t="s">
        <v>2076</v>
      </c>
      <c r="AW140" t="s">
        <v>2077</v>
      </c>
      <c r="AX140" t="s">
        <v>2078</v>
      </c>
      <c r="AY140" t="s">
        <v>2079</v>
      </c>
      <c r="AZ140" t="s">
        <v>2080</v>
      </c>
      <c r="BA140" t="s">
        <v>2081</v>
      </c>
      <c r="BB140" t="s">
        <v>2082</v>
      </c>
      <c r="BC140" t="s">
        <v>2083</v>
      </c>
      <c r="BD140" t="s">
        <v>2084</v>
      </c>
      <c r="BE140" t="s">
        <v>2085</v>
      </c>
      <c r="BF140" t="s">
        <v>2086</v>
      </c>
      <c r="BG140" t="s">
        <v>2087</v>
      </c>
      <c r="BH140" t="s">
        <v>2088</v>
      </c>
      <c r="BI140" t="s">
        <v>2089</v>
      </c>
      <c r="BJ140" t="s">
        <v>2090</v>
      </c>
      <c r="BK140" t="s">
        <v>2091</v>
      </c>
      <c r="BL140" t="s">
        <v>2092</v>
      </c>
      <c r="BM140" t="s">
        <v>2093</v>
      </c>
      <c r="BN140" t="s">
        <v>2094</v>
      </c>
      <c r="BO140" t="s">
        <v>2095</v>
      </c>
      <c r="BP140" t="s">
        <v>2096</v>
      </c>
      <c r="BQ140" t="s">
        <v>2097</v>
      </c>
      <c r="BR140" t="s">
        <v>2098</v>
      </c>
      <c r="BS140" t="s">
        <v>2099</v>
      </c>
      <c r="BT140" t="s">
        <v>2100</v>
      </c>
      <c r="BU140" t="s">
        <v>2101</v>
      </c>
      <c r="BV140" t="s">
        <v>2102</v>
      </c>
      <c r="BW140" t="s">
        <v>2103</v>
      </c>
      <c r="BX140" t="s">
        <v>2104</v>
      </c>
      <c r="BY140" t="s">
        <v>2105</v>
      </c>
      <c r="BZ140" t="s">
        <v>2106</v>
      </c>
      <c r="CA140" t="s">
        <v>2107</v>
      </c>
      <c r="CB140" t="s">
        <v>2108</v>
      </c>
      <c r="CC140" t="s">
        <v>2109</v>
      </c>
      <c r="CD140" t="s">
        <v>2110</v>
      </c>
      <c r="CE140" t="s">
        <v>2111</v>
      </c>
      <c r="CF140" t="s">
        <v>2112</v>
      </c>
      <c r="CG140" t="s">
        <v>2113</v>
      </c>
      <c r="CH140" t="s">
        <v>2114</v>
      </c>
      <c r="CI140" t="s">
        <v>2115</v>
      </c>
      <c r="CJ140" t="s">
        <v>2116</v>
      </c>
      <c r="CK140" t="s">
        <v>2117</v>
      </c>
      <c r="CL140" t="s">
        <v>2118</v>
      </c>
      <c r="CM140" t="s">
        <v>2119</v>
      </c>
      <c r="CN140" t="s">
        <v>2120</v>
      </c>
      <c r="CO140" t="s">
        <v>2121</v>
      </c>
      <c r="CP140" t="s">
        <v>2122</v>
      </c>
      <c r="CQ140" t="s">
        <v>2123</v>
      </c>
      <c r="CR140" t="s">
        <v>2124</v>
      </c>
      <c r="CS140" s="686" t="s">
        <v>2125</v>
      </c>
      <c r="CT140" s="686" t="s">
        <v>2247</v>
      </c>
      <c r="CU140" s="686" t="s">
        <v>2248</v>
      </c>
      <c r="CV140" s="686" t="s">
        <v>2249</v>
      </c>
      <c r="CW140" s="686" t="s">
        <v>2250</v>
      </c>
      <c r="CX140" s="686" t="s">
        <v>2251</v>
      </c>
      <c r="CY140" s="686" t="s">
        <v>2252</v>
      </c>
      <c r="CZ140" s="686" t="s">
        <v>2253</v>
      </c>
      <c r="DA140" s="686" t="s">
        <v>2254</v>
      </c>
      <c r="DB140" s="686" t="s">
        <v>2255</v>
      </c>
      <c r="DC140" s="686" t="s">
        <v>2256</v>
      </c>
      <c r="DD140" s="686" t="s">
        <v>2257</v>
      </c>
      <c r="DE140" s="686" t="s">
        <v>2258</v>
      </c>
      <c r="DF140" s="686" t="s">
        <v>2259</v>
      </c>
      <c r="DG140" s="686" t="s">
        <v>2260</v>
      </c>
      <c r="DH140" s="686" t="s">
        <v>2261</v>
      </c>
      <c r="DI140" s="686" t="s">
        <v>2262</v>
      </c>
      <c r="DJ140" s="686" t="s">
        <v>2263</v>
      </c>
      <c r="DK140" s="686" t="s">
        <v>2264</v>
      </c>
      <c r="DL140" s="686" t="s">
        <v>2265</v>
      </c>
      <c r="DM140" s="686" t="s">
        <v>2266</v>
      </c>
      <c r="DN140" s="686" t="s">
        <v>2267</v>
      </c>
      <c r="DO140" s="686" t="s">
        <v>2268</v>
      </c>
      <c r="DP140" s="686" t="s">
        <v>2269</v>
      </c>
      <c r="DQ140" s="686" t="s">
        <v>2270</v>
      </c>
      <c r="DR140" s="686" t="s">
        <v>2271</v>
      </c>
      <c r="DS140" t="s">
        <v>2126</v>
      </c>
      <c r="DT140" t="s">
        <v>2127</v>
      </c>
      <c r="DU140" t="s">
        <v>2128</v>
      </c>
      <c r="DV140" t="s">
        <v>2129</v>
      </c>
      <c r="DW140" t="s">
        <v>2130</v>
      </c>
    </row>
    <row r="141" spans="1:127" x14ac:dyDescent="0.35">
      <c r="A141" s="685" t="s">
        <v>2159</v>
      </c>
      <c r="B141" t="str">
        <f>B105</f>
        <v>År</v>
      </c>
      <c r="M141">
        <f>'3.1 Nyttestrøm'!M10</f>
        <v>-10</v>
      </c>
      <c r="N141">
        <f>'3.1 Nyttestrøm'!N10</f>
        <v>-9</v>
      </c>
      <c r="O141">
        <f>'3.1 Nyttestrøm'!O10</f>
        <v>-8</v>
      </c>
      <c r="P141">
        <f>'3.1 Nyttestrøm'!P10</f>
        <v>-7</v>
      </c>
      <c r="Q141">
        <f>'3.1 Nyttestrøm'!Q10</f>
        <v>-6</v>
      </c>
      <c r="R141">
        <f>'3.1 Nyttestrøm'!R10</f>
        <v>-5</v>
      </c>
      <c r="S141">
        <f>'3.1 Nyttestrøm'!S10</f>
        <v>-4</v>
      </c>
      <c r="T141">
        <f>'3.1 Nyttestrøm'!T10</f>
        <v>-3</v>
      </c>
      <c r="U141">
        <f>'3.1 Nyttestrøm'!U10</f>
        <v>-2</v>
      </c>
      <c r="V141">
        <f>'3.1 Nyttestrøm'!V10</f>
        <v>-1</v>
      </c>
      <c r="W141">
        <f>'3.1 Nyttestrøm'!W10</f>
        <v>0</v>
      </c>
      <c r="X141">
        <f>'3.1 Nyttestrøm'!X10</f>
        <v>1</v>
      </c>
      <c r="Y141">
        <f>'3.1 Nyttestrøm'!Y10</f>
        <v>2</v>
      </c>
      <c r="Z141">
        <f>'3.1 Nyttestrøm'!Z10</f>
        <v>3</v>
      </c>
      <c r="AA141">
        <f>'3.1 Nyttestrøm'!AA10</f>
        <v>4</v>
      </c>
      <c r="AB141">
        <f>'3.1 Nyttestrøm'!AB10</f>
        <v>5</v>
      </c>
      <c r="AC141">
        <f>'3.1 Nyttestrøm'!AC10</f>
        <v>6</v>
      </c>
      <c r="AD141">
        <f>'3.1 Nyttestrøm'!AD10</f>
        <v>7</v>
      </c>
      <c r="AE141">
        <f>'3.1 Nyttestrøm'!AE10</f>
        <v>8</v>
      </c>
      <c r="AF141">
        <f>'3.1 Nyttestrøm'!AF10</f>
        <v>9</v>
      </c>
      <c r="AG141">
        <f>'3.1 Nyttestrøm'!AG10</f>
        <v>10</v>
      </c>
      <c r="AH141">
        <f>'3.1 Nyttestrøm'!AH10</f>
        <v>11</v>
      </c>
      <c r="AI141">
        <f>'3.1 Nyttestrøm'!AI10</f>
        <v>12</v>
      </c>
      <c r="AJ141">
        <f>'3.1 Nyttestrøm'!AJ10</f>
        <v>13</v>
      </c>
      <c r="AK141">
        <f>'3.1 Nyttestrøm'!AK10</f>
        <v>14</v>
      </c>
      <c r="AL141">
        <f>'3.1 Nyttestrøm'!AL10</f>
        <v>15</v>
      </c>
      <c r="AM141">
        <f>'3.1 Nyttestrøm'!AM10</f>
        <v>16</v>
      </c>
      <c r="AN141">
        <f>'3.1 Nyttestrøm'!AN10</f>
        <v>17</v>
      </c>
      <c r="AO141">
        <f>'3.1 Nyttestrøm'!AO10</f>
        <v>18</v>
      </c>
      <c r="AP141">
        <f>'3.1 Nyttestrøm'!AP10</f>
        <v>19</v>
      </c>
      <c r="AQ141">
        <f>'3.1 Nyttestrøm'!AQ10</f>
        <v>20</v>
      </c>
      <c r="AR141">
        <f>'3.1 Nyttestrøm'!AR10</f>
        <v>21</v>
      </c>
      <c r="AS141">
        <f>'3.1 Nyttestrøm'!AS10</f>
        <v>22</v>
      </c>
      <c r="AT141">
        <f>'3.1 Nyttestrøm'!AT10</f>
        <v>23</v>
      </c>
      <c r="AU141">
        <f>'3.1 Nyttestrøm'!AU10</f>
        <v>24</v>
      </c>
      <c r="AV141">
        <f>'3.1 Nyttestrøm'!AV10</f>
        <v>25</v>
      </c>
      <c r="AW141">
        <f>'3.1 Nyttestrøm'!AW10</f>
        <v>26</v>
      </c>
      <c r="AX141">
        <f>'3.1 Nyttestrøm'!AX10</f>
        <v>27</v>
      </c>
      <c r="AY141">
        <f>'3.1 Nyttestrøm'!AY10</f>
        <v>28</v>
      </c>
      <c r="AZ141">
        <f>'3.1 Nyttestrøm'!AZ10</f>
        <v>29</v>
      </c>
      <c r="BA141">
        <f>'3.1 Nyttestrøm'!BA10</f>
        <v>30</v>
      </c>
      <c r="BB141">
        <f>'3.1 Nyttestrøm'!BB10</f>
        <v>31</v>
      </c>
      <c r="BC141">
        <f>'3.1 Nyttestrøm'!BC10</f>
        <v>32</v>
      </c>
      <c r="BD141">
        <f>'3.1 Nyttestrøm'!BD10</f>
        <v>33</v>
      </c>
      <c r="BE141">
        <f>'3.1 Nyttestrøm'!BE10</f>
        <v>34</v>
      </c>
      <c r="BF141">
        <f>'3.1 Nyttestrøm'!BF10</f>
        <v>35</v>
      </c>
      <c r="BG141">
        <f>'3.1 Nyttestrøm'!BG10</f>
        <v>36</v>
      </c>
      <c r="BH141">
        <f>'3.1 Nyttestrøm'!BH10</f>
        <v>37</v>
      </c>
      <c r="BI141">
        <f>'3.1 Nyttestrøm'!BI10</f>
        <v>38</v>
      </c>
      <c r="BJ141">
        <f>'3.1 Nyttestrøm'!BJ10</f>
        <v>39</v>
      </c>
      <c r="BK141">
        <f>'3.1 Nyttestrøm'!BK10</f>
        <v>40</v>
      </c>
      <c r="BL141">
        <f>'3.1 Nyttestrøm'!BL10</f>
        <v>41</v>
      </c>
      <c r="BM141">
        <f>'3.1 Nyttestrøm'!BM10</f>
        <v>42</v>
      </c>
      <c r="BN141">
        <f>'3.1 Nyttestrøm'!BN10</f>
        <v>43</v>
      </c>
      <c r="BO141">
        <f>'3.1 Nyttestrøm'!BO10</f>
        <v>44</v>
      </c>
      <c r="BP141">
        <f>'3.1 Nyttestrøm'!BP10</f>
        <v>45</v>
      </c>
      <c r="BQ141">
        <f>'3.1 Nyttestrøm'!BQ10</f>
        <v>46</v>
      </c>
      <c r="BR141">
        <f>'3.1 Nyttestrøm'!BR10</f>
        <v>47</v>
      </c>
      <c r="BS141">
        <f>'3.1 Nyttestrøm'!BS10</f>
        <v>48</v>
      </c>
      <c r="BT141">
        <f>'3.1 Nyttestrøm'!BT10</f>
        <v>49</v>
      </c>
      <c r="BU141">
        <f>'3.1 Nyttestrøm'!BU10</f>
        <v>50</v>
      </c>
      <c r="BV141">
        <f>'3.1 Nyttestrøm'!BV10</f>
        <v>51</v>
      </c>
      <c r="BW141">
        <f>'3.1 Nyttestrøm'!BW10</f>
        <v>52</v>
      </c>
      <c r="BX141">
        <f>'3.1 Nyttestrøm'!BX10</f>
        <v>53</v>
      </c>
      <c r="BY141">
        <f>'3.1 Nyttestrøm'!BY10</f>
        <v>54</v>
      </c>
      <c r="BZ141">
        <f>'3.1 Nyttestrøm'!BZ10</f>
        <v>55</v>
      </c>
      <c r="CA141">
        <f>'3.1 Nyttestrøm'!CA10</f>
        <v>56</v>
      </c>
      <c r="CB141">
        <f>'3.1 Nyttestrøm'!CB10</f>
        <v>57</v>
      </c>
      <c r="CC141">
        <f>'3.1 Nyttestrøm'!CC10</f>
        <v>58</v>
      </c>
      <c r="CD141">
        <f>'3.1 Nyttestrøm'!CD10</f>
        <v>59</v>
      </c>
      <c r="CE141">
        <f>'3.1 Nyttestrøm'!CE10</f>
        <v>60</v>
      </c>
      <c r="CF141">
        <f>'3.1 Nyttestrøm'!CF10</f>
        <v>61</v>
      </c>
      <c r="CG141">
        <f>'3.1 Nyttestrøm'!CG10</f>
        <v>62</v>
      </c>
      <c r="CH141">
        <f>'3.1 Nyttestrøm'!CH10</f>
        <v>63</v>
      </c>
      <c r="CI141">
        <f>'3.1 Nyttestrøm'!CI10</f>
        <v>64</v>
      </c>
      <c r="CJ141">
        <f>'3.1 Nyttestrøm'!CJ10</f>
        <v>65</v>
      </c>
      <c r="CK141">
        <f>'3.1 Nyttestrøm'!CK10</f>
        <v>66</v>
      </c>
      <c r="CL141">
        <f>'3.1 Nyttestrøm'!CL10</f>
        <v>67</v>
      </c>
      <c r="CM141">
        <f>'3.1 Nyttestrøm'!CM10</f>
        <v>68</v>
      </c>
      <c r="CN141">
        <f>'3.1 Nyttestrøm'!CN10</f>
        <v>69</v>
      </c>
      <c r="CO141">
        <f>'3.1 Nyttestrøm'!CO10</f>
        <v>70</v>
      </c>
      <c r="CP141">
        <f>'3.1 Nyttestrøm'!CP10</f>
        <v>71</v>
      </c>
      <c r="CQ141">
        <f>'3.1 Nyttestrøm'!CQ10</f>
        <v>72</v>
      </c>
      <c r="CR141">
        <f>'3.1 Nyttestrøm'!CR10</f>
        <v>73</v>
      </c>
      <c r="CS141">
        <f>'3.1 Nyttestrøm'!CS10</f>
        <v>74</v>
      </c>
      <c r="CT141">
        <f>'3.1 Nyttestrøm'!CT10</f>
        <v>75</v>
      </c>
      <c r="CU141">
        <f>'3.1 Nyttestrøm'!CU10</f>
        <v>76</v>
      </c>
      <c r="CV141">
        <f>'3.1 Nyttestrøm'!CV10</f>
        <v>77</v>
      </c>
      <c r="CW141">
        <f>'3.1 Nyttestrøm'!CW10</f>
        <v>78</v>
      </c>
      <c r="CX141">
        <f>'3.1 Nyttestrøm'!CX10</f>
        <v>79</v>
      </c>
      <c r="CY141">
        <f>'3.1 Nyttestrøm'!CY10</f>
        <v>80</v>
      </c>
      <c r="CZ141">
        <f>'3.1 Nyttestrøm'!CZ10</f>
        <v>81</v>
      </c>
      <c r="DA141">
        <f>'3.1 Nyttestrøm'!DA10</f>
        <v>82</v>
      </c>
      <c r="DB141">
        <f>'3.1 Nyttestrøm'!DB10</f>
        <v>83</v>
      </c>
      <c r="DC141">
        <f>'3.1 Nyttestrøm'!DC10</f>
        <v>84</v>
      </c>
      <c r="DD141">
        <f>'3.1 Nyttestrøm'!DD10</f>
        <v>85</v>
      </c>
      <c r="DE141">
        <f>'3.1 Nyttestrøm'!DE10</f>
        <v>86</v>
      </c>
      <c r="DF141">
        <f>'3.1 Nyttestrøm'!DF10</f>
        <v>87</v>
      </c>
      <c r="DG141">
        <f>'3.1 Nyttestrøm'!DG10</f>
        <v>88</v>
      </c>
      <c r="DH141">
        <f>'3.1 Nyttestrøm'!DH10</f>
        <v>89</v>
      </c>
      <c r="DI141">
        <f>'3.1 Nyttestrøm'!DI10</f>
        <v>90</v>
      </c>
      <c r="DJ141">
        <f>'3.1 Nyttestrøm'!DJ10</f>
        <v>91</v>
      </c>
      <c r="DK141">
        <f>'3.1 Nyttestrøm'!DK10</f>
        <v>92</v>
      </c>
      <c r="DL141">
        <f>'3.1 Nyttestrøm'!DL10</f>
        <v>93</v>
      </c>
      <c r="DM141">
        <f>'3.1 Nyttestrøm'!DM10</f>
        <v>94</v>
      </c>
      <c r="DN141">
        <f>'3.1 Nyttestrøm'!DN10</f>
        <v>95</v>
      </c>
      <c r="DO141">
        <f>'3.1 Nyttestrøm'!DO10</f>
        <v>96</v>
      </c>
      <c r="DP141">
        <f>'3.1 Nyttestrøm'!DP10</f>
        <v>97</v>
      </c>
      <c r="DQ141">
        <f>'3.1 Nyttestrøm'!DQ10</f>
        <v>98</v>
      </c>
      <c r="DR141" s="686">
        <f>'3.1 Nyttestrøm'!DR10</f>
        <v>99</v>
      </c>
    </row>
    <row r="142" spans="1:127" x14ac:dyDescent="0.35">
      <c r="A142" s="685" t="b">
        <v>1</v>
      </c>
      <c r="B142" t="str">
        <f>'3.1 Nyttestrøm'!C76</f>
        <v>Jernbane - Persontog</v>
      </c>
      <c r="V142">
        <f t="shared" ref="V142:BA142" si="225">IFERROR(IF($A142,V124),NA())</f>
        <v>0</v>
      </c>
      <c r="W142" t="e">
        <f t="shared" ca="1" si="225"/>
        <v>#N/A</v>
      </c>
      <c r="X142" t="e">
        <f t="shared" ca="1" si="225"/>
        <v>#N/A</v>
      </c>
      <c r="Y142" t="e">
        <f t="shared" ca="1" si="225"/>
        <v>#N/A</v>
      </c>
      <c r="Z142" t="e">
        <f t="shared" ca="1" si="225"/>
        <v>#N/A</v>
      </c>
      <c r="AA142" t="e">
        <f t="shared" ca="1" si="225"/>
        <v>#N/A</v>
      </c>
      <c r="AB142" t="e">
        <f t="shared" ca="1" si="225"/>
        <v>#N/A</v>
      </c>
      <c r="AC142" t="e">
        <f t="shared" ca="1" si="225"/>
        <v>#N/A</v>
      </c>
      <c r="AD142" t="e">
        <f t="shared" ca="1" si="225"/>
        <v>#N/A</v>
      </c>
      <c r="AE142" t="e">
        <f t="shared" ca="1" si="225"/>
        <v>#N/A</v>
      </c>
      <c r="AF142" t="e">
        <f t="shared" ca="1" si="225"/>
        <v>#N/A</v>
      </c>
      <c r="AG142" t="e">
        <f t="shared" ca="1" si="225"/>
        <v>#N/A</v>
      </c>
      <c r="AH142" t="e">
        <f t="shared" ca="1" si="225"/>
        <v>#N/A</v>
      </c>
      <c r="AI142" t="e">
        <f t="shared" ca="1" si="225"/>
        <v>#N/A</v>
      </c>
      <c r="AJ142" t="e">
        <f t="shared" ca="1" si="225"/>
        <v>#N/A</v>
      </c>
      <c r="AK142" t="e">
        <f t="shared" ca="1" si="225"/>
        <v>#N/A</v>
      </c>
      <c r="AL142" t="e">
        <f t="shared" ca="1" si="225"/>
        <v>#N/A</v>
      </c>
      <c r="AM142" t="e">
        <f t="shared" ca="1" si="225"/>
        <v>#N/A</v>
      </c>
      <c r="AN142" t="e">
        <f t="shared" ca="1" si="225"/>
        <v>#N/A</v>
      </c>
      <c r="AO142" t="e">
        <f t="shared" ca="1" si="225"/>
        <v>#N/A</v>
      </c>
      <c r="AP142" t="e">
        <f t="shared" ca="1" si="225"/>
        <v>#N/A</v>
      </c>
      <c r="AQ142" t="e">
        <f t="shared" ca="1" si="225"/>
        <v>#N/A</v>
      </c>
      <c r="AR142" t="e">
        <f t="shared" ca="1" si="225"/>
        <v>#N/A</v>
      </c>
      <c r="AS142" t="e">
        <f t="shared" ca="1" si="225"/>
        <v>#N/A</v>
      </c>
      <c r="AT142" t="e">
        <f t="shared" ca="1" si="225"/>
        <v>#N/A</v>
      </c>
      <c r="AU142" t="e">
        <f t="shared" ca="1" si="225"/>
        <v>#N/A</v>
      </c>
      <c r="AV142" t="e">
        <f t="shared" ca="1" si="225"/>
        <v>#N/A</v>
      </c>
      <c r="AW142" t="e">
        <f t="shared" ca="1" si="225"/>
        <v>#N/A</v>
      </c>
      <c r="AX142" t="e">
        <f t="shared" ca="1" si="225"/>
        <v>#N/A</v>
      </c>
      <c r="AY142" t="e">
        <f t="shared" ca="1" si="225"/>
        <v>#N/A</v>
      </c>
      <c r="AZ142" t="e">
        <f t="shared" ca="1" si="225"/>
        <v>#N/A</v>
      </c>
      <c r="BA142" t="e">
        <f t="shared" ca="1" si="225"/>
        <v>#N/A</v>
      </c>
      <c r="BB142" t="e">
        <f t="shared" ref="BB142:CG142" ca="1" si="226">IFERROR(IF($A142,BB124),NA())</f>
        <v>#N/A</v>
      </c>
      <c r="BC142" t="e">
        <f t="shared" ca="1" si="226"/>
        <v>#N/A</v>
      </c>
      <c r="BD142" t="e">
        <f t="shared" ca="1" si="226"/>
        <v>#N/A</v>
      </c>
      <c r="BE142" t="e">
        <f t="shared" ca="1" si="226"/>
        <v>#N/A</v>
      </c>
      <c r="BF142" t="e">
        <f t="shared" ca="1" si="226"/>
        <v>#N/A</v>
      </c>
      <c r="BG142" t="e">
        <f t="shared" ca="1" si="226"/>
        <v>#N/A</v>
      </c>
      <c r="BH142" t="e">
        <f t="shared" ca="1" si="226"/>
        <v>#N/A</v>
      </c>
      <c r="BI142" t="e">
        <f t="shared" ca="1" si="226"/>
        <v>#N/A</v>
      </c>
      <c r="BJ142" t="e">
        <f t="shared" ca="1" si="226"/>
        <v>#N/A</v>
      </c>
      <c r="BK142" t="e">
        <f t="shared" ca="1" si="226"/>
        <v>#N/A</v>
      </c>
      <c r="BL142" t="e">
        <f t="shared" ca="1" si="226"/>
        <v>#N/A</v>
      </c>
      <c r="BM142" t="e">
        <f t="shared" ca="1" si="226"/>
        <v>#N/A</v>
      </c>
      <c r="BN142" t="e">
        <f t="shared" ca="1" si="226"/>
        <v>#N/A</v>
      </c>
      <c r="BO142" t="e">
        <f t="shared" ca="1" si="226"/>
        <v>#N/A</v>
      </c>
      <c r="BP142" t="e">
        <f t="shared" ca="1" si="226"/>
        <v>#N/A</v>
      </c>
      <c r="BQ142" t="e">
        <f t="shared" ca="1" si="226"/>
        <v>#N/A</v>
      </c>
      <c r="BR142" t="e">
        <f t="shared" ca="1" si="226"/>
        <v>#N/A</v>
      </c>
      <c r="BS142" t="e">
        <f t="shared" ca="1" si="226"/>
        <v>#N/A</v>
      </c>
      <c r="BT142" t="e">
        <f t="shared" ca="1" si="226"/>
        <v>#N/A</v>
      </c>
      <c r="BU142" t="e">
        <f t="shared" ca="1" si="226"/>
        <v>#N/A</v>
      </c>
      <c r="BV142" t="e">
        <f t="shared" ca="1" si="226"/>
        <v>#N/A</v>
      </c>
      <c r="BW142" t="e">
        <f t="shared" ca="1" si="226"/>
        <v>#N/A</v>
      </c>
      <c r="BX142" t="e">
        <f t="shared" ca="1" si="226"/>
        <v>#N/A</v>
      </c>
      <c r="BY142" t="e">
        <f t="shared" ca="1" si="226"/>
        <v>#N/A</v>
      </c>
      <c r="BZ142" t="e">
        <f t="shared" ca="1" si="226"/>
        <v>#N/A</v>
      </c>
      <c r="CA142" t="e">
        <f t="shared" ca="1" si="226"/>
        <v>#N/A</v>
      </c>
      <c r="CB142" t="e">
        <f t="shared" ca="1" si="226"/>
        <v>#N/A</v>
      </c>
      <c r="CC142" t="e">
        <f t="shared" ca="1" si="226"/>
        <v>#N/A</v>
      </c>
      <c r="CD142" t="e">
        <f t="shared" ca="1" si="226"/>
        <v>#N/A</v>
      </c>
      <c r="CE142" t="e">
        <f t="shared" ca="1" si="226"/>
        <v>#N/A</v>
      </c>
      <c r="CF142" t="e">
        <f t="shared" ca="1" si="226"/>
        <v>#N/A</v>
      </c>
      <c r="CG142" t="e">
        <f t="shared" ca="1" si="226"/>
        <v>#N/A</v>
      </c>
      <c r="CH142" t="e">
        <f t="shared" ref="CH142:CS142" ca="1" si="227">IFERROR(IF($A142,CH124),NA())</f>
        <v>#N/A</v>
      </c>
      <c r="CI142" t="e">
        <f t="shared" ca="1" si="227"/>
        <v>#N/A</v>
      </c>
      <c r="CJ142" t="e">
        <f t="shared" ca="1" si="227"/>
        <v>#N/A</v>
      </c>
      <c r="CK142" t="e">
        <f t="shared" ca="1" si="227"/>
        <v>#N/A</v>
      </c>
      <c r="CL142" t="e">
        <f t="shared" ca="1" si="227"/>
        <v>#N/A</v>
      </c>
      <c r="CM142" t="e">
        <f t="shared" ca="1" si="227"/>
        <v>#N/A</v>
      </c>
      <c r="CN142" t="e">
        <f t="shared" ca="1" si="227"/>
        <v>#N/A</v>
      </c>
      <c r="CO142" t="e">
        <f t="shared" ca="1" si="227"/>
        <v>#N/A</v>
      </c>
      <c r="CP142" t="e">
        <f t="shared" ca="1" si="227"/>
        <v>#N/A</v>
      </c>
      <c r="CQ142" t="e">
        <f t="shared" ca="1" si="227"/>
        <v>#N/A</v>
      </c>
      <c r="CR142" t="e">
        <f t="shared" ca="1" si="227"/>
        <v>#N/A</v>
      </c>
      <c r="CS142" t="e">
        <f t="shared" ca="1" si="227"/>
        <v>#N/A</v>
      </c>
      <c r="CT142" t="e">
        <f t="shared" ref="CT142:DR142" ca="1" si="228">IFERROR(IF($A142,CT124),NA())</f>
        <v>#N/A</v>
      </c>
      <c r="CU142" t="e">
        <f t="shared" ca="1" si="228"/>
        <v>#N/A</v>
      </c>
      <c r="CV142" t="e">
        <f t="shared" ca="1" si="228"/>
        <v>#N/A</v>
      </c>
      <c r="CW142" t="e">
        <f t="shared" ca="1" si="228"/>
        <v>#N/A</v>
      </c>
      <c r="CX142" t="e">
        <f t="shared" ca="1" si="228"/>
        <v>#N/A</v>
      </c>
      <c r="CY142" t="e">
        <f t="shared" ca="1" si="228"/>
        <v>#N/A</v>
      </c>
      <c r="CZ142" t="e">
        <f t="shared" ca="1" si="228"/>
        <v>#N/A</v>
      </c>
      <c r="DA142" t="e">
        <f t="shared" ca="1" si="228"/>
        <v>#N/A</v>
      </c>
      <c r="DB142" t="e">
        <f t="shared" ca="1" si="228"/>
        <v>#N/A</v>
      </c>
      <c r="DC142" t="e">
        <f t="shared" ca="1" si="228"/>
        <v>#N/A</v>
      </c>
      <c r="DD142" t="e">
        <f t="shared" ca="1" si="228"/>
        <v>#N/A</v>
      </c>
      <c r="DE142" t="e">
        <f t="shared" ca="1" si="228"/>
        <v>#N/A</v>
      </c>
      <c r="DF142" t="e">
        <f t="shared" ca="1" si="228"/>
        <v>#N/A</v>
      </c>
      <c r="DG142" t="e">
        <f t="shared" ca="1" si="228"/>
        <v>#N/A</v>
      </c>
      <c r="DH142" t="e">
        <f t="shared" ca="1" si="228"/>
        <v>#N/A</v>
      </c>
      <c r="DI142" t="e">
        <f t="shared" ca="1" si="228"/>
        <v>#N/A</v>
      </c>
      <c r="DJ142" t="e">
        <f t="shared" ca="1" si="228"/>
        <v>#N/A</v>
      </c>
      <c r="DK142" t="e">
        <f t="shared" ca="1" si="228"/>
        <v>#N/A</v>
      </c>
      <c r="DL142" t="e">
        <f t="shared" ca="1" si="228"/>
        <v>#N/A</v>
      </c>
      <c r="DM142" t="e">
        <f t="shared" ca="1" si="228"/>
        <v>#N/A</v>
      </c>
      <c r="DN142" t="e">
        <f t="shared" ca="1" si="228"/>
        <v>#N/A</v>
      </c>
      <c r="DO142" t="e">
        <f t="shared" ca="1" si="228"/>
        <v>#N/A</v>
      </c>
      <c r="DP142" t="e">
        <f t="shared" ca="1" si="228"/>
        <v>#N/A</v>
      </c>
      <c r="DQ142" t="e">
        <f t="shared" ca="1" si="228"/>
        <v>#N/A</v>
      </c>
      <c r="DR142" s="686" t="e">
        <f t="shared" ca="1" si="228"/>
        <v>#N/A</v>
      </c>
    </row>
    <row r="143" spans="1:127" x14ac:dyDescent="0.35">
      <c r="A143" s="685" t="b">
        <v>1</v>
      </c>
      <c r="B143" t="str">
        <f>'3.1 Nyttestrøm'!C77</f>
        <v>Jernbane - Godstog</v>
      </c>
      <c r="V143">
        <f t="shared" ref="V143:BA143" si="229">IFERROR(IF($A143,V125),NA())</f>
        <v>0</v>
      </c>
      <c r="W143" t="e">
        <f t="shared" ca="1" si="229"/>
        <v>#N/A</v>
      </c>
      <c r="X143" t="e">
        <f t="shared" ca="1" si="229"/>
        <v>#N/A</v>
      </c>
      <c r="Y143" t="e">
        <f t="shared" ca="1" si="229"/>
        <v>#N/A</v>
      </c>
      <c r="Z143" t="e">
        <f t="shared" ca="1" si="229"/>
        <v>#N/A</v>
      </c>
      <c r="AA143" t="e">
        <f t="shared" ca="1" si="229"/>
        <v>#N/A</v>
      </c>
      <c r="AB143" t="e">
        <f t="shared" ca="1" si="229"/>
        <v>#N/A</v>
      </c>
      <c r="AC143" t="e">
        <f t="shared" ca="1" si="229"/>
        <v>#N/A</v>
      </c>
      <c r="AD143" t="e">
        <f t="shared" ca="1" si="229"/>
        <v>#N/A</v>
      </c>
      <c r="AE143" t="e">
        <f t="shared" ca="1" si="229"/>
        <v>#N/A</v>
      </c>
      <c r="AF143" t="e">
        <f t="shared" ca="1" si="229"/>
        <v>#N/A</v>
      </c>
      <c r="AG143" t="e">
        <f t="shared" ca="1" si="229"/>
        <v>#N/A</v>
      </c>
      <c r="AH143" t="e">
        <f t="shared" ca="1" si="229"/>
        <v>#N/A</v>
      </c>
      <c r="AI143" t="e">
        <f t="shared" ca="1" si="229"/>
        <v>#N/A</v>
      </c>
      <c r="AJ143" t="e">
        <f t="shared" ca="1" si="229"/>
        <v>#N/A</v>
      </c>
      <c r="AK143" t="e">
        <f t="shared" ca="1" si="229"/>
        <v>#N/A</v>
      </c>
      <c r="AL143" t="e">
        <f t="shared" ca="1" si="229"/>
        <v>#N/A</v>
      </c>
      <c r="AM143" t="e">
        <f t="shared" ca="1" si="229"/>
        <v>#N/A</v>
      </c>
      <c r="AN143" t="e">
        <f t="shared" ca="1" si="229"/>
        <v>#N/A</v>
      </c>
      <c r="AO143" t="e">
        <f t="shared" ca="1" si="229"/>
        <v>#N/A</v>
      </c>
      <c r="AP143" t="e">
        <f t="shared" ca="1" si="229"/>
        <v>#N/A</v>
      </c>
      <c r="AQ143" t="e">
        <f t="shared" ca="1" si="229"/>
        <v>#N/A</v>
      </c>
      <c r="AR143" t="e">
        <f t="shared" ca="1" si="229"/>
        <v>#N/A</v>
      </c>
      <c r="AS143" t="e">
        <f t="shared" ca="1" si="229"/>
        <v>#N/A</v>
      </c>
      <c r="AT143" t="e">
        <f t="shared" ca="1" si="229"/>
        <v>#N/A</v>
      </c>
      <c r="AU143" t="e">
        <f t="shared" ca="1" si="229"/>
        <v>#N/A</v>
      </c>
      <c r="AV143" t="e">
        <f t="shared" ca="1" si="229"/>
        <v>#N/A</v>
      </c>
      <c r="AW143" t="e">
        <f t="shared" ca="1" si="229"/>
        <v>#N/A</v>
      </c>
      <c r="AX143" t="e">
        <f t="shared" ca="1" si="229"/>
        <v>#N/A</v>
      </c>
      <c r="AY143" t="e">
        <f t="shared" ca="1" si="229"/>
        <v>#N/A</v>
      </c>
      <c r="AZ143" t="e">
        <f t="shared" ca="1" si="229"/>
        <v>#N/A</v>
      </c>
      <c r="BA143" t="e">
        <f t="shared" ca="1" si="229"/>
        <v>#N/A</v>
      </c>
      <c r="BB143" t="e">
        <f t="shared" ref="BB143:CG143" ca="1" si="230">IFERROR(IF($A143,BB125),NA())</f>
        <v>#N/A</v>
      </c>
      <c r="BC143" t="e">
        <f t="shared" ca="1" si="230"/>
        <v>#N/A</v>
      </c>
      <c r="BD143" t="e">
        <f t="shared" ca="1" si="230"/>
        <v>#N/A</v>
      </c>
      <c r="BE143" t="e">
        <f t="shared" ca="1" si="230"/>
        <v>#N/A</v>
      </c>
      <c r="BF143" t="e">
        <f t="shared" ca="1" si="230"/>
        <v>#N/A</v>
      </c>
      <c r="BG143" t="e">
        <f t="shared" ca="1" si="230"/>
        <v>#N/A</v>
      </c>
      <c r="BH143" t="e">
        <f t="shared" ca="1" si="230"/>
        <v>#N/A</v>
      </c>
      <c r="BI143" t="e">
        <f t="shared" ca="1" si="230"/>
        <v>#N/A</v>
      </c>
      <c r="BJ143" t="e">
        <f t="shared" ca="1" si="230"/>
        <v>#N/A</v>
      </c>
      <c r="BK143" t="e">
        <f t="shared" ca="1" si="230"/>
        <v>#N/A</v>
      </c>
      <c r="BL143" t="e">
        <f t="shared" ca="1" si="230"/>
        <v>#N/A</v>
      </c>
      <c r="BM143" t="e">
        <f t="shared" ca="1" si="230"/>
        <v>#N/A</v>
      </c>
      <c r="BN143" t="e">
        <f t="shared" ca="1" si="230"/>
        <v>#N/A</v>
      </c>
      <c r="BO143" t="e">
        <f t="shared" ca="1" si="230"/>
        <v>#N/A</v>
      </c>
      <c r="BP143" t="e">
        <f t="shared" ca="1" si="230"/>
        <v>#N/A</v>
      </c>
      <c r="BQ143" t="e">
        <f t="shared" ca="1" si="230"/>
        <v>#N/A</v>
      </c>
      <c r="BR143" t="e">
        <f t="shared" ca="1" si="230"/>
        <v>#N/A</v>
      </c>
      <c r="BS143" t="e">
        <f t="shared" ca="1" si="230"/>
        <v>#N/A</v>
      </c>
      <c r="BT143" t="e">
        <f t="shared" ca="1" si="230"/>
        <v>#N/A</v>
      </c>
      <c r="BU143" t="e">
        <f t="shared" ca="1" si="230"/>
        <v>#N/A</v>
      </c>
      <c r="BV143" t="e">
        <f t="shared" ca="1" si="230"/>
        <v>#N/A</v>
      </c>
      <c r="BW143" t="e">
        <f t="shared" ca="1" si="230"/>
        <v>#N/A</v>
      </c>
      <c r="BX143" t="e">
        <f t="shared" ca="1" si="230"/>
        <v>#N/A</v>
      </c>
      <c r="BY143" t="e">
        <f t="shared" ca="1" si="230"/>
        <v>#N/A</v>
      </c>
      <c r="BZ143" t="e">
        <f t="shared" ca="1" si="230"/>
        <v>#N/A</v>
      </c>
      <c r="CA143" t="e">
        <f t="shared" ca="1" si="230"/>
        <v>#N/A</v>
      </c>
      <c r="CB143" t="e">
        <f t="shared" ca="1" si="230"/>
        <v>#N/A</v>
      </c>
      <c r="CC143" t="e">
        <f t="shared" ca="1" si="230"/>
        <v>#N/A</v>
      </c>
      <c r="CD143" t="e">
        <f t="shared" ca="1" si="230"/>
        <v>#N/A</v>
      </c>
      <c r="CE143" t="e">
        <f t="shared" ca="1" si="230"/>
        <v>#N/A</v>
      </c>
      <c r="CF143" t="e">
        <f t="shared" ca="1" si="230"/>
        <v>#N/A</v>
      </c>
      <c r="CG143" t="e">
        <f t="shared" ca="1" si="230"/>
        <v>#N/A</v>
      </c>
      <c r="CH143" t="e">
        <f t="shared" ref="CH143:CS143" ca="1" si="231">IFERROR(IF($A143,CH125),NA())</f>
        <v>#N/A</v>
      </c>
      <c r="CI143" t="e">
        <f t="shared" ca="1" si="231"/>
        <v>#N/A</v>
      </c>
      <c r="CJ143" t="e">
        <f t="shared" ca="1" si="231"/>
        <v>#N/A</v>
      </c>
      <c r="CK143" t="e">
        <f t="shared" ca="1" si="231"/>
        <v>#N/A</v>
      </c>
      <c r="CL143" t="e">
        <f t="shared" ca="1" si="231"/>
        <v>#N/A</v>
      </c>
      <c r="CM143" t="e">
        <f t="shared" ca="1" si="231"/>
        <v>#N/A</v>
      </c>
      <c r="CN143" t="e">
        <f t="shared" ca="1" si="231"/>
        <v>#N/A</v>
      </c>
      <c r="CO143" t="e">
        <f t="shared" ca="1" si="231"/>
        <v>#N/A</v>
      </c>
      <c r="CP143" t="e">
        <f t="shared" ca="1" si="231"/>
        <v>#N/A</v>
      </c>
      <c r="CQ143" t="e">
        <f t="shared" ca="1" si="231"/>
        <v>#N/A</v>
      </c>
      <c r="CR143" t="e">
        <f t="shared" ca="1" si="231"/>
        <v>#N/A</v>
      </c>
      <c r="CS143" t="e">
        <f t="shared" ca="1" si="231"/>
        <v>#N/A</v>
      </c>
      <c r="CT143" t="e">
        <f t="shared" ref="CT143:DR143" ca="1" si="232">IFERROR(IF($A143,CT125),NA())</f>
        <v>#N/A</v>
      </c>
      <c r="CU143" t="e">
        <f t="shared" ca="1" si="232"/>
        <v>#N/A</v>
      </c>
      <c r="CV143" t="e">
        <f t="shared" ca="1" si="232"/>
        <v>#N/A</v>
      </c>
      <c r="CW143" t="e">
        <f t="shared" ca="1" si="232"/>
        <v>#N/A</v>
      </c>
      <c r="CX143" t="e">
        <f t="shared" ca="1" si="232"/>
        <v>#N/A</v>
      </c>
      <c r="CY143" t="e">
        <f t="shared" ca="1" si="232"/>
        <v>#N/A</v>
      </c>
      <c r="CZ143" t="e">
        <f t="shared" ca="1" si="232"/>
        <v>#N/A</v>
      </c>
      <c r="DA143" t="e">
        <f t="shared" ca="1" si="232"/>
        <v>#N/A</v>
      </c>
      <c r="DB143" t="e">
        <f t="shared" ca="1" si="232"/>
        <v>#N/A</v>
      </c>
      <c r="DC143" t="e">
        <f t="shared" ca="1" si="232"/>
        <v>#N/A</v>
      </c>
      <c r="DD143" t="e">
        <f t="shared" ca="1" si="232"/>
        <v>#N/A</v>
      </c>
      <c r="DE143" t="e">
        <f t="shared" ca="1" si="232"/>
        <v>#N/A</v>
      </c>
      <c r="DF143" t="e">
        <f t="shared" ca="1" si="232"/>
        <v>#N/A</v>
      </c>
      <c r="DG143" t="e">
        <f t="shared" ca="1" si="232"/>
        <v>#N/A</v>
      </c>
      <c r="DH143" t="e">
        <f t="shared" ca="1" si="232"/>
        <v>#N/A</v>
      </c>
      <c r="DI143" t="e">
        <f t="shared" ca="1" si="232"/>
        <v>#N/A</v>
      </c>
      <c r="DJ143" t="e">
        <f t="shared" ca="1" si="232"/>
        <v>#N/A</v>
      </c>
      <c r="DK143" t="e">
        <f t="shared" ca="1" si="232"/>
        <v>#N/A</v>
      </c>
      <c r="DL143" t="e">
        <f t="shared" ca="1" si="232"/>
        <v>#N/A</v>
      </c>
      <c r="DM143" t="e">
        <f t="shared" ca="1" si="232"/>
        <v>#N/A</v>
      </c>
      <c r="DN143" t="e">
        <f t="shared" ca="1" si="232"/>
        <v>#N/A</v>
      </c>
      <c r="DO143" t="e">
        <f t="shared" ca="1" si="232"/>
        <v>#N/A</v>
      </c>
      <c r="DP143" t="e">
        <f t="shared" ca="1" si="232"/>
        <v>#N/A</v>
      </c>
      <c r="DQ143" t="e">
        <f t="shared" ca="1" si="232"/>
        <v>#N/A</v>
      </c>
      <c r="DR143" s="686" t="e">
        <f t="shared" ca="1" si="232"/>
        <v>#N/A</v>
      </c>
    </row>
    <row r="144" spans="1:127" x14ac:dyDescent="0.35">
      <c r="A144" s="685" t="b">
        <v>1</v>
      </c>
      <c r="B144" t="str">
        <f>'3.1 Nyttestrøm'!C78</f>
        <v>Personbil</v>
      </c>
      <c r="V144">
        <f t="shared" ref="V144:BA144" si="233">IFERROR(IF($A144,V126),NA())</f>
        <v>0</v>
      </c>
      <c r="W144" t="e">
        <f t="shared" ca="1" si="233"/>
        <v>#N/A</v>
      </c>
      <c r="X144" t="e">
        <f t="shared" ca="1" si="233"/>
        <v>#N/A</v>
      </c>
      <c r="Y144" t="e">
        <f t="shared" ca="1" si="233"/>
        <v>#N/A</v>
      </c>
      <c r="Z144" t="e">
        <f t="shared" ca="1" si="233"/>
        <v>#N/A</v>
      </c>
      <c r="AA144" t="e">
        <f t="shared" ca="1" si="233"/>
        <v>#N/A</v>
      </c>
      <c r="AB144" t="e">
        <f t="shared" ca="1" si="233"/>
        <v>#N/A</v>
      </c>
      <c r="AC144" t="e">
        <f t="shared" ca="1" si="233"/>
        <v>#N/A</v>
      </c>
      <c r="AD144" t="e">
        <f t="shared" ca="1" si="233"/>
        <v>#N/A</v>
      </c>
      <c r="AE144" t="e">
        <f t="shared" ca="1" si="233"/>
        <v>#N/A</v>
      </c>
      <c r="AF144" t="e">
        <f t="shared" ca="1" si="233"/>
        <v>#N/A</v>
      </c>
      <c r="AG144" t="e">
        <f t="shared" ca="1" si="233"/>
        <v>#N/A</v>
      </c>
      <c r="AH144" t="e">
        <f t="shared" ca="1" si="233"/>
        <v>#N/A</v>
      </c>
      <c r="AI144" t="e">
        <f t="shared" ca="1" si="233"/>
        <v>#N/A</v>
      </c>
      <c r="AJ144" t="e">
        <f t="shared" ca="1" si="233"/>
        <v>#N/A</v>
      </c>
      <c r="AK144" t="e">
        <f t="shared" ca="1" si="233"/>
        <v>#N/A</v>
      </c>
      <c r="AL144" t="e">
        <f t="shared" ca="1" si="233"/>
        <v>#N/A</v>
      </c>
      <c r="AM144" t="e">
        <f t="shared" ca="1" si="233"/>
        <v>#N/A</v>
      </c>
      <c r="AN144" t="e">
        <f t="shared" ca="1" si="233"/>
        <v>#N/A</v>
      </c>
      <c r="AO144" t="e">
        <f t="shared" ca="1" si="233"/>
        <v>#N/A</v>
      </c>
      <c r="AP144" t="e">
        <f t="shared" ca="1" si="233"/>
        <v>#N/A</v>
      </c>
      <c r="AQ144" t="e">
        <f t="shared" ca="1" si="233"/>
        <v>#N/A</v>
      </c>
      <c r="AR144" t="e">
        <f t="shared" ca="1" si="233"/>
        <v>#N/A</v>
      </c>
      <c r="AS144" t="e">
        <f t="shared" ca="1" si="233"/>
        <v>#N/A</v>
      </c>
      <c r="AT144" t="e">
        <f t="shared" ca="1" si="233"/>
        <v>#N/A</v>
      </c>
      <c r="AU144" t="e">
        <f t="shared" ca="1" si="233"/>
        <v>#N/A</v>
      </c>
      <c r="AV144" t="e">
        <f t="shared" ca="1" si="233"/>
        <v>#N/A</v>
      </c>
      <c r="AW144" t="e">
        <f t="shared" ca="1" si="233"/>
        <v>#N/A</v>
      </c>
      <c r="AX144" t="e">
        <f t="shared" ca="1" si="233"/>
        <v>#N/A</v>
      </c>
      <c r="AY144" t="e">
        <f t="shared" ca="1" si="233"/>
        <v>#N/A</v>
      </c>
      <c r="AZ144" t="e">
        <f t="shared" ca="1" si="233"/>
        <v>#N/A</v>
      </c>
      <c r="BA144" t="e">
        <f t="shared" ca="1" si="233"/>
        <v>#N/A</v>
      </c>
      <c r="BB144" t="e">
        <f t="shared" ref="BB144:CG144" ca="1" si="234">IFERROR(IF($A144,BB126),NA())</f>
        <v>#N/A</v>
      </c>
      <c r="BC144" t="e">
        <f t="shared" ca="1" si="234"/>
        <v>#N/A</v>
      </c>
      <c r="BD144" t="e">
        <f t="shared" ca="1" si="234"/>
        <v>#N/A</v>
      </c>
      <c r="BE144" t="e">
        <f t="shared" ca="1" si="234"/>
        <v>#N/A</v>
      </c>
      <c r="BF144" t="e">
        <f t="shared" ca="1" si="234"/>
        <v>#N/A</v>
      </c>
      <c r="BG144" t="e">
        <f t="shared" ca="1" si="234"/>
        <v>#N/A</v>
      </c>
      <c r="BH144" t="e">
        <f t="shared" ca="1" si="234"/>
        <v>#N/A</v>
      </c>
      <c r="BI144" t="e">
        <f t="shared" ca="1" si="234"/>
        <v>#N/A</v>
      </c>
      <c r="BJ144" t="e">
        <f t="shared" ca="1" si="234"/>
        <v>#N/A</v>
      </c>
      <c r="BK144" t="e">
        <f t="shared" ca="1" si="234"/>
        <v>#N/A</v>
      </c>
      <c r="BL144" t="e">
        <f t="shared" ca="1" si="234"/>
        <v>#N/A</v>
      </c>
      <c r="BM144" t="e">
        <f t="shared" ca="1" si="234"/>
        <v>#N/A</v>
      </c>
      <c r="BN144" t="e">
        <f t="shared" ca="1" si="234"/>
        <v>#N/A</v>
      </c>
      <c r="BO144" t="e">
        <f t="shared" ca="1" si="234"/>
        <v>#N/A</v>
      </c>
      <c r="BP144" t="e">
        <f t="shared" ca="1" si="234"/>
        <v>#N/A</v>
      </c>
      <c r="BQ144" t="e">
        <f t="shared" ca="1" si="234"/>
        <v>#N/A</v>
      </c>
      <c r="BR144" t="e">
        <f t="shared" ca="1" si="234"/>
        <v>#N/A</v>
      </c>
      <c r="BS144" t="e">
        <f t="shared" ca="1" si="234"/>
        <v>#N/A</v>
      </c>
      <c r="BT144" t="e">
        <f t="shared" ca="1" si="234"/>
        <v>#N/A</v>
      </c>
      <c r="BU144" t="e">
        <f t="shared" ca="1" si="234"/>
        <v>#N/A</v>
      </c>
      <c r="BV144" t="e">
        <f t="shared" ca="1" si="234"/>
        <v>#N/A</v>
      </c>
      <c r="BW144" t="e">
        <f t="shared" ca="1" si="234"/>
        <v>#N/A</v>
      </c>
      <c r="BX144" t="e">
        <f t="shared" ca="1" si="234"/>
        <v>#N/A</v>
      </c>
      <c r="BY144" t="e">
        <f t="shared" ca="1" si="234"/>
        <v>#N/A</v>
      </c>
      <c r="BZ144" t="e">
        <f t="shared" ca="1" si="234"/>
        <v>#N/A</v>
      </c>
      <c r="CA144" t="e">
        <f t="shared" ca="1" si="234"/>
        <v>#N/A</v>
      </c>
      <c r="CB144" t="e">
        <f t="shared" ca="1" si="234"/>
        <v>#N/A</v>
      </c>
      <c r="CC144" t="e">
        <f t="shared" ca="1" si="234"/>
        <v>#N/A</v>
      </c>
      <c r="CD144" t="e">
        <f t="shared" ca="1" si="234"/>
        <v>#N/A</v>
      </c>
      <c r="CE144" t="e">
        <f t="shared" ca="1" si="234"/>
        <v>#N/A</v>
      </c>
      <c r="CF144" t="e">
        <f t="shared" ca="1" si="234"/>
        <v>#N/A</v>
      </c>
      <c r="CG144" t="e">
        <f t="shared" ca="1" si="234"/>
        <v>#N/A</v>
      </c>
      <c r="CH144" t="e">
        <f t="shared" ref="CH144:CS144" ca="1" si="235">IFERROR(IF($A144,CH126),NA())</f>
        <v>#N/A</v>
      </c>
      <c r="CI144" t="e">
        <f t="shared" ca="1" si="235"/>
        <v>#N/A</v>
      </c>
      <c r="CJ144" t="e">
        <f t="shared" ca="1" si="235"/>
        <v>#N/A</v>
      </c>
      <c r="CK144" t="e">
        <f t="shared" ca="1" si="235"/>
        <v>#N/A</v>
      </c>
      <c r="CL144" t="e">
        <f t="shared" ca="1" si="235"/>
        <v>#N/A</v>
      </c>
      <c r="CM144" t="e">
        <f t="shared" ca="1" si="235"/>
        <v>#N/A</v>
      </c>
      <c r="CN144" t="e">
        <f t="shared" ca="1" si="235"/>
        <v>#N/A</v>
      </c>
      <c r="CO144" t="e">
        <f t="shared" ca="1" si="235"/>
        <v>#N/A</v>
      </c>
      <c r="CP144" t="e">
        <f t="shared" ca="1" si="235"/>
        <v>#N/A</v>
      </c>
      <c r="CQ144" t="e">
        <f t="shared" ca="1" si="235"/>
        <v>#N/A</v>
      </c>
      <c r="CR144" t="e">
        <f t="shared" ca="1" si="235"/>
        <v>#N/A</v>
      </c>
      <c r="CS144" t="e">
        <f t="shared" ca="1" si="235"/>
        <v>#N/A</v>
      </c>
      <c r="CT144" t="e">
        <f t="shared" ref="CT144:DR144" ca="1" si="236">IFERROR(IF($A144,CT126),NA())</f>
        <v>#N/A</v>
      </c>
      <c r="CU144" t="e">
        <f t="shared" ca="1" si="236"/>
        <v>#N/A</v>
      </c>
      <c r="CV144" t="e">
        <f t="shared" ca="1" si="236"/>
        <v>#N/A</v>
      </c>
      <c r="CW144" t="e">
        <f t="shared" ca="1" si="236"/>
        <v>#N/A</v>
      </c>
      <c r="CX144" t="e">
        <f t="shared" ca="1" si="236"/>
        <v>#N/A</v>
      </c>
      <c r="CY144" t="e">
        <f t="shared" ca="1" si="236"/>
        <v>#N/A</v>
      </c>
      <c r="CZ144" t="e">
        <f t="shared" ca="1" si="236"/>
        <v>#N/A</v>
      </c>
      <c r="DA144" t="e">
        <f t="shared" ca="1" si="236"/>
        <v>#N/A</v>
      </c>
      <c r="DB144" t="e">
        <f t="shared" ca="1" si="236"/>
        <v>#N/A</v>
      </c>
      <c r="DC144" t="e">
        <f t="shared" ca="1" si="236"/>
        <v>#N/A</v>
      </c>
      <c r="DD144" t="e">
        <f t="shared" ca="1" si="236"/>
        <v>#N/A</v>
      </c>
      <c r="DE144" t="e">
        <f t="shared" ca="1" si="236"/>
        <v>#N/A</v>
      </c>
      <c r="DF144" t="e">
        <f t="shared" ca="1" si="236"/>
        <v>#N/A</v>
      </c>
      <c r="DG144" t="e">
        <f t="shared" ca="1" si="236"/>
        <v>#N/A</v>
      </c>
      <c r="DH144" t="e">
        <f t="shared" ca="1" si="236"/>
        <v>#N/A</v>
      </c>
      <c r="DI144" t="e">
        <f t="shared" ca="1" si="236"/>
        <v>#N/A</v>
      </c>
      <c r="DJ144" t="e">
        <f t="shared" ca="1" si="236"/>
        <v>#N/A</v>
      </c>
      <c r="DK144" t="e">
        <f t="shared" ca="1" si="236"/>
        <v>#N/A</v>
      </c>
      <c r="DL144" t="e">
        <f t="shared" ca="1" si="236"/>
        <v>#N/A</v>
      </c>
      <c r="DM144" t="e">
        <f t="shared" ca="1" si="236"/>
        <v>#N/A</v>
      </c>
      <c r="DN144" t="e">
        <f t="shared" ca="1" si="236"/>
        <v>#N/A</v>
      </c>
      <c r="DO144" t="e">
        <f t="shared" ca="1" si="236"/>
        <v>#N/A</v>
      </c>
      <c r="DP144" t="e">
        <f t="shared" ca="1" si="236"/>
        <v>#N/A</v>
      </c>
      <c r="DQ144" t="e">
        <f t="shared" ca="1" si="236"/>
        <v>#N/A</v>
      </c>
      <c r="DR144" s="686" t="e">
        <f t="shared" ca="1" si="236"/>
        <v>#N/A</v>
      </c>
    </row>
    <row r="145" spans="1:122" x14ac:dyDescent="0.35">
      <c r="A145" s="685" t="b">
        <v>1</v>
      </c>
      <c r="B145" t="str">
        <f>'3.1 Nyttestrøm'!C79</f>
        <v>Buss</v>
      </c>
      <c r="V145">
        <f t="shared" ref="V145:BA145" si="237">IFERROR(IF($A145,V127),NA())</f>
        <v>0</v>
      </c>
      <c r="W145" t="e">
        <f t="shared" ca="1" si="237"/>
        <v>#N/A</v>
      </c>
      <c r="X145" t="e">
        <f t="shared" ca="1" si="237"/>
        <v>#N/A</v>
      </c>
      <c r="Y145" t="e">
        <f t="shared" ca="1" si="237"/>
        <v>#N/A</v>
      </c>
      <c r="Z145" t="e">
        <f t="shared" ca="1" si="237"/>
        <v>#N/A</v>
      </c>
      <c r="AA145" t="e">
        <f t="shared" ca="1" si="237"/>
        <v>#N/A</v>
      </c>
      <c r="AB145" t="e">
        <f t="shared" ca="1" si="237"/>
        <v>#N/A</v>
      </c>
      <c r="AC145" t="e">
        <f t="shared" ca="1" si="237"/>
        <v>#N/A</v>
      </c>
      <c r="AD145" t="e">
        <f t="shared" ca="1" si="237"/>
        <v>#N/A</v>
      </c>
      <c r="AE145" t="e">
        <f t="shared" ca="1" si="237"/>
        <v>#N/A</v>
      </c>
      <c r="AF145" t="e">
        <f t="shared" ca="1" si="237"/>
        <v>#N/A</v>
      </c>
      <c r="AG145" t="e">
        <f t="shared" ca="1" si="237"/>
        <v>#N/A</v>
      </c>
      <c r="AH145" t="e">
        <f t="shared" ca="1" si="237"/>
        <v>#N/A</v>
      </c>
      <c r="AI145" t="e">
        <f t="shared" ca="1" si="237"/>
        <v>#N/A</v>
      </c>
      <c r="AJ145" t="e">
        <f t="shared" ca="1" si="237"/>
        <v>#N/A</v>
      </c>
      <c r="AK145" t="e">
        <f t="shared" ca="1" si="237"/>
        <v>#N/A</v>
      </c>
      <c r="AL145" t="e">
        <f t="shared" ca="1" si="237"/>
        <v>#N/A</v>
      </c>
      <c r="AM145" t="e">
        <f t="shared" ca="1" si="237"/>
        <v>#N/A</v>
      </c>
      <c r="AN145" t="e">
        <f t="shared" ca="1" si="237"/>
        <v>#N/A</v>
      </c>
      <c r="AO145" t="e">
        <f t="shared" ca="1" si="237"/>
        <v>#N/A</v>
      </c>
      <c r="AP145" t="e">
        <f t="shared" ca="1" si="237"/>
        <v>#N/A</v>
      </c>
      <c r="AQ145" t="e">
        <f t="shared" ca="1" si="237"/>
        <v>#N/A</v>
      </c>
      <c r="AR145" t="e">
        <f t="shared" ca="1" si="237"/>
        <v>#N/A</v>
      </c>
      <c r="AS145" t="e">
        <f t="shared" ca="1" si="237"/>
        <v>#N/A</v>
      </c>
      <c r="AT145" t="e">
        <f t="shared" ca="1" si="237"/>
        <v>#N/A</v>
      </c>
      <c r="AU145" t="e">
        <f t="shared" ca="1" si="237"/>
        <v>#N/A</v>
      </c>
      <c r="AV145" t="e">
        <f t="shared" ca="1" si="237"/>
        <v>#N/A</v>
      </c>
      <c r="AW145" t="e">
        <f t="shared" ca="1" si="237"/>
        <v>#N/A</v>
      </c>
      <c r="AX145" t="e">
        <f t="shared" ca="1" si="237"/>
        <v>#N/A</v>
      </c>
      <c r="AY145" t="e">
        <f t="shared" ca="1" si="237"/>
        <v>#N/A</v>
      </c>
      <c r="AZ145" t="e">
        <f t="shared" ca="1" si="237"/>
        <v>#N/A</v>
      </c>
      <c r="BA145" t="e">
        <f t="shared" ca="1" si="237"/>
        <v>#N/A</v>
      </c>
      <c r="BB145" t="e">
        <f t="shared" ref="BB145:CG145" ca="1" si="238">IFERROR(IF($A145,BB127),NA())</f>
        <v>#N/A</v>
      </c>
      <c r="BC145" t="e">
        <f t="shared" ca="1" si="238"/>
        <v>#N/A</v>
      </c>
      <c r="BD145" t="e">
        <f t="shared" ca="1" si="238"/>
        <v>#N/A</v>
      </c>
      <c r="BE145" t="e">
        <f t="shared" ca="1" si="238"/>
        <v>#N/A</v>
      </c>
      <c r="BF145" t="e">
        <f t="shared" ca="1" si="238"/>
        <v>#N/A</v>
      </c>
      <c r="BG145" t="e">
        <f t="shared" ca="1" si="238"/>
        <v>#N/A</v>
      </c>
      <c r="BH145" t="e">
        <f t="shared" ca="1" si="238"/>
        <v>#N/A</v>
      </c>
      <c r="BI145" t="e">
        <f t="shared" ca="1" si="238"/>
        <v>#N/A</v>
      </c>
      <c r="BJ145" t="e">
        <f t="shared" ca="1" si="238"/>
        <v>#N/A</v>
      </c>
      <c r="BK145" t="e">
        <f t="shared" ca="1" si="238"/>
        <v>#N/A</v>
      </c>
      <c r="BL145" t="e">
        <f t="shared" ca="1" si="238"/>
        <v>#N/A</v>
      </c>
      <c r="BM145" t="e">
        <f t="shared" ca="1" si="238"/>
        <v>#N/A</v>
      </c>
      <c r="BN145" t="e">
        <f t="shared" ca="1" si="238"/>
        <v>#N/A</v>
      </c>
      <c r="BO145" t="e">
        <f t="shared" ca="1" si="238"/>
        <v>#N/A</v>
      </c>
      <c r="BP145" t="e">
        <f t="shared" ca="1" si="238"/>
        <v>#N/A</v>
      </c>
      <c r="BQ145" t="e">
        <f t="shared" ca="1" si="238"/>
        <v>#N/A</v>
      </c>
      <c r="BR145" t="e">
        <f t="shared" ca="1" si="238"/>
        <v>#N/A</v>
      </c>
      <c r="BS145" t="e">
        <f t="shared" ca="1" si="238"/>
        <v>#N/A</v>
      </c>
      <c r="BT145" t="e">
        <f t="shared" ca="1" si="238"/>
        <v>#N/A</v>
      </c>
      <c r="BU145" t="e">
        <f t="shared" ca="1" si="238"/>
        <v>#N/A</v>
      </c>
      <c r="BV145" t="e">
        <f t="shared" ca="1" si="238"/>
        <v>#N/A</v>
      </c>
      <c r="BW145" t="e">
        <f t="shared" ca="1" si="238"/>
        <v>#N/A</v>
      </c>
      <c r="BX145" t="e">
        <f t="shared" ca="1" si="238"/>
        <v>#N/A</v>
      </c>
      <c r="BY145" t="e">
        <f t="shared" ca="1" si="238"/>
        <v>#N/A</v>
      </c>
      <c r="BZ145" t="e">
        <f t="shared" ca="1" si="238"/>
        <v>#N/A</v>
      </c>
      <c r="CA145" t="e">
        <f t="shared" ca="1" si="238"/>
        <v>#N/A</v>
      </c>
      <c r="CB145" t="e">
        <f t="shared" ca="1" si="238"/>
        <v>#N/A</v>
      </c>
      <c r="CC145" t="e">
        <f t="shared" ca="1" si="238"/>
        <v>#N/A</v>
      </c>
      <c r="CD145" t="e">
        <f t="shared" ca="1" si="238"/>
        <v>#N/A</v>
      </c>
      <c r="CE145" t="e">
        <f t="shared" ca="1" si="238"/>
        <v>#N/A</v>
      </c>
      <c r="CF145" t="e">
        <f t="shared" ca="1" si="238"/>
        <v>#N/A</v>
      </c>
      <c r="CG145" t="e">
        <f t="shared" ca="1" si="238"/>
        <v>#N/A</v>
      </c>
      <c r="CH145" t="e">
        <f t="shared" ref="CH145:CS145" ca="1" si="239">IFERROR(IF($A145,CH127),NA())</f>
        <v>#N/A</v>
      </c>
      <c r="CI145" t="e">
        <f t="shared" ca="1" si="239"/>
        <v>#N/A</v>
      </c>
      <c r="CJ145" t="e">
        <f t="shared" ca="1" si="239"/>
        <v>#N/A</v>
      </c>
      <c r="CK145" t="e">
        <f t="shared" ca="1" si="239"/>
        <v>#N/A</v>
      </c>
      <c r="CL145" t="e">
        <f t="shared" ca="1" si="239"/>
        <v>#N/A</v>
      </c>
      <c r="CM145" t="e">
        <f t="shared" ca="1" si="239"/>
        <v>#N/A</v>
      </c>
      <c r="CN145" t="e">
        <f t="shared" ca="1" si="239"/>
        <v>#N/A</v>
      </c>
      <c r="CO145" t="e">
        <f t="shared" ca="1" si="239"/>
        <v>#N/A</v>
      </c>
      <c r="CP145" t="e">
        <f t="shared" ca="1" si="239"/>
        <v>#N/A</v>
      </c>
      <c r="CQ145" t="e">
        <f t="shared" ca="1" si="239"/>
        <v>#N/A</v>
      </c>
      <c r="CR145" t="e">
        <f t="shared" ca="1" si="239"/>
        <v>#N/A</v>
      </c>
      <c r="CS145" t="e">
        <f t="shared" ca="1" si="239"/>
        <v>#N/A</v>
      </c>
      <c r="CT145" t="e">
        <f t="shared" ref="CT145:DR145" ca="1" si="240">IFERROR(IF($A145,CT127),NA())</f>
        <v>#N/A</v>
      </c>
      <c r="CU145" t="e">
        <f t="shared" ca="1" si="240"/>
        <v>#N/A</v>
      </c>
      <c r="CV145" t="e">
        <f t="shared" ca="1" si="240"/>
        <v>#N/A</v>
      </c>
      <c r="CW145" t="e">
        <f t="shared" ca="1" si="240"/>
        <v>#N/A</v>
      </c>
      <c r="CX145" t="e">
        <f t="shared" ca="1" si="240"/>
        <v>#N/A</v>
      </c>
      <c r="CY145" t="e">
        <f t="shared" ca="1" si="240"/>
        <v>#N/A</v>
      </c>
      <c r="CZ145" t="e">
        <f t="shared" ca="1" si="240"/>
        <v>#N/A</v>
      </c>
      <c r="DA145" t="e">
        <f t="shared" ca="1" si="240"/>
        <v>#N/A</v>
      </c>
      <c r="DB145" t="e">
        <f t="shared" ca="1" si="240"/>
        <v>#N/A</v>
      </c>
      <c r="DC145" t="e">
        <f t="shared" ca="1" si="240"/>
        <v>#N/A</v>
      </c>
      <c r="DD145" t="e">
        <f t="shared" ca="1" si="240"/>
        <v>#N/A</v>
      </c>
      <c r="DE145" t="e">
        <f t="shared" ca="1" si="240"/>
        <v>#N/A</v>
      </c>
      <c r="DF145" t="e">
        <f t="shared" ca="1" si="240"/>
        <v>#N/A</v>
      </c>
      <c r="DG145" t="e">
        <f t="shared" ca="1" si="240"/>
        <v>#N/A</v>
      </c>
      <c r="DH145" t="e">
        <f t="shared" ca="1" si="240"/>
        <v>#N/A</v>
      </c>
      <c r="DI145" t="e">
        <f t="shared" ca="1" si="240"/>
        <v>#N/A</v>
      </c>
      <c r="DJ145" t="e">
        <f t="shared" ca="1" si="240"/>
        <v>#N/A</v>
      </c>
      <c r="DK145" t="e">
        <f t="shared" ca="1" si="240"/>
        <v>#N/A</v>
      </c>
      <c r="DL145" t="e">
        <f t="shared" ca="1" si="240"/>
        <v>#N/A</v>
      </c>
      <c r="DM145" t="e">
        <f t="shared" ca="1" si="240"/>
        <v>#N/A</v>
      </c>
      <c r="DN145" t="e">
        <f t="shared" ca="1" si="240"/>
        <v>#N/A</v>
      </c>
      <c r="DO145" t="e">
        <f t="shared" ca="1" si="240"/>
        <v>#N/A</v>
      </c>
      <c r="DP145" t="e">
        <f t="shared" ca="1" si="240"/>
        <v>#N/A</v>
      </c>
      <c r="DQ145" t="e">
        <f t="shared" ca="1" si="240"/>
        <v>#N/A</v>
      </c>
      <c r="DR145" s="686" t="e">
        <f t="shared" ca="1" si="240"/>
        <v>#N/A</v>
      </c>
    </row>
    <row r="146" spans="1:122" x14ac:dyDescent="0.35">
      <c r="A146" s="685" t="b">
        <v>1</v>
      </c>
      <c r="B146" t="str">
        <f>'3.1 Nyttestrøm'!C80</f>
        <v>Passasjerfly</v>
      </c>
      <c r="V146">
        <f t="shared" ref="V146:BA146" si="241">IFERROR(IF($A146,V128),NA())</f>
        <v>0</v>
      </c>
      <c r="W146" t="e">
        <f t="shared" ca="1" si="241"/>
        <v>#N/A</v>
      </c>
      <c r="X146" t="e">
        <f t="shared" ca="1" si="241"/>
        <v>#N/A</v>
      </c>
      <c r="Y146" t="e">
        <f t="shared" ca="1" si="241"/>
        <v>#N/A</v>
      </c>
      <c r="Z146" t="e">
        <f t="shared" ca="1" si="241"/>
        <v>#N/A</v>
      </c>
      <c r="AA146" t="e">
        <f t="shared" ca="1" si="241"/>
        <v>#N/A</v>
      </c>
      <c r="AB146" t="e">
        <f t="shared" ca="1" si="241"/>
        <v>#N/A</v>
      </c>
      <c r="AC146" t="e">
        <f t="shared" ca="1" si="241"/>
        <v>#N/A</v>
      </c>
      <c r="AD146" t="e">
        <f t="shared" ca="1" si="241"/>
        <v>#N/A</v>
      </c>
      <c r="AE146" t="e">
        <f t="shared" ca="1" si="241"/>
        <v>#N/A</v>
      </c>
      <c r="AF146" t="e">
        <f t="shared" ca="1" si="241"/>
        <v>#N/A</v>
      </c>
      <c r="AG146" t="e">
        <f t="shared" ca="1" si="241"/>
        <v>#N/A</v>
      </c>
      <c r="AH146" t="e">
        <f t="shared" ca="1" si="241"/>
        <v>#N/A</v>
      </c>
      <c r="AI146" t="e">
        <f t="shared" ca="1" si="241"/>
        <v>#N/A</v>
      </c>
      <c r="AJ146" t="e">
        <f t="shared" ca="1" si="241"/>
        <v>#N/A</v>
      </c>
      <c r="AK146" t="e">
        <f t="shared" ca="1" si="241"/>
        <v>#N/A</v>
      </c>
      <c r="AL146" t="e">
        <f t="shared" ca="1" si="241"/>
        <v>#N/A</v>
      </c>
      <c r="AM146" t="e">
        <f t="shared" ca="1" si="241"/>
        <v>#N/A</v>
      </c>
      <c r="AN146" t="e">
        <f t="shared" ca="1" si="241"/>
        <v>#N/A</v>
      </c>
      <c r="AO146" t="e">
        <f t="shared" ca="1" si="241"/>
        <v>#N/A</v>
      </c>
      <c r="AP146" t="e">
        <f t="shared" ca="1" si="241"/>
        <v>#N/A</v>
      </c>
      <c r="AQ146" t="e">
        <f t="shared" ca="1" si="241"/>
        <v>#N/A</v>
      </c>
      <c r="AR146" t="e">
        <f t="shared" ca="1" si="241"/>
        <v>#N/A</v>
      </c>
      <c r="AS146" t="e">
        <f t="shared" ca="1" si="241"/>
        <v>#N/A</v>
      </c>
      <c r="AT146" t="e">
        <f t="shared" ca="1" si="241"/>
        <v>#N/A</v>
      </c>
      <c r="AU146" t="e">
        <f t="shared" ca="1" si="241"/>
        <v>#N/A</v>
      </c>
      <c r="AV146" t="e">
        <f t="shared" ca="1" si="241"/>
        <v>#N/A</v>
      </c>
      <c r="AW146" t="e">
        <f t="shared" ca="1" si="241"/>
        <v>#N/A</v>
      </c>
      <c r="AX146" t="e">
        <f t="shared" ca="1" si="241"/>
        <v>#N/A</v>
      </c>
      <c r="AY146" t="e">
        <f t="shared" ca="1" si="241"/>
        <v>#N/A</v>
      </c>
      <c r="AZ146" t="e">
        <f t="shared" ca="1" si="241"/>
        <v>#N/A</v>
      </c>
      <c r="BA146" t="e">
        <f t="shared" ca="1" si="241"/>
        <v>#N/A</v>
      </c>
      <c r="BB146" t="e">
        <f t="shared" ref="BB146:CG146" ca="1" si="242">IFERROR(IF($A146,BB128),NA())</f>
        <v>#N/A</v>
      </c>
      <c r="BC146" t="e">
        <f t="shared" ca="1" si="242"/>
        <v>#N/A</v>
      </c>
      <c r="BD146" t="e">
        <f t="shared" ca="1" si="242"/>
        <v>#N/A</v>
      </c>
      <c r="BE146" t="e">
        <f t="shared" ca="1" si="242"/>
        <v>#N/A</v>
      </c>
      <c r="BF146" t="e">
        <f t="shared" ca="1" si="242"/>
        <v>#N/A</v>
      </c>
      <c r="BG146" t="e">
        <f t="shared" ca="1" si="242"/>
        <v>#N/A</v>
      </c>
      <c r="BH146" t="e">
        <f t="shared" ca="1" si="242"/>
        <v>#N/A</v>
      </c>
      <c r="BI146" t="e">
        <f t="shared" ca="1" si="242"/>
        <v>#N/A</v>
      </c>
      <c r="BJ146" t="e">
        <f t="shared" ca="1" si="242"/>
        <v>#N/A</v>
      </c>
      <c r="BK146" t="e">
        <f t="shared" ca="1" si="242"/>
        <v>#N/A</v>
      </c>
      <c r="BL146" t="e">
        <f t="shared" ca="1" si="242"/>
        <v>#N/A</v>
      </c>
      <c r="BM146" t="e">
        <f t="shared" ca="1" si="242"/>
        <v>#N/A</v>
      </c>
      <c r="BN146" t="e">
        <f t="shared" ca="1" si="242"/>
        <v>#N/A</v>
      </c>
      <c r="BO146" t="e">
        <f t="shared" ca="1" si="242"/>
        <v>#N/A</v>
      </c>
      <c r="BP146" t="e">
        <f t="shared" ca="1" si="242"/>
        <v>#N/A</v>
      </c>
      <c r="BQ146" t="e">
        <f t="shared" ca="1" si="242"/>
        <v>#N/A</v>
      </c>
      <c r="BR146" t="e">
        <f t="shared" ca="1" si="242"/>
        <v>#N/A</v>
      </c>
      <c r="BS146" t="e">
        <f t="shared" ca="1" si="242"/>
        <v>#N/A</v>
      </c>
      <c r="BT146" t="e">
        <f t="shared" ca="1" si="242"/>
        <v>#N/A</v>
      </c>
      <c r="BU146" t="e">
        <f t="shared" ca="1" si="242"/>
        <v>#N/A</v>
      </c>
      <c r="BV146" t="e">
        <f t="shared" ca="1" si="242"/>
        <v>#N/A</v>
      </c>
      <c r="BW146" t="e">
        <f t="shared" ca="1" si="242"/>
        <v>#N/A</v>
      </c>
      <c r="BX146" t="e">
        <f t="shared" ca="1" si="242"/>
        <v>#N/A</v>
      </c>
      <c r="BY146" t="e">
        <f t="shared" ca="1" si="242"/>
        <v>#N/A</v>
      </c>
      <c r="BZ146" t="e">
        <f t="shared" ca="1" si="242"/>
        <v>#N/A</v>
      </c>
      <c r="CA146" t="e">
        <f t="shared" ca="1" si="242"/>
        <v>#N/A</v>
      </c>
      <c r="CB146" t="e">
        <f t="shared" ca="1" si="242"/>
        <v>#N/A</v>
      </c>
      <c r="CC146" t="e">
        <f t="shared" ca="1" si="242"/>
        <v>#N/A</v>
      </c>
      <c r="CD146" t="e">
        <f t="shared" ca="1" si="242"/>
        <v>#N/A</v>
      </c>
      <c r="CE146" t="e">
        <f t="shared" ca="1" si="242"/>
        <v>#N/A</v>
      </c>
      <c r="CF146" t="e">
        <f t="shared" ca="1" si="242"/>
        <v>#N/A</v>
      </c>
      <c r="CG146" t="e">
        <f t="shared" ca="1" si="242"/>
        <v>#N/A</v>
      </c>
      <c r="CH146" t="e">
        <f t="shared" ref="CH146:CS146" ca="1" si="243">IFERROR(IF($A146,CH128),NA())</f>
        <v>#N/A</v>
      </c>
      <c r="CI146" t="e">
        <f t="shared" ca="1" si="243"/>
        <v>#N/A</v>
      </c>
      <c r="CJ146" t="e">
        <f t="shared" ca="1" si="243"/>
        <v>#N/A</v>
      </c>
      <c r="CK146" t="e">
        <f t="shared" ca="1" si="243"/>
        <v>#N/A</v>
      </c>
      <c r="CL146" t="e">
        <f t="shared" ca="1" si="243"/>
        <v>#N/A</v>
      </c>
      <c r="CM146" t="e">
        <f t="shared" ca="1" si="243"/>
        <v>#N/A</v>
      </c>
      <c r="CN146" t="e">
        <f t="shared" ca="1" si="243"/>
        <v>#N/A</v>
      </c>
      <c r="CO146" t="e">
        <f t="shared" ca="1" si="243"/>
        <v>#N/A</v>
      </c>
      <c r="CP146" t="e">
        <f t="shared" ca="1" si="243"/>
        <v>#N/A</v>
      </c>
      <c r="CQ146" t="e">
        <f t="shared" ca="1" si="243"/>
        <v>#N/A</v>
      </c>
      <c r="CR146" t="e">
        <f t="shared" ca="1" si="243"/>
        <v>#N/A</v>
      </c>
      <c r="CS146" t="e">
        <f t="shared" ca="1" si="243"/>
        <v>#N/A</v>
      </c>
      <c r="CT146" t="e">
        <f t="shared" ref="CT146:DR146" ca="1" si="244">IFERROR(IF($A146,CT128),NA())</f>
        <v>#N/A</v>
      </c>
      <c r="CU146" t="e">
        <f t="shared" ca="1" si="244"/>
        <v>#N/A</v>
      </c>
      <c r="CV146" t="e">
        <f t="shared" ca="1" si="244"/>
        <v>#N/A</v>
      </c>
      <c r="CW146" t="e">
        <f t="shared" ca="1" si="244"/>
        <v>#N/A</v>
      </c>
      <c r="CX146" t="e">
        <f t="shared" ca="1" si="244"/>
        <v>#N/A</v>
      </c>
      <c r="CY146" t="e">
        <f t="shared" ca="1" si="244"/>
        <v>#N/A</v>
      </c>
      <c r="CZ146" t="e">
        <f t="shared" ca="1" si="244"/>
        <v>#N/A</v>
      </c>
      <c r="DA146" t="e">
        <f t="shared" ca="1" si="244"/>
        <v>#N/A</v>
      </c>
      <c r="DB146" t="e">
        <f t="shared" ca="1" si="244"/>
        <v>#N/A</v>
      </c>
      <c r="DC146" t="e">
        <f t="shared" ca="1" si="244"/>
        <v>#N/A</v>
      </c>
      <c r="DD146" t="e">
        <f t="shared" ca="1" si="244"/>
        <v>#N/A</v>
      </c>
      <c r="DE146" t="e">
        <f t="shared" ca="1" si="244"/>
        <v>#N/A</v>
      </c>
      <c r="DF146" t="e">
        <f t="shared" ca="1" si="244"/>
        <v>#N/A</v>
      </c>
      <c r="DG146" t="e">
        <f t="shared" ca="1" si="244"/>
        <v>#N/A</v>
      </c>
      <c r="DH146" t="e">
        <f t="shared" ca="1" si="244"/>
        <v>#N/A</v>
      </c>
      <c r="DI146" t="e">
        <f t="shared" ca="1" si="244"/>
        <v>#N/A</v>
      </c>
      <c r="DJ146" t="e">
        <f t="shared" ca="1" si="244"/>
        <v>#N/A</v>
      </c>
      <c r="DK146" t="e">
        <f t="shared" ca="1" si="244"/>
        <v>#N/A</v>
      </c>
      <c r="DL146" t="e">
        <f t="shared" ca="1" si="244"/>
        <v>#N/A</v>
      </c>
      <c r="DM146" t="e">
        <f t="shared" ca="1" si="244"/>
        <v>#N/A</v>
      </c>
      <c r="DN146" t="e">
        <f t="shared" ca="1" si="244"/>
        <v>#N/A</v>
      </c>
      <c r="DO146" t="e">
        <f t="shared" ca="1" si="244"/>
        <v>#N/A</v>
      </c>
      <c r="DP146" t="e">
        <f t="shared" ca="1" si="244"/>
        <v>#N/A</v>
      </c>
      <c r="DQ146" t="e">
        <f t="shared" ca="1" si="244"/>
        <v>#N/A</v>
      </c>
      <c r="DR146" s="686" t="e">
        <f t="shared" ca="1" si="244"/>
        <v>#N/A</v>
      </c>
    </row>
    <row r="147" spans="1:122" x14ac:dyDescent="0.35">
      <c r="A147" s="685" t="b">
        <v>1</v>
      </c>
      <c r="B147" t="str">
        <f>'3.1 Nyttestrøm'!C81</f>
        <v>Lastebil</v>
      </c>
      <c r="V147">
        <f t="shared" ref="V147:BA147" si="245">IFERROR(IF($A147,V129),NA())</f>
        <v>0</v>
      </c>
      <c r="W147" t="e">
        <f t="shared" ca="1" si="245"/>
        <v>#N/A</v>
      </c>
      <c r="X147" t="e">
        <f t="shared" ca="1" si="245"/>
        <v>#N/A</v>
      </c>
      <c r="Y147" t="e">
        <f t="shared" ca="1" si="245"/>
        <v>#N/A</v>
      </c>
      <c r="Z147" t="e">
        <f t="shared" ca="1" si="245"/>
        <v>#N/A</v>
      </c>
      <c r="AA147" t="e">
        <f t="shared" ca="1" si="245"/>
        <v>#N/A</v>
      </c>
      <c r="AB147" t="e">
        <f t="shared" ca="1" si="245"/>
        <v>#N/A</v>
      </c>
      <c r="AC147" t="e">
        <f t="shared" ca="1" si="245"/>
        <v>#N/A</v>
      </c>
      <c r="AD147" t="e">
        <f t="shared" ca="1" si="245"/>
        <v>#N/A</v>
      </c>
      <c r="AE147" t="e">
        <f t="shared" ca="1" si="245"/>
        <v>#N/A</v>
      </c>
      <c r="AF147" t="e">
        <f t="shared" ca="1" si="245"/>
        <v>#N/A</v>
      </c>
      <c r="AG147" t="e">
        <f t="shared" ca="1" si="245"/>
        <v>#N/A</v>
      </c>
      <c r="AH147" t="e">
        <f t="shared" ca="1" si="245"/>
        <v>#N/A</v>
      </c>
      <c r="AI147" t="e">
        <f t="shared" ca="1" si="245"/>
        <v>#N/A</v>
      </c>
      <c r="AJ147" t="e">
        <f t="shared" ca="1" si="245"/>
        <v>#N/A</v>
      </c>
      <c r="AK147" t="e">
        <f t="shared" ca="1" si="245"/>
        <v>#N/A</v>
      </c>
      <c r="AL147" t="e">
        <f t="shared" ca="1" si="245"/>
        <v>#N/A</v>
      </c>
      <c r="AM147" t="e">
        <f t="shared" ca="1" si="245"/>
        <v>#N/A</v>
      </c>
      <c r="AN147" t="e">
        <f t="shared" ca="1" si="245"/>
        <v>#N/A</v>
      </c>
      <c r="AO147" t="e">
        <f t="shared" ca="1" si="245"/>
        <v>#N/A</v>
      </c>
      <c r="AP147" t="e">
        <f t="shared" ca="1" si="245"/>
        <v>#N/A</v>
      </c>
      <c r="AQ147" t="e">
        <f t="shared" ca="1" si="245"/>
        <v>#N/A</v>
      </c>
      <c r="AR147" t="e">
        <f t="shared" ca="1" si="245"/>
        <v>#N/A</v>
      </c>
      <c r="AS147" t="e">
        <f t="shared" ca="1" si="245"/>
        <v>#N/A</v>
      </c>
      <c r="AT147" t="e">
        <f t="shared" ca="1" si="245"/>
        <v>#N/A</v>
      </c>
      <c r="AU147" t="e">
        <f t="shared" ca="1" si="245"/>
        <v>#N/A</v>
      </c>
      <c r="AV147" t="e">
        <f t="shared" ca="1" si="245"/>
        <v>#N/A</v>
      </c>
      <c r="AW147" t="e">
        <f t="shared" ca="1" si="245"/>
        <v>#N/A</v>
      </c>
      <c r="AX147" t="e">
        <f t="shared" ca="1" si="245"/>
        <v>#N/A</v>
      </c>
      <c r="AY147" t="e">
        <f t="shared" ca="1" si="245"/>
        <v>#N/A</v>
      </c>
      <c r="AZ147" t="e">
        <f t="shared" ca="1" si="245"/>
        <v>#N/A</v>
      </c>
      <c r="BA147" t="e">
        <f t="shared" ca="1" si="245"/>
        <v>#N/A</v>
      </c>
      <c r="BB147" t="e">
        <f t="shared" ref="BB147:CG147" ca="1" si="246">IFERROR(IF($A147,BB129),NA())</f>
        <v>#N/A</v>
      </c>
      <c r="BC147" t="e">
        <f t="shared" ca="1" si="246"/>
        <v>#N/A</v>
      </c>
      <c r="BD147" t="e">
        <f t="shared" ca="1" si="246"/>
        <v>#N/A</v>
      </c>
      <c r="BE147" t="e">
        <f t="shared" ca="1" si="246"/>
        <v>#N/A</v>
      </c>
      <c r="BF147" t="e">
        <f t="shared" ca="1" si="246"/>
        <v>#N/A</v>
      </c>
      <c r="BG147" t="e">
        <f t="shared" ca="1" si="246"/>
        <v>#N/A</v>
      </c>
      <c r="BH147" t="e">
        <f t="shared" ca="1" si="246"/>
        <v>#N/A</v>
      </c>
      <c r="BI147" t="e">
        <f t="shared" ca="1" si="246"/>
        <v>#N/A</v>
      </c>
      <c r="BJ147" t="e">
        <f t="shared" ca="1" si="246"/>
        <v>#N/A</v>
      </c>
      <c r="BK147" t="e">
        <f t="shared" ca="1" si="246"/>
        <v>#N/A</v>
      </c>
      <c r="BL147" t="e">
        <f t="shared" ca="1" si="246"/>
        <v>#N/A</v>
      </c>
      <c r="BM147" t="e">
        <f t="shared" ca="1" si="246"/>
        <v>#N/A</v>
      </c>
      <c r="BN147" t="e">
        <f t="shared" ca="1" si="246"/>
        <v>#N/A</v>
      </c>
      <c r="BO147" t="e">
        <f t="shared" ca="1" si="246"/>
        <v>#N/A</v>
      </c>
      <c r="BP147" t="e">
        <f t="shared" ca="1" si="246"/>
        <v>#N/A</v>
      </c>
      <c r="BQ147" t="e">
        <f t="shared" ca="1" si="246"/>
        <v>#N/A</v>
      </c>
      <c r="BR147" t="e">
        <f t="shared" ca="1" si="246"/>
        <v>#N/A</v>
      </c>
      <c r="BS147" t="e">
        <f t="shared" ca="1" si="246"/>
        <v>#N/A</v>
      </c>
      <c r="BT147" t="e">
        <f t="shared" ca="1" si="246"/>
        <v>#N/A</v>
      </c>
      <c r="BU147" t="e">
        <f t="shared" ca="1" si="246"/>
        <v>#N/A</v>
      </c>
      <c r="BV147" t="e">
        <f t="shared" ca="1" si="246"/>
        <v>#N/A</v>
      </c>
      <c r="BW147" t="e">
        <f t="shared" ca="1" si="246"/>
        <v>#N/A</v>
      </c>
      <c r="BX147" t="e">
        <f t="shared" ca="1" si="246"/>
        <v>#N/A</v>
      </c>
      <c r="BY147" t="e">
        <f t="shared" ca="1" si="246"/>
        <v>#N/A</v>
      </c>
      <c r="BZ147" t="e">
        <f t="shared" ca="1" si="246"/>
        <v>#N/A</v>
      </c>
      <c r="CA147" t="e">
        <f t="shared" ca="1" si="246"/>
        <v>#N/A</v>
      </c>
      <c r="CB147" t="e">
        <f t="shared" ca="1" si="246"/>
        <v>#N/A</v>
      </c>
      <c r="CC147" t="e">
        <f t="shared" ca="1" si="246"/>
        <v>#N/A</v>
      </c>
      <c r="CD147" t="e">
        <f t="shared" ca="1" si="246"/>
        <v>#N/A</v>
      </c>
      <c r="CE147" t="e">
        <f t="shared" ca="1" si="246"/>
        <v>#N/A</v>
      </c>
      <c r="CF147" t="e">
        <f t="shared" ca="1" si="246"/>
        <v>#N/A</v>
      </c>
      <c r="CG147" t="e">
        <f t="shared" ca="1" si="246"/>
        <v>#N/A</v>
      </c>
      <c r="CH147" t="e">
        <f t="shared" ref="CH147:CS147" ca="1" si="247">IFERROR(IF($A147,CH129),NA())</f>
        <v>#N/A</v>
      </c>
      <c r="CI147" t="e">
        <f t="shared" ca="1" si="247"/>
        <v>#N/A</v>
      </c>
      <c r="CJ147" t="e">
        <f t="shared" ca="1" si="247"/>
        <v>#N/A</v>
      </c>
      <c r="CK147" t="e">
        <f t="shared" ca="1" si="247"/>
        <v>#N/A</v>
      </c>
      <c r="CL147" t="e">
        <f t="shared" ca="1" si="247"/>
        <v>#N/A</v>
      </c>
      <c r="CM147" t="e">
        <f t="shared" ca="1" si="247"/>
        <v>#N/A</v>
      </c>
      <c r="CN147" t="e">
        <f t="shared" ca="1" si="247"/>
        <v>#N/A</v>
      </c>
      <c r="CO147" t="e">
        <f t="shared" ca="1" si="247"/>
        <v>#N/A</v>
      </c>
      <c r="CP147" t="e">
        <f t="shared" ca="1" si="247"/>
        <v>#N/A</v>
      </c>
      <c r="CQ147" t="e">
        <f t="shared" ca="1" si="247"/>
        <v>#N/A</v>
      </c>
      <c r="CR147" t="e">
        <f t="shared" ca="1" si="247"/>
        <v>#N/A</v>
      </c>
      <c r="CS147" t="e">
        <f t="shared" ca="1" si="247"/>
        <v>#N/A</v>
      </c>
      <c r="CT147" t="e">
        <f t="shared" ref="CT147:DR147" ca="1" si="248">IFERROR(IF($A147,CT129),NA())</f>
        <v>#N/A</v>
      </c>
      <c r="CU147" t="e">
        <f t="shared" ca="1" si="248"/>
        <v>#N/A</v>
      </c>
      <c r="CV147" t="e">
        <f t="shared" ca="1" si="248"/>
        <v>#N/A</v>
      </c>
      <c r="CW147" t="e">
        <f t="shared" ca="1" si="248"/>
        <v>#N/A</v>
      </c>
      <c r="CX147" t="e">
        <f t="shared" ca="1" si="248"/>
        <v>#N/A</v>
      </c>
      <c r="CY147" t="e">
        <f t="shared" ca="1" si="248"/>
        <v>#N/A</v>
      </c>
      <c r="CZ147" t="e">
        <f t="shared" ca="1" si="248"/>
        <v>#N/A</v>
      </c>
      <c r="DA147" t="e">
        <f t="shared" ca="1" si="248"/>
        <v>#N/A</v>
      </c>
      <c r="DB147" t="e">
        <f t="shared" ca="1" si="248"/>
        <v>#N/A</v>
      </c>
      <c r="DC147" t="e">
        <f t="shared" ca="1" si="248"/>
        <v>#N/A</v>
      </c>
      <c r="DD147" t="e">
        <f t="shared" ca="1" si="248"/>
        <v>#N/A</v>
      </c>
      <c r="DE147" t="e">
        <f t="shared" ca="1" si="248"/>
        <v>#N/A</v>
      </c>
      <c r="DF147" t="e">
        <f t="shared" ca="1" si="248"/>
        <v>#N/A</v>
      </c>
      <c r="DG147" t="e">
        <f t="shared" ca="1" si="248"/>
        <v>#N/A</v>
      </c>
      <c r="DH147" t="e">
        <f t="shared" ca="1" si="248"/>
        <v>#N/A</v>
      </c>
      <c r="DI147" t="e">
        <f t="shared" ca="1" si="248"/>
        <v>#N/A</v>
      </c>
      <c r="DJ147" t="e">
        <f t="shared" ca="1" si="248"/>
        <v>#N/A</v>
      </c>
      <c r="DK147" t="e">
        <f t="shared" ca="1" si="248"/>
        <v>#N/A</v>
      </c>
      <c r="DL147" t="e">
        <f t="shared" ca="1" si="248"/>
        <v>#N/A</v>
      </c>
      <c r="DM147" t="e">
        <f t="shared" ca="1" si="248"/>
        <v>#N/A</v>
      </c>
      <c r="DN147" t="e">
        <f t="shared" ca="1" si="248"/>
        <v>#N/A</v>
      </c>
      <c r="DO147" t="e">
        <f t="shared" ca="1" si="248"/>
        <v>#N/A</v>
      </c>
      <c r="DP147" t="e">
        <f t="shared" ca="1" si="248"/>
        <v>#N/A</v>
      </c>
      <c r="DQ147" t="e">
        <f t="shared" ca="1" si="248"/>
        <v>#N/A</v>
      </c>
      <c r="DR147" s="686" t="e">
        <f t="shared" ca="1" si="248"/>
        <v>#N/A</v>
      </c>
    </row>
    <row r="148" spans="1:122" x14ac:dyDescent="0.35">
      <c r="A148" s="685" t="b">
        <v>1</v>
      </c>
      <c r="B148" t="str">
        <f>'3.1 Nyttestrøm'!C82</f>
        <v>Lett Lastebil</v>
      </c>
      <c r="V148" t="e">
        <f t="shared" ref="V148:CG148" si="249">IFERROR(IF($A148,V130),NA())</f>
        <v>#N/A</v>
      </c>
      <c r="W148" t="e">
        <f t="shared" ca="1" si="249"/>
        <v>#N/A</v>
      </c>
      <c r="X148" t="e">
        <f t="shared" ca="1" si="249"/>
        <v>#N/A</v>
      </c>
      <c r="Y148" t="e">
        <f t="shared" ca="1" si="249"/>
        <v>#N/A</v>
      </c>
      <c r="Z148" t="e">
        <f t="shared" ca="1" si="249"/>
        <v>#N/A</v>
      </c>
      <c r="AA148" t="e">
        <f t="shared" ca="1" si="249"/>
        <v>#N/A</v>
      </c>
      <c r="AB148" t="e">
        <f t="shared" ca="1" si="249"/>
        <v>#N/A</v>
      </c>
      <c r="AC148" t="e">
        <f t="shared" ca="1" si="249"/>
        <v>#N/A</v>
      </c>
      <c r="AD148" t="e">
        <f t="shared" ca="1" si="249"/>
        <v>#N/A</v>
      </c>
      <c r="AE148" t="e">
        <f t="shared" ca="1" si="249"/>
        <v>#N/A</v>
      </c>
      <c r="AF148" t="e">
        <f t="shared" ca="1" si="249"/>
        <v>#N/A</v>
      </c>
      <c r="AG148" t="e">
        <f t="shared" ca="1" si="249"/>
        <v>#N/A</v>
      </c>
      <c r="AH148" t="e">
        <f t="shared" ca="1" si="249"/>
        <v>#N/A</v>
      </c>
      <c r="AI148" t="e">
        <f t="shared" ca="1" si="249"/>
        <v>#N/A</v>
      </c>
      <c r="AJ148" t="e">
        <f t="shared" ca="1" si="249"/>
        <v>#N/A</v>
      </c>
      <c r="AK148" t="e">
        <f t="shared" ca="1" si="249"/>
        <v>#N/A</v>
      </c>
      <c r="AL148" t="e">
        <f t="shared" ca="1" si="249"/>
        <v>#N/A</v>
      </c>
      <c r="AM148" t="e">
        <f t="shared" ca="1" si="249"/>
        <v>#N/A</v>
      </c>
      <c r="AN148" t="e">
        <f t="shared" ca="1" si="249"/>
        <v>#N/A</v>
      </c>
      <c r="AO148" t="e">
        <f t="shared" ca="1" si="249"/>
        <v>#N/A</v>
      </c>
      <c r="AP148" t="e">
        <f t="shared" ca="1" si="249"/>
        <v>#N/A</v>
      </c>
      <c r="AQ148" t="e">
        <f t="shared" ca="1" si="249"/>
        <v>#N/A</v>
      </c>
      <c r="AR148" t="e">
        <f t="shared" ca="1" si="249"/>
        <v>#N/A</v>
      </c>
      <c r="AS148" t="e">
        <f t="shared" ca="1" si="249"/>
        <v>#N/A</v>
      </c>
      <c r="AT148" t="e">
        <f t="shared" ca="1" si="249"/>
        <v>#N/A</v>
      </c>
      <c r="AU148" t="e">
        <f t="shared" ca="1" si="249"/>
        <v>#N/A</v>
      </c>
      <c r="AV148" t="e">
        <f t="shared" ca="1" si="249"/>
        <v>#N/A</v>
      </c>
      <c r="AW148" t="e">
        <f t="shared" ca="1" si="249"/>
        <v>#N/A</v>
      </c>
      <c r="AX148" t="e">
        <f t="shared" ca="1" si="249"/>
        <v>#N/A</v>
      </c>
      <c r="AY148" t="e">
        <f t="shared" ca="1" si="249"/>
        <v>#N/A</v>
      </c>
      <c r="AZ148" t="e">
        <f t="shared" ca="1" si="249"/>
        <v>#N/A</v>
      </c>
      <c r="BA148" t="e">
        <f t="shared" ca="1" si="249"/>
        <v>#N/A</v>
      </c>
      <c r="BB148" t="e">
        <f t="shared" ca="1" si="249"/>
        <v>#N/A</v>
      </c>
      <c r="BC148" t="e">
        <f t="shared" ca="1" si="249"/>
        <v>#N/A</v>
      </c>
      <c r="BD148" t="e">
        <f t="shared" ca="1" si="249"/>
        <v>#N/A</v>
      </c>
      <c r="BE148" t="e">
        <f t="shared" ca="1" si="249"/>
        <v>#N/A</v>
      </c>
      <c r="BF148" t="e">
        <f t="shared" ca="1" si="249"/>
        <v>#N/A</v>
      </c>
      <c r="BG148" t="e">
        <f t="shared" ca="1" si="249"/>
        <v>#N/A</v>
      </c>
      <c r="BH148" t="e">
        <f t="shared" ca="1" si="249"/>
        <v>#N/A</v>
      </c>
      <c r="BI148" t="e">
        <f t="shared" ca="1" si="249"/>
        <v>#N/A</v>
      </c>
      <c r="BJ148" t="e">
        <f t="shared" ca="1" si="249"/>
        <v>#N/A</v>
      </c>
      <c r="BK148" t="e">
        <f t="shared" ca="1" si="249"/>
        <v>#N/A</v>
      </c>
      <c r="BL148" t="e">
        <f t="shared" ca="1" si="249"/>
        <v>#N/A</v>
      </c>
      <c r="BM148" t="e">
        <f t="shared" ca="1" si="249"/>
        <v>#N/A</v>
      </c>
      <c r="BN148" t="e">
        <f t="shared" ca="1" si="249"/>
        <v>#N/A</v>
      </c>
      <c r="BO148" t="e">
        <f t="shared" ca="1" si="249"/>
        <v>#N/A</v>
      </c>
      <c r="BP148" t="e">
        <f t="shared" ca="1" si="249"/>
        <v>#N/A</v>
      </c>
      <c r="BQ148" t="e">
        <f t="shared" ca="1" si="249"/>
        <v>#N/A</v>
      </c>
      <c r="BR148" t="e">
        <f t="shared" ca="1" si="249"/>
        <v>#N/A</v>
      </c>
      <c r="BS148" t="e">
        <f t="shared" ca="1" si="249"/>
        <v>#N/A</v>
      </c>
      <c r="BT148" t="e">
        <f t="shared" ca="1" si="249"/>
        <v>#N/A</v>
      </c>
      <c r="BU148" t="e">
        <f t="shared" ca="1" si="249"/>
        <v>#N/A</v>
      </c>
      <c r="BV148" t="e">
        <f t="shared" ca="1" si="249"/>
        <v>#N/A</v>
      </c>
      <c r="BW148" t="e">
        <f t="shared" ca="1" si="249"/>
        <v>#N/A</v>
      </c>
      <c r="BX148" t="e">
        <f t="shared" ca="1" si="249"/>
        <v>#N/A</v>
      </c>
      <c r="BY148" t="e">
        <f t="shared" ca="1" si="249"/>
        <v>#N/A</v>
      </c>
      <c r="BZ148" t="e">
        <f t="shared" ca="1" si="249"/>
        <v>#N/A</v>
      </c>
      <c r="CA148" t="e">
        <f t="shared" ca="1" si="249"/>
        <v>#N/A</v>
      </c>
      <c r="CB148" t="e">
        <f t="shared" ca="1" si="249"/>
        <v>#N/A</v>
      </c>
      <c r="CC148" t="e">
        <f t="shared" ca="1" si="249"/>
        <v>#N/A</v>
      </c>
      <c r="CD148" t="e">
        <f t="shared" ca="1" si="249"/>
        <v>#N/A</v>
      </c>
      <c r="CE148" t="e">
        <f t="shared" ca="1" si="249"/>
        <v>#N/A</v>
      </c>
      <c r="CF148" t="e">
        <f t="shared" ca="1" si="249"/>
        <v>#N/A</v>
      </c>
      <c r="CG148" t="e">
        <f t="shared" ca="1" si="249"/>
        <v>#N/A</v>
      </c>
      <c r="CH148" t="e">
        <f t="shared" ref="CH148:CS148" ca="1" si="250">IFERROR(IF($A148,CH130),NA())</f>
        <v>#N/A</v>
      </c>
      <c r="CI148" t="e">
        <f t="shared" ca="1" si="250"/>
        <v>#N/A</v>
      </c>
      <c r="CJ148" t="e">
        <f t="shared" ca="1" si="250"/>
        <v>#N/A</v>
      </c>
      <c r="CK148" t="e">
        <f t="shared" ca="1" si="250"/>
        <v>#N/A</v>
      </c>
      <c r="CL148" t="e">
        <f t="shared" ca="1" si="250"/>
        <v>#N/A</v>
      </c>
      <c r="CM148" t="e">
        <f t="shared" ca="1" si="250"/>
        <v>#N/A</v>
      </c>
      <c r="CN148" t="e">
        <f t="shared" ca="1" si="250"/>
        <v>#N/A</v>
      </c>
      <c r="CO148" t="e">
        <f t="shared" ca="1" si="250"/>
        <v>#N/A</v>
      </c>
      <c r="CP148" t="e">
        <f t="shared" ca="1" si="250"/>
        <v>#N/A</v>
      </c>
      <c r="CQ148" t="e">
        <f t="shared" ca="1" si="250"/>
        <v>#N/A</v>
      </c>
      <c r="CR148" t="e">
        <f t="shared" ca="1" si="250"/>
        <v>#N/A</v>
      </c>
      <c r="CS148" t="e">
        <f t="shared" ca="1" si="250"/>
        <v>#N/A</v>
      </c>
      <c r="CT148" t="e">
        <f t="shared" ref="CT148:DR148" ca="1" si="251">IFERROR(IF($A148,CT130),NA())</f>
        <v>#N/A</v>
      </c>
      <c r="CU148" t="e">
        <f t="shared" ca="1" si="251"/>
        <v>#N/A</v>
      </c>
      <c r="CV148" t="e">
        <f t="shared" ca="1" si="251"/>
        <v>#N/A</v>
      </c>
      <c r="CW148" t="e">
        <f t="shared" ca="1" si="251"/>
        <v>#N/A</v>
      </c>
      <c r="CX148" t="e">
        <f t="shared" ca="1" si="251"/>
        <v>#N/A</v>
      </c>
      <c r="CY148" t="e">
        <f t="shared" ca="1" si="251"/>
        <v>#N/A</v>
      </c>
      <c r="CZ148" t="e">
        <f t="shared" ca="1" si="251"/>
        <v>#N/A</v>
      </c>
      <c r="DA148" t="e">
        <f t="shared" ca="1" si="251"/>
        <v>#N/A</v>
      </c>
      <c r="DB148" t="e">
        <f t="shared" ca="1" si="251"/>
        <v>#N/A</v>
      </c>
      <c r="DC148" t="e">
        <f t="shared" ca="1" si="251"/>
        <v>#N/A</v>
      </c>
      <c r="DD148" t="e">
        <f t="shared" ca="1" si="251"/>
        <v>#N/A</v>
      </c>
      <c r="DE148" t="e">
        <f t="shared" ca="1" si="251"/>
        <v>#N/A</v>
      </c>
      <c r="DF148" t="e">
        <f t="shared" ca="1" si="251"/>
        <v>#N/A</v>
      </c>
      <c r="DG148" t="e">
        <f t="shared" ca="1" si="251"/>
        <v>#N/A</v>
      </c>
      <c r="DH148" t="e">
        <f t="shared" ca="1" si="251"/>
        <v>#N/A</v>
      </c>
      <c r="DI148" t="e">
        <f t="shared" ca="1" si="251"/>
        <v>#N/A</v>
      </c>
      <c r="DJ148" t="e">
        <f t="shared" ca="1" si="251"/>
        <v>#N/A</v>
      </c>
      <c r="DK148" t="e">
        <f t="shared" ca="1" si="251"/>
        <v>#N/A</v>
      </c>
      <c r="DL148" t="e">
        <f t="shared" ca="1" si="251"/>
        <v>#N/A</v>
      </c>
      <c r="DM148" t="e">
        <f t="shared" ca="1" si="251"/>
        <v>#N/A</v>
      </c>
      <c r="DN148" t="e">
        <f t="shared" ca="1" si="251"/>
        <v>#N/A</v>
      </c>
      <c r="DO148" t="e">
        <f t="shared" ca="1" si="251"/>
        <v>#N/A</v>
      </c>
      <c r="DP148" t="e">
        <f t="shared" ca="1" si="251"/>
        <v>#N/A</v>
      </c>
      <c r="DQ148" t="e">
        <f t="shared" ca="1" si="251"/>
        <v>#N/A</v>
      </c>
      <c r="DR148" s="686" t="e">
        <f t="shared" ca="1" si="251"/>
        <v>#N/A</v>
      </c>
    </row>
    <row r="149" spans="1:122" x14ac:dyDescent="0.35">
      <c r="A149" s="685" t="b">
        <v>1</v>
      </c>
      <c r="B149" t="str">
        <f>'3.1 Nyttestrøm'!C83</f>
        <v>Skip</v>
      </c>
      <c r="V149">
        <f t="shared" ref="V149:CG149" si="252">IFERROR(IF($A149,V131),NA())</f>
        <v>0</v>
      </c>
      <c r="W149" t="e">
        <f t="shared" ca="1" si="252"/>
        <v>#N/A</v>
      </c>
      <c r="X149" t="e">
        <f t="shared" ca="1" si="252"/>
        <v>#N/A</v>
      </c>
      <c r="Y149" t="e">
        <f t="shared" ca="1" si="252"/>
        <v>#N/A</v>
      </c>
      <c r="Z149" t="e">
        <f t="shared" ca="1" si="252"/>
        <v>#N/A</v>
      </c>
      <c r="AA149" t="e">
        <f t="shared" ca="1" si="252"/>
        <v>#N/A</v>
      </c>
      <c r="AB149" t="e">
        <f t="shared" ca="1" si="252"/>
        <v>#N/A</v>
      </c>
      <c r="AC149" t="e">
        <f t="shared" ca="1" si="252"/>
        <v>#N/A</v>
      </c>
      <c r="AD149" t="e">
        <f t="shared" ca="1" si="252"/>
        <v>#N/A</v>
      </c>
      <c r="AE149" t="e">
        <f t="shared" ca="1" si="252"/>
        <v>#N/A</v>
      </c>
      <c r="AF149" t="e">
        <f t="shared" ca="1" si="252"/>
        <v>#N/A</v>
      </c>
      <c r="AG149" t="e">
        <f t="shared" ca="1" si="252"/>
        <v>#N/A</v>
      </c>
      <c r="AH149" t="e">
        <f t="shared" ca="1" si="252"/>
        <v>#N/A</v>
      </c>
      <c r="AI149" t="e">
        <f t="shared" ca="1" si="252"/>
        <v>#N/A</v>
      </c>
      <c r="AJ149" t="e">
        <f t="shared" ca="1" si="252"/>
        <v>#N/A</v>
      </c>
      <c r="AK149" t="e">
        <f t="shared" ca="1" si="252"/>
        <v>#N/A</v>
      </c>
      <c r="AL149" t="e">
        <f t="shared" ca="1" si="252"/>
        <v>#N/A</v>
      </c>
      <c r="AM149" t="e">
        <f t="shared" ca="1" si="252"/>
        <v>#N/A</v>
      </c>
      <c r="AN149" t="e">
        <f t="shared" ca="1" si="252"/>
        <v>#N/A</v>
      </c>
      <c r="AO149" t="e">
        <f t="shared" ca="1" si="252"/>
        <v>#N/A</v>
      </c>
      <c r="AP149" t="e">
        <f t="shared" ca="1" si="252"/>
        <v>#N/A</v>
      </c>
      <c r="AQ149" t="e">
        <f t="shared" ca="1" si="252"/>
        <v>#N/A</v>
      </c>
      <c r="AR149" t="e">
        <f t="shared" ca="1" si="252"/>
        <v>#N/A</v>
      </c>
      <c r="AS149" t="e">
        <f t="shared" ca="1" si="252"/>
        <v>#N/A</v>
      </c>
      <c r="AT149" t="e">
        <f t="shared" ca="1" si="252"/>
        <v>#N/A</v>
      </c>
      <c r="AU149" t="e">
        <f t="shared" ca="1" si="252"/>
        <v>#N/A</v>
      </c>
      <c r="AV149" t="e">
        <f t="shared" ca="1" si="252"/>
        <v>#N/A</v>
      </c>
      <c r="AW149" t="e">
        <f t="shared" ca="1" si="252"/>
        <v>#N/A</v>
      </c>
      <c r="AX149" t="e">
        <f t="shared" ca="1" si="252"/>
        <v>#N/A</v>
      </c>
      <c r="AY149" t="e">
        <f t="shared" ca="1" si="252"/>
        <v>#N/A</v>
      </c>
      <c r="AZ149" t="e">
        <f t="shared" ca="1" si="252"/>
        <v>#N/A</v>
      </c>
      <c r="BA149" t="e">
        <f t="shared" ca="1" si="252"/>
        <v>#N/A</v>
      </c>
      <c r="BB149" t="e">
        <f t="shared" ca="1" si="252"/>
        <v>#N/A</v>
      </c>
      <c r="BC149" t="e">
        <f t="shared" ca="1" si="252"/>
        <v>#N/A</v>
      </c>
      <c r="BD149" t="e">
        <f t="shared" ca="1" si="252"/>
        <v>#N/A</v>
      </c>
      <c r="BE149" t="e">
        <f t="shared" ca="1" si="252"/>
        <v>#N/A</v>
      </c>
      <c r="BF149" t="e">
        <f t="shared" ca="1" si="252"/>
        <v>#N/A</v>
      </c>
      <c r="BG149" t="e">
        <f t="shared" ca="1" si="252"/>
        <v>#N/A</v>
      </c>
      <c r="BH149" t="e">
        <f t="shared" ca="1" si="252"/>
        <v>#N/A</v>
      </c>
      <c r="BI149" t="e">
        <f t="shared" ca="1" si="252"/>
        <v>#N/A</v>
      </c>
      <c r="BJ149" t="e">
        <f t="shared" ca="1" si="252"/>
        <v>#N/A</v>
      </c>
      <c r="BK149" t="e">
        <f t="shared" ca="1" si="252"/>
        <v>#N/A</v>
      </c>
      <c r="BL149" t="e">
        <f t="shared" ca="1" si="252"/>
        <v>#N/A</v>
      </c>
      <c r="BM149" t="e">
        <f t="shared" ca="1" si="252"/>
        <v>#N/A</v>
      </c>
      <c r="BN149" t="e">
        <f t="shared" ca="1" si="252"/>
        <v>#N/A</v>
      </c>
      <c r="BO149" t="e">
        <f t="shared" ca="1" si="252"/>
        <v>#N/A</v>
      </c>
      <c r="BP149" t="e">
        <f t="shared" ca="1" si="252"/>
        <v>#N/A</v>
      </c>
      <c r="BQ149" t="e">
        <f t="shared" ca="1" si="252"/>
        <v>#N/A</v>
      </c>
      <c r="BR149" t="e">
        <f t="shared" ca="1" si="252"/>
        <v>#N/A</v>
      </c>
      <c r="BS149" t="e">
        <f t="shared" ca="1" si="252"/>
        <v>#N/A</v>
      </c>
      <c r="BT149" t="e">
        <f t="shared" ca="1" si="252"/>
        <v>#N/A</v>
      </c>
      <c r="BU149" t="e">
        <f t="shared" ca="1" si="252"/>
        <v>#N/A</v>
      </c>
      <c r="BV149" t="e">
        <f t="shared" ca="1" si="252"/>
        <v>#N/A</v>
      </c>
      <c r="BW149" t="e">
        <f t="shared" ca="1" si="252"/>
        <v>#N/A</v>
      </c>
      <c r="BX149" t="e">
        <f t="shared" ca="1" si="252"/>
        <v>#N/A</v>
      </c>
      <c r="BY149" t="e">
        <f t="shared" ca="1" si="252"/>
        <v>#N/A</v>
      </c>
      <c r="BZ149" t="e">
        <f t="shared" ca="1" si="252"/>
        <v>#N/A</v>
      </c>
      <c r="CA149" t="e">
        <f t="shared" ca="1" si="252"/>
        <v>#N/A</v>
      </c>
      <c r="CB149" t="e">
        <f t="shared" ca="1" si="252"/>
        <v>#N/A</v>
      </c>
      <c r="CC149" t="e">
        <f t="shared" ca="1" si="252"/>
        <v>#N/A</v>
      </c>
      <c r="CD149" t="e">
        <f t="shared" ca="1" si="252"/>
        <v>#N/A</v>
      </c>
      <c r="CE149" t="e">
        <f t="shared" ca="1" si="252"/>
        <v>#N/A</v>
      </c>
      <c r="CF149" t="e">
        <f t="shared" ca="1" si="252"/>
        <v>#N/A</v>
      </c>
      <c r="CG149" t="e">
        <f t="shared" ca="1" si="252"/>
        <v>#N/A</v>
      </c>
      <c r="CH149" t="e">
        <f t="shared" ref="CH149:CS149" ca="1" si="253">IFERROR(IF($A149,CH131),NA())</f>
        <v>#N/A</v>
      </c>
      <c r="CI149" t="e">
        <f t="shared" ca="1" si="253"/>
        <v>#N/A</v>
      </c>
      <c r="CJ149" t="e">
        <f t="shared" ca="1" si="253"/>
        <v>#N/A</v>
      </c>
      <c r="CK149" t="e">
        <f t="shared" ca="1" si="253"/>
        <v>#N/A</v>
      </c>
      <c r="CL149" t="e">
        <f t="shared" ca="1" si="253"/>
        <v>#N/A</v>
      </c>
      <c r="CM149" t="e">
        <f t="shared" ca="1" si="253"/>
        <v>#N/A</v>
      </c>
      <c r="CN149" t="e">
        <f t="shared" ca="1" si="253"/>
        <v>#N/A</v>
      </c>
      <c r="CO149" t="e">
        <f t="shared" ca="1" si="253"/>
        <v>#N/A</v>
      </c>
      <c r="CP149" t="e">
        <f t="shared" ca="1" si="253"/>
        <v>#N/A</v>
      </c>
      <c r="CQ149" t="e">
        <f t="shared" ca="1" si="253"/>
        <v>#N/A</v>
      </c>
      <c r="CR149" t="e">
        <f t="shared" ca="1" si="253"/>
        <v>#N/A</v>
      </c>
      <c r="CS149" t="e">
        <f t="shared" ca="1" si="253"/>
        <v>#N/A</v>
      </c>
      <c r="CT149" t="e">
        <f t="shared" ref="CT149:DR149" ca="1" si="254">IFERROR(IF($A149,CT131),NA())</f>
        <v>#N/A</v>
      </c>
      <c r="CU149" t="e">
        <f t="shared" ca="1" si="254"/>
        <v>#N/A</v>
      </c>
      <c r="CV149" t="e">
        <f t="shared" ca="1" si="254"/>
        <v>#N/A</v>
      </c>
      <c r="CW149" t="e">
        <f t="shared" ca="1" si="254"/>
        <v>#N/A</v>
      </c>
      <c r="CX149" t="e">
        <f t="shared" ca="1" si="254"/>
        <v>#N/A</v>
      </c>
      <c r="CY149" t="e">
        <f t="shared" ca="1" si="254"/>
        <v>#N/A</v>
      </c>
      <c r="CZ149" t="e">
        <f t="shared" ca="1" si="254"/>
        <v>#N/A</v>
      </c>
      <c r="DA149" t="e">
        <f t="shared" ca="1" si="254"/>
        <v>#N/A</v>
      </c>
      <c r="DB149" t="e">
        <f t="shared" ca="1" si="254"/>
        <v>#N/A</v>
      </c>
      <c r="DC149" t="e">
        <f t="shared" ca="1" si="254"/>
        <v>#N/A</v>
      </c>
      <c r="DD149" t="e">
        <f t="shared" ca="1" si="254"/>
        <v>#N/A</v>
      </c>
      <c r="DE149" t="e">
        <f t="shared" ca="1" si="254"/>
        <v>#N/A</v>
      </c>
      <c r="DF149" t="e">
        <f t="shared" ca="1" si="254"/>
        <v>#N/A</v>
      </c>
      <c r="DG149" t="e">
        <f t="shared" ca="1" si="254"/>
        <v>#N/A</v>
      </c>
      <c r="DH149" t="e">
        <f t="shared" ca="1" si="254"/>
        <v>#N/A</v>
      </c>
      <c r="DI149" t="e">
        <f t="shared" ca="1" si="254"/>
        <v>#N/A</v>
      </c>
      <c r="DJ149" t="e">
        <f t="shared" ca="1" si="254"/>
        <v>#N/A</v>
      </c>
      <c r="DK149" t="e">
        <f t="shared" ca="1" si="254"/>
        <v>#N/A</v>
      </c>
      <c r="DL149" t="e">
        <f t="shared" ca="1" si="254"/>
        <v>#N/A</v>
      </c>
      <c r="DM149" t="e">
        <f t="shared" ca="1" si="254"/>
        <v>#N/A</v>
      </c>
      <c r="DN149" t="e">
        <f t="shared" ca="1" si="254"/>
        <v>#N/A</v>
      </c>
      <c r="DO149" t="e">
        <f t="shared" ca="1" si="254"/>
        <v>#N/A</v>
      </c>
      <c r="DP149" t="e">
        <f t="shared" ca="1" si="254"/>
        <v>#N/A</v>
      </c>
      <c r="DQ149" t="e">
        <f t="shared" ca="1" si="254"/>
        <v>#N/A</v>
      </c>
      <c r="DR149" s="686" t="e">
        <f t="shared" ca="1" si="254"/>
        <v>#N/A</v>
      </c>
    </row>
    <row r="150" spans="1:122" x14ac:dyDescent="0.35">
      <c r="A150" s="685" t="b">
        <v>1</v>
      </c>
      <c r="B150" t="str">
        <f>'3.1 Nyttestrøm'!C84</f>
        <v>Godsfly</v>
      </c>
      <c r="V150">
        <f t="shared" ref="V150:CG150" si="255">IFERROR(IF($A150,V132),NA())</f>
        <v>0</v>
      </c>
      <c r="W150" t="e">
        <f t="shared" ca="1" si="255"/>
        <v>#N/A</v>
      </c>
      <c r="X150" t="e">
        <f t="shared" ca="1" si="255"/>
        <v>#N/A</v>
      </c>
      <c r="Y150" t="e">
        <f t="shared" ca="1" si="255"/>
        <v>#N/A</v>
      </c>
      <c r="Z150" t="e">
        <f t="shared" ca="1" si="255"/>
        <v>#N/A</v>
      </c>
      <c r="AA150" t="e">
        <f t="shared" ca="1" si="255"/>
        <v>#N/A</v>
      </c>
      <c r="AB150" t="e">
        <f t="shared" ca="1" si="255"/>
        <v>#N/A</v>
      </c>
      <c r="AC150" t="e">
        <f t="shared" ca="1" si="255"/>
        <v>#N/A</v>
      </c>
      <c r="AD150" t="e">
        <f t="shared" ca="1" si="255"/>
        <v>#N/A</v>
      </c>
      <c r="AE150" t="e">
        <f t="shared" ca="1" si="255"/>
        <v>#N/A</v>
      </c>
      <c r="AF150" t="e">
        <f t="shared" ca="1" si="255"/>
        <v>#N/A</v>
      </c>
      <c r="AG150" t="e">
        <f t="shared" ca="1" si="255"/>
        <v>#N/A</v>
      </c>
      <c r="AH150" t="e">
        <f t="shared" ca="1" si="255"/>
        <v>#N/A</v>
      </c>
      <c r="AI150" t="e">
        <f t="shared" ca="1" si="255"/>
        <v>#N/A</v>
      </c>
      <c r="AJ150" t="e">
        <f t="shared" ca="1" si="255"/>
        <v>#N/A</v>
      </c>
      <c r="AK150" t="e">
        <f t="shared" ca="1" si="255"/>
        <v>#N/A</v>
      </c>
      <c r="AL150" t="e">
        <f t="shared" ca="1" si="255"/>
        <v>#N/A</v>
      </c>
      <c r="AM150" t="e">
        <f t="shared" ca="1" si="255"/>
        <v>#N/A</v>
      </c>
      <c r="AN150" t="e">
        <f t="shared" ca="1" si="255"/>
        <v>#N/A</v>
      </c>
      <c r="AO150" t="e">
        <f t="shared" ca="1" si="255"/>
        <v>#N/A</v>
      </c>
      <c r="AP150" t="e">
        <f t="shared" ca="1" si="255"/>
        <v>#N/A</v>
      </c>
      <c r="AQ150" t="e">
        <f t="shared" ca="1" si="255"/>
        <v>#N/A</v>
      </c>
      <c r="AR150" t="e">
        <f t="shared" ca="1" si="255"/>
        <v>#N/A</v>
      </c>
      <c r="AS150" t="e">
        <f t="shared" ca="1" si="255"/>
        <v>#N/A</v>
      </c>
      <c r="AT150" t="e">
        <f t="shared" ca="1" si="255"/>
        <v>#N/A</v>
      </c>
      <c r="AU150" t="e">
        <f t="shared" ca="1" si="255"/>
        <v>#N/A</v>
      </c>
      <c r="AV150" t="e">
        <f t="shared" ca="1" si="255"/>
        <v>#N/A</v>
      </c>
      <c r="AW150" t="e">
        <f t="shared" ca="1" si="255"/>
        <v>#N/A</v>
      </c>
      <c r="AX150" t="e">
        <f t="shared" ca="1" si="255"/>
        <v>#N/A</v>
      </c>
      <c r="AY150" t="e">
        <f t="shared" ca="1" si="255"/>
        <v>#N/A</v>
      </c>
      <c r="AZ150" t="e">
        <f t="shared" ca="1" si="255"/>
        <v>#N/A</v>
      </c>
      <c r="BA150" t="e">
        <f t="shared" ca="1" si="255"/>
        <v>#N/A</v>
      </c>
      <c r="BB150" t="e">
        <f t="shared" ca="1" si="255"/>
        <v>#N/A</v>
      </c>
      <c r="BC150" t="e">
        <f t="shared" ca="1" si="255"/>
        <v>#N/A</v>
      </c>
      <c r="BD150" t="e">
        <f t="shared" ca="1" si="255"/>
        <v>#N/A</v>
      </c>
      <c r="BE150" t="e">
        <f t="shared" ca="1" si="255"/>
        <v>#N/A</v>
      </c>
      <c r="BF150" t="e">
        <f t="shared" ca="1" si="255"/>
        <v>#N/A</v>
      </c>
      <c r="BG150" t="e">
        <f t="shared" ca="1" si="255"/>
        <v>#N/A</v>
      </c>
      <c r="BH150" t="e">
        <f t="shared" ca="1" si="255"/>
        <v>#N/A</v>
      </c>
      <c r="BI150" t="e">
        <f t="shared" ca="1" si="255"/>
        <v>#N/A</v>
      </c>
      <c r="BJ150" t="e">
        <f t="shared" ca="1" si="255"/>
        <v>#N/A</v>
      </c>
      <c r="BK150" t="e">
        <f t="shared" ca="1" si="255"/>
        <v>#N/A</v>
      </c>
      <c r="BL150" t="e">
        <f t="shared" ca="1" si="255"/>
        <v>#N/A</v>
      </c>
      <c r="BM150" t="e">
        <f t="shared" ca="1" si="255"/>
        <v>#N/A</v>
      </c>
      <c r="BN150" t="e">
        <f t="shared" ca="1" si="255"/>
        <v>#N/A</v>
      </c>
      <c r="BO150" t="e">
        <f t="shared" ca="1" si="255"/>
        <v>#N/A</v>
      </c>
      <c r="BP150" t="e">
        <f t="shared" ca="1" si="255"/>
        <v>#N/A</v>
      </c>
      <c r="BQ150" t="e">
        <f t="shared" ca="1" si="255"/>
        <v>#N/A</v>
      </c>
      <c r="BR150" t="e">
        <f t="shared" ca="1" si="255"/>
        <v>#N/A</v>
      </c>
      <c r="BS150" t="e">
        <f t="shared" ca="1" si="255"/>
        <v>#N/A</v>
      </c>
      <c r="BT150" t="e">
        <f t="shared" ca="1" si="255"/>
        <v>#N/A</v>
      </c>
      <c r="BU150" t="e">
        <f t="shared" ca="1" si="255"/>
        <v>#N/A</v>
      </c>
      <c r="BV150" t="e">
        <f t="shared" ca="1" si="255"/>
        <v>#N/A</v>
      </c>
      <c r="BW150" t="e">
        <f t="shared" ca="1" si="255"/>
        <v>#N/A</v>
      </c>
      <c r="BX150" t="e">
        <f t="shared" ca="1" si="255"/>
        <v>#N/A</v>
      </c>
      <c r="BY150" t="e">
        <f t="shared" ca="1" si="255"/>
        <v>#N/A</v>
      </c>
      <c r="BZ150" t="e">
        <f t="shared" ca="1" si="255"/>
        <v>#N/A</v>
      </c>
      <c r="CA150" t="e">
        <f t="shared" ca="1" si="255"/>
        <v>#N/A</v>
      </c>
      <c r="CB150" t="e">
        <f t="shared" ca="1" si="255"/>
        <v>#N/A</v>
      </c>
      <c r="CC150" t="e">
        <f t="shared" ca="1" si="255"/>
        <v>#N/A</v>
      </c>
      <c r="CD150" t="e">
        <f t="shared" ca="1" si="255"/>
        <v>#N/A</v>
      </c>
      <c r="CE150" t="e">
        <f t="shared" ca="1" si="255"/>
        <v>#N/A</v>
      </c>
      <c r="CF150" t="e">
        <f t="shared" ca="1" si="255"/>
        <v>#N/A</v>
      </c>
      <c r="CG150" t="e">
        <f t="shared" ca="1" si="255"/>
        <v>#N/A</v>
      </c>
      <c r="CH150" t="e">
        <f t="shared" ref="CH150:CS150" ca="1" si="256">IFERROR(IF($A150,CH132),NA())</f>
        <v>#N/A</v>
      </c>
      <c r="CI150" t="e">
        <f t="shared" ca="1" si="256"/>
        <v>#N/A</v>
      </c>
      <c r="CJ150" t="e">
        <f t="shared" ca="1" si="256"/>
        <v>#N/A</v>
      </c>
      <c r="CK150" t="e">
        <f t="shared" ca="1" si="256"/>
        <v>#N/A</v>
      </c>
      <c r="CL150" t="e">
        <f t="shared" ca="1" si="256"/>
        <v>#N/A</v>
      </c>
      <c r="CM150" t="e">
        <f t="shared" ca="1" si="256"/>
        <v>#N/A</v>
      </c>
      <c r="CN150" t="e">
        <f t="shared" ca="1" si="256"/>
        <v>#N/A</v>
      </c>
      <c r="CO150" t="e">
        <f t="shared" ca="1" si="256"/>
        <v>#N/A</v>
      </c>
      <c r="CP150" t="e">
        <f t="shared" ca="1" si="256"/>
        <v>#N/A</v>
      </c>
      <c r="CQ150" t="e">
        <f t="shared" ca="1" si="256"/>
        <v>#N/A</v>
      </c>
      <c r="CR150" t="e">
        <f t="shared" ca="1" si="256"/>
        <v>#N/A</v>
      </c>
      <c r="CS150" t="e">
        <f t="shared" ca="1" si="256"/>
        <v>#N/A</v>
      </c>
      <c r="CT150" t="e">
        <f t="shared" ref="CT150:DR150" ca="1" si="257">IFERROR(IF($A150,CT132),NA())</f>
        <v>#N/A</v>
      </c>
      <c r="CU150" t="e">
        <f t="shared" ca="1" si="257"/>
        <v>#N/A</v>
      </c>
      <c r="CV150" t="e">
        <f t="shared" ca="1" si="257"/>
        <v>#N/A</v>
      </c>
      <c r="CW150" t="e">
        <f t="shared" ca="1" si="257"/>
        <v>#N/A</v>
      </c>
      <c r="CX150" t="e">
        <f t="shared" ca="1" si="257"/>
        <v>#N/A</v>
      </c>
      <c r="CY150" t="e">
        <f t="shared" ca="1" si="257"/>
        <v>#N/A</v>
      </c>
      <c r="CZ150" t="e">
        <f t="shared" ca="1" si="257"/>
        <v>#N/A</v>
      </c>
      <c r="DA150" t="e">
        <f t="shared" ca="1" si="257"/>
        <v>#N/A</v>
      </c>
      <c r="DB150" t="e">
        <f t="shared" ca="1" si="257"/>
        <v>#N/A</v>
      </c>
      <c r="DC150" t="e">
        <f t="shared" ca="1" si="257"/>
        <v>#N/A</v>
      </c>
      <c r="DD150" t="e">
        <f t="shared" ca="1" si="257"/>
        <v>#N/A</v>
      </c>
      <c r="DE150" t="e">
        <f t="shared" ca="1" si="257"/>
        <v>#N/A</v>
      </c>
      <c r="DF150" t="e">
        <f t="shared" ca="1" si="257"/>
        <v>#N/A</v>
      </c>
      <c r="DG150" t="e">
        <f t="shared" ca="1" si="257"/>
        <v>#N/A</v>
      </c>
      <c r="DH150" t="e">
        <f t="shared" ca="1" si="257"/>
        <v>#N/A</v>
      </c>
      <c r="DI150" t="e">
        <f t="shared" ca="1" si="257"/>
        <v>#N/A</v>
      </c>
      <c r="DJ150" t="e">
        <f t="shared" ca="1" si="257"/>
        <v>#N/A</v>
      </c>
      <c r="DK150" t="e">
        <f t="shared" ca="1" si="257"/>
        <v>#N/A</v>
      </c>
      <c r="DL150" t="e">
        <f t="shared" ca="1" si="257"/>
        <v>#N/A</v>
      </c>
      <c r="DM150" t="e">
        <f t="shared" ca="1" si="257"/>
        <v>#N/A</v>
      </c>
      <c r="DN150" t="e">
        <f t="shared" ca="1" si="257"/>
        <v>#N/A</v>
      </c>
      <c r="DO150" t="e">
        <f t="shared" ca="1" si="257"/>
        <v>#N/A</v>
      </c>
      <c r="DP150" t="e">
        <f t="shared" ca="1" si="257"/>
        <v>#N/A</v>
      </c>
      <c r="DQ150" t="e">
        <f t="shared" ca="1" si="257"/>
        <v>#N/A</v>
      </c>
      <c r="DR150" s="686" t="e">
        <f t="shared" ca="1" si="257"/>
        <v>#N/A</v>
      </c>
    </row>
    <row r="151" spans="1:122" x14ac:dyDescent="0.35">
      <c r="A151" s="685" t="b">
        <v>1</v>
      </c>
      <c r="B151" t="str">
        <f>'3.1 Nyttestrøm'!C85</f>
        <v>Utslipp i byggefasen</v>
      </c>
      <c r="M151" t="e">
        <f>IFERROR(IF($A151,IF(NOT(M133=0),M133,NA())),NA())</f>
        <v>#N/A</v>
      </c>
      <c r="N151" t="e">
        <f t="shared" ref="N151:BY151" si="258">IFERROR(IF($A151,IF(NOT(N133=0),N133,NA())),NA())</f>
        <v>#N/A</v>
      </c>
      <c r="O151" t="e">
        <f t="shared" si="258"/>
        <v>#N/A</v>
      </c>
      <c r="P151" t="e">
        <f t="shared" si="258"/>
        <v>#N/A</v>
      </c>
      <c r="Q151" t="e">
        <f t="shared" si="258"/>
        <v>#N/A</v>
      </c>
      <c r="R151" t="e">
        <f t="shared" si="258"/>
        <v>#N/A</v>
      </c>
      <c r="S151" t="e">
        <f t="shared" si="258"/>
        <v>#N/A</v>
      </c>
      <c r="T151" t="e">
        <f t="shared" si="258"/>
        <v>#N/A</v>
      </c>
      <c r="U151" t="e">
        <f t="shared" si="258"/>
        <v>#N/A</v>
      </c>
      <c r="V151" t="e">
        <f t="shared" si="258"/>
        <v>#N/A</v>
      </c>
      <c r="W151" t="e">
        <f t="shared" si="258"/>
        <v>#N/A</v>
      </c>
      <c r="X151" t="e">
        <f t="shared" si="258"/>
        <v>#N/A</v>
      </c>
      <c r="Y151" t="e">
        <f t="shared" si="258"/>
        <v>#N/A</v>
      </c>
      <c r="Z151" t="e">
        <f t="shared" si="258"/>
        <v>#N/A</v>
      </c>
      <c r="AA151" t="e">
        <f t="shared" si="258"/>
        <v>#N/A</v>
      </c>
      <c r="AB151" t="e">
        <f t="shared" si="258"/>
        <v>#N/A</v>
      </c>
      <c r="AC151" t="e">
        <f t="shared" si="258"/>
        <v>#N/A</v>
      </c>
      <c r="AD151" t="e">
        <f t="shared" si="258"/>
        <v>#N/A</v>
      </c>
      <c r="AE151" t="e">
        <f t="shared" si="258"/>
        <v>#N/A</v>
      </c>
      <c r="AF151" t="e">
        <f t="shared" si="258"/>
        <v>#N/A</v>
      </c>
      <c r="AG151" t="e">
        <f t="shared" si="258"/>
        <v>#N/A</v>
      </c>
      <c r="AH151" t="e">
        <f t="shared" si="258"/>
        <v>#N/A</v>
      </c>
      <c r="AI151" t="e">
        <f t="shared" si="258"/>
        <v>#N/A</v>
      </c>
      <c r="AJ151" t="e">
        <f t="shared" si="258"/>
        <v>#N/A</v>
      </c>
      <c r="AK151" t="e">
        <f t="shared" si="258"/>
        <v>#N/A</v>
      </c>
      <c r="AL151" t="e">
        <f t="shared" si="258"/>
        <v>#N/A</v>
      </c>
      <c r="AM151" t="e">
        <f t="shared" si="258"/>
        <v>#N/A</v>
      </c>
      <c r="AN151" t="e">
        <f t="shared" si="258"/>
        <v>#N/A</v>
      </c>
      <c r="AO151" t="e">
        <f t="shared" si="258"/>
        <v>#N/A</v>
      </c>
      <c r="AP151" t="e">
        <f t="shared" si="258"/>
        <v>#N/A</v>
      </c>
      <c r="AQ151" t="e">
        <f t="shared" si="258"/>
        <v>#N/A</v>
      </c>
      <c r="AR151" t="e">
        <f t="shared" si="258"/>
        <v>#N/A</v>
      </c>
      <c r="AS151" t="e">
        <f t="shared" si="258"/>
        <v>#N/A</v>
      </c>
      <c r="AT151" t="e">
        <f t="shared" si="258"/>
        <v>#N/A</v>
      </c>
      <c r="AU151" t="e">
        <f t="shared" si="258"/>
        <v>#N/A</v>
      </c>
      <c r="AV151" t="e">
        <f t="shared" si="258"/>
        <v>#N/A</v>
      </c>
      <c r="AW151" t="e">
        <f t="shared" si="258"/>
        <v>#N/A</v>
      </c>
      <c r="AX151" t="e">
        <f t="shared" si="258"/>
        <v>#N/A</v>
      </c>
      <c r="AY151" t="e">
        <f t="shared" si="258"/>
        <v>#N/A</v>
      </c>
      <c r="AZ151" t="e">
        <f t="shared" si="258"/>
        <v>#N/A</v>
      </c>
      <c r="BA151" t="e">
        <f t="shared" si="258"/>
        <v>#N/A</v>
      </c>
      <c r="BB151" t="e">
        <f t="shared" si="258"/>
        <v>#N/A</v>
      </c>
      <c r="BC151" t="e">
        <f t="shared" si="258"/>
        <v>#N/A</v>
      </c>
      <c r="BD151" t="e">
        <f t="shared" si="258"/>
        <v>#N/A</v>
      </c>
      <c r="BE151" t="e">
        <f t="shared" si="258"/>
        <v>#N/A</v>
      </c>
      <c r="BF151" t="e">
        <f t="shared" si="258"/>
        <v>#N/A</v>
      </c>
      <c r="BG151" t="e">
        <f t="shared" si="258"/>
        <v>#N/A</v>
      </c>
      <c r="BH151" t="e">
        <f t="shared" si="258"/>
        <v>#N/A</v>
      </c>
      <c r="BI151" t="e">
        <f t="shared" si="258"/>
        <v>#N/A</v>
      </c>
      <c r="BJ151" t="e">
        <f t="shared" si="258"/>
        <v>#N/A</v>
      </c>
      <c r="BK151" t="e">
        <f t="shared" si="258"/>
        <v>#N/A</v>
      </c>
      <c r="BL151" t="e">
        <f t="shared" si="258"/>
        <v>#N/A</v>
      </c>
      <c r="BM151" t="e">
        <f t="shared" si="258"/>
        <v>#N/A</v>
      </c>
      <c r="BN151" t="e">
        <f t="shared" si="258"/>
        <v>#N/A</v>
      </c>
      <c r="BO151" t="e">
        <f t="shared" si="258"/>
        <v>#N/A</v>
      </c>
      <c r="BP151" t="e">
        <f t="shared" si="258"/>
        <v>#N/A</v>
      </c>
      <c r="BQ151" t="e">
        <f t="shared" si="258"/>
        <v>#N/A</v>
      </c>
      <c r="BR151" t="e">
        <f t="shared" si="258"/>
        <v>#N/A</v>
      </c>
      <c r="BS151" t="e">
        <f t="shared" si="258"/>
        <v>#N/A</v>
      </c>
      <c r="BT151" t="e">
        <f t="shared" si="258"/>
        <v>#N/A</v>
      </c>
      <c r="BU151" t="e">
        <f t="shared" si="258"/>
        <v>#N/A</v>
      </c>
      <c r="BV151" t="e">
        <f t="shared" si="258"/>
        <v>#N/A</v>
      </c>
      <c r="BW151" t="e">
        <f t="shared" si="258"/>
        <v>#N/A</v>
      </c>
      <c r="BX151" t="e">
        <f t="shared" si="258"/>
        <v>#N/A</v>
      </c>
      <c r="BY151" t="e">
        <f t="shared" si="258"/>
        <v>#N/A</v>
      </c>
      <c r="BZ151" t="e">
        <f t="shared" ref="BZ151:CS151" si="259">IFERROR(IF($A151,IF(NOT(BZ133=0),BZ133,NA())),NA())</f>
        <v>#N/A</v>
      </c>
      <c r="CA151" t="e">
        <f t="shared" si="259"/>
        <v>#N/A</v>
      </c>
      <c r="CB151" t="e">
        <f t="shared" si="259"/>
        <v>#N/A</v>
      </c>
      <c r="CC151" t="e">
        <f t="shared" si="259"/>
        <v>#N/A</v>
      </c>
      <c r="CD151" t="e">
        <f t="shared" si="259"/>
        <v>#N/A</v>
      </c>
      <c r="CE151" t="e">
        <f t="shared" si="259"/>
        <v>#N/A</v>
      </c>
      <c r="CF151" t="e">
        <f t="shared" si="259"/>
        <v>#N/A</v>
      </c>
      <c r="CG151" t="e">
        <f t="shared" si="259"/>
        <v>#N/A</v>
      </c>
      <c r="CH151" t="e">
        <f t="shared" si="259"/>
        <v>#N/A</v>
      </c>
      <c r="CI151" t="e">
        <f t="shared" si="259"/>
        <v>#N/A</v>
      </c>
      <c r="CJ151" t="e">
        <f t="shared" si="259"/>
        <v>#N/A</v>
      </c>
      <c r="CK151" t="e">
        <f t="shared" si="259"/>
        <v>#N/A</v>
      </c>
      <c r="CL151" t="e">
        <f t="shared" si="259"/>
        <v>#N/A</v>
      </c>
      <c r="CM151" t="e">
        <f t="shared" si="259"/>
        <v>#N/A</v>
      </c>
      <c r="CN151" t="e">
        <f t="shared" si="259"/>
        <v>#N/A</v>
      </c>
      <c r="CO151" t="e">
        <f t="shared" si="259"/>
        <v>#N/A</v>
      </c>
      <c r="CP151" t="e">
        <f t="shared" si="259"/>
        <v>#N/A</v>
      </c>
      <c r="CQ151" t="e">
        <f t="shared" si="259"/>
        <v>#N/A</v>
      </c>
      <c r="CR151" t="e">
        <f t="shared" si="259"/>
        <v>#N/A</v>
      </c>
      <c r="CS151" t="e">
        <f t="shared" si="259"/>
        <v>#N/A</v>
      </c>
      <c r="CT151" t="e">
        <f t="shared" ref="CT151:DR151" si="260">IFERROR(IF($A151,IF(NOT(CT133=0),CT133,NA())),NA())</f>
        <v>#N/A</v>
      </c>
      <c r="CU151" t="e">
        <f t="shared" si="260"/>
        <v>#N/A</v>
      </c>
      <c r="CV151" t="e">
        <f t="shared" si="260"/>
        <v>#N/A</v>
      </c>
      <c r="CW151" t="e">
        <f t="shared" si="260"/>
        <v>#N/A</v>
      </c>
      <c r="CX151" t="e">
        <f t="shared" si="260"/>
        <v>#N/A</v>
      </c>
      <c r="CY151" t="e">
        <f t="shared" si="260"/>
        <v>#N/A</v>
      </c>
      <c r="CZ151" t="e">
        <f t="shared" si="260"/>
        <v>#N/A</v>
      </c>
      <c r="DA151" t="e">
        <f t="shared" si="260"/>
        <v>#N/A</v>
      </c>
      <c r="DB151" t="e">
        <f t="shared" si="260"/>
        <v>#N/A</v>
      </c>
      <c r="DC151" t="e">
        <f t="shared" si="260"/>
        <v>#N/A</v>
      </c>
      <c r="DD151" t="e">
        <f t="shared" si="260"/>
        <v>#N/A</v>
      </c>
      <c r="DE151" t="e">
        <f t="shared" si="260"/>
        <v>#N/A</v>
      </c>
      <c r="DF151" t="e">
        <f t="shared" si="260"/>
        <v>#N/A</v>
      </c>
      <c r="DG151" t="e">
        <f t="shared" si="260"/>
        <v>#N/A</v>
      </c>
      <c r="DH151" t="e">
        <f t="shared" si="260"/>
        <v>#N/A</v>
      </c>
      <c r="DI151" t="e">
        <f t="shared" si="260"/>
        <v>#N/A</v>
      </c>
      <c r="DJ151" t="e">
        <f t="shared" si="260"/>
        <v>#N/A</v>
      </c>
      <c r="DK151" t="e">
        <f t="shared" si="260"/>
        <v>#N/A</v>
      </c>
      <c r="DL151" t="e">
        <f t="shared" si="260"/>
        <v>#N/A</v>
      </c>
      <c r="DM151" t="e">
        <f t="shared" si="260"/>
        <v>#N/A</v>
      </c>
      <c r="DN151" t="e">
        <f t="shared" si="260"/>
        <v>#N/A</v>
      </c>
      <c r="DO151" t="e">
        <f t="shared" si="260"/>
        <v>#N/A</v>
      </c>
      <c r="DP151" t="e">
        <f t="shared" si="260"/>
        <v>#N/A</v>
      </c>
      <c r="DQ151" t="e">
        <f t="shared" si="260"/>
        <v>#N/A</v>
      </c>
      <c r="DR151" s="686" t="e">
        <f t="shared" si="260"/>
        <v>#N/A</v>
      </c>
    </row>
    <row r="152" spans="1:122" x14ac:dyDescent="0.35">
      <c r="A152" s="685" t="b">
        <v>1</v>
      </c>
      <c r="B152" t="str">
        <f>'3.1 Nyttestrøm'!C86</f>
        <v>Utslipp arealbeslag</v>
      </c>
      <c r="M152" t="e">
        <f>IFERROR(IF($A152,IF(NOT(M134=0),M134,NA())),NA())</f>
        <v>#N/A</v>
      </c>
      <c r="N152" t="e">
        <f t="shared" ref="N152:BY152" si="261">IFERROR(IF($A152,IF(NOT(N134=0),N134,NA())),NA())</f>
        <v>#N/A</v>
      </c>
      <c r="O152" t="e">
        <f t="shared" si="261"/>
        <v>#N/A</v>
      </c>
      <c r="P152" t="e">
        <f t="shared" si="261"/>
        <v>#N/A</v>
      </c>
      <c r="Q152" t="e">
        <f t="shared" si="261"/>
        <v>#N/A</v>
      </c>
      <c r="R152" t="e">
        <f t="shared" si="261"/>
        <v>#N/A</v>
      </c>
      <c r="S152" t="e">
        <f t="shared" si="261"/>
        <v>#N/A</v>
      </c>
      <c r="T152" t="e">
        <f t="shared" si="261"/>
        <v>#N/A</v>
      </c>
      <c r="U152" t="e">
        <f t="shared" si="261"/>
        <v>#N/A</v>
      </c>
      <c r="V152" t="e">
        <f t="shared" si="261"/>
        <v>#N/A</v>
      </c>
      <c r="W152" t="e">
        <f t="shared" si="261"/>
        <v>#N/A</v>
      </c>
      <c r="X152" t="e">
        <f t="shared" si="261"/>
        <v>#N/A</v>
      </c>
      <c r="Y152" t="e">
        <f t="shared" si="261"/>
        <v>#N/A</v>
      </c>
      <c r="Z152" t="e">
        <f t="shared" si="261"/>
        <v>#N/A</v>
      </c>
      <c r="AA152" t="e">
        <f t="shared" si="261"/>
        <v>#N/A</v>
      </c>
      <c r="AB152" t="e">
        <f t="shared" si="261"/>
        <v>#N/A</v>
      </c>
      <c r="AC152" t="e">
        <f t="shared" si="261"/>
        <v>#N/A</v>
      </c>
      <c r="AD152" t="e">
        <f t="shared" si="261"/>
        <v>#N/A</v>
      </c>
      <c r="AE152" t="e">
        <f t="shared" si="261"/>
        <v>#N/A</v>
      </c>
      <c r="AF152" t="e">
        <f t="shared" si="261"/>
        <v>#N/A</v>
      </c>
      <c r="AG152" t="e">
        <f t="shared" si="261"/>
        <v>#N/A</v>
      </c>
      <c r="AH152" t="e">
        <f t="shared" si="261"/>
        <v>#N/A</v>
      </c>
      <c r="AI152" t="e">
        <f t="shared" si="261"/>
        <v>#N/A</v>
      </c>
      <c r="AJ152" t="e">
        <f t="shared" si="261"/>
        <v>#N/A</v>
      </c>
      <c r="AK152" t="e">
        <f t="shared" si="261"/>
        <v>#N/A</v>
      </c>
      <c r="AL152" t="e">
        <f t="shared" si="261"/>
        <v>#N/A</v>
      </c>
      <c r="AM152" t="e">
        <f t="shared" si="261"/>
        <v>#N/A</v>
      </c>
      <c r="AN152" t="e">
        <f t="shared" si="261"/>
        <v>#N/A</v>
      </c>
      <c r="AO152" t="e">
        <f t="shared" si="261"/>
        <v>#N/A</v>
      </c>
      <c r="AP152" t="e">
        <f t="shared" si="261"/>
        <v>#N/A</v>
      </c>
      <c r="AQ152" t="e">
        <f t="shared" si="261"/>
        <v>#N/A</v>
      </c>
      <c r="AR152" t="e">
        <f t="shared" si="261"/>
        <v>#N/A</v>
      </c>
      <c r="AS152" t="e">
        <f t="shared" si="261"/>
        <v>#N/A</v>
      </c>
      <c r="AT152" t="e">
        <f t="shared" si="261"/>
        <v>#N/A</v>
      </c>
      <c r="AU152" t="e">
        <f t="shared" si="261"/>
        <v>#N/A</v>
      </c>
      <c r="AV152" t="e">
        <f t="shared" si="261"/>
        <v>#N/A</v>
      </c>
      <c r="AW152" t="e">
        <f t="shared" si="261"/>
        <v>#N/A</v>
      </c>
      <c r="AX152" t="e">
        <f t="shared" si="261"/>
        <v>#N/A</v>
      </c>
      <c r="AY152" t="e">
        <f t="shared" si="261"/>
        <v>#N/A</v>
      </c>
      <c r="AZ152" t="e">
        <f t="shared" si="261"/>
        <v>#N/A</v>
      </c>
      <c r="BA152" t="e">
        <f t="shared" si="261"/>
        <v>#N/A</v>
      </c>
      <c r="BB152" t="e">
        <f t="shared" si="261"/>
        <v>#N/A</v>
      </c>
      <c r="BC152" t="e">
        <f t="shared" si="261"/>
        <v>#N/A</v>
      </c>
      <c r="BD152" t="e">
        <f t="shared" si="261"/>
        <v>#N/A</v>
      </c>
      <c r="BE152" t="e">
        <f t="shared" si="261"/>
        <v>#N/A</v>
      </c>
      <c r="BF152" t="e">
        <f t="shared" si="261"/>
        <v>#N/A</v>
      </c>
      <c r="BG152" t="e">
        <f t="shared" si="261"/>
        <v>#N/A</v>
      </c>
      <c r="BH152" t="e">
        <f t="shared" si="261"/>
        <v>#N/A</v>
      </c>
      <c r="BI152" t="e">
        <f t="shared" si="261"/>
        <v>#N/A</v>
      </c>
      <c r="BJ152" t="e">
        <f t="shared" si="261"/>
        <v>#N/A</v>
      </c>
      <c r="BK152" t="e">
        <f t="shared" si="261"/>
        <v>#N/A</v>
      </c>
      <c r="BL152" t="e">
        <f t="shared" si="261"/>
        <v>#N/A</v>
      </c>
      <c r="BM152" t="e">
        <f t="shared" si="261"/>
        <v>#N/A</v>
      </c>
      <c r="BN152" t="e">
        <f t="shared" si="261"/>
        <v>#N/A</v>
      </c>
      <c r="BO152" t="e">
        <f t="shared" si="261"/>
        <v>#N/A</v>
      </c>
      <c r="BP152" t="e">
        <f t="shared" si="261"/>
        <v>#N/A</v>
      </c>
      <c r="BQ152" t="e">
        <f t="shared" si="261"/>
        <v>#N/A</v>
      </c>
      <c r="BR152" t="e">
        <f t="shared" si="261"/>
        <v>#N/A</v>
      </c>
      <c r="BS152" t="e">
        <f t="shared" si="261"/>
        <v>#N/A</v>
      </c>
      <c r="BT152" t="e">
        <f t="shared" si="261"/>
        <v>#N/A</v>
      </c>
      <c r="BU152" t="e">
        <f t="shared" si="261"/>
        <v>#N/A</v>
      </c>
      <c r="BV152" t="e">
        <f t="shared" si="261"/>
        <v>#N/A</v>
      </c>
      <c r="BW152" t="e">
        <f t="shared" si="261"/>
        <v>#N/A</v>
      </c>
      <c r="BX152" t="e">
        <f t="shared" si="261"/>
        <v>#N/A</v>
      </c>
      <c r="BY152" t="e">
        <f t="shared" si="261"/>
        <v>#N/A</v>
      </c>
      <c r="BZ152" t="e">
        <f t="shared" ref="BZ152:CS152" si="262">IFERROR(IF($A152,IF(NOT(BZ134=0),BZ134,NA())),NA())</f>
        <v>#N/A</v>
      </c>
      <c r="CA152" t="e">
        <f t="shared" si="262"/>
        <v>#N/A</v>
      </c>
      <c r="CB152" t="e">
        <f t="shared" si="262"/>
        <v>#N/A</v>
      </c>
      <c r="CC152" t="e">
        <f t="shared" si="262"/>
        <v>#N/A</v>
      </c>
      <c r="CD152" t="e">
        <f t="shared" si="262"/>
        <v>#N/A</v>
      </c>
      <c r="CE152" t="e">
        <f t="shared" si="262"/>
        <v>#N/A</v>
      </c>
      <c r="CF152" t="e">
        <f t="shared" si="262"/>
        <v>#N/A</v>
      </c>
      <c r="CG152" t="e">
        <f t="shared" si="262"/>
        <v>#N/A</v>
      </c>
      <c r="CH152" t="e">
        <f t="shared" si="262"/>
        <v>#N/A</v>
      </c>
      <c r="CI152" t="e">
        <f t="shared" si="262"/>
        <v>#N/A</v>
      </c>
      <c r="CJ152" t="e">
        <f t="shared" si="262"/>
        <v>#N/A</v>
      </c>
      <c r="CK152" t="e">
        <f t="shared" si="262"/>
        <v>#N/A</v>
      </c>
      <c r="CL152" t="e">
        <f t="shared" si="262"/>
        <v>#N/A</v>
      </c>
      <c r="CM152" t="e">
        <f t="shared" si="262"/>
        <v>#N/A</v>
      </c>
      <c r="CN152" t="e">
        <f t="shared" si="262"/>
        <v>#N/A</v>
      </c>
      <c r="CO152" t="e">
        <f t="shared" si="262"/>
        <v>#N/A</v>
      </c>
      <c r="CP152" t="e">
        <f t="shared" si="262"/>
        <v>#N/A</v>
      </c>
      <c r="CQ152" t="e">
        <f t="shared" si="262"/>
        <v>#N/A</v>
      </c>
      <c r="CR152" t="e">
        <f t="shared" si="262"/>
        <v>#N/A</v>
      </c>
      <c r="CS152" t="e">
        <f t="shared" si="262"/>
        <v>#N/A</v>
      </c>
      <c r="CT152" t="e">
        <f t="shared" ref="CT152:DR152" si="263">IFERROR(IF($A152,IF(NOT(CT134=0),CT134,NA())),NA())</f>
        <v>#N/A</v>
      </c>
      <c r="CU152" t="e">
        <f t="shared" si="263"/>
        <v>#N/A</v>
      </c>
      <c r="CV152" t="e">
        <f t="shared" si="263"/>
        <v>#N/A</v>
      </c>
      <c r="CW152" t="e">
        <f t="shared" si="263"/>
        <v>#N/A</v>
      </c>
      <c r="CX152" t="e">
        <f t="shared" si="263"/>
        <v>#N/A</v>
      </c>
      <c r="CY152" t="e">
        <f t="shared" si="263"/>
        <v>#N/A</v>
      </c>
      <c r="CZ152" t="e">
        <f t="shared" si="263"/>
        <v>#N/A</v>
      </c>
      <c r="DA152" t="e">
        <f t="shared" si="263"/>
        <v>#N/A</v>
      </c>
      <c r="DB152" t="e">
        <f t="shared" si="263"/>
        <v>#N/A</v>
      </c>
      <c r="DC152" t="e">
        <f t="shared" si="263"/>
        <v>#N/A</v>
      </c>
      <c r="DD152" t="e">
        <f t="shared" si="263"/>
        <v>#N/A</v>
      </c>
      <c r="DE152" t="e">
        <f t="shared" si="263"/>
        <v>#N/A</v>
      </c>
      <c r="DF152" t="e">
        <f t="shared" si="263"/>
        <v>#N/A</v>
      </c>
      <c r="DG152" t="e">
        <f t="shared" si="263"/>
        <v>#N/A</v>
      </c>
      <c r="DH152" t="e">
        <f t="shared" si="263"/>
        <v>#N/A</v>
      </c>
      <c r="DI152" t="e">
        <f t="shared" si="263"/>
        <v>#N/A</v>
      </c>
      <c r="DJ152" t="e">
        <f t="shared" si="263"/>
        <v>#N/A</v>
      </c>
      <c r="DK152" t="e">
        <f t="shared" si="263"/>
        <v>#N/A</v>
      </c>
      <c r="DL152" t="e">
        <f t="shared" si="263"/>
        <v>#N/A</v>
      </c>
      <c r="DM152" t="e">
        <f t="shared" si="263"/>
        <v>#N/A</v>
      </c>
      <c r="DN152" t="e">
        <f t="shared" si="263"/>
        <v>#N/A</v>
      </c>
      <c r="DO152" t="e">
        <f t="shared" si="263"/>
        <v>#N/A</v>
      </c>
      <c r="DP152" t="e">
        <f t="shared" si="263"/>
        <v>#N/A</v>
      </c>
      <c r="DQ152" t="e">
        <f t="shared" si="263"/>
        <v>#N/A</v>
      </c>
      <c r="DR152" s="686" t="e">
        <f t="shared" si="263"/>
        <v>#N/A</v>
      </c>
    </row>
    <row r="153" spans="1:122" x14ac:dyDescent="0.35">
      <c r="A153" s="685" t="b">
        <v>1</v>
      </c>
      <c r="B153" t="s">
        <v>2160</v>
      </c>
      <c r="M153" t="e">
        <f>IF(SUMIF(M142:M152,"&lt;&gt;#I/T",M142:M152)=0,NA(),SUMIF(M142:M152,"&lt;&gt;#I/T",M142:M152))</f>
        <v>#N/A</v>
      </c>
      <c r="N153" t="e">
        <f t="shared" ref="N153:BY153" si="264">IF(SUMIF(N142:N152,"&lt;&gt;#I/T",N142:N152)=0,NA(),SUMIF(N142:N152,"&lt;&gt;#I/T",N142:N152))</f>
        <v>#N/A</v>
      </c>
      <c r="O153" t="e">
        <f t="shared" si="264"/>
        <v>#N/A</v>
      </c>
      <c r="P153" t="e">
        <f t="shared" si="264"/>
        <v>#N/A</v>
      </c>
      <c r="Q153" t="e">
        <f t="shared" si="264"/>
        <v>#N/A</v>
      </c>
      <c r="R153" t="e">
        <f t="shared" si="264"/>
        <v>#N/A</v>
      </c>
      <c r="S153" t="e">
        <f t="shared" si="264"/>
        <v>#N/A</v>
      </c>
      <c r="T153" t="e">
        <f t="shared" si="264"/>
        <v>#N/A</v>
      </c>
      <c r="U153" t="e">
        <f t="shared" si="264"/>
        <v>#N/A</v>
      </c>
      <c r="V153" t="e">
        <f t="shared" si="264"/>
        <v>#N/A</v>
      </c>
      <c r="W153" t="e">
        <f t="shared" ca="1" si="264"/>
        <v>#N/A</v>
      </c>
      <c r="X153" t="e">
        <f t="shared" ca="1" si="264"/>
        <v>#N/A</v>
      </c>
      <c r="Y153" t="e">
        <f t="shared" ca="1" si="264"/>
        <v>#N/A</v>
      </c>
      <c r="Z153" t="e">
        <f t="shared" ca="1" si="264"/>
        <v>#N/A</v>
      </c>
      <c r="AA153" t="e">
        <f t="shared" ca="1" si="264"/>
        <v>#N/A</v>
      </c>
      <c r="AB153" t="e">
        <f t="shared" ca="1" si="264"/>
        <v>#N/A</v>
      </c>
      <c r="AC153" t="e">
        <f t="shared" ca="1" si="264"/>
        <v>#N/A</v>
      </c>
      <c r="AD153" t="e">
        <f t="shared" ca="1" si="264"/>
        <v>#N/A</v>
      </c>
      <c r="AE153" t="e">
        <f t="shared" ca="1" si="264"/>
        <v>#N/A</v>
      </c>
      <c r="AF153" t="e">
        <f t="shared" ca="1" si="264"/>
        <v>#N/A</v>
      </c>
      <c r="AG153" t="e">
        <f t="shared" ca="1" si="264"/>
        <v>#N/A</v>
      </c>
      <c r="AH153" t="e">
        <f t="shared" ca="1" si="264"/>
        <v>#N/A</v>
      </c>
      <c r="AI153" t="e">
        <f t="shared" ca="1" si="264"/>
        <v>#N/A</v>
      </c>
      <c r="AJ153" t="e">
        <f t="shared" ca="1" si="264"/>
        <v>#N/A</v>
      </c>
      <c r="AK153" t="e">
        <f t="shared" ca="1" si="264"/>
        <v>#N/A</v>
      </c>
      <c r="AL153" t="e">
        <f t="shared" ca="1" si="264"/>
        <v>#N/A</v>
      </c>
      <c r="AM153" t="e">
        <f t="shared" ca="1" si="264"/>
        <v>#N/A</v>
      </c>
      <c r="AN153" t="e">
        <f t="shared" ca="1" si="264"/>
        <v>#N/A</v>
      </c>
      <c r="AO153" t="e">
        <f t="shared" ca="1" si="264"/>
        <v>#N/A</v>
      </c>
      <c r="AP153" t="e">
        <f t="shared" ca="1" si="264"/>
        <v>#N/A</v>
      </c>
      <c r="AQ153" t="e">
        <f t="shared" ca="1" si="264"/>
        <v>#N/A</v>
      </c>
      <c r="AR153" t="e">
        <f t="shared" ca="1" si="264"/>
        <v>#N/A</v>
      </c>
      <c r="AS153" t="e">
        <f t="shared" ca="1" si="264"/>
        <v>#N/A</v>
      </c>
      <c r="AT153" t="e">
        <f t="shared" ca="1" si="264"/>
        <v>#N/A</v>
      </c>
      <c r="AU153" t="e">
        <f t="shared" ca="1" si="264"/>
        <v>#N/A</v>
      </c>
      <c r="AV153" t="e">
        <f t="shared" ca="1" si="264"/>
        <v>#N/A</v>
      </c>
      <c r="AW153" t="e">
        <f t="shared" ca="1" si="264"/>
        <v>#N/A</v>
      </c>
      <c r="AX153" t="e">
        <f t="shared" ca="1" si="264"/>
        <v>#N/A</v>
      </c>
      <c r="AY153" t="e">
        <f t="shared" ca="1" si="264"/>
        <v>#N/A</v>
      </c>
      <c r="AZ153" t="e">
        <f t="shared" ca="1" si="264"/>
        <v>#N/A</v>
      </c>
      <c r="BA153" t="e">
        <f t="shared" ca="1" si="264"/>
        <v>#N/A</v>
      </c>
      <c r="BB153" t="e">
        <f t="shared" ca="1" si="264"/>
        <v>#N/A</v>
      </c>
      <c r="BC153" t="e">
        <f t="shared" ca="1" si="264"/>
        <v>#N/A</v>
      </c>
      <c r="BD153" t="e">
        <f t="shared" ca="1" si="264"/>
        <v>#N/A</v>
      </c>
      <c r="BE153" t="e">
        <f t="shared" ca="1" si="264"/>
        <v>#N/A</v>
      </c>
      <c r="BF153" t="e">
        <f t="shared" ca="1" si="264"/>
        <v>#N/A</v>
      </c>
      <c r="BG153" t="e">
        <f t="shared" ca="1" si="264"/>
        <v>#N/A</v>
      </c>
      <c r="BH153" t="e">
        <f t="shared" ca="1" si="264"/>
        <v>#N/A</v>
      </c>
      <c r="BI153" t="e">
        <f t="shared" ca="1" si="264"/>
        <v>#N/A</v>
      </c>
      <c r="BJ153" t="e">
        <f t="shared" ca="1" si="264"/>
        <v>#N/A</v>
      </c>
      <c r="BK153" t="e">
        <f t="shared" ca="1" si="264"/>
        <v>#N/A</v>
      </c>
      <c r="BL153" t="e">
        <f t="shared" ca="1" si="264"/>
        <v>#N/A</v>
      </c>
      <c r="BM153" t="e">
        <f t="shared" ca="1" si="264"/>
        <v>#N/A</v>
      </c>
      <c r="BN153" t="e">
        <f t="shared" ca="1" si="264"/>
        <v>#N/A</v>
      </c>
      <c r="BO153" t="e">
        <f t="shared" ca="1" si="264"/>
        <v>#N/A</v>
      </c>
      <c r="BP153" t="e">
        <f t="shared" ca="1" si="264"/>
        <v>#N/A</v>
      </c>
      <c r="BQ153" t="e">
        <f t="shared" ca="1" si="264"/>
        <v>#N/A</v>
      </c>
      <c r="BR153" t="e">
        <f t="shared" ca="1" si="264"/>
        <v>#N/A</v>
      </c>
      <c r="BS153" t="e">
        <f t="shared" ca="1" si="264"/>
        <v>#N/A</v>
      </c>
      <c r="BT153" t="e">
        <f t="shared" ca="1" si="264"/>
        <v>#N/A</v>
      </c>
      <c r="BU153" t="e">
        <f t="shared" ca="1" si="264"/>
        <v>#N/A</v>
      </c>
      <c r="BV153" t="e">
        <f t="shared" ca="1" si="264"/>
        <v>#N/A</v>
      </c>
      <c r="BW153" t="e">
        <f t="shared" ca="1" si="264"/>
        <v>#N/A</v>
      </c>
      <c r="BX153" t="e">
        <f t="shared" ca="1" si="264"/>
        <v>#N/A</v>
      </c>
      <c r="BY153" t="e">
        <f t="shared" ca="1" si="264"/>
        <v>#N/A</v>
      </c>
      <c r="BZ153" t="e">
        <f t="shared" ref="BZ153:CS153" ca="1" si="265">IF(SUMIF(BZ142:BZ152,"&lt;&gt;#I/T",BZ142:BZ152)=0,NA(),SUMIF(BZ142:BZ152,"&lt;&gt;#I/T",BZ142:BZ152))</f>
        <v>#N/A</v>
      </c>
      <c r="CA153" t="e">
        <f t="shared" ca="1" si="265"/>
        <v>#N/A</v>
      </c>
      <c r="CB153" t="e">
        <f t="shared" ca="1" si="265"/>
        <v>#N/A</v>
      </c>
      <c r="CC153" t="e">
        <f t="shared" ca="1" si="265"/>
        <v>#N/A</v>
      </c>
      <c r="CD153" t="e">
        <f t="shared" ca="1" si="265"/>
        <v>#N/A</v>
      </c>
      <c r="CE153" t="e">
        <f t="shared" ca="1" si="265"/>
        <v>#N/A</v>
      </c>
      <c r="CF153" t="e">
        <f t="shared" ca="1" si="265"/>
        <v>#N/A</v>
      </c>
      <c r="CG153" t="e">
        <f t="shared" ca="1" si="265"/>
        <v>#N/A</v>
      </c>
      <c r="CH153" t="e">
        <f t="shared" ca="1" si="265"/>
        <v>#N/A</v>
      </c>
      <c r="CI153" t="e">
        <f t="shared" ca="1" si="265"/>
        <v>#N/A</v>
      </c>
      <c r="CJ153" t="e">
        <f t="shared" ca="1" si="265"/>
        <v>#N/A</v>
      </c>
      <c r="CK153" t="e">
        <f t="shared" ca="1" si="265"/>
        <v>#N/A</v>
      </c>
      <c r="CL153" t="e">
        <f t="shared" ca="1" si="265"/>
        <v>#N/A</v>
      </c>
      <c r="CM153" t="e">
        <f t="shared" ca="1" si="265"/>
        <v>#N/A</v>
      </c>
      <c r="CN153" t="e">
        <f t="shared" ca="1" si="265"/>
        <v>#N/A</v>
      </c>
      <c r="CO153" t="e">
        <f t="shared" ca="1" si="265"/>
        <v>#N/A</v>
      </c>
      <c r="CP153" t="e">
        <f t="shared" ca="1" si="265"/>
        <v>#N/A</v>
      </c>
      <c r="CQ153" t="e">
        <f t="shared" ca="1" si="265"/>
        <v>#N/A</v>
      </c>
      <c r="CR153" t="e">
        <f t="shared" ca="1" si="265"/>
        <v>#N/A</v>
      </c>
      <c r="CS153" t="e">
        <f t="shared" ca="1" si="265"/>
        <v>#N/A</v>
      </c>
      <c r="CT153" t="e">
        <f t="shared" ref="CT153:DR153" ca="1" si="266">IF(SUMIF(CT142:CT152,"&lt;&gt;#I/T",CT142:CT152)=0,NA(),SUMIF(CT142:CT152,"&lt;&gt;#I/T",CT142:CT152))</f>
        <v>#N/A</v>
      </c>
      <c r="CU153" t="e">
        <f t="shared" ca="1" si="266"/>
        <v>#N/A</v>
      </c>
      <c r="CV153" t="e">
        <f t="shared" ca="1" si="266"/>
        <v>#N/A</v>
      </c>
      <c r="CW153" t="e">
        <f t="shared" ca="1" si="266"/>
        <v>#N/A</v>
      </c>
      <c r="CX153" t="e">
        <f t="shared" ca="1" si="266"/>
        <v>#N/A</v>
      </c>
      <c r="CY153" t="e">
        <f t="shared" ca="1" si="266"/>
        <v>#N/A</v>
      </c>
      <c r="CZ153" t="e">
        <f t="shared" ca="1" si="266"/>
        <v>#N/A</v>
      </c>
      <c r="DA153" t="e">
        <f t="shared" ca="1" si="266"/>
        <v>#N/A</v>
      </c>
      <c r="DB153" t="e">
        <f t="shared" ca="1" si="266"/>
        <v>#N/A</v>
      </c>
      <c r="DC153" t="e">
        <f t="shared" ca="1" si="266"/>
        <v>#N/A</v>
      </c>
      <c r="DD153" t="e">
        <f t="shared" ca="1" si="266"/>
        <v>#N/A</v>
      </c>
      <c r="DE153" t="e">
        <f t="shared" ca="1" si="266"/>
        <v>#N/A</v>
      </c>
      <c r="DF153" t="e">
        <f t="shared" ca="1" si="266"/>
        <v>#N/A</v>
      </c>
      <c r="DG153" t="e">
        <f t="shared" ca="1" si="266"/>
        <v>#N/A</v>
      </c>
      <c r="DH153" t="e">
        <f t="shared" ca="1" si="266"/>
        <v>#N/A</v>
      </c>
      <c r="DI153" t="e">
        <f t="shared" ca="1" si="266"/>
        <v>#N/A</v>
      </c>
      <c r="DJ153" t="e">
        <f t="shared" ca="1" si="266"/>
        <v>#N/A</v>
      </c>
      <c r="DK153" t="e">
        <f t="shared" ca="1" si="266"/>
        <v>#N/A</v>
      </c>
      <c r="DL153" t="e">
        <f t="shared" ca="1" si="266"/>
        <v>#N/A</v>
      </c>
      <c r="DM153" t="e">
        <f t="shared" ca="1" si="266"/>
        <v>#N/A</v>
      </c>
      <c r="DN153" t="e">
        <f t="shared" ca="1" si="266"/>
        <v>#N/A</v>
      </c>
      <c r="DO153" t="e">
        <f t="shared" ca="1" si="266"/>
        <v>#N/A</v>
      </c>
      <c r="DP153" t="e">
        <f t="shared" ca="1" si="266"/>
        <v>#N/A</v>
      </c>
      <c r="DQ153" t="e">
        <f t="shared" ca="1" si="266"/>
        <v>#N/A</v>
      </c>
      <c r="DR153" s="686" t="e">
        <f t="shared" ca="1" si="266"/>
        <v>#N/A</v>
      </c>
    </row>
    <row r="154" spans="1:122" x14ac:dyDescent="0.35">
      <c r="A154" s="685" t="b">
        <v>1</v>
      </c>
      <c r="B154" t="str">
        <f>B17</f>
        <v>Karbonprisbane, KPI-justert</v>
      </c>
      <c r="M154" t="e">
        <f t="shared" ref="M154:V155" si="267">IF($A154,C17,NA())</f>
        <v>#N/A</v>
      </c>
      <c r="N154" t="e">
        <f t="shared" si="267"/>
        <v>#N/A</v>
      </c>
      <c r="O154" t="e">
        <f t="shared" si="267"/>
        <v>#N/A</v>
      </c>
      <c r="P154" t="e">
        <f t="shared" si="267"/>
        <v>#N/A</v>
      </c>
      <c r="Q154" t="e">
        <f t="shared" si="267"/>
        <v>#N/A</v>
      </c>
      <c r="R154" t="e">
        <f t="shared" si="267"/>
        <v>#N/A</v>
      </c>
      <c r="S154" t="e">
        <f t="shared" si="267"/>
        <v>#N/A</v>
      </c>
      <c r="T154" t="e">
        <f t="shared" si="267"/>
        <v>#N/A</v>
      </c>
      <c r="U154" t="e">
        <f t="shared" si="267"/>
        <v>#N/A</v>
      </c>
      <c r="V154" t="e">
        <f t="shared" si="267"/>
        <v>#N/A</v>
      </c>
      <c r="W154" t="e">
        <f t="shared" ref="W154:AF155" si="268">IF($A154,M17,NA())</f>
        <v>#N/A</v>
      </c>
      <c r="X154" t="e">
        <f t="shared" si="268"/>
        <v>#N/A</v>
      </c>
      <c r="Y154" t="e">
        <f t="shared" si="268"/>
        <v>#N/A</v>
      </c>
      <c r="Z154" t="e">
        <f t="shared" si="268"/>
        <v>#N/A</v>
      </c>
      <c r="AA154" t="e">
        <f t="shared" si="268"/>
        <v>#N/A</v>
      </c>
      <c r="AB154" t="e">
        <f t="shared" si="268"/>
        <v>#N/A</v>
      </c>
      <c r="AC154" t="e">
        <f t="shared" si="268"/>
        <v>#N/A</v>
      </c>
      <c r="AD154" t="e">
        <f t="shared" si="268"/>
        <v>#N/A</v>
      </c>
      <c r="AE154" t="e">
        <f t="shared" si="268"/>
        <v>#N/A</v>
      </c>
      <c r="AF154" t="e">
        <f t="shared" si="268"/>
        <v>#N/A</v>
      </c>
      <c r="AG154" t="e">
        <f t="shared" ref="AG154:AP155" si="269">IF($A154,W17,NA())</f>
        <v>#N/A</v>
      </c>
      <c r="AH154" t="e">
        <f t="shared" si="269"/>
        <v>#N/A</v>
      </c>
      <c r="AI154" t="e">
        <f t="shared" si="269"/>
        <v>#N/A</v>
      </c>
      <c r="AJ154" t="e">
        <f t="shared" si="269"/>
        <v>#N/A</v>
      </c>
      <c r="AK154" t="e">
        <f t="shared" si="269"/>
        <v>#N/A</v>
      </c>
      <c r="AL154" t="e">
        <f t="shared" si="269"/>
        <v>#N/A</v>
      </c>
      <c r="AM154" t="e">
        <f t="shared" si="269"/>
        <v>#N/A</v>
      </c>
      <c r="AN154" t="e">
        <f t="shared" si="269"/>
        <v>#N/A</v>
      </c>
      <c r="AO154" t="e">
        <f t="shared" si="269"/>
        <v>#N/A</v>
      </c>
      <c r="AP154" t="e">
        <f t="shared" si="269"/>
        <v>#N/A</v>
      </c>
      <c r="AQ154" t="e">
        <f t="shared" ref="AQ154:AZ155" si="270">IF($A154,AG17,NA())</f>
        <v>#N/A</v>
      </c>
      <c r="AR154" t="e">
        <f t="shared" si="270"/>
        <v>#N/A</v>
      </c>
      <c r="AS154" t="e">
        <f t="shared" si="270"/>
        <v>#N/A</v>
      </c>
      <c r="AT154" t="e">
        <f t="shared" si="270"/>
        <v>#N/A</v>
      </c>
      <c r="AU154" t="e">
        <f t="shared" si="270"/>
        <v>#N/A</v>
      </c>
      <c r="AV154" t="e">
        <f t="shared" si="270"/>
        <v>#N/A</v>
      </c>
      <c r="AW154" t="e">
        <f t="shared" si="270"/>
        <v>#N/A</v>
      </c>
      <c r="AX154" t="e">
        <f t="shared" si="270"/>
        <v>#N/A</v>
      </c>
      <c r="AY154" t="e">
        <f t="shared" si="270"/>
        <v>#N/A</v>
      </c>
      <c r="AZ154" t="e">
        <f t="shared" si="270"/>
        <v>#N/A</v>
      </c>
      <c r="BA154" t="e">
        <f t="shared" ref="BA154:BJ155" si="271">IF($A154,AQ17,NA())</f>
        <v>#N/A</v>
      </c>
      <c r="BB154" t="e">
        <f t="shared" si="271"/>
        <v>#N/A</v>
      </c>
      <c r="BC154" t="e">
        <f t="shared" si="271"/>
        <v>#N/A</v>
      </c>
      <c r="BD154" t="e">
        <f t="shared" si="271"/>
        <v>#N/A</v>
      </c>
      <c r="BE154" t="e">
        <f t="shared" si="271"/>
        <v>#N/A</v>
      </c>
      <c r="BF154" t="e">
        <f t="shared" si="271"/>
        <v>#N/A</v>
      </c>
      <c r="BG154" t="e">
        <f t="shared" si="271"/>
        <v>#N/A</v>
      </c>
      <c r="BH154" t="e">
        <f t="shared" si="271"/>
        <v>#N/A</v>
      </c>
      <c r="BI154" t="e">
        <f t="shared" si="271"/>
        <v>#N/A</v>
      </c>
      <c r="BJ154" t="e">
        <f t="shared" si="271"/>
        <v>#N/A</v>
      </c>
      <c r="BK154" t="e">
        <f t="shared" ref="BK154:BT155" si="272">IF($A154,BA17,NA())</f>
        <v>#N/A</v>
      </c>
      <c r="BL154" t="e">
        <f t="shared" si="272"/>
        <v>#N/A</v>
      </c>
      <c r="BM154" t="e">
        <f t="shared" si="272"/>
        <v>#N/A</v>
      </c>
      <c r="BN154" t="e">
        <f t="shared" si="272"/>
        <v>#N/A</v>
      </c>
      <c r="BO154" t="e">
        <f t="shared" si="272"/>
        <v>#N/A</v>
      </c>
      <c r="BP154" t="e">
        <f t="shared" si="272"/>
        <v>#N/A</v>
      </c>
      <c r="BQ154" t="e">
        <f t="shared" si="272"/>
        <v>#N/A</v>
      </c>
      <c r="BR154" t="e">
        <f t="shared" si="272"/>
        <v>#N/A</v>
      </c>
      <c r="BS154" t="e">
        <f t="shared" si="272"/>
        <v>#N/A</v>
      </c>
      <c r="BT154" t="e">
        <f t="shared" si="272"/>
        <v>#N/A</v>
      </c>
      <c r="BU154" t="e">
        <f t="shared" ref="BU154:CD155" si="273">IF($A154,BK17,NA())</f>
        <v>#N/A</v>
      </c>
      <c r="BV154" t="e">
        <f t="shared" si="273"/>
        <v>#N/A</v>
      </c>
      <c r="BW154" t="e">
        <f t="shared" si="273"/>
        <v>#N/A</v>
      </c>
      <c r="BX154" t="e">
        <f t="shared" si="273"/>
        <v>#N/A</v>
      </c>
      <c r="BY154" t="e">
        <f t="shared" si="273"/>
        <v>#N/A</v>
      </c>
      <c r="BZ154" t="e">
        <f t="shared" si="273"/>
        <v>#N/A</v>
      </c>
      <c r="CA154" t="e">
        <f t="shared" si="273"/>
        <v>#N/A</v>
      </c>
      <c r="CB154" t="e">
        <f t="shared" si="273"/>
        <v>#N/A</v>
      </c>
      <c r="CC154" t="e">
        <f t="shared" si="273"/>
        <v>#N/A</v>
      </c>
      <c r="CD154" t="e">
        <f t="shared" si="273"/>
        <v>#N/A</v>
      </c>
      <c r="CE154" t="e">
        <f t="shared" ref="CE154:CN155" si="274">IF($A154,BU17,NA())</f>
        <v>#N/A</v>
      </c>
      <c r="CF154" t="e">
        <f t="shared" si="274"/>
        <v>#N/A</v>
      </c>
      <c r="CG154" t="e">
        <f t="shared" si="274"/>
        <v>#N/A</v>
      </c>
      <c r="CH154" t="e">
        <f t="shared" si="274"/>
        <v>#N/A</v>
      </c>
      <c r="CI154" t="e">
        <f t="shared" si="274"/>
        <v>#N/A</v>
      </c>
      <c r="CJ154" t="e">
        <f t="shared" si="274"/>
        <v>#N/A</v>
      </c>
      <c r="CK154" t="e">
        <f t="shared" si="274"/>
        <v>#N/A</v>
      </c>
      <c r="CL154" t="e">
        <f t="shared" si="274"/>
        <v>#N/A</v>
      </c>
      <c r="CM154" t="e">
        <f t="shared" si="274"/>
        <v>#N/A</v>
      </c>
      <c r="CN154" t="e">
        <f t="shared" si="274"/>
        <v>#N/A</v>
      </c>
      <c r="CO154" t="e">
        <f t="shared" ref="CO154:CT155" si="275">IF($A154,CE17,NA())</f>
        <v>#N/A</v>
      </c>
      <c r="CP154" t="e">
        <f t="shared" si="275"/>
        <v>#N/A</v>
      </c>
      <c r="CQ154" t="e">
        <f t="shared" si="275"/>
        <v>#N/A</v>
      </c>
      <c r="CR154" t="e">
        <f t="shared" si="275"/>
        <v>#N/A</v>
      </c>
      <c r="CS154" t="e">
        <f t="shared" si="275"/>
        <v>#N/A</v>
      </c>
      <c r="CT154" t="e">
        <f t="shared" si="275"/>
        <v>#N/A</v>
      </c>
      <c r="CU154" t="e">
        <f t="shared" ref="CU154:CU155" si="276">IF($A154,CK17,NA())</f>
        <v>#N/A</v>
      </c>
      <c r="CV154" t="e">
        <f t="shared" ref="CV154:CV155" si="277">IF($A154,CL17,NA())</f>
        <v>#N/A</v>
      </c>
      <c r="CW154" t="e">
        <f t="shared" ref="CW154:CW155" si="278">IF($A154,CM17,NA())</f>
        <v>#N/A</v>
      </c>
      <c r="CX154" t="e">
        <f t="shared" ref="CX154:CX155" si="279">IF($A154,CN17,NA())</f>
        <v>#N/A</v>
      </c>
      <c r="CY154" t="e">
        <f t="shared" ref="CY154:CY155" si="280">IF($A154,CO17,NA())</f>
        <v>#N/A</v>
      </c>
      <c r="CZ154" t="e">
        <f t="shared" ref="CZ154:CZ155" si="281">IF($A154,CP17,NA())</f>
        <v>#N/A</v>
      </c>
      <c r="DA154" t="e">
        <f t="shared" ref="DA154:DA155" si="282">IF($A154,CQ17,NA())</f>
        <v>#N/A</v>
      </c>
      <c r="DB154" t="e">
        <f t="shared" ref="DB154:DB155" si="283">IF($A154,CR17,NA())</f>
        <v>#N/A</v>
      </c>
      <c r="DC154" t="e">
        <f t="shared" ref="DC154:DC155" si="284">IF($A154,CS17,NA())</f>
        <v>#N/A</v>
      </c>
      <c r="DD154" t="e">
        <f t="shared" ref="DD154:DD155" si="285">IF($A154,CT17,NA())</f>
        <v>#N/A</v>
      </c>
      <c r="DE154" t="e">
        <f t="shared" ref="DE154:DE155" si="286">IF($A154,CU17,NA())</f>
        <v>#N/A</v>
      </c>
      <c r="DF154" t="e">
        <f t="shared" ref="DF154:DF155" si="287">IF($A154,CV17,NA())</f>
        <v>#N/A</v>
      </c>
      <c r="DG154" t="e">
        <f t="shared" ref="DG154:DG155" si="288">IF($A154,CW17,NA())</f>
        <v>#N/A</v>
      </c>
      <c r="DH154" t="e">
        <f t="shared" ref="DH154:DH155" si="289">IF($A154,CX17,NA())</f>
        <v>#N/A</v>
      </c>
      <c r="DI154" t="e">
        <f t="shared" ref="DI154:DI155" si="290">IF($A154,CY17,NA())</f>
        <v>#N/A</v>
      </c>
      <c r="DJ154" t="e">
        <f t="shared" ref="DJ154:DJ155" si="291">IF($A154,CZ17,NA())</f>
        <v>#N/A</v>
      </c>
      <c r="DK154" t="e">
        <f t="shared" ref="DK154:DK155" si="292">IF($A154,DA17,NA())</f>
        <v>#N/A</v>
      </c>
      <c r="DL154" t="e">
        <f t="shared" ref="DL154:DL155" si="293">IF($A154,DB17,NA())</f>
        <v>#N/A</v>
      </c>
      <c r="DM154" t="e">
        <f t="shared" ref="DM154:DM155" si="294">IF($A154,DC17,NA())</f>
        <v>#N/A</v>
      </c>
      <c r="DN154" t="e">
        <f t="shared" ref="DN154:DN155" si="295">IF($A154,DD17,NA())</f>
        <v>#N/A</v>
      </c>
      <c r="DO154" t="e">
        <f t="shared" ref="DO154:DO155" si="296">IF($A154,DE17,NA())</f>
        <v>#N/A</v>
      </c>
      <c r="DP154" t="e">
        <f t="shared" ref="DP154:DP155" si="297">IF($A154,DF17,NA())</f>
        <v>#N/A</v>
      </c>
      <c r="DQ154" t="e">
        <f t="shared" ref="DQ154:DQ155" si="298">IF($A154,DG17,NA())</f>
        <v>#N/A</v>
      </c>
      <c r="DR154" s="686" t="e">
        <f t="shared" ref="DR154:DR155" si="299">IF($A154,DH17,NA())</f>
        <v>#N/A</v>
      </c>
    </row>
    <row r="155" spans="1:122" ht="15" thickBot="1" x14ac:dyDescent="0.4">
      <c r="A155" s="687" t="b">
        <v>1</v>
      </c>
      <c r="B155" s="688" t="str">
        <f>B18</f>
        <v>CO2-avgiftsbane, KPI-justert</v>
      </c>
      <c r="C155" s="688"/>
      <c r="D155" s="688"/>
      <c r="E155" s="688"/>
      <c r="F155" s="688"/>
      <c r="G155" s="688"/>
      <c r="H155" s="688"/>
      <c r="I155" s="688"/>
      <c r="J155" s="688"/>
      <c r="K155" s="688"/>
      <c r="L155" s="688"/>
      <c r="M155" s="688" t="e">
        <f t="shared" si="267"/>
        <v>#N/A</v>
      </c>
      <c r="N155" s="688" t="e">
        <f t="shared" si="267"/>
        <v>#N/A</v>
      </c>
      <c r="O155" s="688" t="e">
        <f t="shared" si="267"/>
        <v>#N/A</v>
      </c>
      <c r="P155" s="688" t="e">
        <f t="shared" si="267"/>
        <v>#N/A</v>
      </c>
      <c r="Q155" s="688" t="e">
        <f t="shared" si="267"/>
        <v>#N/A</v>
      </c>
      <c r="R155" s="688" t="e">
        <f t="shared" si="267"/>
        <v>#N/A</v>
      </c>
      <c r="S155" s="688" t="e">
        <f t="shared" si="267"/>
        <v>#N/A</v>
      </c>
      <c r="T155" s="688" t="e">
        <f t="shared" si="267"/>
        <v>#N/A</v>
      </c>
      <c r="U155" s="688" t="e">
        <f t="shared" si="267"/>
        <v>#N/A</v>
      </c>
      <c r="V155" s="688" t="e">
        <f t="shared" si="267"/>
        <v>#N/A</v>
      </c>
      <c r="W155" s="688" t="e">
        <f t="shared" si="268"/>
        <v>#N/A</v>
      </c>
      <c r="X155" s="688" t="e">
        <f t="shared" si="268"/>
        <v>#N/A</v>
      </c>
      <c r="Y155" s="688" t="e">
        <f t="shared" si="268"/>
        <v>#N/A</v>
      </c>
      <c r="Z155" s="688" t="e">
        <f t="shared" si="268"/>
        <v>#N/A</v>
      </c>
      <c r="AA155" s="688" t="e">
        <f t="shared" si="268"/>
        <v>#N/A</v>
      </c>
      <c r="AB155" s="688" t="e">
        <f t="shared" si="268"/>
        <v>#N/A</v>
      </c>
      <c r="AC155" s="688" t="e">
        <f t="shared" si="268"/>
        <v>#N/A</v>
      </c>
      <c r="AD155" s="688" t="e">
        <f t="shared" si="268"/>
        <v>#N/A</v>
      </c>
      <c r="AE155" s="688" t="e">
        <f t="shared" si="268"/>
        <v>#N/A</v>
      </c>
      <c r="AF155" s="688" t="e">
        <f t="shared" si="268"/>
        <v>#N/A</v>
      </c>
      <c r="AG155" s="688" t="e">
        <f t="shared" si="269"/>
        <v>#N/A</v>
      </c>
      <c r="AH155" s="688" t="e">
        <f t="shared" si="269"/>
        <v>#N/A</v>
      </c>
      <c r="AI155" s="688" t="e">
        <f t="shared" si="269"/>
        <v>#N/A</v>
      </c>
      <c r="AJ155" s="688" t="e">
        <f t="shared" si="269"/>
        <v>#N/A</v>
      </c>
      <c r="AK155" s="688" t="e">
        <f t="shared" si="269"/>
        <v>#N/A</v>
      </c>
      <c r="AL155" s="688" t="e">
        <f t="shared" si="269"/>
        <v>#N/A</v>
      </c>
      <c r="AM155" s="688" t="e">
        <f t="shared" si="269"/>
        <v>#N/A</v>
      </c>
      <c r="AN155" s="688" t="e">
        <f t="shared" si="269"/>
        <v>#N/A</v>
      </c>
      <c r="AO155" s="688" t="e">
        <f t="shared" si="269"/>
        <v>#N/A</v>
      </c>
      <c r="AP155" s="688" t="e">
        <f t="shared" si="269"/>
        <v>#N/A</v>
      </c>
      <c r="AQ155" s="688" t="e">
        <f t="shared" si="270"/>
        <v>#N/A</v>
      </c>
      <c r="AR155" s="688" t="e">
        <f t="shared" si="270"/>
        <v>#N/A</v>
      </c>
      <c r="AS155" s="688" t="e">
        <f t="shared" si="270"/>
        <v>#N/A</v>
      </c>
      <c r="AT155" s="688" t="e">
        <f t="shared" si="270"/>
        <v>#N/A</v>
      </c>
      <c r="AU155" s="688" t="e">
        <f t="shared" si="270"/>
        <v>#N/A</v>
      </c>
      <c r="AV155" s="688" t="e">
        <f t="shared" si="270"/>
        <v>#N/A</v>
      </c>
      <c r="AW155" s="688" t="e">
        <f t="shared" si="270"/>
        <v>#N/A</v>
      </c>
      <c r="AX155" s="688" t="e">
        <f t="shared" si="270"/>
        <v>#N/A</v>
      </c>
      <c r="AY155" s="688" t="e">
        <f t="shared" si="270"/>
        <v>#N/A</v>
      </c>
      <c r="AZ155" s="688" t="e">
        <f t="shared" si="270"/>
        <v>#N/A</v>
      </c>
      <c r="BA155" s="688" t="e">
        <f t="shared" si="271"/>
        <v>#N/A</v>
      </c>
      <c r="BB155" s="688" t="e">
        <f t="shared" si="271"/>
        <v>#N/A</v>
      </c>
      <c r="BC155" s="688" t="e">
        <f t="shared" si="271"/>
        <v>#N/A</v>
      </c>
      <c r="BD155" s="688" t="e">
        <f t="shared" si="271"/>
        <v>#N/A</v>
      </c>
      <c r="BE155" s="688" t="e">
        <f t="shared" si="271"/>
        <v>#N/A</v>
      </c>
      <c r="BF155" s="688" t="e">
        <f t="shared" si="271"/>
        <v>#N/A</v>
      </c>
      <c r="BG155" s="688" t="e">
        <f t="shared" si="271"/>
        <v>#N/A</v>
      </c>
      <c r="BH155" s="688" t="e">
        <f t="shared" si="271"/>
        <v>#N/A</v>
      </c>
      <c r="BI155" s="688" t="e">
        <f t="shared" si="271"/>
        <v>#N/A</v>
      </c>
      <c r="BJ155" s="688" t="e">
        <f t="shared" si="271"/>
        <v>#N/A</v>
      </c>
      <c r="BK155" s="688" t="e">
        <f t="shared" si="272"/>
        <v>#N/A</v>
      </c>
      <c r="BL155" s="688" t="e">
        <f t="shared" si="272"/>
        <v>#N/A</v>
      </c>
      <c r="BM155" s="688" t="e">
        <f t="shared" si="272"/>
        <v>#N/A</v>
      </c>
      <c r="BN155" s="688" t="e">
        <f t="shared" si="272"/>
        <v>#N/A</v>
      </c>
      <c r="BO155" s="688" t="e">
        <f t="shared" si="272"/>
        <v>#N/A</v>
      </c>
      <c r="BP155" s="688" t="e">
        <f t="shared" si="272"/>
        <v>#N/A</v>
      </c>
      <c r="BQ155" s="688" t="e">
        <f t="shared" si="272"/>
        <v>#N/A</v>
      </c>
      <c r="BR155" s="688" t="e">
        <f t="shared" si="272"/>
        <v>#N/A</v>
      </c>
      <c r="BS155" s="688" t="e">
        <f t="shared" si="272"/>
        <v>#N/A</v>
      </c>
      <c r="BT155" s="688" t="e">
        <f t="shared" si="272"/>
        <v>#N/A</v>
      </c>
      <c r="BU155" s="688" t="e">
        <f t="shared" si="273"/>
        <v>#N/A</v>
      </c>
      <c r="BV155" s="688" t="e">
        <f t="shared" si="273"/>
        <v>#N/A</v>
      </c>
      <c r="BW155" s="688" t="e">
        <f t="shared" si="273"/>
        <v>#N/A</v>
      </c>
      <c r="BX155" s="688" t="e">
        <f t="shared" si="273"/>
        <v>#N/A</v>
      </c>
      <c r="BY155" s="688" t="e">
        <f t="shared" si="273"/>
        <v>#N/A</v>
      </c>
      <c r="BZ155" s="688" t="e">
        <f t="shared" si="273"/>
        <v>#N/A</v>
      </c>
      <c r="CA155" s="688" t="e">
        <f t="shared" si="273"/>
        <v>#N/A</v>
      </c>
      <c r="CB155" s="688" t="e">
        <f t="shared" si="273"/>
        <v>#N/A</v>
      </c>
      <c r="CC155" s="688" t="e">
        <f t="shared" si="273"/>
        <v>#N/A</v>
      </c>
      <c r="CD155" s="688" t="e">
        <f t="shared" si="273"/>
        <v>#N/A</v>
      </c>
      <c r="CE155" s="688" t="e">
        <f t="shared" si="274"/>
        <v>#N/A</v>
      </c>
      <c r="CF155" s="688" t="e">
        <f t="shared" si="274"/>
        <v>#N/A</v>
      </c>
      <c r="CG155" s="688" t="e">
        <f t="shared" si="274"/>
        <v>#N/A</v>
      </c>
      <c r="CH155" s="688" t="e">
        <f t="shared" si="274"/>
        <v>#N/A</v>
      </c>
      <c r="CI155" s="688" t="e">
        <f t="shared" si="274"/>
        <v>#N/A</v>
      </c>
      <c r="CJ155" s="688" t="e">
        <f t="shared" si="274"/>
        <v>#N/A</v>
      </c>
      <c r="CK155" s="688" t="e">
        <f t="shared" si="274"/>
        <v>#N/A</v>
      </c>
      <c r="CL155" s="688" t="e">
        <f t="shared" si="274"/>
        <v>#N/A</v>
      </c>
      <c r="CM155" s="688" t="e">
        <f t="shared" si="274"/>
        <v>#N/A</v>
      </c>
      <c r="CN155" s="688" t="e">
        <f t="shared" si="274"/>
        <v>#N/A</v>
      </c>
      <c r="CO155" s="688" t="e">
        <f t="shared" si="275"/>
        <v>#N/A</v>
      </c>
      <c r="CP155" s="688" t="e">
        <f t="shared" si="275"/>
        <v>#N/A</v>
      </c>
      <c r="CQ155" s="688" t="e">
        <f t="shared" si="275"/>
        <v>#N/A</v>
      </c>
      <c r="CR155" s="688" t="e">
        <f t="shared" si="275"/>
        <v>#N/A</v>
      </c>
      <c r="CS155" s="688" t="e">
        <f t="shared" si="275"/>
        <v>#N/A</v>
      </c>
      <c r="CT155" s="688" t="e">
        <f t="shared" si="275"/>
        <v>#N/A</v>
      </c>
      <c r="CU155" s="688" t="e">
        <f t="shared" si="276"/>
        <v>#N/A</v>
      </c>
      <c r="CV155" s="688" t="e">
        <f t="shared" si="277"/>
        <v>#N/A</v>
      </c>
      <c r="CW155" s="688" t="e">
        <f t="shared" si="278"/>
        <v>#N/A</v>
      </c>
      <c r="CX155" s="688" t="e">
        <f t="shared" si="279"/>
        <v>#N/A</v>
      </c>
      <c r="CY155" s="688" t="e">
        <f t="shared" si="280"/>
        <v>#N/A</v>
      </c>
      <c r="CZ155" s="688" t="e">
        <f t="shared" si="281"/>
        <v>#N/A</v>
      </c>
      <c r="DA155" s="688" t="e">
        <f t="shared" si="282"/>
        <v>#N/A</v>
      </c>
      <c r="DB155" s="688" t="e">
        <f t="shared" si="283"/>
        <v>#N/A</v>
      </c>
      <c r="DC155" s="688" t="e">
        <f t="shared" si="284"/>
        <v>#N/A</v>
      </c>
      <c r="DD155" s="688" t="e">
        <f t="shared" si="285"/>
        <v>#N/A</v>
      </c>
      <c r="DE155" s="688" t="e">
        <f t="shared" si="286"/>
        <v>#N/A</v>
      </c>
      <c r="DF155" s="688" t="e">
        <f t="shared" si="287"/>
        <v>#N/A</v>
      </c>
      <c r="DG155" s="688" t="e">
        <f t="shared" si="288"/>
        <v>#N/A</v>
      </c>
      <c r="DH155" s="688" t="e">
        <f t="shared" si="289"/>
        <v>#N/A</v>
      </c>
      <c r="DI155" s="688" t="e">
        <f t="shared" si="290"/>
        <v>#N/A</v>
      </c>
      <c r="DJ155" s="688" t="e">
        <f t="shared" si="291"/>
        <v>#N/A</v>
      </c>
      <c r="DK155" s="688" t="e">
        <f t="shared" si="292"/>
        <v>#N/A</v>
      </c>
      <c r="DL155" s="688" t="e">
        <f t="shared" si="293"/>
        <v>#N/A</v>
      </c>
      <c r="DM155" s="688" t="e">
        <f t="shared" si="294"/>
        <v>#N/A</v>
      </c>
      <c r="DN155" s="688" t="e">
        <f t="shared" si="295"/>
        <v>#N/A</v>
      </c>
      <c r="DO155" s="688" t="e">
        <f t="shared" si="296"/>
        <v>#N/A</v>
      </c>
      <c r="DP155" s="688" t="e">
        <f t="shared" si="297"/>
        <v>#N/A</v>
      </c>
      <c r="DQ155" s="688" t="e">
        <f t="shared" si="298"/>
        <v>#N/A</v>
      </c>
      <c r="DR155" s="689" t="e">
        <f t="shared" si="299"/>
        <v>#N/A</v>
      </c>
    </row>
    <row r="156" spans="1:122" x14ac:dyDescent="0.35">
      <c r="C156" s="691"/>
      <c r="D156" s="691"/>
      <c r="E156" s="691"/>
      <c r="F156" s="691"/>
      <c r="G156" s="691"/>
      <c r="H156" s="691"/>
      <c r="I156" s="691"/>
      <c r="J156" s="691"/>
      <c r="W156" s="5"/>
    </row>
    <row r="157" spans="1:122" x14ac:dyDescent="0.35">
      <c r="B157" t="s">
        <v>2272</v>
      </c>
      <c r="C157" s="691"/>
      <c r="D157" s="691"/>
      <c r="E157" s="691"/>
      <c r="F157" s="691"/>
      <c r="G157" s="691"/>
      <c r="H157" s="691"/>
      <c r="I157" s="691"/>
      <c r="J157" s="691"/>
      <c r="W157" s="5"/>
    </row>
    <row r="158" spans="1:122" x14ac:dyDescent="0.35">
      <c r="C158" s="691"/>
      <c r="D158" s="691"/>
      <c r="E158" s="691"/>
      <c r="F158" s="691"/>
      <c r="G158" s="691"/>
      <c r="H158" s="691"/>
      <c r="I158" s="691"/>
      <c r="J158" s="691"/>
      <c r="W158" s="5"/>
    </row>
    <row r="159" spans="1:122" x14ac:dyDescent="0.35">
      <c r="C159" s="691"/>
      <c r="D159" s="691"/>
      <c r="E159" s="691"/>
      <c r="F159" s="691"/>
      <c r="G159" s="691"/>
      <c r="H159" s="691"/>
      <c r="I159" s="691"/>
      <c r="J159" s="691"/>
      <c r="W159" s="5"/>
    </row>
    <row r="160" spans="1:122" x14ac:dyDescent="0.35">
      <c r="C160" s="691"/>
      <c r="D160" s="691"/>
      <c r="E160" s="691"/>
      <c r="F160" s="691"/>
      <c r="G160" s="691"/>
      <c r="H160" s="691"/>
      <c r="I160" s="691"/>
      <c r="J160" s="691"/>
      <c r="W160" s="5"/>
    </row>
    <row r="161" spans="1:102" x14ac:dyDescent="0.35">
      <c r="C161" s="691"/>
      <c r="D161" s="691"/>
      <c r="E161" s="691"/>
      <c r="F161" s="691"/>
      <c r="G161" s="691"/>
      <c r="H161" s="691"/>
      <c r="I161" s="691"/>
      <c r="J161" s="691"/>
      <c r="W161" s="5"/>
    </row>
    <row r="162" spans="1:102" ht="15" thickBot="1" x14ac:dyDescent="0.4">
      <c r="C162" s="691"/>
      <c r="D162" s="691"/>
      <c r="E162" s="691"/>
      <c r="F162" s="691"/>
      <c r="G162" s="691"/>
      <c r="H162" s="691"/>
      <c r="I162" s="691"/>
      <c r="J162" s="691"/>
      <c r="W162" s="5"/>
    </row>
    <row r="163" spans="1:102" x14ac:dyDescent="0.35">
      <c r="A163" s="684"/>
      <c r="B163" s="675" t="s">
        <v>2273</v>
      </c>
      <c r="C163" s="693"/>
      <c r="D163" s="693"/>
      <c r="E163" s="693"/>
      <c r="F163" s="693"/>
      <c r="G163" s="693"/>
      <c r="H163" s="693"/>
      <c r="I163" s="693"/>
      <c r="J163" s="693"/>
      <c r="K163" s="675"/>
      <c r="L163" s="675"/>
      <c r="M163" s="675"/>
      <c r="N163" s="675"/>
      <c r="O163" s="675"/>
      <c r="P163" s="675"/>
      <c r="Q163" s="675"/>
      <c r="R163" s="675"/>
      <c r="S163" s="675"/>
      <c r="T163" s="675"/>
      <c r="U163" s="675"/>
      <c r="V163" s="675"/>
      <c r="W163" s="694"/>
      <c r="X163" s="675"/>
      <c r="Y163" s="675"/>
      <c r="Z163" s="675"/>
      <c r="AA163" s="675"/>
      <c r="AB163" s="675"/>
      <c r="AC163" s="675"/>
      <c r="AD163" s="675"/>
      <c r="AE163" s="675"/>
      <c r="AF163" s="675"/>
      <c r="AG163" s="675"/>
      <c r="AH163" s="675"/>
      <c r="AI163" s="675"/>
      <c r="AJ163" s="675"/>
      <c r="AK163" s="675"/>
      <c r="AL163" s="675"/>
      <c r="AM163" s="675"/>
      <c r="AN163" s="675"/>
      <c r="AO163" s="675"/>
      <c r="AP163" s="675"/>
      <c r="AQ163" s="675"/>
      <c r="AR163" s="675"/>
      <c r="AS163" s="675"/>
      <c r="AT163" s="675"/>
      <c r="AU163" s="675"/>
      <c r="AV163" s="675"/>
      <c r="AW163" s="675"/>
      <c r="AX163" s="675"/>
      <c r="AY163" s="675"/>
      <c r="AZ163" s="675"/>
      <c r="BA163" s="675"/>
      <c r="BB163" s="675"/>
      <c r="BC163" s="675"/>
      <c r="BD163" s="675"/>
      <c r="BE163" s="675"/>
      <c r="BF163" s="675"/>
      <c r="BG163" s="675"/>
      <c r="BH163" s="675"/>
      <c r="BI163" s="675"/>
      <c r="BJ163" s="675"/>
      <c r="BK163" s="675"/>
      <c r="BL163" s="675"/>
      <c r="BM163" s="675"/>
      <c r="BN163" s="675"/>
      <c r="BO163" s="675"/>
      <c r="BP163" s="675"/>
      <c r="BQ163" s="675"/>
      <c r="BR163" s="675"/>
      <c r="BS163" s="675"/>
      <c r="BT163" s="675"/>
      <c r="BU163" s="675"/>
      <c r="BV163" s="675"/>
      <c r="BW163" s="675"/>
      <c r="BX163" s="675"/>
      <c r="BY163" s="675"/>
      <c r="BZ163" s="675"/>
      <c r="CA163" s="675"/>
      <c r="CB163" s="675"/>
      <c r="CC163" s="675"/>
      <c r="CD163" s="675"/>
      <c r="CE163" s="675"/>
      <c r="CF163" s="675"/>
      <c r="CG163" s="675"/>
      <c r="CH163" s="675"/>
      <c r="CI163" s="675"/>
      <c r="CJ163" s="675"/>
      <c r="CK163" s="675"/>
      <c r="CL163" s="675"/>
      <c r="CM163" s="675"/>
      <c r="CN163" s="675"/>
      <c r="CO163" s="675"/>
      <c r="CP163" s="675"/>
      <c r="CQ163" s="675"/>
      <c r="CR163" s="675"/>
      <c r="CS163" s="675"/>
      <c r="CT163" s="675"/>
      <c r="CU163" s="675"/>
      <c r="CV163" s="675"/>
      <c r="CW163" s="675"/>
      <c r="CX163" s="676"/>
    </row>
    <row r="164" spans="1:102" x14ac:dyDescent="0.35">
      <c r="A164" s="685"/>
      <c r="B164" s="446" t="s">
        <v>927</v>
      </c>
      <c r="C164" s="1158">
        <f>'3.1 Nyttestrøm'!W67</f>
        <v>0</v>
      </c>
      <c r="D164" s="1158">
        <f>'3.1 Nyttestrøm'!X67</f>
        <v>1</v>
      </c>
      <c r="E164" s="1158">
        <f>'3.1 Nyttestrøm'!Y67</f>
        <v>2</v>
      </c>
      <c r="F164" s="1158">
        <f>'3.1 Nyttestrøm'!Z67</f>
        <v>3</v>
      </c>
      <c r="G164" s="1158">
        <f>'3.1 Nyttestrøm'!AA67</f>
        <v>4</v>
      </c>
      <c r="H164" s="1158">
        <f>'3.1 Nyttestrøm'!AB67</f>
        <v>5</v>
      </c>
      <c r="I164" s="1158">
        <f>'3.1 Nyttestrøm'!AC67</f>
        <v>6</v>
      </c>
      <c r="J164" s="1158">
        <f>'3.1 Nyttestrøm'!AD67</f>
        <v>7</v>
      </c>
      <c r="K164" s="1158">
        <f>'3.1 Nyttestrøm'!AE67</f>
        <v>8</v>
      </c>
      <c r="L164" s="1158">
        <f>'3.1 Nyttestrøm'!AF67</f>
        <v>9</v>
      </c>
      <c r="M164" s="1158">
        <f>'3.1 Nyttestrøm'!AG67</f>
        <v>10</v>
      </c>
      <c r="N164" s="1158">
        <f>'3.1 Nyttestrøm'!AH67</f>
        <v>11</v>
      </c>
      <c r="O164" s="1158">
        <f>'3.1 Nyttestrøm'!AI67</f>
        <v>12</v>
      </c>
      <c r="P164" s="1158">
        <f>'3.1 Nyttestrøm'!AJ67</f>
        <v>13</v>
      </c>
      <c r="Q164" s="1158">
        <f>'3.1 Nyttestrøm'!AK67</f>
        <v>14</v>
      </c>
      <c r="R164" s="1158">
        <f>'3.1 Nyttestrøm'!AL67</f>
        <v>15</v>
      </c>
      <c r="S164" s="1158">
        <f>'3.1 Nyttestrøm'!AM67</f>
        <v>16</v>
      </c>
      <c r="T164" s="1158">
        <f>'3.1 Nyttestrøm'!AN67</f>
        <v>17</v>
      </c>
      <c r="U164" s="1158">
        <f>'3.1 Nyttestrøm'!AO67</f>
        <v>18</v>
      </c>
      <c r="V164" s="1158">
        <f>'3.1 Nyttestrøm'!AP67</f>
        <v>19</v>
      </c>
      <c r="W164" s="1158">
        <f>'3.1 Nyttestrøm'!AQ67</f>
        <v>20</v>
      </c>
      <c r="X164" s="1158">
        <f>'3.1 Nyttestrøm'!AR67</f>
        <v>21</v>
      </c>
      <c r="Y164" s="1158">
        <f>'3.1 Nyttestrøm'!AS67</f>
        <v>22</v>
      </c>
      <c r="Z164" s="1158">
        <f>'3.1 Nyttestrøm'!AT67</f>
        <v>23</v>
      </c>
      <c r="AA164" s="1158">
        <f>'3.1 Nyttestrøm'!AU67</f>
        <v>24</v>
      </c>
      <c r="AB164" s="1158">
        <f>'3.1 Nyttestrøm'!AV67</f>
        <v>25</v>
      </c>
      <c r="AC164" s="1158">
        <f>'3.1 Nyttestrøm'!AW67</f>
        <v>26</v>
      </c>
      <c r="AD164" s="1158">
        <f>'3.1 Nyttestrøm'!AX67</f>
        <v>27</v>
      </c>
      <c r="AE164" s="1158">
        <f>'3.1 Nyttestrøm'!AY67</f>
        <v>28</v>
      </c>
      <c r="AF164" s="1158">
        <f>'3.1 Nyttestrøm'!AZ67</f>
        <v>29</v>
      </c>
      <c r="AG164" s="1158">
        <f>'3.1 Nyttestrøm'!BA67</f>
        <v>30</v>
      </c>
      <c r="AH164" s="1158">
        <f>'3.1 Nyttestrøm'!BB67</f>
        <v>31</v>
      </c>
      <c r="AI164" s="1158">
        <f>'3.1 Nyttestrøm'!BC67</f>
        <v>32</v>
      </c>
      <c r="AJ164" s="1158">
        <f>'3.1 Nyttestrøm'!BD67</f>
        <v>33</v>
      </c>
      <c r="AK164" s="1158">
        <f>'3.1 Nyttestrøm'!BE67</f>
        <v>34</v>
      </c>
      <c r="AL164" s="1158">
        <f>'3.1 Nyttestrøm'!BF67</f>
        <v>35</v>
      </c>
      <c r="AM164" s="1158">
        <f>'3.1 Nyttestrøm'!BG67</f>
        <v>36</v>
      </c>
      <c r="AN164" s="1158">
        <f>'3.1 Nyttestrøm'!BH67</f>
        <v>37</v>
      </c>
      <c r="AO164" s="1158">
        <f>'3.1 Nyttestrøm'!BI67</f>
        <v>38</v>
      </c>
      <c r="AP164" s="1158">
        <f>'3.1 Nyttestrøm'!BJ67</f>
        <v>39</v>
      </c>
      <c r="AQ164" s="1158">
        <f>'3.1 Nyttestrøm'!BK67</f>
        <v>40</v>
      </c>
      <c r="AR164" s="1158">
        <f>'3.1 Nyttestrøm'!BL67</f>
        <v>41</v>
      </c>
      <c r="AS164" s="1158">
        <f>'3.1 Nyttestrøm'!BM67</f>
        <v>42</v>
      </c>
      <c r="AT164" s="1158">
        <f>'3.1 Nyttestrøm'!BN67</f>
        <v>43</v>
      </c>
      <c r="AU164" s="1158">
        <f>'3.1 Nyttestrøm'!BO67</f>
        <v>44</v>
      </c>
      <c r="AV164" s="1158">
        <f>'3.1 Nyttestrøm'!BP67</f>
        <v>45</v>
      </c>
      <c r="AW164" s="1158">
        <f>'3.1 Nyttestrøm'!BQ67</f>
        <v>46</v>
      </c>
      <c r="AX164" s="1158">
        <f>'3.1 Nyttestrøm'!BR67</f>
        <v>47</v>
      </c>
      <c r="AY164" s="1158">
        <f>'3.1 Nyttestrøm'!BS67</f>
        <v>48</v>
      </c>
      <c r="AZ164" s="1158">
        <f>'3.1 Nyttestrøm'!BT67</f>
        <v>49</v>
      </c>
      <c r="BA164" s="1158">
        <f>'3.1 Nyttestrøm'!BU67</f>
        <v>50</v>
      </c>
      <c r="BB164" s="1158">
        <f>'3.1 Nyttestrøm'!BV67</f>
        <v>51</v>
      </c>
      <c r="BC164" s="1158">
        <f>'3.1 Nyttestrøm'!BW67</f>
        <v>52</v>
      </c>
      <c r="BD164" s="1158">
        <f>'3.1 Nyttestrøm'!BX67</f>
        <v>53</v>
      </c>
      <c r="BE164" s="1158">
        <f>'3.1 Nyttestrøm'!BY67</f>
        <v>54</v>
      </c>
      <c r="BF164" s="1158">
        <f>'3.1 Nyttestrøm'!BZ67</f>
        <v>55</v>
      </c>
      <c r="BG164" s="1158">
        <f>'3.1 Nyttestrøm'!CA67</f>
        <v>56</v>
      </c>
      <c r="BH164" s="1158">
        <f>'3.1 Nyttestrøm'!CB67</f>
        <v>57</v>
      </c>
      <c r="BI164" s="1158">
        <f>'3.1 Nyttestrøm'!CC67</f>
        <v>58</v>
      </c>
      <c r="BJ164" s="1158">
        <f>'3.1 Nyttestrøm'!CD67</f>
        <v>59</v>
      </c>
      <c r="BK164" s="1158">
        <f>'3.1 Nyttestrøm'!CE67</f>
        <v>60</v>
      </c>
      <c r="BL164" s="1158">
        <f>'3.1 Nyttestrøm'!CF67</f>
        <v>61</v>
      </c>
      <c r="BM164" s="1158">
        <f>'3.1 Nyttestrøm'!CG67</f>
        <v>62</v>
      </c>
      <c r="BN164" s="1158">
        <f>'3.1 Nyttestrøm'!CH67</f>
        <v>63</v>
      </c>
      <c r="BO164" s="1158">
        <f>'3.1 Nyttestrøm'!CI67</f>
        <v>64</v>
      </c>
      <c r="BP164" s="1158">
        <f>'3.1 Nyttestrøm'!CJ67</f>
        <v>65</v>
      </c>
      <c r="BQ164" s="1158">
        <f>'3.1 Nyttestrøm'!CK67</f>
        <v>66</v>
      </c>
      <c r="BR164" s="1158">
        <f>'3.1 Nyttestrøm'!CL67</f>
        <v>67</v>
      </c>
      <c r="BS164" s="1158">
        <f>'3.1 Nyttestrøm'!CM67</f>
        <v>68</v>
      </c>
      <c r="BT164" s="1158">
        <f>'3.1 Nyttestrøm'!CN67</f>
        <v>69</v>
      </c>
      <c r="BU164" s="1158">
        <f>'3.1 Nyttestrøm'!CO67</f>
        <v>70</v>
      </c>
      <c r="BV164" s="1158">
        <f>'3.1 Nyttestrøm'!CP67</f>
        <v>71</v>
      </c>
      <c r="BW164" s="1158">
        <f>'3.1 Nyttestrøm'!CQ67</f>
        <v>72</v>
      </c>
      <c r="BX164" s="1158">
        <f>'3.1 Nyttestrøm'!CR67</f>
        <v>73</v>
      </c>
      <c r="BY164" s="1158">
        <f>'3.1 Nyttestrøm'!CS67</f>
        <v>74</v>
      </c>
      <c r="BZ164" s="1158">
        <f>'3.1 Nyttestrøm'!CT67</f>
        <v>75</v>
      </c>
      <c r="CA164" s="1158">
        <f>'3.1 Nyttestrøm'!CU67</f>
        <v>76</v>
      </c>
      <c r="CB164" s="1158">
        <f>'3.1 Nyttestrøm'!CV67</f>
        <v>77</v>
      </c>
      <c r="CC164" s="1158">
        <f>'3.1 Nyttestrøm'!CW67</f>
        <v>78</v>
      </c>
      <c r="CD164" s="1158">
        <f>'3.1 Nyttestrøm'!CX67</f>
        <v>79</v>
      </c>
      <c r="CE164" s="1158">
        <f>'3.1 Nyttestrøm'!CY67</f>
        <v>80</v>
      </c>
      <c r="CF164" s="1158">
        <f>'3.1 Nyttestrøm'!CZ67</f>
        <v>81</v>
      </c>
      <c r="CG164" s="1158">
        <f>'3.1 Nyttestrøm'!DA67</f>
        <v>82</v>
      </c>
      <c r="CH164" s="1158">
        <f>'3.1 Nyttestrøm'!DB67</f>
        <v>83</v>
      </c>
      <c r="CI164" s="1158">
        <f>'3.1 Nyttestrøm'!DC67</f>
        <v>84</v>
      </c>
      <c r="CJ164" s="1158">
        <f>'3.1 Nyttestrøm'!DD67</f>
        <v>85</v>
      </c>
      <c r="CK164" s="1158">
        <f>'3.1 Nyttestrøm'!DE67</f>
        <v>86</v>
      </c>
      <c r="CL164" s="1158">
        <f>'3.1 Nyttestrøm'!DF67</f>
        <v>87</v>
      </c>
      <c r="CM164" s="1158">
        <f>'3.1 Nyttestrøm'!DG67</f>
        <v>88</v>
      </c>
      <c r="CN164" s="1158">
        <f>'3.1 Nyttestrøm'!DH67</f>
        <v>89</v>
      </c>
      <c r="CO164" s="1158">
        <f>'3.1 Nyttestrøm'!DI67</f>
        <v>90</v>
      </c>
      <c r="CP164" s="1158">
        <f>'3.1 Nyttestrøm'!DJ67</f>
        <v>91</v>
      </c>
      <c r="CQ164" s="1158">
        <f>'3.1 Nyttestrøm'!DK67</f>
        <v>92</v>
      </c>
      <c r="CR164" s="1158">
        <f>'3.1 Nyttestrøm'!DL67</f>
        <v>93</v>
      </c>
      <c r="CS164" s="1158">
        <f>'3.1 Nyttestrøm'!DM67</f>
        <v>94</v>
      </c>
      <c r="CT164" s="1158">
        <f>'3.1 Nyttestrøm'!DN67</f>
        <v>95</v>
      </c>
      <c r="CU164" s="1158">
        <f>'3.1 Nyttestrøm'!DO67</f>
        <v>96</v>
      </c>
      <c r="CV164" s="1158">
        <f>'3.1 Nyttestrøm'!DP67</f>
        <v>97</v>
      </c>
      <c r="CW164" s="1158">
        <f>'3.1 Nyttestrøm'!DQ67</f>
        <v>98</v>
      </c>
      <c r="CX164" s="1177">
        <f>'3.1 Nyttestrøm'!DR67</f>
        <v>99</v>
      </c>
    </row>
    <row r="165" spans="1:102" x14ac:dyDescent="0.35">
      <c r="A165" s="685"/>
      <c r="B165" s="446" t="str">
        <f>'3.1 Nyttestrøm'!C69</f>
        <v>Ulykker</v>
      </c>
      <c r="C165" s="1156" t="str">
        <f ca="1">'3.1 Nyttestrøm'!W69</f>
        <v/>
      </c>
      <c r="D165" s="1156" t="str">
        <f ca="1">'3.1 Nyttestrøm'!X69</f>
        <v/>
      </c>
      <c r="E165" s="1156" t="str">
        <f ca="1">'3.1 Nyttestrøm'!Y69</f>
        <v/>
      </c>
      <c r="F165" s="1156" t="str">
        <f ca="1">'3.1 Nyttestrøm'!Z69</f>
        <v/>
      </c>
      <c r="G165" s="1156" t="str">
        <f ca="1">'3.1 Nyttestrøm'!AA69</f>
        <v/>
      </c>
      <c r="H165" s="1156" t="str">
        <f ca="1">'3.1 Nyttestrøm'!AB69</f>
        <v/>
      </c>
      <c r="I165" s="1156" t="str">
        <f ca="1">'3.1 Nyttestrøm'!AC69</f>
        <v/>
      </c>
      <c r="J165" s="1156" t="str">
        <f ca="1">'3.1 Nyttestrøm'!AD69</f>
        <v/>
      </c>
      <c r="K165" s="1156" t="str">
        <f ca="1">'3.1 Nyttestrøm'!AE69</f>
        <v/>
      </c>
      <c r="L165" s="1156" t="str">
        <f ca="1">'3.1 Nyttestrøm'!AF69</f>
        <v/>
      </c>
      <c r="M165" s="1156" t="str">
        <f ca="1">'3.1 Nyttestrøm'!AG69</f>
        <v/>
      </c>
      <c r="N165" s="1156" t="str">
        <f ca="1">'3.1 Nyttestrøm'!AH69</f>
        <v/>
      </c>
      <c r="O165" s="1156" t="str">
        <f ca="1">'3.1 Nyttestrøm'!AI69</f>
        <v/>
      </c>
      <c r="P165" s="1156" t="str">
        <f ca="1">'3.1 Nyttestrøm'!AJ69</f>
        <v/>
      </c>
      <c r="Q165" s="1156" t="str">
        <f ca="1">'3.1 Nyttestrøm'!AK69</f>
        <v/>
      </c>
      <c r="R165" s="1156" t="str">
        <f ca="1">'3.1 Nyttestrøm'!AL69</f>
        <v/>
      </c>
      <c r="S165" s="1156" t="str">
        <f ca="1">'3.1 Nyttestrøm'!AM69</f>
        <v/>
      </c>
      <c r="T165" s="1156" t="str">
        <f ca="1">'3.1 Nyttestrøm'!AN69</f>
        <v/>
      </c>
      <c r="U165" s="1156" t="str">
        <f ca="1">'3.1 Nyttestrøm'!AO69</f>
        <v/>
      </c>
      <c r="V165" s="1156" t="str">
        <f ca="1">'3.1 Nyttestrøm'!AP69</f>
        <v/>
      </c>
      <c r="W165" s="1156" t="str">
        <f ca="1">'3.1 Nyttestrøm'!AQ69</f>
        <v/>
      </c>
      <c r="X165" s="1156" t="str">
        <f ca="1">'3.1 Nyttestrøm'!AR69</f>
        <v/>
      </c>
      <c r="Y165" s="1156" t="str">
        <f ca="1">'3.1 Nyttestrøm'!AS69</f>
        <v/>
      </c>
      <c r="Z165" s="1156" t="str">
        <f ca="1">'3.1 Nyttestrøm'!AT69</f>
        <v/>
      </c>
      <c r="AA165" s="1156" t="str">
        <f ca="1">'3.1 Nyttestrøm'!AU69</f>
        <v/>
      </c>
      <c r="AB165" s="1156" t="str">
        <f ca="1">'3.1 Nyttestrøm'!AV69</f>
        <v/>
      </c>
      <c r="AC165" s="1156" t="str">
        <f ca="1">'3.1 Nyttestrøm'!AW69</f>
        <v/>
      </c>
      <c r="AD165" s="1156" t="str">
        <f ca="1">'3.1 Nyttestrøm'!AX69</f>
        <v/>
      </c>
      <c r="AE165" s="1156" t="str">
        <f ca="1">'3.1 Nyttestrøm'!AY69</f>
        <v/>
      </c>
      <c r="AF165" s="1156" t="str">
        <f ca="1">'3.1 Nyttestrøm'!AZ69</f>
        <v/>
      </c>
      <c r="AG165" s="1156" t="str">
        <f ca="1">'3.1 Nyttestrøm'!BA69</f>
        <v/>
      </c>
      <c r="AH165" s="1156" t="str">
        <f ca="1">'3.1 Nyttestrøm'!BB69</f>
        <v/>
      </c>
      <c r="AI165" s="1156" t="str">
        <f ca="1">'3.1 Nyttestrøm'!BC69</f>
        <v/>
      </c>
      <c r="AJ165" s="1156" t="str">
        <f ca="1">'3.1 Nyttestrøm'!BD69</f>
        <v/>
      </c>
      <c r="AK165" s="1156" t="str">
        <f ca="1">'3.1 Nyttestrøm'!BE69</f>
        <v/>
      </c>
      <c r="AL165" s="1156" t="str">
        <f ca="1">'3.1 Nyttestrøm'!BF69</f>
        <v/>
      </c>
      <c r="AM165" s="1156" t="str">
        <f ca="1">'3.1 Nyttestrøm'!BG69</f>
        <v/>
      </c>
      <c r="AN165" s="1156" t="str">
        <f ca="1">'3.1 Nyttestrøm'!BH69</f>
        <v/>
      </c>
      <c r="AO165" s="1156" t="str">
        <f ca="1">'3.1 Nyttestrøm'!BI69</f>
        <v/>
      </c>
      <c r="AP165" s="1156" t="str">
        <f ca="1">'3.1 Nyttestrøm'!BJ69</f>
        <v/>
      </c>
      <c r="AQ165" s="1156" t="str">
        <f ca="1">'3.1 Nyttestrøm'!BK69</f>
        <v/>
      </c>
      <c r="AR165" s="1156" t="str">
        <f ca="1">'3.1 Nyttestrøm'!BL69</f>
        <v/>
      </c>
      <c r="AS165" s="1156" t="str">
        <f ca="1">'3.1 Nyttestrøm'!BM69</f>
        <v/>
      </c>
      <c r="AT165" s="1156" t="str">
        <f ca="1">'3.1 Nyttestrøm'!BN69</f>
        <v/>
      </c>
      <c r="AU165" s="1156" t="str">
        <f ca="1">'3.1 Nyttestrøm'!BO69</f>
        <v/>
      </c>
      <c r="AV165" s="1156" t="str">
        <f ca="1">'3.1 Nyttestrøm'!BP69</f>
        <v/>
      </c>
      <c r="AW165" s="1156" t="str">
        <f ca="1">'3.1 Nyttestrøm'!BQ69</f>
        <v/>
      </c>
      <c r="AX165" s="1156" t="str">
        <f ca="1">'3.1 Nyttestrøm'!BR69</f>
        <v/>
      </c>
      <c r="AY165" s="1156" t="str">
        <f ca="1">'3.1 Nyttestrøm'!BS69</f>
        <v/>
      </c>
      <c r="AZ165" s="1156" t="str">
        <f ca="1">'3.1 Nyttestrøm'!BT69</f>
        <v/>
      </c>
      <c r="BA165" s="1156" t="str">
        <f ca="1">'3.1 Nyttestrøm'!BU69</f>
        <v/>
      </c>
      <c r="BB165" s="1156" t="str">
        <f ca="1">'3.1 Nyttestrøm'!BV69</f>
        <v/>
      </c>
      <c r="BC165" s="1156" t="str">
        <f ca="1">'3.1 Nyttestrøm'!BW69</f>
        <v/>
      </c>
      <c r="BD165" s="1156" t="str">
        <f ca="1">'3.1 Nyttestrøm'!BX69</f>
        <v/>
      </c>
      <c r="BE165" s="1156" t="str">
        <f ca="1">'3.1 Nyttestrøm'!BY69</f>
        <v/>
      </c>
      <c r="BF165" s="1156" t="str">
        <f ca="1">'3.1 Nyttestrøm'!BZ69</f>
        <v/>
      </c>
      <c r="BG165" s="1156" t="str">
        <f ca="1">'3.1 Nyttestrøm'!CA69</f>
        <v/>
      </c>
      <c r="BH165" s="1156" t="str">
        <f ca="1">'3.1 Nyttestrøm'!CB69</f>
        <v/>
      </c>
      <c r="BI165" s="1156" t="str">
        <f ca="1">'3.1 Nyttestrøm'!CC69</f>
        <v/>
      </c>
      <c r="BJ165" s="1156" t="str">
        <f ca="1">'3.1 Nyttestrøm'!CD69</f>
        <v/>
      </c>
      <c r="BK165" s="1156" t="str">
        <f ca="1">'3.1 Nyttestrøm'!CE69</f>
        <v/>
      </c>
      <c r="BL165" s="1156" t="str">
        <f ca="1">'3.1 Nyttestrøm'!CF69</f>
        <v/>
      </c>
      <c r="BM165" s="1156" t="str">
        <f ca="1">'3.1 Nyttestrøm'!CG69</f>
        <v/>
      </c>
      <c r="BN165" s="1156" t="str">
        <f ca="1">'3.1 Nyttestrøm'!CH69</f>
        <v/>
      </c>
      <c r="BO165" s="1156" t="str">
        <f ca="1">'3.1 Nyttestrøm'!CI69</f>
        <v/>
      </c>
      <c r="BP165" s="1156" t="str">
        <f ca="1">'3.1 Nyttestrøm'!CJ69</f>
        <v/>
      </c>
      <c r="BQ165" s="1156" t="str">
        <f ca="1">'3.1 Nyttestrøm'!CK69</f>
        <v/>
      </c>
      <c r="BR165" s="1156" t="str">
        <f ca="1">'3.1 Nyttestrøm'!CL69</f>
        <v/>
      </c>
      <c r="BS165" s="1156" t="str">
        <f ca="1">'3.1 Nyttestrøm'!CM69</f>
        <v/>
      </c>
      <c r="BT165" s="1156" t="str">
        <f ca="1">'3.1 Nyttestrøm'!CN69</f>
        <v/>
      </c>
      <c r="BU165" s="1156" t="str">
        <f ca="1">'3.1 Nyttestrøm'!CO69</f>
        <v/>
      </c>
      <c r="BV165" s="1156" t="str">
        <f ca="1">'3.1 Nyttestrøm'!CP69</f>
        <v/>
      </c>
      <c r="BW165" s="1156" t="str">
        <f ca="1">'3.1 Nyttestrøm'!CQ69</f>
        <v/>
      </c>
      <c r="BX165" s="1156" t="str">
        <f ca="1">'3.1 Nyttestrøm'!CR69</f>
        <v/>
      </c>
      <c r="BY165" s="1156" t="str">
        <f ca="1">'3.1 Nyttestrøm'!CS69</f>
        <v/>
      </c>
      <c r="BZ165" s="1156" t="str">
        <f ca="1">'3.1 Nyttestrøm'!CT69</f>
        <v/>
      </c>
      <c r="CA165" s="1156" t="str">
        <f ca="1">'3.1 Nyttestrøm'!CU69</f>
        <v/>
      </c>
      <c r="CB165" s="1156" t="str">
        <f ca="1">'3.1 Nyttestrøm'!CV69</f>
        <v/>
      </c>
      <c r="CC165" s="1156" t="str">
        <f ca="1">'3.1 Nyttestrøm'!CW69</f>
        <v/>
      </c>
      <c r="CD165" s="1156" t="str">
        <f ca="1">'3.1 Nyttestrøm'!CX69</f>
        <v/>
      </c>
      <c r="CE165" s="1156" t="str">
        <f ca="1">'3.1 Nyttestrøm'!CY69</f>
        <v/>
      </c>
      <c r="CF165" s="1156" t="str">
        <f ca="1">'3.1 Nyttestrøm'!CZ69</f>
        <v/>
      </c>
      <c r="CG165" s="1156" t="str">
        <f ca="1">'3.1 Nyttestrøm'!DA69</f>
        <v/>
      </c>
      <c r="CH165" s="1156" t="str">
        <f ca="1">'3.1 Nyttestrøm'!DB69</f>
        <v/>
      </c>
      <c r="CI165" s="1156" t="str">
        <f ca="1">'3.1 Nyttestrøm'!DC69</f>
        <v/>
      </c>
      <c r="CJ165" s="1156" t="str">
        <f ca="1">'3.1 Nyttestrøm'!DD69</f>
        <v/>
      </c>
      <c r="CK165" s="1156" t="str">
        <f ca="1">'3.1 Nyttestrøm'!DE69</f>
        <v/>
      </c>
      <c r="CL165" s="1156" t="str">
        <f ca="1">'3.1 Nyttestrøm'!DF69</f>
        <v/>
      </c>
      <c r="CM165" s="1156" t="str">
        <f ca="1">'3.1 Nyttestrøm'!DG69</f>
        <v/>
      </c>
      <c r="CN165" s="1156" t="str">
        <f ca="1">'3.1 Nyttestrøm'!DH69</f>
        <v/>
      </c>
      <c r="CO165" s="1156" t="str">
        <f ca="1">'3.1 Nyttestrøm'!DI69</f>
        <v/>
      </c>
      <c r="CP165" s="1156" t="str">
        <f ca="1">'3.1 Nyttestrøm'!DJ69</f>
        <v/>
      </c>
      <c r="CQ165" s="1156" t="str">
        <f ca="1">'3.1 Nyttestrøm'!DK69</f>
        <v/>
      </c>
      <c r="CR165" s="1156" t="str">
        <f ca="1">'3.1 Nyttestrøm'!DL69</f>
        <v/>
      </c>
      <c r="CS165" s="1156" t="str">
        <f ca="1">'3.1 Nyttestrøm'!DM69</f>
        <v/>
      </c>
      <c r="CT165" s="1156" t="str">
        <f ca="1">'3.1 Nyttestrøm'!DN69</f>
        <v/>
      </c>
      <c r="CU165" s="1156" t="str">
        <f ca="1">'3.1 Nyttestrøm'!DO69</f>
        <v/>
      </c>
      <c r="CV165" s="1156" t="str">
        <f ca="1">'3.1 Nyttestrøm'!DP69</f>
        <v/>
      </c>
      <c r="CW165" s="1156" t="str">
        <f ca="1">'3.1 Nyttestrøm'!DQ69</f>
        <v/>
      </c>
      <c r="CX165" s="1166" t="str">
        <f ca="1">'3.1 Nyttestrøm'!DR69</f>
        <v/>
      </c>
    </row>
    <row r="166" spans="1:102" x14ac:dyDescent="0.35">
      <c r="A166" s="685"/>
      <c r="B166" s="446" t="str">
        <f>'3.1 Nyttestrøm'!C70</f>
        <v>Støy</v>
      </c>
      <c r="C166" s="1156" t="str">
        <f ca="1">'3.1 Nyttestrøm'!W70</f>
        <v/>
      </c>
      <c r="D166" s="1156" t="str">
        <f ca="1">'3.1 Nyttestrøm'!X70</f>
        <v/>
      </c>
      <c r="E166" s="1156" t="str">
        <f ca="1">'3.1 Nyttestrøm'!Y70</f>
        <v/>
      </c>
      <c r="F166" s="1156" t="str">
        <f ca="1">'3.1 Nyttestrøm'!Z70</f>
        <v/>
      </c>
      <c r="G166" s="1156" t="str">
        <f ca="1">'3.1 Nyttestrøm'!AA70</f>
        <v/>
      </c>
      <c r="H166" s="1156" t="str">
        <f ca="1">'3.1 Nyttestrøm'!AB70</f>
        <v/>
      </c>
      <c r="I166" s="1156" t="str">
        <f ca="1">'3.1 Nyttestrøm'!AC70</f>
        <v/>
      </c>
      <c r="J166" s="1156" t="str">
        <f ca="1">'3.1 Nyttestrøm'!AD70</f>
        <v/>
      </c>
      <c r="K166" s="1156" t="str">
        <f ca="1">'3.1 Nyttestrøm'!AE70</f>
        <v/>
      </c>
      <c r="L166" s="1156" t="str">
        <f ca="1">'3.1 Nyttestrøm'!AF70</f>
        <v/>
      </c>
      <c r="M166" s="1156" t="str">
        <f ca="1">'3.1 Nyttestrøm'!AG70</f>
        <v/>
      </c>
      <c r="N166" s="1156" t="str">
        <f ca="1">'3.1 Nyttestrøm'!AH70</f>
        <v/>
      </c>
      <c r="O166" s="1156" t="str">
        <f ca="1">'3.1 Nyttestrøm'!AI70</f>
        <v/>
      </c>
      <c r="P166" s="1156" t="str">
        <f ca="1">'3.1 Nyttestrøm'!AJ70</f>
        <v/>
      </c>
      <c r="Q166" s="1156" t="str">
        <f ca="1">'3.1 Nyttestrøm'!AK70</f>
        <v/>
      </c>
      <c r="R166" s="1156" t="str">
        <f ca="1">'3.1 Nyttestrøm'!AL70</f>
        <v/>
      </c>
      <c r="S166" s="1156" t="str">
        <f ca="1">'3.1 Nyttestrøm'!AM70</f>
        <v/>
      </c>
      <c r="T166" s="1156" t="str">
        <f ca="1">'3.1 Nyttestrøm'!AN70</f>
        <v/>
      </c>
      <c r="U166" s="1156" t="str">
        <f ca="1">'3.1 Nyttestrøm'!AO70</f>
        <v/>
      </c>
      <c r="V166" s="1156" t="str">
        <f ca="1">'3.1 Nyttestrøm'!AP70</f>
        <v/>
      </c>
      <c r="W166" s="1156" t="str">
        <f ca="1">'3.1 Nyttestrøm'!AQ70</f>
        <v/>
      </c>
      <c r="X166" s="1156" t="str">
        <f ca="1">'3.1 Nyttestrøm'!AR70</f>
        <v/>
      </c>
      <c r="Y166" s="1156" t="str">
        <f ca="1">'3.1 Nyttestrøm'!AS70</f>
        <v/>
      </c>
      <c r="Z166" s="1156" t="str">
        <f ca="1">'3.1 Nyttestrøm'!AT70</f>
        <v/>
      </c>
      <c r="AA166" s="1156" t="str">
        <f ca="1">'3.1 Nyttestrøm'!AU70</f>
        <v/>
      </c>
      <c r="AB166" s="1156" t="str">
        <f ca="1">'3.1 Nyttestrøm'!AV70</f>
        <v/>
      </c>
      <c r="AC166" s="1156" t="str">
        <f ca="1">'3.1 Nyttestrøm'!AW70</f>
        <v/>
      </c>
      <c r="AD166" s="1156" t="str">
        <f ca="1">'3.1 Nyttestrøm'!AX70</f>
        <v/>
      </c>
      <c r="AE166" s="1156" t="str">
        <f ca="1">'3.1 Nyttestrøm'!AY70</f>
        <v/>
      </c>
      <c r="AF166" s="1156" t="str">
        <f ca="1">'3.1 Nyttestrøm'!AZ70</f>
        <v/>
      </c>
      <c r="AG166" s="1156" t="str">
        <f ca="1">'3.1 Nyttestrøm'!BA70</f>
        <v/>
      </c>
      <c r="AH166" s="1156" t="str">
        <f ca="1">'3.1 Nyttestrøm'!BB70</f>
        <v/>
      </c>
      <c r="AI166" s="1156" t="str">
        <f ca="1">'3.1 Nyttestrøm'!BC70</f>
        <v/>
      </c>
      <c r="AJ166" s="1156" t="str">
        <f ca="1">'3.1 Nyttestrøm'!BD70</f>
        <v/>
      </c>
      <c r="AK166" s="1156" t="str">
        <f ca="1">'3.1 Nyttestrøm'!BE70</f>
        <v/>
      </c>
      <c r="AL166" s="1156" t="str">
        <f ca="1">'3.1 Nyttestrøm'!BF70</f>
        <v/>
      </c>
      <c r="AM166" s="1156" t="str">
        <f ca="1">'3.1 Nyttestrøm'!BG70</f>
        <v/>
      </c>
      <c r="AN166" s="1156" t="str">
        <f ca="1">'3.1 Nyttestrøm'!BH70</f>
        <v/>
      </c>
      <c r="AO166" s="1156" t="str">
        <f ca="1">'3.1 Nyttestrøm'!BI70</f>
        <v/>
      </c>
      <c r="AP166" s="1156" t="str">
        <f ca="1">'3.1 Nyttestrøm'!BJ70</f>
        <v/>
      </c>
      <c r="AQ166" s="1156" t="str">
        <f ca="1">'3.1 Nyttestrøm'!BK70</f>
        <v/>
      </c>
      <c r="AR166" s="1156" t="str">
        <f ca="1">'3.1 Nyttestrøm'!BL70</f>
        <v/>
      </c>
      <c r="AS166" s="1156" t="str">
        <f ca="1">'3.1 Nyttestrøm'!BM70</f>
        <v/>
      </c>
      <c r="AT166" s="1156" t="str">
        <f ca="1">'3.1 Nyttestrøm'!BN70</f>
        <v/>
      </c>
      <c r="AU166" s="1156" t="str">
        <f ca="1">'3.1 Nyttestrøm'!BO70</f>
        <v/>
      </c>
      <c r="AV166" s="1156" t="str">
        <f ca="1">'3.1 Nyttestrøm'!BP70</f>
        <v/>
      </c>
      <c r="AW166" s="1156" t="str">
        <f ca="1">'3.1 Nyttestrøm'!BQ70</f>
        <v/>
      </c>
      <c r="AX166" s="1156" t="str">
        <f ca="1">'3.1 Nyttestrøm'!BR70</f>
        <v/>
      </c>
      <c r="AY166" s="1156" t="str">
        <f ca="1">'3.1 Nyttestrøm'!BS70</f>
        <v/>
      </c>
      <c r="AZ166" s="1156" t="str">
        <f ca="1">'3.1 Nyttestrøm'!BT70</f>
        <v/>
      </c>
      <c r="BA166" s="1156" t="str">
        <f ca="1">'3.1 Nyttestrøm'!BU70</f>
        <v/>
      </c>
      <c r="BB166" s="1156" t="str">
        <f ca="1">'3.1 Nyttestrøm'!BV70</f>
        <v/>
      </c>
      <c r="BC166" s="1156" t="str">
        <f ca="1">'3.1 Nyttestrøm'!BW70</f>
        <v/>
      </c>
      <c r="BD166" s="1156" t="str">
        <f ca="1">'3.1 Nyttestrøm'!BX70</f>
        <v/>
      </c>
      <c r="BE166" s="1156" t="str">
        <f ca="1">'3.1 Nyttestrøm'!BY70</f>
        <v/>
      </c>
      <c r="BF166" s="1156" t="str">
        <f ca="1">'3.1 Nyttestrøm'!BZ70</f>
        <v/>
      </c>
      <c r="BG166" s="1156" t="str">
        <f ca="1">'3.1 Nyttestrøm'!CA70</f>
        <v/>
      </c>
      <c r="BH166" s="1156" t="str">
        <f ca="1">'3.1 Nyttestrøm'!CB70</f>
        <v/>
      </c>
      <c r="BI166" s="1156" t="str">
        <f ca="1">'3.1 Nyttestrøm'!CC70</f>
        <v/>
      </c>
      <c r="BJ166" s="1156" t="str">
        <f ca="1">'3.1 Nyttestrøm'!CD70</f>
        <v/>
      </c>
      <c r="BK166" s="1156" t="str">
        <f ca="1">'3.1 Nyttestrøm'!CE70</f>
        <v/>
      </c>
      <c r="BL166" s="1156" t="str">
        <f ca="1">'3.1 Nyttestrøm'!CF70</f>
        <v/>
      </c>
      <c r="BM166" s="1156" t="str">
        <f ca="1">'3.1 Nyttestrøm'!CG70</f>
        <v/>
      </c>
      <c r="BN166" s="1156" t="str">
        <f ca="1">'3.1 Nyttestrøm'!CH70</f>
        <v/>
      </c>
      <c r="BO166" s="1156" t="str">
        <f ca="1">'3.1 Nyttestrøm'!CI70</f>
        <v/>
      </c>
      <c r="BP166" s="1156" t="str">
        <f ca="1">'3.1 Nyttestrøm'!CJ70</f>
        <v/>
      </c>
      <c r="BQ166" s="1156" t="str">
        <f ca="1">'3.1 Nyttestrøm'!CK70</f>
        <v/>
      </c>
      <c r="BR166" s="1156" t="str">
        <f ca="1">'3.1 Nyttestrøm'!CL70</f>
        <v/>
      </c>
      <c r="BS166" s="1156" t="str">
        <f ca="1">'3.1 Nyttestrøm'!CM70</f>
        <v/>
      </c>
      <c r="BT166" s="1156" t="str">
        <f ca="1">'3.1 Nyttestrøm'!CN70</f>
        <v/>
      </c>
      <c r="BU166" s="1156" t="str">
        <f ca="1">'3.1 Nyttestrøm'!CO70</f>
        <v/>
      </c>
      <c r="BV166" s="1156" t="str">
        <f ca="1">'3.1 Nyttestrøm'!CP70</f>
        <v/>
      </c>
      <c r="BW166" s="1156" t="str">
        <f ca="1">'3.1 Nyttestrøm'!CQ70</f>
        <v/>
      </c>
      <c r="BX166" s="1156" t="str">
        <f ca="1">'3.1 Nyttestrøm'!CR70</f>
        <v/>
      </c>
      <c r="BY166" s="1156" t="str">
        <f ca="1">'3.1 Nyttestrøm'!CS70</f>
        <v/>
      </c>
      <c r="BZ166" s="1156" t="str">
        <f ca="1">'3.1 Nyttestrøm'!CT70</f>
        <v/>
      </c>
      <c r="CA166" s="1156" t="str">
        <f ca="1">'3.1 Nyttestrøm'!CU70</f>
        <v/>
      </c>
      <c r="CB166" s="1156" t="str">
        <f ca="1">'3.1 Nyttestrøm'!CV70</f>
        <v/>
      </c>
      <c r="CC166" s="1156" t="str">
        <f ca="1">'3.1 Nyttestrøm'!CW70</f>
        <v/>
      </c>
      <c r="CD166" s="1156" t="str">
        <f ca="1">'3.1 Nyttestrøm'!CX70</f>
        <v/>
      </c>
      <c r="CE166" s="1156" t="str">
        <f ca="1">'3.1 Nyttestrøm'!CY70</f>
        <v/>
      </c>
      <c r="CF166" s="1156" t="str">
        <f ca="1">'3.1 Nyttestrøm'!CZ70</f>
        <v/>
      </c>
      <c r="CG166" s="1156" t="str">
        <f ca="1">'3.1 Nyttestrøm'!DA70</f>
        <v/>
      </c>
      <c r="CH166" s="1156" t="str">
        <f ca="1">'3.1 Nyttestrøm'!DB70</f>
        <v/>
      </c>
      <c r="CI166" s="1156" t="str">
        <f ca="1">'3.1 Nyttestrøm'!DC70</f>
        <v/>
      </c>
      <c r="CJ166" s="1156" t="str">
        <f ca="1">'3.1 Nyttestrøm'!DD70</f>
        <v/>
      </c>
      <c r="CK166" s="1156" t="str">
        <f ca="1">'3.1 Nyttestrøm'!DE70</f>
        <v/>
      </c>
      <c r="CL166" s="1156" t="str">
        <f ca="1">'3.1 Nyttestrøm'!DF70</f>
        <v/>
      </c>
      <c r="CM166" s="1156" t="str">
        <f ca="1">'3.1 Nyttestrøm'!DG70</f>
        <v/>
      </c>
      <c r="CN166" s="1156" t="str">
        <f ca="1">'3.1 Nyttestrøm'!DH70</f>
        <v/>
      </c>
      <c r="CO166" s="1156" t="str">
        <f ca="1">'3.1 Nyttestrøm'!DI70</f>
        <v/>
      </c>
      <c r="CP166" s="1156" t="str">
        <f ca="1">'3.1 Nyttestrøm'!DJ70</f>
        <v/>
      </c>
      <c r="CQ166" s="1156" t="str">
        <f ca="1">'3.1 Nyttestrøm'!DK70</f>
        <v/>
      </c>
      <c r="CR166" s="1156" t="str">
        <f ca="1">'3.1 Nyttestrøm'!DL70</f>
        <v/>
      </c>
      <c r="CS166" s="1156" t="str">
        <f ca="1">'3.1 Nyttestrøm'!DM70</f>
        <v/>
      </c>
      <c r="CT166" s="1156" t="str">
        <f ca="1">'3.1 Nyttestrøm'!DN70</f>
        <v/>
      </c>
      <c r="CU166" s="1156" t="str">
        <f ca="1">'3.1 Nyttestrøm'!DO70</f>
        <v/>
      </c>
      <c r="CV166" s="1156" t="str">
        <f ca="1">'3.1 Nyttestrøm'!DP70</f>
        <v/>
      </c>
      <c r="CW166" s="1156" t="str">
        <f ca="1">'3.1 Nyttestrøm'!DQ70</f>
        <v/>
      </c>
      <c r="CX166" s="1166" t="str">
        <f ca="1">'3.1 Nyttestrøm'!DR70</f>
        <v/>
      </c>
    </row>
    <row r="167" spans="1:102" x14ac:dyDescent="0.35">
      <c r="A167" s="685"/>
      <c r="B167" s="446" t="str">
        <f>'3.1 Nyttestrøm'!C71</f>
        <v>Lokale utslipp</v>
      </c>
      <c r="C167" s="1156" t="str">
        <f ca="1">'3.1 Nyttestrøm'!W71</f>
        <v/>
      </c>
      <c r="D167" s="1156" t="str">
        <f ca="1">'3.1 Nyttestrøm'!X71</f>
        <v/>
      </c>
      <c r="E167" s="1156" t="str">
        <f ca="1">'3.1 Nyttestrøm'!Y71</f>
        <v/>
      </c>
      <c r="F167" s="1156" t="str">
        <f ca="1">'3.1 Nyttestrøm'!Z71</f>
        <v/>
      </c>
      <c r="G167" s="1156" t="str">
        <f ca="1">'3.1 Nyttestrøm'!AA71</f>
        <v/>
      </c>
      <c r="H167" s="1156" t="str">
        <f ca="1">'3.1 Nyttestrøm'!AB71</f>
        <v/>
      </c>
      <c r="I167" s="1156" t="str">
        <f ca="1">'3.1 Nyttestrøm'!AC71</f>
        <v/>
      </c>
      <c r="J167" s="1156" t="str">
        <f ca="1">'3.1 Nyttestrøm'!AD71</f>
        <v/>
      </c>
      <c r="K167" s="1156" t="str">
        <f ca="1">'3.1 Nyttestrøm'!AE71</f>
        <v/>
      </c>
      <c r="L167" s="1156" t="str">
        <f ca="1">'3.1 Nyttestrøm'!AF71</f>
        <v/>
      </c>
      <c r="M167" s="1156" t="str">
        <f ca="1">'3.1 Nyttestrøm'!AG71</f>
        <v/>
      </c>
      <c r="N167" s="1156" t="str">
        <f ca="1">'3.1 Nyttestrøm'!AH71</f>
        <v/>
      </c>
      <c r="O167" s="1156" t="str">
        <f ca="1">'3.1 Nyttestrøm'!AI71</f>
        <v/>
      </c>
      <c r="P167" s="1156" t="str">
        <f ca="1">'3.1 Nyttestrøm'!AJ71</f>
        <v/>
      </c>
      <c r="Q167" s="1156" t="str">
        <f ca="1">'3.1 Nyttestrøm'!AK71</f>
        <v/>
      </c>
      <c r="R167" s="1156" t="str">
        <f ca="1">'3.1 Nyttestrøm'!AL71</f>
        <v/>
      </c>
      <c r="S167" s="1156" t="str">
        <f ca="1">'3.1 Nyttestrøm'!AM71</f>
        <v/>
      </c>
      <c r="T167" s="1156" t="str">
        <f ca="1">'3.1 Nyttestrøm'!AN71</f>
        <v/>
      </c>
      <c r="U167" s="1156" t="str">
        <f ca="1">'3.1 Nyttestrøm'!AO71</f>
        <v/>
      </c>
      <c r="V167" s="1156" t="str">
        <f ca="1">'3.1 Nyttestrøm'!AP71</f>
        <v/>
      </c>
      <c r="W167" s="1156" t="str">
        <f ca="1">'3.1 Nyttestrøm'!AQ71</f>
        <v/>
      </c>
      <c r="X167" s="1156" t="str">
        <f ca="1">'3.1 Nyttestrøm'!AR71</f>
        <v/>
      </c>
      <c r="Y167" s="1156" t="str">
        <f ca="1">'3.1 Nyttestrøm'!AS71</f>
        <v/>
      </c>
      <c r="Z167" s="1156" t="str">
        <f ca="1">'3.1 Nyttestrøm'!AT71</f>
        <v/>
      </c>
      <c r="AA167" s="1156" t="str">
        <f ca="1">'3.1 Nyttestrøm'!AU71</f>
        <v/>
      </c>
      <c r="AB167" s="1156" t="str">
        <f ca="1">'3.1 Nyttestrøm'!AV71</f>
        <v/>
      </c>
      <c r="AC167" s="1156" t="str">
        <f ca="1">'3.1 Nyttestrøm'!AW71</f>
        <v/>
      </c>
      <c r="AD167" s="1156" t="str">
        <f ca="1">'3.1 Nyttestrøm'!AX71</f>
        <v/>
      </c>
      <c r="AE167" s="1156" t="str">
        <f ca="1">'3.1 Nyttestrøm'!AY71</f>
        <v/>
      </c>
      <c r="AF167" s="1156" t="str">
        <f ca="1">'3.1 Nyttestrøm'!AZ71</f>
        <v/>
      </c>
      <c r="AG167" s="1156" t="str">
        <f ca="1">'3.1 Nyttestrøm'!BA71</f>
        <v/>
      </c>
      <c r="AH167" s="1156" t="str">
        <f ca="1">'3.1 Nyttestrøm'!BB71</f>
        <v/>
      </c>
      <c r="AI167" s="1156" t="str">
        <f ca="1">'3.1 Nyttestrøm'!BC71</f>
        <v/>
      </c>
      <c r="AJ167" s="1156" t="str">
        <f ca="1">'3.1 Nyttestrøm'!BD71</f>
        <v/>
      </c>
      <c r="AK167" s="1156" t="str">
        <f ca="1">'3.1 Nyttestrøm'!BE71</f>
        <v/>
      </c>
      <c r="AL167" s="1156" t="str">
        <f ca="1">'3.1 Nyttestrøm'!BF71</f>
        <v/>
      </c>
      <c r="AM167" s="1156" t="str">
        <f ca="1">'3.1 Nyttestrøm'!BG71</f>
        <v/>
      </c>
      <c r="AN167" s="1156" t="str">
        <f ca="1">'3.1 Nyttestrøm'!BH71</f>
        <v/>
      </c>
      <c r="AO167" s="1156" t="str">
        <f ca="1">'3.1 Nyttestrøm'!BI71</f>
        <v/>
      </c>
      <c r="AP167" s="1156" t="str">
        <f ca="1">'3.1 Nyttestrøm'!BJ71</f>
        <v/>
      </c>
      <c r="AQ167" s="1156" t="str">
        <f ca="1">'3.1 Nyttestrøm'!BK71</f>
        <v/>
      </c>
      <c r="AR167" s="1156" t="str">
        <f ca="1">'3.1 Nyttestrøm'!BL71</f>
        <v/>
      </c>
      <c r="AS167" s="1156" t="str">
        <f ca="1">'3.1 Nyttestrøm'!BM71</f>
        <v/>
      </c>
      <c r="AT167" s="1156" t="str">
        <f ca="1">'3.1 Nyttestrøm'!BN71</f>
        <v/>
      </c>
      <c r="AU167" s="1156" t="str">
        <f ca="1">'3.1 Nyttestrøm'!BO71</f>
        <v/>
      </c>
      <c r="AV167" s="1156" t="str">
        <f ca="1">'3.1 Nyttestrøm'!BP71</f>
        <v/>
      </c>
      <c r="AW167" s="1156" t="str">
        <f ca="1">'3.1 Nyttestrøm'!BQ71</f>
        <v/>
      </c>
      <c r="AX167" s="1156" t="str">
        <f ca="1">'3.1 Nyttestrøm'!BR71</f>
        <v/>
      </c>
      <c r="AY167" s="1156" t="str">
        <f ca="1">'3.1 Nyttestrøm'!BS71</f>
        <v/>
      </c>
      <c r="AZ167" s="1156" t="str">
        <f ca="1">'3.1 Nyttestrøm'!BT71</f>
        <v/>
      </c>
      <c r="BA167" s="1156" t="str">
        <f ca="1">'3.1 Nyttestrøm'!BU71</f>
        <v/>
      </c>
      <c r="BB167" s="1156" t="str">
        <f ca="1">'3.1 Nyttestrøm'!BV71</f>
        <v/>
      </c>
      <c r="BC167" s="1156" t="str">
        <f ca="1">'3.1 Nyttestrøm'!BW71</f>
        <v/>
      </c>
      <c r="BD167" s="1156" t="str">
        <f ca="1">'3.1 Nyttestrøm'!BX71</f>
        <v/>
      </c>
      <c r="BE167" s="1156" t="str">
        <f ca="1">'3.1 Nyttestrøm'!BY71</f>
        <v/>
      </c>
      <c r="BF167" s="1156" t="str">
        <f ca="1">'3.1 Nyttestrøm'!BZ71</f>
        <v/>
      </c>
      <c r="BG167" s="1156" t="str">
        <f ca="1">'3.1 Nyttestrøm'!CA71</f>
        <v/>
      </c>
      <c r="BH167" s="1156" t="str">
        <f ca="1">'3.1 Nyttestrøm'!CB71</f>
        <v/>
      </c>
      <c r="BI167" s="1156" t="str">
        <f ca="1">'3.1 Nyttestrøm'!CC71</f>
        <v/>
      </c>
      <c r="BJ167" s="1156" t="str">
        <f ca="1">'3.1 Nyttestrøm'!CD71</f>
        <v/>
      </c>
      <c r="BK167" s="1156" t="str">
        <f ca="1">'3.1 Nyttestrøm'!CE71</f>
        <v/>
      </c>
      <c r="BL167" s="1156" t="str">
        <f ca="1">'3.1 Nyttestrøm'!CF71</f>
        <v/>
      </c>
      <c r="BM167" s="1156" t="str">
        <f ca="1">'3.1 Nyttestrøm'!CG71</f>
        <v/>
      </c>
      <c r="BN167" s="1156" t="str">
        <f ca="1">'3.1 Nyttestrøm'!CH71</f>
        <v/>
      </c>
      <c r="BO167" s="1156" t="str">
        <f ca="1">'3.1 Nyttestrøm'!CI71</f>
        <v/>
      </c>
      <c r="BP167" s="1156" t="str">
        <f ca="1">'3.1 Nyttestrøm'!CJ71</f>
        <v/>
      </c>
      <c r="BQ167" s="1156" t="str">
        <f ca="1">'3.1 Nyttestrøm'!CK71</f>
        <v/>
      </c>
      <c r="BR167" s="1156" t="str">
        <f ca="1">'3.1 Nyttestrøm'!CL71</f>
        <v/>
      </c>
      <c r="BS167" s="1156" t="str">
        <f ca="1">'3.1 Nyttestrøm'!CM71</f>
        <v/>
      </c>
      <c r="BT167" s="1156" t="str">
        <f ca="1">'3.1 Nyttestrøm'!CN71</f>
        <v/>
      </c>
      <c r="BU167" s="1156" t="str">
        <f ca="1">'3.1 Nyttestrøm'!CO71</f>
        <v/>
      </c>
      <c r="BV167" s="1156" t="str">
        <f ca="1">'3.1 Nyttestrøm'!CP71</f>
        <v/>
      </c>
      <c r="BW167" s="1156" t="str">
        <f ca="1">'3.1 Nyttestrøm'!CQ71</f>
        <v/>
      </c>
      <c r="BX167" s="1156" t="str">
        <f ca="1">'3.1 Nyttestrøm'!CR71</f>
        <v/>
      </c>
      <c r="BY167" s="1156" t="str">
        <f ca="1">'3.1 Nyttestrøm'!CS71</f>
        <v/>
      </c>
      <c r="BZ167" s="1156" t="str">
        <f ca="1">'3.1 Nyttestrøm'!CT71</f>
        <v/>
      </c>
      <c r="CA167" s="1156" t="str">
        <f ca="1">'3.1 Nyttestrøm'!CU71</f>
        <v/>
      </c>
      <c r="CB167" s="1156" t="str">
        <f ca="1">'3.1 Nyttestrøm'!CV71</f>
        <v/>
      </c>
      <c r="CC167" s="1156" t="str">
        <f ca="1">'3.1 Nyttestrøm'!CW71</f>
        <v/>
      </c>
      <c r="CD167" s="1156" t="str">
        <f ca="1">'3.1 Nyttestrøm'!CX71</f>
        <v/>
      </c>
      <c r="CE167" s="1156" t="str">
        <f ca="1">'3.1 Nyttestrøm'!CY71</f>
        <v/>
      </c>
      <c r="CF167" s="1156" t="str">
        <f ca="1">'3.1 Nyttestrøm'!CZ71</f>
        <v/>
      </c>
      <c r="CG167" s="1156" t="str">
        <f ca="1">'3.1 Nyttestrøm'!DA71</f>
        <v/>
      </c>
      <c r="CH167" s="1156" t="str">
        <f ca="1">'3.1 Nyttestrøm'!DB71</f>
        <v/>
      </c>
      <c r="CI167" s="1156" t="str">
        <f ca="1">'3.1 Nyttestrøm'!DC71</f>
        <v/>
      </c>
      <c r="CJ167" s="1156" t="str">
        <f ca="1">'3.1 Nyttestrøm'!DD71</f>
        <v/>
      </c>
      <c r="CK167" s="1156" t="str">
        <f ca="1">'3.1 Nyttestrøm'!DE71</f>
        <v/>
      </c>
      <c r="CL167" s="1156" t="str">
        <f ca="1">'3.1 Nyttestrøm'!DF71</f>
        <v/>
      </c>
      <c r="CM167" s="1156" t="str">
        <f ca="1">'3.1 Nyttestrøm'!DG71</f>
        <v/>
      </c>
      <c r="CN167" s="1156" t="str">
        <f ca="1">'3.1 Nyttestrøm'!DH71</f>
        <v/>
      </c>
      <c r="CO167" s="1156" t="str">
        <f ca="1">'3.1 Nyttestrøm'!DI71</f>
        <v/>
      </c>
      <c r="CP167" s="1156" t="str">
        <f ca="1">'3.1 Nyttestrøm'!DJ71</f>
        <v/>
      </c>
      <c r="CQ167" s="1156" t="str">
        <f ca="1">'3.1 Nyttestrøm'!DK71</f>
        <v/>
      </c>
      <c r="CR167" s="1156" t="str">
        <f ca="1">'3.1 Nyttestrøm'!DL71</f>
        <v/>
      </c>
      <c r="CS167" s="1156" t="str">
        <f ca="1">'3.1 Nyttestrøm'!DM71</f>
        <v/>
      </c>
      <c r="CT167" s="1156" t="str">
        <f ca="1">'3.1 Nyttestrøm'!DN71</f>
        <v/>
      </c>
      <c r="CU167" s="1156" t="str">
        <f ca="1">'3.1 Nyttestrøm'!DO71</f>
        <v/>
      </c>
      <c r="CV167" s="1156" t="str">
        <f ca="1">'3.1 Nyttestrøm'!DP71</f>
        <v/>
      </c>
      <c r="CW167" s="1156" t="str">
        <f ca="1">'3.1 Nyttestrøm'!DQ71</f>
        <v/>
      </c>
      <c r="CX167" s="1166" t="str">
        <f ca="1">'3.1 Nyttestrøm'!DR71</f>
        <v/>
      </c>
    </row>
    <row r="168" spans="1:102" x14ac:dyDescent="0.35">
      <c r="A168" s="685"/>
      <c r="B168" t="s">
        <v>2274</v>
      </c>
      <c r="CX168" s="686"/>
    </row>
    <row r="169" spans="1:102" x14ac:dyDescent="0.35">
      <c r="A169" s="685"/>
      <c r="CX169" s="686"/>
    </row>
    <row r="170" spans="1:102" x14ac:dyDescent="0.35">
      <c r="A170" s="685"/>
      <c r="B170" s="485" t="s">
        <v>2052</v>
      </c>
      <c r="C170" s="485" t="str">
        <f>IF(A174,B174,"")</f>
        <v>Ulykker</v>
      </c>
      <c r="D170" s="485" t="str">
        <f>IF(A175,B175,"")</f>
        <v>Støy</v>
      </c>
      <c r="E170" s="485" t="str">
        <f>IF(A176,B176,"")</f>
        <v>Lokale utslipp</v>
      </c>
      <c r="F170" s="485">
        <f>COUNTIF(A174:A176,TRUE)</f>
        <v>3</v>
      </c>
      <c r="G170" s="485" t="str">
        <f>" og "</f>
        <v xml:space="preserve"> og </v>
      </c>
      <c r="CX170" s="686"/>
    </row>
    <row r="171" spans="1:102" x14ac:dyDescent="0.35">
      <c r="A171" s="685"/>
      <c r="B171" s="485" t="s">
        <v>2200</v>
      </c>
      <c r="C171" s="485" t="str">
        <f>"Ulykker, støy og lokale utslipp, mill. "&amp;KroneårIBeregninger&amp;"-kr"</f>
        <v>Ulykker, støy og lokale utslipp, mill. -kr</v>
      </c>
      <c r="D171" s="485"/>
      <c r="E171" s="485"/>
      <c r="F171" s="485"/>
      <c r="G171" s="485" t="str">
        <f>", "</f>
        <v xml:space="preserve">, </v>
      </c>
      <c r="CX171" s="686"/>
    </row>
    <row r="172" spans="1:102" ht="15" thickBot="1" x14ac:dyDescent="0.4">
      <c r="A172" s="687" t="s">
        <v>2026</v>
      </c>
      <c r="B172" s="688" t="s">
        <v>2027</v>
      </c>
      <c r="C172" s="688" t="s">
        <v>2028</v>
      </c>
      <c r="D172" s="688" t="s">
        <v>2029</v>
      </c>
      <c r="E172" s="688" t="s">
        <v>2055</v>
      </c>
      <c r="F172" s="688" t="s">
        <v>2056</v>
      </c>
      <c r="G172" s="688" t="s">
        <v>2057</v>
      </c>
      <c r="H172" s="688" t="s">
        <v>2058</v>
      </c>
      <c r="I172" s="688" t="s">
        <v>2059</v>
      </c>
      <c r="J172" s="688" t="s">
        <v>2061</v>
      </c>
      <c r="K172" s="688" t="s">
        <v>2062</v>
      </c>
      <c r="L172" s="688" t="s">
        <v>2043</v>
      </c>
      <c r="M172" s="688" t="s">
        <v>2044</v>
      </c>
      <c r="N172" s="688" t="s">
        <v>2042</v>
      </c>
      <c r="O172" s="688" t="s">
        <v>2063</v>
      </c>
      <c r="P172" s="688" t="s">
        <v>2064</v>
      </c>
      <c r="Q172" s="688" t="s">
        <v>2065</v>
      </c>
      <c r="R172" s="688" t="s">
        <v>2066</v>
      </c>
      <c r="S172" s="688" t="s">
        <v>2067</v>
      </c>
      <c r="T172" s="688" t="s">
        <v>2068</v>
      </c>
      <c r="U172" s="688" t="s">
        <v>2069</v>
      </c>
      <c r="V172" s="688" t="s">
        <v>2070</v>
      </c>
      <c r="W172" s="688" t="s">
        <v>2071</v>
      </c>
      <c r="X172" s="688" t="s">
        <v>2072</v>
      </c>
      <c r="Y172" s="688" t="s">
        <v>2073</v>
      </c>
      <c r="Z172" s="688" t="s">
        <v>2074</v>
      </c>
      <c r="AA172" s="688" t="s">
        <v>2075</v>
      </c>
      <c r="AB172" s="688" t="s">
        <v>2076</v>
      </c>
      <c r="AC172" s="688" t="s">
        <v>2077</v>
      </c>
      <c r="AD172" s="688" t="s">
        <v>2078</v>
      </c>
      <c r="AE172" s="688" t="s">
        <v>2079</v>
      </c>
      <c r="AF172" s="688" t="s">
        <v>2080</v>
      </c>
      <c r="AG172" s="688" t="s">
        <v>2081</v>
      </c>
      <c r="AH172" s="688" t="s">
        <v>2082</v>
      </c>
      <c r="AI172" s="688" t="s">
        <v>2083</v>
      </c>
      <c r="AJ172" s="688" t="s">
        <v>2084</v>
      </c>
      <c r="AK172" s="688" t="s">
        <v>2085</v>
      </c>
      <c r="AL172" s="688" t="s">
        <v>2086</v>
      </c>
      <c r="AM172" s="688" t="s">
        <v>2087</v>
      </c>
      <c r="AN172" s="688" t="s">
        <v>2088</v>
      </c>
      <c r="AO172" s="688" t="s">
        <v>2089</v>
      </c>
      <c r="AP172" s="688" t="s">
        <v>2090</v>
      </c>
      <c r="AQ172" s="688" t="s">
        <v>2091</v>
      </c>
      <c r="AR172" s="688" t="s">
        <v>2092</v>
      </c>
      <c r="AS172" s="688" t="s">
        <v>2093</v>
      </c>
      <c r="AT172" s="688" t="s">
        <v>2094</v>
      </c>
      <c r="AU172" s="688" t="s">
        <v>2095</v>
      </c>
      <c r="AV172" s="688" t="s">
        <v>2096</v>
      </c>
      <c r="AW172" s="688" t="s">
        <v>2097</v>
      </c>
      <c r="AX172" s="688" t="s">
        <v>2098</v>
      </c>
      <c r="AY172" s="688" t="s">
        <v>2099</v>
      </c>
      <c r="AZ172" s="688" t="s">
        <v>2100</v>
      </c>
      <c r="BA172" s="688" t="s">
        <v>2101</v>
      </c>
      <c r="BB172" s="688" t="s">
        <v>2102</v>
      </c>
      <c r="BC172" s="688" t="s">
        <v>2103</v>
      </c>
      <c r="BD172" s="688" t="s">
        <v>2104</v>
      </c>
      <c r="BE172" s="688" t="s">
        <v>2105</v>
      </c>
      <c r="BF172" s="688" t="s">
        <v>2106</v>
      </c>
      <c r="BG172" s="688" t="s">
        <v>2107</v>
      </c>
      <c r="BH172" s="688" t="s">
        <v>2108</v>
      </c>
      <c r="BI172" s="688" t="s">
        <v>2109</v>
      </c>
      <c r="BJ172" s="688" t="s">
        <v>2110</v>
      </c>
      <c r="BK172" s="688" t="s">
        <v>2111</v>
      </c>
      <c r="BL172" s="688" t="s">
        <v>2112</v>
      </c>
      <c r="BM172" s="688" t="s">
        <v>2113</v>
      </c>
      <c r="BN172" s="688" t="s">
        <v>2114</v>
      </c>
      <c r="BO172" s="688" t="s">
        <v>2115</v>
      </c>
      <c r="BP172" s="688" t="s">
        <v>2116</v>
      </c>
      <c r="BQ172" s="688" t="s">
        <v>2117</v>
      </c>
      <c r="BR172" s="688" t="s">
        <v>2118</v>
      </c>
      <c r="BS172" s="688" t="s">
        <v>2119</v>
      </c>
      <c r="BT172" s="688" t="s">
        <v>2120</v>
      </c>
      <c r="BU172" s="688" t="s">
        <v>2121</v>
      </c>
      <c r="BV172" s="688" t="s">
        <v>2122</v>
      </c>
      <c r="BW172" s="688" t="s">
        <v>2123</v>
      </c>
      <c r="BX172" s="688" t="s">
        <v>2124</v>
      </c>
      <c r="BY172" s="689" t="s">
        <v>2125</v>
      </c>
      <c r="BZ172" s="688" t="s">
        <v>2247</v>
      </c>
      <c r="CA172" s="688" t="s">
        <v>2248</v>
      </c>
      <c r="CB172" s="688" t="s">
        <v>2249</v>
      </c>
      <c r="CC172" s="688" t="s">
        <v>2250</v>
      </c>
      <c r="CD172" s="688" t="s">
        <v>2251</v>
      </c>
      <c r="CE172" s="688" t="s">
        <v>2252</v>
      </c>
      <c r="CF172" s="688" t="s">
        <v>2253</v>
      </c>
      <c r="CG172" s="688" t="s">
        <v>2254</v>
      </c>
      <c r="CH172" s="688" t="s">
        <v>2255</v>
      </c>
      <c r="CI172" s="688" t="s">
        <v>2256</v>
      </c>
      <c r="CJ172" s="688" t="s">
        <v>2257</v>
      </c>
      <c r="CK172" s="688" t="s">
        <v>2258</v>
      </c>
      <c r="CL172" s="688" t="s">
        <v>2259</v>
      </c>
      <c r="CM172" s="688" t="s">
        <v>2260</v>
      </c>
      <c r="CN172" s="688" t="s">
        <v>2261</v>
      </c>
      <c r="CO172" s="688" t="s">
        <v>2262</v>
      </c>
      <c r="CP172" s="688" t="s">
        <v>2263</v>
      </c>
      <c r="CQ172" s="688" t="s">
        <v>2264</v>
      </c>
      <c r="CR172" s="688" t="s">
        <v>2265</v>
      </c>
      <c r="CS172" s="688" t="s">
        <v>2266</v>
      </c>
      <c r="CT172" s="688" t="s">
        <v>2267</v>
      </c>
      <c r="CU172" s="688" t="s">
        <v>2268</v>
      </c>
      <c r="CV172" s="688" t="s">
        <v>2269</v>
      </c>
      <c r="CW172" s="688" t="s">
        <v>2270</v>
      </c>
      <c r="CX172" s="689" t="s">
        <v>2271</v>
      </c>
    </row>
    <row r="173" spans="1:102" ht="15" thickBot="1" x14ac:dyDescent="0.4">
      <c r="A173" s="685" t="s">
        <v>2159</v>
      </c>
      <c r="B173" t="str">
        <f t="shared" ref="B173:AG173" si="300">B164</f>
        <v>År</v>
      </c>
      <c r="C173">
        <f t="shared" si="300"/>
        <v>0</v>
      </c>
      <c r="D173">
        <f t="shared" si="300"/>
        <v>1</v>
      </c>
      <c r="E173">
        <f t="shared" si="300"/>
        <v>2</v>
      </c>
      <c r="F173">
        <f t="shared" si="300"/>
        <v>3</v>
      </c>
      <c r="G173">
        <f t="shared" si="300"/>
        <v>4</v>
      </c>
      <c r="H173">
        <f t="shared" si="300"/>
        <v>5</v>
      </c>
      <c r="I173">
        <f t="shared" si="300"/>
        <v>6</v>
      </c>
      <c r="J173">
        <f t="shared" si="300"/>
        <v>7</v>
      </c>
      <c r="K173">
        <f t="shared" si="300"/>
        <v>8</v>
      </c>
      <c r="L173">
        <f t="shared" si="300"/>
        <v>9</v>
      </c>
      <c r="M173">
        <f t="shared" si="300"/>
        <v>10</v>
      </c>
      <c r="N173">
        <f t="shared" si="300"/>
        <v>11</v>
      </c>
      <c r="O173">
        <f t="shared" si="300"/>
        <v>12</v>
      </c>
      <c r="P173">
        <f t="shared" si="300"/>
        <v>13</v>
      </c>
      <c r="Q173">
        <f t="shared" si="300"/>
        <v>14</v>
      </c>
      <c r="R173">
        <f t="shared" si="300"/>
        <v>15</v>
      </c>
      <c r="S173">
        <f t="shared" si="300"/>
        <v>16</v>
      </c>
      <c r="T173">
        <f t="shared" si="300"/>
        <v>17</v>
      </c>
      <c r="U173">
        <f t="shared" si="300"/>
        <v>18</v>
      </c>
      <c r="V173">
        <f t="shared" si="300"/>
        <v>19</v>
      </c>
      <c r="W173">
        <f t="shared" si="300"/>
        <v>20</v>
      </c>
      <c r="X173">
        <f t="shared" si="300"/>
        <v>21</v>
      </c>
      <c r="Y173">
        <f t="shared" si="300"/>
        <v>22</v>
      </c>
      <c r="Z173">
        <f t="shared" si="300"/>
        <v>23</v>
      </c>
      <c r="AA173">
        <f t="shared" si="300"/>
        <v>24</v>
      </c>
      <c r="AB173">
        <f t="shared" si="300"/>
        <v>25</v>
      </c>
      <c r="AC173">
        <f t="shared" si="300"/>
        <v>26</v>
      </c>
      <c r="AD173">
        <f t="shared" si="300"/>
        <v>27</v>
      </c>
      <c r="AE173">
        <f t="shared" si="300"/>
        <v>28</v>
      </c>
      <c r="AF173">
        <f t="shared" si="300"/>
        <v>29</v>
      </c>
      <c r="AG173">
        <f t="shared" si="300"/>
        <v>30</v>
      </c>
      <c r="AH173">
        <f t="shared" ref="AH173:BM173" si="301">AH164</f>
        <v>31</v>
      </c>
      <c r="AI173">
        <f t="shared" si="301"/>
        <v>32</v>
      </c>
      <c r="AJ173">
        <f t="shared" si="301"/>
        <v>33</v>
      </c>
      <c r="AK173">
        <f t="shared" si="301"/>
        <v>34</v>
      </c>
      <c r="AL173">
        <f t="shared" si="301"/>
        <v>35</v>
      </c>
      <c r="AM173">
        <f t="shared" si="301"/>
        <v>36</v>
      </c>
      <c r="AN173">
        <f t="shared" si="301"/>
        <v>37</v>
      </c>
      <c r="AO173">
        <f t="shared" si="301"/>
        <v>38</v>
      </c>
      <c r="AP173">
        <f t="shared" si="301"/>
        <v>39</v>
      </c>
      <c r="AQ173">
        <f t="shared" si="301"/>
        <v>40</v>
      </c>
      <c r="AR173">
        <f t="shared" si="301"/>
        <v>41</v>
      </c>
      <c r="AS173">
        <f t="shared" si="301"/>
        <v>42</v>
      </c>
      <c r="AT173">
        <f t="shared" si="301"/>
        <v>43</v>
      </c>
      <c r="AU173">
        <f t="shared" si="301"/>
        <v>44</v>
      </c>
      <c r="AV173">
        <f t="shared" si="301"/>
        <v>45</v>
      </c>
      <c r="AW173">
        <f t="shared" si="301"/>
        <v>46</v>
      </c>
      <c r="AX173">
        <f t="shared" si="301"/>
        <v>47</v>
      </c>
      <c r="AY173">
        <f t="shared" si="301"/>
        <v>48</v>
      </c>
      <c r="AZ173">
        <f t="shared" si="301"/>
        <v>49</v>
      </c>
      <c r="BA173">
        <f t="shared" si="301"/>
        <v>50</v>
      </c>
      <c r="BB173">
        <f t="shared" si="301"/>
        <v>51</v>
      </c>
      <c r="BC173">
        <f t="shared" si="301"/>
        <v>52</v>
      </c>
      <c r="BD173">
        <f t="shared" si="301"/>
        <v>53</v>
      </c>
      <c r="BE173">
        <f t="shared" si="301"/>
        <v>54</v>
      </c>
      <c r="BF173">
        <f t="shared" si="301"/>
        <v>55</v>
      </c>
      <c r="BG173">
        <f t="shared" si="301"/>
        <v>56</v>
      </c>
      <c r="BH173">
        <f t="shared" si="301"/>
        <v>57</v>
      </c>
      <c r="BI173">
        <f t="shared" si="301"/>
        <v>58</v>
      </c>
      <c r="BJ173">
        <f t="shared" si="301"/>
        <v>59</v>
      </c>
      <c r="BK173">
        <f t="shared" si="301"/>
        <v>60</v>
      </c>
      <c r="BL173">
        <f t="shared" si="301"/>
        <v>61</v>
      </c>
      <c r="BM173">
        <f t="shared" si="301"/>
        <v>62</v>
      </c>
      <c r="BN173">
        <f t="shared" ref="BN173:BY173" si="302">BN164</f>
        <v>63</v>
      </c>
      <c r="BO173">
        <f t="shared" si="302"/>
        <v>64</v>
      </c>
      <c r="BP173">
        <f t="shared" si="302"/>
        <v>65</v>
      </c>
      <c r="BQ173">
        <f t="shared" si="302"/>
        <v>66</v>
      </c>
      <c r="BR173">
        <f t="shared" si="302"/>
        <v>67</v>
      </c>
      <c r="BS173">
        <f t="shared" si="302"/>
        <v>68</v>
      </c>
      <c r="BT173">
        <f t="shared" si="302"/>
        <v>69</v>
      </c>
      <c r="BU173">
        <f t="shared" si="302"/>
        <v>70</v>
      </c>
      <c r="BV173">
        <f t="shared" si="302"/>
        <v>71</v>
      </c>
      <c r="BW173">
        <f t="shared" si="302"/>
        <v>72</v>
      </c>
      <c r="BX173">
        <f t="shared" si="302"/>
        <v>73</v>
      </c>
      <c r="BY173">
        <f t="shared" si="302"/>
        <v>74</v>
      </c>
      <c r="BZ173">
        <f t="shared" ref="BZ173:CX173" si="303">BZ164</f>
        <v>75</v>
      </c>
      <c r="CA173">
        <f t="shared" si="303"/>
        <v>76</v>
      </c>
      <c r="CB173">
        <f t="shared" si="303"/>
        <v>77</v>
      </c>
      <c r="CC173">
        <f t="shared" si="303"/>
        <v>78</v>
      </c>
      <c r="CD173">
        <f t="shared" si="303"/>
        <v>79</v>
      </c>
      <c r="CE173">
        <f t="shared" si="303"/>
        <v>80</v>
      </c>
      <c r="CF173">
        <f t="shared" si="303"/>
        <v>81</v>
      </c>
      <c r="CG173">
        <f t="shared" si="303"/>
        <v>82</v>
      </c>
      <c r="CH173">
        <f t="shared" si="303"/>
        <v>83</v>
      </c>
      <c r="CI173">
        <f t="shared" si="303"/>
        <v>84</v>
      </c>
      <c r="CJ173">
        <f t="shared" si="303"/>
        <v>85</v>
      </c>
      <c r="CK173">
        <f t="shared" si="303"/>
        <v>86</v>
      </c>
      <c r="CL173">
        <f t="shared" si="303"/>
        <v>87</v>
      </c>
      <c r="CM173">
        <f t="shared" si="303"/>
        <v>88</v>
      </c>
      <c r="CN173">
        <f t="shared" si="303"/>
        <v>89</v>
      </c>
      <c r="CO173">
        <f t="shared" si="303"/>
        <v>90</v>
      </c>
      <c r="CP173">
        <f t="shared" si="303"/>
        <v>91</v>
      </c>
      <c r="CQ173">
        <f t="shared" si="303"/>
        <v>92</v>
      </c>
      <c r="CR173">
        <f t="shared" si="303"/>
        <v>93</v>
      </c>
      <c r="CS173">
        <f t="shared" si="303"/>
        <v>94</v>
      </c>
      <c r="CT173">
        <f t="shared" si="303"/>
        <v>95</v>
      </c>
      <c r="CU173">
        <f t="shared" si="303"/>
        <v>96</v>
      </c>
      <c r="CV173">
        <f t="shared" si="303"/>
        <v>97</v>
      </c>
      <c r="CW173">
        <f t="shared" si="303"/>
        <v>98</v>
      </c>
      <c r="CX173" s="686">
        <f t="shared" si="303"/>
        <v>99</v>
      </c>
    </row>
    <row r="174" spans="1:102" x14ac:dyDescent="0.35">
      <c r="A174" s="684" t="b">
        <v>1</v>
      </c>
      <c r="B174" s="622" t="str">
        <f>B165</f>
        <v>Ulykker</v>
      </c>
      <c r="C174" s="622" t="e">
        <f t="shared" ref="C174:AM174" ca="1" si="304">IF(C165="",NA(),IF($A174,C165,NA()))</f>
        <v>#N/A</v>
      </c>
      <c r="D174" s="622" t="e">
        <f t="shared" ca="1" si="304"/>
        <v>#N/A</v>
      </c>
      <c r="E174" s="622" t="e">
        <f t="shared" ca="1" si="304"/>
        <v>#N/A</v>
      </c>
      <c r="F174" s="622" t="e">
        <f t="shared" ca="1" si="304"/>
        <v>#N/A</v>
      </c>
      <c r="G174" s="622" t="e">
        <f t="shared" ca="1" si="304"/>
        <v>#N/A</v>
      </c>
      <c r="H174" s="622" t="e">
        <f t="shared" ca="1" si="304"/>
        <v>#N/A</v>
      </c>
      <c r="I174" s="622" t="e">
        <f t="shared" ca="1" si="304"/>
        <v>#N/A</v>
      </c>
      <c r="J174" s="622" t="e">
        <f t="shared" ca="1" si="304"/>
        <v>#N/A</v>
      </c>
      <c r="K174" s="622" t="e">
        <f t="shared" ca="1" si="304"/>
        <v>#N/A</v>
      </c>
      <c r="L174" s="622" t="e">
        <f t="shared" ca="1" si="304"/>
        <v>#N/A</v>
      </c>
      <c r="M174" s="622" t="e">
        <f t="shared" ca="1" si="304"/>
        <v>#N/A</v>
      </c>
      <c r="N174" s="622" t="e">
        <f t="shared" ca="1" si="304"/>
        <v>#N/A</v>
      </c>
      <c r="O174" s="622" t="e">
        <f t="shared" ca="1" si="304"/>
        <v>#N/A</v>
      </c>
      <c r="P174" s="622" t="e">
        <f t="shared" ca="1" si="304"/>
        <v>#N/A</v>
      </c>
      <c r="Q174" s="622" t="e">
        <f t="shared" ca="1" si="304"/>
        <v>#N/A</v>
      </c>
      <c r="R174" s="622" t="e">
        <f t="shared" ca="1" si="304"/>
        <v>#N/A</v>
      </c>
      <c r="S174" s="622" t="e">
        <f t="shared" ca="1" si="304"/>
        <v>#N/A</v>
      </c>
      <c r="T174" s="622" t="e">
        <f t="shared" ca="1" si="304"/>
        <v>#N/A</v>
      </c>
      <c r="U174" s="622" t="e">
        <f t="shared" ca="1" si="304"/>
        <v>#N/A</v>
      </c>
      <c r="V174" s="622" t="e">
        <f t="shared" ca="1" si="304"/>
        <v>#N/A</v>
      </c>
      <c r="W174" s="622" t="e">
        <f t="shared" ca="1" si="304"/>
        <v>#N/A</v>
      </c>
      <c r="X174" s="622" t="e">
        <f t="shared" ca="1" si="304"/>
        <v>#N/A</v>
      </c>
      <c r="Y174" s="622" t="e">
        <f t="shared" ca="1" si="304"/>
        <v>#N/A</v>
      </c>
      <c r="Z174" s="622" t="e">
        <f t="shared" ca="1" si="304"/>
        <v>#N/A</v>
      </c>
      <c r="AA174" s="622" t="e">
        <f t="shared" ca="1" si="304"/>
        <v>#N/A</v>
      </c>
      <c r="AB174" s="622" t="e">
        <f t="shared" ca="1" si="304"/>
        <v>#N/A</v>
      </c>
      <c r="AC174" s="622" t="e">
        <f t="shared" ca="1" si="304"/>
        <v>#N/A</v>
      </c>
      <c r="AD174" s="622" t="e">
        <f t="shared" ca="1" si="304"/>
        <v>#N/A</v>
      </c>
      <c r="AE174" s="622" t="e">
        <f t="shared" ca="1" si="304"/>
        <v>#N/A</v>
      </c>
      <c r="AF174" s="622" t="e">
        <f t="shared" ca="1" si="304"/>
        <v>#N/A</v>
      </c>
      <c r="AG174" s="622" t="e">
        <f t="shared" ca="1" si="304"/>
        <v>#N/A</v>
      </c>
      <c r="AH174" s="622" t="e">
        <f t="shared" ca="1" si="304"/>
        <v>#N/A</v>
      </c>
      <c r="AI174" s="622" t="e">
        <f t="shared" ca="1" si="304"/>
        <v>#N/A</v>
      </c>
      <c r="AJ174" s="622" t="e">
        <f t="shared" ca="1" si="304"/>
        <v>#N/A</v>
      </c>
      <c r="AK174" s="622" t="e">
        <f t="shared" ca="1" si="304"/>
        <v>#N/A</v>
      </c>
      <c r="AL174" s="622" t="e">
        <f t="shared" ca="1" si="304"/>
        <v>#N/A</v>
      </c>
      <c r="AM174" s="622" t="e">
        <f t="shared" ca="1" si="304"/>
        <v>#N/A</v>
      </c>
      <c r="AN174" s="622" t="e">
        <f t="shared" ref="AN174:AP174" ca="1" si="305">IF(AN165="",NA(),IF($A174,AN165,NA()))</f>
        <v>#N/A</v>
      </c>
      <c r="AO174" s="622" t="e">
        <f t="shared" ca="1" si="305"/>
        <v>#N/A</v>
      </c>
      <c r="AP174" s="622" t="e">
        <f t="shared" ca="1" si="305"/>
        <v>#N/A</v>
      </c>
      <c r="AQ174" s="622" t="e">
        <f ca="1">IF(AQ165="",NA(),IF($A174,AQ165,NA()))</f>
        <v>#N/A</v>
      </c>
      <c r="AR174" s="622" t="e">
        <f t="shared" ref="AR174:BY174" ca="1" si="306">IF(AR165="",NA(),IF($A174,AR165,NA()))</f>
        <v>#N/A</v>
      </c>
      <c r="AS174" s="622" t="e">
        <f t="shared" ca="1" si="306"/>
        <v>#N/A</v>
      </c>
      <c r="AT174" s="622" t="e">
        <f t="shared" ca="1" si="306"/>
        <v>#N/A</v>
      </c>
      <c r="AU174" s="622" t="e">
        <f t="shared" ca="1" si="306"/>
        <v>#N/A</v>
      </c>
      <c r="AV174" s="622" t="e">
        <f t="shared" ca="1" si="306"/>
        <v>#N/A</v>
      </c>
      <c r="AW174" s="622" t="e">
        <f t="shared" ca="1" si="306"/>
        <v>#N/A</v>
      </c>
      <c r="AX174" s="622" t="e">
        <f t="shared" ca="1" si="306"/>
        <v>#N/A</v>
      </c>
      <c r="AY174" s="622" t="e">
        <f t="shared" ca="1" si="306"/>
        <v>#N/A</v>
      </c>
      <c r="AZ174" s="622" t="e">
        <f t="shared" ca="1" si="306"/>
        <v>#N/A</v>
      </c>
      <c r="BA174" s="622" t="e">
        <f t="shared" ca="1" si="306"/>
        <v>#N/A</v>
      </c>
      <c r="BB174" s="622" t="e">
        <f t="shared" ca="1" si="306"/>
        <v>#N/A</v>
      </c>
      <c r="BC174" s="622" t="e">
        <f t="shared" ca="1" si="306"/>
        <v>#N/A</v>
      </c>
      <c r="BD174" s="622" t="e">
        <f t="shared" ca="1" si="306"/>
        <v>#N/A</v>
      </c>
      <c r="BE174" s="622" t="e">
        <f t="shared" ca="1" si="306"/>
        <v>#N/A</v>
      </c>
      <c r="BF174" s="622" t="e">
        <f t="shared" ca="1" si="306"/>
        <v>#N/A</v>
      </c>
      <c r="BG174" s="622" t="e">
        <f t="shared" ca="1" si="306"/>
        <v>#N/A</v>
      </c>
      <c r="BH174" s="622" t="e">
        <f t="shared" ca="1" si="306"/>
        <v>#N/A</v>
      </c>
      <c r="BI174" s="622" t="e">
        <f t="shared" ca="1" si="306"/>
        <v>#N/A</v>
      </c>
      <c r="BJ174" s="622" t="e">
        <f t="shared" ca="1" si="306"/>
        <v>#N/A</v>
      </c>
      <c r="BK174" s="622" t="e">
        <f t="shared" ca="1" si="306"/>
        <v>#N/A</v>
      </c>
      <c r="BL174" s="622" t="e">
        <f t="shared" ca="1" si="306"/>
        <v>#N/A</v>
      </c>
      <c r="BM174" s="622" t="e">
        <f t="shared" ca="1" si="306"/>
        <v>#N/A</v>
      </c>
      <c r="BN174" s="622" t="e">
        <f t="shared" ca="1" si="306"/>
        <v>#N/A</v>
      </c>
      <c r="BO174" s="622" t="e">
        <f t="shared" ca="1" si="306"/>
        <v>#N/A</v>
      </c>
      <c r="BP174" s="622" t="e">
        <f t="shared" ca="1" si="306"/>
        <v>#N/A</v>
      </c>
      <c r="BQ174" s="622" t="e">
        <f t="shared" ca="1" si="306"/>
        <v>#N/A</v>
      </c>
      <c r="BR174" s="622" t="e">
        <f t="shared" ca="1" si="306"/>
        <v>#N/A</v>
      </c>
      <c r="BS174" s="622" t="e">
        <f t="shared" ca="1" si="306"/>
        <v>#N/A</v>
      </c>
      <c r="BT174" s="622" t="e">
        <f t="shared" ca="1" si="306"/>
        <v>#N/A</v>
      </c>
      <c r="BU174" s="622" t="e">
        <f t="shared" ca="1" si="306"/>
        <v>#N/A</v>
      </c>
      <c r="BV174" s="622" t="e">
        <f t="shared" ca="1" si="306"/>
        <v>#N/A</v>
      </c>
      <c r="BW174" s="622" t="e">
        <f t="shared" ca="1" si="306"/>
        <v>#N/A</v>
      </c>
      <c r="BX174" s="622" t="e">
        <f t="shared" ca="1" si="306"/>
        <v>#N/A</v>
      </c>
      <c r="BY174" s="622" t="e">
        <f t="shared" ca="1" si="306"/>
        <v>#N/A</v>
      </c>
      <c r="BZ174" s="622" t="e">
        <f t="shared" ref="BZ174:CX174" ca="1" si="307">IF(BZ165="",NA(),IF($A174,BZ165,NA()))</f>
        <v>#N/A</v>
      </c>
      <c r="CA174" s="622" t="e">
        <f t="shared" ca="1" si="307"/>
        <v>#N/A</v>
      </c>
      <c r="CB174" s="622" t="e">
        <f t="shared" ca="1" si="307"/>
        <v>#N/A</v>
      </c>
      <c r="CC174" s="622" t="e">
        <f t="shared" ca="1" si="307"/>
        <v>#N/A</v>
      </c>
      <c r="CD174" s="622" t="e">
        <f t="shared" ca="1" si="307"/>
        <v>#N/A</v>
      </c>
      <c r="CE174" s="622" t="e">
        <f t="shared" ca="1" si="307"/>
        <v>#N/A</v>
      </c>
      <c r="CF174" s="622" t="e">
        <f t="shared" ca="1" si="307"/>
        <v>#N/A</v>
      </c>
      <c r="CG174" s="622" t="e">
        <f t="shared" ca="1" si="307"/>
        <v>#N/A</v>
      </c>
      <c r="CH174" s="622" t="e">
        <f t="shared" ca="1" si="307"/>
        <v>#N/A</v>
      </c>
      <c r="CI174" s="622" t="e">
        <f t="shared" ca="1" si="307"/>
        <v>#N/A</v>
      </c>
      <c r="CJ174" s="622" t="e">
        <f t="shared" ca="1" si="307"/>
        <v>#N/A</v>
      </c>
      <c r="CK174" s="622" t="e">
        <f t="shared" ca="1" si="307"/>
        <v>#N/A</v>
      </c>
      <c r="CL174" s="622" t="e">
        <f t="shared" ca="1" si="307"/>
        <v>#N/A</v>
      </c>
      <c r="CM174" s="622" t="e">
        <f t="shared" ca="1" si="307"/>
        <v>#N/A</v>
      </c>
      <c r="CN174" s="622" t="e">
        <f t="shared" ca="1" si="307"/>
        <v>#N/A</v>
      </c>
      <c r="CO174" s="622" t="e">
        <f t="shared" ca="1" si="307"/>
        <v>#N/A</v>
      </c>
      <c r="CP174" s="622" t="e">
        <f t="shared" ca="1" si="307"/>
        <v>#N/A</v>
      </c>
      <c r="CQ174" s="622" t="e">
        <f t="shared" ca="1" si="307"/>
        <v>#N/A</v>
      </c>
      <c r="CR174" s="622" t="e">
        <f t="shared" ca="1" si="307"/>
        <v>#N/A</v>
      </c>
      <c r="CS174" s="622" t="e">
        <f t="shared" ca="1" si="307"/>
        <v>#N/A</v>
      </c>
      <c r="CT174" s="622" t="e">
        <f t="shared" ca="1" si="307"/>
        <v>#N/A</v>
      </c>
      <c r="CU174" s="622" t="e">
        <f t="shared" ca="1" si="307"/>
        <v>#N/A</v>
      </c>
      <c r="CV174" s="622" t="e">
        <f t="shared" ca="1" si="307"/>
        <v>#N/A</v>
      </c>
      <c r="CW174" s="622" t="e">
        <f t="shared" ca="1" si="307"/>
        <v>#N/A</v>
      </c>
      <c r="CX174" s="1171" t="e">
        <f t="shared" ca="1" si="307"/>
        <v>#N/A</v>
      </c>
    </row>
    <row r="175" spans="1:102" x14ac:dyDescent="0.35">
      <c r="A175" s="685" t="b">
        <v>1</v>
      </c>
      <c r="B175" t="str">
        <f>B166</f>
        <v>Støy</v>
      </c>
      <c r="C175" t="e">
        <f t="shared" ref="C175:AQ175" ca="1" si="308">IF(C166="",NA(),IF($A175,C166,NA()))</f>
        <v>#N/A</v>
      </c>
      <c r="D175" t="e">
        <f t="shared" ca="1" si="308"/>
        <v>#N/A</v>
      </c>
      <c r="E175" t="e">
        <f t="shared" ca="1" si="308"/>
        <v>#N/A</v>
      </c>
      <c r="F175" t="e">
        <f t="shared" ca="1" si="308"/>
        <v>#N/A</v>
      </c>
      <c r="G175" t="e">
        <f t="shared" ca="1" si="308"/>
        <v>#N/A</v>
      </c>
      <c r="H175" t="e">
        <f t="shared" ca="1" si="308"/>
        <v>#N/A</v>
      </c>
      <c r="I175" t="e">
        <f t="shared" ca="1" si="308"/>
        <v>#N/A</v>
      </c>
      <c r="J175" t="e">
        <f t="shared" ca="1" si="308"/>
        <v>#N/A</v>
      </c>
      <c r="K175" t="e">
        <f t="shared" ca="1" si="308"/>
        <v>#N/A</v>
      </c>
      <c r="L175" t="e">
        <f t="shared" ca="1" si="308"/>
        <v>#N/A</v>
      </c>
      <c r="M175" t="e">
        <f t="shared" ca="1" si="308"/>
        <v>#N/A</v>
      </c>
      <c r="N175" t="e">
        <f t="shared" ca="1" si="308"/>
        <v>#N/A</v>
      </c>
      <c r="O175" t="e">
        <f t="shared" ca="1" si="308"/>
        <v>#N/A</v>
      </c>
      <c r="P175" t="e">
        <f t="shared" ca="1" si="308"/>
        <v>#N/A</v>
      </c>
      <c r="Q175" t="e">
        <f t="shared" ca="1" si="308"/>
        <v>#N/A</v>
      </c>
      <c r="R175" t="e">
        <f t="shared" ca="1" si="308"/>
        <v>#N/A</v>
      </c>
      <c r="S175" t="e">
        <f t="shared" ca="1" si="308"/>
        <v>#N/A</v>
      </c>
      <c r="T175" t="e">
        <f t="shared" ca="1" si="308"/>
        <v>#N/A</v>
      </c>
      <c r="U175" t="e">
        <f t="shared" ca="1" si="308"/>
        <v>#N/A</v>
      </c>
      <c r="V175" t="e">
        <f t="shared" ca="1" si="308"/>
        <v>#N/A</v>
      </c>
      <c r="W175" t="e">
        <f t="shared" ca="1" si="308"/>
        <v>#N/A</v>
      </c>
      <c r="X175" t="e">
        <f t="shared" ca="1" si="308"/>
        <v>#N/A</v>
      </c>
      <c r="Y175" t="e">
        <f t="shared" ca="1" si="308"/>
        <v>#N/A</v>
      </c>
      <c r="Z175" t="e">
        <f t="shared" ca="1" si="308"/>
        <v>#N/A</v>
      </c>
      <c r="AA175" t="e">
        <f t="shared" ca="1" si="308"/>
        <v>#N/A</v>
      </c>
      <c r="AB175" t="e">
        <f t="shared" ca="1" si="308"/>
        <v>#N/A</v>
      </c>
      <c r="AC175" t="e">
        <f t="shared" ca="1" si="308"/>
        <v>#N/A</v>
      </c>
      <c r="AD175" t="e">
        <f t="shared" ca="1" si="308"/>
        <v>#N/A</v>
      </c>
      <c r="AE175" t="e">
        <f t="shared" ca="1" si="308"/>
        <v>#N/A</v>
      </c>
      <c r="AF175" t="e">
        <f t="shared" ca="1" si="308"/>
        <v>#N/A</v>
      </c>
      <c r="AG175" t="e">
        <f t="shared" ca="1" si="308"/>
        <v>#N/A</v>
      </c>
      <c r="AH175" t="e">
        <f t="shared" ca="1" si="308"/>
        <v>#N/A</v>
      </c>
      <c r="AI175" t="e">
        <f t="shared" ca="1" si="308"/>
        <v>#N/A</v>
      </c>
      <c r="AJ175" t="e">
        <f t="shared" ca="1" si="308"/>
        <v>#N/A</v>
      </c>
      <c r="AK175" t="e">
        <f t="shared" ca="1" si="308"/>
        <v>#N/A</v>
      </c>
      <c r="AL175" t="e">
        <f t="shared" ca="1" si="308"/>
        <v>#N/A</v>
      </c>
      <c r="AM175" t="e">
        <f t="shared" ca="1" si="308"/>
        <v>#N/A</v>
      </c>
      <c r="AN175" t="e">
        <f t="shared" ca="1" si="308"/>
        <v>#N/A</v>
      </c>
      <c r="AO175" t="e">
        <f t="shared" ca="1" si="308"/>
        <v>#N/A</v>
      </c>
      <c r="AP175" t="e">
        <f t="shared" ca="1" si="308"/>
        <v>#N/A</v>
      </c>
      <c r="AQ175" t="e">
        <f t="shared" ca="1" si="308"/>
        <v>#N/A</v>
      </c>
      <c r="AR175" t="e">
        <f t="shared" ref="AR175:BY175" ca="1" si="309">IF(AR166="",NA(),IF($A175,AR166,NA()))</f>
        <v>#N/A</v>
      </c>
      <c r="AS175" t="e">
        <f t="shared" ca="1" si="309"/>
        <v>#N/A</v>
      </c>
      <c r="AT175" t="e">
        <f t="shared" ca="1" si="309"/>
        <v>#N/A</v>
      </c>
      <c r="AU175" t="e">
        <f t="shared" ca="1" si="309"/>
        <v>#N/A</v>
      </c>
      <c r="AV175" t="e">
        <f t="shared" ca="1" si="309"/>
        <v>#N/A</v>
      </c>
      <c r="AW175" t="e">
        <f t="shared" ca="1" si="309"/>
        <v>#N/A</v>
      </c>
      <c r="AX175" t="e">
        <f t="shared" ca="1" si="309"/>
        <v>#N/A</v>
      </c>
      <c r="AY175" t="e">
        <f t="shared" ca="1" si="309"/>
        <v>#N/A</v>
      </c>
      <c r="AZ175" t="e">
        <f t="shared" ca="1" si="309"/>
        <v>#N/A</v>
      </c>
      <c r="BA175" t="e">
        <f t="shared" ca="1" si="309"/>
        <v>#N/A</v>
      </c>
      <c r="BB175" t="e">
        <f t="shared" ca="1" si="309"/>
        <v>#N/A</v>
      </c>
      <c r="BC175" t="e">
        <f t="shared" ca="1" si="309"/>
        <v>#N/A</v>
      </c>
      <c r="BD175" t="e">
        <f t="shared" ca="1" si="309"/>
        <v>#N/A</v>
      </c>
      <c r="BE175" t="e">
        <f t="shared" ca="1" si="309"/>
        <v>#N/A</v>
      </c>
      <c r="BF175" t="e">
        <f t="shared" ca="1" si="309"/>
        <v>#N/A</v>
      </c>
      <c r="BG175" t="e">
        <f t="shared" ca="1" si="309"/>
        <v>#N/A</v>
      </c>
      <c r="BH175" t="e">
        <f t="shared" ca="1" si="309"/>
        <v>#N/A</v>
      </c>
      <c r="BI175" t="e">
        <f t="shared" ca="1" si="309"/>
        <v>#N/A</v>
      </c>
      <c r="BJ175" t="e">
        <f t="shared" ca="1" si="309"/>
        <v>#N/A</v>
      </c>
      <c r="BK175" t="e">
        <f t="shared" ca="1" si="309"/>
        <v>#N/A</v>
      </c>
      <c r="BL175" t="e">
        <f t="shared" ca="1" si="309"/>
        <v>#N/A</v>
      </c>
      <c r="BM175" t="e">
        <f t="shared" ca="1" si="309"/>
        <v>#N/A</v>
      </c>
      <c r="BN175" t="e">
        <f t="shared" ca="1" si="309"/>
        <v>#N/A</v>
      </c>
      <c r="BO175" t="e">
        <f t="shared" ca="1" si="309"/>
        <v>#N/A</v>
      </c>
      <c r="BP175" t="e">
        <f t="shared" ca="1" si="309"/>
        <v>#N/A</v>
      </c>
      <c r="BQ175" t="e">
        <f t="shared" ca="1" si="309"/>
        <v>#N/A</v>
      </c>
      <c r="BR175" t="e">
        <f t="shared" ca="1" si="309"/>
        <v>#N/A</v>
      </c>
      <c r="BS175" t="e">
        <f t="shared" ca="1" si="309"/>
        <v>#N/A</v>
      </c>
      <c r="BT175" t="e">
        <f t="shared" ca="1" si="309"/>
        <v>#N/A</v>
      </c>
      <c r="BU175" t="e">
        <f t="shared" ca="1" si="309"/>
        <v>#N/A</v>
      </c>
      <c r="BV175" t="e">
        <f t="shared" ca="1" si="309"/>
        <v>#N/A</v>
      </c>
      <c r="BW175" t="e">
        <f t="shared" ca="1" si="309"/>
        <v>#N/A</v>
      </c>
      <c r="BX175" t="e">
        <f t="shared" ca="1" si="309"/>
        <v>#N/A</v>
      </c>
      <c r="BY175" t="e">
        <f t="shared" ca="1" si="309"/>
        <v>#N/A</v>
      </c>
      <c r="BZ175" t="e">
        <f t="shared" ref="BZ175:CX175" ca="1" si="310">IF(BZ166="",NA(),IF($A175,BZ166,NA()))</f>
        <v>#N/A</v>
      </c>
      <c r="CA175" t="e">
        <f t="shared" ca="1" si="310"/>
        <v>#N/A</v>
      </c>
      <c r="CB175" t="e">
        <f t="shared" ca="1" si="310"/>
        <v>#N/A</v>
      </c>
      <c r="CC175" t="e">
        <f t="shared" ca="1" si="310"/>
        <v>#N/A</v>
      </c>
      <c r="CD175" t="e">
        <f t="shared" ca="1" si="310"/>
        <v>#N/A</v>
      </c>
      <c r="CE175" t="e">
        <f t="shared" ca="1" si="310"/>
        <v>#N/A</v>
      </c>
      <c r="CF175" t="e">
        <f t="shared" ca="1" si="310"/>
        <v>#N/A</v>
      </c>
      <c r="CG175" t="e">
        <f t="shared" ca="1" si="310"/>
        <v>#N/A</v>
      </c>
      <c r="CH175" t="e">
        <f t="shared" ca="1" si="310"/>
        <v>#N/A</v>
      </c>
      <c r="CI175" t="e">
        <f t="shared" ca="1" si="310"/>
        <v>#N/A</v>
      </c>
      <c r="CJ175" t="e">
        <f t="shared" ca="1" si="310"/>
        <v>#N/A</v>
      </c>
      <c r="CK175" t="e">
        <f t="shared" ca="1" si="310"/>
        <v>#N/A</v>
      </c>
      <c r="CL175" t="e">
        <f t="shared" ca="1" si="310"/>
        <v>#N/A</v>
      </c>
      <c r="CM175" t="e">
        <f t="shared" ca="1" si="310"/>
        <v>#N/A</v>
      </c>
      <c r="CN175" t="e">
        <f t="shared" ca="1" si="310"/>
        <v>#N/A</v>
      </c>
      <c r="CO175" t="e">
        <f t="shared" ca="1" si="310"/>
        <v>#N/A</v>
      </c>
      <c r="CP175" t="e">
        <f t="shared" ca="1" si="310"/>
        <v>#N/A</v>
      </c>
      <c r="CQ175" t="e">
        <f t="shared" ca="1" si="310"/>
        <v>#N/A</v>
      </c>
      <c r="CR175" t="e">
        <f t="shared" ca="1" si="310"/>
        <v>#N/A</v>
      </c>
      <c r="CS175" t="e">
        <f t="shared" ca="1" si="310"/>
        <v>#N/A</v>
      </c>
      <c r="CT175" t="e">
        <f t="shared" ca="1" si="310"/>
        <v>#N/A</v>
      </c>
      <c r="CU175" t="e">
        <f t="shared" ca="1" si="310"/>
        <v>#N/A</v>
      </c>
      <c r="CV175" t="e">
        <f t="shared" ca="1" si="310"/>
        <v>#N/A</v>
      </c>
      <c r="CW175" t="e">
        <f t="shared" ca="1" si="310"/>
        <v>#N/A</v>
      </c>
      <c r="CX175" s="686" t="e">
        <f t="shared" ca="1" si="310"/>
        <v>#N/A</v>
      </c>
    </row>
    <row r="176" spans="1:102" ht="15" thickBot="1" x14ac:dyDescent="0.4">
      <c r="A176" s="687" t="b">
        <v>1</v>
      </c>
      <c r="B176" s="688" t="str">
        <f>B167</f>
        <v>Lokale utslipp</v>
      </c>
      <c r="C176" s="688" t="e">
        <f t="shared" ref="C176:AQ176" ca="1" si="311">IF(C167="",NA(),IF($A176,C167,NA()))</f>
        <v>#N/A</v>
      </c>
      <c r="D176" s="688" t="e">
        <f t="shared" ca="1" si="311"/>
        <v>#N/A</v>
      </c>
      <c r="E176" s="688" t="e">
        <f t="shared" ca="1" si="311"/>
        <v>#N/A</v>
      </c>
      <c r="F176" s="688" t="e">
        <f t="shared" ca="1" si="311"/>
        <v>#N/A</v>
      </c>
      <c r="G176" s="688" t="e">
        <f t="shared" ca="1" si="311"/>
        <v>#N/A</v>
      </c>
      <c r="H176" s="688" t="e">
        <f t="shared" ca="1" si="311"/>
        <v>#N/A</v>
      </c>
      <c r="I176" s="688" t="e">
        <f t="shared" ca="1" si="311"/>
        <v>#N/A</v>
      </c>
      <c r="J176" s="688" t="e">
        <f t="shared" ca="1" si="311"/>
        <v>#N/A</v>
      </c>
      <c r="K176" s="688" t="e">
        <f t="shared" ca="1" si="311"/>
        <v>#N/A</v>
      </c>
      <c r="L176" s="688" t="e">
        <f t="shared" ca="1" si="311"/>
        <v>#N/A</v>
      </c>
      <c r="M176" s="688" t="e">
        <f t="shared" ca="1" si="311"/>
        <v>#N/A</v>
      </c>
      <c r="N176" s="688" t="e">
        <f t="shared" ca="1" si="311"/>
        <v>#N/A</v>
      </c>
      <c r="O176" s="688" t="e">
        <f t="shared" ca="1" si="311"/>
        <v>#N/A</v>
      </c>
      <c r="P176" s="688" t="e">
        <f t="shared" ca="1" si="311"/>
        <v>#N/A</v>
      </c>
      <c r="Q176" s="688" t="e">
        <f t="shared" ca="1" si="311"/>
        <v>#N/A</v>
      </c>
      <c r="R176" s="688" t="e">
        <f t="shared" ca="1" si="311"/>
        <v>#N/A</v>
      </c>
      <c r="S176" s="688" t="e">
        <f t="shared" ca="1" si="311"/>
        <v>#N/A</v>
      </c>
      <c r="T176" s="688" t="e">
        <f t="shared" ca="1" si="311"/>
        <v>#N/A</v>
      </c>
      <c r="U176" s="688" t="e">
        <f t="shared" ca="1" si="311"/>
        <v>#N/A</v>
      </c>
      <c r="V176" s="688" t="e">
        <f t="shared" ca="1" si="311"/>
        <v>#N/A</v>
      </c>
      <c r="W176" s="688" t="e">
        <f t="shared" ca="1" si="311"/>
        <v>#N/A</v>
      </c>
      <c r="X176" s="688" t="e">
        <f t="shared" ca="1" si="311"/>
        <v>#N/A</v>
      </c>
      <c r="Y176" s="688" t="e">
        <f t="shared" ca="1" si="311"/>
        <v>#N/A</v>
      </c>
      <c r="Z176" s="688" t="e">
        <f t="shared" ca="1" si="311"/>
        <v>#N/A</v>
      </c>
      <c r="AA176" s="688" t="e">
        <f t="shared" ca="1" si="311"/>
        <v>#N/A</v>
      </c>
      <c r="AB176" s="688" t="e">
        <f t="shared" ca="1" si="311"/>
        <v>#N/A</v>
      </c>
      <c r="AC176" s="688" t="e">
        <f t="shared" ca="1" si="311"/>
        <v>#N/A</v>
      </c>
      <c r="AD176" s="688" t="e">
        <f t="shared" ca="1" si="311"/>
        <v>#N/A</v>
      </c>
      <c r="AE176" s="688" t="e">
        <f t="shared" ca="1" si="311"/>
        <v>#N/A</v>
      </c>
      <c r="AF176" s="688" t="e">
        <f t="shared" ca="1" si="311"/>
        <v>#N/A</v>
      </c>
      <c r="AG176" s="688" t="e">
        <f t="shared" ca="1" si="311"/>
        <v>#N/A</v>
      </c>
      <c r="AH176" s="688" t="e">
        <f t="shared" ca="1" si="311"/>
        <v>#N/A</v>
      </c>
      <c r="AI176" s="688" t="e">
        <f t="shared" ca="1" si="311"/>
        <v>#N/A</v>
      </c>
      <c r="AJ176" s="688" t="e">
        <f t="shared" ca="1" si="311"/>
        <v>#N/A</v>
      </c>
      <c r="AK176" s="688" t="e">
        <f t="shared" ca="1" si="311"/>
        <v>#N/A</v>
      </c>
      <c r="AL176" s="688" t="e">
        <f t="shared" ca="1" si="311"/>
        <v>#N/A</v>
      </c>
      <c r="AM176" s="688" t="e">
        <f t="shared" ca="1" si="311"/>
        <v>#N/A</v>
      </c>
      <c r="AN176" s="688" t="e">
        <f t="shared" ca="1" si="311"/>
        <v>#N/A</v>
      </c>
      <c r="AO176" s="688" t="e">
        <f t="shared" ca="1" si="311"/>
        <v>#N/A</v>
      </c>
      <c r="AP176" s="688" t="e">
        <f t="shared" ca="1" si="311"/>
        <v>#N/A</v>
      </c>
      <c r="AQ176" s="688" t="e">
        <f t="shared" ca="1" si="311"/>
        <v>#N/A</v>
      </c>
      <c r="AR176" s="688" t="e">
        <f t="shared" ref="AR176:BY176" ca="1" si="312">IF(AR167="",NA(),IF($A176,AR167,NA()))</f>
        <v>#N/A</v>
      </c>
      <c r="AS176" s="688" t="e">
        <f t="shared" ca="1" si="312"/>
        <v>#N/A</v>
      </c>
      <c r="AT176" s="688" t="e">
        <f t="shared" ca="1" si="312"/>
        <v>#N/A</v>
      </c>
      <c r="AU176" s="688" t="e">
        <f t="shared" ca="1" si="312"/>
        <v>#N/A</v>
      </c>
      <c r="AV176" s="688" t="e">
        <f t="shared" ca="1" si="312"/>
        <v>#N/A</v>
      </c>
      <c r="AW176" s="688" t="e">
        <f t="shared" ca="1" si="312"/>
        <v>#N/A</v>
      </c>
      <c r="AX176" s="688" t="e">
        <f t="shared" ca="1" si="312"/>
        <v>#N/A</v>
      </c>
      <c r="AY176" s="688" t="e">
        <f t="shared" ca="1" si="312"/>
        <v>#N/A</v>
      </c>
      <c r="AZ176" s="688" t="e">
        <f t="shared" ca="1" si="312"/>
        <v>#N/A</v>
      </c>
      <c r="BA176" s="688" t="e">
        <f t="shared" ca="1" si="312"/>
        <v>#N/A</v>
      </c>
      <c r="BB176" s="688" t="e">
        <f t="shared" ca="1" si="312"/>
        <v>#N/A</v>
      </c>
      <c r="BC176" s="688" t="e">
        <f t="shared" ca="1" si="312"/>
        <v>#N/A</v>
      </c>
      <c r="BD176" s="688" t="e">
        <f t="shared" ca="1" si="312"/>
        <v>#N/A</v>
      </c>
      <c r="BE176" s="688" t="e">
        <f t="shared" ca="1" si="312"/>
        <v>#N/A</v>
      </c>
      <c r="BF176" s="688" t="e">
        <f t="shared" ca="1" si="312"/>
        <v>#N/A</v>
      </c>
      <c r="BG176" s="688" t="e">
        <f t="shared" ca="1" si="312"/>
        <v>#N/A</v>
      </c>
      <c r="BH176" s="688" t="e">
        <f t="shared" ca="1" si="312"/>
        <v>#N/A</v>
      </c>
      <c r="BI176" s="688" t="e">
        <f t="shared" ca="1" si="312"/>
        <v>#N/A</v>
      </c>
      <c r="BJ176" s="688" t="e">
        <f t="shared" ca="1" si="312"/>
        <v>#N/A</v>
      </c>
      <c r="BK176" s="688" t="e">
        <f t="shared" ca="1" si="312"/>
        <v>#N/A</v>
      </c>
      <c r="BL176" s="688" t="e">
        <f t="shared" ca="1" si="312"/>
        <v>#N/A</v>
      </c>
      <c r="BM176" s="688" t="e">
        <f t="shared" ca="1" si="312"/>
        <v>#N/A</v>
      </c>
      <c r="BN176" s="688" t="e">
        <f t="shared" ca="1" si="312"/>
        <v>#N/A</v>
      </c>
      <c r="BO176" s="688" t="e">
        <f t="shared" ca="1" si="312"/>
        <v>#N/A</v>
      </c>
      <c r="BP176" s="688" t="e">
        <f t="shared" ca="1" si="312"/>
        <v>#N/A</v>
      </c>
      <c r="BQ176" s="688" t="e">
        <f t="shared" ca="1" si="312"/>
        <v>#N/A</v>
      </c>
      <c r="BR176" s="688" t="e">
        <f t="shared" ca="1" si="312"/>
        <v>#N/A</v>
      </c>
      <c r="BS176" s="688" t="e">
        <f t="shared" ca="1" si="312"/>
        <v>#N/A</v>
      </c>
      <c r="BT176" s="688" t="e">
        <f t="shared" ca="1" si="312"/>
        <v>#N/A</v>
      </c>
      <c r="BU176" s="688" t="e">
        <f t="shared" ca="1" si="312"/>
        <v>#N/A</v>
      </c>
      <c r="BV176" s="688" t="e">
        <f t="shared" ca="1" si="312"/>
        <v>#N/A</v>
      </c>
      <c r="BW176" s="688" t="e">
        <f t="shared" ca="1" si="312"/>
        <v>#N/A</v>
      </c>
      <c r="BX176" s="688" t="e">
        <f t="shared" ca="1" si="312"/>
        <v>#N/A</v>
      </c>
      <c r="BY176" s="688" t="e">
        <f t="shared" ca="1" si="312"/>
        <v>#N/A</v>
      </c>
      <c r="BZ176" s="688" t="e">
        <f t="shared" ref="BZ176:CX176" ca="1" si="313">IF(BZ167="",NA(),IF($A176,BZ167,NA()))</f>
        <v>#N/A</v>
      </c>
      <c r="CA176" s="688" t="e">
        <f t="shared" ca="1" si="313"/>
        <v>#N/A</v>
      </c>
      <c r="CB176" s="688" t="e">
        <f t="shared" ca="1" si="313"/>
        <v>#N/A</v>
      </c>
      <c r="CC176" s="688" t="e">
        <f t="shared" ca="1" si="313"/>
        <v>#N/A</v>
      </c>
      <c r="CD176" s="688" t="e">
        <f t="shared" ca="1" si="313"/>
        <v>#N/A</v>
      </c>
      <c r="CE176" s="688" t="e">
        <f t="shared" ca="1" si="313"/>
        <v>#N/A</v>
      </c>
      <c r="CF176" s="688" t="e">
        <f t="shared" ca="1" si="313"/>
        <v>#N/A</v>
      </c>
      <c r="CG176" s="688" t="e">
        <f t="shared" ca="1" si="313"/>
        <v>#N/A</v>
      </c>
      <c r="CH176" s="688" t="e">
        <f t="shared" ca="1" si="313"/>
        <v>#N/A</v>
      </c>
      <c r="CI176" s="688" t="e">
        <f t="shared" ca="1" si="313"/>
        <v>#N/A</v>
      </c>
      <c r="CJ176" s="688" t="e">
        <f t="shared" ca="1" si="313"/>
        <v>#N/A</v>
      </c>
      <c r="CK176" s="688" t="e">
        <f t="shared" ca="1" si="313"/>
        <v>#N/A</v>
      </c>
      <c r="CL176" s="688" t="e">
        <f t="shared" ca="1" si="313"/>
        <v>#N/A</v>
      </c>
      <c r="CM176" s="688" t="e">
        <f t="shared" ca="1" si="313"/>
        <v>#N/A</v>
      </c>
      <c r="CN176" s="688" t="e">
        <f t="shared" ca="1" si="313"/>
        <v>#N/A</v>
      </c>
      <c r="CO176" s="688" t="e">
        <f t="shared" ca="1" si="313"/>
        <v>#N/A</v>
      </c>
      <c r="CP176" s="688" t="e">
        <f t="shared" ca="1" si="313"/>
        <v>#N/A</v>
      </c>
      <c r="CQ176" s="688" t="e">
        <f t="shared" ca="1" si="313"/>
        <v>#N/A</v>
      </c>
      <c r="CR176" s="688" t="e">
        <f t="shared" ca="1" si="313"/>
        <v>#N/A</v>
      </c>
      <c r="CS176" s="688" t="e">
        <f t="shared" ca="1" si="313"/>
        <v>#N/A</v>
      </c>
      <c r="CT176" s="688" t="e">
        <f t="shared" ca="1" si="313"/>
        <v>#N/A</v>
      </c>
      <c r="CU176" s="688" t="e">
        <f t="shared" ca="1" si="313"/>
        <v>#N/A</v>
      </c>
      <c r="CV176" s="688" t="e">
        <f t="shared" ca="1" si="313"/>
        <v>#N/A</v>
      </c>
      <c r="CW176" s="688" t="e">
        <f t="shared" ca="1" si="313"/>
        <v>#N/A</v>
      </c>
      <c r="CX176" s="689" t="e">
        <f t="shared" ca="1" si="313"/>
        <v>#N/A</v>
      </c>
    </row>
    <row r="178" spans="2:2" x14ac:dyDescent="0.35">
      <c r="B178" t="s">
        <v>2275</v>
      </c>
    </row>
  </sheetData>
  <mergeCells count="2">
    <mergeCell ref="F105:H105"/>
    <mergeCell ref="C105:E105"/>
  </mergeCells>
  <phoneticPr fontId="64" type="noConversion"/>
  <pageMargins left="0.7" right="0.7" top="0.75" bottom="0.75" header="0.3" footer="0.3"/>
  <pageSetup paperSize="9" orientation="portrait" r:id="rId1"/>
  <drawing r:id="rId2"/>
  <tableParts count="5">
    <tablePart r:id="rId3"/>
    <tablePart r:id="rId4"/>
    <tablePart r:id="rId5"/>
    <tablePart r:id="rId6"/>
    <tablePart r:id="rId7"/>
  </tablePart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7B95DE-E6AA-EC4F-B4D0-C79A326B4F6A}">
  <sheetPr codeName="Sheet3"/>
  <dimension ref="A1:AB119"/>
  <sheetViews>
    <sheetView workbookViewId="0"/>
  </sheetViews>
  <sheetFormatPr baseColWidth="10" defaultColWidth="10.81640625" defaultRowHeight="14.5" x14ac:dyDescent="0.35"/>
  <cols>
    <col min="1" max="1" width="67.81640625" bestFit="1" customWidth="1"/>
    <col min="2" max="2" width="30.81640625" bestFit="1" customWidth="1"/>
    <col min="3" max="3" width="24.453125" customWidth="1"/>
    <col min="4" max="4" width="23.453125" customWidth="1"/>
    <col min="5" max="5" width="16.81640625" bestFit="1" customWidth="1"/>
    <col min="6" max="6" width="17.1796875" customWidth="1"/>
    <col min="7" max="7" width="50.81640625" bestFit="1" customWidth="1"/>
    <col min="8" max="8" width="50.81640625" customWidth="1"/>
    <col min="9" max="11" width="25.81640625" bestFit="1" customWidth="1"/>
    <col min="12" max="12" width="45" bestFit="1" customWidth="1"/>
    <col min="13" max="13" width="25.81640625" bestFit="1" customWidth="1"/>
    <col min="14" max="15" width="25.81640625" customWidth="1"/>
    <col min="16" max="16" width="22.54296875" bestFit="1" customWidth="1"/>
    <col min="17" max="18" width="20.453125" bestFit="1" customWidth="1"/>
    <col min="19" max="19" width="20.453125" customWidth="1"/>
    <col min="20" max="20" width="29.7265625" bestFit="1" customWidth="1"/>
    <col min="21" max="21" width="46.81640625" bestFit="1" customWidth="1"/>
    <col min="22" max="22" width="55.453125" bestFit="1" customWidth="1"/>
    <col min="26" max="26" width="17.1796875" bestFit="1" customWidth="1"/>
    <col min="27" max="27" width="18.81640625" bestFit="1" customWidth="1"/>
  </cols>
  <sheetData>
    <row r="1" spans="1:28" x14ac:dyDescent="0.35">
      <c r="A1" s="4" t="s">
        <v>2276</v>
      </c>
      <c r="B1" s="4" t="s">
        <v>2277</v>
      </c>
      <c r="C1" s="4" t="s">
        <v>2278</v>
      </c>
      <c r="D1" s="4" t="s">
        <v>2279</v>
      </c>
      <c r="E1" s="4" t="s">
        <v>2280</v>
      </c>
      <c r="F1" s="4" t="s">
        <v>534</v>
      </c>
      <c r="G1" s="4" t="s">
        <v>2281</v>
      </c>
      <c r="H1" s="4"/>
      <c r="I1" s="4" t="s">
        <v>2282</v>
      </c>
      <c r="J1" s="4" t="s">
        <v>2283</v>
      </c>
      <c r="K1" s="102" t="s">
        <v>2284</v>
      </c>
      <c r="L1" s="102" t="s">
        <v>544</v>
      </c>
      <c r="M1" s="102" t="s">
        <v>1875</v>
      </c>
      <c r="N1" s="102"/>
      <c r="O1" s="102"/>
      <c r="P1" s="102" t="s">
        <v>2285</v>
      </c>
      <c r="Q1" s="102" t="s">
        <v>2286</v>
      </c>
      <c r="R1" s="102" t="s">
        <v>2287</v>
      </c>
      <c r="S1" s="102" t="s">
        <v>2288</v>
      </c>
      <c r="T1" s="102" t="s">
        <v>2289</v>
      </c>
      <c r="U1" s="1597" t="s">
        <v>2290</v>
      </c>
      <c r="V1" s="1597"/>
      <c r="Y1" s="4" t="s">
        <v>2291</v>
      </c>
    </row>
    <row r="2" spans="1:28" x14ac:dyDescent="0.35">
      <c r="A2" s="465" t="s">
        <v>1862</v>
      </c>
      <c r="B2" s="465"/>
      <c r="E2" t="s">
        <v>2292</v>
      </c>
      <c r="G2">
        <v>4.5967448988608189E-2</v>
      </c>
      <c r="I2" s="465" t="s">
        <v>1862</v>
      </c>
      <c r="J2" s="465" t="s">
        <v>1862</v>
      </c>
      <c r="K2" s="465" t="s">
        <v>1862</v>
      </c>
      <c r="L2" s="466" t="s">
        <v>1862</v>
      </c>
      <c r="M2" s="466" t="s">
        <v>1862</v>
      </c>
      <c r="N2" s="102"/>
      <c r="O2" s="466"/>
      <c r="P2" s="466" t="s">
        <v>1862</v>
      </c>
      <c r="Q2" s="466" t="s">
        <v>1862</v>
      </c>
      <c r="R2" s="465" t="s">
        <v>795</v>
      </c>
      <c r="S2" s="466" t="s">
        <v>1862</v>
      </c>
      <c r="T2" s="466"/>
      <c r="U2" s="845" t="s">
        <v>1339</v>
      </c>
      <c r="V2" s="845" t="s">
        <v>2278</v>
      </c>
      <c r="W2" s="4" t="s">
        <v>534</v>
      </c>
      <c r="Y2" s="823" t="s">
        <v>2293</v>
      </c>
      <c r="Z2" s="823" t="s">
        <v>2294</v>
      </c>
      <c r="AA2" s="823" t="s">
        <v>1939</v>
      </c>
      <c r="AB2" s="907"/>
    </row>
    <row r="3" spans="1:28" x14ac:dyDescent="0.35">
      <c r="A3" s="445" t="s">
        <v>1008</v>
      </c>
      <c r="C3" t="s">
        <v>2295</v>
      </c>
      <c r="D3" t="s">
        <v>14</v>
      </c>
      <c r="E3" t="s">
        <v>2292</v>
      </c>
      <c r="F3" t="s">
        <v>2296</v>
      </c>
      <c r="G3">
        <v>0.86797614114776545</v>
      </c>
      <c r="I3">
        <v>1</v>
      </c>
      <c r="J3">
        <v>1</v>
      </c>
      <c r="K3" t="s">
        <v>2297</v>
      </c>
      <c r="L3" t="s">
        <v>2297</v>
      </c>
      <c r="M3" t="s">
        <v>1875</v>
      </c>
      <c r="N3" s="102"/>
      <c r="P3" s="465" t="s">
        <v>2298</v>
      </c>
      <c r="Q3" t="s">
        <v>1956</v>
      </c>
      <c r="R3" t="s">
        <v>2299</v>
      </c>
      <c r="S3" s="466" t="s">
        <v>795</v>
      </c>
      <c r="T3" s="465" t="s">
        <v>1958</v>
      </c>
      <c r="U3" s="466" t="s">
        <v>1862</v>
      </c>
      <c r="Y3" s="914">
        <v>1E-3</v>
      </c>
      <c r="Z3" s="823">
        <v>0</v>
      </c>
      <c r="AA3" s="823">
        <v>0</v>
      </c>
      <c r="AB3" s="915"/>
    </row>
    <row r="4" spans="1:28" x14ac:dyDescent="0.35">
      <c r="A4" s="445" t="s">
        <v>1012</v>
      </c>
      <c r="C4" t="s">
        <v>2300</v>
      </c>
      <c r="D4" t="s">
        <v>14</v>
      </c>
      <c r="E4" t="s">
        <v>2292</v>
      </c>
      <c r="F4" t="s">
        <v>2296</v>
      </c>
      <c r="G4">
        <v>1.150924162927234</v>
      </c>
      <c r="I4">
        <v>2</v>
      </c>
      <c r="J4">
        <v>2</v>
      </c>
      <c r="K4" t="s">
        <v>1875</v>
      </c>
      <c r="N4" s="102"/>
      <c r="P4" t="s">
        <v>2301</v>
      </c>
      <c r="Q4" s="465" t="s">
        <v>2302</v>
      </c>
      <c r="R4" s="465"/>
      <c r="S4" t="s">
        <v>1956</v>
      </c>
      <c r="T4" t="s">
        <v>1959</v>
      </c>
      <c r="U4" t="s">
        <v>1491</v>
      </c>
      <c r="V4" t="s">
        <v>2303</v>
      </c>
      <c r="W4" t="str">
        <f>"Mill kr"</f>
        <v>Mill kr</v>
      </c>
      <c r="Y4" s="914">
        <v>2E-3</v>
      </c>
      <c r="Z4" s="823">
        <v>0</v>
      </c>
      <c r="AA4" s="823">
        <v>0</v>
      </c>
      <c r="AB4" s="915"/>
    </row>
    <row r="5" spans="1:28" x14ac:dyDescent="0.35">
      <c r="A5" s="445" t="s">
        <v>1865</v>
      </c>
      <c r="B5" s="59" t="s">
        <v>1866</v>
      </c>
      <c r="C5" t="s">
        <v>2304</v>
      </c>
      <c r="D5" t="s">
        <v>12</v>
      </c>
      <c r="E5" t="s">
        <v>2292</v>
      </c>
      <c r="F5" t="s">
        <v>537</v>
      </c>
      <c r="I5">
        <v>3</v>
      </c>
      <c r="N5" s="102"/>
      <c r="P5" t="s">
        <v>2305</v>
      </c>
      <c r="Q5" t="s">
        <v>2306</v>
      </c>
      <c r="S5" s="465" t="s">
        <v>2302</v>
      </c>
      <c r="T5" s="465"/>
      <c r="U5" t="s">
        <v>1656</v>
      </c>
      <c r="V5" t="s">
        <v>2307</v>
      </c>
      <c r="W5" t="str">
        <f t="shared" ref="W5:W28" si="0">"Mill kr"</f>
        <v>Mill kr</v>
      </c>
      <c r="Y5" s="914">
        <v>3.0000000000000001E-3</v>
      </c>
      <c r="Z5" s="823">
        <v>0</v>
      </c>
      <c r="AA5" s="823">
        <v>0</v>
      </c>
      <c r="AB5" s="915"/>
    </row>
    <row r="6" spans="1:28" x14ac:dyDescent="0.35">
      <c r="A6" s="59" t="s">
        <v>1311</v>
      </c>
      <c r="B6" s="59" t="s">
        <v>1868</v>
      </c>
      <c r="C6" t="s">
        <v>2308</v>
      </c>
      <c r="D6" t="s">
        <v>16</v>
      </c>
      <c r="E6" t="s">
        <v>2309</v>
      </c>
      <c r="F6" t="s">
        <v>2310</v>
      </c>
      <c r="I6">
        <v>4</v>
      </c>
      <c r="N6" s="102"/>
      <c r="Q6" s="465" t="s">
        <v>2311</v>
      </c>
      <c r="R6" s="465"/>
      <c r="S6" t="s">
        <v>2306</v>
      </c>
      <c r="U6" t="s">
        <v>1502</v>
      </c>
      <c r="V6" t="s">
        <v>2312</v>
      </c>
      <c r="W6" t="str">
        <f t="shared" si="0"/>
        <v>Mill kr</v>
      </c>
      <c r="Y6" s="914">
        <v>4.0000000000000001E-3</v>
      </c>
      <c r="Z6" s="823">
        <v>0</v>
      </c>
      <c r="AA6" s="823">
        <v>0</v>
      </c>
      <c r="AB6" s="915"/>
    </row>
    <row r="7" spans="1:28" x14ac:dyDescent="0.35">
      <c r="A7" s="445" t="s">
        <v>1869</v>
      </c>
      <c r="B7" s="59" t="s">
        <v>1870</v>
      </c>
      <c r="C7" t="s">
        <v>2313</v>
      </c>
      <c r="D7" t="s">
        <v>12</v>
      </c>
      <c r="E7" t="s">
        <v>2309</v>
      </c>
      <c r="F7" t="s">
        <v>554</v>
      </c>
      <c r="I7">
        <v>5</v>
      </c>
      <c r="N7" s="102"/>
      <c r="Q7" t="s">
        <v>2314</v>
      </c>
      <c r="S7" s="465" t="s">
        <v>2311</v>
      </c>
      <c r="T7" s="465"/>
      <c r="U7" t="s">
        <v>1506</v>
      </c>
      <c r="V7" t="s">
        <v>2315</v>
      </c>
      <c r="W7" t="str">
        <f t="shared" si="0"/>
        <v>Mill kr</v>
      </c>
      <c r="Y7" s="914">
        <v>5.0000000000000001E-3</v>
      </c>
      <c r="Z7" s="823">
        <v>0</v>
      </c>
      <c r="AA7" s="823">
        <v>0</v>
      </c>
      <c r="AB7" s="915"/>
    </row>
    <row r="8" spans="1:28" x14ac:dyDescent="0.35">
      <c r="A8" s="445" t="s">
        <v>1872</v>
      </c>
      <c r="B8" s="59" t="s">
        <v>1873</v>
      </c>
      <c r="C8" s="59" t="s">
        <v>2316</v>
      </c>
      <c r="D8" t="s">
        <v>12</v>
      </c>
      <c r="E8" t="s">
        <v>2292</v>
      </c>
      <c r="F8" t="s">
        <v>554</v>
      </c>
      <c r="I8">
        <v>6</v>
      </c>
      <c r="N8" s="102"/>
      <c r="Q8" s="465" t="s">
        <v>2317</v>
      </c>
      <c r="R8" s="465"/>
      <c r="S8" t="s">
        <v>2314</v>
      </c>
      <c r="U8" t="s">
        <v>1657</v>
      </c>
      <c r="V8" t="s">
        <v>2318</v>
      </c>
      <c r="W8" t="str">
        <f t="shared" si="0"/>
        <v>Mill kr</v>
      </c>
      <c r="Y8" s="914">
        <v>6.0000000000000001E-3</v>
      </c>
      <c r="Z8" s="823">
        <v>0</v>
      </c>
      <c r="AA8" s="823">
        <v>0</v>
      </c>
      <c r="AB8" s="915"/>
    </row>
    <row r="9" spans="1:28" x14ac:dyDescent="0.35">
      <c r="A9" s="59" t="s">
        <v>1876</v>
      </c>
      <c r="B9" s="59"/>
      <c r="C9" t="s">
        <v>2319</v>
      </c>
      <c r="D9" t="s">
        <v>24</v>
      </c>
      <c r="E9" t="s">
        <v>2309</v>
      </c>
      <c r="F9" t="s">
        <v>2296</v>
      </c>
      <c r="I9">
        <v>7</v>
      </c>
      <c r="N9" s="102"/>
      <c r="Q9" t="s">
        <v>2320</v>
      </c>
      <c r="S9" s="465" t="s">
        <v>2317</v>
      </c>
      <c r="T9" s="465"/>
      <c r="U9" t="s">
        <v>1658</v>
      </c>
      <c r="V9" t="s">
        <v>2321</v>
      </c>
      <c r="W9" t="str">
        <f t="shared" si="0"/>
        <v>Mill kr</v>
      </c>
      <c r="Y9" s="914">
        <v>7.0000000000000001E-3</v>
      </c>
      <c r="Z9" s="823">
        <v>0</v>
      </c>
      <c r="AA9" s="823">
        <v>0</v>
      </c>
      <c r="AB9" s="915"/>
    </row>
    <row r="10" spans="1:28" x14ac:dyDescent="0.35">
      <c r="A10" s="59" t="s">
        <v>1878</v>
      </c>
      <c r="B10" s="59"/>
      <c r="C10" t="s">
        <v>2322</v>
      </c>
      <c r="D10" t="s">
        <v>18</v>
      </c>
      <c r="E10" t="s">
        <v>2309</v>
      </c>
      <c r="F10" t="s">
        <v>2323</v>
      </c>
      <c r="N10" s="102"/>
      <c r="Q10" s="465" t="s">
        <v>2324</v>
      </c>
      <c r="R10" s="465"/>
      <c r="S10" t="s">
        <v>2320</v>
      </c>
      <c r="U10" t="s">
        <v>1659</v>
      </c>
      <c r="V10" t="s">
        <v>2325</v>
      </c>
      <c r="W10" t="str">
        <f t="shared" si="0"/>
        <v>Mill kr</v>
      </c>
      <c r="Y10" s="914">
        <v>8.0000000000000002E-3</v>
      </c>
      <c r="Z10" s="823">
        <v>0</v>
      </c>
      <c r="AA10" s="823">
        <v>0</v>
      </c>
      <c r="AB10" s="915"/>
    </row>
    <row r="11" spans="1:28" x14ac:dyDescent="0.35">
      <c r="A11" s="59" t="s">
        <v>1880</v>
      </c>
      <c r="B11" s="59" t="s">
        <v>1881</v>
      </c>
      <c r="C11" s="59" t="s">
        <v>2326</v>
      </c>
      <c r="D11" s="59" t="s">
        <v>32</v>
      </c>
      <c r="E11" s="59" t="s">
        <v>2309</v>
      </c>
      <c r="F11" t="s">
        <v>2296</v>
      </c>
      <c r="N11" s="102"/>
      <c r="Q11" t="s">
        <v>2327</v>
      </c>
      <c r="S11" s="465" t="s">
        <v>2324</v>
      </c>
      <c r="T11" s="465"/>
      <c r="U11" t="s">
        <v>1661</v>
      </c>
      <c r="V11" t="s">
        <v>2328</v>
      </c>
      <c r="W11" t="str">
        <f t="shared" si="0"/>
        <v>Mill kr</v>
      </c>
      <c r="Y11" s="914">
        <v>8.9999999999999993E-3</v>
      </c>
      <c r="Z11" s="823">
        <v>0</v>
      </c>
      <c r="AA11" s="823">
        <v>0</v>
      </c>
      <c r="AB11" s="915"/>
    </row>
    <row r="12" spans="1:28" x14ac:dyDescent="0.35">
      <c r="A12" s="822" t="s">
        <v>1883</v>
      </c>
      <c r="B12" s="59" t="s">
        <v>1881</v>
      </c>
      <c r="C12" t="s">
        <v>2329</v>
      </c>
      <c r="D12" t="s">
        <v>12</v>
      </c>
      <c r="E12" t="s">
        <v>2309</v>
      </c>
      <c r="F12" t="s">
        <v>2296</v>
      </c>
      <c r="N12" s="102"/>
      <c r="Q12" s="465" t="s">
        <v>2330</v>
      </c>
      <c r="R12" s="465"/>
      <c r="S12" t="s">
        <v>2327</v>
      </c>
      <c r="U12" t="s">
        <v>1663</v>
      </c>
      <c r="V12" s="59" t="s">
        <v>2331</v>
      </c>
      <c r="W12" t="str">
        <f t="shared" si="0"/>
        <v>Mill kr</v>
      </c>
      <c r="Y12" s="914">
        <v>0.01</v>
      </c>
      <c r="Z12" s="823">
        <v>0</v>
      </c>
      <c r="AA12" s="823">
        <v>0</v>
      </c>
      <c r="AB12" s="915"/>
    </row>
    <row r="13" spans="1:28" x14ac:dyDescent="0.35">
      <c r="A13" s="822" t="s">
        <v>1885</v>
      </c>
      <c r="B13" s="59" t="s">
        <v>1881</v>
      </c>
      <c r="C13" t="s">
        <v>2332</v>
      </c>
      <c r="D13" t="s">
        <v>12</v>
      </c>
      <c r="E13" t="s">
        <v>2309</v>
      </c>
      <c r="F13" t="s">
        <v>2296</v>
      </c>
      <c r="N13" s="102"/>
      <c r="Q13" t="s">
        <v>1928</v>
      </c>
      <c r="S13" s="465" t="s">
        <v>2330</v>
      </c>
      <c r="T13" s="465"/>
      <c r="U13" t="s">
        <v>1664</v>
      </c>
      <c r="V13" t="s">
        <v>2333</v>
      </c>
      <c r="W13" t="str">
        <f t="shared" si="0"/>
        <v>Mill kr</v>
      </c>
      <c r="Y13" s="914">
        <v>0.02</v>
      </c>
      <c r="Z13" s="823">
        <v>0</v>
      </c>
      <c r="AA13" s="823">
        <v>0</v>
      </c>
      <c r="AB13" s="915"/>
    </row>
    <row r="14" spans="1:28" x14ac:dyDescent="0.35">
      <c r="A14" s="822" t="s">
        <v>1887</v>
      </c>
      <c r="B14" s="59" t="s">
        <v>1881</v>
      </c>
      <c r="C14" t="s">
        <v>2334</v>
      </c>
      <c r="D14" t="s">
        <v>12</v>
      </c>
      <c r="E14" t="s">
        <v>2309</v>
      </c>
      <c r="F14" t="s">
        <v>2296</v>
      </c>
      <c r="N14" s="102"/>
      <c r="Q14" s="465" t="s">
        <v>2335</v>
      </c>
      <c r="R14" s="465"/>
      <c r="S14" t="s">
        <v>1928</v>
      </c>
      <c r="U14" t="s">
        <v>1667</v>
      </c>
      <c r="V14" t="s">
        <v>2336</v>
      </c>
      <c r="W14" t="str">
        <f t="shared" si="0"/>
        <v>Mill kr</v>
      </c>
      <c r="Y14" s="914">
        <v>0.03</v>
      </c>
      <c r="Z14" s="823">
        <v>0</v>
      </c>
      <c r="AA14" s="823">
        <v>0</v>
      </c>
      <c r="AB14" s="915"/>
    </row>
    <row r="15" spans="1:28" x14ac:dyDescent="0.35">
      <c r="A15" s="822" t="s">
        <v>1889</v>
      </c>
      <c r="B15" s="59" t="s">
        <v>1881</v>
      </c>
      <c r="C15" s="59" t="s">
        <v>2337</v>
      </c>
      <c r="D15" s="59" t="s">
        <v>32</v>
      </c>
      <c r="E15" s="59" t="s">
        <v>2309</v>
      </c>
      <c r="F15" t="s">
        <v>2296</v>
      </c>
      <c r="N15" s="102"/>
      <c r="Q15" t="s">
        <v>2338</v>
      </c>
      <c r="S15" s="465" t="s">
        <v>2335</v>
      </c>
      <c r="T15" s="465"/>
      <c r="U15" t="s">
        <v>1669</v>
      </c>
      <c r="V15" t="s">
        <v>2339</v>
      </c>
      <c r="W15" t="str">
        <f t="shared" si="0"/>
        <v>Mill kr</v>
      </c>
      <c r="Y15" s="914">
        <v>0.04</v>
      </c>
      <c r="Z15" s="823">
        <v>0</v>
      </c>
      <c r="AA15" s="823">
        <v>0</v>
      </c>
      <c r="AB15" s="915"/>
    </row>
    <row r="16" spans="1:28" x14ac:dyDescent="0.35">
      <c r="A16" s="822" t="s">
        <v>1892</v>
      </c>
      <c r="B16" s="822" t="s">
        <v>1893</v>
      </c>
      <c r="C16" t="s">
        <v>2340</v>
      </c>
      <c r="D16" s="59" t="s">
        <v>20</v>
      </c>
      <c r="E16" t="s">
        <v>2292</v>
      </c>
      <c r="F16" t="s">
        <v>544</v>
      </c>
      <c r="N16" s="102"/>
      <c r="Q16" s="465" t="s">
        <v>2341</v>
      </c>
      <c r="R16" s="465"/>
      <c r="S16" t="s">
        <v>2338</v>
      </c>
      <c r="U16" t="s">
        <v>1673</v>
      </c>
      <c r="V16" t="s">
        <v>2342</v>
      </c>
      <c r="W16" t="str">
        <f t="shared" si="0"/>
        <v>Mill kr</v>
      </c>
      <c r="Y16" s="914">
        <v>0.05</v>
      </c>
      <c r="Z16" s="823">
        <v>0</v>
      </c>
      <c r="AA16" s="823">
        <v>0</v>
      </c>
      <c r="AB16" s="915"/>
    </row>
    <row r="17" spans="1:28" x14ac:dyDescent="0.35">
      <c r="A17" s="822" t="s">
        <v>1895</v>
      </c>
      <c r="B17" s="822" t="s">
        <v>1893</v>
      </c>
      <c r="C17" t="s">
        <v>2343</v>
      </c>
      <c r="D17" s="59" t="s">
        <v>20</v>
      </c>
      <c r="E17" t="s">
        <v>2292</v>
      </c>
      <c r="F17" t="s">
        <v>544</v>
      </c>
      <c r="N17" s="102"/>
      <c r="Q17" t="s">
        <v>2344</v>
      </c>
      <c r="S17" s="465" t="s">
        <v>2341</v>
      </c>
      <c r="T17" s="465"/>
      <c r="U17" t="s">
        <v>1675</v>
      </c>
      <c r="V17" t="s">
        <v>2345</v>
      </c>
      <c r="W17" t="str">
        <f t="shared" si="0"/>
        <v>Mill kr</v>
      </c>
      <c r="Y17" s="914">
        <v>6.0000000000000005E-2</v>
      </c>
      <c r="Z17" s="823">
        <v>0</v>
      </c>
      <c r="AA17" s="823">
        <v>0</v>
      </c>
      <c r="AB17" s="915"/>
    </row>
    <row r="18" spans="1:28" x14ac:dyDescent="0.35">
      <c r="A18" s="822" t="s">
        <v>1897</v>
      </c>
      <c r="B18" s="822" t="s">
        <v>1898</v>
      </c>
      <c r="C18" t="s">
        <v>2346</v>
      </c>
      <c r="D18" s="59" t="s">
        <v>20</v>
      </c>
      <c r="E18" t="s">
        <v>2292</v>
      </c>
      <c r="F18" t="s">
        <v>544</v>
      </c>
      <c r="N18" s="102"/>
      <c r="Q18" s="465" t="s">
        <v>2347</v>
      </c>
      <c r="R18" s="465"/>
      <c r="S18" t="s">
        <v>2344</v>
      </c>
      <c r="U18" t="s">
        <v>1677</v>
      </c>
      <c r="V18" t="s">
        <v>2348</v>
      </c>
      <c r="W18" t="str">
        <f t="shared" si="0"/>
        <v>Mill kr</v>
      </c>
      <c r="Y18" s="914">
        <v>6.9999999999999993E-2</v>
      </c>
      <c r="Z18" s="823">
        <v>0</v>
      </c>
      <c r="AA18" s="823">
        <v>0</v>
      </c>
      <c r="AB18" s="915"/>
    </row>
    <row r="19" spans="1:28" x14ac:dyDescent="0.35">
      <c r="A19" s="822" t="s">
        <v>1900</v>
      </c>
      <c r="B19" s="822"/>
      <c r="C19" t="s">
        <v>2349</v>
      </c>
      <c r="D19" s="59" t="s">
        <v>20</v>
      </c>
      <c r="E19" s="59" t="s">
        <v>2309</v>
      </c>
      <c r="F19" t="s">
        <v>2350</v>
      </c>
      <c r="N19" s="102"/>
      <c r="Q19" t="s">
        <v>2351</v>
      </c>
      <c r="S19" s="465" t="s">
        <v>2347</v>
      </c>
      <c r="T19" s="465"/>
      <c r="U19" t="s">
        <v>1601</v>
      </c>
      <c r="V19" s="59" t="s">
        <v>2352</v>
      </c>
      <c r="W19" t="str">
        <f t="shared" si="0"/>
        <v>Mill kr</v>
      </c>
      <c r="Y19" s="914">
        <v>0.08</v>
      </c>
      <c r="Z19" s="823">
        <v>0</v>
      </c>
      <c r="AA19" s="823">
        <v>0</v>
      </c>
      <c r="AB19" s="915"/>
    </row>
    <row r="20" spans="1:28" x14ac:dyDescent="0.35">
      <c r="A20" s="822" t="s">
        <v>1903</v>
      </c>
      <c r="B20" s="822"/>
      <c r="C20" t="s">
        <v>2353</v>
      </c>
      <c r="D20" s="59" t="s">
        <v>20</v>
      </c>
      <c r="E20" s="59" t="s">
        <v>2309</v>
      </c>
      <c r="F20" t="s">
        <v>2350</v>
      </c>
      <c r="N20" s="102"/>
      <c r="Q20" s="465" t="s">
        <v>2354</v>
      </c>
      <c r="R20" s="465"/>
      <c r="S20" t="s">
        <v>2351</v>
      </c>
      <c r="U20" t="s">
        <v>1602</v>
      </c>
      <c r="V20" t="s">
        <v>2355</v>
      </c>
      <c r="W20" t="str">
        <f t="shared" si="0"/>
        <v>Mill kr</v>
      </c>
      <c r="Y20" s="914">
        <v>0.09</v>
      </c>
      <c r="Z20" s="823">
        <v>0</v>
      </c>
      <c r="AA20" s="823">
        <v>0</v>
      </c>
      <c r="AB20" s="915"/>
    </row>
    <row r="21" spans="1:28" x14ac:dyDescent="0.35">
      <c r="A21" s="822" t="s">
        <v>1904</v>
      </c>
      <c r="B21" s="822"/>
      <c r="C21" t="s">
        <v>2356</v>
      </c>
      <c r="D21" s="59" t="s">
        <v>20</v>
      </c>
      <c r="E21" s="59" t="s">
        <v>2309</v>
      </c>
      <c r="F21" t="s">
        <v>2350</v>
      </c>
      <c r="G21" s="822"/>
      <c r="H21" s="822"/>
      <c r="J21" s="59"/>
      <c r="K21" s="59"/>
      <c r="N21" s="102"/>
      <c r="Q21" t="s">
        <v>2357</v>
      </c>
      <c r="S21" s="465" t="s">
        <v>2354</v>
      </c>
      <c r="T21" s="465"/>
      <c r="U21" t="s">
        <v>1680</v>
      </c>
      <c r="V21" t="s">
        <v>2358</v>
      </c>
      <c r="W21" t="str">
        <f t="shared" si="0"/>
        <v>Mill kr</v>
      </c>
      <c r="Y21" s="914">
        <v>9.9999999999999992E-2</v>
      </c>
      <c r="Z21" s="823">
        <v>0</v>
      </c>
      <c r="AA21" s="823">
        <v>0</v>
      </c>
      <c r="AB21" s="915"/>
    </row>
    <row r="22" spans="1:28" x14ac:dyDescent="0.35">
      <c r="A22" s="822" t="s">
        <v>1906</v>
      </c>
      <c r="B22" s="822"/>
      <c r="C22" t="s">
        <v>2359</v>
      </c>
      <c r="D22" s="59" t="s">
        <v>20</v>
      </c>
      <c r="E22" s="59" t="s">
        <v>2309</v>
      </c>
      <c r="F22" t="s">
        <v>2350</v>
      </c>
      <c r="G22" s="822"/>
      <c r="H22" s="822"/>
      <c r="J22" s="59"/>
      <c r="K22" s="59"/>
      <c r="N22" s="102"/>
      <c r="Q22" s="465" t="s">
        <v>2360</v>
      </c>
      <c r="R22" s="465"/>
      <c r="S22" t="s">
        <v>2357</v>
      </c>
      <c r="U22" t="s">
        <v>1681</v>
      </c>
      <c r="V22" t="s">
        <v>2361</v>
      </c>
      <c r="W22" t="str">
        <f t="shared" si="0"/>
        <v>Mill kr</v>
      </c>
      <c r="Y22" s="914">
        <v>0.11</v>
      </c>
      <c r="Z22" s="823">
        <v>0</v>
      </c>
      <c r="AA22" s="823">
        <v>0</v>
      </c>
      <c r="AB22" s="915"/>
    </row>
    <row r="23" spans="1:28" x14ac:dyDescent="0.35">
      <c r="A23" s="822" t="s">
        <v>1907</v>
      </c>
      <c r="B23" s="822"/>
      <c r="C23" t="s">
        <v>2362</v>
      </c>
      <c r="D23" s="59" t="s">
        <v>20</v>
      </c>
      <c r="E23" s="59" t="s">
        <v>2309</v>
      </c>
      <c r="F23" t="s">
        <v>2350</v>
      </c>
      <c r="G23" s="822"/>
      <c r="H23" s="822"/>
      <c r="J23" s="59"/>
      <c r="N23" s="102"/>
      <c r="Q23" t="s">
        <v>2363</v>
      </c>
      <c r="S23" s="465" t="s">
        <v>2360</v>
      </c>
      <c r="U23" t="s">
        <v>1684</v>
      </c>
      <c r="V23" t="s">
        <v>2364</v>
      </c>
      <c r="W23" t="str">
        <f t="shared" si="0"/>
        <v>Mill kr</v>
      </c>
      <c r="Y23" s="914">
        <v>0.12</v>
      </c>
      <c r="Z23" s="823">
        <v>0</v>
      </c>
      <c r="AA23" s="823">
        <v>0</v>
      </c>
      <c r="AB23" s="915"/>
    </row>
    <row r="24" spans="1:28" x14ac:dyDescent="0.35">
      <c r="A24" s="445"/>
      <c r="B24" s="59"/>
      <c r="C24" s="59"/>
      <c r="D24" s="59"/>
      <c r="N24" s="102"/>
      <c r="Q24" s="465" t="s">
        <v>2365</v>
      </c>
      <c r="S24" t="s">
        <v>2363</v>
      </c>
      <c r="U24" t="s">
        <v>1687</v>
      </c>
      <c r="V24" t="s">
        <v>2366</v>
      </c>
      <c r="W24" t="str">
        <f t="shared" si="0"/>
        <v>Mill kr</v>
      </c>
      <c r="Y24" s="914">
        <v>0.13</v>
      </c>
      <c r="Z24" s="823">
        <v>0</v>
      </c>
      <c r="AA24" s="823">
        <v>0</v>
      </c>
      <c r="AB24" s="915"/>
    </row>
    <row r="25" spans="1:28" x14ac:dyDescent="0.35">
      <c r="B25" s="59"/>
      <c r="C25" s="59"/>
      <c r="D25" s="59"/>
      <c r="N25" s="102"/>
      <c r="Q25" t="s">
        <v>2367</v>
      </c>
      <c r="S25" s="465" t="s">
        <v>2365</v>
      </c>
      <c r="U25" t="s">
        <v>1690</v>
      </c>
      <c r="V25" s="59" t="s">
        <v>2368</v>
      </c>
      <c r="W25" t="str">
        <f t="shared" si="0"/>
        <v>Mill kr</v>
      </c>
      <c r="Y25" s="914">
        <v>0.14000000000000001</v>
      </c>
      <c r="Z25" s="823">
        <v>0</v>
      </c>
      <c r="AA25" s="823">
        <v>0</v>
      </c>
      <c r="AB25" s="915"/>
    </row>
    <row r="26" spans="1:28" x14ac:dyDescent="0.35">
      <c r="N26" s="102"/>
      <c r="Q26" s="465" t="s">
        <v>2369</v>
      </c>
      <c r="S26" t="s">
        <v>2367</v>
      </c>
      <c r="U26" t="s">
        <v>1691</v>
      </c>
      <c r="V26" t="s">
        <v>2370</v>
      </c>
      <c r="W26" t="str">
        <f t="shared" si="0"/>
        <v>Mill kr</v>
      </c>
      <c r="Y26" s="914">
        <v>0.15000000000000002</v>
      </c>
      <c r="Z26" s="823">
        <v>0</v>
      </c>
      <c r="AA26" s="823">
        <v>0</v>
      </c>
      <c r="AB26" s="915"/>
    </row>
    <row r="27" spans="1:28" x14ac:dyDescent="0.35">
      <c r="N27" s="102"/>
      <c r="Q27" t="s">
        <v>2371</v>
      </c>
      <c r="S27" s="465" t="s">
        <v>2369</v>
      </c>
      <c r="U27" t="s">
        <v>1702</v>
      </c>
      <c r="V27" t="s">
        <v>2372</v>
      </c>
      <c r="W27" t="str">
        <f t="shared" si="0"/>
        <v>Mill kr</v>
      </c>
      <c r="Y27" s="914">
        <v>0.16</v>
      </c>
      <c r="Z27" s="823">
        <v>0</v>
      </c>
      <c r="AA27" s="823">
        <v>0</v>
      </c>
      <c r="AB27" s="915"/>
    </row>
    <row r="28" spans="1:28" x14ac:dyDescent="0.35">
      <c r="N28" s="102"/>
      <c r="Q28" s="465" t="s">
        <v>2373</v>
      </c>
      <c r="S28" t="s">
        <v>2371</v>
      </c>
      <c r="U28" t="s">
        <v>1697</v>
      </c>
      <c r="V28" t="s">
        <v>2374</v>
      </c>
      <c r="W28" t="str">
        <f t="shared" si="0"/>
        <v>Mill kr</v>
      </c>
      <c r="Y28" s="914">
        <v>0.17</v>
      </c>
      <c r="Z28" s="823">
        <v>0</v>
      </c>
      <c r="AA28" s="823">
        <v>0</v>
      </c>
      <c r="AB28" s="915"/>
    </row>
    <row r="29" spans="1:28" x14ac:dyDescent="0.35">
      <c r="N29" s="102"/>
      <c r="Q29" t="s">
        <v>2375</v>
      </c>
      <c r="S29" s="465" t="s">
        <v>2373</v>
      </c>
      <c r="U29" t="s">
        <v>1700</v>
      </c>
      <c r="V29" t="s">
        <v>2376</v>
      </c>
      <c r="W29" t="str">
        <f>"Mill kr"</f>
        <v>Mill kr</v>
      </c>
      <c r="Y29" s="914">
        <v>0.18000000000000002</v>
      </c>
      <c r="Z29" s="823">
        <v>0</v>
      </c>
      <c r="AA29" s="823">
        <v>0</v>
      </c>
      <c r="AB29" s="915"/>
    </row>
    <row r="30" spans="1:28" x14ac:dyDescent="0.35">
      <c r="N30" s="102"/>
      <c r="Q30" s="465" t="s">
        <v>2377</v>
      </c>
      <c r="S30" t="s">
        <v>2375</v>
      </c>
      <c r="U30" t="s">
        <v>1705</v>
      </c>
      <c r="V30" t="s">
        <v>2378</v>
      </c>
      <c r="W30" t="str">
        <f t="shared" ref="W30:W31" si="1">"Mill kr"</f>
        <v>Mill kr</v>
      </c>
      <c r="Y30" s="914">
        <v>0.19</v>
      </c>
      <c r="Z30" s="823">
        <v>0</v>
      </c>
      <c r="AA30" s="823">
        <v>0</v>
      </c>
      <c r="AB30" s="915"/>
    </row>
    <row r="31" spans="1:28" x14ac:dyDescent="0.35">
      <c r="N31" s="102"/>
      <c r="Q31" t="s">
        <v>2379</v>
      </c>
      <c r="S31" s="465" t="s">
        <v>2377</v>
      </c>
      <c r="U31" t="s">
        <v>1707</v>
      </c>
      <c r="V31" t="s">
        <v>2380</v>
      </c>
      <c r="W31" t="str">
        <f t="shared" si="1"/>
        <v>Mill kr</v>
      </c>
      <c r="Y31" s="914">
        <v>0.2</v>
      </c>
      <c r="Z31" s="823">
        <v>0</v>
      </c>
      <c r="AA31" s="823">
        <v>0</v>
      </c>
      <c r="AB31" s="915"/>
    </row>
    <row r="32" spans="1:28" x14ac:dyDescent="0.35">
      <c r="Q32" s="465" t="s">
        <v>2381</v>
      </c>
      <c r="S32" t="s">
        <v>2379</v>
      </c>
      <c r="U32" t="s">
        <v>1709</v>
      </c>
      <c r="V32" t="s">
        <v>2382</v>
      </c>
      <c r="W32" t="s">
        <v>569</v>
      </c>
      <c r="Y32" s="914">
        <v>0.21000000000000002</v>
      </c>
      <c r="Z32" s="823">
        <v>0</v>
      </c>
      <c r="AA32" s="823">
        <v>0</v>
      </c>
      <c r="AB32" s="915"/>
    </row>
    <row r="33" spans="1:28" x14ac:dyDescent="0.35">
      <c r="Q33" t="s">
        <v>2383</v>
      </c>
      <c r="S33" s="465" t="s">
        <v>2381</v>
      </c>
      <c r="U33" t="s">
        <v>1960</v>
      </c>
      <c r="V33" t="s">
        <v>2384</v>
      </c>
      <c r="W33" t="s">
        <v>569</v>
      </c>
      <c r="Y33" s="914">
        <v>0.22</v>
      </c>
      <c r="Z33" s="823">
        <v>0</v>
      </c>
      <c r="AA33" s="823">
        <v>0</v>
      </c>
      <c r="AB33" s="915"/>
    </row>
    <row r="34" spans="1:28" x14ac:dyDescent="0.35">
      <c r="A34" s="445"/>
      <c r="B34" s="59"/>
      <c r="Q34" s="465" t="s">
        <v>2385</v>
      </c>
      <c r="S34" t="s">
        <v>2383</v>
      </c>
      <c r="Y34" s="914">
        <v>0.23</v>
      </c>
      <c r="Z34" s="823">
        <v>0</v>
      </c>
      <c r="AA34" s="823">
        <v>0</v>
      </c>
      <c r="AB34" s="915"/>
    </row>
    <row r="35" spans="1:28" x14ac:dyDescent="0.35">
      <c r="A35" s="445"/>
      <c r="B35" s="59"/>
      <c r="Q35" t="s">
        <v>2386</v>
      </c>
      <c r="S35" s="465" t="s">
        <v>2385</v>
      </c>
      <c r="Y35" s="914">
        <v>0.24000000000000002</v>
      </c>
      <c r="Z35" s="823">
        <v>0</v>
      </c>
      <c r="AA35" s="823">
        <v>0</v>
      </c>
      <c r="AB35" s="915"/>
    </row>
    <row r="36" spans="1:28" x14ac:dyDescent="0.35">
      <c r="A36" s="445"/>
      <c r="B36" s="59"/>
      <c r="Q36" s="465" t="s">
        <v>2387</v>
      </c>
      <c r="S36" t="s">
        <v>2386</v>
      </c>
      <c r="Y36" s="914">
        <v>0.25</v>
      </c>
      <c r="Z36" s="823">
        <v>0</v>
      </c>
      <c r="AA36" s="823">
        <v>0</v>
      </c>
      <c r="AB36" s="915"/>
    </row>
    <row r="37" spans="1:28" x14ac:dyDescent="0.35">
      <c r="A37" s="445"/>
      <c r="B37" s="59"/>
      <c r="Q37" t="s">
        <v>2388</v>
      </c>
      <c r="S37" s="465" t="s">
        <v>2387</v>
      </c>
      <c r="Y37" s="914">
        <v>0.26</v>
      </c>
      <c r="Z37" s="823">
        <v>0</v>
      </c>
      <c r="AA37" s="823">
        <v>0</v>
      </c>
      <c r="AB37" s="915"/>
    </row>
    <row r="38" spans="1:28" x14ac:dyDescent="0.35">
      <c r="A38" s="445"/>
      <c r="B38" s="59"/>
      <c r="Q38" s="465" t="s">
        <v>2389</v>
      </c>
      <c r="S38" t="s">
        <v>2388</v>
      </c>
      <c r="Y38" s="914">
        <v>0.27</v>
      </c>
      <c r="Z38" s="823">
        <v>0</v>
      </c>
      <c r="AA38" s="823">
        <v>0</v>
      </c>
      <c r="AB38" s="915"/>
    </row>
    <row r="39" spans="1:28" x14ac:dyDescent="0.35">
      <c r="A39" s="445"/>
      <c r="B39" s="59"/>
      <c r="Q39" t="s">
        <v>2390</v>
      </c>
      <c r="S39" s="465" t="s">
        <v>2389</v>
      </c>
      <c r="Y39" s="914">
        <v>0.28000000000000003</v>
      </c>
      <c r="Z39" s="823">
        <v>0</v>
      </c>
      <c r="AA39" s="823">
        <v>0</v>
      </c>
      <c r="AB39" s="915"/>
    </row>
    <row r="40" spans="1:28" x14ac:dyDescent="0.35">
      <c r="A40" s="445"/>
      <c r="B40" s="59"/>
      <c r="Q40" s="465" t="s">
        <v>2391</v>
      </c>
      <c r="S40" t="s">
        <v>2390</v>
      </c>
      <c r="V40" s="6"/>
      <c r="Y40" s="914">
        <v>0.29000000000000004</v>
      </c>
      <c r="Z40" s="823">
        <v>0</v>
      </c>
      <c r="AA40" s="823">
        <v>0</v>
      </c>
      <c r="AB40" s="915"/>
    </row>
    <row r="41" spans="1:28" x14ac:dyDescent="0.35">
      <c r="Q41" t="s">
        <v>2392</v>
      </c>
      <c r="S41" s="465" t="s">
        <v>2391</v>
      </c>
      <c r="Y41" s="914">
        <v>0.3</v>
      </c>
      <c r="Z41" s="823">
        <v>0</v>
      </c>
      <c r="AA41" s="823">
        <v>0</v>
      </c>
      <c r="AB41" s="915"/>
    </row>
    <row r="42" spans="1:28" x14ac:dyDescent="0.35">
      <c r="Q42" s="465" t="s">
        <v>2393</v>
      </c>
      <c r="S42" t="s">
        <v>2392</v>
      </c>
      <c r="Y42" s="914">
        <v>0.31</v>
      </c>
      <c r="Z42" s="823">
        <v>0</v>
      </c>
      <c r="AA42" s="823">
        <v>0</v>
      </c>
      <c r="AB42" s="915"/>
    </row>
    <row r="43" spans="1:28" x14ac:dyDescent="0.35">
      <c r="Q43" t="s">
        <v>2394</v>
      </c>
      <c r="S43" s="465" t="s">
        <v>2393</v>
      </c>
      <c r="Y43" s="914">
        <v>0.32</v>
      </c>
      <c r="Z43" s="823">
        <v>0</v>
      </c>
      <c r="AA43" s="823">
        <v>0</v>
      </c>
      <c r="AB43" s="915"/>
    </row>
    <row r="44" spans="1:28" x14ac:dyDescent="0.35">
      <c r="Q44" s="465" t="s">
        <v>2395</v>
      </c>
      <c r="S44" t="s">
        <v>2394</v>
      </c>
      <c r="Y44" s="914">
        <v>0.33</v>
      </c>
      <c r="Z44" s="823">
        <v>0</v>
      </c>
      <c r="AA44" s="823">
        <v>0</v>
      </c>
      <c r="AB44" s="915"/>
    </row>
    <row r="45" spans="1:28" x14ac:dyDescent="0.35">
      <c r="Q45" t="s">
        <v>2396</v>
      </c>
      <c r="S45" s="465" t="s">
        <v>2395</v>
      </c>
      <c r="Y45" s="914">
        <v>0.34</v>
      </c>
      <c r="Z45" s="823">
        <v>0</v>
      </c>
      <c r="AA45" s="823">
        <v>0</v>
      </c>
      <c r="AB45" s="915"/>
    </row>
    <row r="46" spans="1:28" x14ac:dyDescent="0.35">
      <c r="Q46" s="465" t="s">
        <v>2397</v>
      </c>
      <c r="S46" t="s">
        <v>2396</v>
      </c>
      <c r="Y46" s="914">
        <v>0.35000000000000003</v>
      </c>
      <c r="Z46" s="823">
        <v>0</v>
      </c>
      <c r="AA46" s="823">
        <v>0</v>
      </c>
      <c r="AB46" s="915"/>
    </row>
    <row r="47" spans="1:28" x14ac:dyDescent="0.35">
      <c r="Q47" t="s">
        <v>2398</v>
      </c>
      <c r="S47" s="465" t="s">
        <v>2397</v>
      </c>
      <c r="V47" s="6"/>
      <c r="Y47" s="914">
        <v>0.36</v>
      </c>
      <c r="Z47" s="823">
        <v>0</v>
      </c>
      <c r="AA47" s="823">
        <v>0</v>
      </c>
      <c r="AB47" s="915"/>
    </row>
    <row r="48" spans="1:28" x14ac:dyDescent="0.35">
      <c r="Q48" s="465" t="s">
        <v>2399</v>
      </c>
      <c r="S48" t="s">
        <v>2398</v>
      </c>
      <c r="Y48" s="914">
        <v>0.37</v>
      </c>
      <c r="Z48" s="823">
        <v>0</v>
      </c>
      <c r="AA48" s="823">
        <v>0</v>
      </c>
      <c r="AB48" s="915"/>
    </row>
    <row r="49" spans="17:28" x14ac:dyDescent="0.35">
      <c r="Q49" t="s">
        <v>2400</v>
      </c>
      <c r="S49" s="465" t="s">
        <v>2399</v>
      </c>
      <c r="Y49" s="914">
        <v>0.38</v>
      </c>
      <c r="Z49" s="823">
        <v>0</v>
      </c>
      <c r="AA49" s="823">
        <v>0</v>
      </c>
      <c r="AB49" s="915"/>
    </row>
    <row r="50" spans="17:28" x14ac:dyDescent="0.35">
      <c r="Q50" s="465" t="s">
        <v>2401</v>
      </c>
      <c r="S50" t="s">
        <v>2400</v>
      </c>
      <c r="Y50" s="914">
        <v>0.39</v>
      </c>
      <c r="Z50" s="823">
        <v>0</v>
      </c>
      <c r="AA50" s="823">
        <v>0</v>
      </c>
      <c r="AB50" s="915"/>
    </row>
    <row r="51" spans="17:28" x14ac:dyDescent="0.35">
      <c r="Q51" t="s">
        <v>2402</v>
      </c>
      <c r="S51" s="465" t="s">
        <v>2401</v>
      </c>
      <c r="Y51" s="914">
        <v>0.4</v>
      </c>
      <c r="Z51" s="823">
        <v>0</v>
      </c>
      <c r="AA51" s="823">
        <v>0</v>
      </c>
      <c r="AB51" s="915"/>
    </row>
    <row r="52" spans="17:28" x14ac:dyDescent="0.35">
      <c r="Q52" s="465" t="s">
        <v>2403</v>
      </c>
      <c r="S52" t="s">
        <v>2402</v>
      </c>
      <c r="Y52" s="914">
        <v>0.41000000000000003</v>
      </c>
      <c r="Z52" s="823">
        <v>0</v>
      </c>
      <c r="AA52" s="823">
        <v>0</v>
      </c>
      <c r="AB52" s="915"/>
    </row>
    <row r="53" spans="17:28" x14ac:dyDescent="0.35">
      <c r="Q53" t="s">
        <v>1792</v>
      </c>
      <c r="S53" s="465" t="s">
        <v>2403</v>
      </c>
      <c r="V53" s="6"/>
      <c r="Y53" s="914">
        <v>0.42</v>
      </c>
      <c r="Z53" s="823">
        <v>0</v>
      </c>
      <c r="AA53" s="823">
        <v>0</v>
      </c>
      <c r="AB53" s="915"/>
    </row>
    <row r="54" spans="17:28" x14ac:dyDescent="0.35">
      <c r="Q54" s="465" t="s">
        <v>2404</v>
      </c>
      <c r="S54" t="s">
        <v>1792</v>
      </c>
      <c r="Y54" s="914">
        <v>0.43</v>
      </c>
      <c r="Z54" s="823">
        <v>0</v>
      </c>
      <c r="AA54" s="823">
        <v>0</v>
      </c>
      <c r="AB54" s="915"/>
    </row>
    <row r="55" spans="17:28" x14ac:dyDescent="0.35">
      <c r="Q55" t="s">
        <v>2405</v>
      </c>
      <c r="S55" s="465" t="s">
        <v>2404</v>
      </c>
      <c r="Y55" s="914">
        <v>0.44</v>
      </c>
      <c r="Z55" s="823">
        <v>0</v>
      </c>
      <c r="AA55" s="823">
        <v>0</v>
      </c>
      <c r="AB55" s="915"/>
    </row>
    <row r="56" spans="17:28" x14ac:dyDescent="0.35">
      <c r="Q56" s="465" t="s">
        <v>2406</v>
      </c>
      <c r="S56" t="s">
        <v>2405</v>
      </c>
      <c r="Y56" s="914">
        <v>0.45</v>
      </c>
      <c r="Z56" s="823">
        <v>0</v>
      </c>
      <c r="AA56" s="823">
        <v>0</v>
      </c>
      <c r="AB56" s="915"/>
    </row>
    <row r="57" spans="17:28" x14ac:dyDescent="0.35">
      <c r="Q57" t="s">
        <v>2407</v>
      </c>
      <c r="S57" s="465" t="s">
        <v>2406</v>
      </c>
      <c r="Y57" s="914">
        <v>0.46</v>
      </c>
      <c r="Z57" s="823">
        <v>0</v>
      </c>
      <c r="AA57" s="823">
        <v>0</v>
      </c>
      <c r="AB57" s="915"/>
    </row>
    <row r="58" spans="17:28" x14ac:dyDescent="0.35">
      <c r="Q58" s="465" t="s">
        <v>2408</v>
      </c>
      <c r="S58" t="s">
        <v>2407</v>
      </c>
      <c r="Y58" s="914">
        <v>0.47000000000000003</v>
      </c>
      <c r="Z58" s="823">
        <v>0</v>
      </c>
      <c r="AA58" s="823">
        <v>0</v>
      </c>
      <c r="AB58" s="915"/>
    </row>
    <row r="59" spans="17:28" x14ac:dyDescent="0.35">
      <c r="Q59" t="s">
        <v>2409</v>
      </c>
      <c r="S59" s="465" t="s">
        <v>2408</v>
      </c>
      <c r="Y59" s="914">
        <v>0.48</v>
      </c>
      <c r="Z59" s="823">
        <v>0</v>
      </c>
      <c r="AA59" s="823">
        <v>0</v>
      </c>
      <c r="AB59" s="915"/>
    </row>
    <row r="60" spans="17:28" x14ac:dyDescent="0.35">
      <c r="Q60" s="465" t="s">
        <v>2410</v>
      </c>
      <c r="S60" t="s">
        <v>2409</v>
      </c>
      <c r="Y60" s="914">
        <v>0.49</v>
      </c>
      <c r="Z60" s="823">
        <v>0</v>
      </c>
      <c r="AA60" s="823">
        <v>0</v>
      </c>
      <c r="AB60" s="915"/>
    </row>
    <row r="61" spans="17:28" x14ac:dyDescent="0.35">
      <c r="Q61" t="s">
        <v>2411</v>
      </c>
      <c r="S61" s="465" t="s">
        <v>2410</v>
      </c>
      <c r="Y61" s="914">
        <v>0.5</v>
      </c>
      <c r="Z61" s="823">
        <v>0</v>
      </c>
      <c r="AA61" s="823">
        <v>0</v>
      </c>
      <c r="AB61" s="915"/>
    </row>
    <row r="62" spans="17:28" x14ac:dyDescent="0.35">
      <c r="Q62" s="465" t="s">
        <v>2412</v>
      </c>
      <c r="S62" t="s">
        <v>2411</v>
      </c>
      <c r="Y62" s="914">
        <v>0.51</v>
      </c>
      <c r="Z62" s="823">
        <v>0</v>
      </c>
      <c r="AA62" s="823">
        <v>0</v>
      </c>
      <c r="AB62" s="915"/>
    </row>
    <row r="63" spans="17:28" x14ac:dyDescent="0.35">
      <c r="Q63" t="s">
        <v>2413</v>
      </c>
      <c r="S63" s="465" t="s">
        <v>2412</v>
      </c>
      <c r="Y63" s="914">
        <v>0.52</v>
      </c>
      <c r="Z63" s="823">
        <v>0</v>
      </c>
      <c r="AA63" s="823">
        <v>0</v>
      </c>
      <c r="AB63" s="915"/>
    </row>
    <row r="64" spans="17:28" x14ac:dyDescent="0.35">
      <c r="Q64" s="465" t="s">
        <v>2414</v>
      </c>
      <c r="S64" t="s">
        <v>2413</v>
      </c>
      <c r="Y64" s="914">
        <v>0.53</v>
      </c>
      <c r="Z64" s="823">
        <v>0</v>
      </c>
      <c r="AA64" s="823">
        <v>0</v>
      </c>
      <c r="AB64" s="915"/>
    </row>
    <row r="65" spans="17:28" x14ac:dyDescent="0.35">
      <c r="Q65" t="s">
        <v>2415</v>
      </c>
      <c r="S65" s="465" t="s">
        <v>2414</v>
      </c>
      <c r="Y65" s="914">
        <v>0.54</v>
      </c>
      <c r="Z65" s="823">
        <v>0</v>
      </c>
      <c r="AA65" s="823">
        <v>0</v>
      </c>
      <c r="AB65" s="915"/>
    </row>
    <row r="66" spans="17:28" x14ac:dyDescent="0.35">
      <c r="Q66" s="465" t="s">
        <v>2416</v>
      </c>
      <c r="S66" t="s">
        <v>2415</v>
      </c>
      <c r="Y66" s="914">
        <v>0.55000000000000004</v>
      </c>
      <c r="Z66" s="823">
        <v>0</v>
      </c>
      <c r="AA66" s="823">
        <v>0</v>
      </c>
      <c r="AB66" s="915"/>
    </row>
    <row r="67" spans="17:28" x14ac:dyDescent="0.35">
      <c r="Q67" t="s">
        <v>2417</v>
      </c>
      <c r="S67" s="465" t="s">
        <v>2416</v>
      </c>
      <c r="Y67" s="914">
        <v>0.56000000000000005</v>
      </c>
      <c r="Z67" s="823">
        <v>0</v>
      </c>
      <c r="AA67" s="823">
        <v>0</v>
      </c>
      <c r="AB67" s="915"/>
    </row>
    <row r="68" spans="17:28" x14ac:dyDescent="0.35">
      <c r="Q68" s="465" t="s">
        <v>2418</v>
      </c>
      <c r="S68" t="s">
        <v>2417</v>
      </c>
      <c r="Y68" s="914">
        <v>0.57000000000000006</v>
      </c>
      <c r="Z68" s="823">
        <v>0</v>
      </c>
      <c r="AA68" s="823">
        <v>0</v>
      </c>
      <c r="AB68" s="915"/>
    </row>
    <row r="69" spans="17:28" x14ac:dyDescent="0.35">
      <c r="Q69" t="s">
        <v>2419</v>
      </c>
      <c r="S69" s="465" t="s">
        <v>2418</v>
      </c>
      <c r="Y69" s="914">
        <v>0.57999999999999996</v>
      </c>
      <c r="Z69" s="823">
        <v>0</v>
      </c>
      <c r="AA69" s="823">
        <v>0</v>
      </c>
      <c r="AB69" s="915"/>
    </row>
    <row r="70" spans="17:28" x14ac:dyDescent="0.35">
      <c r="Q70" s="465" t="s">
        <v>2420</v>
      </c>
      <c r="S70" t="s">
        <v>2419</v>
      </c>
      <c r="Y70" s="914">
        <v>0.59</v>
      </c>
      <c r="Z70" s="823">
        <v>0</v>
      </c>
      <c r="AA70" s="823">
        <v>0</v>
      </c>
      <c r="AB70" s="915"/>
    </row>
    <row r="71" spans="17:28" x14ac:dyDescent="0.35">
      <c r="Q71" t="s">
        <v>2421</v>
      </c>
      <c r="S71" s="465" t="s">
        <v>2420</v>
      </c>
      <c r="Y71" s="914">
        <v>0.6</v>
      </c>
      <c r="Z71" s="823">
        <v>0</v>
      </c>
      <c r="AA71" s="823">
        <v>0</v>
      </c>
      <c r="AB71" s="915"/>
    </row>
    <row r="72" spans="17:28" x14ac:dyDescent="0.35">
      <c r="Q72" s="465" t="s">
        <v>2422</v>
      </c>
      <c r="S72" t="s">
        <v>2421</v>
      </c>
      <c r="Y72" s="914">
        <v>0.61</v>
      </c>
      <c r="Z72" s="823">
        <v>0</v>
      </c>
      <c r="AA72" s="823">
        <v>0</v>
      </c>
      <c r="AB72" s="915"/>
    </row>
    <row r="73" spans="17:28" x14ac:dyDescent="0.35">
      <c r="Q73" t="s">
        <v>2423</v>
      </c>
      <c r="S73" s="465" t="s">
        <v>2422</v>
      </c>
      <c r="Y73" s="914">
        <v>0.62</v>
      </c>
      <c r="Z73" s="823">
        <v>0</v>
      </c>
      <c r="AA73" s="823">
        <v>0</v>
      </c>
      <c r="AB73" s="915"/>
    </row>
    <row r="74" spans="17:28" x14ac:dyDescent="0.35">
      <c r="Q74" s="465" t="s">
        <v>2424</v>
      </c>
      <c r="S74" t="s">
        <v>2423</v>
      </c>
      <c r="Y74" s="914">
        <v>0.63</v>
      </c>
      <c r="Z74" s="823">
        <v>0</v>
      </c>
      <c r="AA74" s="823">
        <v>0</v>
      </c>
      <c r="AB74" s="915"/>
    </row>
    <row r="75" spans="17:28" x14ac:dyDescent="0.35">
      <c r="Q75" t="s">
        <v>2425</v>
      </c>
      <c r="S75" s="465" t="s">
        <v>2424</v>
      </c>
      <c r="Y75" s="914">
        <v>0.64</v>
      </c>
      <c r="Z75" s="823">
        <v>0</v>
      </c>
      <c r="AA75" s="823">
        <v>0</v>
      </c>
      <c r="AB75" s="915"/>
    </row>
    <row r="76" spans="17:28" x14ac:dyDescent="0.35">
      <c r="Q76" s="465" t="s">
        <v>2426</v>
      </c>
      <c r="S76" t="s">
        <v>2425</v>
      </c>
      <c r="Y76" s="914">
        <v>0.65</v>
      </c>
      <c r="Z76" s="823">
        <v>0</v>
      </c>
      <c r="AA76" s="823">
        <v>0</v>
      </c>
      <c r="AB76" s="915"/>
    </row>
    <row r="77" spans="17:28" x14ac:dyDescent="0.35">
      <c r="Q77" t="s">
        <v>2427</v>
      </c>
      <c r="S77" s="465" t="s">
        <v>2426</v>
      </c>
      <c r="Y77" s="914">
        <v>0.66</v>
      </c>
      <c r="Z77" s="823">
        <v>0</v>
      </c>
      <c r="AA77" s="823">
        <v>0</v>
      </c>
      <c r="AB77" s="915"/>
    </row>
    <row r="78" spans="17:28" x14ac:dyDescent="0.35">
      <c r="Q78" s="465" t="s">
        <v>2428</v>
      </c>
      <c r="S78" t="s">
        <v>2427</v>
      </c>
      <c r="Y78" s="914">
        <v>0.67</v>
      </c>
      <c r="Z78" s="823">
        <v>0</v>
      </c>
      <c r="AA78" s="823">
        <v>0</v>
      </c>
      <c r="AB78" s="915"/>
    </row>
    <row r="79" spans="17:28" x14ac:dyDescent="0.35">
      <c r="Q79" t="s">
        <v>2429</v>
      </c>
      <c r="S79" s="465" t="s">
        <v>2428</v>
      </c>
      <c r="Y79" s="914">
        <v>0.68</v>
      </c>
      <c r="Z79" s="823">
        <v>0</v>
      </c>
      <c r="AA79" s="823">
        <v>0</v>
      </c>
      <c r="AB79" s="915"/>
    </row>
    <row r="80" spans="17:28" x14ac:dyDescent="0.35">
      <c r="Q80" s="465" t="s">
        <v>2430</v>
      </c>
      <c r="S80" t="s">
        <v>2429</v>
      </c>
      <c r="Y80" s="914">
        <v>0.69000000000000006</v>
      </c>
      <c r="Z80" s="823">
        <v>0</v>
      </c>
      <c r="AA80" s="823">
        <v>0</v>
      </c>
      <c r="AB80" s="915"/>
    </row>
    <row r="81" spans="17:28" x14ac:dyDescent="0.35">
      <c r="Q81" t="s">
        <v>2431</v>
      </c>
      <c r="S81" s="465" t="s">
        <v>2430</v>
      </c>
      <c r="Y81" s="914">
        <v>0.7</v>
      </c>
      <c r="Z81" s="823">
        <v>0</v>
      </c>
      <c r="AA81" s="823">
        <v>0</v>
      </c>
      <c r="AB81" s="915"/>
    </row>
    <row r="82" spans="17:28" x14ac:dyDescent="0.35">
      <c r="Q82" s="465" t="s">
        <v>2432</v>
      </c>
      <c r="S82" t="s">
        <v>2431</v>
      </c>
      <c r="Y82" s="914">
        <v>0.71</v>
      </c>
      <c r="Z82" s="823">
        <v>0</v>
      </c>
      <c r="AA82" s="823">
        <v>0</v>
      </c>
      <c r="AB82" s="915"/>
    </row>
    <row r="83" spans="17:28" x14ac:dyDescent="0.35">
      <c r="Q83" t="s">
        <v>2433</v>
      </c>
      <c r="S83" s="465" t="s">
        <v>2432</v>
      </c>
      <c r="Y83" s="914">
        <v>0.72</v>
      </c>
      <c r="Z83" s="823">
        <v>0</v>
      </c>
      <c r="AA83" s="823">
        <v>0</v>
      </c>
      <c r="AB83" s="915"/>
    </row>
    <row r="84" spans="17:28" x14ac:dyDescent="0.35">
      <c r="Q84" s="465" t="s">
        <v>2434</v>
      </c>
      <c r="S84" t="s">
        <v>2433</v>
      </c>
      <c r="Y84" s="914">
        <v>0.73</v>
      </c>
      <c r="Z84" s="823">
        <v>0</v>
      </c>
      <c r="AA84" s="823">
        <v>0</v>
      </c>
      <c r="AB84" s="915"/>
    </row>
    <row r="85" spans="17:28" x14ac:dyDescent="0.35">
      <c r="Q85" t="s">
        <v>2435</v>
      </c>
      <c r="S85" s="465" t="s">
        <v>2434</v>
      </c>
      <c r="Y85" s="914">
        <v>0.74</v>
      </c>
      <c r="Z85" s="823">
        <v>0</v>
      </c>
      <c r="AA85" s="823">
        <v>0</v>
      </c>
      <c r="AB85" s="915"/>
    </row>
    <row r="86" spans="17:28" x14ac:dyDescent="0.35">
      <c r="Q86" s="465" t="s">
        <v>2436</v>
      </c>
      <c r="S86" t="s">
        <v>2435</v>
      </c>
      <c r="Y86" s="914">
        <v>0.75</v>
      </c>
      <c r="Z86" s="823">
        <v>0</v>
      </c>
      <c r="AA86" s="823">
        <v>0</v>
      </c>
      <c r="AB86" s="915"/>
    </row>
    <row r="87" spans="17:28" x14ac:dyDescent="0.35">
      <c r="Q87" t="s">
        <v>2437</v>
      </c>
      <c r="S87" s="465" t="s">
        <v>2436</v>
      </c>
      <c r="Y87" s="914">
        <v>0.76</v>
      </c>
      <c r="Z87" s="823">
        <v>0</v>
      </c>
      <c r="AA87" s="823">
        <v>0</v>
      </c>
      <c r="AB87" s="915"/>
    </row>
    <row r="88" spans="17:28" x14ac:dyDescent="0.35">
      <c r="Q88" s="465" t="s">
        <v>1794</v>
      </c>
      <c r="S88" t="s">
        <v>2437</v>
      </c>
      <c r="Y88" s="914">
        <v>0.77</v>
      </c>
      <c r="Z88" s="823">
        <v>0</v>
      </c>
      <c r="AA88" s="823">
        <v>0</v>
      </c>
      <c r="AB88" s="915"/>
    </row>
    <row r="89" spans="17:28" x14ac:dyDescent="0.35">
      <c r="Q89" t="s">
        <v>2438</v>
      </c>
      <c r="S89" s="465" t="s">
        <v>1794</v>
      </c>
      <c r="Y89" s="914">
        <v>0.78</v>
      </c>
      <c r="Z89" s="823">
        <v>0</v>
      </c>
      <c r="AA89" s="823">
        <v>0</v>
      </c>
      <c r="AB89" s="915"/>
    </row>
    <row r="90" spans="17:28" x14ac:dyDescent="0.35">
      <c r="Q90" s="465" t="s">
        <v>2439</v>
      </c>
      <c r="S90" t="s">
        <v>2438</v>
      </c>
      <c r="Y90" s="914">
        <v>0.79</v>
      </c>
      <c r="Z90" s="823">
        <v>0</v>
      </c>
      <c r="AA90" s="823">
        <v>0</v>
      </c>
      <c r="AB90" s="915"/>
    </row>
    <row r="91" spans="17:28" x14ac:dyDescent="0.35">
      <c r="Q91" t="s">
        <v>2440</v>
      </c>
      <c r="S91" s="465" t="s">
        <v>2439</v>
      </c>
      <c r="Y91" s="914">
        <v>0.8</v>
      </c>
      <c r="Z91" s="823">
        <v>0</v>
      </c>
      <c r="AA91" s="823">
        <v>0</v>
      </c>
      <c r="AB91" s="915"/>
    </row>
    <row r="92" spans="17:28" x14ac:dyDescent="0.35">
      <c r="Q92" s="465" t="s">
        <v>2441</v>
      </c>
      <c r="S92" t="s">
        <v>2440</v>
      </c>
      <c r="Y92" s="914">
        <v>0.81</v>
      </c>
      <c r="Z92" s="823">
        <v>0</v>
      </c>
      <c r="AA92" s="823">
        <v>0</v>
      </c>
      <c r="AB92" s="915"/>
    </row>
    <row r="93" spans="17:28" x14ac:dyDescent="0.35">
      <c r="Q93" t="s">
        <v>1942</v>
      </c>
      <c r="S93" s="465" t="s">
        <v>2441</v>
      </c>
      <c r="Y93" s="914">
        <v>0.82000000000000006</v>
      </c>
      <c r="Z93" s="823">
        <v>0</v>
      </c>
      <c r="AA93" s="823">
        <v>0</v>
      </c>
      <c r="AB93" s="915"/>
    </row>
    <row r="94" spans="17:28" x14ac:dyDescent="0.35">
      <c r="Q94" s="465" t="s">
        <v>2442</v>
      </c>
      <c r="S94" t="s">
        <v>1942</v>
      </c>
      <c r="Y94" s="914">
        <v>0.83</v>
      </c>
      <c r="Z94" s="823">
        <v>0</v>
      </c>
      <c r="AA94" s="823">
        <v>0</v>
      </c>
      <c r="AB94" s="915"/>
    </row>
    <row r="95" spans="17:28" x14ac:dyDescent="0.35">
      <c r="Q95" t="s">
        <v>2443</v>
      </c>
      <c r="S95" s="465" t="s">
        <v>2442</v>
      </c>
      <c r="Y95" s="914">
        <v>0.84</v>
      </c>
      <c r="Z95" s="823">
        <v>0</v>
      </c>
      <c r="AA95" s="823">
        <v>0</v>
      </c>
      <c r="AB95" s="915"/>
    </row>
    <row r="96" spans="17:28" x14ac:dyDescent="0.35">
      <c r="Q96" s="465" t="s">
        <v>2444</v>
      </c>
      <c r="S96" t="s">
        <v>2443</v>
      </c>
      <c r="Y96" s="914">
        <v>0.85</v>
      </c>
      <c r="Z96" s="823">
        <v>0</v>
      </c>
      <c r="AA96" s="823">
        <v>0</v>
      </c>
      <c r="AB96" s="915"/>
    </row>
    <row r="97" spans="17:28" x14ac:dyDescent="0.35">
      <c r="Q97" t="s">
        <v>2445</v>
      </c>
      <c r="S97" s="465" t="s">
        <v>2444</v>
      </c>
      <c r="Y97" s="914">
        <v>0.86</v>
      </c>
      <c r="Z97" s="823">
        <v>0</v>
      </c>
      <c r="AA97" s="823">
        <v>0</v>
      </c>
      <c r="AB97" s="915"/>
    </row>
    <row r="98" spans="17:28" x14ac:dyDescent="0.35">
      <c r="Q98" s="465" t="s">
        <v>2446</v>
      </c>
      <c r="S98" t="s">
        <v>2445</v>
      </c>
      <c r="Y98" s="914">
        <v>0.87</v>
      </c>
      <c r="Z98" s="823">
        <v>0</v>
      </c>
      <c r="AA98" s="823">
        <v>0</v>
      </c>
      <c r="AB98" s="915"/>
    </row>
    <row r="99" spans="17:28" x14ac:dyDescent="0.35">
      <c r="Q99" t="s">
        <v>2447</v>
      </c>
      <c r="S99" s="465" t="s">
        <v>2446</v>
      </c>
      <c r="Y99" s="914">
        <v>0.88</v>
      </c>
      <c r="Z99" s="823">
        <v>0</v>
      </c>
      <c r="AA99" s="823">
        <v>0</v>
      </c>
      <c r="AB99" s="915"/>
    </row>
    <row r="100" spans="17:28" x14ac:dyDescent="0.35">
      <c r="Q100" s="465" t="s">
        <v>2448</v>
      </c>
      <c r="S100" t="s">
        <v>2447</v>
      </c>
      <c r="Y100" s="914">
        <v>0.89</v>
      </c>
      <c r="Z100" s="823">
        <v>0</v>
      </c>
      <c r="AA100" s="823">
        <v>0</v>
      </c>
      <c r="AB100" s="915"/>
    </row>
    <row r="101" spans="17:28" x14ac:dyDescent="0.35">
      <c r="Q101" t="s">
        <v>2449</v>
      </c>
      <c r="S101" s="465" t="s">
        <v>2448</v>
      </c>
      <c r="Y101" s="914">
        <v>0.9</v>
      </c>
      <c r="Z101" s="823">
        <v>0</v>
      </c>
      <c r="AA101" s="823">
        <v>0</v>
      </c>
      <c r="AB101" s="915"/>
    </row>
    <row r="102" spans="17:28" x14ac:dyDescent="0.35">
      <c r="Q102" s="465" t="s">
        <v>2450</v>
      </c>
      <c r="S102" t="s">
        <v>2449</v>
      </c>
      <c r="Y102" s="914">
        <v>0.91</v>
      </c>
      <c r="Z102" s="823">
        <v>0</v>
      </c>
      <c r="AA102" s="823">
        <v>0</v>
      </c>
      <c r="AB102" s="915"/>
    </row>
    <row r="103" spans="17:28" x14ac:dyDescent="0.35">
      <c r="S103" s="465" t="s">
        <v>2450</v>
      </c>
      <c r="Y103" s="914">
        <v>0.92</v>
      </c>
      <c r="Z103" s="823">
        <v>0</v>
      </c>
      <c r="AA103" s="823">
        <v>0</v>
      </c>
      <c r="AB103" s="915"/>
    </row>
    <row r="104" spans="17:28" x14ac:dyDescent="0.35">
      <c r="Y104" s="45">
        <v>0.93</v>
      </c>
      <c r="Z104">
        <v>0</v>
      </c>
      <c r="AA104">
        <v>0</v>
      </c>
      <c r="AB104" s="915"/>
    </row>
    <row r="105" spans="17:28" x14ac:dyDescent="0.35">
      <c r="Y105" s="45">
        <v>0.94000000000000006</v>
      </c>
      <c r="Z105">
        <v>0</v>
      </c>
      <c r="AA105">
        <v>0</v>
      </c>
      <c r="AB105" s="915"/>
    </row>
    <row r="106" spans="17:28" x14ac:dyDescent="0.35">
      <c r="Y106" s="45">
        <v>0.95</v>
      </c>
      <c r="Z106">
        <v>0</v>
      </c>
      <c r="AA106">
        <v>0</v>
      </c>
      <c r="AB106" s="915"/>
    </row>
    <row r="107" spans="17:28" x14ac:dyDescent="0.35">
      <c r="Y107" s="45">
        <v>0.96</v>
      </c>
      <c r="Z107">
        <v>0</v>
      </c>
      <c r="AA107">
        <v>0</v>
      </c>
      <c r="AB107" s="915"/>
    </row>
    <row r="108" spans="17:28" x14ac:dyDescent="0.35">
      <c r="Y108" s="45">
        <v>0.97</v>
      </c>
      <c r="Z108">
        <v>0</v>
      </c>
      <c r="AA108">
        <v>0</v>
      </c>
      <c r="AB108" s="915"/>
    </row>
    <row r="109" spans="17:28" x14ac:dyDescent="0.35">
      <c r="Y109" s="45">
        <v>0.98</v>
      </c>
      <c r="Z109">
        <v>0</v>
      </c>
      <c r="AA109">
        <v>0</v>
      </c>
      <c r="AB109" s="915"/>
    </row>
    <row r="110" spans="17:28" x14ac:dyDescent="0.35">
      <c r="Y110" s="45">
        <v>0.99</v>
      </c>
      <c r="Z110">
        <v>0</v>
      </c>
      <c r="AA110">
        <v>0</v>
      </c>
      <c r="AB110" s="915"/>
    </row>
    <row r="111" spans="17:28" x14ac:dyDescent="0.35">
      <c r="Y111" s="45">
        <v>0.99099999999999999</v>
      </c>
      <c r="Z111">
        <v>0</v>
      </c>
      <c r="AA111">
        <v>0</v>
      </c>
      <c r="AB111" s="915"/>
    </row>
    <row r="112" spans="17:28" x14ac:dyDescent="0.35">
      <c r="Y112" s="45">
        <v>0.99199999999999999</v>
      </c>
      <c r="Z112">
        <v>0</v>
      </c>
      <c r="AA112">
        <v>0</v>
      </c>
      <c r="AB112" s="915"/>
    </row>
    <row r="113" spans="25:28" x14ac:dyDescent="0.35">
      <c r="Y113" s="45">
        <v>0.99299999999999999</v>
      </c>
      <c r="Z113">
        <v>0</v>
      </c>
      <c r="AA113">
        <v>0</v>
      </c>
      <c r="AB113" s="915"/>
    </row>
    <row r="114" spans="25:28" x14ac:dyDescent="0.35">
      <c r="Y114" s="45">
        <v>0.99399999999999999</v>
      </c>
      <c r="Z114">
        <v>0</v>
      </c>
      <c r="AA114">
        <v>0</v>
      </c>
      <c r="AB114" s="915"/>
    </row>
    <row r="115" spans="25:28" x14ac:dyDescent="0.35">
      <c r="Y115" s="45">
        <v>0.995</v>
      </c>
      <c r="Z115">
        <v>0</v>
      </c>
      <c r="AA115">
        <v>0</v>
      </c>
      <c r="AB115" s="915"/>
    </row>
    <row r="116" spans="25:28" x14ac:dyDescent="0.35">
      <c r="Y116" s="45">
        <v>0.996</v>
      </c>
      <c r="Z116">
        <v>0</v>
      </c>
      <c r="AA116">
        <v>0</v>
      </c>
      <c r="AB116" s="915"/>
    </row>
    <row r="117" spans="25:28" x14ac:dyDescent="0.35">
      <c r="Y117" s="45">
        <v>0.997</v>
      </c>
      <c r="Z117">
        <v>0</v>
      </c>
      <c r="AA117">
        <v>0</v>
      </c>
      <c r="AB117" s="915"/>
    </row>
    <row r="118" spans="25:28" x14ac:dyDescent="0.35">
      <c r="Y118" s="45">
        <v>0.998</v>
      </c>
      <c r="Z118">
        <v>0</v>
      </c>
      <c r="AA118">
        <v>0</v>
      </c>
      <c r="AB118" s="915"/>
    </row>
    <row r="119" spans="25:28" x14ac:dyDescent="0.35">
      <c r="Y119" s="45">
        <v>0.999</v>
      </c>
      <c r="Z119">
        <v>0</v>
      </c>
      <c r="AA119">
        <v>0</v>
      </c>
      <c r="AB119" s="915"/>
    </row>
  </sheetData>
  <dataConsolidate/>
  <mergeCells count="1">
    <mergeCell ref="U1:V1"/>
  </mergeCells>
  <phoneticPr fontId="64" type="noConversion"/>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kument" ma:contentTypeID="0x0101002ADC7AF6EFC3164581CB441BC389740F" ma:contentTypeVersion="14" ma:contentTypeDescription="Opprett et nytt dokument." ma:contentTypeScope="" ma:versionID="970cbe31d4b826f0639cabc21c5ab694">
  <xsd:schema xmlns:xsd="http://www.w3.org/2001/XMLSchema" xmlns:xs="http://www.w3.org/2001/XMLSchema" xmlns:p="http://schemas.microsoft.com/office/2006/metadata/properties" xmlns:ns2="705e38a7-2518-4157-be85-bb88dc2d6d27" xmlns:ns3="6acaa6e0-3b42-4573-af6f-26a000ff63ee" targetNamespace="http://schemas.microsoft.com/office/2006/metadata/properties" ma:root="true" ma:fieldsID="9669900e86292a4ee2cea8ca2ab1d050" ns2:_="" ns3:_="">
    <xsd:import namespace="705e38a7-2518-4157-be85-bb88dc2d6d27"/>
    <xsd:import namespace="6acaa6e0-3b42-4573-af6f-26a000ff63ee"/>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GenerationTime" minOccurs="0"/>
                <xsd:element ref="ns2:MediaServiceEventHashCode" minOccurs="0"/>
                <xsd:element ref="ns2:MediaServiceOCR"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05e38a7-2518-4157-be85-bb88dc2d6d2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lcf76f155ced4ddcb4097134ff3c332f" ma:index="17" nillable="true" ma:taxonomy="true" ma:internalName="lcf76f155ced4ddcb4097134ff3c332f" ma:taxonomyFieldName="MediaServiceImageTags" ma:displayName="Bildemerkelapper" ma:readOnly="false" ma:fieldId="{5cf76f15-5ced-4ddc-b409-7134ff3c332f}" ma:taxonomyMulti="true" ma:sspId="6be084d1-3322-4b39-adc8-26309b7b4b64"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19" nillable="true" ma:displayName="MediaServiceObjectDetectorVersions" ma:hidden="true" ma:indexed="true" ma:internalName="MediaServiceObjectDetectorVersions" ma:readOnly="true">
      <xsd:simpleType>
        <xsd:restriction base="dms:Text"/>
      </xsd:simpleType>
    </xsd:element>
    <xsd:element name="MediaServiceSearchProperties" ma:index="20"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acaa6e0-3b42-4573-af6f-26a000ff63ee" elementFormDefault="qualified">
    <xsd:import namespace="http://schemas.microsoft.com/office/2006/documentManagement/types"/>
    <xsd:import namespace="http://schemas.microsoft.com/office/infopath/2007/PartnerControls"/>
    <xsd:element name="SharedWithUsers" ma:index="14" nillable="true" ma:displayName="Delt med"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Delingsdetaljer" ma:internalName="SharedWithDetails" ma:readOnly="true">
      <xsd:simpleType>
        <xsd:restriction base="dms:Note">
          <xsd:maxLength value="255"/>
        </xsd:restriction>
      </xsd:simpleType>
    </xsd:element>
    <xsd:element name="TaxCatchAll" ma:index="18" nillable="true" ma:displayName="Taxonomy Catch All Column" ma:hidden="true" ma:list="{48f320bf-995e-4293-95d9-275bb6001ef6}" ma:internalName="TaxCatchAll" ma:showField="CatchAllData" ma:web="6acaa6e0-3b42-4573-af6f-26a000ff63e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nholdstype"/>
        <xsd:element ref="dc:title" minOccurs="0" maxOccurs="1" ma:index="4" ma:displayName="Tit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6acaa6e0-3b42-4573-af6f-26a000ff63ee" xsi:nil="true"/>
    <lcf76f155ced4ddcb4097134ff3c332f xmlns="705e38a7-2518-4157-be85-bb88dc2d6d27">
      <Terms xmlns="http://schemas.microsoft.com/office/infopath/2007/PartnerControls"/>
    </lcf76f155ced4ddcb4097134ff3c332f>
    <SharedWithUsers xmlns="6acaa6e0-3b42-4573-af6f-26a000ff63ee">
      <UserInfo>
        <DisplayName>Mari Baklund Størseth</DisplayName>
        <AccountId>59</AccountId>
        <AccountType/>
      </UserInfo>
      <UserInfo>
        <DisplayName>Mai Brit Svendsen</DisplayName>
        <AccountId>60</AccountId>
        <AccountType/>
      </UserInfo>
      <UserInfo>
        <DisplayName>Tormod Wergeland Haug</DisplayName>
        <AccountId>13</AccountId>
        <AccountType/>
      </UserInfo>
    </SharedWithUsers>
  </documentManagement>
</p:properties>
</file>

<file path=customXml/itemProps1.xml><?xml version="1.0" encoding="utf-8"?>
<ds:datastoreItem xmlns:ds="http://schemas.openxmlformats.org/officeDocument/2006/customXml" ds:itemID="{8F99D9DF-64F4-402A-A979-E21D871ADECB}">
  <ds:schemaRefs>
    <ds:schemaRef ds:uri="http://schemas.microsoft.com/sharepoint/v3/contenttype/forms"/>
  </ds:schemaRefs>
</ds:datastoreItem>
</file>

<file path=customXml/itemProps2.xml><?xml version="1.0" encoding="utf-8"?>
<ds:datastoreItem xmlns:ds="http://schemas.openxmlformats.org/officeDocument/2006/customXml" ds:itemID="{8929ACD5-D5DB-467E-A6B3-57F4EFBFB42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05e38a7-2518-4157-be85-bb88dc2d6d27"/>
    <ds:schemaRef ds:uri="6acaa6e0-3b42-4573-af6f-26a000ff63e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CA80F00-E492-40E8-BCE1-DA032EE9DB90}">
  <ds:schemaRefs>
    <ds:schemaRef ds:uri="http://purl.org/dc/terms/"/>
    <ds:schemaRef ds:uri="http://purl.org/dc/dcmitype/"/>
    <ds:schemaRef ds:uri="http://schemas.microsoft.com/office/infopath/2007/PartnerControls"/>
    <ds:schemaRef ds:uri="http://www.w3.org/XML/1998/namespace"/>
    <ds:schemaRef ds:uri="http://schemas.microsoft.com/office/2006/documentManagement/types"/>
    <ds:schemaRef ds:uri="http://schemas.openxmlformats.org/package/2006/metadata/core-properties"/>
    <ds:schemaRef ds:uri="6acaa6e0-3b42-4573-af6f-26a000ff63ee"/>
    <ds:schemaRef ds:uri="705e38a7-2518-4157-be85-bb88dc2d6d27"/>
    <ds:schemaRef ds:uri="http://schemas.microsoft.com/office/2006/metadata/propertie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Regneark</vt:lpstr>
      </vt:variant>
      <vt:variant>
        <vt:i4>29</vt:i4>
      </vt:variant>
      <vt:variant>
        <vt:lpstr>Navngitte områder</vt:lpstr>
      </vt:variant>
      <vt:variant>
        <vt:i4>1071</vt:i4>
      </vt:variant>
    </vt:vector>
  </HeadingPairs>
  <TitlesOfParts>
    <vt:vector size="1100" baseType="lpstr">
      <vt:lpstr>0.1 Innhold</vt:lpstr>
      <vt:lpstr>0.2 Brukerveiledning</vt:lpstr>
      <vt:lpstr>0.3 Endringslogg</vt:lpstr>
      <vt:lpstr>0.4 Kilder</vt:lpstr>
      <vt:lpstr>Standardsatser-Forutsetninger</vt:lpstr>
      <vt:lpstr>1.1 Standardsatser</vt:lpstr>
      <vt:lpstr>1.2 Forutsetninger</vt:lpstr>
      <vt:lpstr>1.3 Persontransportmodell</vt:lpstr>
      <vt:lpstr>1.4 Godsmodell</vt:lpstr>
      <vt:lpstr>1.5 Prognoser og indekser</vt:lpstr>
      <vt:lpstr>2.1 Trafikanter</vt:lpstr>
      <vt:lpstr>2.2 Operatører</vt:lpstr>
      <vt:lpstr>2.3 Det Offentlige</vt:lpstr>
      <vt:lpstr>2.4 Samfunnet for øvrig</vt:lpstr>
      <vt:lpstr>2.5 Investeringer + vedlikehold</vt:lpstr>
      <vt:lpstr>3.1 Nyttestrøm</vt:lpstr>
      <vt:lpstr>3.2 Ikke-prissatte virkninger</vt:lpstr>
      <vt:lpstr>4.1 Resultatark</vt:lpstr>
      <vt:lpstr>4.1.2 Superside NTP 25-36</vt:lpstr>
      <vt:lpstr>4.1.3 Superside NTP 29-40</vt:lpstr>
      <vt:lpstr>4.1.3 Geofordelingsmodell</vt:lpstr>
      <vt:lpstr>4.2.1 Følsomhetsanalyse</vt:lpstr>
      <vt:lpstr>4.2.2 Monte Carlo-simulering</vt:lpstr>
      <vt:lpstr>4.2.3 Monte Carlo resultater</vt:lpstr>
      <vt:lpstr>4.3.1 Tverrsnittfigurer</vt:lpstr>
      <vt:lpstr>4.3.2 Tidsseriefigurer</vt:lpstr>
      <vt:lpstr>4.3.1 Data_Tverrsnittfigurer</vt:lpstr>
      <vt:lpstr>4.3.2 Data_Tidsseriefigurer</vt:lpstr>
      <vt:lpstr>Parametere</vt:lpstr>
      <vt:lpstr>'4.1.2 Superside NTP 25-36'!_Hlk109139482</vt:lpstr>
      <vt:lpstr>Admkostnader_TilleggDrift</vt:lpstr>
      <vt:lpstr>Admkostnader_TilleggInntekter</vt:lpstr>
      <vt:lpstr>Advarsel_følsomhet</vt:lpstr>
      <vt:lpstr>AnalyseperiodensLengde</vt:lpstr>
      <vt:lpstr>Andel_StoreTettsteder_Bil</vt:lpstr>
      <vt:lpstr>Andel_StoreTettsteder_Buss</vt:lpstr>
      <vt:lpstr>Andel_StoreTettsteder_Fly</vt:lpstr>
      <vt:lpstr>Andel_StoreTettsteder_Godstog_Diesel</vt:lpstr>
      <vt:lpstr>Andel_StoreTettsteder_LettLastebil</vt:lpstr>
      <vt:lpstr>Andel_StoreTettsteder_Modulvogntog</vt:lpstr>
      <vt:lpstr>Andel_StoreTettsteder_Persontog_Diesel</vt:lpstr>
      <vt:lpstr>Andel_StoreTettsteder_Skip</vt:lpstr>
      <vt:lpstr>Andel_StoreTettsteder_TungLastebil</vt:lpstr>
      <vt:lpstr>AndelArbeidsreiser</vt:lpstr>
      <vt:lpstr>AndelAvInvestering_Annen</vt:lpstr>
      <vt:lpstr>AndelAvinvestering_KLAnlegg</vt:lpstr>
      <vt:lpstr>AndelAvInvestering_Lavspenning</vt:lpstr>
      <vt:lpstr>AndelAvInvestering_Overbygning</vt:lpstr>
      <vt:lpstr>AndelAvInvestering_Signalanlegg</vt:lpstr>
      <vt:lpstr>AndelAvInvestering_Underbygning</vt:lpstr>
      <vt:lpstr>AndelAvInvestering_Øvrigekostnader</vt:lpstr>
      <vt:lpstr>AndelForretningsreiser</vt:lpstr>
      <vt:lpstr>AndelFritidsreiser</vt:lpstr>
      <vt:lpstr>AndelKmDiesel_ref</vt:lpstr>
      <vt:lpstr>AndelKmDiesel_tiltak</vt:lpstr>
      <vt:lpstr>AndelNyskaptTrafikk</vt:lpstr>
      <vt:lpstr>AndreBeregningsår</vt:lpstr>
      <vt:lpstr>Antall_Beregningsår</vt:lpstr>
      <vt:lpstr>Antall_mulige_verdier</vt:lpstr>
      <vt:lpstr>Antall_samtidige_liste</vt:lpstr>
      <vt:lpstr>Antall_samtidige_parametere</vt:lpstr>
      <vt:lpstr>Antall_verdier_parameter1</vt:lpstr>
      <vt:lpstr>Antall_verdier_parameter2</vt:lpstr>
      <vt:lpstr>AntallDøgn</vt:lpstr>
      <vt:lpstr>AntallDøgn_Materiell</vt:lpstr>
      <vt:lpstr>Ark_1.2_Forutsetninger</vt:lpstr>
      <vt:lpstr>Ark_4.4.1_Data_Tverrsnittfigurer</vt:lpstr>
      <vt:lpstr>Ark_4.5.1_Data_Tidsseriefigurer</vt:lpstr>
      <vt:lpstr>Ark_4.5_Tidsseriefigurer</vt:lpstr>
      <vt:lpstr>Ark_Data_Tidsseriefigurer</vt:lpstr>
      <vt:lpstr>Ark_Data_Tverrsnittfigurer</vt:lpstr>
      <vt:lpstr>Ark_Forutsetninger</vt:lpstr>
      <vt:lpstr>Ark_Følsomhetsanalyse</vt:lpstr>
      <vt:lpstr>Ark_MonteCarloResultater</vt:lpstr>
      <vt:lpstr>Ark_MonteCarloSimulering</vt:lpstr>
      <vt:lpstr>Ark_Parametere</vt:lpstr>
      <vt:lpstr>Ark_Resultatark</vt:lpstr>
      <vt:lpstr>Ark_Tidsseriefigurer</vt:lpstr>
      <vt:lpstr>Avgift_BomFergeÅr1</vt:lpstr>
      <vt:lpstr>Avgift_BomFergeÅr2</vt:lpstr>
      <vt:lpstr>Avgift_BomFergeÅr3</vt:lpstr>
      <vt:lpstr>Avgift_BussÅr1</vt:lpstr>
      <vt:lpstr>Avgift_BussÅr2</vt:lpstr>
      <vt:lpstr>Avgift_BussÅr3</vt:lpstr>
      <vt:lpstr>Avgift_PersontogD_År2</vt:lpstr>
      <vt:lpstr>Avgift_PersontogD_År3</vt:lpstr>
      <vt:lpstr>Avgift_PersontogEL_År2</vt:lpstr>
      <vt:lpstr>Avgift_PersontogEL_År3</vt:lpstr>
      <vt:lpstr>AvgifterTilStaten_Bil</vt:lpstr>
      <vt:lpstr>AvgifterTilStaten_Buss</vt:lpstr>
      <vt:lpstr>AvgifterTilStaten_GodstogD</vt:lpstr>
      <vt:lpstr>AvgifterTilStaten_GodstogEL</vt:lpstr>
      <vt:lpstr>AvgifterTilStaten_Lettlastebil</vt:lpstr>
      <vt:lpstr>AvgifterTilStaten_Skip</vt:lpstr>
      <vt:lpstr>AvgifterTilStaten_TogD</vt:lpstr>
      <vt:lpstr>AvgifterTilStaten_TogEL</vt:lpstr>
      <vt:lpstr>AvgifterTilStaten_Tunglastebil</vt:lpstr>
      <vt:lpstr>Avinor_2024</vt:lpstr>
      <vt:lpstr>BaneNOR_2017</vt:lpstr>
      <vt:lpstr>BaneNOR_2017_1</vt:lpstr>
      <vt:lpstr>BaneNOR_2017_2</vt:lpstr>
      <vt:lpstr>BaneNOR_2017_5</vt:lpstr>
      <vt:lpstr>BaneNOR_2018</vt:lpstr>
      <vt:lpstr>BaneNOR_2022</vt:lpstr>
      <vt:lpstr>BaneNOR_2023</vt:lpstr>
      <vt:lpstr>Bilbelegg_Gjennomsnitt</vt:lpstr>
      <vt:lpstr>billettinnekter_døgn_endring_TogÅr1</vt:lpstr>
      <vt:lpstr>billettinnekter_døgn_endring_TogÅr1_Togtype_2</vt:lpstr>
      <vt:lpstr>billettinnt_døgn_endring_TogÅr2</vt:lpstr>
      <vt:lpstr>billettinnt_døgn_endring_TogÅr2_Togtype_2</vt:lpstr>
      <vt:lpstr>billettinnt_døgn_endring_TogÅr3</vt:lpstr>
      <vt:lpstr>billettinnt_døgn_endring_TogÅr3_Togtype_2</vt:lpstr>
      <vt:lpstr>Billettinntekt_RefÅr1</vt:lpstr>
      <vt:lpstr>Billettinntekt_RefÅr1_Togtype_2</vt:lpstr>
      <vt:lpstr>Billettinntekt_RefÅr2</vt:lpstr>
      <vt:lpstr>Billettinntekt_RefÅr2_Togtype_2</vt:lpstr>
      <vt:lpstr>Billettinntekt_RefÅr3</vt:lpstr>
      <vt:lpstr>Billettinntekt_RefÅr3_Togtype_2</vt:lpstr>
      <vt:lpstr>Billettinntekt_TiltakÅr1</vt:lpstr>
      <vt:lpstr>Billettinntekt_TiltakÅr1_Togtype_2</vt:lpstr>
      <vt:lpstr>Billettinntekt_TiltakÅr2</vt:lpstr>
      <vt:lpstr>Billettinntekt_TiltakÅr2_Togtype_2</vt:lpstr>
      <vt:lpstr>Billettinntekt_TiltakÅr3</vt:lpstr>
      <vt:lpstr>Billettinntekt_TiltakÅr3_Togtype_2</vt:lpstr>
      <vt:lpstr>Billettinntekt_År1</vt:lpstr>
      <vt:lpstr>Billettinntekt_År1_Togtype_2</vt:lpstr>
      <vt:lpstr>Billettinntekt_År2</vt:lpstr>
      <vt:lpstr>Billettinntekt_År2_Togtype_2</vt:lpstr>
      <vt:lpstr>Billettinntekt_År3</vt:lpstr>
      <vt:lpstr>Billettinntekt_År3_Togtype_2</vt:lpstr>
      <vt:lpstr>Bilparken_Bil_Bensin</vt:lpstr>
      <vt:lpstr>Bilparken_Bil_Diesel</vt:lpstr>
      <vt:lpstr>Bilreiser_over50km</vt:lpstr>
      <vt:lpstr>Bilreiser_under50km</vt:lpstr>
      <vt:lpstr>Bilreiser_År1</vt:lpstr>
      <vt:lpstr>Bilreiser_År2</vt:lpstr>
      <vt:lpstr>Bilreiser_År3</vt:lpstr>
      <vt:lpstr>BKIIndeks</vt:lpstr>
      <vt:lpstr>BKIIndeksDV</vt:lpstr>
      <vt:lpstr>BKIJustering_DV</vt:lpstr>
      <vt:lpstr>BNPIndeks</vt:lpstr>
      <vt:lpstr>BNPJustering</vt:lpstr>
      <vt:lpstr>break_even_parameter1</vt:lpstr>
      <vt:lpstr>break_even_parameter2</vt:lpstr>
      <vt:lpstr>break_even_value</vt:lpstr>
      <vt:lpstr>Brukm_Endring</vt:lpstr>
      <vt:lpstr>Brukm_Ref</vt:lpstr>
      <vt:lpstr>Brukm_Tiltak</vt:lpstr>
      <vt:lpstr>Bussbelegg</vt:lpstr>
      <vt:lpstr>Bussreiser_År1</vt:lpstr>
      <vt:lpstr>Bussreiser_År2</vt:lpstr>
      <vt:lpstr>Bussreiser_År3</vt:lpstr>
      <vt:lpstr>Civitas_2011</vt:lpstr>
      <vt:lpstr>CO2.KvotePrisVekst</vt:lpstr>
      <vt:lpstr>CO2_KgPerLiter_Flydrivstoff</vt:lpstr>
      <vt:lpstr>CO2_KgPerLiter_Skip</vt:lpstr>
      <vt:lpstr>CO2_KgPerLiterDiesel</vt:lpstr>
      <vt:lpstr>CO2_KgPerTonn_Dieseltog</vt:lpstr>
      <vt:lpstr>CO2Utslipp_arealbeslag_tiltak</vt:lpstr>
      <vt:lpstr>CO2utslipp_Bil2022</vt:lpstr>
      <vt:lpstr>CO2Utslipp_Buss</vt:lpstr>
      <vt:lpstr>Co2Utslipp_byggefase_alleavgifter</vt:lpstr>
      <vt:lpstr>Co2Utslipp_byggefase_CO2avgift</vt:lpstr>
      <vt:lpstr>Co2utslipp_byggefase_sum</vt:lpstr>
      <vt:lpstr>CO2Utslipp_Fly</vt:lpstr>
      <vt:lpstr>CO2Utslipp_GodstogD</vt:lpstr>
      <vt:lpstr>CO2Utslipp_GodstogEL</vt:lpstr>
      <vt:lpstr>CO2Utslipp_Kostnader</vt:lpstr>
      <vt:lpstr>CO2Utslipp_LettLastebil</vt:lpstr>
      <vt:lpstr>CO2Utslipp_PersontogD</vt:lpstr>
      <vt:lpstr>CO2Utslipp_PersontogEL</vt:lpstr>
      <vt:lpstr>CO2Utslipp_Skip_2018</vt:lpstr>
      <vt:lpstr>CO2Utslipp_Skip_2030</vt:lpstr>
      <vt:lpstr>CO2Utslipp_Skip_2050</vt:lpstr>
      <vt:lpstr>CO2Utslipp_TungLastebil</vt:lpstr>
      <vt:lpstr>CO2År1_AndreTransportmidler</vt:lpstr>
      <vt:lpstr>CO2År1_Tog</vt:lpstr>
      <vt:lpstr>CRF_Faktor</vt:lpstr>
      <vt:lpstr>CUT_2012</vt:lpstr>
      <vt:lpstr>Daglinje_Endring</vt:lpstr>
      <vt:lpstr>Daglinje_Ref</vt:lpstr>
      <vt:lpstr>Daglinje_Tiltak</vt:lpstr>
      <vt:lpstr>Diskonteringsår</vt:lpstr>
      <vt:lpstr>Distanseavhengig_Gjennomsnitt</vt:lpstr>
      <vt:lpstr>Drivstofforbruk_76</vt:lpstr>
      <vt:lpstr>Drivstofforbruk_93</vt:lpstr>
      <vt:lpstr>Drivstofforbruk_Bil_Bensin</vt:lpstr>
      <vt:lpstr>Drivstofforbruk_Bil_Diesel</vt:lpstr>
      <vt:lpstr>Drivstofforbruk_Buss</vt:lpstr>
      <vt:lpstr>Drivstofforbruk_Fly</vt:lpstr>
      <vt:lpstr>Drivstofforbruk_GodstogD</vt:lpstr>
      <vt:lpstr>Drivstofforbruk_LettLastebil</vt:lpstr>
      <vt:lpstr>Drivstofforbruk_LokD</vt:lpstr>
      <vt:lpstr>Drivstofforbruk_PersontogD</vt:lpstr>
      <vt:lpstr>Drivstofforbruk_Skip</vt:lpstr>
      <vt:lpstr>Drivstofforbruk_TungLastebil</vt:lpstr>
      <vt:lpstr>EC_2014</vt:lpstr>
      <vt:lpstr>ECON_054_2003</vt:lpstr>
      <vt:lpstr>Energi_69</vt:lpstr>
      <vt:lpstr>Energi_70</vt:lpstr>
      <vt:lpstr>Energi_72</vt:lpstr>
      <vt:lpstr>Energi_73</vt:lpstr>
      <vt:lpstr>Energi_74</vt:lpstr>
      <vt:lpstr>Energi_75</vt:lpstr>
      <vt:lpstr>Energi_76</vt:lpstr>
      <vt:lpstr>Energi_76el</vt:lpstr>
      <vt:lpstr>Energi_77</vt:lpstr>
      <vt:lpstr>Energi_78</vt:lpstr>
      <vt:lpstr>Energi_93D</vt:lpstr>
      <vt:lpstr>Energi_Di4</vt:lpstr>
      <vt:lpstr>Energi_EL18</vt:lpstr>
      <vt:lpstr>Energi_N05</vt:lpstr>
      <vt:lpstr>Energi_N06</vt:lpstr>
      <vt:lpstr>Energi_N10dag</vt:lpstr>
      <vt:lpstr>Energi_N10natt</vt:lpstr>
      <vt:lpstr>Energi_N11</vt:lpstr>
      <vt:lpstr>Energi_N12</vt:lpstr>
      <vt:lpstr>Energi_N13</vt:lpstr>
      <vt:lpstr>Energi_Stog</vt:lpstr>
      <vt:lpstr>Energikilde_Endring</vt:lpstr>
      <vt:lpstr>Energikilde_Ref</vt:lpstr>
      <vt:lpstr>Energikilde_Tiltak</vt:lpstr>
      <vt:lpstr>enkeltreiser_døgn_endring_TogÅr1</vt:lpstr>
      <vt:lpstr>enkeltreiser_døgn_endring_TogÅr2</vt:lpstr>
      <vt:lpstr>enkeltreiser_døgn_endring_TogÅr3</vt:lpstr>
      <vt:lpstr>FartøyMkm_InnlandSkip_År1</vt:lpstr>
      <vt:lpstr>FartøyMkm_InnlandSkip_År2</vt:lpstr>
      <vt:lpstr>FartøyMkm_InnlandSkip_År3</vt:lpstr>
      <vt:lpstr>FartøyMkm_Skip_År1</vt:lpstr>
      <vt:lpstr>FartøyMkm_Skip_År2</vt:lpstr>
      <vt:lpstr>FartøyMkm_Skip_År3</vt:lpstr>
      <vt:lpstr>Finansdepartementet_2016_2017</vt:lpstr>
      <vt:lpstr>Flybelegg</vt:lpstr>
      <vt:lpstr>Flykm_År1</vt:lpstr>
      <vt:lpstr>Flykm_År2</vt:lpstr>
      <vt:lpstr>Flykm_År3</vt:lpstr>
      <vt:lpstr>Flyreiser_År1</vt:lpstr>
      <vt:lpstr>Flyreiser_År2</vt:lpstr>
      <vt:lpstr>Flyreiser_År3</vt:lpstr>
      <vt:lpstr>Formater_begge</vt:lpstr>
      <vt:lpstr>Formater_prosent</vt:lpstr>
      <vt:lpstr>Formater_tallverdi</vt:lpstr>
      <vt:lpstr>Framskrivning</vt:lpstr>
      <vt:lpstr>Fremtidig_KPI</vt:lpstr>
      <vt:lpstr>Fremtidig_Reallønnsvekst</vt:lpstr>
      <vt:lpstr>FørsteBeregningsår</vt:lpstr>
      <vt:lpstr>GodsflyMkm_InnlandÅr1</vt:lpstr>
      <vt:lpstr>GodsflyMkm_InnlandÅr2</vt:lpstr>
      <vt:lpstr>GodsflyMkm_InnlandÅr3</vt:lpstr>
      <vt:lpstr>GodsflyMkm_År1</vt:lpstr>
      <vt:lpstr>GodsflyMkm_År2</vt:lpstr>
      <vt:lpstr>GodsflyMkm_År3</vt:lpstr>
      <vt:lpstr>GodstogMkmD_RefÅr1</vt:lpstr>
      <vt:lpstr>GodstogMkmD_TiltakÅr1</vt:lpstr>
      <vt:lpstr>GodstogMkmD_År1</vt:lpstr>
      <vt:lpstr>GodstogMkmD_År2</vt:lpstr>
      <vt:lpstr>GodstogMkmD_År3</vt:lpstr>
      <vt:lpstr>GodstogMkmEL_RefÅr1</vt:lpstr>
      <vt:lpstr>GodstogMkmEL_TiltakÅr1</vt:lpstr>
      <vt:lpstr>GodstogMkmEL_År1</vt:lpstr>
      <vt:lpstr>GodstogMkmEL_År2</vt:lpstr>
      <vt:lpstr>GodstogMkmEL_År3</vt:lpstr>
      <vt:lpstr>Grunntakst_Gjennomsnitt</vt:lpstr>
      <vt:lpstr>Hastighet_Endring</vt:lpstr>
      <vt:lpstr>Hastighet_Ref</vt:lpstr>
      <vt:lpstr>Hastighet_Tiltak</vt:lpstr>
      <vt:lpstr>Helsedirektoratet_2014</vt:lpstr>
      <vt:lpstr>Helsedirektoratet_2025</vt:lpstr>
      <vt:lpstr>Helsegevinst</vt:lpstr>
      <vt:lpstr>Helsegevinst_Km</vt:lpstr>
      <vt:lpstr>Helsegevinst_Sats</vt:lpstr>
      <vt:lpstr>Hypotese_parameter1</vt:lpstr>
      <vt:lpstr>Hypotese_parameter2</vt:lpstr>
      <vt:lpstr>Investering_AntallÅr</vt:lpstr>
      <vt:lpstr>Investering_Kroneår</vt:lpstr>
      <vt:lpstr>Investering_Referanse</vt:lpstr>
      <vt:lpstr>Investering_Tiltak</vt:lpstr>
      <vt:lpstr>JDIR_2017</vt:lpstr>
      <vt:lpstr>JDIR_2017_1</vt:lpstr>
      <vt:lpstr>JDIR_2019</vt:lpstr>
      <vt:lpstr>JDIR_2026</vt:lpstr>
      <vt:lpstr>JDIR_2026_1</vt:lpstr>
      <vt:lpstr>Jernbaneverket_2015</vt:lpstr>
      <vt:lpstr>Jernbaneverket_2016</vt:lpstr>
      <vt:lpstr>Kalkulasjonsrente1</vt:lpstr>
      <vt:lpstr>Kalkulasjonsrente2</vt:lpstr>
      <vt:lpstr>Kalkulasjonsrente3</vt:lpstr>
      <vt:lpstr>Kjøretøykm_Bil_År1</vt:lpstr>
      <vt:lpstr>Kjøretøykm_Bil_År2</vt:lpstr>
      <vt:lpstr>Kjøretøykm_Bil_År3</vt:lpstr>
      <vt:lpstr>Kjøretøykm_Buss_År1</vt:lpstr>
      <vt:lpstr>Kjøretøykm_Buss_År2</vt:lpstr>
      <vt:lpstr>Kjøretøykm_Buss_År3</vt:lpstr>
      <vt:lpstr>KjøretøyMkm_Lettlastebil_År1</vt:lpstr>
      <vt:lpstr>KjøretøyMkm_Lettlastebil_År2</vt:lpstr>
      <vt:lpstr>KjøretøyMkm_Lettlastebil_År3</vt:lpstr>
      <vt:lpstr>KjøretøyMkm_Modulvogntog_År1</vt:lpstr>
      <vt:lpstr>KjøretøyMkm_Modulvogntog_År2</vt:lpstr>
      <vt:lpstr>KjøretøyMkm_Modulvogntog_År3</vt:lpstr>
      <vt:lpstr>KjøretøyMkm_Tunglastebil_År1</vt:lpstr>
      <vt:lpstr>KjøretøyMkm_Tunglastebil_År2</vt:lpstr>
      <vt:lpstr>KjøretøyMkm_Tunglastebil_År3</vt:lpstr>
      <vt:lpstr>Klargjøring_69</vt:lpstr>
      <vt:lpstr>Klargjøring_70</vt:lpstr>
      <vt:lpstr>Klargjøring_72</vt:lpstr>
      <vt:lpstr>Klargjøring_73</vt:lpstr>
      <vt:lpstr>Klargjøring_74</vt:lpstr>
      <vt:lpstr>Klargjøring_75</vt:lpstr>
      <vt:lpstr>Klargjøring_76</vt:lpstr>
      <vt:lpstr>Klargjøring_77</vt:lpstr>
      <vt:lpstr>Klargjøring_78</vt:lpstr>
      <vt:lpstr>Klargjøring_93D</vt:lpstr>
      <vt:lpstr>Klargjøring_Di4</vt:lpstr>
      <vt:lpstr>Klargjøring_EL18</vt:lpstr>
      <vt:lpstr>Klargjøring_N05</vt:lpstr>
      <vt:lpstr>Klargjøring_N06</vt:lpstr>
      <vt:lpstr>Klargjøring_N10dag</vt:lpstr>
      <vt:lpstr>Klargjøring_N10natt</vt:lpstr>
      <vt:lpstr>Klargjøring_N11</vt:lpstr>
      <vt:lpstr>Klargjøring_N12</vt:lpstr>
      <vt:lpstr>Klargjøring_N13</vt:lpstr>
      <vt:lpstr>Klargjøring_Sittevogn</vt:lpstr>
      <vt:lpstr>Klargjøring_Sovevogn</vt:lpstr>
      <vt:lpstr>Klargjøring_Stog</vt:lpstr>
      <vt:lpstr>KLkm_Ref</vt:lpstr>
      <vt:lpstr>KLkm_Tiltak</vt:lpstr>
      <vt:lpstr>KostnaderCO2Utslipp_AlleTransportformer</vt:lpstr>
      <vt:lpstr>KostnadPrDødsfall</vt:lpstr>
      <vt:lpstr>KostnadPrSett_69</vt:lpstr>
      <vt:lpstr>KostnadPrSett_70</vt:lpstr>
      <vt:lpstr>KostnadPrSett_72</vt:lpstr>
      <vt:lpstr>KostnadPrSett_73</vt:lpstr>
      <vt:lpstr>KostnadPrSett_74</vt:lpstr>
      <vt:lpstr>KostnadPrSett_75</vt:lpstr>
      <vt:lpstr>KostnadPrSett_76</vt:lpstr>
      <vt:lpstr>KostnadPrSett_77</vt:lpstr>
      <vt:lpstr>KostnadPrSett_78</vt:lpstr>
      <vt:lpstr>KostnadPrSett_93D</vt:lpstr>
      <vt:lpstr>KostnadPrSett_Di4</vt:lpstr>
      <vt:lpstr>KostnadPrSett_EL18</vt:lpstr>
      <vt:lpstr>KostnadPrSett_N05</vt:lpstr>
      <vt:lpstr>KostnadPrSett_N06</vt:lpstr>
      <vt:lpstr>KostnadPrSett_N10dag</vt:lpstr>
      <vt:lpstr>KostnadPrSett_N10natt</vt:lpstr>
      <vt:lpstr>KostnadPrSett_N11</vt:lpstr>
      <vt:lpstr>KostnadPrSett_N12</vt:lpstr>
      <vt:lpstr>KostnadPrSett_N13</vt:lpstr>
      <vt:lpstr>KostnadPrSett_sittevogn</vt:lpstr>
      <vt:lpstr>KostnadPrSett_Sovevogn</vt:lpstr>
      <vt:lpstr>KostnadPrSett_Stog</vt:lpstr>
      <vt:lpstr>KPIIndeks</vt:lpstr>
      <vt:lpstr>KPIJustering</vt:lpstr>
      <vt:lpstr>KPIJustering_Gods</vt:lpstr>
      <vt:lpstr>KPIJustering_Investering</vt:lpstr>
      <vt:lpstr>KPIJustering_Takster</vt:lpstr>
      <vt:lpstr>KPIJustering_Tid</vt:lpstr>
      <vt:lpstr>KroneårIBeregninger</vt:lpstr>
      <vt:lpstr>kWhSettkm_72</vt:lpstr>
      <vt:lpstr>KWhSettkm_73</vt:lpstr>
      <vt:lpstr>kWhSettkm_74</vt:lpstr>
      <vt:lpstr>kWhSettkm_75</vt:lpstr>
      <vt:lpstr>kWhSettkm_77</vt:lpstr>
      <vt:lpstr>kWhSettkm_78</vt:lpstr>
      <vt:lpstr>kWhSettkm_LokEL</vt:lpstr>
      <vt:lpstr>kWhSettkm_Stog</vt:lpstr>
      <vt:lpstr>Kø_Bil</vt:lpstr>
      <vt:lpstr>Kø_Buss</vt:lpstr>
      <vt:lpstr>Kø_Lastebil</vt:lpstr>
      <vt:lpstr>Levetid_Annen</vt:lpstr>
      <vt:lpstr>Levetid_KLanlegg</vt:lpstr>
      <vt:lpstr>Levetid_Lavspenning</vt:lpstr>
      <vt:lpstr>Levetid_Overbygning</vt:lpstr>
      <vt:lpstr>Levetid_Signalanlegg</vt:lpstr>
      <vt:lpstr>Levetid_Togmateriell</vt:lpstr>
      <vt:lpstr>Levetid_Underbygning</vt:lpstr>
      <vt:lpstr>Logistikkostnad_År1</vt:lpstr>
      <vt:lpstr>Logistikkostnad_År2</vt:lpstr>
      <vt:lpstr>Logistikkostnad_År3</vt:lpstr>
      <vt:lpstr>LokaleUtslipp_Bil</vt:lpstr>
      <vt:lpstr>LokaleUtslipp_Buss</vt:lpstr>
      <vt:lpstr>LokaleUtslipp_Fly</vt:lpstr>
      <vt:lpstr>LokaleUtslipp_GodstogD</vt:lpstr>
      <vt:lpstr>LokaleUtslipp_GodstogEL</vt:lpstr>
      <vt:lpstr>LokaleUtslipp_LettLastebil</vt:lpstr>
      <vt:lpstr>LokaleUtslipp_Modulvogntog</vt:lpstr>
      <vt:lpstr>LokaleUtslipp_PersontogD</vt:lpstr>
      <vt:lpstr>LokaleUtslipp_PersontogEL</vt:lpstr>
      <vt:lpstr>LokaleUtslipp_Skip</vt:lpstr>
      <vt:lpstr>LokaleUtslipp_TungLastebil</vt:lpstr>
      <vt:lpstr>LønnskostnadJustering</vt:lpstr>
      <vt:lpstr>Lønnskostnadsindeks</vt:lpstr>
      <vt:lpstr>Massetetthet_Diesel</vt:lpstr>
      <vt:lpstr>Merverdiavgift</vt:lpstr>
      <vt:lpstr>Modell_Gods</vt:lpstr>
      <vt:lpstr>Modell_Person</vt:lpstr>
      <vt:lpstr>Moms_Billett</vt:lpstr>
      <vt:lpstr>MonteCarlo_Benevning</vt:lpstr>
      <vt:lpstr>MonteCarlo_Figur_Input_Fordeling</vt:lpstr>
      <vt:lpstr>MonteCarlo_Figur_Input_Valgt</vt:lpstr>
      <vt:lpstr>MonteCarlo_Figur_SannsTetthet_Tabell</vt:lpstr>
      <vt:lpstr>MonteCarlo_Figurer_AutoFormat</vt:lpstr>
      <vt:lpstr>MonteCarlo_Figurer_Valgt</vt:lpstr>
      <vt:lpstr>MonteCarlo_Forklaring</vt:lpstr>
      <vt:lpstr>MonteCarlo_Format</vt:lpstr>
      <vt:lpstr>MonteCarlo_Parameter_TrukkedeVerdier</vt:lpstr>
      <vt:lpstr>MonteCarlo_Parametere</vt:lpstr>
      <vt:lpstr>MonteCarlo_Parametere_Antall</vt:lpstr>
      <vt:lpstr>MonteCarlo_Persentil3</vt:lpstr>
      <vt:lpstr>MonteCarlo_Resultater_Antall</vt:lpstr>
      <vt:lpstr>MonteCarlo_Resultater_Basisverdier</vt:lpstr>
      <vt:lpstr>MonteCarlo_Resultater_Forklaring_Mulige</vt:lpstr>
      <vt:lpstr>MonteCarlo_Resultater_Mulige_Benevning</vt:lpstr>
      <vt:lpstr>MonteCarlo_Resultater_Omraader_Mulige</vt:lpstr>
      <vt:lpstr>MonteCarlo_Resultater_Tabell</vt:lpstr>
      <vt:lpstr>MonteCarlo_Resultater_Valgt</vt:lpstr>
      <vt:lpstr>MonteCarlo_Sannsynlighetsfordeling</vt:lpstr>
      <vt:lpstr>MonteCarlo_Sentralitet</vt:lpstr>
      <vt:lpstr>MonteCarlo_Spredning</vt:lpstr>
      <vt:lpstr>MonteCarlo_Tabell</vt:lpstr>
      <vt:lpstr>MonteCarlo_Trekninger_Antall</vt:lpstr>
      <vt:lpstr>MonteCarlo_Verdi1</vt:lpstr>
      <vt:lpstr>MonteCarlo_Verdi1_Mulige</vt:lpstr>
      <vt:lpstr>MonteCarlo_Verdi2</vt:lpstr>
      <vt:lpstr>MonteCarlo_Verdi2_Mulige</vt:lpstr>
      <vt:lpstr>MonteCarlo_Verdi3</vt:lpstr>
      <vt:lpstr>MonteCarlo_Verdi3_Mulige</vt:lpstr>
      <vt:lpstr>Nattogandel_Gods</vt:lpstr>
      <vt:lpstr>Nattogandel_Godstog</vt:lpstr>
      <vt:lpstr>NLF_2017</vt:lpstr>
      <vt:lpstr>NNV_benevning_parameter1</vt:lpstr>
      <vt:lpstr>NNV_benevning_parameter2</vt:lpstr>
      <vt:lpstr>NorgesBank_2018</vt:lpstr>
      <vt:lpstr>NOU_2012_16</vt:lpstr>
      <vt:lpstr>NOx_KgPerTonn_Diesel</vt:lpstr>
      <vt:lpstr>NOxUtslipp_Bil</vt:lpstr>
      <vt:lpstr>NOxUtslipp_Buss</vt:lpstr>
      <vt:lpstr>NOxUtslipp_Fly</vt:lpstr>
      <vt:lpstr>NOxUtslipp_GodstogD</vt:lpstr>
      <vt:lpstr>NOxUtslipp_GodstogEL</vt:lpstr>
      <vt:lpstr>NOxUtslipp_LettLastebil</vt:lpstr>
      <vt:lpstr>NOxUtslipp_Modulvogntog</vt:lpstr>
      <vt:lpstr>NOxUtslipp_PersontogD</vt:lpstr>
      <vt:lpstr>NOxUtslipp_PersontogEL</vt:lpstr>
      <vt:lpstr>NOxUtslipp_Skip</vt:lpstr>
      <vt:lpstr>NOxUtslipp_TungLastebil</vt:lpstr>
      <vt:lpstr>NOxÅr1_AndreTransportmidler</vt:lpstr>
      <vt:lpstr>NOxÅr1_Bil</vt:lpstr>
      <vt:lpstr>NOxÅr1_Buss</vt:lpstr>
      <vt:lpstr>NOxÅr1_Fly</vt:lpstr>
      <vt:lpstr>NOxÅr1_Godstog</vt:lpstr>
      <vt:lpstr>NOxÅr1_Lastebil</vt:lpstr>
      <vt:lpstr>NOxÅr1_Persontog</vt:lpstr>
      <vt:lpstr>NOxÅr1_Skip</vt:lpstr>
      <vt:lpstr>NOxÅr1_Tog</vt:lpstr>
      <vt:lpstr>NSB_2015</vt:lpstr>
      <vt:lpstr>NTP_2014_2023</vt:lpstr>
      <vt:lpstr>NyskapteReiser_År1</vt:lpstr>
      <vt:lpstr>NyskapteReiser_År2</vt:lpstr>
      <vt:lpstr>NyskapteReiser_År3</vt:lpstr>
      <vt:lpstr>OffentligkjøpBuss_År1</vt:lpstr>
      <vt:lpstr>OffentligkjøpBuss_År2</vt:lpstr>
      <vt:lpstr>OffentligkjøpBuss_År3</vt:lpstr>
      <vt:lpstr>OffentligkjøpÅr1</vt:lpstr>
      <vt:lpstr>OffentligkjøpÅr2</vt:lpstr>
      <vt:lpstr>OffentligkjøpÅr3</vt:lpstr>
      <vt:lpstr>Opprinnelig_NNB_parameter1</vt:lpstr>
      <vt:lpstr>Opprinnelig_NNB_parameter2</vt:lpstr>
      <vt:lpstr>Opprinnelig_NNV_parameter1</vt:lpstr>
      <vt:lpstr>Opprinnelig_NNV_parameter2</vt:lpstr>
      <vt:lpstr>Opprinnelig_verdi_parameter1</vt:lpstr>
      <vt:lpstr>Opprinnelig_verdi_parameter2</vt:lpstr>
      <vt:lpstr>Oppslagsliste_parametere</vt:lpstr>
      <vt:lpstr>Oppstartsår_FørsteÅrMedInvestering</vt:lpstr>
      <vt:lpstr>OsloEconomics_2017</vt:lpstr>
      <vt:lpstr>Output_NNB_begge</vt:lpstr>
      <vt:lpstr>Output_NNB_parameter1</vt:lpstr>
      <vt:lpstr>Output_NNB_parameter2</vt:lpstr>
      <vt:lpstr>Output_NNV_begge</vt:lpstr>
      <vt:lpstr>Output_NNV_parameter1</vt:lpstr>
      <vt:lpstr>Output_NNV_parameter2</vt:lpstr>
      <vt:lpstr>Output_xvals_NNB_parameter1</vt:lpstr>
      <vt:lpstr>Output_xvals_NNB_parameter2</vt:lpstr>
      <vt:lpstr>Output_xvals_NNB_simul_parameter1</vt:lpstr>
      <vt:lpstr>Output_xvals_NNB_simul_parameter2</vt:lpstr>
      <vt:lpstr>Output_xvals_parameter1</vt:lpstr>
      <vt:lpstr>Output_xvals_parameter2</vt:lpstr>
      <vt:lpstr>Output_xvals_simul_parameter1</vt:lpstr>
      <vt:lpstr>Output_xvals_simul_parameter2</vt:lpstr>
      <vt:lpstr>OverførtTrafikk_Bil</vt:lpstr>
      <vt:lpstr>OverførtTrafikk_Buss</vt:lpstr>
      <vt:lpstr>OverførtTrafikk_Fly</vt:lpstr>
      <vt:lpstr>parameter_names</vt:lpstr>
      <vt:lpstr>parameter_sheets</vt:lpstr>
      <vt:lpstr>parameter_units</vt:lpstr>
      <vt:lpstr>parameter1_format</vt:lpstr>
      <vt:lpstr>parameter1_sens</vt:lpstr>
      <vt:lpstr>parameter1_verdier</vt:lpstr>
      <vt:lpstr>parameter2_format</vt:lpstr>
      <vt:lpstr>parameter2_sens</vt:lpstr>
      <vt:lpstr>parameter2_verdier</vt:lpstr>
      <vt:lpstr>parameters</vt:lpstr>
      <vt:lpstr>parameters_forklaring</vt:lpstr>
      <vt:lpstr>Passasjerkm_BussÅr1</vt:lpstr>
      <vt:lpstr>Passasjerkm_BussÅr2</vt:lpstr>
      <vt:lpstr>Passasjerkm_BussÅr3</vt:lpstr>
      <vt:lpstr>passasjerkm_døgn_endring_TogÅr1</vt:lpstr>
      <vt:lpstr>passasjerkm_døgn_endring_TogÅr2</vt:lpstr>
      <vt:lpstr>passasjerkm_døgn_endring_TogÅr3</vt:lpstr>
      <vt:lpstr>Passasjerkm_EndringTogÅr2</vt:lpstr>
      <vt:lpstr>Passasjerkm_EndringTogÅr2_Togtype_2</vt:lpstr>
      <vt:lpstr>Passasjerkm_EndringTogÅr3</vt:lpstr>
      <vt:lpstr>Passasjerkm_EndringTogÅr3_Togtype_2</vt:lpstr>
      <vt:lpstr>Passasjerkm_FlyÅr1</vt:lpstr>
      <vt:lpstr>Passasjerkm_FlyÅr2</vt:lpstr>
      <vt:lpstr>Passasjerkm_FlyÅr3</vt:lpstr>
      <vt:lpstr>Passasjerkm_RefÅr1</vt:lpstr>
      <vt:lpstr>Passasjerkm_RefÅr1_Togtype_2</vt:lpstr>
      <vt:lpstr>Passasjerkm_RefÅr2</vt:lpstr>
      <vt:lpstr>Passasjerkm_RefÅr2_Togtype_2</vt:lpstr>
      <vt:lpstr>Passasjerkm_RefÅr3</vt:lpstr>
      <vt:lpstr>Passasjerkm_RefÅr3_Togtype_2</vt:lpstr>
      <vt:lpstr>Passasjerkm_TiltakÅr1</vt:lpstr>
      <vt:lpstr>Passasjerkm_TiltakÅr1_Togtype_2</vt:lpstr>
      <vt:lpstr>Passasjerkm_TiltakÅr2</vt:lpstr>
      <vt:lpstr>Passasjerkm_TiltakÅr2_Togtype_2</vt:lpstr>
      <vt:lpstr>Passasjerkm_TiltakÅr3</vt:lpstr>
      <vt:lpstr>Passasjerkm_TiltakÅr3_Togtype_2</vt:lpstr>
      <vt:lpstr>Passasjerkm_TogÅr1</vt:lpstr>
      <vt:lpstr>Passasjerkm_TogÅr1_Togtype_2</vt:lpstr>
      <vt:lpstr>Persentiler</vt:lpstr>
      <vt:lpstr>PersonbilKm_År1</vt:lpstr>
      <vt:lpstr>PersonbilKm_År2</vt:lpstr>
      <vt:lpstr>PersonbilKm_År3</vt:lpstr>
      <vt:lpstr>PM10_KgPerTonn_Dieseltog</vt:lpstr>
      <vt:lpstr>Prognose_Lønnskostnad</vt:lpstr>
      <vt:lpstr>PrognoseBefolkning</vt:lpstr>
      <vt:lpstr>PrognoseBKI</vt:lpstr>
      <vt:lpstr>PrognoseBKI_DV</vt:lpstr>
      <vt:lpstr>PrognoseBNP</vt:lpstr>
      <vt:lpstr>PrognoseCO2utslippBil</vt:lpstr>
      <vt:lpstr>PrognoseCo2UtslippBuss</vt:lpstr>
      <vt:lpstr>PrognoseCo2UtslippLastebil</vt:lpstr>
      <vt:lpstr>PrognoseCO2UtslippLettLastebil</vt:lpstr>
      <vt:lpstr>PrognoseGods</vt:lpstr>
      <vt:lpstr>PrognoseKjKmBuss</vt:lpstr>
      <vt:lpstr>PrognoseKjKmLastebil</vt:lpstr>
      <vt:lpstr>PrognoseKjKmLettLastebil</vt:lpstr>
      <vt:lpstr>PrognosekjøretøykmBil</vt:lpstr>
      <vt:lpstr>PrognoseKPI</vt:lpstr>
      <vt:lpstr>PrognosePerson</vt:lpstr>
      <vt:lpstr>PrognoseRealpris</vt:lpstr>
      <vt:lpstr>ProsjektetsLevetid</vt:lpstr>
      <vt:lpstr>Punktlighetkostnader_TilleggDrift</vt:lpstr>
      <vt:lpstr>PunktlighetRef</vt:lpstr>
      <vt:lpstr>PunktlighetTiltak</vt:lpstr>
      <vt:lpstr>RabattfaktorSporavgift</vt:lpstr>
      <vt:lpstr>RabattfaktorSporavgiftGods</vt:lpstr>
      <vt:lpstr>RabattSporavgift</vt:lpstr>
      <vt:lpstr>Realprisjustering_ettersisteprognoseår</vt:lpstr>
      <vt:lpstr>Realprisjustering_tilsisteprognoseår</vt:lpstr>
      <vt:lpstr>Regjeringen_20_21</vt:lpstr>
      <vt:lpstr>Regjeringen_20_22</vt:lpstr>
      <vt:lpstr>Regjeringen_2010</vt:lpstr>
      <vt:lpstr>Regjeringen_2014</vt:lpstr>
      <vt:lpstr>Regjeringen_2014_avgifter</vt:lpstr>
      <vt:lpstr>Regjeringen_2015_avgifter</vt:lpstr>
      <vt:lpstr>Regjeringen_2016</vt:lpstr>
      <vt:lpstr>Regjeringen_2016_avgifter</vt:lpstr>
      <vt:lpstr>Regjeringen_2017</vt:lpstr>
      <vt:lpstr>Regjeringen_2017_avgifter</vt:lpstr>
      <vt:lpstr>Regjeringen_2018_avgifter</vt:lpstr>
      <vt:lpstr>Regjeringen_2019_avgifter</vt:lpstr>
      <vt:lpstr>Regjeringen_2020</vt:lpstr>
      <vt:lpstr>Regjeringen_2021</vt:lpstr>
      <vt:lpstr>Regjeringen_2022</vt:lpstr>
      <vt:lpstr>Regjeringen_2023_avgifter</vt:lpstr>
      <vt:lpstr>Rengjøring_69</vt:lpstr>
      <vt:lpstr>Rengjøring_70</vt:lpstr>
      <vt:lpstr>Rengjøring_72</vt:lpstr>
      <vt:lpstr>Rengjøring_73</vt:lpstr>
      <vt:lpstr>Rengjøring_74</vt:lpstr>
      <vt:lpstr>Rengjøring_75</vt:lpstr>
      <vt:lpstr>Rengjøring_76</vt:lpstr>
      <vt:lpstr>Rengjøring_77</vt:lpstr>
      <vt:lpstr>Rengjøring_78</vt:lpstr>
      <vt:lpstr>Rengjøring_93D</vt:lpstr>
      <vt:lpstr>Rengjøring_Di4</vt:lpstr>
      <vt:lpstr>Rengjøring_EL18</vt:lpstr>
      <vt:lpstr>Rengjøring_N05</vt:lpstr>
      <vt:lpstr>Rengjøring_N06</vt:lpstr>
      <vt:lpstr>Rengjøring_N10dag</vt:lpstr>
      <vt:lpstr>Rengjøring_N10natt</vt:lpstr>
      <vt:lpstr>Rengjøring_N11</vt:lpstr>
      <vt:lpstr>Rengjøring_N12</vt:lpstr>
      <vt:lpstr>Rengjøring_N13</vt:lpstr>
      <vt:lpstr>Rengjøring_Sittevogn</vt:lpstr>
      <vt:lpstr>Rengjøring_Sovevogn</vt:lpstr>
      <vt:lpstr>Rengjøring_Stog</vt:lpstr>
      <vt:lpstr>RES_Andre_transportmidler__bil__buss__fly</vt:lpstr>
      <vt:lpstr>RES_Endring_for_det_offentlige</vt:lpstr>
      <vt:lpstr>RES_Endring_for_operatører</vt:lpstr>
      <vt:lpstr>RES_Endring_for_samfunnet_for_øvrig</vt:lpstr>
      <vt:lpstr>RES_Endring_for_trafikanter</vt:lpstr>
      <vt:lpstr>RES_Endring_i_avgifter__herunder_bom__og_fergeavgifter</vt:lpstr>
      <vt:lpstr>RES_Endring_i_avgifter_og_offentlig_kjøp__buss_og_fly</vt:lpstr>
      <vt:lpstr>RES_Endring_i_CO2_utslipp</vt:lpstr>
      <vt:lpstr>RES_Endring_i_CO2_utslipp_areal</vt:lpstr>
      <vt:lpstr>RES_Endring_i_CO2_utslipp_byggefasen</vt:lpstr>
      <vt:lpstr>RES_Endring_i_drift_og_avgifter__persontog</vt:lpstr>
      <vt:lpstr>RES_Endring_i_lokale_utslipp</vt:lpstr>
      <vt:lpstr>RES_Endring_i_materiell__persontog</vt:lpstr>
      <vt:lpstr>RES_Endring_i_skattefinansiering</vt:lpstr>
      <vt:lpstr>RES_Endring_i_støy</vt:lpstr>
      <vt:lpstr>RES_Endring_i_ulykker</vt:lpstr>
      <vt:lpstr>RES_Endring_i_vedlikehold_av_infrastruktur</vt:lpstr>
      <vt:lpstr>RES_Godskunder</vt:lpstr>
      <vt:lpstr>RES_Helsevirkninger_for_gående_og_syklende__overført_fra_bil</vt:lpstr>
      <vt:lpstr>RES_Investering</vt:lpstr>
      <vt:lpstr>RES_Markedsinntekter__persontog</vt:lpstr>
      <vt:lpstr>RES_Offentlig_kjøp_av_persontransport__persontog</vt:lpstr>
      <vt:lpstr>RES_Offentlig_kjøp_av_persontransport_på_tog_og_buss</vt:lpstr>
      <vt:lpstr>RES_Reinvestering</vt:lpstr>
      <vt:lpstr>RES_Restverdi_av_tiltak</vt:lpstr>
      <vt:lpstr>RES_Samfunnsøkonomisk_brutto_nåverdi</vt:lpstr>
      <vt:lpstr>RES_Trafikantnytte__overført_og_nyskapt</vt:lpstr>
      <vt:lpstr>RES_Trafikantnytte__referanse</vt:lpstr>
      <vt:lpstr>Resultat_NNB</vt:lpstr>
      <vt:lpstr>Resultat_NNV</vt:lpstr>
      <vt:lpstr>Resultater_begge_parametere</vt:lpstr>
      <vt:lpstr>Resultater_parameter2</vt:lpstr>
      <vt:lpstr>RVU_2005</vt:lpstr>
      <vt:lpstr>RVU_2013_2014</vt:lpstr>
      <vt:lpstr>Samferdselsdepartementet_2020</vt:lpstr>
      <vt:lpstr>SamfunnetForØvrig_Kostnader</vt:lpstr>
      <vt:lpstr>Sannsynlighetsfordelinger</vt:lpstr>
      <vt:lpstr>Serie_Dieselforbruk_byggefase</vt:lpstr>
      <vt:lpstr>Serie_kmMassetransportiByggefase</vt:lpstr>
      <vt:lpstr>Serie_Utslipparealbeslag</vt:lpstr>
      <vt:lpstr>Serie_UtslippibyggefasenCO2</vt:lpstr>
      <vt:lpstr>Serie_Veibruksavgift_byggefase</vt:lpstr>
      <vt:lpstr>SerieCO2avgift_Bil</vt:lpstr>
      <vt:lpstr>SerieCO2avgift_Buss</vt:lpstr>
      <vt:lpstr>SerieCO2avgift_Fly</vt:lpstr>
      <vt:lpstr>SerieCO2avgift_GodstogD</vt:lpstr>
      <vt:lpstr>SerieCO2avgift_Lastebil</vt:lpstr>
      <vt:lpstr>serieCO2avgift_LettLastebil</vt:lpstr>
      <vt:lpstr>SerieCO2avgift_PersontogD</vt:lpstr>
      <vt:lpstr>SerieCO2avgift_Skip</vt:lpstr>
      <vt:lpstr>SerieCO2avgiftsbane</vt:lpstr>
      <vt:lpstr>SerieCO2avgiftsbane1</vt:lpstr>
      <vt:lpstr>SerieCO2krkm_Bil</vt:lpstr>
      <vt:lpstr>SerieCO2krkm_Buss</vt:lpstr>
      <vt:lpstr>SerieCO2krkm_Fly</vt:lpstr>
      <vt:lpstr>SerieCO2krkm_GodstogD</vt:lpstr>
      <vt:lpstr>SerieCO2krkm_Lastebil</vt:lpstr>
      <vt:lpstr>serieCO2krkm_LettLastebil</vt:lpstr>
      <vt:lpstr>SerieCO2krkm_PersontogD</vt:lpstr>
      <vt:lpstr>SerieCO2krkm_Skip</vt:lpstr>
      <vt:lpstr>SerieCO2utslipp_Bil</vt:lpstr>
      <vt:lpstr>SerieCO2Utslipp_Buss</vt:lpstr>
      <vt:lpstr>SerieCO2Utslipp_Fly</vt:lpstr>
      <vt:lpstr>SerieCO2Utslipp_GodstogD</vt:lpstr>
      <vt:lpstr>SerieCO2Utslipp_Lastebil</vt:lpstr>
      <vt:lpstr>SerieCO2utslipp_LettLastebil</vt:lpstr>
      <vt:lpstr>SerieCO2Utslipp_PersontogD</vt:lpstr>
      <vt:lpstr>SerieCO2Utslipp_Skip</vt:lpstr>
      <vt:lpstr>SerieDiskontering</vt:lpstr>
      <vt:lpstr>SerieKarbonpris</vt:lpstr>
      <vt:lpstr>SerieKarbonprisbane_Hovedalternativ</vt:lpstr>
      <vt:lpstr>SerieKarbonprisbane_Hovedalternativhoy</vt:lpstr>
      <vt:lpstr>Seriekarbonprisbane_Hovedalternativlav</vt:lpstr>
      <vt:lpstr>Seriekarbonprisbane_skogogarealbruk</vt:lpstr>
      <vt:lpstr>Seriekarbonprisbaneskogogarealbruk</vt:lpstr>
      <vt:lpstr>Seriekarbonprishøy</vt:lpstr>
      <vt:lpstr>Seriekarbonprislav</vt:lpstr>
      <vt:lpstr>SerieRealprisjustering</vt:lpstr>
      <vt:lpstr>SerieRealprisjustering_Tid</vt:lpstr>
      <vt:lpstr>SerieVolumvekstGods</vt:lpstr>
      <vt:lpstr>SerieVolumvekstperson</vt:lpstr>
      <vt:lpstr>SerieÅR</vt:lpstr>
      <vt:lpstr>SerieÅrligBefolkningsvekst</vt:lpstr>
      <vt:lpstr>SerieÅrligGodsVekst</vt:lpstr>
      <vt:lpstr>SerieÅrligPersonvekst</vt:lpstr>
      <vt:lpstr>Seter_69</vt:lpstr>
      <vt:lpstr>Seter_70</vt:lpstr>
      <vt:lpstr>Seter_72</vt:lpstr>
      <vt:lpstr>Seter_73</vt:lpstr>
      <vt:lpstr>Seter_74</vt:lpstr>
      <vt:lpstr>Seter_75</vt:lpstr>
      <vt:lpstr>Seter_76</vt:lpstr>
      <vt:lpstr>Seter_77</vt:lpstr>
      <vt:lpstr>Seter_78</vt:lpstr>
      <vt:lpstr>Seter_93D</vt:lpstr>
      <vt:lpstr>Seter_Di4</vt:lpstr>
      <vt:lpstr>Seter_EL18</vt:lpstr>
      <vt:lpstr>Seter_N05</vt:lpstr>
      <vt:lpstr>Seter_N06</vt:lpstr>
      <vt:lpstr>Seter_N10dag</vt:lpstr>
      <vt:lpstr>Seter_N10natt</vt:lpstr>
      <vt:lpstr>Seter_N11</vt:lpstr>
      <vt:lpstr>Seter_N12</vt:lpstr>
      <vt:lpstr>Seter_N13</vt:lpstr>
      <vt:lpstr>Seter_sittevogn</vt:lpstr>
      <vt:lpstr>Seter_Sovevogn</vt:lpstr>
      <vt:lpstr>Seter_Stog</vt:lpstr>
      <vt:lpstr>Settimer_RefÅr1</vt:lpstr>
      <vt:lpstr>Settimer_RefÅr1_Togtype_2</vt:lpstr>
      <vt:lpstr>Settimer_RefÅr2</vt:lpstr>
      <vt:lpstr>Settimer_RefÅr2_Togtype_2</vt:lpstr>
      <vt:lpstr>Settimer_RefÅr3</vt:lpstr>
      <vt:lpstr>Settimer_RefÅr3_Togtype_2</vt:lpstr>
      <vt:lpstr>Settimer_TiltakÅr1</vt:lpstr>
      <vt:lpstr>Settimer_TiltakÅr1_Togtype_2</vt:lpstr>
      <vt:lpstr>Settimer_TiltakÅr2</vt:lpstr>
      <vt:lpstr>Settimer_TiltakÅr2_Togtype_2</vt:lpstr>
      <vt:lpstr>Settimer_TiltakÅr3</vt:lpstr>
      <vt:lpstr>Settimer_TiltakÅr3_Togtype_2</vt:lpstr>
      <vt:lpstr>Settimer_År1</vt:lpstr>
      <vt:lpstr>Settimer_År1_Togtype_2</vt:lpstr>
      <vt:lpstr>Settimer_År2</vt:lpstr>
      <vt:lpstr>Settimer_År2_Togtype_2</vt:lpstr>
      <vt:lpstr>Settimer_År3</vt:lpstr>
      <vt:lpstr>Settimer_År3_Togtype_2</vt:lpstr>
      <vt:lpstr>Settkm_RefÅr1</vt:lpstr>
      <vt:lpstr>Settkm_RefÅr1_Togtype_2</vt:lpstr>
      <vt:lpstr>Settkm_RefÅr2</vt:lpstr>
      <vt:lpstr>Settkm_RefÅr2_Togtype_2</vt:lpstr>
      <vt:lpstr>Settkm_RefÅr3</vt:lpstr>
      <vt:lpstr>Settkm_RefÅr3_Togtype_2</vt:lpstr>
      <vt:lpstr>Settkm_TiltakÅr1</vt:lpstr>
      <vt:lpstr>Settkm_TiltakÅr1_Togtype_2</vt:lpstr>
      <vt:lpstr>Settkm_TiltakÅr2</vt:lpstr>
      <vt:lpstr>Settkm_TiltakÅr2_Togtype_2</vt:lpstr>
      <vt:lpstr>Settkm_TiltakÅr3</vt:lpstr>
      <vt:lpstr>Settkm_TiltakÅr3_Togtype_2</vt:lpstr>
      <vt:lpstr>Settkm_År1</vt:lpstr>
      <vt:lpstr>Settkm_År1_Togtype_2</vt:lpstr>
      <vt:lpstr>Settkm_År2</vt:lpstr>
      <vt:lpstr>Settkm_År2_Togtype_2</vt:lpstr>
      <vt:lpstr>Settkm_År3</vt:lpstr>
      <vt:lpstr>Settkm_År3_Togtype_2</vt:lpstr>
      <vt:lpstr>SINTEF_2003</vt:lpstr>
      <vt:lpstr>SistePrognoseÅr</vt:lpstr>
      <vt:lpstr>SisteStatistikkÅr</vt:lpstr>
      <vt:lpstr>SisteÅrMedRealprisvekst</vt:lpstr>
      <vt:lpstr>SisteÅrMedVolumvekst</vt:lpstr>
      <vt:lpstr>Skatteetaten_2018</vt:lpstr>
      <vt:lpstr>Skattefinansieringsfaktor</vt:lpstr>
      <vt:lpstr>Skattefinansieringsfaktor_utbytte</vt:lpstr>
      <vt:lpstr>Skattesats</vt:lpstr>
      <vt:lpstr>Slitasje_Bil</vt:lpstr>
      <vt:lpstr>Slitasje_Buss</vt:lpstr>
      <vt:lpstr>Slitasje_Godstog</vt:lpstr>
      <vt:lpstr>Slitasje_LettLastebil</vt:lpstr>
      <vt:lpstr>Slitasje_Modulvogntog</vt:lpstr>
      <vt:lpstr>Slitasje_Persontog</vt:lpstr>
      <vt:lpstr>Slitasje_TungLastebil</vt:lpstr>
      <vt:lpstr>SO2_KgPerTonn_Dieseltog</vt:lpstr>
      <vt:lpstr>Sporveksel_Endring</vt:lpstr>
      <vt:lpstr>Sporveksel_Ref</vt:lpstr>
      <vt:lpstr>Sporveksel_Tiltak</vt:lpstr>
      <vt:lpstr>SSB_2001</vt:lpstr>
      <vt:lpstr>SSB_2017_1</vt:lpstr>
      <vt:lpstr>SSB_2017_5</vt:lpstr>
      <vt:lpstr>SSB_2018_4</vt:lpstr>
      <vt:lpstr>SSB_2019</vt:lpstr>
      <vt:lpstr>SSB_2019_1</vt:lpstr>
      <vt:lpstr>SSB_2019_2</vt:lpstr>
      <vt:lpstr>SSB_2019_3</vt:lpstr>
      <vt:lpstr>SSB_2022</vt:lpstr>
      <vt:lpstr>SSB_2025</vt:lpstr>
      <vt:lpstr>Stasjon_Endring</vt:lpstr>
      <vt:lpstr>Stasjon_Ref</vt:lpstr>
      <vt:lpstr>Stasjon_Tiltak</vt:lpstr>
      <vt:lpstr>StatensVegvesen_2007</vt:lpstr>
      <vt:lpstr>Statistikk_Lønnskostnad</vt:lpstr>
      <vt:lpstr>StatistikkBKI</vt:lpstr>
      <vt:lpstr>StatistikkBKI_DV</vt:lpstr>
      <vt:lpstr>StatistikkBNP</vt:lpstr>
      <vt:lpstr>StatistikkKPI</vt:lpstr>
      <vt:lpstr>StatistikkOgPrognoseÅr</vt:lpstr>
      <vt:lpstr>Støy_Bil</vt:lpstr>
      <vt:lpstr>Støy_Buss</vt:lpstr>
      <vt:lpstr>Støy_GodstogD</vt:lpstr>
      <vt:lpstr>Støy_GodstogDNatt</vt:lpstr>
      <vt:lpstr>Støy_GodstogEL</vt:lpstr>
      <vt:lpstr>Støy_GodstogElNatt</vt:lpstr>
      <vt:lpstr>Støy_LettLastebil</vt:lpstr>
      <vt:lpstr>Støy_Modulvogntog</vt:lpstr>
      <vt:lpstr>Støy_PersontogD</vt:lpstr>
      <vt:lpstr>Støy_PersontogEL</vt:lpstr>
      <vt:lpstr>Støy_TungLastebil</vt:lpstr>
      <vt:lpstr>Takster_Kroneår</vt:lpstr>
      <vt:lpstr>Tidskostnader_Kroneår</vt:lpstr>
      <vt:lpstr>TimeLønnLokfører</vt:lpstr>
      <vt:lpstr>TimeLønnTogfører</vt:lpstr>
      <vt:lpstr>togkm_døgn_endring_TogÅr1</vt:lpstr>
      <vt:lpstr>togkm_døgn_endring_TogÅr2</vt:lpstr>
      <vt:lpstr>togkm_døgn_endring_TogÅr3</vt:lpstr>
      <vt:lpstr>TogkmBiDi_RefÅr1</vt:lpstr>
      <vt:lpstr>TogkmBiDi_RefÅr1_Togtype_2</vt:lpstr>
      <vt:lpstr>TogkmBiDi_RefÅr2</vt:lpstr>
      <vt:lpstr>TogkmBiDi_RefÅr2_Togtype_2</vt:lpstr>
      <vt:lpstr>TogkmBiDi_RefÅr3</vt:lpstr>
      <vt:lpstr>TogkmBiDi_RefÅr3_Togtype_2</vt:lpstr>
      <vt:lpstr>TogkmBiDi_TiltakÅr1</vt:lpstr>
      <vt:lpstr>TogkmBiDi_TiltakÅr1_Togtype_2</vt:lpstr>
      <vt:lpstr>TogkmBiDi_TiltakÅr2</vt:lpstr>
      <vt:lpstr>TogkmBiDi_TiltakÅr2_Togtype_2</vt:lpstr>
      <vt:lpstr>TogkmBiDi_TiltakÅr3</vt:lpstr>
      <vt:lpstr>TogkmBiDi_TiltakÅr3_Togtype_2</vt:lpstr>
      <vt:lpstr>TogkmBiDi_År1</vt:lpstr>
      <vt:lpstr>TogkmBiDi_År1_Togtype_2</vt:lpstr>
      <vt:lpstr>TogkmBiDi_År2</vt:lpstr>
      <vt:lpstr>TogkmBiDi_År2_Togtype_2</vt:lpstr>
      <vt:lpstr>TogkmBiDi_År3</vt:lpstr>
      <vt:lpstr>TogkmBiDi_År3_Togtype_2</vt:lpstr>
      <vt:lpstr>TogkmBiEl_RefÅr1</vt:lpstr>
      <vt:lpstr>TogkmBiEl_RefÅr1_Togtype_2</vt:lpstr>
      <vt:lpstr>TogkmBiEl_RefÅr2</vt:lpstr>
      <vt:lpstr>TogkmBiEl_RefÅr2_Togtype_2</vt:lpstr>
      <vt:lpstr>TogkmBiEL_RefÅr3</vt:lpstr>
      <vt:lpstr>TogkmBiEL_RefÅr3_Togtype_2</vt:lpstr>
      <vt:lpstr>TogkmBiEl_TiltakÅr1</vt:lpstr>
      <vt:lpstr>TogkmBiEl_TiltakÅr1_Togtype_2</vt:lpstr>
      <vt:lpstr>TogkmBiEl_TiltakÅr2</vt:lpstr>
      <vt:lpstr>TogkmBiEl_TiltakÅr2_Togtype_2</vt:lpstr>
      <vt:lpstr>TogkmBiEl_TiltakÅr3</vt:lpstr>
      <vt:lpstr>TogkmBiEl_TiltakÅr3_Togtype_2</vt:lpstr>
      <vt:lpstr>TogkmBiEl_År1</vt:lpstr>
      <vt:lpstr>TogkmBiEl_År1_Togtype_2</vt:lpstr>
      <vt:lpstr>TogkmBiEl_År2</vt:lpstr>
      <vt:lpstr>TogkmBiEl_År2_Togtype_2</vt:lpstr>
      <vt:lpstr>TogkmBiEl_År3</vt:lpstr>
      <vt:lpstr>TogkmBiEl_År3_Togtype_2</vt:lpstr>
      <vt:lpstr>TogkmD_RefÅr1</vt:lpstr>
      <vt:lpstr>TogkmD_RefÅr1_Togtype_2</vt:lpstr>
      <vt:lpstr>TogkmD_RefÅr2</vt:lpstr>
      <vt:lpstr>TogkmD_RefÅr2_Togtype_2</vt:lpstr>
      <vt:lpstr>TogkmD_RefÅr3</vt:lpstr>
      <vt:lpstr>TogkmD_RefÅr3_Togtype_2</vt:lpstr>
      <vt:lpstr>TogkmD_TiltakÅr1</vt:lpstr>
      <vt:lpstr>TogkmD_TiltakÅr1_Togtype_2</vt:lpstr>
      <vt:lpstr>TogkmD_TiltakÅr2</vt:lpstr>
      <vt:lpstr>TogkmD_TiltakÅr2_Togtype_2</vt:lpstr>
      <vt:lpstr>TogkmD_TiltakÅr3</vt:lpstr>
      <vt:lpstr>TogkmD_TiltakÅr3_Togtype_2</vt:lpstr>
      <vt:lpstr>TogkmD_År1</vt:lpstr>
      <vt:lpstr>TogkmD_År1_Togtype_2</vt:lpstr>
      <vt:lpstr>TogkmD_År2</vt:lpstr>
      <vt:lpstr>TogkmD_År2_Togtype_2</vt:lpstr>
      <vt:lpstr>TogkmD_År3</vt:lpstr>
      <vt:lpstr>TogkmD_År3_Togtype_2</vt:lpstr>
      <vt:lpstr>TogkmEL_RefÅr1</vt:lpstr>
      <vt:lpstr>TogkmEL_RefÅr1_Togtype_2</vt:lpstr>
      <vt:lpstr>TogkmEL_RefÅr2</vt:lpstr>
      <vt:lpstr>TogkmEL_RefÅr2_Togtype_2</vt:lpstr>
      <vt:lpstr>TogkmEL_RefÅr3</vt:lpstr>
      <vt:lpstr>TogkmEL_RefÅr3_Togtype_2</vt:lpstr>
      <vt:lpstr>TogkmEL_TiltakÅr1</vt:lpstr>
      <vt:lpstr>TogkmEL_TiltakÅr1_Togtype_2</vt:lpstr>
      <vt:lpstr>TogkmEL_TiltakÅr2</vt:lpstr>
      <vt:lpstr>TogkmEL_TiltakÅr2_Togtype_2</vt:lpstr>
      <vt:lpstr>TogkmEL_TiltakÅr3</vt:lpstr>
      <vt:lpstr>TogkmEL_TiltakÅr3_Togtype_2</vt:lpstr>
      <vt:lpstr>TogkmEL_År1</vt:lpstr>
      <vt:lpstr>TogkmEL_År1_Togtype_2</vt:lpstr>
      <vt:lpstr>TogkmEL_År2</vt:lpstr>
      <vt:lpstr>TogkmEL_År2_Togtype_2</vt:lpstr>
      <vt:lpstr>TogkmEL_År3</vt:lpstr>
      <vt:lpstr>TogkmEL_År3_Togtype_2</vt:lpstr>
      <vt:lpstr>Togreiser_RefÅr1</vt:lpstr>
      <vt:lpstr>Togreiser_RefÅr1_Togtype_2</vt:lpstr>
      <vt:lpstr>Togreiser_RefÅr2</vt:lpstr>
      <vt:lpstr>Togreiser_RefÅr2_Togtype_2</vt:lpstr>
      <vt:lpstr>Togreiser_RefÅr3</vt:lpstr>
      <vt:lpstr>Togreiser_RefÅr3_Togtype_2</vt:lpstr>
      <vt:lpstr>Togreiser_TiltakÅr1</vt:lpstr>
      <vt:lpstr>Togreiser_TiltakÅr1_Togtype_2</vt:lpstr>
      <vt:lpstr>Togreiser_TiltakÅr2</vt:lpstr>
      <vt:lpstr>Togreiser_TiltakÅr2_Togtype_2</vt:lpstr>
      <vt:lpstr>Togreiser_TiltakÅr3</vt:lpstr>
      <vt:lpstr>Togreiser_TiltakÅr3_Togtype_2</vt:lpstr>
      <vt:lpstr>Togreiser_År1</vt:lpstr>
      <vt:lpstr>Togreiser_År1_Togtype_2</vt:lpstr>
      <vt:lpstr>Togreiser_År2</vt:lpstr>
      <vt:lpstr>Togreiser_År2_Togtype_2</vt:lpstr>
      <vt:lpstr>Togreiser_År3</vt:lpstr>
      <vt:lpstr>Togreiser_År3_Togtype_2</vt:lpstr>
      <vt:lpstr>Togsett_Ref</vt:lpstr>
      <vt:lpstr>Togsett_Ref_2</vt:lpstr>
      <vt:lpstr>Togsett_Tiltak</vt:lpstr>
      <vt:lpstr>Togsett_Tiltak_2</vt:lpstr>
      <vt:lpstr>Togtimer_RefÅr1</vt:lpstr>
      <vt:lpstr>Togtimer_RefÅr1_Togtype_2</vt:lpstr>
      <vt:lpstr>Togtimer_RefÅr2</vt:lpstr>
      <vt:lpstr>Togtimer_RefÅr2_Togtype_2</vt:lpstr>
      <vt:lpstr>Togtimer_RefÅr3</vt:lpstr>
      <vt:lpstr>Togtimer_RefÅr3_Togtype_2</vt:lpstr>
      <vt:lpstr>Togtimer_TiltakÅr1</vt:lpstr>
      <vt:lpstr>Togtimer_TiltakÅr1_Togtype_2</vt:lpstr>
      <vt:lpstr>Togtimer_TiltakÅr2</vt:lpstr>
      <vt:lpstr>Togtimer_TiltakÅr2_Togtype_2</vt:lpstr>
      <vt:lpstr>Togtimer_TiltakÅr3</vt:lpstr>
      <vt:lpstr>Togtimer_TiltakÅr3_Togtype_2</vt:lpstr>
      <vt:lpstr>Togtimer_År1</vt:lpstr>
      <vt:lpstr>Togtimer_År1_Togtype_2</vt:lpstr>
      <vt:lpstr>Togtimer_År2</vt:lpstr>
      <vt:lpstr>Togtimer_År2_Togtype_2</vt:lpstr>
      <vt:lpstr>Togtimer_År3</vt:lpstr>
      <vt:lpstr>Togtimer_År3_Togtype_2</vt:lpstr>
      <vt:lpstr>Togtype_Ref</vt:lpstr>
      <vt:lpstr>Togtype_Ref_2</vt:lpstr>
      <vt:lpstr>Togtype_Tiltak</vt:lpstr>
      <vt:lpstr>Togtype_Tiltak_2</vt:lpstr>
      <vt:lpstr>TogtypeVogn_Ref</vt:lpstr>
      <vt:lpstr>TogtypeVogn_Ref_2</vt:lpstr>
      <vt:lpstr>TogTypeVogn_Tiltak</vt:lpstr>
      <vt:lpstr>TogTypeVogn_Tiltak_2</vt:lpstr>
      <vt:lpstr>Togvekt_Godstog</vt:lpstr>
      <vt:lpstr>Togvekt_Persontog</vt:lpstr>
      <vt:lpstr>Tomtogkjøring</vt:lpstr>
      <vt:lpstr>Tomtogkjøring_Referanse</vt:lpstr>
      <vt:lpstr>Tomtogkjøring_Tiltak</vt:lpstr>
      <vt:lpstr>TonnM_GodstogD_RefÅr1</vt:lpstr>
      <vt:lpstr>TonnM_GodstogD_TiltakÅr1</vt:lpstr>
      <vt:lpstr>TonnM_GodsTogD_År1</vt:lpstr>
      <vt:lpstr>TonnM_GodstogEL_RefÅr1</vt:lpstr>
      <vt:lpstr>TonnM_GodstogEL_TiltakÅr1</vt:lpstr>
      <vt:lpstr>TonnM_GodstogEL_År1</vt:lpstr>
      <vt:lpstr>TonnM_Lettlastebil_År1</vt:lpstr>
      <vt:lpstr>TonnM_Modullastebil_År1</vt:lpstr>
      <vt:lpstr>TonnM_Tunglastebil_År1</vt:lpstr>
      <vt:lpstr>TonnMkm_GodstogD_RefÅr1</vt:lpstr>
      <vt:lpstr>TonnMkm_GodstogD_TiltakÅr1</vt:lpstr>
      <vt:lpstr>TonnMkm_GodstogD_År1</vt:lpstr>
      <vt:lpstr>TonnMkm_GodstogEL_RefÅr1</vt:lpstr>
      <vt:lpstr>TonnMkm_GodstogEL_TiltakÅr1</vt:lpstr>
      <vt:lpstr>TonnMkm_GodstogEL_År1</vt:lpstr>
      <vt:lpstr>TonnMkm_LettlastebilÅr1</vt:lpstr>
      <vt:lpstr>TonnMkm_LettlastebilÅr2</vt:lpstr>
      <vt:lpstr>TonnMkm_LettlastebilÅr3</vt:lpstr>
      <vt:lpstr>TonnMkm_ModulvogntogÅr1</vt:lpstr>
      <vt:lpstr>TonnMkm_ModulvogntogÅr2</vt:lpstr>
      <vt:lpstr>TonnMkm_ModulvogntogÅr3</vt:lpstr>
      <vt:lpstr>TonnMkm_SkipÅr1</vt:lpstr>
      <vt:lpstr>TonnMkm_SkipÅr2</vt:lpstr>
      <vt:lpstr>TonnMkm_SkipÅr3</vt:lpstr>
      <vt:lpstr>TonnMkm_TunglastebilÅr1</vt:lpstr>
      <vt:lpstr>TonnMkm_TunglastebilÅr2</vt:lpstr>
      <vt:lpstr>TonnMkm_TunglastebilÅr3</vt:lpstr>
      <vt:lpstr>Totale_Driftskostnader</vt:lpstr>
      <vt:lpstr>Trafikantnytte_BilÅr1</vt:lpstr>
      <vt:lpstr>Trafikantnytte_BilÅr2</vt:lpstr>
      <vt:lpstr>Trafikantnytte_BilÅr3</vt:lpstr>
      <vt:lpstr>Trafikantnytte_BussÅr1</vt:lpstr>
      <vt:lpstr>Trafikantnytte_BussÅr2</vt:lpstr>
      <vt:lpstr>Trafikantnytte_BussÅr3</vt:lpstr>
      <vt:lpstr>trafikantnytte_døgn_endring_TogÅr1</vt:lpstr>
      <vt:lpstr>trafikantnytte_døgn_endring_TogÅr2</vt:lpstr>
      <vt:lpstr>trafikantnytte_døgn_endring_TogÅr3</vt:lpstr>
      <vt:lpstr>Trafikantnytte_FlyÅr1</vt:lpstr>
      <vt:lpstr>Trafikantnytte_FlyÅr2</vt:lpstr>
      <vt:lpstr>Trafikantnytte_FlyÅr3</vt:lpstr>
      <vt:lpstr>Trafikantnytte_TogÅr1</vt:lpstr>
      <vt:lpstr>Trafikantnytte_TogÅr1_Togtype_2</vt:lpstr>
      <vt:lpstr>Trafikantnytte_TogÅr2</vt:lpstr>
      <vt:lpstr>Trafikantnytte_TogÅr2_Togtype_2</vt:lpstr>
      <vt:lpstr>Trafikantnytte_TogÅr3</vt:lpstr>
      <vt:lpstr>Trafikantnytte_TogÅr3_Togtype_2</vt:lpstr>
      <vt:lpstr>TrafikantnytteNy_TogÅr1</vt:lpstr>
      <vt:lpstr>TrafikantnytteNy_TogÅr1_Togtype_2</vt:lpstr>
      <vt:lpstr>TrafikantnytteNy_TogÅr2</vt:lpstr>
      <vt:lpstr>TrafikantnytteNy_TogÅr2_Togtype_2</vt:lpstr>
      <vt:lpstr>TrafikantnytteNy_TogÅr3</vt:lpstr>
      <vt:lpstr>TrafikantnytteNy_TogÅr3_Togtype_2</vt:lpstr>
      <vt:lpstr>TransportkostnaderGods_Kroneår</vt:lpstr>
      <vt:lpstr>TredjeBeregningsår</vt:lpstr>
      <vt:lpstr>TriangInput</vt:lpstr>
      <vt:lpstr>TS_Breakeven</vt:lpstr>
      <vt:lpstr>TS_Budsjettvirkninger</vt:lpstr>
      <vt:lpstr>TS_CO2Nytte</vt:lpstr>
      <vt:lpstr>TS_CO2Utslipp</vt:lpstr>
      <vt:lpstr>TS_Eksterne</vt:lpstr>
      <vt:lpstr>TS_Hovedfigur</vt:lpstr>
      <vt:lpstr>TS_KakeTrafikant</vt:lpstr>
      <vt:lpstr>TS_Offentlige</vt:lpstr>
      <vt:lpstr>TS_Operatørnytte</vt:lpstr>
      <vt:lpstr>TS_Samfunnet</vt:lpstr>
      <vt:lpstr>TS_Stolpediagram</vt:lpstr>
      <vt:lpstr>TS_TrafikantKakeProsent</vt:lpstr>
      <vt:lpstr>TS_Trafikantnytte</vt:lpstr>
      <vt:lpstr>Tunnelkm_Endring</vt:lpstr>
      <vt:lpstr>Tunnelkm_Ref</vt:lpstr>
      <vt:lpstr>Tunnelkm_Tiltak</vt:lpstr>
      <vt:lpstr>TØI_1050_2009</vt:lpstr>
      <vt:lpstr>TØI_1053_2010</vt:lpstr>
      <vt:lpstr>TØI_1053B_2010</vt:lpstr>
      <vt:lpstr>TØI_1081_1997</vt:lpstr>
      <vt:lpstr>TØI_1307_2014</vt:lpstr>
      <vt:lpstr>TØI_1313_2014</vt:lpstr>
      <vt:lpstr>TØI_1446_2015</vt:lpstr>
      <vt:lpstr>TØI_1558_2017</vt:lpstr>
      <vt:lpstr>TØI_1689_2019</vt:lpstr>
      <vt:lpstr>TØI_1704_2019</vt:lpstr>
      <vt:lpstr>TØI_1718_2019</vt:lpstr>
      <vt:lpstr>TØI_2023</vt:lpstr>
      <vt:lpstr>TØI_2025</vt:lpstr>
      <vt:lpstr>TØI_464_1999</vt:lpstr>
      <vt:lpstr>TØI_51445_2019</vt:lpstr>
      <vt:lpstr>TØI_567_2002</vt:lpstr>
      <vt:lpstr>Ulykke_Bil</vt:lpstr>
      <vt:lpstr>Ulykke_Buss</vt:lpstr>
      <vt:lpstr>Ulykke_Fly</vt:lpstr>
      <vt:lpstr>Ulykke_Godstog</vt:lpstr>
      <vt:lpstr>Ulykke_Lettlastebil</vt:lpstr>
      <vt:lpstr>Ulykke_Modulvogntog</vt:lpstr>
      <vt:lpstr>Ulykke_Persontog</vt:lpstr>
      <vt:lpstr>Ulykke_Skip</vt:lpstr>
      <vt:lpstr>Ulykke_Tunglastebil</vt:lpstr>
      <vt:lpstr>UlykkesfrekvensBil_Død</vt:lpstr>
      <vt:lpstr>UlykkesfrekvensBil_HardtSkadet</vt:lpstr>
      <vt:lpstr>UlykkesfrekvensBil_LettereSkadet</vt:lpstr>
      <vt:lpstr>UlykkesfrekvensBuss_Død</vt:lpstr>
      <vt:lpstr>UlykkesfrekvensBuss_HardtSkadet</vt:lpstr>
      <vt:lpstr>UlykkesfrekvensBuss_LettereSkadet</vt:lpstr>
      <vt:lpstr>UlykkesfrekvensGodstog_Død</vt:lpstr>
      <vt:lpstr>UlykkesfrekvensGodstog_HardtSkadet</vt:lpstr>
      <vt:lpstr>UlykkesfrekvensGodstog_LettereSkadet</vt:lpstr>
      <vt:lpstr>UlykkesfrekvensLettLastebil_Død</vt:lpstr>
      <vt:lpstr>UlykkesfrekvensLettLastebil_HardtSkadet</vt:lpstr>
      <vt:lpstr>UlykkesfrekvensLettLastebil_LettereSkadet</vt:lpstr>
      <vt:lpstr>UlykkesfrekvensPersontog_Død</vt:lpstr>
      <vt:lpstr>UlykkesfrekvensPersontog_HardtSkadet</vt:lpstr>
      <vt:lpstr>UlykkesfrekvensPersontog_LettereSkadet</vt:lpstr>
      <vt:lpstr>UlykkesfrekvensSkip_Død</vt:lpstr>
      <vt:lpstr>UlykkesfrekvensSkip_HardtSkadet</vt:lpstr>
      <vt:lpstr>UlykkesfrekvensSkip_LettereSkadet</vt:lpstr>
      <vt:lpstr>UlykkesfrekvensTungLasetbil_HardtSkadet</vt:lpstr>
      <vt:lpstr>UlykkesfrekvensTungLastebil_Død</vt:lpstr>
      <vt:lpstr>UlykkesfrekvensTungLastebil_LettereSkadet</vt:lpstr>
      <vt:lpstr>Utdanning_Lønnkonduktører</vt:lpstr>
      <vt:lpstr>Utdanning_Lønnlokomotivførere</vt:lpstr>
      <vt:lpstr>Utslipp_byggefase_nytte_toggle</vt:lpstr>
      <vt:lpstr>Utslipp_byggefase_toggle</vt:lpstr>
      <vt:lpstr>Utslippibyggefasen</vt:lpstr>
      <vt:lpstr>Vedlikehold_69</vt:lpstr>
      <vt:lpstr>Vedlikehold_70</vt:lpstr>
      <vt:lpstr>Vedlikehold_72</vt:lpstr>
      <vt:lpstr>Vedlikehold_73</vt:lpstr>
      <vt:lpstr>Vedlikehold_74</vt:lpstr>
      <vt:lpstr>Vedlikehold_75</vt:lpstr>
      <vt:lpstr>Vedlikehold_76</vt:lpstr>
      <vt:lpstr>Vedlikehold_77</vt:lpstr>
      <vt:lpstr>Vedlikehold_78</vt:lpstr>
      <vt:lpstr>Vedlikehold_93D</vt:lpstr>
      <vt:lpstr>Vedlikehold_bru</vt:lpstr>
      <vt:lpstr>Vedlikehold_Daglinje</vt:lpstr>
      <vt:lpstr>Vedlikehold_Di4</vt:lpstr>
      <vt:lpstr>Vedlikehold_EL18</vt:lpstr>
      <vt:lpstr>Vedlikehold_HastighetPåslag</vt:lpstr>
      <vt:lpstr>Vedlikehold_KL</vt:lpstr>
      <vt:lpstr>Vedlikehold_N05</vt:lpstr>
      <vt:lpstr>Vedlikehold_N06</vt:lpstr>
      <vt:lpstr>Vedlikehold_N10dag</vt:lpstr>
      <vt:lpstr>Vedlikehold_N10natt</vt:lpstr>
      <vt:lpstr>Vedlikehold_N11</vt:lpstr>
      <vt:lpstr>Vedlikehold_N12</vt:lpstr>
      <vt:lpstr>Vedlikehold_N13</vt:lpstr>
      <vt:lpstr>Vedlikehold_Sittevogn</vt:lpstr>
      <vt:lpstr>Vedlikehold_Sovevogn</vt:lpstr>
      <vt:lpstr>Vedlikehold_Sporveksel</vt:lpstr>
      <vt:lpstr>Vedlikehold_Stasjon</vt:lpstr>
      <vt:lpstr>Vedlikehold_Stog</vt:lpstr>
      <vt:lpstr>Vedlikehold_Tunnel</vt:lpstr>
      <vt:lpstr>Veibruksavgift_byggefase</vt:lpstr>
      <vt:lpstr>Veibruksavgift_krprliter_diesel</vt:lpstr>
      <vt:lpstr>Vista_Analyse_2015</vt:lpstr>
      <vt:lpstr>Vista_Analyse_2020</vt:lpstr>
      <vt:lpstr>Vogner_72</vt:lpstr>
      <vt:lpstr>Vogner_74</vt:lpstr>
      <vt:lpstr>Vogner_75</vt:lpstr>
      <vt:lpstr>Vogner_76</vt:lpstr>
      <vt:lpstr>Vogner_77</vt:lpstr>
      <vt:lpstr>Vogner_78</vt:lpstr>
      <vt:lpstr>Vogner_93D</vt:lpstr>
      <vt:lpstr>Vogner_LokD</vt:lpstr>
      <vt:lpstr>Vogner_LokEL</vt:lpstr>
      <vt:lpstr>Vogner_Ref</vt:lpstr>
      <vt:lpstr>Vogner_Ref_2</vt:lpstr>
      <vt:lpstr>Vogner_Sittevogn</vt:lpstr>
      <vt:lpstr>Vogner_Sovevogn</vt:lpstr>
      <vt:lpstr>Vogner_Stog</vt:lpstr>
      <vt:lpstr>Vogner_Tiltak</vt:lpstr>
      <vt:lpstr>Vogner_Tiltak_2</vt:lpstr>
      <vt:lpstr>Wikipedia_2017</vt:lpstr>
      <vt:lpstr>Åpningsår</vt:lpstr>
      <vt:lpstr>År1</vt:lpstr>
      <vt:lpstr>År2</vt:lpstr>
      <vt:lpstr>År3</vt:lpstr>
    </vt:vector>
  </TitlesOfParts>
  <Manager/>
  <Company>Jernbaneverket</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Malene Nerland</dc:creator>
  <cp:keywords/>
  <dc:description/>
  <cp:lastModifiedBy>Mari Baklund Størseth</cp:lastModifiedBy>
  <cp:revision/>
  <dcterms:created xsi:type="dcterms:W3CDTF">2016-07-11T10:21:42Z</dcterms:created>
  <dcterms:modified xsi:type="dcterms:W3CDTF">2026-09-28T10:25:40Z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0x0101002ADC7AF6EFC3164581CB441BC389740F</vt:lpwstr>
  </property>
  <property fmtid="{D5CDD505-2E9C-101B-9397-08002B2CF9AE}" pid="3" name="Fase">
    <vt:lpwstr/>
  </property>
  <property fmtid="{D5CDD505-2E9C-101B-9397-08002B2CF9AE}" pid="4" name="MediaServiceImageTags">
    <vt:lpwstr/>
  </property>
</Properties>
</file>